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Matt Gismondi\Box\SVEF\3. Benchmarking\US Surveys\Benchmarking Surveys\2022 Benchmark\Reporting\Master File\"/>
    </mc:Choice>
  </mc:AlternateContent>
  <xr:revisionPtr revIDLastSave="0" documentId="13_ncr:1_{8AF4556C-0DC0-4565-9D7D-41FB066EC513}" xr6:coauthVersionLast="46" xr6:coauthVersionMax="46" xr10:uidLastSave="{00000000-0000-0000-0000-000000000000}"/>
  <bookViews>
    <workbookView xWindow="-28920" yWindow="-15" windowWidth="29040" windowHeight="15840" tabRatio="913" xr2:uid="{00000000-000D-0000-FFFF-FFFF00000000}"/>
  </bookViews>
  <sheets>
    <sheet name="Instructions" sheetId="14" r:id="rId1"/>
    <sheet name="Index" sheetId="13" r:id="rId2"/>
    <sheet name="Company Overview" sheetId="12" r:id="rId3"/>
    <sheet name="Enrollment, Eligib. &amp; Cost" sheetId="11" r:id="rId4"/>
    <sheet name="Admin, Tools, Audits, Data" sheetId="1" r:id="rId5"/>
    <sheet name="Communications &amp; Engagement" sheetId="2" r:id="rId6"/>
    <sheet name="Other Benefits" sheetId="3" r:id="rId7"/>
    <sheet name="Healthcare" sheetId="4" r:id="rId8"/>
    <sheet name="Disease Mgmt &amp; Wellbeing" sheetId="5" r:id="rId9"/>
    <sheet name="Trends &amp; Emerging Practices" sheetId="6" r:id="rId10"/>
    <sheet name="Income Protection" sheetId="7" r:id="rId11"/>
    <sheet name="Retirement, NQDC, Finances" sheetId="8" r:id="rId12"/>
    <sheet name="Time Off" sheetId="9" r:id="rId13"/>
    <sheet name="Vendors" sheetId="10" r:id="rId14"/>
  </sheets>
  <definedNames>
    <definedName name="_2022_USB___S11_REPORT_Verification_January_31__2022_12.20" localSheetId="12">'Time Off'!$A$1:$HG$66</definedName>
    <definedName name="_2022_USB___S12_REPORT___Copy_January_31__2022_12.21" localSheetId="13">Vendors!$B$1:$MA$66</definedName>
    <definedName name="_2022_USB___S3_Verification_January_31__2022_12.10__2" localSheetId="4">'Admin, Tools, Audits, Data'!#REF!</definedName>
    <definedName name="_2022_USB___S3_Verification_January_31__2022_12.10__2__1" localSheetId="4">'Admin, Tools, Audits, Data'!$B$1:$X$66</definedName>
    <definedName name="_2022_USB___S4_Verification_January_31__2022_12.17" localSheetId="5">'Communications &amp; Engagement'!#REF!</definedName>
    <definedName name="_2022_USB___S4_Verification_January_31__2022_12.17_1" localSheetId="5">'Communications &amp; Engagement'!$B$1:$BL$66</definedName>
    <definedName name="_2022_USB___S5_REPORT_Verification_January_31__2022_12.17" localSheetId="6">'Other Benefits'!$B$1:$JB$66</definedName>
    <definedName name="_2022_USB___S9_REPORT_Verification_January_31__2022_12.19" localSheetId="10">'Income Protection'!$A$1:$FG$66</definedName>
    <definedName name="_2022_USB___USE_S10_REPORT_Verification_January_31__2022_12.20" localSheetId="11">'Retirement, NQDC, Finances'!$A$1:$HD$66</definedName>
    <definedName name="_xlnm._FilterDatabase" localSheetId="4" hidden="1">'Admin, Tools, Audits, Data'!$A$2:$X$2</definedName>
    <definedName name="_xlnm._FilterDatabase" localSheetId="5" hidden="1">'Communications &amp; Engagement'!$A$2:$BL$2</definedName>
    <definedName name="_xlnm._FilterDatabase" localSheetId="2" hidden="1">'Company Overview'!$A$2:$CT$66</definedName>
    <definedName name="_xlnm._FilterDatabase" localSheetId="8" hidden="1">'Disease Mgmt &amp; Wellbeing'!$A$2:$CJ$2</definedName>
    <definedName name="_xlnm._FilterDatabase" localSheetId="3" hidden="1">'Enrollment, Eligib. &amp; Cost'!$A$2:$JH$66</definedName>
    <definedName name="_xlnm._FilterDatabase" localSheetId="7" hidden="1">Healthcare!$A$2:$CRE$66</definedName>
    <definedName name="_xlnm._FilterDatabase" localSheetId="10" hidden="1">'Income Protection'!$A$2:$FG$66</definedName>
    <definedName name="_xlnm._FilterDatabase" localSheetId="6" hidden="1">'Other Benefits'!$A$2:$JB$67</definedName>
    <definedName name="_xlnm._FilterDatabase" localSheetId="11" hidden="1">'Retirement, NQDC, Finances'!$A$2:$HD$66</definedName>
    <definedName name="_xlnm._FilterDatabase" localSheetId="12" hidden="1">'Time Off'!$A$2:$HG$66</definedName>
    <definedName name="_xlnm._FilterDatabase" localSheetId="9" hidden="1">'Trends &amp; Emerging Practices'!$A$2:$CR$67</definedName>
    <definedName name="_xlnm._FilterDatabase" localSheetId="13" hidden="1">Vendors!$A$2:$MA$66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9" i="13" l="1"/>
  <c r="R11" i="13"/>
  <c r="D5" i="13"/>
  <c r="B56" i="13"/>
  <c r="L2039" i="13"/>
  <c r="L2038" i="13"/>
  <c r="L2009" i="13"/>
  <c r="L1998" i="13"/>
  <c r="L1957" i="13"/>
  <c r="L1951" i="13"/>
  <c r="L1676" i="13"/>
  <c r="L1401" i="13"/>
  <c r="L1126" i="13"/>
  <c r="L851" i="13"/>
  <c r="L784" i="13"/>
  <c r="K784" i="13"/>
  <c r="L576" i="13"/>
  <c r="L300" i="13"/>
  <c r="J220" i="13"/>
  <c r="V214" i="13"/>
  <c r="T181" i="13"/>
  <c r="V176" i="13"/>
  <c r="V175" i="13"/>
  <c r="T157" i="13"/>
  <c r="T146" i="13"/>
  <c r="J131" i="13"/>
  <c r="R113" i="13"/>
  <c r="R108" i="13"/>
  <c r="J108" i="13"/>
  <c r="J107" i="13"/>
  <c r="J100" i="13"/>
  <c r="J97" i="13"/>
  <c r="T87" i="13"/>
  <c r="J4" i="13"/>
  <c r="B22" i="13"/>
  <c r="A22" i="13"/>
  <c r="X339" i="13" l="1"/>
  <c r="W339" i="13"/>
  <c r="X338" i="13"/>
  <c r="W338" i="13"/>
  <c r="X337" i="13"/>
  <c r="W337" i="13"/>
  <c r="X336" i="13"/>
  <c r="W336" i="13"/>
  <c r="X335" i="13"/>
  <c r="W335" i="13"/>
  <c r="X334" i="13"/>
  <c r="W334" i="13"/>
  <c r="X333" i="13"/>
  <c r="W333" i="13"/>
  <c r="X332" i="13"/>
  <c r="W332" i="13"/>
  <c r="X331" i="13"/>
  <c r="W331" i="13"/>
  <c r="X330" i="13"/>
  <c r="W330" i="13"/>
  <c r="X329" i="13"/>
  <c r="W329" i="13"/>
  <c r="X328" i="13"/>
  <c r="W328" i="13"/>
  <c r="X327" i="13"/>
  <c r="W327" i="13"/>
  <c r="X326" i="13"/>
  <c r="W326" i="13"/>
  <c r="X325" i="13"/>
  <c r="W325" i="13"/>
  <c r="X324" i="13"/>
  <c r="W324" i="13"/>
  <c r="X323" i="13"/>
  <c r="W323" i="13"/>
  <c r="X322" i="13"/>
  <c r="W322" i="13"/>
  <c r="X321" i="13"/>
  <c r="W321" i="13"/>
  <c r="X320" i="13"/>
  <c r="W320" i="13"/>
  <c r="X319" i="13"/>
  <c r="W319" i="13"/>
  <c r="X318" i="13"/>
  <c r="W318" i="13"/>
  <c r="X317" i="13"/>
  <c r="W317" i="13"/>
  <c r="X316" i="13"/>
  <c r="W316" i="13"/>
  <c r="X315" i="13"/>
  <c r="W315" i="13"/>
  <c r="X314" i="13"/>
  <c r="W314" i="13"/>
  <c r="X313" i="13"/>
  <c r="W313" i="13"/>
  <c r="X312" i="13"/>
  <c r="W312" i="13"/>
  <c r="X311" i="13"/>
  <c r="W311" i="13"/>
  <c r="X310" i="13"/>
  <c r="W310" i="13"/>
  <c r="X309" i="13"/>
  <c r="W309" i="13"/>
  <c r="X308" i="13"/>
  <c r="W308" i="13"/>
  <c r="X307" i="13"/>
  <c r="W307" i="13"/>
  <c r="X306" i="13"/>
  <c r="W306" i="13"/>
  <c r="X305" i="13"/>
  <c r="W305" i="13"/>
  <c r="X304" i="13"/>
  <c r="W304" i="13"/>
  <c r="X303" i="13"/>
  <c r="W303" i="13"/>
  <c r="X302" i="13"/>
  <c r="W302" i="13"/>
  <c r="X301" i="13"/>
  <c r="W301" i="13"/>
  <c r="X300" i="13"/>
  <c r="W300" i="13"/>
  <c r="X299" i="13"/>
  <c r="W299" i="13"/>
  <c r="X298" i="13"/>
  <c r="W298" i="13"/>
  <c r="X297" i="13"/>
  <c r="W297" i="13"/>
  <c r="X296" i="13"/>
  <c r="W296" i="13"/>
  <c r="X295" i="13"/>
  <c r="W295" i="13"/>
  <c r="X294" i="13"/>
  <c r="W294" i="13"/>
  <c r="X293" i="13"/>
  <c r="W293" i="13"/>
  <c r="X292" i="13"/>
  <c r="W292" i="13"/>
  <c r="X291" i="13"/>
  <c r="W291" i="13"/>
  <c r="X290" i="13"/>
  <c r="W290" i="13"/>
  <c r="X289" i="13"/>
  <c r="W289" i="13"/>
  <c r="X288" i="13"/>
  <c r="W288" i="13"/>
  <c r="X287" i="13"/>
  <c r="W287" i="13"/>
  <c r="X286" i="13"/>
  <c r="W286" i="13"/>
  <c r="X285" i="13"/>
  <c r="W285" i="13"/>
  <c r="X284" i="13"/>
  <c r="W284" i="13"/>
  <c r="X283" i="13"/>
  <c r="W283" i="13"/>
  <c r="X282" i="13"/>
  <c r="W282" i="13"/>
  <c r="X281" i="13"/>
  <c r="W281" i="13"/>
  <c r="X280" i="13"/>
  <c r="W280" i="13"/>
  <c r="X279" i="13"/>
  <c r="W279" i="13"/>
  <c r="X278" i="13"/>
  <c r="W278" i="13"/>
  <c r="X277" i="13"/>
  <c r="W277" i="13"/>
  <c r="X276" i="13"/>
  <c r="W276" i="13"/>
  <c r="X275" i="13"/>
  <c r="W275" i="13"/>
  <c r="X274" i="13"/>
  <c r="W274" i="13"/>
  <c r="X273" i="13"/>
  <c r="W273" i="13"/>
  <c r="X272" i="13"/>
  <c r="W272" i="13"/>
  <c r="X271" i="13"/>
  <c r="W271" i="13"/>
  <c r="X270" i="13"/>
  <c r="W270" i="13"/>
  <c r="X269" i="13"/>
  <c r="W269" i="13"/>
  <c r="X268" i="13"/>
  <c r="W268" i="13"/>
  <c r="X267" i="13"/>
  <c r="W267" i="13"/>
  <c r="X266" i="13"/>
  <c r="W266" i="13"/>
  <c r="X265" i="13"/>
  <c r="W265" i="13"/>
  <c r="X264" i="13"/>
  <c r="W264" i="13"/>
  <c r="X263" i="13"/>
  <c r="W263" i="13"/>
  <c r="X262" i="13"/>
  <c r="W262" i="13"/>
  <c r="X261" i="13"/>
  <c r="W261" i="13"/>
  <c r="X260" i="13"/>
  <c r="W260" i="13"/>
  <c r="X259" i="13"/>
  <c r="W259" i="13"/>
  <c r="X258" i="13"/>
  <c r="W258" i="13"/>
  <c r="X257" i="13"/>
  <c r="W257" i="13"/>
  <c r="X256" i="13"/>
  <c r="W256" i="13"/>
  <c r="X255" i="13"/>
  <c r="W255" i="13"/>
  <c r="X254" i="13"/>
  <c r="W254" i="13"/>
  <c r="X253" i="13"/>
  <c r="W253" i="13"/>
  <c r="X252" i="13"/>
  <c r="W252" i="13"/>
  <c r="X251" i="13"/>
  <c r="W251" i="13"/>
  <c r="X250" i="13"/>
  <c r="W250" i="13"/>
  <c r="X249" i="13"/>
  <c r="W249" i="13"/>
  <c r="X248" i="13"/>
  <c r="W248" i="13"/>
  <c r="X247" i="13"/>
  <c r="W247" i="13"/>
  <c r="X246" i="13"/>
  <c r="W246" i="13"/>
  <c r="X245" i="13"/>
  <c r="W245" i="13"/>
  <c r="X244" i="13"/>
  <c r="W244" i="13"/>
  <c r="X243" i="13"/>
  <c r="W243" i="13"/>
  <c r="X242" i="13"/>
  <c r="W242" i="13"/>
  <c r="X241" i="13"/>
  <c r="W241" i="13"/>
  <c r="X240" i="13"/>
  <c r="W240" i="13"/>
  <c r="X239" i="13"/>
  <c r="W239" i="13"/>
  <c r="X238" i="13"/>
  <c r="W238" i="13"/>
  <c r="X237" i="13"/>
  <c r="W237" i="13"/>
  <c r="X236" i="13"/>
  <c r="W236" i="13"/>
  <c r="X235" i="13"/>
  <c r="W235" i="13"/>
  <c r="X234" i="13"/>
  <c r="W234" i="13"/>
  <c r="X233" i="13"/>
  <c r="W233" i="13"/>
  <c r="X232" i="13"/>
  <c r="W232" i="13"/>
  <c r="X231" i="13"/>
  <c r="W231" i="13"/>
  <c r="X230" i="13"/>
  <c r="W230" i="13"/>
  <c r="X229" i="13"/>
  <c r="W229" i="13"/>
  <c r="X228" i="13"/>
  <c r="W228" i="13"/>
  <c r="X227" i="13"/>
  <c r="W227" i="13"/>
  <c r="X226" i="13"/>
  <c r="W226" i="13"/>
  <c r="X225" i="13"/>
  <c r="W225" i="13"/>
  <c r="X224" i="13"/>
  <c r="W224" i="13"/>
  <c r="X223" i="13"/>
  <c r="W223" i="13"/>
  <c r="X222" i="13"/>
  <c r="W222" i="13"/>
  <c r="X221" i="13"/>
  <c r="W221" i="13"/>
  <c r="X220" i="13"/>
  <c r="W220" i="13"/>
  <c r="X219" i="13"/>
  <c r="W219" i="13"/>
  <c r="X218" i="13"/>
  <c r="W218" i="13"/>
  <c r="X217" i="13"/>
  <c r="W217" i="13"/>
  <c r="X216" i="13"/>
  <c r="W216" i="13"/>
  <c r="X215" i="13"/>
  <c r="W215" i="13"/>
  <c r="X214" i="13"/>
  <c r="W214" i="13"/>
  <c r="X213" i="13"/>
  <c r="W213" i="13"/>
  <c r="X212" i="13"/>
  <c r="W212" i="13"/>
  <c r="X211" i="13"/>
  <c r="W211" i="13"/>
  <c r="X210" i="13"/>
  <c r="W210" i="13"/>
  <c r="X209" i="13"/>
  <c r="W209" i="13"/>
  <c r="X208" i="13"/>
  <c r="W208" i="13"/>
  <c r="X207" i="13"/>
  <c r="W207" i="13"/>
  <c r="X206" i="13"/>
  <c r="W206" i="13"/>
  <c r="X205" i="13"/>
  <c r="W205" i="13"/>
  <c r="X204" i="13"/>
  <c r="W204" i="13"/>
  <c r="X203" i="13"/>
  <c r="W203" i="13"/>
  <c r="X202" i="13"/>
  <c r="W202" i="13"/>
  <c r="X201" i="13"/>
  <c r="W201" i="13"/>
  <c r="X200" i="13"/>
  <c r="W200" i="13"/>
  <c r="X199" i="13"/>
  <c r="W199" i="13"/>
  <c r="X198" i="13"/>
  <c r="W198" i="13"/>
  <c r="X197" i="13"/>
  <c r="W197" i="13"/>
  <c r="X196" i="13"/>
  <c r="W196" i="13"/>
  <c r="X195" i="13"/>
  <c r="W195" i="13"/>
  <c r="X194" i="13"/>
  <c r="W194" i="13"/>
  <c r="X193" i="13"/>
  <c r="W193" i="13"/>
  <c r="X192" i="13"/>
  <c r="W192" i="13"/>
  <c r="X191" i="13"/>
  <c r="W191" i="13"/>
  <c r="X190" i="13"/>
  <c r="W190" i="13"/>
  <c r="X189" i="13"/>
  <c r="W189" i="13"/>
  <c r="X188" i="13"/>
  <c r="W188" i="13"/>
  <c r="X187" i="13"/>
  <c r="W187" i="13"/>
  <c r="X186" i="13"/>
  <c r="W186" i="13"/>
  <c r="X185" i="13"/>
  <c r="W185" i="13"/>
  <c r="X184" i="13"/>
  <c r="W184" i="13"/>
  <c r="X183" i="13"/>
  <c r="W183" i="13"/>
  <c r="X182" i="13"/>
  <c r="W182" i="13"/>
  <c r="X181" i="13"/>
  <c r="W181" i="13"/>
  <c r="X180" i="13"/>
  <c r="W180" i="13"/>
  <c r="X179" i="13"/>
  <c r="W179" i="13"/>
  <c r="X178" i="13"/>
  <c r="W178" i="13"/>
  <c r="X177" i="13"/>
  <c r="W177" i="13"/>
  <c r="X176" i="13"/>
  <c r="W176" i="13"/>
  <c r="X175" i="13"/>
  <c r="W175" i="13"/>
  <c r="X174" i="13"/>
  <c r="W174" i="13"/>
  <c r="X173" i="13"/>
  <c r="W173" i="13"/>
  <c r="X172" i="13"/>
  <c r="W172" i="13"/>
  <c r="X171" i="13"/>
  <c r="W171" i="13"/>
  <c r="X170" i="13"/>
  <c r="W170" i="13"/>
  <c r="X169" i="13"/>
  <c r="W169" i="13"/>
  <c r="X168" i="13"/>
  <c r="W168" i="13"/>
  <c r="X167" i="13"/>
  <c r="W167" i="13"/>
  <c r="X166" i="13"/>
  <c r="W166" i="13"/>
  <c r="X165" i="13"/>
  <c r="W165" i="13"/>
  <c r="X164" i="13"/>
  <c r="W164" i="13"/>
  <c r="X163" i="13"/>
  <c r="W163" i="13"/>
  <c r="X162" i="13"/>
  <c r="W162" i="13"/>
  <c r="X161" i="13"/>
  <c r="W161" i="13"/>
  <c r="X160" i="13"/>
  <c r="W160" i="13"/>
  <c r="X159" i="13"/>
  <c r="W159" i="13"/>
  <c r="X158" i="13"/>
  <c r="W158" i="13"/>
  <c r="X157" i="13"/>
  <c r="W157" i="13"/>
  <c r="X156" i="13"/>
  <c r="W156" i="13"/>
  <c r="X155" i="13"/>
  <c r="W155" i="13"/>
  <c r="X154" i="13"/>
  <c r="W154" i="13"/>
  <c r="X153" i="13"/>
  <c r="W153" i="13"/>
  <c r="X152" i="13"/>
  <c r="W152" i="13"/>
  <c r="X151" i="13"/>
  <c r="W151" i="13"/>
  <c r="X150" i="13"/>
  <c r="W150" i="13"/>
  <c r="X149" i="13"/>
  <c r="W149" i="13"/>
  <c r="X148" i="13"/>
  <c r="W148" i="13"/>
  <c r="X147" i="13"/>
  <c r="W147" i="13"/>
  <c r="X146" i="13"/>
  <c r="W146" i="13"/>
  <c r="X145" i="13"/>
  <c r="W145" i="13"/>
  <c r="X144" i="13"/>
  <c r="W144" i="13"/>
  <c r="X143" i="13"/>
  <c r="W143" i="13"/>
  <c r="X142" i="13"/>
  <c r="W142" i="13"/>
  <c r="X141" i="13"/>
  <c r="W141" i="13"/>
  <c r="X140" i="13"/>
  <c r="W140" i="13"/>
  <c r="X139" i="13"/>
  <c r="W139" i="13"/>
  <c r="X138" i="13"/>
  <c r="W138" i="13"/>
  <c r="X137" i="13"/>
  <c r="W137" i="13"/>
  <c r="X136" i="13"/>
  <c r="W136" i="13"/>
  <c r="X135" i="13"/>
  <c r="W135" i="13"/>
  <c r="X134" i="13"/>
  <c r="W134" i="13"/>
  <c r="X133" i="13"/>
  <c r="W133" i="13"/>
  <c r="X132" i="13"/>
  <c r="W132" i="13"/>
  <c r="X131" i="13"/>
  <c r="W131" i="13"/>
  <c r="X130" i="13"/>
  <c r="W130" i="13"/>
  <c r="X129" i="13"/>
  <c r="W129" i="13"/>
  <c r="X128" i="13"/>
  <c r="W128" i="13"/>
  <c r="X127" i="13"/>
  <c r="W127" i="13"/>
  <c r="X126" i="13"/>
  <c r="W126" i="13"/>
  <c r="X125" i="13"/>
  <c r="W125" i="13"/>
  <c r="X124" i="13"/>
  <c r="W124" i="13"/>
  <c r="X123" i="13"/>
  <c r="W123" i="13"/>
  <c r="X122" i="13"/>
  <c r="W122" i="13"/>
  <c r="X121" i="13"/>
  <c r="W121" i="13"/>
  <c r="X120" i="13"/>
  <c r="W120" i="13"/>
  <c r="X119" i="13"/>
  <c r="W119" i="13"/>
  <c r="X118" i="13"/>
  <c r="W118" i="13"/>
  <c r="X117" i="13"/>
  <c r="W117" i="13"/>
  <c r="X116" i="13"/>
  <c r="W116" i="13"/>
  <c r="X115" i="13"/>
  <c r="W115" i="13"/>
  <c r="X114" i="13"/>
  <c r="W114" i="13"/>
  <c r="X113" i="13"/>
  <c r="W113" i="13"/>
  <c r="X112" i="13"/>
  <c r="W112" i="13"/>
  <c r="X111" i="13"/>
  <c r="W111" i="13"/>
  <c r="X110" i="13"/>
  <c r="W110" i="13"/>
  <c r="X109" i="13"/>
  <c r="W109" i="13"/>
  <c r="X108" i="13"/>
  <c r="W108" i="13"/>
  <c r="X107" i="13"/>
  <c r="W107" i="13"/>
  <c r="X106" i="13"/>
  <c r="W106" i="13"/>
  <c r="X105" i="13"/>
  <c r="W105" i="13"/>
  <c r="X104" i="13"/>
  <c r="W104" i="13"/>
  <c r="X103" i="13"/>
  <c r="W103" i="13"/>
  <c r="X102" i="13"/>
  <c r="W102" i="13"/>
  <c r="X101" i="13"/>
  <c r="W101" i="13"/>
  <c r="X100" i="13"/>
  <c r="W100" i="13"/>
  <c r="X99" i="13"/>
  <c r="W99" i="13"/>
  <c r="X98" i="13"/>
  <c r="W98" i="13"/>
  <c r="X97" i="13"/>
  <c r="W97" i="13"/>
  <c r="X96" i="13"/>
  <c r="W96" i="13"/>
  <c r="X95" i="13"/>
  <c r="W95" i="13"/>
  <c r="X94" i="13"/>
  <c r="W94" i="13"/>
  <c r="X93" i="13"/>
  <c r="W93" i="13"/>
  <c r="X92" i="13"/>
  <c r="W92" i="13"/>
  <c r="X91" i="13"/>
  <c r="W91" i="13"/>
  <c r="X90" i="13"/>
  <c r="W90" i="13"/>
  <c r="X89" i="13"/>
  <c r="W89" i="13"/>
  <c r="X88" i="13"/>
  <c r="W88" i="13"/>
  <c r="X87" i="13"/>
  <c r="W87" i="13"/>
  <c r="X86" i="13"/>
  <c r="W86" i="13"/>
  <c r="X85" i="13"/>
  <c r="W85" i="13"/>
  <c r="X84" i="13"/>
  <c r="W84" i="13"/>
  <c r="X83" i="13"/>
  <c r="W83" i="13"/>
  <c r="X82" i="13"/>
  <c r="W82" i="13"/>
  <c r="X81" i="13"/>
  <c r="W81" i="13"/>
  <c r="X80" i="13"/>
  <c r="W80" i="13"/>
  <c r="X79" i="13"/>
  <c r="W79" i="13"/>
  <c r="X78" i="13"/>
  <c r="W78" i="13"/>
  <c r="X77" i="13"/>
  <c r="W77" i="13"/>
  <c r="X76" i="13"/>
  <c r="W76" i="13"/>
  <c r="X75" i="13"/>
  <c r="W75" i="13"/>
  <c r="X74" i="13"/>
  <c r="W74" i="13"/>
  <c r="X73" i="13"/>
  <c r="W73" i="13"/>
  <c r="X72" i="13"/>
  <c r="W72" i="13"/>
  <c r="X71" i="13"/>
  <c r="W71" i="13"/>
  <c r="X70" i="13"/>
  <c r="W70" i="13"/>
  <c r="X69" i="13"/>
  <c r="W69" i="13"/>
  <c r="X68" i="13"/>
  <c r="W68" i="13"/>
  <c r="X67" i="13"/>
  <c r="W67" i="13"/>
  <c r="X66" i="13"/>
  <c r="W66" i="13"/>
  <c r="X65" i="13"/>
  <c r="W65" i="13"/>
  <c r="X64" i="13"/>
  <c r="W64" i="13"/>
  <c r="X63" i="13"/>
  <c r="W63" i="13"/>
  <c r="X62" i="13"/>
  <c r="W62" i="13"/>
  <c r="X61" i="13"/>
  <c r="W61" i="13"/>
  <c r="X60" i="13"/>
  <c r="W60" i="13"/>
  <c r="X59" i="13"/>
  <c r="W59" i="13"/>
  <c r="X58" i="13"/>
  <c r="W58" i="13"/>
  <c r="X57" i="13"/>
  <c r="W57" i="13"/>
  <c r="X56" i="13"/>
  <c r="W56" i="13"/>
  <c r="X55" i="13"/>
  <c r="W55" i="13"/>
  <c r="X54" i="13"/>
  <c r="W54" i="13"/>
  <c r="X53" i="13"/>
  <c r="W53" i="13"/>
  <c r="X52" i="13"/>
  <c r="W52" i="13"/>
  <c r="X51" i="13"/>
  <c r="W51" i="13"/>
  <c r="X50" i="13"/>
  <c r="W50" i="13"/>
  <c r="X49" i="13"/>
  <c r="W49" i="13"/>
  <c r="X48" i="13"/>
  <c r="W48" i="13"/>
  <c r="X47" i="13"/>
  <c r="W47" i="13"/>
  <c r="X46" i="13"/>
  <c r="W46" i="13"/>
  <c r="X45" i="13"/>
  <c r="W45" i="13"/>
  <c r="X44" i="13"/>
  <c r="W44" i="13"/>
  <c r="X43" i="13"/>
  <c r="W43" i="13"/>
  <c r="X42" i="13"/>
  <c r="W42" i="13"/>
  <c r="X41" i="13"/>
  <c r="W41" i="13"/>
  <c r="X40" i="13"/>
  <c r="W40" i="13"/>
  <c r="X39" i="13"/>
  <c r="W39" i="13"/>
  <c r="X38" i="13"/>
  <c r="W38" i="13"/>
  <c r="X37" i="13"/>
  <c r="W37" i="13"/>
  <c r="X36" i="13"/>
  <c r="W36" i="13"/>
  <c r="X35" i="13"/>
  <c r="W35" i="13"/>
  <c r="X34" i="13"/>
  <c r="W34" i="13"/>
  <c r="X33" i="13"/>
  <c r="W33" i="13"/>
  <c r="X32" i="13"/>
  <c r="W32" i="13"/>
  <c r="X31" i="13"/>
  <c r="W31" i="13"/>
  <c r="X30" i="13"/>
  <c r="W30" i="13"/>
  <c r="X29" i="13"/>
  <c r="W29" i="13"/>
  <c r="X28" i="13"/>
  <c r="W28" i="13"/>
  <c r="X27" i="13"/>
  <c r="W27" i="13"/>
  <c r="X26" i="13"/>
  <c r="W26" i="13"/>
  <c r="X25" i="13"/>
  <c r="W25" i="13"/>
  <c r="X24" i="13"/>
  <c r="W24" i="13"/>
  <c r="X23" i="13"/>
  <c r="W23" i="13"/>
  <c r="X22" i="13"/>
  <c r="W22" i="13"/>
  <c r="X21" i="13"/>
  <c r="W21" i="13"/>
  <c r="X20" i="13"/>
  <c r="W20" i="13"/>
  <c r="X19" i="13"/>
  <c r="W19" i="13"/>
  <c r="X18" i="13"/>
  <c r="W18" i="13"/>
  <c r="X17" i="13"/>
  <c r="W17" i="13"/>
  <c r="X16" i="13"/>
  <c r="W16" i="13"/>
  <c r="X15" i="13"/>
  <c r="W15" i="13"/>
  <c r="X14" i="13"/>
  <c r="W14" i="13"/>
  <c r="X13" i="13"/>
  <c r="W13" i="13"/>
  <c r="X12" i="13"/>
  <c r="W12" i="13"/>
  <c r="X11" i="13"/>
  <c r="W11" i="13"/>
  <c r="X10" i="13"/>
  <c r="W10" i="13"/>
  <c r="X9" i="13"/>
  <c r="W9" i="13"/>
  <c r="X8" i="13"/>
  <c r="W8" i="13"/>
  <c r="X7" i="13"/>
  <c r="W7" i="13"/>
  <c r="X6" i="13"/>
  <c r="W6" i="13"/>
  <c r="X5" i="13"/>
  <c r="W5" i="13"/>
  <c r="X4" i="13"/>
  <c r="W4" i="13"/>
  <c r="X3" i="13"/>
  <c r="W3" i="13"/>
  <c r="X2" i="13"/>
  <c r="W2" i="13"/>
  <c r="V215" i="13"/>
  <c r="U215" i="13"/>
  <c r="U214" i="13"/>
  <c r="V213" i="13"/>
  <c r="U213" i="13"/>
  <c r="V212" i="13"/>
  <c r="U212" i="13"/>
  <c r="V211" i="13"/>
  <c r="U211" i="13"/>
  <c r="V210" i="13"/>
  <c r="U210" i="13"/>
  <c r="V209" i="13"/>
  <c r="U209" i="13"/>
  <c r="V208" i="13"/>
  <c r="U208" i="13"/>
  <c r="V207" i="13"/>
  <c r="U207" i="13"/>
  <c r="V206" i="13"/>
  <c r="U206" i="13"/>
  <c r="V205" i="13"/>
  <c r="U205" i="13"/>
  <c r="V204" i="13"/>
  <c r="U204" i="13"/>
  <c r="V203" i="13"/>
  <c r="U203" i="13"/>
  <c r="V202" i="13"/>
  <c r="U202" i="13"/>
  <c r="V201" i="13"/>
  <c r="U201" i="13"/>
  <c r="V200" i="13"/>
  <c r="U200" i="13"/>
  <c r="V199" i="13"/>
  <c r="U199" i="13"/>
  <c r="V198" i="13"/>
  <c r="U198" i="13"/>
  <c r="V197" i="13"/>
  <c r="U197" i="13"/>
  <c r="V196" i="13"/>
  <c r="U196" i="13"/>
  <c r="V195" i="13"/>
  <c r="U195" i="13"/>
  <c r="V194" i="13"/>
  <c r="U194" i="13"/>
  <c r="V193" i="13"/>
  <c r="U193" i="13"/>
  <c r="V192" i="13"/>
  <c r="U192" i="13"/>
  <c r="V191" i="13"/>
  <c r="U191" i="13"/>
  <c r="V190" i="13"/>
  <c r="U190" i="13"/>
  <c r="V189" i="13"/>
  <c r="U189" i="13"/>
  <c r="V188" i="13"/>
  <c r="U188" i="13"/>
  <c r="V187" i="13"/>
  <c r="U187" i="13"/>
  <c r="V186" i="13"/>
  <c r="U186" i="13"/>
  <c r="V185" i="13"/>
  <c r="U185" i="13"/>
  <c r="V184" i="13"/>
  <c r="U184" i="13"/>
  <c r="V183" i="13"/>
  <c r="U183" i="13"/>
  <c r="V182" i="13"/>
  <c r="U182" i="13"/>
  <c r="V181" i="13"/>
  <c r="U181" i="13"/>
  <c r="V180" i="13"/>
  <c r="U180" i="13"/>
  <c r="V179" i="13"/>
  <c r="U179" i="13"/>
  <c r="V178" i="13"/>
  <c r="U178" i="13"/>
  <c r="V177" i="13"/>
  <c r="U177" i="13"/>
  <c r="U176" i="13"/>
  <c r="U175" i="13"/>
  <c r="V174" i="13"/>
  <c r="U174" i="13"/>
  <c r="V173" i="13"/>
  <c r="U173" i="13"/>
  <c r="V172" i="13"/>
  <c r="U172" i="13"/>
  <c r="V171" i="13"/>
  <c r="U171" i="13"/>
  <c r="V170" i="13"/>
  <c r="U170" i="13"/>
  <c r="V169" i="13"/>
  <c r="U169" i="13"/>
  <c r="V168" i="13"/>
  <c r="U168" i="13"/>
  <c r="V167" i="13"/>
  <c r="U167" i="13"/>
  <c r="V166" i="13"/>
  <c r="U166" i="13"/>
  <c r="V165" i="13"/>
  <c r="U165" i="13"/>
  <c r="V164" i="13"/>
  <c r="U164" i="13"/>
  <c r="V163" i="13"/>
  <c r="U163" i="13"/>
  <c r="V162" i="13"/>
  <c r="U162" i="13"/>
  <c r="V161" i="13"/>
  <c r="U161" i="13"/>
  <c r="V160" i="13"/>
  <c r="U160" i="13"/>
  <c r="V159" i="13"/>
  <c r="U159" i="13"/>
  <c r="V158" i="13"/>
  <c r="U158" i="13"/>
  <c r="V157" i="13"/>
  <c r="U157" i="13"/>
  <c r="V156" i="13"/>
  <c r="U156" i="13"/>
  <c r="V155" i="13"/>
  <c r="U155" i="13"/>
  <c r="V154" i="13"/>
  <c r="U154" i="13"/>
  <c r="V153" i="13"/>
  <c r="U153" i="13"/>
  <c r="V152" i="13"/>
  <c r="U152" i="13"/>
  <c r="V151" i="13"/>
  <c r="U151" i="13"/>
  <c r="V150" i="13"/>
  <c r="U150" i="13"/>
  <c r="V149" i="13"/>
  <c r="U149" i="13"/>
  <c r="V148" i="13"/>
  <c r="U148" i="13"/>
  <c r="V147" i="13"/>
  <c r="U147" i="13"/>
  <c r="V146" i="13"/>
  <c r="U146" i="13"/>
  <c r="V145" i="13"/>
  <c r="U145" i="13"/>
  <c r="V144" i="13"/>
  <c r="U144" i="13"/>
  <c r="V143" i="13"/>
  <c r="U143" i="13"/>
  <c r="V142" i="13"/>
  <c r="U142" i="13"/>
  <c r="V141" i="13"/>
  <c r="U141" i="13"/>
  <c r="V140" i="13"/>
  <c r="U140" i="13"/>
  <c r="V139" i="13"/>
  <c r="U139" i="13"/>
  <c r="V138" i="13"/>
  <c r="U138" i="13"/>
  <c r="V137" i="13"/>
  <c r="U137" i="13"/>
  <c r="V136" i="13"/>
  <c r="U136" i="13"/>
  <c r="V135" i="13"/>
  <c r="U135" i="13"/>
  <c r="V134" i="13"/>
  <c r="U134" i="13"/>
  <c r="V133" i="13"/>
  <c r="U133" i="13"/>
  <c r="V132" i="13"/>
  <c r="U132" i="13"/>
  <c r="V131" i="13"/>
  <c r="U131" i="13"/>
  <c r="V130" i="13"/>
  <c r="U130" i="13"/>
  <c r="V129" i="13"/>
  <c r="U129" i="13"/>
  <c r="V128" i="13"/>
  <c r="U128" i="13"/>
  <c r="V127" i="13"/>
  <c r="U127" i="13"/>
  <c r="V126" i="13"/>
  <c r="U126" i="13"/>
  <c r="V125" i="13"/>
  <c r="U125" i="13"/>
  <c r="V124" i="13"/>
  <c r="U124" i="13"/>
  <c r="V123" i="13"/>
  <c r="U123" i="13"/>
  <c r="V122" i="13"/>
  <c r="U122" i="13"/>
  <c r="V121" i="13"/>
  <c r="U121" i="13"/>
  <c r="V120" i="13"/>
  <c r="U120" i="13"/>
  <c r="V119" i="13"/>
  <c r="U119" i="13"/>
  <c r="V118" i="13"/>
  <c r="U118" i="13"/>
  <c r="V117" i="13"/>
  <c r="U117" i="13"/>
  <c r="V116" i="13"/>
  <c r="U116" i="13"/>
  <c r="V115" i="13"/>
  <c r="U115" i="13"/>
  <c r="V114" i="13"/>
  <c r="U114" i="13"/>
  <c r="V113" i="13"/>
  <c r="U113" i="13"/>
  <c r="V112" i="13"/>
  <c r="U112" i="13"/>
  <c r="V111" i="13"/>
  <c r="U111" i="13"/>
  <c r="V110" i="13"/>
  <c r="U110" i="13"/>
  <c r="V109" i="13"/>
  <c r="U109" i="13"/>
  <c r="V108" i="13"/>
  <c r="U108" i="13"/>
  <c r="V107" i="13"/>
  <c r="U107" i="13"/>
  <c r="V106" i="13"/>
  <c r="U106" i="13"/>
  <c r="V105" i="13"/>
  <c r="U105" i="13"/>
  <c r="V104" i="13"/>
  <c r="U104" i="13"/>
  <c r="V103" i="13"/>
  <c r="U103" i="13"/>
  <c r="V102" i="13"/>
  <c r="U102" i="13"/>
  <c r="V101" i="13"/>
  <c r="U101" i="13"/>
  <c r="V100" i="13"/>
  <c r="U100" i="13"/>
  <c r="V99" i="13"/>
  <c r="U99" i="13"/>
  <c r="V98" i="13"/>
  <c r="U98" i="13"/>
  <c r="V97" i="13"/>
  <c r="U97" i="13"/>
  <c r="V96" i="13"/>
  <c r="U96" i="13"/>
  <c r="V95" i="13"/>
  <c r="U95" i="13"/>
  <c r="V94" i="13"/>
  <c r="U94" i="13"/>
  <c r="V93" i="13"/>
  <c r="U93" i="13"/>
  <c r="V92" i="13"/>
  <c r="U92" i="13"/>
  <c r="V91" i="13"/>
  <c r="U91" i="13"/>
  <c r="V90" i="13"/>
  <c r="U90" i="13"/>
  <c r="V89" i="13"/>
  <c r="U89" i="13"/>
  <c r="V88" i="13"/>
  <c r="U88" i="13"/>
  <c r="V87" i="13"/>
  <c r="U87" i="13"/>
  <c r="V86" i="13"/>
  <c r="U86" i="13"/>
  <c r="V85" i="13"/>
  <c r="U85" i="13"/>
  <c r="V84" i="13"/>
  <c r="U84" i="13"/>
  <c r="V83" i="13"/>
  <c r="U83" i="13"/>
  <c r="V82" i="13"/>
  <c r="U82" i="13"/>
  <c r="V81" i="13"/>
  <c r="U81" i="13"/>
  <c r="V80" i="13"/>
  <c r="U80" i="13"/>
  <c r="V79" i="13"/>
  <c r="U79" i="13"/>
  <c r="V78" i="13"/>
  <c r="U78" i="13"/>
  <c r="V77" i="13"/>
  <c r="U77" i="13"/>
  <c r="V76" i="13"/>
  <c r="U76" i="13"/>
  <c r="V75" i="13"/>
  <c r="U75" i="13"/>
  <c r="V74" i="13"/>
  <c r="U74" i="13"/>
  <c r="V73" i="13"/>
  <c r="U73" i="13"/>
  <c r="V72" i="13"/>
  <c r="U72" i="13"/>
  <c r="V71" i="13"/>
  <c r="U71" i="13"/>
  <c r="V70" i="13"/>
  <c r="U70" i="13"/>
  <c r="V69" i="13"/>
  <c r="U69" i="13"/>
  <c r="V68" i="13"/>
  <c r="U68" i="13"/>
  <c r="V67" i="13"/>
  <c r="U67" i="13"/>
  <c r="V66" i="13"/>
  <c r="U66" i="13"/>
  <c r="V65" i="13"/>
  <c r="U65" i="13"/>
  <c r="V64" i="13"/>
  <c r="U64" i="13"/>
  <c r="V63" i="13"/>
  <c r="U63" i="13"/>
  <c r="V62" i="13"/>
  <c r="U62" i="13"/>
  <c r="V61" i="13"/>
  <c r="U61" i="13"/>
  <c r="V60" i="13"/>
  <c r="U60" i="13"/>
  <c r="V59" i="13"/>
  <c r="U59" i="13"/>
  <c r="V58" i="13"/>
  <c r="U58" i="13"/>
  <c r="V57" i="13"/>
  <c r="U57" i="13"/>
  <c r="V56" i="13"/>
  <c r="U56" i="13"/>
  <c r="V55" i="13"/>
  <c r="U55" i="13"/>
  <c r="V54" i="13"/>
  <c r="U54" i="13"/>
  <c r="V53" i="13"/>
  <c r="U53" i="13"/>
  <c r="V52" i="13"/>
  <c r="U52" i="13"/>
  <c r="V51" i="13"/>
  <c r="U51" i="13"/>
  <c r="V50" i="13"/>
  <c r="U50" i="13"/>
  <c r="V49" i="13"/>
  <c r="U49" i="13"/>
  <c r="V48" i="13"/>
  <c r="U48" i="13"/>
  <c r="V47" i="13"/>
  <c r="U47" i="13"/>
  <c r="V46" i="13"/>
  <c r="U46" i="13"/>
  <c r="V45" i="13"/>
  <c r="U45" i="13"/>
  <c r="V44" i="13"/>
  <c r="U44" i="13"/>
  <c r="V43" i="13"/>
  <c r="U43" i="13"/>
  <c r="V42" i="13"/>
  <c r="U42" i="13"/>
  <c r="V41" i="13"/>
  <c r="U41" i="13"/>
  <c r="V40" i="13"/>
  <c r="U40" i="13"/>
  <c r="V39" i="13"/>
  <c r="U39" i="13"/>
  <c r="V38" i="13"/>
  <c r="U38" i="13"/>
  <c r="V37" i="13"/>
  <c r="U37" i="13"/>
  <c r="V36" i="13"/>
  <c r="U36" i="13"/>
  <c r="V35" i="13"/>
  <c r="U35" i="13"/>
  <c r="V34" i="13"/>
  <c r="U34" i="13"/>
  <c r="V33" i="13"/>
  <c r="U33" i="13"/>
  <c r="V32" i="13"/>
  <c r="U32" i="13"/>
  <c r="V31" i="13"/>
  <c r="U31" i="13"/>
  <c r="V30" i="13"/>
  <c r="U30" i="13"/>
  <c r="V29" i="13"/>
  <c r="U29" i="13"/>
  <c r="V28" i="13"/>
  <c r="U28" i="13"/>
  <c r="V27" i="13"/>
  <c r="U27" i="13"/>
  <c r="V26" i="13"/>
  <c r="U26" i="13"/>
  <c r="V25" i="13"/>
  <c r="U25" i="13"/>
  <c r="V24" i="13"/>
  <c r="U24" i="13"/>
  <c r="V23" i="13"/>
  <c r="U23" i="13"/>
  <c r="V22" i="13"/>
  <c r="U22" i="13"/>
  <c r="V21" i="13"/>
  <c r="U21" i="13"/>
  <c r="V20" i="13"/>
  <c r="U20" i="13"/>
  <c r="V19" i="13"/>
  <c r="U19" i="13"/>
  <c r="V18" i="13"/>
  <c r="U18" i="13"/>
  <c r="V17" i="13"/>
  <c r="U17" i="13"/>
  <c r="V16" i="13"/>
  <c r="U16" i="13"/>
  <c r="V15" i="13"/>
  <c r="U15" i="13"/>
  <c r="V14" i="13"/>
  <c r="U14" i="13"/>
  <c r="V13" i="13"/>
  <c r="U13" i="13"/>
  <c r="V12" i="13"/>
  <c r="U12" i="13"/>
  <c r="V11" i="13"/>
  <c r="U11" i="13"/>
  <c r="V10" i="13"/>
  <c r="U10" i="13"/>
  <c r="V9" i="13"/>
  <c r="U9" i="13"/>
  <c r="V8" i="13"/>
  <c r="U8" i="13"/>
  <c r="V7" i="13"/>
  <c r="U7" i="13"/>
  <c r="V6" i="13"/>
  <c r="U6" i="13"/>
  <c r="V5" i="13"/>
  <c r="U5" i="13"/>
  <c r="V4" i="13"/>
  <c r="U4" i="13"/>
  <c r="V3" i="13"/>
  <c r="U3" i="13"/>
  <c r="V2" i="13"/>
  <c r="U2" i="13"/>
  <c r="T212" i="13"/>
  <c r="S212" i="13"/>
  <c r="T211" i="13"/>
  <c r="S211" i="13"/>
  <c r="T210" i="13"/>
  <c r="S210" i="13"/>
  <c r="T209" i="13"/>
  <c r="S209" i="13"/>
  <c r="T208" i="13"/>
  <c r="S208" i="13"/>
  <c r="T207" i="13"/>
  <c r="S207" i="13"/>
  <c r="T206" i="13"/>
  <c r="S206" i="13"/>
  <c r="T205" i="13"/>
  <c r="S205" i="13"/>
  <c r="T204" i="13"/>
  <c r="S204" i="13"/>
  <c r="T203" i="13"/>
  <c r="S203" i="13"/>
  <c r="T202" i="13"/>
  <c r="S202" i="13"/>
  <c r="T201" i="13"/>
  <c r="S201" i="13"/>
  <c r="T200" i="13"/>
  <c r="S200" i="13"/>
  <c r="T199" i="13"/>
  <c r="S199" i="13"/>
  <c r="T198" i="13"/>
  <c r="S198" i="13"/>
  <c r="T197" i="13"/>
  <c r="S197" i="13"/>
  <c r="T196" i="13"/>
  <c r="S196" i="13"/>
  <c r="T195" i="13"/>
  <c r="S195" i="13"/>
  <c r="T194" i="13"/>
  <c r="S194" i="13"/>
  <c r="T193" i="13"/>
  <c r="S193" i="13"/>
  <c r="T192" i="13"/>
  <c r="S192" i="13"/>
  <c r="T191" i="13"/>
  <c r="S191" i="13"/>
  <c r="T190" i="13"/>
  <c r="S190" i="13"/>
  <c r="T189" i="13"/>
  <c r="S189" i="13"/>
  <c r="T188" i="13"/>
  <c r="S188" i="13"/>
  <c r="T187" i="13"/>
  <c r="S187" i="13"/>
  <c r="T186" i="13"/>
  <c r="S186" i="13"/>
  <c r="T185" i="13"/>
  <c r="S185" i="13"/>
  <c r="T184" i="13"/>
  <c r="S184" i="13"/>
  <c r="T183" i="13"/>
  <c r="S183" i="13"/>
  <c r="T182" i="13"/>
  <c r="S182" i="13"/>
  <c r="S181" i="13"/>
  <c r="T180" i="13"/>
  <c r="S180" i="13"/>
  <c r="T179" i="13"/>
  <c r="S179" i="13"/>
  <c r="T178" i="13"/>
  <c r="S178" i="13"/>
  <c r="T177" i="13"/>
  <c r="S177" i="13"/>
  <c r="T176" i="13"/>
  <c r="S176" i="13"/>
  <c r="T175" i="13"/>
  <c r="S175" i="13"/>
  <c r="T174" i="13"/>
  <c r="S174" i="13"/>
  <c r="T173" i="13"/>
  <c r="S173" i="13"/>
  <c r="T172" i="13"/>
  <c r="S172" i="13"/>
  <c r="T171" i="13"/>
  <c r="S171" i="13"/>
  <c r="T170" i="13"/>
  <c r="S170" i="13"/>
  <c r="T169" i="13"/>
  <c r="S169" i="13"/>
  <c r="T168" i="13"/>
  <c r="S168" i="13"/>
  <c r="T167" i="13"/>
  <c r="S167" i="13"/>
  <c r="T166" i="13"/>
  <c r="S166" i="13"/>
  <c r="T165" i="13"/>
  <c r="S165" i="13"/>
  <c r="T164" i="13"/>
  <c r="S164" i="13"/>
  <c r="T163" i="13"/>
  <c r="S163" i="13"/>
  <c r="T162" i="13"/>
  <c r="S162" i="13"/>
  <c r="T161" i="13"/>
  <c r="S161" i="13"/>
  <c r="T160" i="13"/>
  <c r="S160" i="13"/>
  <c r="T159" i="13"/>
  <c r="S159" i="13"/>
  <c r="T158" i="13"/>
  <c r="S158" i="13"/>
  <c r="S157" i="13"/>
  <c r="T156" i="13"/>
  <c r="S156" i="13"/>
  <c r="T155" i="13"/>
  <c r="S155" i="13"/>
  <c r="T154" i="13"/>
  <c r="S154" i="13"/>
  <c r="T153" i="13"/>
  <c r="S153" i="13"/>
  <c r="T152" i="13"/>
  <c r="S152" i="13"/>
  <c r="T151" i="13"/>
  <c r="S151" i="13"/>
  <c r="T150" i="13"/>
  <c r="S150" i="13"/>
  <c r="T149" i="13"/>
  <c r="S149" i="13"/>
  <c r="T148" i="13"/>
  <c r="S148" i="13"/>
  <c r="T147" i="13"/>
  <c r="S147" i="13"/>
  <c r="S146" i="13"/>
  <c r="T145" i="13"/>
  <c r="S145" i="13"/>
  <c r="T144" i="13"/>
  <c r="S144" i="13"/>
  <c r="T143" i="13"/>
  <c r="S143" i="13"/>
  <c r="T142" i="13"/>
  <c r="S142" i="13"/>
  <c r="T141" i="13"/>
  <c r="S141" i="13"/>
  <c r="T140" i="13"/>
  <c r="S140" i="13"/>
  <c r="T139" i="13"/>
  <c r="S139" i="13"/>
  <c r="T138" i="13"/>
  <c r="S138" i="13"/>
  <c r="T137" i="13"/>
  <c r="S137" i="13"/>
  <c r="T136" i="13"/>
  <c r="S136" i="13"/>
  <c r="T135" i="13"/>
  <c r="S135" i="13"/>
  <c r="T134" i="13"/>
  <c r="S134" i="13"/>
  <c r="T133" i="13"/>
  <c r="S133" i="13"/>
  <c r="T132" i="13"/>
  <c r="S132" i="13"/>
  <c r="T131" i="13"/>
  <c r="S131" i="13"/>
  <c r="T130" i="13"/>
  <c r="S130" i="13"/>
  <c r="T129" i="13"/>
  <c r="S129" i="13"/>
  <c r="T128" i="13"/>
  <c r="S128" i="13"/>
  <c r="T127" i="13"/>
  <c r="S127" i="13"/>
  <c r="T126" i="13"/>
  <c r="S126" i="13"/>
  <c r="T125" i="13"/>
  <c r="S125" i="13"/>
  <c r="T124" i="13"/>
  <c r="S124" i="13"/>
  <c r="T123" i="13"/>
  <c r="S123" i="13"/>
  <c r="T122" i="13"/>
  <c r="S122" i="13"/>
  <c r="T121" i="13"/>
  <c r="S121" i="13"/>
  <c r="T120" i="13"/>
  <c r="S120" i="13"/>
  <c r="T119" i="13"/>
  <c r="S119" i="13"/>
  <c r="T118" i="13"/>
  <c r="S118" i="13"/>
  <c r="T117" i="13"/>
  <c r="S117" i="13"/>
  <c r="T116" i="13"/>
  <c r="S116" i="13"/>
  <c r="T115" i="13"/>
  <c r="S115" i="13"/>
  <c r="T114" i="13"/>
  <c r="S114" i="13"/>
  <c r="T113" i="13"/>
  <c r="S113" i="13"/>
  <c r="T112" i="13"/>
  <c r="S112" i="13"/>
  <c r="T111" i="13"/>
  <c r="S111" i="13"/>
  <c r="T110" i="13"/>
  <c r="S110" i="13"/>
  <c r="T109" i="13"/>
  <c r="S109" i="13"/>
  <c r="T108" i="13"/>
  <c r="S108" i="13"/>
  <c r="T107" i="13"/>
  <c r="S107" i="13"/>
  <c r="T106" i="13"/>
  <c r="S106" i="13"/>
  <c r="T105" i="13"/>
  <c r="S105" i="13"/>
  <c r="T104" i="13"/>
  <c r="S104" i="13"/>
  <c r="T103" i="13"/>
  <c r="S103" i="13"/>
  <c r="T102" i="13"/>
  <c r="S102" i="13"/>
  <c r="T101" i="13"/>
  <c r="S101" i="13"/>
  <c r="T100" i="13"/>
  <c r="S100" i="13"/>
  <c r="T99" i="13"/>
  <c r="S99" i="13"/>
  <c r="T98" i="13"/>
  <c r="S98" i="13"/>
  <c r="T97" i="13"/>
  <c r="S97" i="13"/>
  <c r="T96" i="13"/>
  <c r="S96" i="13"/>
  <c r="T95" i="13"/>
  <c r="S95" i="13"/>
  <c r="T94" i="13"/>
  <c r="S94" i="13"/>
  <c r="T93" i="13"/>
  <c r="S93" i="13"/>
  <c r="T92" i="13"/>
  <c r="S92" i="13"/>
  <c r="T91" i="13"/>
  <c r="S91" i="13"/>
  <c r="T90" i="13"/>
  <c r="S90" i="13"/>
  <c r="T89" i="13"/>
  <c r="S89" i="13"/>
  <c r="T88" i="13"/>
  <c r="S88" i="13"/>
  <c r="S87" i="13"/>
  <c r="T86" i="13"/>
  <c r="S86" i="13"/>
  <c r="T85" i="13"/>
  <c r="S85" i="13"/>
  <c r="T84" i="13"/>
  <c r="S84" i="13"/>
  <c r="T83" i="13"/>
  <c r="S83" i="13"/>
  <c r="T82" i="13"/>
  <c r="S82" i="13"/>
  <c r="T81" i="13"/>
  <c r="S81" i="13"/>
  <c r="T80" i="13"/>
  <c r="S80" i="13"/>
  <c r="T79" i="13"/>
  <c r="S79" i="13"/>
  <c r="T78" i="13"/>
  <c r="S78" i="13"/>
  <c r="T77" i="13"/>
  <c r="S77" i="13"/>
  <c r="T76" i="13"/>
  <c r="S76" i="13"/>
  <c r="T75" i="13"/>
  <c r="S75" i="13"/>
  <c r="T74" i="13"/>
  <c r="S74" i="13"/>
  <c r="T73" i="13"/>
  <c r="S73" i="13"/>
  <c r="T72" i="13"/>
  <c r="S72" i="13"/>
  <c r="T71" i="13"/>
  <c r="S71" i="13"/>
  <c r="T70" i="13"/>
  <c r="S70" i="13"/>
  <c r="T69" i="13"/>
  <c r="S69" i="13"/>
  <c r="T68" i="13"/>
  <c r="S68" i="13"/>
  <c r="T67" i="13"/>
  <c r="S67" i="13"/>
  <c r="T66" i="13"/>
  <c r="S66" i="13"/>
  <c r="T65" i="13"/>
  <c r="S65" i="13"/>
  <c r="T64" i="13"/>
  <c r="S64" i="13"/>
  <c r="T63" i="13"/>
  <c r="S63" i="13"/>
  <c r="T62" i="13"/>
  <c r="S62" i="13"/>
  <c r="T61" i="13"/>
  <c r="S61" i="13"/>
  <c r="T60" i="13"/>
  <c r="S60" i="13"/>
  <c r="T59" i="13"/>
  <c r="S59" i="13"/>
  <c r="T58" i="13"/>
  <c r="S58" i="13"/>
  <c r="T57" i="13"/>
  <c r="S57" i="13"/>
  <c r="T56" i="13"/>
  <c r="S56" i="13"/>
  <c r="T55" i="13"/>
  <c r="S55" i="13"/>
  <c r="T54" i="13"/>
  <c r="S54" i="13"/>
  <c r="T53" i="13"/>
  <c r="S53" i="13"/>
  <c r="T52" i="13"/>
  <c r="S52" i="13"/>
  <c r="T51" i="13"/>
  <c r="S51" i="13"/>
  <c r="T50" i="13"/>
  <c r="S50" i="13"/>
  <c r="T49" i="13"/>
  <c r="S49" i="13"/>
  <c r="T48" i="13"/>
  <c r="S48" i="13"/>
  <c r="T47" i="13"/>
  <c r="S47" i="13"/>
  <c r="T46" i="13"/>
  <c r="S46" i="13"/>
  <c r="T45" i="13"/>
  <c r="S45" i="13"/>
  <c r="T44" i="13"/>
  <c r="S44" i="13"/>
  <c r="T43" i="13"/>
  <c r="S43" i="13"/>
  <c r="T42" i="13"/>
  <c r="S42" i="13"/>
  <c r="T41" i="13"/>
  <c r="S41" i="13"/>
  <c r="T40" i="13"/>
  <c r="S40" i="13"/>
  <c r="T39" i="13"/>
  <c r="S39" i="13"/>
  <c r="T38" i="13"/>
  <c r="S38" i="13"/>
  <c r="T37" i="13"/>
  <c r="S37" i="13"/>
  <c r="T36" i="13"/>
  <c r="S36" i="13"/>
  <c r="T35" i="13"/>
  <c r="S35" i="13"/>
  <c r="T34" i="13"/>
  <c r="S34" i="13"/>
  <c r="T33" i="13"/>
  <c r="S33" i="13"/>
  <c r="T32" i="13"/>
  <c r="S32" i="13"/>
  <c r="T31" i="13"/>
  <c r="S31" i="13"/>
  <c r="T30" i="13"/>
  <c r="S30" i="13"/>
  <c r="T29" i="13"/>
  <c r="S29" i="13"/>
  <c r="T28" i="13"/>
  <c r="S28" i="13"/>
  <c r="T27" i="13"/>
  <c r="S27" i="13"/>
  <c r="T26" i="13"/>
  <c r="S26" i="13"/>
  <c r="T25" i="13"/>
  <c r="S25" i="13"/>
  <c r="T24" i="13"/>
  <c r="S24" i="13"/>
  <c r="T23" i="13"/>
  <c r="S23" i="13"/>
  <c r="T22" i="13"/>
  <c r="S22" i="13"/>
  <c r="T21" i="13"/>
  <c r="S21" i="13"/>
  <c r="T20" i="13"/>
  <c r="S20" i="13"/>
  <c r="T19" i="13"/>
  <c r="S19" i="13"/>
  <c r="T18" i="13"/>
  <c r="S18" i="13"/>
  <c r="T17" i="13"/>
  <c r="S17" i="13"/>
  <c r="T16" i="13"/>
  <c r="S16" i="13"/>
  <c r="T15" i="13"/>
  <c r="S15" i="13"/>
  <c r="T14" i="13"/>
  <c r="S14" i="13"/>
  <c r="T13" i="13"/>
  <c r="S13" i="13"/>
  <c r="T12" i="13"/>
  <c r="S12" i="13"/>
  <c r="T11" i="13"/>
  <c r="S11" i="13"/>
  <c r="T10" i="13"/>
  <c r="S10" i="13"/>
  <c r="T9" i="13"/>
  <c r="S9" i="13"/>
  <c r="T8" i="13"/>
  <c r="S8" i="13"/>
  <c r="T7" i="13"/>
  <c r="S7" i="13"/>
  <c r="T6" i="13"/>
  <c r="S6" i="13"/>
  <c r="T5" i="13"/>
  <c r="S5" i="13"/>
  <c r="T4" i="13"/>
  <c r="S4" i="13"/>
  <c r="T3" i="13"/>
  <c r="S3" i="13"/>
  <c r="T2" i="13"/>
  <c r="S2" i="13"/>
  <c r="R163" i="13"/>
  <c r="Q163" i="13"/>
  <c r="R162" i="13"/>
  <c r="Q162" i="13"/>
  <c r="R161" i="13"/>
  <c r="Q161" i="13"/>
  <c r="R160" i="13"/>
  <c r="Q160" i="13"/>
  <c r="R159" i="13"/>
  <c r="Q159" i="13"/>
  <c r="R158" i="13"/>
  <c r="Q158" i="13"/>
  <c r="R157" i="13"/>
  <c r="Q157" i="13"/>
  <c r="R156" i="13"/>
  <c r="Q156" i="13"/>
  <c r="R155" i="13"/>
  <c r="Q155" i="13"/>
  <c r="R154" i="13"/>
  <c r="Q154" i="13"/>
  <c r="R153" i="13"/>
  <c r="Q153" i="13"/>
  <c r="R152" i="13"/>
  <c r="Q152" i="13"/>
  <c r="R151" i="13"/>
  <c r="Q151" i="13"/>
  <c r="R150" i="13"/>
  <c r="Q150" i="13"/>
  <c r="R149" i="13"/>
  <c r="Q149" i="13"/>
  <c r="R148" i="13"/>
  <c r="Q148" i="13"/>
  <c r="R147" i="13"/>
  <c r="Q147" i="13"/>
  <c r="R146" i="13"/>
  <c r="Q146" i="13"/>
  <c r="R145" i="13"/>
  <c r="Q145" i="13"/>
  <c r="R144" i="13"/>
  <c r="Q144" i="13"/>
  <c r="R143" i="13"/>
  <c r="Q143" i="13"/>
  <c r="R142" i="13"/>
  <c r="Q142" i="13"/>
  <c r="R141" i="13"/>
  <c r="Q141" i="13"/>
  <c r="R140" i="13"/>
  <c r="Q140" i="13"/>
  <c r="R139" i="13"/>
  <c r="Q139" i="13"/>
  <c r="R138" i="13"/>
  <c r="Q138" i="13"/>
  <c r="R137" i="13"/>
  <c r="Q137" i="13"/>
  <c r="R136" i="13"/>
  <c r="Q136" i="13"/>
  <c r="R135" i="13"/>
  <c r="Q135" i="13"/>
  <c r="R134" i="13"/>
  <c r="Q134" i="13"/>
  <c r="R133" i="13"/>
  <c r="Q133" i="13"/>
  <c r="R132" i="13"/>
  <c r="Q132" i="13"/>
  <c r="R131" i="13"/>
  <c r="Q131" i="13"/>
  <c r="R130" i="13"/>
  <c r="Q130" i="13"/>
  <c r="R129" i="13"/>
  <c r="Q129" i="13"/>
  <c r="R128" i="13"/>
  <c r="Q128" i="13"/>
  <c r="R127" i="13"/>
  <c r="Q127" i="13"/>
  <c r="R126" i="13"/>
  <c r="Q126" i="13"/>
  <c r="R125" i="13"/>
  <c r="Q125" i="13"/>
  <c r="R124" i="13"/>
  <c r="Q124" i="13"/>
  <c r="R123" i="13"/>
  <c r="Q123" i="13"/>
  <c r="R122" i="13"/>
  <c r="Q122" i="13"/>
  <c r="R121" i="13"/>
  <c r="Q121" i="13"/>
  <c r="R120" i="13"/>
  <c r="Q120" i="13"/>
  <c r="R119" i="13"/>
  <c r="Q119" i="13"/>
  <c r="R118" i="13"/>
  <c r="Q118" i="13"/>
  <c r="R117" i="13"/>
  <c r="Q117" i="13"/>
  <c r="R116" i="13"/>
  <c r="Q116" i="13"/>
  <c r="R115" i="13"/>
  <c r="Q115" i="13"/>
  <c r="R114" i="13"/>
  <c r="Q114" i="13"/>
  <c r="Q113" i="13"/>
  <c r="R112" i="13"/>
  <c r="Q112" i="13"/>
  <c r="R111" i="13"/>
  <c r="Q111" i="13"/>
  <c r="R110" i="13"/>
  <c r="Q110" i="13"/>
  <c r="R109" i="13"/>
  <c r="Q109" i="13"/>
  <c r="Q108" i="13"/>
  <c r="R107" i="13"/>
  <c r="Q107" i="13"/>
  <c r="R106" i="13"/>
  <c r="Q106" i="13"/>
  <c r="R105" i="13"/>
  <c r="Q105" i="13"/>
  <c r="R104" i="13"/>
  <c r="Q104" i="13"/>
  <c r="R103" i="13"/>
  <c r="Q103" i="13"/>
  <c r="R102" i="13"/>
  <c r="Q102" i="13"/>
  <c r="R101" i="13"/>
  <c r="Q101" i="13"/>
  <c r="R100" i="13"/>
  <c r="Q100" i="13"/>
  <c r="R99" i="13"/>
  <c r="Q99" i="13"/>
  <c r="R98" i="13"/>
  <c r="Q98" i="13"/>
  <c r="R97" i="13"/>
  <c r="Q97" i="13"/>
  <c r="R96" i="13"/>
  <c r="Q96" i="13"/>
  <c r="R95" i="13"/>
  <c r="Q95" i="13"/>
  <c r="R94" i="13"/>
  <c r="Q94" i="13"/>
  <c r="R93" i="13"/>
  <c r="Q93" i="13"/>
  <c r="R92" i="13"/>
  <c r="Q92" i="13"/>
  <c r="R91" i="13"/>
  <c r="Q91" i="13"/>
  <c r="R90" i="13"/>
  <c r="Q90" i="13"/>
  <c r="R89" i="13"/>
  <c r="Q89" i="13"/>
  <c r="R88" i="13"/>
  <c r="Q88" i="13"/>
  <c r="R87" i="13"/>
  <c r="Q87" i="13"/>
  <c r="R86" i="13"/>
  <c r="Q86" i="13"/>
  <c r="R85" i="13"/>
  <c r="Q85" i="13"/>
  <c r="R84" i="13"/>
  <c r="Q84" i="13"/>
  <c r="R83" i="13"/>
  <c r="Q83" i="13"/>
  <c r="R82" i="13"/>
  <c r="Q82" i="13"/>
  <c r="R81" i="13"/>
  <c r="Q81" i="13"/>
  <c r="R80" i="13"/>
  <c r="Q80" i="13"/>
  <c r="R79" i="13"/>
  <c r="Q79" i="13"/>
  <c r="R78" i="13"/>
  <c r="Q78" i="13"/>
  <c r="R77" i="13"/>
  <c r="Q77" i="13"/>
  <c r="R76" i="13"/>
  <c r="Q76" i="13"/>
  <c r="R75" i="13"/>
  <c r="Q75" i="13"/>
  <c r="R74" i="13"/>
  <c r="Q74" i="13"/>
  <c r="R73" i="13"/>
  <c r="Q73" i="13"/>
  <c r="R72" i="13"/>
  <c r="Q72" i="13"/>
  <c r="R71" i="13"/>
  <c r="Q71" i="13"/>
  <c r="R70" i="13"/>
  <c r="Q70" i="13"/>
  <c r="R69" i="13"/>
  <c r="Q69" i="13"/>
  <c r="R68" i="13"/>
  <c r="Q68" i="13"/>
  <c r="R67" i="13"/>
  <c r="Q67" i="13"/>
  <c r="R66" i="13"/>
  <c r="Q66" i="13"/>
  <c r="R65" i="13"/>
  <c r="Q65" i="13"/>
  <c r="R64" i="13"/>
  <c r="Q64" i="13"/>
  <c r="R63" i="13"/>
  <c r="Q63" i="13"/>
  <c r="R62" i="13"/>
  <c r="Q62" i="13"/>
  <c r="R61" i="13"/>
  <c r="Q61" i="13"/>
  <c r="R60" i="13"/>
  <c r="Q60" i="13"/>
  <c r="R59" i="13"/>
  <c r="Q59" i="13"/>
  <c r="R58" i="13"/>
  <c r="Q58" i="13"/>
  <c r="R57" i="13"/>
  <c r="Q57" i="13"/>
  <c r="R56" i="13"/>
  <c r="Q56" i="13"/>
  <c r="R55" i="13"/>
  <c r="Q55" i="13"/>
  <c r="R54" i="13"/>
  <c r="Q54" i="13"/>
  <c r="R53" i="13"/>
  <c r="Q53" i="13"/>
  <c r="R52" i="13"/>
  <c r="Q52" i="13"/>
  <c r="R51" i="13"/>
  <c r="Q51" i="13"/>
  <c r="R50" i="13"/>
  <c r="Q50" i="13"/>
  <c r="R49" i="13"/>
  <c r="Q49" i="13"/>
  <c r="R48" i="13"/>
  <c r="Q48" i="13"/>
  <c r="R47" i="13"/>
  <c r="Q47" i="13"/>
  <c r="R46" i="13"/>
  <c r="Q46" i="13"/>
  <c r="R45" i="13"/>
  <c r="Q45" i="13"/>
  <c r="R44" i="13"/>
  <c r="Q44" i="13"/>
  <c r="R43" i="13"/>
  <c r="Q43" i="13"/>
  <c r="R42" i="13"/>
  <c r="Q42" i="13"/>
  <c r="R41" i="13"/>
  <c r="Q41" i="13"/>
  <c r="R40" i="13"/>
  <c r="Q40" i="13"/>
  <c r="R39" i="13"/>
  <c r="Q39" i="13"/>
  <c r="R38" i="13"/>
  <c r="Q38" i="13"/>
  <c r="R37" i="13"/>
  <c r="Q37" i="13"/>
  <c r="R36" i="13"/>
  <c r="Q36" i="13"/>
  <c r="R35" i="13"/>
  <c r="Q35" i="13"/>
  <c r="R34" i="13"/>
  <c r="Q34" i="13"/>
  <c r="R33" i="13"/>
  <c r="Q33" i="13"/>
  <c r="R32" i="13"/>
  <c r="Q32" i="13"/>
  <c r="R31" i="13"/>
  <c r="Q31" i="13"/>
  <c r="R30" i="13"/>
  <c r="Q30" i="13"/>
  <c r="R29" i="13"/>
  <c r="Q29" i="13"/>
  <c r="R28" i="13"/>
  <c r="Q28" i="13"/>
  <c r="R27" i="13"/>
  <c r="Q27" i="13"/>
  <c r="R26" i="13"/>
  <c r="Q26" i="13"/>
  <c r="R25" i="13"/>
  <c r="Q25" i="13"/>
  <c r="R24" i="13"/>
  <c r="Q24" i="13"/>
  <c r="R23" i="13"/>
  <c r="Q23" i="13"/>
  <c r="R22" i="13"/>
  <c r="Q22" i="13"/>
  <c r="R21" i="13"/>
  <c r="Q21" i="13"/>
  <c r="R20" i="13"/>
  <c r="Q20" i="13"/>
  <c r="R19" i="13"/>
  <c r="Q19" i="13"/>
  <c r="R18" i="13"/>
  <c r="Q18" i="13"/>
  <c r="R17" i="13"/>
  <c r="Q17" i="13"/>
  <c r="R16" i="13"/>
  <c r="Q16" i="13"/>
  <c r="R15" i="13"/>
  <c r="Q15" i="13"/>
  <c r="R14" i="13"/>
  <c r="Q14" i="13"/>
  <c r="R13" i="13"/>
  <c r="Q13" i="13"/>
  <c r="R12" i="13"/>
  <c r="Q12" i="13"/>
  <c r="Q11" i="13"/>
  <c r="R10" i="13"/>
  <c r="Q10" i="13"/>
  <c r="R9" i="13"/>
  <c r="Q9" i="13"/>
  <c r="R8" i="13"/>
  <c r="Q8" i="13"/>
  <c r="R7" i="13"/>
  <c r="Q7" i="13"/>
  <c r="R6" i="13"/>
  <c r="Q6" i="13"/>
  <c r="R5" i="13"/>
  <c r="Q5" i="13"/>
  <c r="R4" i="13"/>
  <c r="Q4" i="13"/>
  <c r="R3" i="13"/>
  <c r="Q3" i="13"/>
  <c r="R2" i="13"/>
  <c r="Q2" i="13"/>
  <c r="P96" i="13"/>
  <c r="O96" i="13"/>
  <c r="P95" i="13"/>
  <c r="O95" i="13"/>
  <c r="P94" i="13"/>
  <c r="O94" i="13"/>
  <c r="P93" i="13"/>
  <c r="O93" i="13"/>
  <c r="P92" i="13"/>
  <c r="O92" i="13"/>
  <c r="P91" i="13"/>
  <c r="O91" i="13"/>
  <c r="P90" i="13"/>
  <c r="O90" i="13"/>
  <c r="P89" i="13"/>
  <c r="O89" i="13"/>
  <c r="P88" i="13"/>
  <c r="O88" i="13"/>
  <c r="P87" i="13"/>
  <c r="O87" i="13"/>
  <c r="P86" i="13"/>
  <c r="O86" i="13"/>
  <c r="P85" i="13"/>
  <c r="O85" i="13"/>
  <c r="P84" i="13"/>
  <c r="O84" i="13"/>
  <c r="P83" i="13"/>
  <c r="O83" i="13"/>
  <c r="P82" i="13"/>
  <c r="O82" i="13"/>
  <c r="P81" i="13"/>
  <c r="O81" i="13"/>
  <c r="P80" i="13"/>
  <c r="O80" i="13"/>
  <c r="P79" i="13"/>
  <c r="O79" i="13"/>
  <c r="P78" i="13"/>
  <c r="O78" i="13"/>
  <c r="P77" i="13"/>
  <c r="O77" i="13"/>
  <c r="P76" i="13"/>
  <c r="O76" i="13"/>
  <c r="P75" i="13"/>
  <c r="O75" i="13"/>
  <c r="P74" i="13"/>
  <c r="O74" i="13"/>
  <c r="P73" i="13"/>
  <c r="O73" i="13"/>
  <c r="P72" i="13"/>
  <c r="O72" i="13"/>
  <c r="P71" i="13"/>
  <c r="O71" i="13"/>
  <c r="P70" i="13"/>
  <c r="O70" i="13"/>
  <c r="P69" i="13"/>
  <c r="O69" i="13"/>
  <c r="P68" i="13"/>
  <c r="O68" i="13"/>
  <c r="P67" i="13"/>
  <c r="O67" i="13"/>
  <c r="P66" i="13"/>
  <c r="O66" i="13"/>
  <c r="P65" i="13"/>
  <c r="O65" i="13"/>
  <c r="P64" i="13"/>
  <c r="O64" i="13"/>
  <c r="P63" i="13"/>
  <c r="O63" i="13"/>
  <c r="P62" i="13"/>
  <c r="O62" i="13"/>
  <c r="P61" i="13"/>
  <c r="O61" i="13"/>
  <c r="P60" i="13"/>
  <c r="O60" i="13"/>
  <c r="P59" i="13"/>
  <c r="P58" i="13"/>
  <c r="O58" i="13"/>
  <c r="P57" i="13"/>
  <c r="O57" i="13"/>
  <c r="P56" i="13"/>
  <c r="O56" i="13"/>
  <c r="P55" i="13"/>
  <c r="O55" i="13"/>
  <c r="P54" i="13"/>
  <c r="O54" i="13"/>
  <c r="P53" i="13"/>
  <c r="O53" i="13"/>
  <c r="P52" i="13"/>
  <c r="O52" i="13"/>
  <c r="P51" i="13"/>
  <c r="O51" i="13"/>
  <c r="P50" i="13"/>
  <c r="O50" i="13"/>
  <c r="P49" i="13"/>
  <c r="O49" i="13"/>
  <c r="P48" i="13"/>
  <c r="O48" i="13"/>
  <c r="P47" i="13"/>
  <c r="O47" i="13"/>
  <c r="P46" i="13"/>
  <c r="O46" i="13"/>
  <c r="P45" i="13"/>
  <c r="O45" i="13"/>
  <c r="P44" i="13"/>
  <c r="O44" i="13"/>
  <c r="P43" i="13"/>
  <c r="O43" i="13"/>
  <c r="P42" i="13"/>
  <c r="O42" i="13"/>
  <c r="P41" i="13"/>
  <c r="O41" i="13"/>
  <c r="P40" i="13"/>
  <c r="O40" i="13"/>
  <c r="P39" i="13"/>
  <c r="O39" i="13"/>
  <c r="P38" i="13"/>
  <c r="O38" i="13"/>
  <c r="P37" i="13"/>
  <c r="O37" i="13"/>
  <c r="P36" i="13"/>
  <c r="O36" i="13"/>
  <c r="P35" i="13"/>
  <c r="O35" i="13"/>
  <c r="P34" i="13"/>
  <c r="O34" i="13"/>
  <c r="P33" i="13"/>
  <c r="O33" i="13"/>
  <c r="P32" i="13"/>
  <c r="O32" i="13"/>
  <c r="P31" i="13"/>
  <c r="O31" i="13"/>
  <c r="P30" i="13"/>
  <c r="O30" i="13"/>
  <c r="P29" i="13"/>
  <c r="O29" i="13"/>
  <c r="P28" i="13"/>
  <c r="O28" i="13"/>
  <c r="P27" i="13"/>
  <c r="O27" i="13"/>
  <c r="P26" i="13"/>
  <c r="O26" i="13"/>
  <c r="P25" i="13"/>
  <c r="O25" i="13"/>
  <c r="P24" i="13"/>
  <c r="O24" i="13"/>
  <c r="P23" i="13"/>
  <c r="O23" i="13"/>
  <c r="P22" i="13"/>
  <c r="O22" i="13"/>
  <c r="P21" i="13"/>
  <c r="O21" i="13"/>
  <c r="P20" i="13"/>
  <c r="O20" i="13"/>
  <c r="P19" i="13"/>
  <c r="O19" i="13"/>
  <c r="P18" i="13"/>
  <c r="O18" i="13"/>
  <c r="P17" i="13"/>
  <c r="O17" i="13"/>
  <c r="P16" i="13"/>
  <c r="O16" i="13"/>
  <c r="P15" i="13"/>
  <c r="O15" i="13"/>
  <c r="P14" i="13"/>
  <c r="O14" i="13"/>
  <c r="P13" i="13"/>
  <c r="O13" i="13"/>
  <c r="P12" i="13"/>
  <c r="O12" i="13"/>
  <c r="P11" i="13"/>
  <c r="O11" i="13"/>
  <c r="P10" i="13"/>
  <c r="O10" i="13"/>
  <c r="P9" i="13"/>
  <c r="O9" i="13"/>
  <c r="P8" i="13"/>
  <c r="O8" i="13"/>
  <c r="P7" i="13"/>
  <c r="O7" i="13"/>
  <c r="P6" i="13"/>
  <c r="O6" i="13"/>
  <c r="P5" i="13"/>
  <c r="O5" i="13"/>
  <c r="P4" i="13"/>
  <c r="O4" i="13"/>
  <c r="P3" i="13"/>
  <c r="O3" i="13"/>
  <c r="P2" i="13"/>
  <c r="O2" i="13"/>
  <c r="N88" i="13"/>
  <c r="M88" i="13"/>
  <c r="N87" i="13"/>
  <c r="M87" i="13"/>
  <c r="N86" i="13"/>
  <c r="M86" i="13"/>
  <c r="N85" i="13"/>
  <c r="M85" i="13"/>
  <c r="N84" i="13"/>
  <c r="M84" i="13"/>
  <c r="N83" i="13"/>
  <c r="M83" i="13"/>
  <c r="N82" i="13"/>
  <c r="M82" i="13"/>
  <c r="N81" i="13"/>
  <c r="M81" i="13"/>
  <c r="N80" i="13"/>
  <c r="M80" i="13"/>
  <c r="N79" i="13"/>
  <c r="M79" i="13"/>
  <c r="N78" i="13"/>
  <c r="M78" i="13"/>
  <c r="N77" i="13"/>
  <c r="M77" i="13"/>
  <c r="N76" i="13"/>
  <c r="M76" i="13"/>
  <c r="N75" i="13"/>
  <c r="M75" i="13"/>
  <c r="N74" i="13"/>
  <c r="M74" i="13"/>
  <c r="N73" i="13"/>
  <c r="M73" i="13"/>
  <c r="N72" i="13"/>
  <c r="M72" i="13"/>
  <c r="N71" i="13"/>
  <c r="M71" i="13"/>
  <c r="N70" i="13"/>
  <c r="M70" i="13"/>
  <c r="N69" i="13"/>
  <c r="M69" i="13"/>
  <c r="N68" i="13"/>
  <c r="M68" i="13"/>
  <c r="N67" i="13"/>
  <c r="M67" i="13"/>
  <c r="N66" i="13"/>
  <c r="M66" i="13"/>
  <c r="N65" i="13"/>
  <c r="M65" i="13"/>
  <c r="N64" i="13"/>
  <c r="M64" i="13"/>
  <c r="N63" i="13"/>
  <c r="M63" i="13"/>
  <c r="N62" i="13"/>
  <c r="M62" i="13"/>
  <c r="N61" i="13"/>
  <c r="M61" i="13"/>
  <c r="N60" i="13"/>
  <c r="M60" i="13"/>
  <c r="N59" i="13"/>
  <c r="M59" i="13"/>
  <c r="N58" i="13"/>
  <c r="M58" i="13"/>
  <c r="N57" i="13"/>
  <c r="M57" i="13"/>
  <c r="N56" i="13"/>
  <c r="M56" i="13"/>
  <c r="N55" i="13"/>
  <c r="M55" i="13"/>
  <c r="N54" i="13"/>
  <c r="M54" i="13"/>
  <c r="N53" i="13"/>
  <c r="M53" i="13"/>
  <c r="N52" i="13"/>
  <c r="M52" i="13"/>
  <c r="N51" i="13"/>
  <c r="M51" i="13"/>
  <c r="N50" i="13"/>
  <c r="M50" i="13"/>
  <c r="N49" i="13"/>
  <c r="M49" i="13"/>
  <c r="N48" i="13"/>
  <c r="M48" i="13"/>
  <c r="N47" i="13"/>
  <c r="M47" i="13"/>
  <c r="N46" i="13"/>
  <c r="M46" i="13"/>
  <c r="N45" i="13"/>
  <c r="M45" i="13"/>
  <c r="N44" i="13"/>
  <c r="M44" i="13"/>
  <c r="N43" i="13"/>
  <c r="M43" i="13"/>
  <c r="N42" i="13"/>
  <c r="M42" i="13"/>
  <c r="N41" i="13"/>
  <c r="M41" i="13"/>
  <c r="N40" i="13"/>
  <c r="M40" i="13"/>
  <c r="N39" i="13"/>
  <c r="M39" i="13"/>
  <c r="N38" i="13"/>
  <c r="M38" i="13"/>
  <c r="N37" i="13"/>
  <c r="M37" i="13"/>
  <c r="N36" i="13"/>
  <c r="M36" i="13"/>
  <c r="N35" i="13"/>
  <c r="M35" i="13"/>
  <c r="N34" i="13"/>
  <c r="M34" i="13"/>
  <c r="N33" i="13"/>
  <c r="M33" i="13"/>
  <c r="N32" i="13"/>
  <c r="M32" i="13"/>
  <c r="N31" i="13"/>
  <c r="M31" i="13"/>
  <c r="N30" i="13"/>
  <c r="M30" i="13"/>
  <c r="N29" i="13"/>
  <c r="M29" i="13"/>
  <c r="N28" i="13"/>
  <c r="M28" i="13"/>
  <c r="N27" i="13"/>
  <c r="M27" i="13"/>
  <c r="N26" i="13"/>
  <c r="M26" i="13"/>
  <c r="N25" i="13"/>
  <c r="M25" i="13"/>
  <c r="N24" i="13"/>
  <c r="M24" i="13"/>
  <c r="N23" i="13"/>
  <c r="M23" i="13"/>
  <c r="N22" i="13"/>
  <c r="M22" i="13"/>
  <c r="N21" i="13"/>
  <c r="M21" i="13"/>
  <c r="N20" i="13"/>
  <c r="M20" i="13"/>
  <c r="N19" i="13"/>
  <c r="M19" i="13"/>
  <c r="N18" i="13"/>
  <c r="M18" i="13"/>
  <c r="N17" i="13"/>
  <c r="M17" i="13"/>
  <c r="N16" i="13"/>
  <c r="M16" i="13"/>
  <c r="N15" i="13"/>
  <c r="M15" i="13"/>
  <c r="N14" i="13"/>
  <c r="M14" i="13"/>
  <c r="N13" i="13"/>
  <c r="M13" i="13"/>
  <c r="N12" i="13"/>
  <c r="M12" i="13"/>
  <c r="N11" i="13"/>
  <c r="M11" i="13"/>
  <c r="N10" i="13"/>
  <c r="M10" i="13"/>
  <c r="N9" i="13"/>
  <c r="M9" i="13"/>
  <c r="N8" i="13"/>
  <c r="M8" i="13"/>
  <c r="N7" i="13"/>
  <c r="M7" i="13"/>
  <c r="N6" i="13"/>
  <c r="M6" i="13"/>
  <c r="N5" i="13"/>
  <c r="M5" i="13"/>
  <c r="N4" i="13"/>
  <c r="M4" i="13"/>
  <c r="N3" i="13"/>
  <c r="M3" i="13"/>
  <c r="N2" i="13"/>
  <c r="M2" i="13"/>
  <c r="L2501" i="13"/>
  <c r="K2501" i="13"/>
  <c r="L2500" i="13"/>
  <c r="K2500" i="13"/>
  <c r="L2499" i="13"/>
  <c r="K2499" i="13"/>
  <c r="L2498" i="13"/>
  <c r="K2498" i="13"/>
  <c r="L2497" i="13"/>
  <c r="K2497" i="13"/>
  <c r="L2496" i="13"/>
  <c r="K2496" i="13"/>
  <c r="L2495" i="13"/>
  <c r="K2495" i="13"/>
  <c r="L2494" i="13"/>
  <c r="K2494" i="13"/>
  <c r="L2493" i="13"/>
  <c r="K2493" i="13"/>
  <c r="L2492" i="13"/>
  <c r="K2492" i="13"/>
  <c r="L2491" i="13"/>
  <c r="K2491" i="13"/>
  <c r="L2490" i="13"/>
  <c r="K2490" i="13"/>
  <c r="L2489" i="13"/>
  <c r="K2489" i="13"/>
  <c r="L2488" i="13"/>
  <c r="K2488" i="13"/>
  <c r="L2487" i="13"/>
  <c r="K2487" i="13"/>
  <c r="L2486" i="13"/>
  <c r="K2486" i="13"/>
  <c r="L2485" i="13"/>
  <c r="K2485" i="13"/>
  <c r="L2484" i="13"/>
  <c r="K2484" i="13"/>
  <c r="L2483" i="13"/>
  <c r="K2483" i="13"/>
  <c r="L2482" i="13"/>
  <c r="K2482" i="13"/>
  <c r="L2481" i="13"/>
  <c r="K2481" i="13"/>
  <c r="L2480" i="13"/>
  <c r="K2480" i="13"/>
  <c r="L2479" i="13"/>
  <c r="K2479" i="13"/>
  <c r="L2478" i="13"/>
  <c r="K2478" i="13"/>
  <c r="L2477" i="13"/>
  <c r="K2477" i="13"/>
  <c r="L2476" i="13"/>
  <c r="K2476" i="13"/>
  <c r="L2475" i="13"/>
  <c r="K2475" i="13"/>
  <c r="L2474" i="13"/>
  <c r="K2474" i="13"/>
  <c r="L2473" i="13"/>
  <c r="K2473" i="13"/>
  <c r="L2472" i="13"/>
  <c r="K2472" i="13"/>
  <c r="L2471" i="13"/>
  <c r="K2471" i="13"/>
  <c r="L2470" i="13"/>
  <c r="K2470" i="13"/>
  <c r="L2469" i="13"/>
  <c r="K2469" i="13"/>
  <c r="L2468" i="13"/>
  <c r="K2468" i="13"/>
  <c r="L2467" i="13"/>
  <c r="K2467" i="13"/>
  <c r="L2466" i="13"/>
  <c r="K2466" i="13"/>
  <c r="L2465" i="13"/>
  <c r="K2465" i="13"/>
  <c r="L2464" i="13"/>
  <c r="K2464" i="13"/>
  <c r="L2463" i="13"/>
  <c r="K2463" i="13"/>
  <c r="L2462" i="13"/>
  <c r="K2462" i="13"/>
  <c r="L2461" i="13"/>
  <c r="K2461" i="13"/>
  <c r="L2460" i="13"/>
  <c r="K2460" i="13"/>
  <c r="L2459" i="13"/>
  <c r="K2459" i="13"/>
  <c r="L2458" i="13"/>
  <c r="K2458" i="13"/>
  <c r="L2457" i="13"/>
  <c r="K2457" i="13"/>
  <c r="L2456" i="13"/>
  <c r="K2456" i="13"/>
  <c r="L2455" i="13"/>
  <c r="K2455" i="13"/>
  <c r="L2454" i="13"/>
  <c r="K2454" i="13"/>
  <c r="L2453" i="13"/>
  <c r="K2453" i="13"/>
  <c r="L2452" i="13"/>
  <c r="K2452" i="13"/>
  <c r="L2451" i="13"/>
  <c r="K2451" i="13"/>
  <c r="L2450" i="13"/>
  <c r="K2450" i="13"/>
  <c r="L2449" i="13"/>
  <c r="K2449" i="13"/>
  <c r="L2448" i="13"/>
  <c r="K2448" i="13"/>
  <c r="L2447" i="13"/>
  <c r="K2447" i="13"/>
  <c r="L2446" i="13"/>
  <c r="K2446" i="13"/>
  <c r="L2445" i="13"/>
  <c r="K2445" i="13"/>
  <c r="L2444" i="13"/>
  <c r="K2444" i="13"/>
  <c r="L2443" i="13"/>
  <c r="K2443" i="13"/>
  <c r="L2442" i="13"/>
  <c r="K2442" i="13"/>
  <c r="L2441" i="13"/>
  <c r="K2441" i="13"/>
  <c r="L2440" i="13"/>
  <c r="K2440" i="13"/>
  <c r="L2439" i="13"/>
  <c r="K2439" i="13"/>
  <c r="L2438" i="13"/>
  <c r="K2438" i="13"/>
  <c r="L2437" i="13"/>
  <c r="K2437" i="13"/>
  <c r="L2436" i="13"/>
  <c r="K2436" i="13"/>
  <c r="L2435" i="13"/>
  <c r="K2435" i="13"/>
  <c r="L2434" i="13"/>
  <c r="K2434" i="13"/>
  <c r="L2433" i="13"/>
  <c r="K2433" i="13"/>
  <c r="L2432" i="13"/>
  <c r="K2432" i="13"/>
  <c r="L2431" i="13"/>
  <c r="K2431" i="13"/>
  <c r="L2430" i="13"/>
  <c r="K2430" i="13"/>
  <c r="L2429" i="13"/>
  <c r="K2429" i="13"/>
  <c r="L2428" i="13"/>
  <c r="K2428" i="13"/>
  <c r="L2427" i="13"/>
  <c r="K2427" i="13"/>
  <c r="L2426" i="13"/>
  <c r="K2426" i="13"/>
  <c r="L2425" i="13"/>
  <c r="K2425" i="13"/>
  <c r="L2424" i="13"/>
  <c r="K2424" i="13"/>
  <c r="L2423" i="13"/>
  <c r="K2423" i="13"/>
  <c r="L2422" i="13"/>
  <c r="K2422" i="13"/>
  <c r="L2421" i="13"/>
  <c r="K2421" i="13"/>
  <c r="L2420" i="13"/>
  <c r="K2420" i="13"/>
  <c r="L2419" i="13"/>
  <c r="K2419" i="13"/>
  <c r="L2418" i="13"/>
  <c r="K2418" i="13"/>
  <c r="L2417" i="13"/>
  <c r="K2417" i="13"/>
  <c r="L2416" i="13"/>
  <c r="K2416" i="13"/>
  <c r="L2415" i="13"/>
  <c r="K2415" i="13"/>
  <c r="L2414" i="13"/>
  <c r="K2414" i="13"/>
  <c r="L2413" i="13"/>
  <c r="K2413" i="13"/>
  <c r="L2412" i="13"/>
  <c r="K2412" i="13"/>
  <c r="L2411" i="13"/>
  <c r="K2411" i="13"/>
  <c r="L2410" i="13"/>
  <c r="K2410" i="13"/>
  <c r="L2409" i="13"/>
  <c r="K2409" i="13"/>
  <c r="L2408" i="13"/>
  <c r="K2408" i="13"/>
  <c r="L2407" i="13"/>
  <c r="K2407" i="13"/>
  <c r="L2406" i="13"/>
  <c r="K2406" i="13"/>
  <c r="L2405" i="13"/>
  <c r="K2405" i="13"/>
  <c r="L2404" i="13"/>
  <c r="K2404" i="13"/>
  <c r="L2403" i="13"/>
  <c r="K2403" i="13"/>
  <c r="L2402" i="13"/>
  <c r="K2402" i="13"/>
  <c r="L2401" i="13"/>
  <c r="K2401" i="13"/>
  <c r="L2400" i="13"/>
  <c r="K2400" i="13"/>
  <c r="L2399" i="13"/>
  <c r="K2399" i="13"/>
  <c r="L2398" i="13"/>
  <c r="K2398" i="13"/>
  <c r="L2397" i="13"/>
  <c r="K2397" i="13"/>
  <c r="L2396" i="13"/>
  <c r="K2396" i="13"/>
  <c r="L2395" i="13"/>
  <c r="K2395" i="13"/>
  <c r="L2394" i="13"/>
  <c r="K2394" i="13"/>
  <c r="L2393" i="13"/>
  <c r="K2393" i="13"/>
  <c r="L2392" i="13"/>
  <c r="K2392" i="13"/>
  <c r="L2391" i="13"/>
  <c r="K2391" i="13"/>
  <c r="L2390" i="13"/>
  <c r="K2390" i="13"/>
  <c r="L2389" i="13"/>
  <c r="K2389" i="13"/>
  <c r="L2388" i="13"/>
  <c r="K2388" i="13"/>
  <c r="L2387" i="13"/>
  <c r="K2387" i="13"/>
  <c r="L2386" i="13"/>
  <c r="K2386" i="13"/>
  <c r="L2385" i="13"/>
  <c r="K2385" i="13"/>
  <c r="L2384" i="13"/>
  <c r="K2384" i="13"/>
  <c r="L2383" i="13"/>
  <c r="K2383" i="13"/>
  <c r="L2382" i="13"/>
  <c r="K2382" i="13"/>
  <c r="L2381" i="13"/>
  <c r="K2381" i="13"/>
  <c r="L2380" i="13"/>
  <c r="K2380" i="13"/>
  <c r="L2379" i="13"/>
  <c r="K2379" i="13"/>
  <c r="L2378" i="13"/>
  <c r="K2378" i="13"/>
  <c r="L2377" i="13"/>
  <c r="K2377" i="13"/>
  <c r="L2376" i="13"/>
  <c r="K2376" i="13"/>
  <c r="L2375" i="13"/>
  <c r="K2375" i="13"/>
  <c r="L2374" i="13"/>
  <c r="K2374" i="13"/>
  <c r="L2373" i="13"/>
  <c r="K2373" i="13"/>
  <c r="L2372" i="13"/>
  <c r="K2372" i="13"/>
  <c r="L2371" i="13"/>
  <c r="K2371" i="13"/>
  <c r="L2370" i="13"/>
  <c r="K2370" i="13"/>
  <c r="L2369" i="13"/>
  <c r="K2369" i="13"/>
  <c r="L2368" i="13"/>
  <c r="K2368" i="13"/>
  <c r="L2367" i="13"/>
  <c r="K2367" i="13"/>
  <c r="L2366" i="13"/>
  <c r="K2366" i="13"/>
  <c r="L2365" i="13"/>
  <c r="K2365" i="13"/>
  <c r="L2364" i="13"/>
  <c r="K2364" i="13"/>
  <c r="L2363" i="13"/>
  <c r="K2363" i="13"/>
  <c r="L2362" i="13"/>
  <c r="K2362" i="13"/>
  <c r="L2361" i="13"/>
  <c r="K2361" i="13"/>
  <c r="L2360" i="13"/>
  <c r="K2360" i="13"/>
  <c r="L2359" i="13"/>
  <c r="K2359" i="13"/>
  <c r="L2358" i="13"/>
  <c r="K2358" i="13"/>
  <c r="L2357" i="13"/>
  <c r="K2357" i="13"/>
  <c r="L2356" i="13"/>
  <c r="K2356" i="13"/>
  <c r="L2355" i="13"/>
  <c r="K2355" i="13"/>
  <c r="L2354" i="13"/>
  <c r="K2354" i="13"/>
  <c r="L2353" i="13"/>
  <c r="K2353" i="13"/>
  <c r="L2352" i="13"/>
  <c r="K2352" i="13"/>
  <c r="L2351" i="13"/>
  <c r="K2351" i="13"/>
  <c r="L2350" i="13"/>
  <c r="K2350" i="13"/>
  <c r="L2349" i="13"/>
  <c r="K2349" i="13"/>
  <c r="L2348" i="13"/>
  <c r="K2348" i="13"/>
  <c r="L2347" i="13"/>
  <c r="K2347" i="13"/>
  <c r="L2346" i="13"/>
  <c r="K2346" i="13"/>
  <c r="L2345" i="13"/>
  <c r="K2345" i="13"/>
  <c r="L2344" i="13"/>
  <c r="K2344" i="13"/>
  <c r="L2343" i="13"/>
  <c r="K2343" i="13"/>
  <c r="L2342" i="13"/>
  <c r="K2342" i="13"/>
  <c r="L2341" i="13"/>
  <c r="K2341" i="13"/>
  <c r="L2340" i="13"/>
  <c r="K2340" i="13"/>
  <c r="L2339" i="13"/>
  <c r="K2339" i="13"/>
  <c r="L2338" i="13"/>
  <c r="K2338" i="13"/>
  <c r="L2337" i="13"/>
  <c r="K2337" i="13"/>
  <c r="L2336" i="13"/>
  <c r="K2336" i="13"/>
  <c r="L2335" i="13"/>
  <c r="K2335" i="13"/>
  <c r="L2334" i="13"/>
  <c r="K2334" i="13"/>
  <c r="L2333" i="13"/>
  <c r="K2333" i="13"/>
  <c r="L2332" i="13"/>
  <c r="K2332" i="13"/>
  <c r="L2331" i="13"/>
  <c r="K2331" i="13"/>
  <c r="L2330" i="13"/>
  <c r="K2330" i="13"/>
  <c r="L2329" i="13"/>
  <c r="K2329" i="13"/>
  <c r="L2328" i="13"/>
  <c r="K2328" i="13"/>
  <c r="L2327" i="13"/>
  <c r="K2327" i="13"/>
  <c r="L2326" i="13"/>
  <c r="K2326" i="13"/>
  <c r="L2325" i="13"/>
  <c r="K2325" i="13"/>
  <c r="L2324" i="13"/>
  <c r="K2324" i="13"/>
  <c r="L2323" i="13"/>
  <c r="K2323" i="13"/>
  <c r="L2322" i="13"/>
  <c r="K2322" i="13"/>
  <c r="L2321" i="13"/>
  <c r="K2321" i="13"/>
  <c r="L2320" i="13"/>
  <c r="K2320" i="13"/>
  <c r="L2319" i="13"/>
  <c r="K2319" i="13"/>
  <c r="L2318" i="13"/>
  <c r="K2318" i="13"/>
  <c r="L2317" i="13"/>
  <c r="K2317" i="13"/>
  <c r="L2316" i="13"/>
  <c r="K2316" i="13"/>
  <c r="L2315" i="13"/>
  <c r="K2315" i="13"/>
  <c r="L2314" i="13"/>
  <c r="K2314" i="13"/>
  <c r="L2313" i="13"/>
  <c r="K2313" i="13"/>
  <c r="L2312" i="13"/>
  <c r="K2312" i="13"/>
  <c r="L2311" i="13"/>
  <c r="K2311" i="13"/>
  <c r="L2310" i="13"/>
  <c r="K2310" i="13"/>
  <c r="L2309" i="13"/>
  <c r="K2309" i="13"/>
  <c r="L2308" i="13"/>
  <c r="K2308" i="13"/>
  <c r="L2307" i="13"/>
  <c r="K2307" i="13"/>
  <c r="L2306" i="13"/>
  <c r="K2306" i="13"/>
  <c r="L2305" i="13"/>
  <c r="K2305" i="13"/>
  <c r="L2304" i="13"/>
  <c r="K2304" i="13"/>
  <c r="L2303" i="13"/>
  <c r="K2303" i="13"/>
  <c r="L2302" i="13"/>
  <c r="K2302" i="13"/>
  <c r="L2301" i="13"/>
  <c r="K2301" i="13"/>
  <c r="L2300" i="13"/>
  <c r="K2300" i="13"/>
  <c r="L2299" i="13"/>
  <c r="K2299" i="13"/>
  <c r="L2298" i="13"/>
  <c r="K2298" i="13"/>
  <c r="L2297" i="13"/>
  <c r="K2297" i="13"/>
  <c r="L2296" i="13"/>
  <c r="K2296" i="13"/>
  <c r="L2295" i="13"/>
  <c r="K2295" i="13"/>
  <c r="L2294" i="13"/>
  <c r="K2294" i="13"/>
  <c r="L2293" i="13"/>
  <c r="K2293" i="13"/>
  <c r="L2292" i="13"/>
  <c r="K2292" i="13"/>
  <c r="L2291" i="13"/>
  <c r="K2291" i="13"/>
  <c r="L2290" i="13"/>
  <c r="K2290" i="13"/>
  <c r="L2289" i="13"/>
  <c r="K2289" i="13"/>
  <c r="L2288" i="13"/>
  <c r="K2288" i="13"/>
  <c r="L2287" i="13"/>
  <c r="K2287" i="13"/>
  <c r="L2286" i="13"/>
  <c r="K2286" i="13"/>
  <c r="L2285" i="13"/>
  <c r="K2285" i="13"/>
  <c r="L2284" i="13"/>
  <c r="K2284" i="13"/>
  <c r="L2283" i="13"/>
  <c r="K2283" i="13"/>
  <c r="L2282" i="13"/>
  <c r="K2282" i="13"/>
  <c r="L2281" i="13"/>
  <c r="K2281" i="13"/>
  <c r="L2280" i="13"/>
  <c r="K2280" i="13"/>
  <c r="L2279" i="13"/>
  <c r="K2279" i="13"/>
  <c r="L2278" i="13"/>
  <c r="K2278" i="13"/>
  <c r="L2277" i="13"/>
  <c r="K2277" i="13"/>
  <c r="L2276" i="13"/>
  <c r="K2276" i="13"/>
  <c r="L2275" i="13"/>
  <c r="K2275" i="13"/>
  <c r="L2274" i="13"/>
  <c r="K2274" i="13"/>
  <c r="L2273" i="13"/>
  <c r="K2273" i="13"/>
  <c r="L2272" i="13"/>
  <c r="K2272" i="13"/>
  <c r="L2271" i="13"/>
  <c r="K2271" i="13"/>
  <c r="L2270" i="13"/>
  <c r="K2270" i="13"/>
  <c r="L2269" i="13"/>
  <c r="K2269" i="13"/>
  <c r="L2268" i="13"/>
  <c r="K2268" i="13"/>
  <c r="L2267" i="13"/>
  <c r="K2267" i="13"/>
  <c r="L2266" i="13"/>
  <c r="K2266" i="13"/>
  <c r="L2265" i="13"/>
  <c r="K2265" i="13"/>
  <c r="L2264" i="13"/>
  <c r="K2264" i="13"/>
  <c r="L2263" i="13"/>
  <c r="K2263" i="13"/>
  <c r="L2262" i="13"/>
  <c r="K2262" i="13"/>
  <c r="L2261" i="13"/>
  <c r="K2261" i="13"/>
  <c r="L2260" i="13"/>
  <c r="K2260" i="13"/>
  <c r="L2259" i="13"/>
  <c r="K2259" i="13"/>
  <c r="L2258" i="13"/>
  <c r="K2258" i="13"/>
  <c r="L2257" i="13"/>
  <c r="K2257" i="13"/>
  <c r="L2256" i="13"/>
  <c r="K2256" i="13"/>
  <c r="L2255" i="13"/>
  <c r="K2255" i="13"/>
  <c r="L2254" i="13"/>
  <c r="K2254" i="13"/>
  <c r="L2253" i="13"/>
  <c r="K2253" i="13"/>
  <c r="L2252" i="13"/>
  <c r="K2252" i="13"/>
  <c r="L2251" i="13"/>
  <c r="K2251" i="13"/>
  <c r="L2250" i="13"/>
  <c r="K2250" i="13"/>
  <c r="L2249" i="13"/>
  <c r="K2249" i="13"/>
  <c r="L2248" i="13"/>
  <c r="K2248" i="13"/>
  <c r="L2247" i="13"/>
  <c r="K2247" i="13"/>
  <c r="L2246" i="13"/>
  <c r="K2246" i="13"/>
  <c r="L2245" i="13"/>
  <c r="K2245" i="13"/>
  <c r="L2244" i="13"/>
  <c r="K2244" i="13"/>
  <c r="L2243" i="13"/>
  <c r="K2243" i="13"/>
  <c r="L2242" i="13"/>
  <c r="K2242" i="13"/>
  <c r="L2241" i="13"/>
  <c r="K2241" i="13"/>
  <c r="L2240" i="13"/>
  <c r="K2240" i="13"/>
  <c r="L2239" i="13"/>
  <c r="K2239" i="13"/>
  <c r="L2238" i="13"/>
  <c r="K2238" i="13"/>
  <c r="L2237" i="13"/>
  <c r="K2237" i="13"/>
  <c r="L2236" i="13"/>
  <c r="K2236" i="13"/>
  <c r="L2235" i="13"/>
  <c r="K2235" i="13"/>
  <c r="L2234" i="13"/>
  <c r="K2234" i="13"/>
  <c r="L2233" i="13"/>
  <c r="K2233" i="13"/>
  <c r="L2232" i="13"/>
  <c r="K2232" i="13"/>
  <c r="L2231" i="13"/>
  <c r="K2231" i="13"/>
  <c r="L2230" i="13"/>
  <c r="K2230" i="13"/>
  <c r="L2229" i="13"/>
  <c r="K2229" i="13"/>
  <c r="L2228" i="13"/>
  <c r="K2228" i="13"/>
  <c r="L2227" i="13"/>
  <c r="K2227" i="13"/>
  <c r="L2226" i="13"/>
  <c r="K2226" i="13"/>
  <c r="L2225" i="13"/>
  <c r="K2225" i="13"/>
  <c r="L2224" i="13"/>
  <c r="K2224" i="13"/>
  <c r="L2223" i="13"/>
  <c r="K2223" i="13"/>
  <c r="L2222" i="13"/>
  <c r="K2222" i="13"/>
  <c r="L2221" i="13"/>
  <c r="K2221" i="13"/>
  <c r="L2220" i="13"/>
  <c r="K2220" i="13"/>
  <c r="L2219" i="13"/>
  <c r="K2219" i="13"/>
  <c r="L2218" i="13"/>
  <c r="K2218" i="13"/>
  <c r="L2217" i="13"/>
  <c r="K2217" i="13"/>
  <c r="L2216" i="13"/>
  <c r="K2216" i="13"/>
  <c r="L2215" i="13"/>
  <c r="K2215" i="13"/>
  <c r="L2214" i="13"/>
  <c r="K2214" i="13"/>
  <c r="L2213" i="13"/>
  <c r="K2213" i="13"/>
  <c r="L2212" i="13"/>
  <c r="K2212" i="13"/>
  <c r="L2211" i="13"/>
  <c r="K2211" i="13"/>
  <c r="L2210" i="13"/>
  <c r="K2210" i="13"/>
  <c r="L2209" i="13"/>
  <c r="K2209" i="13"/>
  <c r="L2208" i="13"/>
  <c r="K2208" i="13"/>
  <c r="L2207" i="13"/>
  <c r="K2207" i="13"/>
  <c r="L2206" i="13"/>
  <c r="K2206" i="13"/>
  <c r="L2205" i="13"/>
  <c r="K2205" i="13"/>
  <c r="L2204" i="13"/>
  <c r="K2204" i="13"/>
  <c r="L2203" i="13"/>
  <c r="K2203" i="13"/>
  <c r="L2202" i="13"/>
  <c r="K2202" i="13"/>
  <c r="L2201" i="13"/>
  <c r="K2201" i="13"/>
  <c r="L2200" i="13"/>
  <c r="K2200" i="13"/>
  <c r="L2199" i="13"/>
  <c r="K2199" i="13"/>
  <c r="L2198" i="13"/>
  <c r="K2198" i="13"/>
  <c r="L2197" i="13"/>
  <c r="K2197" i="13"/>
  <c r="L2196" i="13"/>
  <c r="K2196" i="13"/>
  <c r="L2195" i="13"/>
  <c r="K2195" i="13"/>
  <c r="L2194" i="13"/>
  <c r="K2194" i="13"/>
  <c r="L2193" i="13"/>
  <c r="K2193" i="13"/>
  <c r="L2192" i="13"/>
  <c r="K2192" i="13"/>
  <c r="L2191" i="13"/>
  <c r="K2191" i="13"/>
  <c r="L2190" i="13"/>
  <c r="K2190" i="13"/>
  <c r="L2189" i="13"/>
  <c r="K2189" i="13"/>
  <c r="L2188" i="13"/>
  <c r="K2188" i="13"/>
  <c r="L2187" i="13"/>
  <c r="K2187" i="13"/>
  <c r="L2186" i="13"/>
  <c r="K2186" i="13"/>
  <c r="L2185" i="13"/>
  <c r="K2185" i="13"/>
  <c r="L2184" i="13"/>
  <c r="K2184" i="13"/>
  <c r="L2183" i="13"/>
  <c r="K2183" i="13"/>
  <c r="L2182" i="13"/>
  <c r="K2182" i="13"/>
  <c r="L2181" i="13"/>
  <c r="K2181" i="13"/>
  <c r="L2180" i="13"/>
  <c r="K2180" i="13"/>
  <c r="L2179" i="13"/>
  <c r="K2179" i="13"/>
  <c r="L2178" i="13"/>
  <c r="K2178" i="13"/>
  <c r="L2177" i="13"/>
  <c r="K2177" i="13"/>
  <c r="L2176" i="13"/>
  <c r="K2176" i="13"/>
  <c r="L2175" i="13"/>
  <c r="K2175" i="13"/>
  <c r="L2174" i="13"/>
  <c r="K2174" i="13"/>
  <c r="L2173" i="13"/>
  <c r="K2173" i="13"/>
  <c r="L2172" i="13"/>
  <c r="K2172" i="13"/>
  <c r="L2171" i="13"/>
  <c r="K2171" i="13"/>
  <c r="L2170" i="13"/>
  <c r="K2170" i="13"/>
  <c r="L2169" i="13"/>
  <c r="K2169" i="13"/>
  <c r="L2168" i="13"/>
  <c r="K2168" i="13"/>
  <c r="L2167" i="13"/>
  <c r="K2167" i="13"/>
  <c r="L2166" i="13"/>
  <c r="K2166" i="13"/>
  <c r="L2165" i="13"/>
  <c r="K2165" i="13"/>
  <c r="L2164" i="13"/>
  <c r="K2164" i="13"/>
  <c r="L2163" i="13"/>
  <c r="K2163" i="13"/>
  <c r="L2162" i="13"/>
  <c r="K2162" i="13"/>
  <c r="L2161" i="13"/>
  <c r="K2161" i="13"/>
  <c r="L2160" i="13"/>
  <c r="K2160" i="13"/>
  <c r="L2159" i="13"/>
  <c r="K2159" i="13"/>
  <c r="L2158" i="13"/>
  <c r="K2158" i="13"/>
  <c r="L2157" i="13"/>
  <c r="K2157" i="13"/>
  <c r="L2156" i="13"/>
  <c r="K2156" i="13"/>
  <c r="L2155" i="13"/>
  <c r="K2155" i="13"/>
  <c r="L2154" i="13"/>
  <c r="K2154" i="13"/>
  <c r="L2153" i="13"/>
  <c r="K2153" i="13"/>
  <c r="L2152" i="13"/>
  <c r="K2152" i="13"/>
  <c r="L2151" i="13"/>
  <c r="K2151" i="13"/>
  <c r="L2150" i="13"/>
  <c r="K2150" i="13"/>
  <c r="L2149" i="13"/>
  <c r="K2149" i="13"/>
  <c r="L2148" i="13"/>
  <c r="K2148" i="13"/>
  <c r="L2147" i="13"/>
  <c r="K2147" i="13"/>
  <c r="L2146" i="13"/>
  <c r="K2146" i="13"/>
  <c r="L2145" i="13"/>
  <c r="K2145" i="13"/>
  <c r="L2144" i="13"/>
  <c r="K2144" i="13"/>
  <c r="L2143" i="13"/>
  <c r="K2143" i="13"/>
  <c r="L2142" i="13"/>
  <c r="K2142" i="13"/>
  <c r="L2141" i="13"/>
  <c r="K2141" i="13"/>
  <c r="L2140" i="13"/>
  <c r="K2140" i="13"/>
  <c r="L2139" i="13"/>
  <c r="K2139" i="13"/>
  <c r="L2138" i="13"/>
  <c r="K2138" i="13"/>
  <c r="L2137" i="13"/>
  <c r="K2137" i="13"/>
  <c r="L2136" i="13"/>
  <c r="K2136" i="13"/>
  <c r="L2135" i="13"/>
  <c r="K2135" i="13"/>
  <c r="L2134" i="13"/>
  <c r="K2134" i="13"/>
  <c r="L2133" i="13"/>
  <c r="K2133" i="13"/>
  <c r="L2132" i="13"/>
  <c r="K2132" i="13"/>
  <c r="L2131" i="13"/>
  <c r="K2131" i="13"/>
  <c r="L2130" i="13"/>
  <c r="K2130" i="13"/>
  <c r="L2129" i="13"/>
  <c r="K2129" i="13"/>
  <c r="L2128" i="13"/>
  <c r="K2128" i="13"/>
  <c r="L2127" i="13"/>
  <c r="K2127" i="13"/>
  <c r="L2126" i="13"/>
  <c r="K2126" i="13"/>
  <c r="L2125" i="13"/>
  <c r="K2125" i="13"/>
  <c r="L2124" i="13"/>
  <c r="K2124" i="13"/>
  <c r="L2123" i="13"/>
  <c r="K2123" i="13"/>
  <c r="L2122" i="13"/>
  <c r="K2122" i="13"/>
  <c r="L2121" i="13"/>
  <c r="K2121" i="13"/>
  <c r="L2120" i="13"/>
  <c r="K2120" i="13"/>
  <c r="L2119" i="13"/>
  <c r="K2119" i="13"/>
  <c r="L2118" i="13"/>
  <c r="K2118" i="13"/>
  <c r="L2117" i="13"/>
  <c r="K2117" i="13"/>
  <c r="L2116" i="13"/>
  <c r="K2116" i="13"/>
  <c r="L2115" i="13"/>
  <c r="K2115" i="13"/>
  <c r="L2114" i="13"/>
  <c r="K2114" i="13"/>
  <c r="L2113" i="13"/>
  <c r="K2113" i="13"/>
  <c r="L2112" i="13"/>
  <c r="K2112" i="13"/>
  <c r="L2111" i="13"/>
  <c r="K2111" i="13"/>
  <c r="L2110" i="13"/>
  <c r="K2110" i="13"/>
  <c r="L2109" i="13"/>
  <c r="K2109" i="13"/>
  <c r="L2108" i="13"/>
  <c r="K2108" i="13"/>
  <c r="L2107" i="13"/>
  <c r="K2107" i="13"/>
  <c r="L2106" i="13"/>
  <c r="K2106" i="13"/>
  <c r="L2105" i="13"/>
  <c r="K2105" i="13"/>
  <c r="L2104" i="13"/>
  <c r="K2104" i="13"/>
  <c r="L2103" i="13"/>
  <c r="K2103" i="13"/>
  <c r="L2102" i="13"/>
  <c r="K2102" i="13"/>
  <c r="L2101" i="13"/>
  <c r="K2101" i="13"/>
  <c r="L2100" i="13"/>
  <c r="K2100" i="13"/>
  <c r="L2099" i="13"/>
  <c r="K2099" i="13"/>
  <c r="L2098" i="13"/>
  <c r="K2098" i="13"/>
  <c r="L2097" i="13"/>
  <c r="K2097" i="13"/>
  <c r="L2096" i="13"/>
  <c r="K2096" i="13"/>
  <c r="L2095" i="13"/>
  <c r="K2095" i="13"/>
  <c r="L2094" i="13"/>
  <c r="K2094" i="13"/>
  <c r="L2093" i="13"/>
  <c r="K2093" i="13"/>
  <c r="L2092" i="13"/>
  <c r="K2092" i="13"/>
  <c r="L2091" i="13"/>
  <c r="K2091" i="13"/>
  <c r="L2090" i="13"/>
  <c r="K2090" i="13"/>
  <c r="L2089" i="13"/>
  <c r="K2089" i="13"/>
  <c r="L2088" i="13"/>
  <c r="K2088" i="13"/>
  <c r="L2087" i="13"/>
  <c r="K2087" i="13"/>
  <c r="L2086" i="13"/>
  <c r="K2086" i="13"/>
  <c r="L2085" i="13"/>
  <c r="K2085" i="13"/>
  <c r="L2084" i="13"/>
  <c r="K2084" i="13"/>
  <c r="L2083" i="13"/>
  <c r="K2083" i="13"/>
  <c r="L2082" i="13"/>
  <c r="K2082" i="13"/>
  <c r="L2081" i="13"/>
  <c r="K2081" i="13"/>
  <c r="L2080" i="13"/>
  <c r="K2080" i="13"/>
  <c r="L2079" i="13"/>
  <c r="K2079" i="13"/>
  <c r="L2078" i="13"/>
  <c r="K2078" i="13"/>
  <c r="L2077" i="13"/>
  <c r="K2077" i="13"/>
  <c r="L2076" i="13"/>
  <c r="K2076" i="13"/>
  <c r="L2075" i="13"/>
  <c r="K2075" i="13"/>
  <c r="L2074" i="13"/>
  <c r="K2074" i="13"/>
  <c r="L2073" i="13"/>
  <c r="K2073" i="13"/>
  <c r="L2072" i="13"/>
  <c r="K2072" i="13"/>
  <c r="L2071" i="13"/>
  <c r="K2071" i="13"/>
  <c r="L2070" i="13"/>
  <c r="K2070" i="13"/>
  <c r="L2069" i="13"/>
  <c r="K2069" i="13"/>
  <c r="L2068" i="13"/>
  <c r="K2068" i="13"/>
  <c r="L2067" i="13"/>
  <c r="K2067" i="13"/>
  <c r="L2066" i="13"/>
  <c r="K2066" i="13"/>
  <c r="L2065" i="13"/>
  <c r="K2065" i="13"/>
  <c r="L2064" i="13"/>
  <c r="K2064" i="13"/>
  <c r="L2063" i="13"/>
  <c r="K2063" i="13"/>
  <c r="L2062" i="13"/>
  <c r="K2062" i="13"/>
  <c r="L2061" i="13"/>
  <c r="K2061" i="13"/>
  <c r="L2060" i="13"/>
  <c r="K2060" i="13"/>
  <c r="L2059" i="13"/>
  <c r="K2059" i="13"/>
  <c r="L2058" i="13"/>
  <c r="K2058" i="13"/>
  <c r="L2057" i="13"/>
  <c r="K2057" i="13"/>
  <c r="L2056" i="13"/>
  <c r="K2056" i="13"/>
  <c r="L2055" i="13"/>
  <c r="K2055" i="13"/>
  <c r="L2054" i="13"/>
  <c r="K2054" i="13"/>
  <c r="L2053" i="13"/>
  <c r="K2053" i="13"/>
  <c r="L2052" i="13"/>
  <c r="K2052" i="13"/>
  <c r="L2051" i="13"/>
  <c r="K2051" i="13"/>
  <c r="L2050" i="13"/>
  <c r="K2050" i="13"/>
  <c r="L2049" i="13"/>
  <c r="K2049" i="13"/>
  <c r="L2048" i="13"/>
  <c r="K2048" i="13"/>
  <c r="L2047" i="13"/>
  <c r="K2047" i="13"/>
  <c r="L2046" i="13"/>
  <c r="K2046" i="13"/>
  <c r="L2045" i="13"/>
  <c r="K2045" i="13"/>
  <c r="L2044" i="13"/>
  <c r="K2044" i="13"/>
  <c r="L2043" i="13"/>
  <c r="K2043" i="13"/>
  <c r="L2042" i="13"/>
  <c r="K2042" i="13"/>
  <c r="L2041" i="13"/>
  <c r="K2041" i="13"/>
  <c r="L2040" i="13"/>
  <c r="K2040" i="13"/>
  <c r="K2039" i="13"/>
  <c r="K2038" i="13"/>
  <c r="L2037" i="13"/>
  <c r="K2037" i="13"/>
  <c r="L2036" i="13"/>
  <c r="K2036" i="13"/>
  <c r="L2035" i="13"/>
  <c r="K2035" i="13"/>
  <c r="L2034" i="13"/>
  <c r="K2034" i="13"/>
  <c r="L2033" i="13"/>
  <c r="K2033" i="13"/>
  <c r="L2032" i="13"/>
  <c r="K2032" i="13"/>
  <c r="L2031" i="13"/>
  <c r="K2031" i="13"/>
  <c r="L2030" i="13"/>
  <c r="K2030" i="13"/>
  <c r="L2029" i="13"/>
  <c r="K2029" i="13"/>
  <c r="L2028" i="13"/>
  <c r="K2028" i="13"/>
  <c r="L2027" i="13"/>
  <c r="K2027" i="13"/>
  <c r="L2026" i="13"/>
  <c r="K2026" i="13"/>
  <c r="L2025" i="13"/>
  <c r="K2025" i="13"/>
  <c r="L2024" i="13"/>
  <c r="K2024" i="13"/>
  <c r="L2023" i="13"/>
  <c r="K2023" i="13"/>
  <c r="L2022" i="13"/>
  <c r="K2022" i="13"/>
  <c r="L2021" i="13"/>
  <c r="K2021" i="13"/>
  <c r="L2020" i="13"/>
  <c r="K2020" i="13"/>
  <c r="L2019" i="13"/>
  <c r="K2019" i="13"/>
  <c r="L2018" i="13"/>
  <c r="K2018" i="13"/>
  <c r="L2017" i="13"/>
  <c r="K2017" i="13"/>
  <c r="L2016" i="13"/>
  <c r="K2016" i="13"/>
  <c r="L2015" i="13"/>
  <c r="K2015" i="13"/>
  <c r="L2014" i="13"/>
  <c r="K2014" i="13"/>
  <c r="L2013" i="13"/>
  <c r="K2013" i="13"/>
  <c r="L2012" i="13"/>
  <c r="K2012" i="13"/>
  <c r="L2011" i="13"/>
  <c r="K2011" i="13"/>
  <c r="L2010" i="13"/>
  <c r="K2010" i="13"/>
  <c r="K2009" i="13"/>
  <c r="L2008" i="13"/>
  <c r="K2008" i="13"/>
  <c r="L2007" i="13"/>
  <c r="K2007" i="13"/>
  <c r="L2006" i="13"/>
  <c r="K2006" i="13"/>
  <c r="L2005" i="13"/>
  <c r="K2005" i="13"/>
  <c r="L2004" i="13"/>
  <c r="K2004" i="13"/>
  <c r="L2003" i="13"/>
  <c r="K2003" i="13"/>
  <c r="L2002" i="13"/>
  <c r="K2002" i="13"/>
  <c r="L2001" i="13"/>
  <c r="K2001" i="13"/>
  <c r="L2000" i="13"/>
  <c r="K2000" i="13"/>
  <c r="L1999" i="13"/>
  <c r="K1999" i="13"/>
  <c r="K1998" i="13"/>
  <c r="L1997" i="13"/>
  <c r="K1997" i="13"/>
  <c r="L1996" i="13"/>
  <c r="K1996" i="13"/>
  <c r="L1995" i="13"/>
  <c r="K1995" i="13"/>
  <c r="L1994" i="13"/>
  <c r="K1994" i="13"/>
  <c r="L1993" i="13"/>
  <c r="K1993" i="13"/>
  <c r="L1992" i="13"/>
  <c r="K1992" i="13"/>
  <c r="L1991" i="13"/>
  <c r="K1991" i="13"/>
  <c r="L1990" i="13"/>
  <c r="K1990" i="13"/>
  <c r="L1989" i="13"/>
  <c r="K1989" i="13"/>
  <c r="L1988" i="13"/>
  <c r="K1988" i="13"/>
  <c r="L1987" i="13"/>
  <c r="K1987" i="13"/>
  <c r="L1986" i="13"/>
  <c r="K1986" i="13"/>
  <c r="L1985" i="13"/>
  <c r="K1985" i="13"/>
  <c r="L1984" i="13"/>
  <c r="K1984" i="13"/>
  <c r="L1983" i="13"/>
  <c r="K1983" i="13"/>
  <c r="L1982" i="13"/>
  <c r="K1982" i="13"/>
  <c r="L1981" i="13"/>
  <c r="K1981" i="13"/>
  <c r="L1980" i="13"/>
  <c r="K1980" i="13"/>
  <c r="L1979" i="13"/>
  <c r="K1979" i="13"/>
  <c r="L1978" i="13"/>
  <c r="K1978" i="13"/>
  <c r="L1977" i="13"/>
  <c r="K1977" i="13"/>
  <c r="L1976" i="13"/>
  <c r="K1976" i="13"/>
  <c r="L1975" i="13"/>
  <c r="K1975" i="13"/>
  <c r="L1974" i="13"/>
  <c r="K1974" i="13"/>
  <c r="L1973" i="13"/>
  <c r="K1973" i="13"/>
  <c r="L1972" i="13"/>
  <c r="K1972" i="13"/>
  <c r="L1971" i="13"/>
  <c r="K1971" i="13"/>
  <c r="L1970" i="13"/>
  <c r="K1970" i="13"/>
  <c r="L1969" i="13"/>
  <c r="K1969" i="13"/>
  <c r="L1968" i="13"/>
  <c r="K1968" i="13"/>
  <c r="L1967" i="13"/>
  <c r="K1967" i="13"/>
  <c r="L1966" i="13"/>
  <c r="K1966" i="13"/>
  <c r="L1965" i="13"/>
  <c r="K1965" i="13"/>
  <c r="L1964" i="13"/>
  <c r="K1964" i="13"/>
  <c r="L1963" i="13"/>
  <c r="K1963" i="13"/>
  <c r="L1962" i="13"/>
  <c r="K1962" i="13"/>
  <c r="L1961" i="13"/>
  <c r="K1961" i="13"/>
  <c r="L1960" i="13"/>
  <c r="K1960" i="13"/>
  <c r="L1959" i="13"/>
  <c r="K1959" i="13"/>
  <c r="L1958" i="13"/>
  <c r="K1958" i="13"/>
  <c r="K1957" i="13"/>
  <c r="L1956" i="13"/>
  <c r="K1956" i="13"/>
  <c r="L1955" i="13"/>
  <c r="K1955" i="13"/>
  <c r="L1954" i="13"/>
  <c r="K1954" i="13"/>
  <c r="L1953" i="13"/>
  <c r="K1953" i="13"/>
  <c r="L1952" i="13"/>
  <c r="K1952" i="13"/>
  <c r="K1951" i="13"/>
  <c r="L1950" i="13"/>
  <c r="K1950" i="13"/>
  <c r="L1949" i="13"/>
  <c r="K1949" i="13"/>
  <c r="L1948" i="13"/>
  <c r="K1948" i="13"/>
  <c r="L1947" i="13"/>
  <c r="K1947" i="13"/>
  <c r="L1946" i="13"/>
  <c r="K1946" i="13"/>
  <c r="L1945" i="13"/>
  <c r="K1945" i="13"/>
  <c r="L1944" i="13"/>
  <c r="K1944" i="13"/>
  <c r="L1943" i="13"/>
  <c r="K1943" i="13"/>
  <c r="L1942" i="13"/>
  <c r="K1942" i="13"/>
  <c r="L1941" i="13"/>
  <c r="K1941" i="13"/>
  <c r="L1940" i="13"/>
  <c r="K1940" i="13"/>
  <c r="L1939" i="13"/>
  <c r="K1939" i="13"/>
  <c r="L1938" i="13"/>
  <c r="K1938" i="13"/>
  <c r="L1937" i="13"/>
  <c r="K1937" i="13"/>
  <c r="L1936" i="13"/>
  <c r="K1936" i="13"/>
  <c r="L1935" i="13"/>
  <c r="K1935" i="13"/>
  <c r="L1934" i="13"/>
  <c r="K1934" i="13"/>
  <c r="L1933" i="13"/>
  <c r="K1933" i="13"/>
  <c r="L1932" i="13"/>
  <c r="K1932" i="13"/>
  <c r="L1931" i="13"/>
  <c r="K1931" i="13"/>
  <c r="L1930" i="13"/>
  <c r="K1930" i="13"/>
  <c r="L1929" i="13"/>
  <c r="K1929" i="13"/>
  <c r="L1928" i="13"/>
  <c r="K1928" i="13"/>
  <c r="L1927" i="13"/>
  <c r="K1927" i="13"/>
  <c r="L1926" i="13"/>
  <c r="K1926" i="13"/>
  <c r="L1925" i="13"/>
  <c r="K1925" i="13"/>
  <c r="L1924" i="13"/>
  <c r="K1924" i="13"/>
  <c r="L1923" i="13"/>
  <c r="K1923" i="13"/>
  <c r="L1922" i="13"/>
  <c r="K1922" i="13"/>
  <c r="L1921" i="13"/>
  <c r="K1921" i="13"/>
  <c r="L1920" i="13"/>
  <c r="K1920" i="13"/>
  <c r="L1919" i="13"/>
  <c r="K1919" i="13"/>
  <c r="L1918" i="13"/>
  <c r="K1918" i="13"/>
  <c r="L1917" i="13"/>
  <c r="K1917" i="13"/>
  <c r="L1916" i="13"/>
  <c r="K1916" i="13"/>
  <c r="L1915" i="13"/>
  <c r="K1915" i="13"/>
  <c r="L1914" i="13"/>
  <c r="K1914" i="13"/>
  <c r="L1913" i="13"/>
  <c r="K1913" i="13"/>
  <c r="L1912" i="13"/>
  <c r="K1912" i="13"/>
  <c r="L1911" i="13"/>
  <c r="K1911" i="13"/>
  <c r="L1910" i="13"/>
  <c r="K1910" i="13"/>
  <c r="L1909" i="13"/>
  <c r="K1909" i="13"/>
  <c r="L1908" i="13"/>
  <c r="K1908" i="13"/>
  <c r="L1907" i="13"/>
  <c r="K1907" i="13"/>
  <c r="L1906" i="13"/>
  <c r="K1906" i="13"/>
  <c r="L1905" i="13"/>
  <c r="K1905" i="13"/>
  <c r="L1904" i="13"/>
  <c r="K1904" i="13"/>
  <c r="L1903" i="13"/>
  <c r="K1903" i="13"/>
  <c r="L1902" i="13"/>
  <c r="K1902" i="13"/>
  <c r="L1901" i="13"/>
  <c r="K1901" i="13"/>
  <c r="L1900" i="13"/>
  <c r="K1900" i="13"/>
  <c r="L1899" i="13"/>
  <c r="K1899" i="13"/>
  <c r="L1898" i="13"/>
  <c r="K1898" i="13"/>
  <c r="L1897" i="13"/>
  <c r="K1897" i="13"/>
  <c r="L1896" i="13"/>
  <c r="K1896" i="13"/>
  <c r="L1895" i="13"/>
  <c r="K1895" i="13"/>
  <c r="L1894" i="13"/>
  <c r="K1894" i="13"/>
  <c r="L1893" i="13"/>
  <c r="K1893" i="13"/>
  <c r="L1892" i="13"/>
  <c r="K1892" i="13"/>
  <c r="L1891" i="13"/>
  <c r="K1891" i="13"/>
  <c r="L1890" i="13"/>
  <c r="K1890" i="13"/>
  <c r="L1889" i="13"/>
  <c r="K1889" i="13"/>
  <c r="L1888" i="13"/>
  <c r="K1888" i="13"/>
  <c r="L1887" i="13"/>
  <c r="K1887" i="13"/>
  <c r="L1886" i="13"/>
  <c r="K1886" i="13"/>
  <c r="L1885" i="13"/>
  <c r="K1885" i="13"/>
  <c r="L1884" i="13"/>
  <c r="K1884" i="13"/>
  <c r="L1883" i="13"/>
  <c r="K1883" i="13"/>
  <c r="L1882" i="13"/>
  <c r="K1882" i="13"/>
  <c r="L1881" i="13"/>
  <c r="K1881" i="13"/>
  <c r="L1880" i="13"/>
  <c r="K1880" i="13"/>
  <c r="L1879" i="13"/>
  <c r="K1879" i="13"/>
  <c r="L1878" i="13"/>
  <c r="K1878" i="13"/>
  <c r="L1877" i="13"/>
  <c r="K1877" i="13"/>
  <c r="L1876" i="13"/>
  <c r="K1876" i="13"/>
  <c r="L1875" i="13"/>
  <c r="K1875" i="13"/>
  <c r="L1874" i="13"/>
  <c r="K1874" i="13"/>
  <c r="L1873" i="13"/>
  <c r="K1873" i="13"/>
  <c r="L1872" i="13"/>
  <c r="K1872" i="13"/>
  <c r="L1871" i="13"/>
  <c r="K1871" i="13"/>
  <c r="L1870" i="13"/>
  <c r="K1870" i="13"/>
  <c r="L1869" i="13"/>
  <c r="K1869" i="13"/>
  <c r="L1868" i="13"/>
  <c r="K1868" i="13"/>
  <c r="L1867" i="13"/>
  <c r="K1867" i="13"/>
  <c r="L1866" i="13"/>
  <c r="K1866" i="13"/>
  <c r="L1865" i="13"/>
  <c r="K1865" i="13"/>
  <c r="L1864" i="13"/>
  <c r="K1864" i="13"/>
  <c r="L1863" i="13"/>
  <c r="K1863" i="13"/>
  <c r="L1862" i="13"/>
  <c r="K1862" i="13"/>
  <c r="L1861" i="13"/>
  <c r="K1861" i="13"/>
  <c r="L1860" i="13"/>
  <c r="K1860" i="13"/>
  <c r="L1859" i="13"/>
  <c r="K1859" i="13"/>
  <c r="L1858" i="13"/>
  <c r="K1858" i="13"/>
  <c r="L1857" i="13"/>
  <c r="K1857" i="13"/>
  <c r="L1856" i="13"/>
  <c r="K1856" i="13"/>
  <c r="L1855" i="13"/>
  <c r="K1855" i="13"/>
  <c r="L1854" i="13"/>
  <c r="K1854" i="13"/>
  <c r="L1853" i="13"/>
  <c r="K1853" i="13"/>
  <c r="L1852" i="13"/>
  <c r="K1852" i="13"/>
  <c r="L1851" i="13"/>
  <c r="K1851" i="13"/>
  <c r="L1850" i="13"/>
  <c r="K1850" i="13"/>
  <c r="L1849" i="13"/>
  <c r="K1849" i="13"/>
  <c r="L1848" i="13"/>
  <c r="K1848" i="13"/>
  <c r="L1847" i="13"/>
  <c r="K1847" i="13"/>
  <c r="L1846" i="13"/>
  <c r="K1846" i="13"/>
  <c r="L1845" i="13"/>
  <c r="K1845" i="13"/>
  <c r="L1844" i="13"/>
  <c r="K1844" i="13"/>
  <c r="L1843" i="13"/>
  <c r="K1843" i="13"/>
  <c r="L1842" i="13"/>
  <c r="K1842" i="13"/>
  <c r="L1841" i="13"/>
  <c r="K1841" i="13"/>
  <c r="L1840" i="13"/>
  <c r="K1840" i="13"/>
  <c r="L1839" i="13"/>
  <c r="K1839" i="13"/>
  <c r="L1838" i="13"/>
  <c r="K1838" i="13"/>
  <c r="L1837" i="13"/>
  <c r="K1837" i="13"/>
  <c r="L1836" i="13"/>
  <c r="K1836" i="13"/>
  <c r="L1835" i="13"/>
  <c r="K1835" i="13"/>
  <c r="L1834" i="13"/>
  <c r="K1834" i="13"/>
  <c r="L1833" i="13"/>
  <c r="K1833" i="13"/>
  <c r="L1832" i="13"/>
  <c r="K1832" i="13"/>
  <c r="L1831" i="13"/>
  <c r="K1831" i="13"/>
  <c r="L1830" i="13"/>
  <c r="K1830" i="13"/>
  <c r="L1829" i="13"/>
  <c r="K1829" i="13"/>
  <c r="L1828" i="13"/>
  <c r="K1828" i="13"/>
  <c r="L1827" i="13"/>
  <c r="K1827" i="13"/>
  <c r="L1826" i="13"/>
  <c r="K1826" i="13"/>
  <c r="L1825" i="13"/>
  <c r="K1825" i="13"/>
  <c r="L1824" i="13"/>
  <c r="K1824" i="13"/>
  <c r="L1823" i="13"/>
  <c r="K1823" i="13"/>
  <c r="L1822" i="13"/>
  <c r="K1822" i="13"/>
  <c r="L1821" i="13"/>
  <c r="K1821" i="13"/>
  <c r="L1820" i="13"/>
  <c r="K1820" i="13"/>
  <c r="L1819" i="13"/>
  <c r="K1819" i="13"/>
  <c r="L1818" i="13"/>
  <c r="K1818" i="13"/>
  <c r="L1817" i="13"/>
  <c r="K1817" i="13"/>
  <c r="L1816" i="13"/>
  <c r="K1816" i="13"/>
  <c r="L1815" i="13"/>
  <c r="K1815" i="13"/>
  <c r="L1814" i="13"/>
  <c r="K1814" i="13"/>
  <c r="L1813" i="13"/>
  <c r="K1813" i="13"/>
  <c r="L1812" i="13"/>
  <c r="K1812" i="13"/>
  <c r="L1811" i="13"/>
  <c r="K1811" i="13"/>
  <c r="L1810" i="13"/>
  <c r="K1810" i="13"/>
  <c r="L1809" i="13"/>
  <c r="K1809" i="13"/>
  <c r="L1808" i="13"/>
  <c r="K1808" i="13"/>
  <c r="L1807" i="13"/>
  <c r="K1807" i="13"/>
  <c r="L1806" i="13"/>
  <c r="K1806" i="13"/>
  <c r="L1805" i="13"/>
  <c r="K1805" i="13"/>
  <c r="L1804" i="13"/>
  <c r="K1804" i="13"/>
  <c r="L1803" i="13"/>
  <c r="K1803" i="13"/>
  <c r="L1802" i="13"/>
  <c r="K1802" i="13"/>
  <c r="L1801" i="13"/>
  <c r="K1801" i="13"/>
  <c r="L1800" i="13"/>
  <c r="K1800" i="13"/>
  <c r="L1799" i="13"/>
  <c r="K1799" i="13"/>
  <c r="L1798" i="13"/>
  <c r="K1798" i="13"/>
  <c r="L1797" i="13"/>
  <c r="K1797" i="13"/>
  <c r="L1796" i="13"/>
  <c r="K1796" i="13"/>
  <c r="L1795" i="13"/>
  <c r="K1795" i="13"/>
  <c r="L1794" i="13"/>
  <c r="K1794" i="13"/>
  <c r="L1793" i="13"/>
  <c r="K1793" i="13"/>
  <c r="L1792" i="13"/>
  <c r="K1792" i="13"/>
  <c r="L1791" i="13"/>
  <c r="K1791" i="13"/>
  <c r="L1790" i="13"/>
  <c r="K1790" i="13"/>
  <c r="L1789" i="13"/>
  <c r="K1789" i="13"/>
  <c r="L1788" i="13"/>
  <c r="K1788" i="13"/>
  <c r="L1787" i="13"/>
  <c r="K1787" i="13"/>
  <c r="L1786" i="13"/>
  <c r="K1786" i="13"/>
  <c r="L1785" i="13"/>
  <c r="K1785" i="13"/>
  <c r="L1784" i="13"/>
  <c r="K1784" i="13"/>
  <c r="L1783" i="13"/>
  <c r="K1783" i="13"/>
  <c r="L1782" i="13"/>
  <c r="K1782" i="13"/>
  <c r="L1781" i="13"/>
  <c r="K1781" i="13"/>
  <c r="L1780" i="13"/>
  <c r="K1780" i="13"/>
  <c r="L1779" i="13"/>
  <c r="K1779" i="13"/>
  <c r="L1778" i="13"/>
  <c r="K1778" i="13"/>
  <c r="L1777" i="13"/>
  <c r="K1777" i="13"/>
  <c r="L1776" i="13"/>
  <c r="K1776" i="13"/>
  <c r="L1775" i="13"/>
  <c r="K1775" i="13"/>
  <c r="L1774" i="13"/>
  <c r="K1774" i="13"/>
  <c r="L1773" i="13"/>
  <c r="K1773" i="13"/>
  <c r="L1772" i="13"/>
  <c r="K1772" i="13"/>
  <c r="L1771" i="13"/>
  <c r="K1771" i="13"/>
  <c r="L1770" i="13"/>
  <c r="K1770" i="13"/>
  <c r="L1769" i="13"/>
  <c r="K1769" i="13"/>
  <c r="L1768" i="13"/>
  <c r="K1768" i="13"/>
  <c r="L1767" i="13"/>
  <c r="K1767" i="13"/>
  <c r="L1766" i="13"/>
  <c r="K1766" i="13"/>
  <c r="L1765" i="13"/>
  <c r="K1765" i="13"/>
  <c r="L1764" i="13"/>
  <c r="K1764" i="13"/>
  <c r="L1763" i="13"/>
  <c r="K1763" i="13"/>
  <c r="L1762" i="13"/>
  <c r="K1762" i="13"/>
  <c r="L1761" i="13"/>
  <c r="K1761" i="13"/>
  <c r="L1760" i="13"/>
  <c r="K1760" i="13"/>
  <c r="L1759" i="13"/>
  <c r="K1759" i="13"/>
  <c r="L1758" i="13"/>
  <c r="K1758" i="13"/>
  <c r="L1757" i="13"/>
  <c r="K1757" i="13"/>
  <c r="L1756" i="13"/>
  <c r="K1756" i="13"/>
  <c r="L1755" i="13"/>
  <c r="K1755" i="13"/>
  <c r="L1754" i="13"/>
  <c r="K1754" i="13"/>
  <c r="L1753" i="13"/>
  <c r="K1753" i="13"/>
  <c r="L1752" i="13"/>
  <c r="K1752" i="13"/>
  <c r="L1751" i="13"/>
  <c r="K1751" i="13"/>
  <c r="L1750" i="13"/>
  <c r="K1750" i="13"/>
  <c r="L1749" i="13"/>
  <c r="K1749" i="13"/>
  <c r="L1748" i="13"/>
  <c r="K1748" i="13"/>
  <c r="L1747" i="13"/>
  <c r="K1747" i="13"/>
  <c r="L1746" i="13"/>
  <c r="K1746" i="13"/>
  <c r="L1745" i="13"/>
  <c r="K1745" i="13"/>
  <c r="L1744" i="13"/>
  <c r="K1744" i="13"/>
  <c r="L1743" i="13"/>
  <c r="K1743" i="13"/>
  <c r="L1742" i="13"/>
  <c r="K1742" i="13"/>
  <c r="L1741" i="13"/>
  <c r="K1741" i="13"/>
  <c r="L1740" i="13"/>
  <c r="K1740" i="13"/>
  <c r="L1739" i="13"/>
  <c r="K1739" i="13"/>
  <c r="L1738" i="13"/>
  <c r="K1738" i="13"/>
  <c r="L1737" i="13"/>
  <c r="K1737" i="13"/>
  <c r="L1736" i="13"/>
  <c r="K1736" i="13"/>
  <c r="L1735" i="13"/>
  <c r="K1735" i="13"/>
  <c r="L1734" i="13"/>
  <c r="K1734" i="13"/>
  <c r="L1733" i="13"/>
  <c r="K1733" i="13"/>
  <c r="L1732" i="13"/>
  <c r="K1732" i="13"/>
  <c r="L1731" i="13"/>
  <c r="K1731" i="13"/>
  <c r="L1730" i="13"/>
  <c r="K1730" i="13"/>
  <c r="L1729" i="13"/>
  <c r="K1729" i="13"/>
  <c r="L1728" i="13"/>
  <c r="K1728" i="13"/>
  <c r="L1727" i="13"/>
  <c r="K1727" i="13"/>
  <c r="L1726" i="13"/>
  <c r="K1726" i="13"/>
  <c r="L1725" i="13"/>
  <c r="K1725" i="13"/>
  <c r="L1724" i="13"/>
  <c r="K1724" i="13"/>
  <c r="L1723" i="13"/>
  <c r="K1723" i="13"/>
  <c r="L1722" i="13"/>
  <c r="K1722" i="13"/>
  <c r="L1721" i="13"/>
  <c r="K1721" i="13"/>
  <c r="L1720" i="13"/>
  <c r="K1720" i="13"/>
  <c r="L1719" i="13"/>
  <c r="K1719" i="13"/>
  <c r="L1718" i="13"/>
  <c r="K1718" i="13"/>
  <c r="L1717" i="13"/>
  <c r="K1717" i="13"/>
  <c r="L1716" i="13"/>
  <c r="K1716" i="13"/>
  <c r="L1715" i="13"/>
  <c r="K1715" i="13"/>
  <c r="L1714" i="13"/>
  <c r="K1714" i="13"/>
  <c r="L1713" i="13"/>
  <c r="K1713" i="13"/>
  <c r="L1712" i="13"/>
  <c r="K1712" i="13"/>
  <c r="L1711" i="13"/>
  <c r="K1711" i="13"/>
  <c r="L1710" i="13"/>
  <c r="K1710" i="13"/>
  <c r="L1709" i="13"/>
  <c r="K1709" i="13"/>
  <c r="L1708" i="13"/>
  <c r="K1708" i="13"/>
  <c r="L1707" i="13"/>
  <c r="K1707" i="13"/>
  <c r="L1706" i="13"/>
  <c r="K1706" i="13"/>
  <c r="L1705" i="13"/>
  <c r="K1705" i="13"/>
  <c r="L1704" i="13"/>
  <c r="K1704" i="13"/>
  <c r="L1703" i="13"/>
  <c r="K1703" i="13"/>
  <c r="L1702" i="13"/>
  <c r="K1702" i="13"/>
  <c r="L1701" i="13"/>
  <c r="K1701" i="13"/>
  <c r="L1700" i="13"/>
  <c r="K1700" i="13"/>
  <c r="L1699" i="13"/>
  <c r="K1699" i="13"/>
  <c r="L1698" i="13"/>
  <c r="K1698" i="13"/>
  <c r="L1697" i="13"/>
  <c r="K1697" i="13"/>
  <c r="L1696" i="13"/>
  <c r="K1696" i="13"/>
  <c r="L1695" i="13"/>
  <c r="K1695" i="13"/>
  <c r="L1694" i="13"/>
  <c r="K1694" i="13"/>
  <c r="L1693" i="13"/>
  <c r="K1693" i="13"/>
  <c r="L1692" i="13"/>
  <c r="K1692" i="13"/>
  <c r="L1691" i="13"/>
  <c r="K1691" i="13"/>
  <c r="L1690" i="13"/>
  <c r="K1690" i="13"/>
  <c r="L1689" i="13"/>
  <c r="K1689" i="13"/>
  <c r="L1688" i="13"/>
  <c r="K1688" i="13"/>
  <c r="L1687" i="13"/>
  <c r="K1687" i="13"/>
  <c r="L1686" i="13"/>
  <c r="K1686" i="13"/>
  <c r="L1685" i="13"/>
  <c r="K1685" i="13"/>
  <c r="L1684" i="13"/>
  <c r="K1684" i="13"/>
  <c r="L1683" i="13"/>
  <c r="K1683" i="13"/>
  <c r="L1682" i="13"/>
  <c r="K1682" i="13"/>
  <c r="L1681" i="13"/>
  <c r="K1681" i="13"/>
  <c r="L1680" i="13"/>
  <c r="K1680" i="13"/>
  <c r="L1679" i="13"/>
  <c r="K1679" i="13"/>
  <c r="L1678" i="13"/>
  <c r="K1678" i="13"/>
  <c r="L1677" i="13"/>
  <c r="K1677" i="13"/>
  <c r="K1676" i="13"/>
  <c r="L1675" i="13"/>
  <c r="K1675" i="13"/>
  <c r="L1674" i="13"/>
  <c r="K1674" i="13"/>
  <c r="L1673" i="13"/>
  <c r="K1673" i="13"/>
  <c r="L1672" i="13"/>
  <c r="K1672" i="13"/>
  <c r="L1671" i="13"/>
  <c r="K1671" i="13"/>
  <c r="L1670" i="13"/>
  <c r="K1670" i="13"/>
  <c r="L1669" i="13"/>
  <c r="K1669" i="13"/>
  <c r="L1668" i="13"/>
  <c r="K1668" i="13"/>
  <c r="L1667" i="13"/>
  <c r="K1667" i="13"/>
  <c r="L1666" i="13"/>
  <c r="K1666" i="13"/>
  <c r="L1665" i="13"/>
  <c r="K1665" i="13"/>
  <c r="L1664" i="13"/>
  <c r="K1664" i="13"/>
  <c r="L1663" i="13"/>
  <c r="K1663" i="13"/>
  <c r="L1662" i="13"/>
  <c r="K1662" i="13"/>
  <c r="L1661" i="13"/>
  <c r="K1661" i="13"/>
  <c r="L1660" i="13"/>
  <c r="K1660" i="13"/>
  <c r="L1659" i="13"/>
  <c r="K1659" i="13"/>
  <c r="L1658" i="13"/>
  <c r="K1658" i="13"/>
  <c r="L1657" i="13"/>
  <c r="K1657" i="13"/>
  <c r="L1656" i="13"/>
  <c r="K1656" i="13"/>
  <c r="L1655" i="13"/>
  <c r="K1655" i="13"/>
  <c r="L1654" i="13"/>
  <c r="K1654" i="13"/>
  <c r="L1653" i="13"/>
  <c r="K1653" i="13"/>
  <c r="L1652" i="13"/>
  <c r="K1652" i="13"/>
  <c r="L1651" i="13"/>
  <c r="K1651" i="13"/>
  <c r="L1650" i="13"/>
  <c r="K1650" i="13"/>
  <c r="L1649" i="13"/>
  <c r="K1649" i="13"/>
  <c r="L1648" i="13"/>
  <c r="K1648" i="13"/>
  <c r="L1647" i="13"/>
  <c r="K1647" i="13"/>
  <c r="L1646" i="13"/>
  <c r="K1646" i="13"/>
  <c r="L1645" i="13"/>
  <c r="K1645" i="13"/>
  <c r="L1644" i="13"/>
  <c r="K1644" i="13"/>
  <c r="L1643" i="13"/>
  <c r="K1643" i="13"/>
  <c r="L1642" i="13"/>
  <c r="K1642" i="13"/>
  <c r="L1641" i="13"/>
  <c r="K1641" i="13"/>
  <c r="L1640" i="13"/>
  <c r="K1640" i="13"/>
  <c r="L1639" i="13"/>
  <c r="K1639" i="13"/>
  <c r="L1638" i="13"/>
  <c r="K1638" i="13"/>
  <c r="L1637" i="13"/>
  <c r="K1637" i="13"/>
  <c r="L1636" i="13"/>
  <c r="K1636" i="13"/>
  <c r="L1635" i="13"/>
  <c r="K1635" i="13"/>
  <c r="L1634" i="13"/>
  <c r="K1634" i="13"/>
  <c r="L1633" i="13"/>
  <c r="K1633" i="13"/>
  <c r="L1632" i="13"/>
  <c r="K1632" i="13"/>
  <c r="L1631" i="13"/>
  <c r="K1631" i="13"/>
  <c r="L1630" i="13"/>
  <c r="K1630" i="13"/>
  <c r="L1629" i="13"/>
  <c r="K1629" i="13"/>
  <c r="L1628" i="13"/>
  <c r="K1628" i="13"/>
  <c r="L1627" i="13"/>
  <c r="K1627" i="13"/>
  <c r="L1626" i="13"/>
  <c r="K1626" i="13"/>
  <c r="L1625" i="13"/>
  <c r="K1625" i="13"/>
  <c r="L1624" i="13"/>
  <c r="K1624" i="13"/>
  <c r="L1623" i="13"/>
  <c r="K1623" i="13"/>
  <c r="L1622" i="13"/>
  <c r="K1622" i="13"/>
  <c r="L1621" i="13"/>
  <c r="K1621" i="13"/>
  <c r="L1620" i="13"/>
  <c r="K1620" i="13"/>
  <c r="L1619" i="13"/>
  <c r="K1619" i="13"/>
  <c r="L1618" i="13"/>
  <c r="K1618" i="13"/>
  <c r="L1617" i="13"/>
  <c r="K1617" i="13"/>
  <c r="L1616" i="13"/>
  <c r="K1616" i="13"/>
  <c r="L1615" i="13"/>
  <c r="K1615" i="13"/>
  <c r="L1614" i="13"/>
  <c r="K1614" i="13"/>
  <c r="L1613" i="13"/>
  <c r="K1613" i="13"/>
  <c r="L1612" i="13"/>
  <c r="K1612" i="13"/>
  <c r="L1611" i="13"/>
  <c r="K1611" i="13"/>
  <c r="L1610" i="13"/>
  <c r="K1610" i="13"/>
  <c r="L1609" i="13"/>
  <c r="K1609" i="13"/>
  <c r="L1608" i="13"/>
  <c r="K1608" i="13"/>
  <c r="L1607" i="13"/>
  <c r="K1607" i="13"/>
  <c r="L1606" i="13"/>
  <c r="K1606" i="13"/>
  <c r="L1605" i="13"/>
  <c r="K1605" i="13"/>
  <c r="L1604" i="13"/>
  <c r="K1604" i="13"/>
  <c r="L1603" i="13"/>
  <c r="K1603" i="13"/>
  <c r="L1602" i="13"/>
  <c r="K1602" i="13"/>
  <c r="L1601" i="13"/>
  <c r="K1601" i="13"/>
  <c r="L1600" i="13"/>
  <c r="K1600" i="13"/>
  <c r="L1599" i="13"/>
  <c r="K1599" i="13"/>
  <c r="L1598" i="13"/>
  <c r="K1598" i="13"/>
  <c r="L1597" i="13"/>
  <c r="K1597" i="13"/>
  <c r="L1596" i="13"/>
  <c r="K1596" i="13"/>
  <c r="L1595" i="13"/>
  <c r="K1595" i="13"/>
  <c r="L1594" i="13"/>
  <c r="K1594" i="13"/>
  <c r="L1593" i="13"/>
  <c r="K1593" i="13"/>
  <c r="L1592" i="13"/>
  <c r="K1592" i="13"/>
  <c r="L1591" i="13"/>
  <c r="K1591" i="13"/>
  <c r="L1590" i="13"/>
  <c r="K1590" i="13"/>
  <c r="L1589" i="13"/>
  <c r="K1589" i="13"/>
  <c r="L1588" i="13"/>
  <c r="K1588" i="13"/>
  <c r="L1587" i="13"/>
  <c r="K1587" i="13"/>
  <c r="L1586" i="13"/>
  <c r="K1586" i="13"/>
  <c r="L1585" i="13"/>
  <c r="K1585" i="13"/>
  <c r="L1584" i="13"/>
  <c r="K1584" i="13"/>
  <c r="L1583" i="13"/>
  <c r="K1583" i="13"/>
  <c r="L1582" i="13"/>
  <c r="K1582" i="13"/>
  <c r="L1581" i="13"/>
  <c r="K1581" i="13"/>
  <c r="L1580" i="13"/>
  <c r="K1580" i="13"/>
  <c r="L1579" i="13"/>
  <c r="K1579" i="13"/>
  <c r="L1578" i="13"/>
  <c r="K1578" i="13"/>
  <c r="L1577" i="13"/>
  <c r="K1577" i="13"/>
  <c r="L1576" i="13"/>
  <c r="K1576" i="13"/>
  <c r="L1575" i="13"/>
  <c r="K1575" i="13"/>
  <c r="L1574" i="13"/>
  <c r="K1574" i="13"/>
  <c r="L1573" i="13"/>
  <c r="K1573" i="13"/>
  <c r="L1572" i="13"/>
  <c r="K1572" i="13"/>
  <c r="L1571" i="13"/>
  <c r="K1571" i="13"/>
  <c r="L1570" i="13"/>
  <c r="K1570" i="13"/>
  <c r="L1569" i="13"/>
  <c r="K1569" i="13"/>
  <c r="L1568" i="13"/>
  <c r="K1568" i="13"/>
  <c r="L1567" i="13"/>
  <c r="K1567" i="13"/>
  <c r="L1566" i="13"/>
  <c r="K1566" i="13"/>
  <c r="L1565" i="13"/>
  <c r="K1565" i="13"/>
  <c r="L1564" i="13"/>
  <c r="K1564" i="13"/>
  <c r="L1563" i="13"/>
  <c r="K1563" i="13"/>
  <c r="L1562" i="13"/>
  <c r="K1562" i="13"/>
  <c r="L1561" i="13"/>
  <c r="K1561" i="13"/>
  <c r="L1560" i="13"/>
  <c r="K1560" i="13"/>
  <c r="L1559" i="13"/>
  <c r="K1559" i="13"/>
  <c r="L1558" i="13"/>
  <c r="K1558" i="13"/>
  <c r="L1557" i="13"/>
  <c r="K1557" i="13"/>
  <c r="L1556" i="13"/>
  <c r="K1556" i="13"/>
  <c r="L1555" i="13"/>
  <c r="K1555" i="13"/>
  <c r="L1554" i="13"/>
  <c r="K1554" i="13"/>
  <c r="L1553" i="13"/>
  <c r="K1553" i="13"/>
  <c r="L1552" i="13"/>
  <c r="K1552" i="13"/>
  <c r="L1551" i="13"/>
  <c r="K1551" i="13"/>
  <c r="L1550" i="13"/>
  <c r="K1550" i="13"/>
  <c r="L1549" i="13"/>
  <c r="K1549" i="13"/>
  <c r="L1548" i="13"/>
  <c r="K1548" i="13"/>
  <c r="L1547" i="13"/>
  <c r="K1547" i="13"/>
  <c r="L1546" i="13"/>
  <c r="K1546" i="13"/>
  <c r="L1545" i="13"/>
  <c r="K1545" i="13"/>
  <c r="L1544" i="13"/>
  <c r="K1544" i="13"/>
  <c r="L1543" i="13"/>
  <c r="K1543" i="13"/>
  <c r="L1542" i="13"/>
  <c r="K1542" i="13"/>
  <c r="L1541" i="13"/>
  <c r="K1541" i="13"/>
  <c r="L1540" i="13"/>
  <c r="K1540" i="13"/>
  <c r="L1539" i="13"/>
  <c r="K1539" i="13"/>
  <c r="L1538" i="13"/>
  <c r="K1538" i="13"/>
  <c r="L1537" i="13"/>
  <c r="K1537" i="13"/>
  <c r="L1536" i="13"/>
  <c r="K1536" i="13"/>
  <c r="L1535" i="13"/>
  <c r="K1535" i="13"/>
  <c r="L1534" i="13"/>
  <c r="K1534" i="13"/>
  <c r="L1533" i="13"/>
  <c r="K1533" i="13"/>
  <c r="L1532" i="13"/>
  <c r="K1532" i="13"/>
  <c r="L1531" i="13"/>
  <c r="K1531" i="13"/>
  <c r="L1530" i="13"/>
  <c r="K1530" i="13"/>
  <c r="L1529" i="13"/>
  <c r="K1529" i="13"/>
  <c r="L1528" i="13"/>
  <c r="K1528" i="13"/>
  <c r="L1527" i="13"/>
  <c r="K1527" i="13"/>
  <c r="L1526" i="13"/>
  <c r="K1526" i="13"/>
  <c r="L1525" i="13"/>
  <c r="K1525" i="13"/>
  <c r="L1524" i="13"/>
  <c r="K1524" i="13"/>
  <c r="L1523" i="13"/>
  <c r="K1523" i="13"/>
  <c r="L1522" i="13"/>
  <c r="K1522" i="13"/>
  <c r="L1521" i="13"/>
  <c r="K1521" i="13"/>
  <c r="L1520" i="13"/>
  <c r="K1520" i="13"/>
  <c r="L1519" i="13"/>
  <c r="K1519" i="13"/>
  <c r="L1518" i="13"/>
  <c r="K1518" i="13"/>
  <c r="L1517" i="13"/>
  <c r="K1517" i="13"/>
  <c r="L1516" i="13"/>
  <c r="K1516" i="13"/>
  <c r="L1515" i="13"/>
  <c r="K1515" i="13"/>
  <c r="L1514" i="13"/>
  <c r="K1514" i="13"/>
  <c r="L1513" i="13"/>
  <c r="K1513" i="13"/>
  <c r="L1512" i="13"/>
  <c r="K1512" i="13"/>
  <c r="L1511" i="13"/>
  <c r="K1511" i="13"/>
  <c r="L1510" i="13"/>
  <c r="K1510" i="13"/>
  <c r="L1509" i="13"/>
  <c r="K1509" i="13"/>
  <c r="L1508" i="13"/>
  <c r="K1508" i="13"/>
  <c r="L1507" i="13"/>
  <c r="K1507" i="13"/>
  <c r="L1506" i="13"/>
  <c r="K1506" i="13"/>
  <c r="L1505" i="13"/>
  <c r="K1505" i="13"/>
  <c r="L1504" i="13"/>
  <c r="K1504" i="13"/>
  <c r="L1503" i="13"/>
  <c r="K1503" i="13"/>
  <c r="L1502" i="13"/>
  <c r="K1502" i="13"/>
  <c r="L1501" i="13"/>
  <c r="K1501" i="13"/>
  <c r="L1500" i="13"/>
  <c r="K1500" i="13"/>
  <c r="L1499" i="13"/>
  <c r="K1499" i="13"/>
  <c r="L1498" i="13"/>
  <c r="K1498" i="13"/>
  <c r="L1497" i="13"/>
  <c r="K1497" i="13"/>
  <c r="L1496" i="13"/>
  <c r="K1496" i="13"/>
  <c r="L1495" i="13"/>
  <c r="K1495" i="13"/>
  <c r="L1494" i="13"/>
  <c r="K1494" i="13"/>
  <c r="L1493" i="13"/>
  <c r="K1493" i="13"/>
  <c r="L1492" i="13"/>
  <c r="K1492" i="13"/>
  <c r="L1491" i="13"/>
  <c r="K1491" i="13"/>
  <c r="L1490" i="13"/>
  <c r="K1490" i="13"/>
  <c r="L1489" i="13"/>
  <c r="K1489" i="13"/>
  <c r="L1488" i="13"/>
  <c r="K1488" i="13"/>
  <c r="L1487" i="13"/>
  <c r="K1487" i="13"/>
  <c r="L1486" i="13"/>
  <c r="K1486" i="13"/>
  <c r="L1485" i="13"/>
  <c r="K1485" i="13"/>
  <c r="L1484" i="13"/>
  <c r="K1484" i="13"/>
  <c r="L1483" i="13"/>
  <c r="K1483" i="13"/>
  <c r="L1482" i="13"/>
  <c r="K1482" i="13"/>
  <c r="L1481" i="13"/>
  <c r="K1481" i="13"/>
  <c r="L1480" i="13"/>
  <c r="K1480" i="13"/>
  <c r="L1479" i="13"/>
  <c r="K1479" i="13"/>
  <c r="L1478" i="13"/>
  <c r="K1478" i="13"/>
  <c r="L1477" i="13"/>
  <c r="K1477" i="13"/>
  <c r="L1476" i="13"/>
  <c r="K1476" i="13"/>
  <c r="L1475" i="13"/>
  <c r="K1475" i="13"/>
  <c r="L1474" i="13"/>
  <c r="K1474" i="13"/>
  <c r="L1473" i="13"/>
  <c r="K1473" i="13"/>
  <c r="L1472" i="13"/>
  <c r="K1472" i="13"/>
  <c r="L1471" i="13"/>
  <c r="K1471" i="13"/>
  <c r="L1470" i="13"/>
  <c r="K1470" i="13"/>
  <c r="L1469" i="13"/>
  <c r="K1469" i="13"/>
  <c r="L1468" i="13"/>
  <c r="K1468" i="13"/>
  <c r="L1467" i="13"/>
  <c r="K1467" i="13"/>
  <c r="L1466" i="13"/>
  <c r="K1466" i="13"/>
  <c r="L1465" i="13"/>
  <c r="K1465" i="13"/>
  <c r="L1464" i="13"/>
  <c r="K1464" i="13"/>
  <c r="L1463" i="13"/>
  <c r="K1463" i="13"/>
  <c r="L1462" i="13"/>
  <c r="K1462" i="13"/>
  <c r="L1461" i="13"/>
  <c r="K1461" i="13"/>
  <c r="L1460" i="13"/>
  <c r="K1460" i="13"/>
  <c r="L1459" i="13"/>
  <c r="K1459" i="13"/>
  <c r="L1458" i="13"/>
  <c r="K1458" i="13"/>
  <c r="L1457" i="13"/>
  <c r="K1457" i="13"/>
  <c r="L1456" i="13"/>
  <c r="K1456" i="13"/>
  <c r="L1455" i="13"/>
  <c r="K1455" i="13"/>
  <c r="L1454" i="13"/>
  <c r="K1454" i="13"/>
  <c r="L1453" i="13"/>
  <c r="K1453" i="13"/>
  <c r="L1452" i="13"/>
  <c r="K1452" i="13"/>
  <c r="L1451" i="13"/>
  <c r="K1451" i="13"/>
  <c r="L1450" i="13"/>
  <c r="K1450" i="13"/>
  <c r="L1449" i="13"/>
  <c r="K1449" i="13"/>
  <c r="L1448" i="13"/>
  <c r="K1448" i="13"/>
  <c r="L1447" i="13"/>
  <c r="K1447" i="13"/>
  <c r="L1446" i="13"/>
  <c r="K1446" i="13"/>
  <c r="L1445" i="13"/>
  <c r="K1445" i="13"/>
  <c r="L1444" i="13"/>
  <c r="K1444" i="13"/>
  <c r="L1443" i="13"/>
  <c r="K1443" i="13"/>
  <c r="L1442" i="13"/>
  <c r="K1442" i="13"/>
  <c r="L1441" i="13"/>
  <c r="K1441" i="13"/>
  <c r="L1440" i="13"/>
  <c r="K1440" i="13"/>
  <c r="L1439" i="13"/>
  <c r="K1439" i="13"/>
  <c r="L1438" i="13"/>
  <c r="K1438" i="13"/>
  <c r="L1437" i="13"/>
  <c r="K1437" i="13"/>
  <c r="L1436" i="13"/>
  <c r="K1436" i="13"/>
  <c r="L1435" i="13"/>
  <c r="K1435" i="13"/>
  <c r="L1434" i="13"/>
  <c r="K1434" i="13"/>
  <c r="L1433" i="13"/>
  <c r="K1433" i="13"/>
  <c r="L1432" i="13"/>
  <c r="K1432" i="13"/>
  <c r="L1431" i="13"/>
  <c r="K1431" i="13"/>
  <c r="L1430" i="13"/>
  <c r="K1430" i="13"/>
  <c r="L1429" i="13"/>
  <c r="K1429" i="13"/>
  <c r="L1428" i="13"/>
  <c r="K1428" i="13"/>
  <c r="L1427" i="13"/>
  <c r="K1427" i="13"/>
  <c r="L1426" i="13"/>
  <c r="K1426" i="13"/>
  <c r="L1425" i="13"/>
  <c r="K1425" i="13"/>
  <c r="L1424" i="13"/>
  <c r="K1424" i="13"/>
  <c r="L1423" i="13"/>
  <c r="K1423" i="13"/>
  <c r="L1422" i="13"/>
  <c r="K1422" i="13"/>
  <c r="L1421" i="13"/>
  <c r="K1421" i="13"/>
  <c r="L1420" i="13"/>
  <c r="K1420" i="13"/>
  <c r="L1419" i="13"/>
  <c r="K1419" i="13"/>
  <c r="L1418" i="13"/>
  <c r="K1418" i="13"/>
  <c r="L1417" i="13"/>
  <c r="K1417" i="13"/>
  <c r="L1416" i="13"/>
  <c r="K1416" i="13"/>
  <c r="L1415" i="13"/>
  <c r="K1415" i="13"/>
  <c r="L1414" i="13"/>
  <c r="K1414" i="13"/>
  <c r="L1413" i="13"/>
  <c r="K1413" i="13"/>
  <c r="L1412" i="13"/>
  <c r="K1412" i="13"/>
  <c r="L1411" i="13"/>
  <c r="K1411" i="13"/>
  <c r="L1410" i="13"/>
  <c r="K1410" i="13"/>
  <c r="L1409" i="13"/>
  <c r="K1409" i="13"/>
  <c r="L1408" i="13"/>
  <c r="K1408" i="13"/>
  <c r="L1407" i="13"/>
  <c r="K1407" i="13"/>
  <c r="L1406" i="13"/>
  <c r="K1406" i="13"/>
  <c r="L1405" i="13"/>
  <c r="K1405" i="13"/>
  <c r="L1404" i="13"/>
  <c r="K1404" i="13"/>
  <c r="L1403" i="13"/>
  <c r="K1403" i="13"/>
  <c r="L1402" i="13"/>
  <c r="K1402" i="13"/>
  <c r="K1401" i="13"/>
  <c r="L1400" i="13"/>
  <c r="K1400" i="13"/>
  <c r="L1399" i="13"/>
  <c r="K1399" i="13"/>
  <c r="L1398" i="13"/>
  <c r="K1398" i="13"/>
  <c r="L1397" i="13"/>
  <c r="K1397" i="13"/>
  <c r="L1396" i="13"/>
  <c r="K1396" i="13"/>
  <c r="L1395" i="13"/>
  <c r="K1395" i="13"/>
  <c r="L1394" i="13"/>
  <c r="K1394" i="13"/>
  <c r="L1393" i="13"/>
  <c r="K1393" i="13"/>
  <c r="L1392" i="13"/>
  <c r="K1392" i="13"/>
  <c r="L1391" i="13"/>
  <c r="K1391" i="13"/>
  <c r="L1390" i="13"/>
  <c r="K1390" i="13"/>
  <c r="L1389" i="13"/>
  <c r="K1389" i="13"/>
  <c r="L1388" i="13"/>
  <c r="K1388" i="13"/>
  <c r="L1387" i="13"/>
  <c r="K1387" i="13"/>
  <c r="L1386" i="13"/>
  <c r="K1386" i="13"/>
  <c r="L1385" i="13"/>
  <c r="K1385" i="13"/>
  <c r="L1384" i="13"/>
  <c r="K1384" i="13"/>
  <c r="L1383" i="13"/>
  <c r="K1383" i="13"/>
  <c r="L1382" i="13"/>
  <c r="K1382" i="13"/>
  <c r="L1381" i="13"/>
  <c r="K1381" i="13"/>
  <c r="L1380" i="13"/>
  <c r="K1380" i="13"/>
  <c r="L1379" i="13"/>
  <c r="K1379" i="13"/>
  <c r="L1378" i="13"/>
  <c r="K1378" i="13"/>
  <c r="L1377" i="13"/>
  <c r="K1377" i="13"/>
  <c r="L1376" i="13"/>
  <c r="K1376" i="13"/>
  <c r="L1375" i="13"/>
  <c r="K1375" i="13"/>
  <c r="L1374" i="13"/>
  <c r="K1374" i="13"/>
  <c r="L1373" i="13"/>
  <c r="K1373" i="13"/>
  <c r="L1372" i="13"/>
  <c r="K1372" i="13"/>
  <c r="L1371" i="13"/>
  <c r="K1371" i="13"/>
  <c r="L1370" i="13"/>
  <c r="K1370" i="13"/>
  <c r="L1369" i="13"/>
  <c r="K1369" i="13"/>
  <c r="L1368" i="13"/>
  <c r="K1368" i="13"/>
  <c r="L1367" i="13"/>
  <c r="K1367" i="13"/>
  <c r="L1366" i="13"/>
  <c r="K1366" i="13"/>
  <c r="L1365" i="13"/>
  <c r="K1365" i="13"/>
  <c r="L1364" i="13"/>
  <c r="K1364" i="13"/>
  <c r="L1363" i="13"/>
  <c r="K1363" i="13"/>
  <c r="L1362" i="13"/>
  <c r="K1362" i="13"/>
  <c r="L1361" i="13"/>
  <c r="K1361" i="13"/>
  <c r="L1360" i="13"/>
  <c r="K1360" i="13"/>
  <c r="L1359" i="13"/>
  <c r="K1359" i="13"/>
  <c r="L1358" i="13"/>
  <c r="K1358" i="13"/>
  <c r="L1357" i="13"/>
  <c r="K1357" i="13"/>
  <c r="L1356" i="13"/>
  <c r="K1356" i="13"/>
  <c r="L1355" i="13"/>
  <c r="K1355" i="13"/>
  <c r="L1354" i="13"/>
  <c r="K1354" i="13"/>
  <c r="L1353" i="13"/>
  <c r="K1353" i="13"/>
  <c r="L1352" i="13"/>
  <c r="K1352" i="13"/>
  <c r="L1351" i="13"/>
  <c r="K1351" i="13"/>
  <c r="L1350" i="13"/>
  <c r="K1350" i="13"/>
  <c r="L1349" i="13"/>
  <c r="K1349" i="13"/>
  <c r="L1348" i="13"/>
  <c r="K1348" i="13"/>
  <c r="L1347" i="13"/>
  <c r="K1347" i="13"/>
  <c r="L1346" i="13"/>
  <c r="K1346" i="13"/>
  <c r="L1345" i="13"/>
  <c r="K1345" i="13"/>
  <c r="L1344" i="13"/>
  <c r="K1344" i="13"/>
  <c r="L1343" i="13"/>
  <c r="K1343" i="13"/>
  <c r="L1342" i="13"/>
  <c r="K1342" i="13"/>
  <c r="L1341" i="13"/>
  <c r="K1341" i="13"/>
  <c r="L1340" i="13"/>
  <c r="K1340" i="13"/>
  <c r="L1339" i="13"/>
  <c r="K1339" i="13"/>
  <c r="L1338" i="13"/>
  <c r="K1338" i="13"/>
  <c r="L1337" i="13"/>
  <c r="K1337" i="13"/>
  <c r="L1336" i="13"/>
  <c r="K1336" i="13"/>
  <c r="L1335" i="13"/>
  <c r="K1335" i="13"/>
  <c r="L1334" i="13"/>
  <c r="K1334" i="13"/>
  <c r="L1333" i="13"/>
  <c r="K1333" i="13"/>
  <c r="L1332" i="13"/>
  <c r="K1332" i="13"/>
  <c r="L1331" i="13"/>
  <c r="K1331" i="13"/>
  <c r="L1330" i="13"/>
  <c r="K1330" i="13"/>
  <c r="L1329" i="13"/>
  <c r="K1329" i="13"/>
  <c r="L1328" i="13"/>
  <c r="K1328" i="13"/>
  <c r="L1327" i="13"/>
  <c r="K1327" i="13"/>
  <c r="L1326" i="13"/>
  <c r="K1326" i="13"/>
  <c r="L1325" i="13"/>
  <c r="K1325" i="13"/>
  <c r="L1324" i="13"/>
  <c r="K1324" i="13"/>
  <c r="L1323" i="13"/>
  <c r="K1323" i="13"/>
  <c r="L1322" i="13"/>
  <c r="K1322" i="13"/>
  <c r="L1321" i="13"/>
  <c r="K1321" i="13"/>
  <c r="L1320" i="13"/>
  <c r="K1320" i="13"/>
  <c r="L1319" i="13"/>
  <c r="K1319" i="13"/>
  <c r="L1318" i="13"/>
  <c r="K1318" i="13"/>
  <c r="L1317" i="13"/>
  <c r="K1317" i="13"/>
  <c r="L1316" i="13"/>
  <c r="K1316" i="13"/>
  <c r="L1315" i="13"/>
  <c r="K1315" i="13"/>
  <c r="L1314" i="13"/>
  <c r="K1314" i="13"/>
  <c r="L1313" i="13"/>
  <c r="K1313" i="13"/>
  <c r="L1312" i="13"/>
  <c r="K1312" i="13"/>
  <c r="L1311" i="13"/>
  <c r="K1311" i="13"/>
  <c r="L1310" i="13"/>
  <c r="K1310" i="13"/>
  <c r="L1309" i="13"/>
  <c r="K1309" i="13"/>
  <c r="L1308" i="13"/>
  <c r="K1308" i="13"/>
  <c r="L1307" i="13"/>
  <c r="K1307" i="13"/>
  <c r="L1306" i="13"/>
  <c r="K1306" i="13"/>
  <c r="L1305" i="13"/>
  <c r="K1305" i="13"/>
  <c r="L1304" i="13"/>
  <c r="K1304" i="13"/>
  <c r="L1303" i="13"/>
  <c r="K1303" i="13"/>
  <c r="L1302" i="13"/>
  <c r="K1302" i="13"/>
  <c r="L1301" i="13"/>
  <c r="K1301" i="13"/>
  <c r="L1300" i="13"/>
  <c r="K1300" i="13"/>
  <c r="L1299" i="13"/>
  <c r="K1299" i="13"/>
  <c r="L1298" i="13"/>
  <c r="K1298" i="13"/>
  <c r="L1297" i="13"/>
  <c r="K1297" i="13"/>
  <c r="L1296" i="13"/>
  <c r="K1296" i="13"/>
  <c r="L1295" i="13"/>
  <c r="K1295" i="13"/>
  <c r="L1294" i="13"/>
  <c r="K1294" i="13"/>
  <c r="L1293" i="13"/>
  <c r="K1293" i="13"/>
  <c r="L1292" i="13"/>
  <c r="K1292" i="13"/>
  <c r="L1291" i="13"/>
  <c r="K1291" i="13"/>
  <c r="L1290" i="13"/>
  <c r="K1290" i="13"/>
  <c r="L1289" i="13"/>
  <c r="K1289" i="13"/>
  <c r="L1288" i="13"/>
  <c r="K1288" i="13"/>
  <c r="L1287" i="13"/>
  <c r="K1287" i="13"/>
  <c r="L1286" i="13"/>
  <c r="K1286" i="13"/>
  <c r="L1285" i="13"/>
  <c r="K1285" i="13"/>
  <c r="L1284" i="13"/>
  <c r="K1284" i="13"/>
  <c r="L1283" i="13"/>
  <c r="K1283" i="13"/>
  <c r="L1282" i="13"/>
  <c r="K1282" i="13"/>
  <c r="L1281" i="13"/>
  <c r="K1281" i="13"/>
  <c r="L1280" i="13"/>
  <c r="K1280" i="13"/>
  <c r="L1279" i="13"/>
  <c r="K1279" i="13"/>
  <c r="L1278" i="13"/>
  <c r="K1278" i="13"/>
  <c r="L1277" i="13"/>
  <c r="K1277" i="13"/>
  <c r="L1276" i="13"/>
  <c r="K1276" i="13"/>
  <c r="L1275" i="13"/>
  <c r="K1275" i="13"/>
  <c r="L1274" i="13"/>
  <c r="K1274" i="13"/>
  <c r="L1273" i="13"/>
  <c r="K1273" i="13"/>
  <c r="L1272" i="13"/>
  <c r="K1272" i="13"/>
  <c r="L1271" i="13"/>
  <c r="K1271" i="13"/>
  <c r="L1270" i="13"/>
  <c r="K1270" i="13"/>
  <c r="L1269" i="13"/>
  <c r="K1269" i="13"/>
  <c r="L1268" i="13"/>
  <c r="K1268" i="13"/>
  <c r="L1267" i="13"/>
  <c r="K1267" i="13"/>
  <c r="L1266" i="13"/>
  <c r="K1266" i="13"/>
  <c r="L1265" i="13"/>
  <c r="K1265" i="13"/>
  <c r="L1264" i="13"/>
  <c r="K1264" i="13"/>
  <c r="L1263" i="13"/>
  <c r="K1263" i="13"/>
  <c r="L1262" i="13"/>
  <c r="K1262" i="13"/>
  <c r="L1261" i="13"/>
  <c r="K1261" i="13"/>
  <c r="L1260" i="13"/>
  <c r="K1260" i="13"/>
  <c r="L1259" i="13"/>
  <c r="K1259" i="13"/>
  <c r="L1258" i="13"/>
  <c r="K1258" i="13"/>
  <c r="L1257" i="13"/>
  <c r="K1257" i="13"/>
  <c r="L1256" i="13"/>
  <c r="K1256" i="13"/>
  <c r="L1255" i="13"/>
  <c r="K1255" i="13"/>
  <c r="L1254" i="13"/>
  <c r="K1254" i="13"/>
  <c r="L1253" i="13"/>
  <c r="K1253" i="13"/>
  <c r="L1252" i="13"/>
  <c r="K1252" i="13"/>
  <c r="L1251" i="13"/>
  <c r="K1251" i="13"/>
  <c r="L1250" i="13"/>
  <c r="K1250" i="13"/>
  <c r="L1249" i="13"/>
  <c r="K1249" i="13"/>
  <c r="L1248" i="13"/>
  <c r="K1248" i="13"/>
  <c r="L1247" i="13"/>
  <c r="K1247" i="13"/>
  <c r="L1246" i="13"/>
  <c r="K1246" i="13"/>
  <c r="L1245" i="13"/>
  <c r="K1245" i="13"/>
  <c r="L1244" i="13"/>
  <c r="K1244" i="13"/>
  <c r="L1243" i="13"/>
  <c r="K1243" i="13"/>
  <c r="L1242" i="13"/>
  <c r="K1242" i="13"/>
  <c r="L1241" i="13"/>
  <c r="K1241" i="13"/>
  <c r="L1240" i="13"/>
  <c r="K1240" i="13"/>
  <c r="L1239" i="13"/>
  <c r="K1239" i="13"/>
  <c r="L1238" i="13"/>
  <c r="K1238" i="13"/>
  <c r="L1237" i="13"/>
  <c r="K1237" i="13"/>
  <c r="L1236" i="13"/>
  <c r="K1236" i="13"/>
  <c r="L1235" i="13"/>
  <c r="K1235" i="13"/>
  <c r="L1234" i="13"/>
  <c r="K1234" i="13"/>
  <c r="L1233" i="13"/>
  <c r="K1233" i="13"/>
  <c r="L1232" i="13"/>
  <c r="K1232" i="13"/>
  <c r="L1231" i="13"/>
  <c r="K1231" i="13"/>
  <c r="L1230" i="13"/>
  <c r="K1230" i="13"/>
  <c r="L1229" i="13"/>
  <c r="K1229" i="13"/>
  <c r="L1228" i="13"/>
  <c r="K1228" i="13"/>
  <c r="L1227" i="13"/>
  <c r="K1227" i="13"/>
  <c r="L1226" i="13"/>
  <c r="K1226" i="13"/>
  <c r="L1225" i="13"/>
  <c r="K1225" i="13"/>
  <c r="L1224" i="13"/>
  <c r="K1224" i="13"/>
  <c r="L1223" i="13"/>
  <c r="K1223" i="13"/>
  <c r="L1222" i="13"/>
  <c r="K1222" i="13"/>
  <c r="L1221" i="13"/>
  <c r="K1221" i="13"/>
  <c r="L1220" i="13"/>
  <c r="K1220" i="13"/>
  <c r="L1219" i="13"/>
  <c r="K1219" i="13"/>
  <c r="L1218" i="13"/>
  <c r="K1218" i="13"/>
  <c r="L1217" i="13"/>
  <c r="K1217" i="13"/>
  <c r="L1216" i="13"/>
  <c r="K1216" i="13"/>
  <c r="L1215" i="13"/>
  <c r="K1215" i="13"/>
  <c r="L1214" i="13"/>
  <c r="K1214" i="13"/>
  <c r="L1213" i="13"/>
  <c r="K1213" i="13"/>
  <c r="L1212" i="13"/>
  <c r="K1212" i="13"/>
  <c r="L1211" i="13"/>
  <c r="K1211" i="13"/>
  <c r="L1210" i="13"/>
  <c r="K1210" i="13"/>
  <c r="L1209" i="13"/>
  <c r="K1209" i="13"/>
  <c r="L1208" i="13"/>
  <c r="K1208" i="13"/>
  <c r="L1207" i="13"/>
  <c r="K1207" i="13"/>
  <c r="L1206" i="13"/>
  <c r="K1206" i="13"/>
  <c r="L1205" i="13"/>
  <c r="K1205" i="13"/>
  <c r="L1204" i="13"/>
  <c r="K1204" i="13"/>
  <c r="L1203" i="13"/>
  <c r="K1203" i="13"/>
  <c r="L1202" i="13"/>
  <c r="K1202" i="13"/>
  <c r="L1201" i="13"/>
  <c r="K1201" i="13"/>
  <c r="L1200" i="13"/>
  <c r="K1200" i="13"/>
  <c r="L1199" i="13"/>
  <c r="K1199" i="13"/>
  <c r="L1198" i="13"/>
  <c r="K1198" i="13"/>
  <c r="L1197" i="13"/>
  <c r="K1197" i="13"/>
  <c r="L1196" i="13"/>
  <c r="K1196" i="13"/>
  <c r="L1195" i="13"/>
  <c r="K1195" i="13"/>
  <c r="L1194" i="13"/>
  <c r="K1194" i="13"/>
  <c r="L1193" i="13"/>
  <c r="K1193" i="13"/>
  <c r="L1192" i="13"/>
  <c r="K1192" i="13"/>
  <c r="L1191" i="13"/>
  <c r="K1191" i="13"/>
  <c r="L1190" i="13"/>
  <c r="K1190" i="13"/>
  <c r="L1189" i="13"/>
  <c r="K1189" i="13"/>
  <c r="L1188" i="13"/>
  <c r="K1188" i="13"/>
  <c r="L1187" i="13"/>
  <c r="K1187" i="13"/>
  <c r="L1186" i="13"/>
  <c r="K1186" i="13"/>
  <c r="L1185" i="13"/>
  <c r="K1185" i="13"/>
  <c r="L1184" i="13"/>
  <c r="K1184" i="13"/>
  <c r="L1183" i="13"/>
  <c r="K1183" i="13"/>
  <c r="L1182" i="13"/>
  <c r="K1182" i="13"/>
  <c r="L1181" i="13"/>
  <c r="K1181" i="13"/>
  <c r="L1180" i="13"/>
  <c r="K1180" i="13"/>
  <c r="L1179" i="13"/>
  <c r="K1179" i="13"/>
  <c r="L1178" i="13"/>
  <c r="K1178" i="13"/>
  <c r="L1177" i="13"/>
  <c r="K1177" i="13"/>
  <c r="L1176" i="13"/>
  <c r="K1176" i="13"/>
  <c r="L1175" i="13"/>
  <c r="K1175" i="13"/>
  <c r="L1174" i="13"/>
  <c r="K1174" i="13"/>
  <c r="L1173" i="13"/>
  <c r="K1173" i="13"/>
  <c r="L1172" i="13"/>
  <c r="K1172" i="13"/>
  <c r="L1171" i="13"/>
  <c r="K1171" i="13"/>
  <c r="L1170" i="13"/>
  <c r="K1170" i="13"/>
  <c r="L1169" i="13"/>
  <c r="K1169" i="13"/>
  <c r="L1168" i="13"/>
  <c r="K1168" i="13"/>
  <c r="L1167" i="13"/>
  <c r="K1167" i="13"/>
  <c r="L1166" i="13"/>
  <c r="K1166" i="13"/>
  <c r="L1165" i="13"/>
  <c r="K1165" i="13"/>
  <c r="L1164" i="13"/>
  <c r="K1164" i="13"/>
  <c r="L1163" i="13"/>
  <c r="K1163" i="13"/>
  <c r="L1162" i="13"/>
  <c r="K1162" i="13"/>
  <c r="L1161" i="13"/>
  <c r="K1161" i="13"/>
  <c r="L1160" i="13"/>
  <c r="K1160" i="13"/>
  <c r="L1159" i="13"/>
  <c r="K1159" i="13"/>
  <c r="L1158" i="13"/>
  <c r="K1158" i="13"/>
  <c r="L1157" i="13"/>
  <c r="K1157" i="13"/>
  <c r="L1156" i="13"/>
  <c r="K1156" i="13"/>
  <c r="L1155" i="13"/>
  <c r="K1155" i="13"/>
  <c r="L1154" i="13"/>
  <c r="K1154" i="13"/>
  <c r="L1153" i="13"/>
  <c r="K1153" i="13"/>
  <c r="L1152" i="13"/>
  <c r="K1152" i="13"/>
  <c r="L1151" i="13"/>
  <c r="K1151" i="13"/>
  <c r="L1150" i="13"/>
  <c r="K1150" i="13"/>
  <c r="L1149" i="13"/>
  <c r="K1149" i="13"/>
  <c r="L1148" i="13"/>
  <c r="K1148" i="13"/>
  <c r="L1147" i="13"/>
  <c r="K1147" i="13"/>
  <c r="L1146" i="13"/>
  <c r="K1146" i="13"/>
  <c r="L1145" i="13"/>
  <c r="K1145" i="13"/>
  <c r="L1144" i="13"/>
  <c r="K1144" i="13"/>
  <c r="L1143" i="13"/>
  <c r="K1143" i="13"/>
  <c r="L1142" i="13"/>
  <c r="K1142" i="13"/>
  <c r="L1141" i="13"/>
  <c r="K1141" i="13"/>
  <c r="L1140" i="13"/>
  <c r="K1140" i="13"/>
  <c r="L1139" i="13"/>
  <c r="K1139" i="13"/>
  <c r="L1138" i="13"/>
  <c r="K1138" i="13"/>
  <c r="L1137" i="13"/>
  <c r="K1137" i="13"/>
  <c r="L1136" i="13"/>
  <c r="K1136" i="13"/>
  <c r="L1135" i="13"/>
  <c r="K1135" i="13"/>
  <c r="L1134" i="13"/>
  <c r="K1134" i="13"/>
  <c r="L1133" i="13"/>
  <c r="K1133" i="13"/>
  <c r="L1132" i="13"/>
  <c r="K1132" i="13"/>
  <c r="L1131" i="13"/>
  <c r="K1131" i="13"/>
  <c r="L1130" i="13"/>
  <c r="K1130" i="13"/>
  <c r="L1129" i="13"/>
  <c r="K1129" i="13"/>
  <c r="L1128" i="13"/>
  <c r="K1128" i="13"/>
  <c r="L1127" i="13"/>
  <c r="K1127" i="13"/>
  <c r="K1126" i="13"/>
  <c r="L1125" i="13"/>
  <c r="K1125" i="13"/>
  <c r="L1124" i="13"/>
  <c r="K1124" i="13"/>
  <c r="L1123" i="13"/>
  <c r="K1123" i="13"/>
  <c r="L1122" i="13"/>
  <c r="K1122" i="13"/>
  <c r="L1121" i="13"/>
  <c r="K1121" i="13"/>
  <c r="L1120" i="13"/>
  <c r="K1120" i="13"/>
  <c r="L1119" i="13"/>
  <c r="K1119" i="13"/>
  <c r="L1118" i="13"/>
  <c r="K1118" i="13"/>
  <c r="L1117" i="13"/>
  <c r="K1117" i="13"/>
  <c r="L1116" i="13"/>
  <c r="K1116" i="13"/>
  <c r="L1115" i="13"/>
  <c r="K1115" i="13"/>
  <c r="L1114" i="13"/>
  <c r="K1114" i="13"/>
  <c r="L1113" i="13"/>
  <c r="K1113" i="13"/>
  <c r="L1112" i="13"/>
  <c r="K1112" i="13"/>
  <c r="L1111" i="13"/>
  <c r="K1111" i="13"/>
  <c r="L1110" i="13"/>
  <c r="K1110" i="13"/>
  <c r="L1109" i="13"/>
  <c r="K1109" i="13"/>
  <c r="L1108" i="13"/>
  <c r="K1108" i="13"/>
  <c r="L1107" i="13"/>
  <c r="K1107" i="13"/>
  <c r="L1106" i="13"/>
  <c r="K1106" i="13"/>
  <c r="L1105" i="13"/>
  <c r="K1105" i="13"/>
  <c r="L1104" i="13"/>
  <c r="K1104" i="13"/>
  <c r="L1103" i="13"/>
  <c r="K1103" i="13"/>
  <c r="L1102" i="13"/>
  <c r="K1102" i="13"/>
  <c r="L1101" i="13"/>
  <c r="K1101" i="13"/>
  <c r="L1100" i="13"/>
  <c r="K1100" i="13"/>
  <c r="L1099" i="13"/>
  <c r="K1099" i="13"/>
  <c r="L1098" i="13"/>
  <c r="K1098" i="13"/>
  <c r="L1097" i="13"/>
  <c r="K1097" i="13"/>
  <c r="L1096" i="13"/>
  <c r="K1096" i="13"/>
  <c r="L1095" i="13"/>
  <c r="K1095" i="13"/>
  <c r="L1094" i="13"/>
  <c r="K1094" i="13"/>
  <c r="L1093" i="13"/>
  <c r="K1093" i="13"/>
  <c r="L1092" i="13"/>
  <c r="K1092" i="13"/>
  <c r="L1091" i="13"/>
  <c r="K1091" i="13"/>
  <c r="L1090" i="13"/>
  <c r="K1090" i="13"/>
  <c r="L1089" i="13"/>
  <c r="K1089" i="13"/>
  <c r="L1088" i="13"/>
  <c r="K1088" i="13"/>
  <c r="L1087" i="13"/>
  <c r="K1087" i="13"/>
  <c r="L1086" i="13"/>
  <c r="K1086" i="13"/>
  <c r="L1085" i="13"/>
  <c r="K1085" i="13"/>
  <c r="L1084" i="13"/>
  <c r="K1084" i="13"/>
  <c r="L1083" i="13"/>
  <c r="K1083" i="13"/>
  <c r="L1082" i="13"/>
  <c r="K1082" i="13"/>
  <c r="L1081" i="13"/>
  <c r="K1081" i="13"/>
  <c r="L1080" i="13"/>
  <c r="K1080" i="13"/>
  <c r="L1079" i="13"/>
  <c r="K1079" i="13"/>
  <c r="L1078" i="13"/>
  <c r="K1078" i="13"/>
  <c r="L1077" i="13"/>
  <c r="K1077" i="13"/>
  <c r="L1076" i="13"/>
  <c r="K1076" i="13"/>
  <c r="L1075" i="13"/>
  <c r="K1075" i="13"/>
  <c r="L1074" i="13"/>
  <c r="K1074" i="13"/>
  <c r="L1073" i="13"/>
  <c r="K1073" i="13"/>
  <c r="L1072" i="13"/>
  <c r="K1072" i="13"/>
  <c r="L1071" i="13"/>
  <c r="K1071" i="13"/>
  <c r="L1070" i="13"/>
  <c r="K1070" i="13"/>
  <c r="L1069" i="13"/>
  <c r="K1069" i="13"/>
  <c r="L1068" i="13"/>
  <c r="K1068" i="13"/>
  <c r="L1067" i="13"/>
  <c r="K1067" i="13"/>
  <c r="L1066" i="13"/>
  <c r="K1066" i="13"/>
  <c r="L1065" i="13"/>
  <c r="K1065" i="13"/>
  <c r="L1064" i="13"/>
  <c r="K1064" i="13"/>
  <c r="L1063" i="13"/>
  <c r="K1063" i="13"/>
  <c r="L1062" i="13"/>
  <c r="K1062" i="13"/>
  <c r="L1061" i="13"/>
  <c r="K1061" i="13"/>
  <c r="L1060" i="13"/>
  <c r="K1060" i="13"/>
  <c r="L1059" i="13"/>
  <c r="K1059" i="13"/>
  <c r="L1058" i="13"/>
  <c r="K1058" i="13"/>
  <c r="L1057" i="13"/>
  <c r="K1057" i="13"/>
  <c r="L1056" i="13"/>
  <c r="K1056" i="13"/>
  <c r="L1055" i="13"/>
  <c r="K1055" i="13"/>
  <c r="L1054" i="13"/>
  <c r="K1054" i="13"/>
  <c r="L1053" i="13"/>
  <c r="K1053" i="13"/>
  <c r="L1052" i="13"/>
  <c r="K1052" i="13"/>
  <c r="L1051" i="13"/>
  <c r="K1051" i="13"/>
  <c r="L1050" i="13"/>
  <c r="K1050" i="13"/>
  <c r="L1049" i="13"/>
  <c r="K1049" i="13"/>
  <c r="L1048" i="13"/>
  <c r="K1048" i="13"/>
  <c r="L1047" i="13"/>
  <c r="K1047" i="13"/>
  <c r="L1046" i="13"/>
  <c r="K1046" i="13"/>
  <c r="L1045" i="13"/>
  <c r="K1045" i="13"/>
  <c r="L1044" i="13"/>
  <c r="K1044" i="13"/>
  <c r="L1043" i="13"/>
  <c r="K1043" i="13"/>
  <c r="L1042" i="13"/>
  <c r="K1042" i="13"/>
  <c r="L1041" i="13"/>
  <c r="K1041" i="13"/>
  <c r="L1040" i="13"/>
  <c r="K1040" i="13"/>
  <c r="L1039" i="13"/>
  <c r="K1039" i="13"/>
  <c r="L1038" i="13"/>
  <c r="K1038" i="13"/>
  <c r="L1037" i="13"/>
  <c r="K1037" i="13"/>
  <c r="L1036" i="13"/>
  <c r="K1036" i="13"/>
  <c r="L1035" i="13"/>
  <c r="K1035" i="13"/>
  <c r="L1034" i="13"/>
  <c r="K1034" i="13"/>
  <c r="L1033" i="13"/>
  <c r="K1033" i="13"/>
  <c r="L1032" i="13"/>
  <c r="K1032" i="13"/>
  <c r="L1031" i="13"/>
  <c r="K1031" i="13"/>
  <c r="L1030" i="13"/>
  <c r="K1030" i="13"/>
  <c r="L1029" i="13"/>
  <c r="K1029" i="13"/>
  <c r="L1028" i="13"/>
  <c r="K1028" i="13"/>
  <c r="L1027" i="13"/>
  <c r="K1027" i="13"/>
  <c r="L1026" i="13"/>
  <c r="K1026" i="13"/>
  <c r="L1025" i="13"/>
  <c r="K1025" i="13"/>
  <c r="L1024" i="13"/>
  <c r="K1024" i="13"/>
  <c r="L1023" i="13"/>
  <c r="K1023" i="13"/>
  <c r="L1022" i="13"/>
  <c r="K1022" i="13"/>
  <c r="L1021" i="13"/>
  <c r="K1021" i="13"/>
  <c r="L1020" i="13"/>
  <c r="K1020" i="13"/>
  <c r="L1019" i="13"/>
  <c r="K1019" i="13"/>
  <c r="L1018" i="13"/>
  <c r="K1018" i="13"/>
  <c r="L1017" i="13"/>
  <c r="K1017" i="13"/>
  <c r="L1016" i="13"/>
  <c r="K1016" i="13"/>
  <c r="L1015" i="13"/>
  <c r="K1015" i="13"/>
  <c r="L1014" i="13"/>
  <c r="K1014" i="13"/>
  <c r="L1013" i="13"/>
  <c r="K1013" i="13"/>
  <c r="L1012" i="13"/>
  <c r="K1012" i="13"/>
  <c r="L1011" i="13"/>
  <c r="K1011" i="13"/>
  <c r="L1010" i="13"/>
  <c r="K1010" i="13"/>
  <c r="L1009" i="13"/>
  <c r="K1009" i="13"/>
  <c r="L1008" i="13"/>
  <c r="K1008" i="13"/>
  <c r="L1007" i="13"/>
  <c r="K1007" i="13"/>
  <c r="L1006" i="13"/>
  <c r="K1006" i="13"/>
  <c r="L1005" i="13"/>
  <c r="K1005" i="13"/>
  <c r="L1004" i="13"/>
  <c r="K1004" i="13"/>
  <c r="L1003" i="13"/>
  <c r="K1003" i="13"/>
  <c r="L1002" i="13"/>
  <c r="K1002" i="13"/>
  <c r="L1001" i="13"/>
  <c r="K1001" i="13"/>
  <c r="L1000" i="13"/>
  <c r="K1000" i="13"/>
  <c r="L999" i="13"/>
  <c r="K999" i="13"/>
  <c r="L998" i="13"/>
  <c r="K998" i="13"/>
  <c r="L997" i="13"/>
  <c r="K997" i="13"/>
  <c r="L996" i="13"/>
  <c r="K996" i="13"/>
  <c r="L995" i="13"/>
  <c r="K995" i="13"/>
  <c r="L994" i="13"/>
  <c r="K994" i="13"/>
  <c r="L993" i="13"/>
  <c r="K993" i="13"/>
  <c r="L992" i="13"/>
  <c r="K992" i="13"/>
  <c r="L991" i="13"/>
  <c r="K991" i="13"/>
  <c r="L990" i="13"/>
  <c r="K990" i="13"/>
  <c r="L989" i="13"/>
  <c r="K989" i="13"/>
  <c r="L988" i="13"/>
  <c r="K988" i="13"/>
  <c r="L987" i="13"/>
  <c r="K987" i="13"/>
  <c r="L986" i="13"/>
  <c r="K986" i="13"/>
  <c r="L985" i="13"/>
  <c r="K985" i="13"/>
  <c r="L984" i="13"/>
  <c r="K984" i="13"/>
  <c r="L983" i="13"/>
  <c r="K983" i="13"/>
  <c r="L982" i="13"/>
  <c r="K982" i="13"/>
  <c r="L981" i="13"/>
  <c r="K981" i="13"/>
  <c r="L980" i="13"/>
  <c r="K980" i="13"/>
  <c r="L979" i="13"/>
  <c r="K979" i="13"/>
  <c r="L978" i="13"/>
  <c r="K978" i="13"/>
  <c r="L977" i="13"/>
  <c r="K977" i="13"/>
  <c r="L976" i="13"/>
  <c r="K976" i="13"/>
  <c r="L975" i="13"/>
  <c r="K975" i="13"/>
  <c r="L974" i="13"/>
  <c r="K974" i="13"/>
  <c r="L973" i="13"/>
  <c r="K973" i="13"/>
  <c r="L972" i="13"/>
  <c r="K972" i="13"/>
  <c r="L971" i="13"/>
  <c r="K971" i="13"/>
  <c r="L970" i="13"/>
  <c r="K970" i="13"/>
  <c r="L969" i="13"/>
  <c r="K969" i="13"/>
  <c r="L968" i="13"/>
  <c r="K968" i="13"/>
  <c r="L967" i="13"/>
  <c r="K967" i="13"/>
  <c r="L966" i="13"/>
  <c r="K966" i="13"/>
  <c r="L965" i="13"/>
  <c r="K965" i="13"/>
  <c r="L964" i="13"/>
  <c r="K964" i="13"/>
  <c r="L963" i="13"/>
  <c r="K963" i="13"/>
  <c r="L962" i="13"/>
  <c r="K962" i="13"/>
  <c r="L961" i="13"/>
  <c r="K961" i="13"/>
  <c r="L960" i="13"/>
  <c r="K960" i="13"/>
  <c r="L959" i="13"/>
  <c r="K959" i="13"/>
  <c r="L958" i="13"/>
  <c r="K958" i="13"/>
  <c r="L957" i="13"/>
  <c r="K957" i="13"/>
  <c r="L956" i="13"/>
  <c r="K956" i="13"/>
  <c r="L955" i="13"/>
  <c r="K955" i="13"/>
  <c r="L954" i="13"/>
  <c r="K954" i="13"/>
  <c r="L953" i="13"/>
  <c r="K953" i="13"/>
  <c r="L952" i="13"/>
  <c r="K952" i="13"/>
  <c r="L951" i="13"/>
  <c r="K951" i="13"/>
  <c r="L950" i="13"/>
  <c r="K950" i="13"/>
  <c r="L949" i="13"/>
  <c r="K949" i="13"/>
  <c r="L948" i="13"/>
  <c r="K948" i="13"/>
  <c r="L947" i="13"/>
  <c r="K947" i="13"/>
  <c r="L946" i="13"/>
  <c r="K946" i="13"/>
  <c r="L945" i="13"/>
  <c r="K945" i="13"/>
  <c r="L944" i="13"/>
  <c r="K944" i="13"/>
  <c r="L943" i="13"/>
  <c r="K943" i="13"/>
  <c r="L942" i="13"/>
  <c r="K942" i="13"/>
  <c r="L941" i="13"/>
  <c r="K941" i="13"/>
  <c r="L940" i="13"/>
  <c r="K940" i="13"/>
  <c r="L939" i="13"/>
  <c r="K939" i="13"/>
  <c r="L938" i="13"/>
  <c r="K938" i="13"/>
  <c r="L937" i="13"/>
  <c r="K937" i="13"/>
  <c r="L936" i="13"/>
  <c r="K936" i="13"/>
  <c r="L935" i="13"/>
  <c r="K935" i="13"/>
  <c r="L934" i="13"/>
  <c r="K934" i="13"/>
  <c r="L933" i="13"/>
  <c r="K933" i="13"/>
  <c r="L932" i="13"/>
  <c r="K932" i="13"/>
  <c r="L931" i="13"/>
  <c r="K931" i="13"/>
  <c r="L930" i="13"/>
  <c r="K930" i="13"/>
  <c r="L929" i="13"/>
  <c r="K929" i="13"/>
  <c r="L928" i="13"/>
  <c r="K928" i="13"/>
  <c r="L927" i="13"/>
  <c r="K927" i="13"/>
  <c r="L926" i="13"/>
  <c r="K926" i="13"/>
  <c r="L925" i="13"/>
  <c r="K925" i="13"/>
  <c r="L924" i="13"/>
  <c r="K924" i="13"/>
  <c r="L923" i="13"/>
  <c r="K923" i="13"/>
  <c r="L922" i="13"/>
  <c r="K922" i="13"/>
  <c r="L921" i="13"/>
  <c r="K921" i="13"/>
  <c r="L920" i="13"/>
  <c r="K920" i="13"/>
  <c r="L919" i="13"/>
  <c r="K919" i="13"/>
  <c r="L918" i="13"/>
  <c r="K918" i="13"/>
  <c r="L917" i="13"/>
  <c r="K917" i="13"/>
  <c r="L916" i="13"/>
  <c r="K916" i="13"/>
  <c r="L915" i="13"/>
  <c r="K915" i="13"/>
  <c r="L914" i="13"/>
  <c r="K914" i="13"/>
  <c r="L913" i="13"/>
  <c r="K913" i="13"/>
  <c r="L912" i="13"/>
  <c r="K912" i="13"/>
  <c r="L911" i="13"/>
  <c r="K911" i="13"/>
  <c r="L910" i="13"/>
  <c r="K910" i="13"/>
  <c r="L909" i="13"/>
  <c r="K909" i="13"/>
  <c r="L908" i="13"/>
  <c r="K908" i="13"/>
  <c r="L907" i="13"/>
  <c r="K907" i="13"/>
  <c r="L906" i="13"/>
  <c r="K906" i="13"/>
  <c r="L905" i="13"/>
  <c r="K905" i="13"/>
  <c r="L904" i="13"/>
  <c r="K904" i="13"/>
  <c r="L903" i="13"/>
  <c r="K903" i="13"/>
  <c r="L902" i="13"/>
  <c r="K902" i="13"/>
  <c r="L901" i="13"/>
  <c r="K901" i="13"/>
  <c r="L900" i="13"/>
  <c r="K900" i="13"/>
  <c r="L899" i="13"/>
  <c r="K899" i="13"/>
  <c r="L898" i="13"/>
  <c r="K898" i="13"/>
  <c r="L897" i="13"/>
  <c r="K897" i="13"/>
  <c r="L896" i="13"/>
  <c r="K896" i="13"/>
  <c r="L895" i="13"/>
  <c r="K895" i="13"/>
  <c r="L894" i="13"/>
  <c r="K894" i="13"/>
  <c r="L893" i="13"/>
  <c r="K893" i="13"/>
  <c r="L892" i="13"/>
  <c r="K892" i="13"/>
  <c r="L891" i="13"/>
  <c r="K891" i="13"/>
  <c r="L890" i="13"/>
  <c r="K890" i="13"/>
  <c r="L889" i="13"/>
  <c r="K889" i="13"/>
  <c r="L888" i="13"/>
  <c r="K888" i="13"/>
  <c r="L887" i="13"/>
  <c r="K887" i="13"/>
  <c r="L886" i="13"/>
  <c r="K886" i="13"/>
  <c r="L885" i="13"/>
  <c r="K885" i="13"/>
  <c r="L884" i="13"/>
  <c r="K884" i="13"/>
  <c r="L883" i="13"/>
  <c r="K883" i="13"/>
  <c r="L882" i="13"/>
  <c r="K882" i="13"/>
  <c r="L881" i="13"/>
  <c r="K881" i="13"/>
  <c r="L880" i="13"/>
  <c r="K880" i="13"/>
  <c r="L879" i="13"/>
  <c r="K879" i="13"/>
  <c r="L878" i="13"/>
  <c r="K878" i="13"/>
  <c r="L877" i="13"/>
  <c r="K877" i="13"/>
  <c r="L876" i="13"/>
  <c r="K876" i="13"/>
  <c r="L875" i="13"/>
  <c r="K875" i="13"/>
  <c r="L874" i="13"/>
  <c r="K874" i="13"/>
  <c r="L873" i="13"/>
  <c r="K873" i="13"/>
  <c r="L872" i="13"/>
  <c r="K872" i="13"/>
  <c r="L871" i="13"/>
  <c r="K871" i="13"/>
  <c r="L870" i="13"/>
  <c r="K870" i="13"/>
  <c r="L869" i="13"/>
  <c r="K869" i="13"/>
  <c r="L868" i="13"/>
  <c r="K868" i="13"/>
  <c r="L867" i="13"/>
  <c r="K867" i="13"/>
  <c r="L866" i="13"/>
  <c r="K866" i="13"/>
  <c r="L865" i="13"/>
  <c r="K865" i="13"/>
  <c r="L864" i="13"/>
  <c r="K864" i="13"/>
  <c r="L863" i="13"/>
  <c r="K863" i="13"/>
  <c r="L862" i="13"/>
  <c r="K862" i="13"/>
  <c r="L861" i="13"/>
  <c r="K861" i="13"/>
  <c r="L860" i="13"/>
  <c r="K860" i="13"/>
  <c r="L859" i="13"/>
  <c r="K859" i="13"/>
  <c r="L858" i="13"/>
  <c r="K858" i="13"/>
  <c r="L857" i="13"/>
  <c r="K857" i="13"/>
  <c r="L856" i="13"/>
  <c r="K856" i="13"/>
  <c r="L855" i="13"/>
  <c r="K855" i="13"/>
  <c r="L854" i="13"/>
  <c r="K854" i="13"/>
  <c r="L853" i="13"/>
  <c r="K853" i="13"/>
  <c r="L852" i="13"/>
  <c r="K852" i="13"/>
  <c r="K851" i="13"/>
  <c r="L850" i="13"/>
  <c r="K850" i="13"/>
  <c r="L849" i="13"/>
  <c r="K849" i="13"/>
  <c r="L848" i="13"/>
  <c r="K848" i="13"/>
  <c r="L847" i="13"/>
  <c r="K847" i="13"/>
  <c r="L846" i="13"/>
  <c r="K846" i="13"/>
  <c r="L845" i="13"/>
  <c r="K845" i="13"/>
  <c r="L844" i="13"/>
  <c r="K844" i="13"/>
  <c r="L843" i="13"/>
  <c r="K843" i="13"/>
  <c r="L842" i="13"/>
  <c r="K842" i="13"/>
  <c r="L841" i="13"/>
  <c r="K841" i="13"/>
  <c r="L840" i="13"/>
  <c r="K840" i="13"/>
  <c r="L839" i="13"/>
  <c r="K839" i="13"/>
  <c r="L838" i="13"/>
  <c r="K838" i="13"/>
  <c r="L837" i="13"/>
  <c r="K837" i="13"/>
  <c r="L836" i="13"/>
  <c r="K836" i="13"/>
  <c r="L835" i="13"/>
  <c r="K835" i="13"/>
  <c r="L834" i="13"/>
  <c r="K834" i="13"/>
  <c r="L833" i="13"/>
  <c r="K833" i="13"/>
  <c r="L832" i="13"/>
  <c r="K832" i="13"/>
  <c r="L831" i="13"/>
  <c r="K831" i="13"/>
  <c r="L830" i="13"/>
  <c r="K830" i="13"/>
  <c r="L829" i="13"/>
  <c r="K829" i="13"/>
  <c r="L828" i="13"/>
  <c r="K828" i="13"/>
  <c r="L827" i="13"/>
  <c r="K827" i="13"/>
  <c r="L826" i="13"/>
  <c r="K826" i="13"/>
  <c r="L825" i="13"/>
  <c r="K825" i="13"/>
  <c r="L824" i="13"/>
  <c r="K824" i="13"/>
  <c r="L823" i="13"/>
  <c r="K823" i="13"/>
  <c r="L822" i="13"/>
  <c r="K822" i="13"/>
  <c r="L821" i="13"/>
  <c r="K821" i="13"/>
  <c r="L820" i="13"/>
  <c r="K820" i="13"/>
  <c r="L819" i="13"/>
  <c r="K819" i="13"/>
  <c r="L818" i="13"/>
  <c r="K818" i="13"/>
  <c r="L817" i="13"/>
  <c r="K817" i="13"/>
  <c r="L816" i="13"/>
  <c r="K816" i="13"/>
  <c r="L815" i="13"/>
  <c r="K815" i="13"/>
  <c r="L814" i="13"/>
  <c r="K814" i="13"/>
  <c r="L813" i="13"/>
  <c r="K813" i="13"/>
  <c r="L812" i="13"/>
  <c r="K812" i="13"/>
  <c r="L811" i="13"/>
  <c r="K811" i="13"/>
  <c r="L810" i="13"/>
  <c r="K810" i="13"/>
  <c r="L809" i="13"/>
  <c r="K809" i="13"/>
  <c r="L808" i="13"/>
  <c r="K808" i="13"/>
  <c r="L807" i="13"/>
  <c r="K807" i="13"/>
  <c r="L806" i="13"/>
  <c r="K806" i="13"/>
  <c r="L805" i="13"/>
  <c r="K805" i="13"/>
  <c r="L804" i="13"/>
  <c r="K804" i="13"/>
  <c r="L803" i="13"/>
  <c r="K803" i="13"/>
  <c r="L802" i="13"/>
  <c r="K802" i="13"/>
  <c r="L801" i="13"/>
  <c r="K801" i="13"/>
  <c r="L800" i="13"/>
  <c r="K800" i="13"/>
  <c r="L799" i="13"/>
  <c r="K799" i="13"/>
  <c r="L798" i="13"/>
  <c r="K798" i="13"/>
  <c r="L797" i="13"/>
  <c r="K797" i="13"/>
  <c r="L796" i="13"/>
  <c r="K796" i="13"/>
  <c r="L795" i="13"/>
  <c r="K795" i="13"/>
  <c r="L794" i="13"/>
  <c r="K794" i="13"/>
  <c r="L793" i="13"/>
  <c r="K793" i="13"/>
  <c r="L792" i="13"/>
  <c r="K792" i="13"/>
  <c r="L791" i="13"/>
  <c r="K791" i="13"/>
  <c r="L790" i="13"/>
  <c r="K790" i="13"/>
  <c r="L789" i="13"/>
  <c r="K789" i="13"/>
  <c r="L788" i="13"/>
  <c r="K788" i="13"/>
  <c r="L787" i="13"/>
  <c r="K787" i="13"/>
  <c r="L786" i="13"/>
  <c r="K786" i="13"/>
  <c r="L785" i="13"/>
  <c r="K785" i="13"/>
  <c r="L783" i="13"/>
  <c r="K783" i="13"/>
  <c r="L782" i="13"/>
  <c r="K782" i="13"/>
  <c r="L781" i="13"/>
  <c r="K781" i="13"/>
  <c r="L780" i="13"/>
  <c r="K780" i="13"/>
  <c r="L779" i="13"/>
  <c r="K779" i="13"/>
  <c r="L778" i="13"/>
  <c r="K778" i="13"/>
  <c r="L777" i="13"/>
  <c r="K777" i="13"/>
  <c r="L776" i="13"/>
  <c r="K776" i="13"/>
  <c r="L775" i="13"/>
  <c r="K775" i="13"/>
  <c r="L774" i="13"/>
  <c r="K774" i="13"/>
  <c r="L773" i="13"/>
  <c r="K773" i="13"/>
  <c r="L772" i="13"/>
  <c r="K772" i="13"/>
  <c r="L771" i="13"/>
  <c r="K771" i="13"/>
  <c r="L770" i="13"/>
  <c r="K770" i="13"/>
  <c r="L769" i="13"/>
  <c r="K769" i="13"/>
  <c r="L768" i="13"/>
  <c r="K768" i="13"/>
  <c r="L767" i="13"/>
  <c r="K767" i="13"/>
  <c r="L766" i="13"/>
  <c r="K766" i="13"/>
  <c r="L765" i="13"/>
  <c r="K765" i="13"/>
  <c r="L764" i="13"/>
  <c r="K764" i="13"/>
  <c r="L763" i="13"/>
  <c r="K763" i="13"/>
  <c r="L762" i="13"/>
  <c r="K762" i="13"/>
  <c r="L761" i="13"/>
  <c r="K761" i="13"/>
  <c r="L760" i="13"/>
  <c r="K760" i="13"/>
  <c r="L759" i="13"/>
  <c r="K759" i="13"/>
  <c r="L758" i="13"/>
  <c r="K758" i="13"/>
  <c r="L757" i="13"/>
  <c r="K757" i="13"/>
  <c r="L756" i="13"/>
  <c r="K756" i="13"/>
  <c r="L755" i="13"/>
  <c r="K755" i="13"/>
  <c r="L754" i="13"/>
  <c r="K754" i="13"/>
  <c r="L753" i="13"/>
  <c r="K753" i="13"/>
  <c r="L752" i="13"/>
  <c r="K752" i="13"/>
  <c r="L751" i="13"/>
  <c r="K751" i="13"/>
  <c r="L750" i="13"/>
  <c r="K750" i="13"/>
  <c r="L749" i="13"/>
  <c r="K749" i="13"/>
  <c r="L748" i="13"/>
  <c r="K748" i="13"/>
  <c r="L747" i="13"/>
  <c r="K747" i="13"/>
  <c r="L746" i="13"/>
  <c r="K746" i="13"/>
  <c r="L745" i="13"/>
  <c r="K745" i="13"/>
  <c r="L744" i="13"/>
  <c r="K744" i="13"/>
  <c r="L743" i="13"/>
  <c r="K743" i="13"/>
  <c r="L742" i="13"/>
  <c r="K742" i="13"/>
  <c r="L741" i="13"/>
  <c r="K741" i="13"/>
  <c r="L740" i="13"/>
  <c r="K740" i="13"/>
  <c r="L739" i="13"/>
  <c r="K739" i="13"/>
  <c r="L738" i="13"/>
  <c r="K738" i="13"/>
  <c r="L737" i="13"/>
  <c r="K737" i="13"/>
  <c r="L736" i="13"/>
  <c r="K736" i="13"/>
  <c r="L735" i="13"/>
  <c r="K735" i="13"/>
  <c r="L734" i="13"/>
  <c r="K734" i="13"/>
  <c r="L733" i="13"/>
  <c r="K733" i="13"/>
  <c r="L732" i="13"/>
  <c r="K732" i="13"/>
  <c r="L731" i="13"/>
  <c r="K731" i="13"/>
  <c r="L730" i="13"/>
  <c r="K730" i="13"/>
  <c r="L729" i="13"/>
  <c r="K729" i="13"/>
  <c r="L728" i="13"/>
  <c r="K728" i="13"/>
  <c r="L727" i="13"/>
  <c r="K727" i="13"/>
  <c r="L726" i="13"/>
  <c r="K726" i="13"/>
  <c r="L725" i="13"/>
  <c r="K725" i="13"/>
  <c r="L724" i="13"/>
  <c r="K724" i="13"/>
  <c r="L723" i="13"/>
  <c r="K723" i="13"/>
  <c r="L722" i="13"/>
  <c r="K722" i="13"/>
  <c r="L721" i="13"/>
  <c r="K721" i="13"/>
  <c r="L720" i="13"/>
  <c r="K720" i="13"/>
  <c r="L719" i="13"/>
  <c r="K719" i="13"/>
  <c r="L718" i="13"/>
  <c r="K718" i="13"/>
  <c r="L717" i="13"/>
  <c r="K717" i="13"/>
  <c r="L716" i="13"/>
  <c r="K716" i="13"/>
  <c r="L715" i="13"/>
  <c r="K715" i="13"/>
  <c r="L714" i="13"/>
  <c r="K714" i="13"/>
  <c r="L713" i="13"/>
  <c r="K713" i="13"/>
  <c r="L712" i="13"/>
  <c r="K712" i="13"/>
  <c r="L711" i="13"/>
  <c r="K711" i="13"/>
  <c r="L710" i="13"/>
  <c r="K710" i="13"/>
  <c r="L709" i="13"/>
  <c r="K709" i="13"/>
  <c r="L708" i="13"/>
  <c r="K708" i="13"/>
  <c r="L707" i="13"/>
  <c r="K707" i="13"/>
  <c r="L706" i="13"/>
  <c r="K706" i="13"/>
  <c r="L705" i="13"/>
  <c r="K705" i="13"/>
  <c r="L704" i="13"/>
  <c r="K704" i="13"/>
  <c r="L703" i="13"/>
  <c r="K703" i="13"/>
  <c r="L702" i="13"/>
  <c r="K702" i="13"/>
  <c r="L701" i="13"/>
  <c r="K701" i="13"/>
  <c r="L700" i="13"/>
  <c r="K700" i="13"/>
  <c r="L699" i="13"/>
  <c r="K699" i="13"/>
  <c r="L698" i="13"/>
  <c r="K698" i="13"/>
  <c r="L697" i="13"/>
  <c r="K697" i="13"/>
  <c r="L696" i="13"/>
  <c r="K696" i="13"/>
  <c r="L695" i="13"/>
  <c r="K695" i="13"/>
  <c r="L694" i="13"/>
  <c r="K694" i="13"/>
  <c r="L693" i="13"/>
  <c r="K693" i="13"/>
  <c r="L692" i="13"/>
  <c r="K692" i="13"/>
  <c r="L691" i="13"/>
  <c r="K691" i="13"/>
  <c r="L690" i="13"/>
  <c r="K690" i="13"/>
  <c r="L689" i="13"/>
  <c r="K689" i="13"/>
  <c r="L688" i="13"/>
  <c r="K688" i="13"/>
  <c r="L687" i="13"/>
  <c r="K687" i="13"/>
  <c r="L686" i="13"/>
  <c r="K686" i="13"/>
  <c r="L685" i="13"/>
  <c r="K685" i="13"/>
  <c r="L684" i="13"/>
  <c r="K684" i="13"/>
  <c r="L683" i="13"/>
  <c r="K683" i="13"/>
  <c r="L682" i="13"/>
  <c r="K682" i="13"/>
  <c r="L681" i="13"/>
  <c r="K681" i="13"/>
  <c r="L680" i="13"/>
  <c r="K680" i="13"/>
  <c r="L679" i="13"/>
  <c r="K679" i="13"/>
  <c r="L678" i="13"/>
  <c r="K678" i="13"/>
  <c r="L677" i="13"/>
  <c r="K677" i="13"/>
  <c r="L676" i="13"/>
  <c r="K676" i="13"/>
  <c r="L675" i="13"/>
  <c r="K675" i="13"/>
  <c r="L674" i="13"/>
  <c r="K674" i="13"/>
  <c r="L673" i="13"/>
  <c r="K673" i="13"/>
  <c r="L672" i="13"/>
  <c r="K672" i="13"/>
  <c r="L671" i="13"/>
  <c r="K671" i="13"/>
  <c r="L670" i="13"/>
  <c r="K670" i="13"/>
  <c r="L669" i="13"/>
  <c r="K669" i="13"/>
  <c r="L668" i="13"/>
  <c r="K668" i="13"/>
  <c r="L667" i="13"/>
  <c r="K667" i="13"/>
  <c r="L666" i="13"/>
  <c r="K666" i="13"/>
  <c r="L665" i="13"/>
  <c r="K665" i="13"/>
  <c r="L664" i="13"/>
  <c r="K664" i="13"/>
  <c r="L663" i="13"/>
  <c r="K663" i="13"/>
  <c r="L662" i="13"/>
  <c r="K662" i="13"/>
  <c r="L661" i="13"/>
  <c r="K661" i="13"/>
  <c r="L660" i="13"/>
  <c r="K660" i="13"/>
  <c r="L659" i="13"/>
  <c r="K659" i="13"/>
  <c r="L658" i="13"/>
  <c r="K658" i="13"/>
  <c r="L657" i="13"/>
  <c r="K657" i="13"/>
  <c r="L656" i="13"/>
  <c r="K656" i="13"/>
  <c r="L655" i="13"/>
  <c r="K655" i="13"/>
  <c r="L654" i="13"/>
  <c r="K654" i="13"/>
  <c r="L653" i="13"/>
  <c r="K653" i="13"/>
  <c r="L652" i="13"/>
  <c r="K652" i="13"/>
  <c r="L651" i="13"/>
  <c r="K651" i="13"/>
  <c r="L650" i="13"/>
  <c r="K650" i="13"/>
  <c r="L649" i="13"/>
  <c r="K649" i="13"/>
  <c r="L648" i="13"/>
  <c r="K648" i="13"/>
  <c r="L647" i="13"/>
  <c r="K647" i="13"/>
  <c r="L646" i="13"/>
  <c r="K646" i="13"/>
  <c r="L645" i="13"/>
  <c r="K645" i="13"/>
  <c r="L644" i="13"/>
  <c r="K644" i="13"/>
  <c r="L643" i="13"/>
  <c r="K643" i="13"/>
  <c r="L642" i="13"/>
  <c r="K642" i="13"/>
  <c r="L641" i="13"/>
  <c r="K641" i="13"/>
  <c r="L640" i="13"/>
  <c r="K640" i="13"/>
  <c r="L639" i="13"/>
  <c r="K639" i="13"/>
  <c r="L638" i="13"/>
  <c r="K638" i="13"/>
  <c r="L637" i="13"/>
  <c r="K637" i="13"/>
  <c r="L636" i="13"/>
  <c r="K636" i="13"/>
  <c r="L635" i="13"/>
  <c r="K635" i="13"/>
  <c r="L634" i="13"/>
  <c r="K634" i="13"/>
  <c r="L633" i="13"/>
  <c r="K633" i="13"/>
  <c r="L632" i="13"/>
  <c r="K632" i="13"/>
  <c r="L631" i="13"/>
  <c r="K631" i="13"/>
  <c r="L630" i="13"/>
  <c r="K630" i="13"/>
  <c r="L629" i="13"/>
  <c r="K629" i="13"/>
  <c r="L628" i="13"/>
  <c r="K628" i="13"/>
  <c r="L627" i="13"/>
  <c r="K627" i="13"/>
  <c r="L626" i="13"/>
  <c r="K626" i="13"/>
  <c r="L625" i="13"/>
  <c r="K625" i="13"/>
  <c r="L624" i="13"/>
  <c r="K624" i="13"/>
  <c r="L623" i="13"/>
  <c r="K623" i="13"/>
  <c r="L622" i="13"/>
  <c r="K622" i="13"/>
  <c r="L621" i="13"/>
  <c r="K621" i="13"/>
  <c r="L620" i="13"/>
  <c r="K620" i="13"/>
  <c r="L619" i="13"/>
  <c r="K619" i="13"/>
  <c r="L618" i="13"/>
  <c r="K618" i="13"/>
  <c r="L617" i="13"/>
  <c r="K617" i="13"/>
  <c r="L616" i="13"/>
  <c r="K616" i="13"/>
  <c r="L615" i="13"/>
  <c r="K615" i="13"/>
  <c r="L614" i="13"/>
  <c r="K614" i="13"/>
  <c r="L613" i="13"/>
  <c r="K613" i="13"/>
  <c r="L612" i="13"/>
  <c r="K612" i="13"/>
  <c r="L611" i="13"/>
  <c r="K611" i="13"/>
  <c r="L610" i="13"/>
  <c r="K610" i="13"/>
  <c r="L609" i="13"/>
  <c r="K609" i="13"/>
  <c r="L608" i="13"/>
  <c r="K608" i="13"/>
  <c r="L607" i="13"/>
  <c r="K607" i="13"/>
  <c r="L606" i="13"/>
  <c r="K606" i="13"/>
  <c r="L605" i="13"/>
  <c r="K605" i="13"/>
  <c r="L604" i="13"/>
  <c r="K604" i="13"/>
  <c r="L603" i="13"/>
  <c r="K603" i="13"/>
  <c r="L602" i="13"/>
  <c r="K602" i="13"/>
  <c r="L601" i="13"/>
  <c r="K601" i="13"/>
  <c r="L600" i="13"/>
  <c r="K600" i="13"/>
  <c r="L599" i="13"/>
  <c r="K599" i="13"/>
  <c r="L598" i="13"/>
  <c r="K598" i="13"/>
  <c r="L597" i="13"/>
  <c r="K597" i="13"/>
  <c r="L596" i="13"/>
  <c r="K596" i="13"/>
  <c r="L595" i="13"/>
  <c r="K595" i="13"/>
  <c r="L594" i="13"/>
  <c r="K594" i="13"/>
  <c r="L593" i="13"/>
  <c r="K593" i="13"/>
  <c r="L592" i="13"/>
  <c r="K592" i="13"/>
  <c r="L591" i="13"/>
  <c r="K591" i="13"/>
  <c r="L590" i="13"/>
  <c r="K590" i="13"/>
  <c r="L589" i="13"/>
  <c r="K589" i="13"/>
  <c r="L588" i="13"/>
  <c r="K588" i="13"/>
  <c r="L587" i="13"/>
  <c r="K587" i="13"/>
  <c r="L586" i="13"/>
  <c r="K586" i="13"/>
  <c r="L585" i="13"/>
  <c r="K585" i="13"/>
  <c r="L584" i="13"/>
  <c r="K584" i="13"/>
  <c r="L583" i="13"/>
  <c r="K583" i="13"/>
  <c r="L582" i="13"/>
  <c r="K582" i="13"/>
  <c r="L581" i="13"/>
  <c r="K581" i="13"/>
  <c r="L580" i="13"/>
  <c r="K580" i="13"/>
  <c r="L579" i="13"/>
  <c r="K579" i="13"/>
  <c r="L578" i="13"/>
  <c r="K578" i="13"/>
  <c r="L577" i="13"/>
  <c r="K577" i="13"/>
  <c r="K576" i="13"/>
  <c r="L575" i="13"/>
  <c r="K575" i="13"/>
  <c r="L574" i="13"/>
  <c r="K574" i="13"/>
  <c r="L573" i="13"/>
  <c r="K573" i="13"/>
  <c r="L572" i="13"/>
  <c r="K572" i="13"/>
  <c r="L571" i="13"/>
  <c r="K571" i="13"/>
  <c r="L570" i="13"/>
  <c r="K570" i="13"/>
  <c r="L569" i="13"/>
  <c r="K569" i="13"/>
  <c r="L568" i="13"/>
  <c r="K568" i="13"/>
  <c r="L567" i="13"/>
  <c r="K567" i="13"/>
  <c r="L566" i="13"/>
  <c r="K566" i="13"/>
  <c r="L565" i="13"/>
  <c r="K565" i="13"/>
  <c r="L564" i="13"/>
  <c r="K564" i="13"/>
  <c r="L563" i="13"/>
  <c r="K563" i="13"/>
  <c r="L562" i="13"/>
  <c r="K562" i="13"/>
  <c r="L561" i="13"/>
  <c r="K561" i="13"/>
  <c r="L560" i="13"/>
  <c r="K560" i="13"/>
  <c r="L559" i="13"/>
  <c r="K559" i="13"/>
  <c r="L558" i="13"/>
  <c r="K558" i="13"/>
  <c r="L557" i="13"/>
  <c r="K557" i="13"/>
  <c r="L556" i="13"/>
  <c r="K556" i="13"/>
  <c r="L555" i="13"/>
  <c r="K555" i="13"/>
  <c r="L554" i="13"/>
  <c r="K554" i="13"/>
  <c r="L553" i="13"/>
  <c r="K553" i="13"/>
  <c r="L552" i="13"/>
  <c r="K552" i="13"/>
  <c r="L551" i="13"/>
  <c r="K551" i="13"/>
  <c r="L550" i="13"/>
  <c r="K550" i="13"/>
  <c r="L549" i="13"/>
  <c r="K549" i="13"/>
  <c r="L548" i="13"/>
  <c r="K548" i="13"/>
  <c r="L547" i="13"/>
  <c r="K547" i="13"/>
  <c r="L546" i="13"/>
  <c r="K546" i="13"/>
  <c r="L545" i="13"/>
  <c r="K545" i="13"/>
  <c r="L544" i="13"/>
  <c r="K544" i="13"/>
  <c r="L543" i="13"/>
  <c r="K543" i="13"/>
  <c r="L542" i="13"/>
  <c r="K542" i="13"/>
  <c r="L541" i="13"/>
  <c r="K541" i="13"/>
  <c r="L540" i="13"/>
  <c r="K540" i="13"/>
  <c r="L539" i="13"/>
  <c r="K539" i="13"/>
  <c r="L538" i="13"/>
  <c r="K538" i="13"/>
  <c r="L537" i="13"/>
  <c r="K537" i="13"/>
  <c r="L536" i="13"/>
  <c r="K536" i="13"/>
  <c r="L535" i="13"/>
  <c r="K535" i="13"/>
  <c r="L534" i="13"/>
  <c r="K534" i="13"/>
  <c r="L533" i="13"/>
  <c r="K533" i="13"/>
  <c r="L532" i="13"/>
  <c r="K532" i="13"/>
  <c r="L531" i="13"/>
  <c r="K531" i="13"/>
  <c r="L530" i="13"/>
  <c r="K530" i="13"/>
  <c r="L529" i="13"/>
  <c r="K529" i="13"/>
  <c r="L528" i="13"/>
  <c r="K528" i="13"/>
  <c r="L527" i="13"/>
  <c r="K527" i="13"/>
  <c r="L526" i="13"/>
  <c r="K526" i="13"/>
  <c r="L525" i="13"/>
  <c r="K525" i="13"/>
  <c r="L524" i="13"/>
  <c r="K524" i="13"/>
  <c r="L523" i="13"/>
  <c r="K523" i="13"/>
  <c r="L522" i="13"/>
  <c r="K522" i="13"/>
  <c r="L521" i="13"/>
  <c r="K521" i="13"/>
  <c r="L520" i="13"/>
  <c r="K520" i="13"/>
  <c r="L519" i="13"/>
  <c r="K519" i="13"/>
  <c r="L518" i="13"/>
  <c r="K518" i="13"/>
  <c r="L517" i="13"/>
  <c r="K517" i="13"/>
  <c r="L516" i="13"/>
  <c r="K516" i="13"/>
  <c r="L515" i="13"/>
  <c r="K515" i="13"/>
  <c r="L514" i="13"/>
  <c r="K514" i="13"/>
  <c r="L513" i="13"/>
  <c r="K513" i="13"/>
  <c r="L512" i="13"/>
  <c r="K512" i="13"/>
  <c r="L511" i="13"/>
  <c r="K511" i="13"/>
  <c r="L510" i="13"/>
  <c r="K510" i="13"/>
  <c r="L509" i="13"/>
  <c r="K509" i="13"/>
  <c r="L508" i="13"/>
  <c r="K508" i="13"/>
  <c r="L507" i="13"/>
  <c r="K507" i="13"/>
  <c r="L506" i="13"/>
  <c r="K506" i="13"/>
  <c r="L505" i="13"/>
  <c r="K505" i="13"/>
  <c r="L504" i="13"/>
  <c r="K504" i="13"/>
  <c r="L503" i="13"/>
  <c r="K503" i="13"/>
  <c r="L502" i="13"/>
  <c r="K502" i="13"/>
  <c r="L501" i="13"/>
  <c r="K501" i="13"/>
  <c r="L500" i="13"/>
  <c r="K500" i="13"/>
  <c r="L499" i="13"/>
  <c r="K499" i="13"/>
  <c r="L498" i="13"/>
  <c r="K498" i="13"/>
  <c r="L497" i="13"/>
  <c r="K497" i="13"/>
  <c r="L496" i="13"/>
  <c r="K496" i="13"/>
  <c r="L495" i="13"/>
  <c r="K495" i="13"/>
  <c r="L494" i="13"/>
  <c r="K494" i="13"/>
  <c r="L493" i="13"/>
  <c r="K493" i="13"/>
  <c r="L492" i="13"/>
  <c r="K492" i="13"/>
  <c r="L491" i="13"/>
  <c r="K491" i="13"/>
  <c r="L490" i="13"/>
  <c r="K490" i="13"/>
  <c r="L489" i="13"/>
  <c r="K489" i="13"/>
  <c r="L488" i="13"/>
  <c r="K488" i="13"/>
  <c r="L487" i="13"/>
  <c r="K487" i="13"/>
  <c r="L486" i="13"/>
  <c r="K486" i="13"/>
  <c r="L485" i="13"/>
  <c r="K485" i="13"/>
  <c r="L484" i="13"/>
  <c r="K484" i="13"/>
  <c r="L483" i="13"/>
  <c r="K483" i="13"/>
  <c r="L482" i="13"/>
  <c r="K482" i="13"/>
  <c r="L481" i="13"/>
  <c r="K481" i="13"/>
  <c r="L480" i="13"/>
  <c r="K480" i="13"/>
  <c r="L479" i="13"/>
  <c r="K479" i="13"/>
  <c r="L478" i="13"/>
  <c r="K478" i="13"/>
  <c r="L477" i="13"/>
  <c r="K477" i="13"/>
  <c r="L476" i="13"/>
  <c r="K476" i="13"/>
  <c r="L475" i="13"/>
  <c r="K475" i="13"/>
  <c r="L474" i="13"/>
  <c r="K474" i="13"/>
  <c r="L473" i="13"/>
  <c r="K473" i="13"/>
  <c r="L472" i="13"/>
  <c r="K472" i="13"/>
  <c r="L471" i="13"/>
  <c r="K471" i="13"/>
  <c r="L470" i="13"/>
  <c r="K470" i="13"/>
  <c r="L469" i="13"/>
  <c r="K469" i="13"/>
  <c r="L468" i="13"/>
  <c r="K468" i="13"/>
  <c r="L467" i="13"/>
  <c r="K467" i="13"/>
  <c r="L466" i="13"/>
  <c r="K466" i="13"/>
  <c r="L465" i="13"/>
  <c r="K465" i="13"/>
  <c r="L464" i="13"/>
  <c r="K464" i="13"/>
  <c r="L463" i="13"/>
  <c r="K463" i="13"/>
  <c r="L462" i="13"/>
  <c r="K462" i="13"/>
  <c r="L461" i="13"/>
  <c r="K461" i="13"/>
  <c r="L460" i="13"/>
  <c r="K460" i="13"/>
  <c r="L459" i="13"/>
  <c r="K459" i="13"/>
  <c r="L458" i="13"/>
  <c r="K458" i="13"/>
  <c r="L457" i="13"/>
  <c r="K457" i="13"/>
  <c r="L456" i="13"/>
  <c r="K456" i="13"/>
  <c r="L455" i="13"/>
  <c r="K455" i="13"/>
  <c r="L454" i="13"/>
  <c r="K454" i="13"/>
  <c r="L453" i="13"/>
  <c r="K453" i="13"/>
  <c r="L452" i="13"/>
  <c r="K452" i="13"/>
  <c r="L451" i="13"/>
  <c r="K451" i="13"/>
  <c r="L450" i="13"/>
  <c r="K450" i="13"/>
  <c r="L449" i="13"/>
  <c r="K449" i="13"/>
  <c r="L448" i="13"/>
  <c r="K448" i="13"/>
  <c r="L447" i="13"/>
  <c r="K447" i="13"/>
  <c r="L446" i="13"/>
  <c r="K446" i="13"/>
  <c r="L445" i="13"/>
  <c r="K445" i="13"/>
  <c r="L444" i="13"/>
  <c r="K444" i="13"/>
  <c r="L443" i="13"/>
  <c r="K443" i="13"/>
  <c r="L442" i="13"/>
  <c r="K442" i="13"/>
  <c r="L441" i="13"/>
  <c r="K441" i="13"/>
  <c r="L440" i="13"/>
  <c r="K440" i="13"/>
  <c r="L439" i="13"/>
  <c r="K439" i="13"/>
  <c r="L438" i="13"/>
  <c r="K438" i="13"/>
  <c r="L437" i="13"/>
  <c r="K437" i="13"/>
  <c r="L436" i="13"/>
  <c r="K436" i="13"/>
  <c r="L435" i="13"/>
  <c r="K435" i="13"/>
  <c r="L434" i="13"/>
  <c r="K434" i="13"/>
  <c r="L433" i="13"/>
  <c r="K433" i="13"/>
  <c r="L432" i="13"/>
  <c r="K432" i="13"/>
  <c r="L431" i="13"/>
  <c r="K431" i="13"/>
  <c r="L430" i="13"/>
  <c r="K430" i="13"/>
  <c r="L429" i="13"/>
  <c r="K429" i="13"/>
  <c r="L428" i="13"/>
  <c r="K428" i="13"/>
  <c r="L427" i="13"/>
  <c r="K427" i="13"/>
  <c r="L426" i="13"/>
  <c r="K426" i="13"/>
  <c r="L425" i="13"/>
  <c r="K425" i="13"/>
  <c r="L424" i="13"/>
  <c r="K424" i="13"/>
  <c r="L423" i="13"/>
  <c r="K423" i="13"/>
  <c r="L422" i="13"/>
  <c r="K422" i="13"/>
  <c r="L421" i="13"/>
  <c r="K421" i="13"/>
  <c r="L420" i="13"/>
  <c r="K420" i="13"/>
  <c r="L419" i="13"/>
  <c r="K419" i="13"/>
  <c r="L418" i="13"/>
  <c r="K418" i="13"/>
  <c r="L417" i="13"/>
  <c r="K417" i="13"/>
  <c r="L416" i="13"/>
  <c r="K416" i="13"/>
  <c r="L415" i="13"/>
  <c r="K415" i="13"/>
  <c r="L414" i="13"/>
  <c r="K414" i="13"/>
  <c r="L413" i="13"/>
  <c r="K413" i="13"/>
  <c r="L412" i="13"/>
  <c r="K412" i="13"/>
  <c r="L411" i="13"/>
  <c r="K411" i="13"/>
  <c r="L410" i="13"/>
  <c r="K410" i="13"/>
  <c r="L409" i="13"/>
  <c r="K409" i="13"/>
  <c r="L408" i="13"/>
  <c r="K408" i="13"/>
  <c r="L407" i="13"/>
  <c r="K407" i="13"/>
  <c r="L406" i="13"/>
  <c r="K406" i="13"/>
  <c r="L405" i="13"/>
  <c r="K405" i="13"/>
  <c r="L404" i="13"/>
  <c r="K404" i="13"/>
  <c r="L403" i="13"/>
  <c r="K403" i="13"/>
  <c r="L402" i="13"/>
  <c r="K402" i="13"/>
  <c r="L401" i="13"/>
  <c r="K401" i="13"/>
  <c r="L400" i="13"/>
  <c r="K400" i="13"/>
  <c r="L399" i="13"/>
  <c r="K399" i="13"/>
  <c r="L398" i="13"/>
  <c r="K398" i="13"/>
  <c r="L397" i="13"/>
  <c r="K397" i="13"/>
  <c r="L396" i="13"/>
  <c r="K396" i="13"/>
  <c r="L395" i="13"/>
  <c r="K395" i="13"/>
  <c r="L394" i="13"/>
  <c r="K394" i="13"/>
  <c r="L393" i="13"/>
  <c r="K393" i="13"/>
  <c r="L392" i="13"/>
  <c r="K392" i="13"/>
  <c r="L391" i="13"/>
  <c r="K391" i="13"/>
  <c r="L390" i="13"/>
  <c r="K390" i="13"/>
  <c r="L389" i="13"/>
  <c r="K389" i="13"/>
  <c r="L388" i="13"/>
  <c r="K388" i="13"/>
  <c r="L387" i="13"/>
  <c r="K387" i="13"/>
  <c r="L386" i="13"/>
  <c r="K386" i="13"/>
  <c r="L385" i="13"/>
  <c r="K385" i="13"/>
  <c r="L384" i="13"/>
  <c r="K384" i="13"/>
  <c r="L383" i="13"/>
  <c r="K383" i="13"/>
  <c r="L382" i="13"/>
  <c r="K382" i="13"/>
  <c r="L381" i="13"/>
  <c r="K381" i="13"/>
  <c r="L380" i="13"/>
  <c r="K380" i="13"/>
  <c r="L379" i="13"/>
  <c r="K379" i="13"/>
  <c r="L378" i="13"/>
  <c r="K378" i="13"/>
  <c r="L377" i="13"/>
  <c r="K377" i="13"/>
  <c r="L376" i="13"/>
  <c r="K376" i="13"/>
  <c r="L375" i="13"/>
  <c r="K375" i="13"/>
  <c r="L374" i="13"/>
  <c r="K374" i="13"/>
  <c r="L373" i="13"/>
  <c r="K373" i="13"/>
  <c r="L372" i="13"/>
  <c r="K372" i="13"/>
  <c r="L371" i="13"/>
  <c r="K371" i="13"/>
  <c r="L370" i="13"/>
  <c r="K370" i="13"/>
  <c r="L369" i="13"/>
  <c r="K369" i="13"/>
  <c r="L368" i="13"/>
  <c r="K368" i="13"/>
  <c r="L367" i="13"/>
  <c r="K367" i="13"/>
  <c r="L366" i="13"/>
  <c r="K366" i="13"/>
  <c r="L365" i="13"/>
  <c r="K365" i="13"/>
  <c r="L364" i="13"/>
  <c r="K364" i="13"/>
  <c r="L363" i="13"/>
  <c r="K363" i="13"/>
  <c r="L362" i="13"/>
  <c r="K362" i="13"/>
  <c r="L361" i="13"/>
  <c r="K361" i="13"/>
  <c r="L360" i="13"/>
  <c r="K360" i="13"/>
  <c r="L359" i="13"/>
  <c r="K359" i="13"/>
  <c r="L358" i="13"/>
  <c r="K358" i="13"/>
  <c r="L357" i="13"/>
  <c r="K357" i="13"/>
  <c r="L356" i="13"/>
  <c r="K356" i="13"/>
  <c r="L355" i="13"/>
  <c r="K355" i="13"/>
  <c r="L354" i="13"/>
  <c r="K354" i="13"/>
  <c r="L353" i="13"/>
  <c r="K353" i="13"/>
  <c r="L352" i="13"/>
  <c r="K352" i="13"/>
  <c r="L351" i="13"/>
  <c r="K351" i="13"/>
  <c r="L350" i="13"/>
  <c r="K350" i="13"/>
  <c r="L349" i="13"/>
  <c r="K349" i="13"/>
  <c r="L348" i="13"/>
  <c r="K348" i="13"/>
  <c r="L347" i="13"/>
  <c r="K347" i="13"/>
  <c r="L346" i="13"/>
  <c r="K346" i="13"/>
  <c r="L345" i="13"/>
  <c r="K345" i="13"/>
  <c r="L344" i="13"/>
  <c r="K344" i="13"/>
  <c r="L343" i="13"/>
  <c r="K343" i="13"/>
  <c r="L342" i="13"/>
  <c r="K342" i="13"/>
  <c r="L341" i="13"/>
  <c r="K341" i="13"/>
  <c r="L340" i="13"/>
  <c r="K340" i="13"/>
  <c r="L339" i="13"/>
  <c r="K339" i="13"/>
  <c r="L338" i="13"/>
  <c r="K338" i="13"/>
  <c r="L337" i="13"/>
  <c r="K337" i="13"/>
  <c r="L336" i="13"/>
  <c r="K336" i="13"/>
  <c r="L335" i="13"/>
  <c r="K335" i="13"/>
  <c r="L334" i="13"/>
  <c r="K334" i="13"/>
  <c r="L333" i="13"/>
  <c r="K333" i="13"/>
  <c r="L332" i="13"/>
  <c r="K332" i="13"/>
  <c r="L331" i="13"/>
  <c r="K331" i="13"/>
  <c r="L330" i="13"/>
  <c r="K330" i="13"/>
  <c r="L329" i="13"/>
  <c r="K329" i="13"/>
  <c r="L328" i="13"/>
  <c r="K328" i="13"/>
  <c r="L327" i="13"/>
  <c r="K327" i="13"/>
  <c r="L326" i="13"/>
  <c r="K326" i="13"/>
  <c r="L325" i="13"/>
  <c r="K325" i="13"/>
  <c r="L324" i="13"/>
  <c r="K324" i="13"/>
  <c r="L323" i="13"/>
  <c r="K323" i="13"/>
  <c r="L322" i="13"/>
  <c r="K322" i="13"/>
  <c r="L321" i="13"/>
  <c r="K321" i="13"/>
  <c r="L320" i="13"/>
  <c r="K320" i="13"/>
  <c r="L319" i="13"/>
  <c r="K319" i="13"/>
  <c r="L318" i="13"/>
  <c r="K318" i="13"/>
  <c r="L317" i="13"/>
  <c r="K317" i="13"/>
  <c r="L316" i="13"/>
  <c r="K316" i="13"/>
  <c r="L315" i="13"/>
  <c r="K315" i="13"/>
  <c r="L314" i="13"/>
  <c r="K314" i="13"/>
  <c r="L313" i="13"/>
  <c r="K313" i="13"/>
  <c r="L312" i="13"/>
  <c r="K312" i="13"/>
  <c r="L311" i="13"/>
  <c r="K311" i="13"/>
  <c r="L310" i="13"/>
  <c r="K310" i="13"/>
  <c r="L309" i="13"/>
  <c r="K309" i="13"/>
  <c r="L308" i="13"/>
  <c r="K308" i="13"/>
  <c r="L307" i="13"/>
  <c r="K307" i="13"/>
  <c r="L306" i="13"/>
  <c r="K306" i="13"/>
  <c r="L305" i="13"/>
  <c r="K305" i="13"/>
  <c r="L304" i="13"/>
  <c r="K304" i="13"/>
  <c r="L303" i="13"/>
  <c r="K303" i="13"/>
  <c r="L302" i="13"/>
  <c r="K302" i="13"/>
  <c r="L301" i="13"/>
  <c r="K301" i="13"/>
  <c r="K300" i="13"/>
  <c r="L299" i="13"/>
  <c r="K299" i="13"/>
  <c r="L298" i="13"/>
  <c r="K298" i="13"/>
  <c r="L297" i="13"/>
  <c r="K297" i="13"/>
  <c r="L296" i="13"/>
  <c r="K296" i="13"/>
  <c r="L295" i="13"/>
  <c r="K295" i="13"/>
  <c r="L294" i="13"/>
  <c r="K294" i="13"/>
  <c r="L293" i="13"/>
  <c r="K293" i="13"/>
  <c r="L292" i="13"/>
  <c r="K292" i="13"/>
  <c r="L291" i="13"/>
  <c r="K291" i="13"/>
  <c r="L290" i="13"/>
  <c r="K290" i="13"/>
  <c r="L289" i="13"/>
  <c r="K289" i="13"/>
  <c r="L288" i="13"/>
  <c r="K288" i="13"/>
  <c r="L287" i="13"/>
  <c r="K287" i="13"/>
  <c r="L286" i="13"/>
  <c r="K286" i="13"/>
  <c r="L285" i="13"/>
  <c r="K285" i="13"/>
  <c r="L284" i="13"/>
  <c r="K284" i="13"/>
  <c r="L283" i="13"/>
  <c r="K283" i="13"/>
  <c r="L282" i="13"/>
  <c r="K282" i="13"/>
  <c r="L281" i="13"/>
  <c r="K281" i="13"/>
  <c r="L280" i="13"/>
  <c r="K280" i="13"/>
  <c r="L279" i="13"/>
  <c r="K279" i="13"/>
  <c r="L278" i="13"/>
  <c r="K278" i="13"/>
  <c r="L277" i="13"/>
  <c r="K277" i="13"/>
  <c r="L276" i="13"/>
  <c r="K276" i="13"/>
  <c r="L275" i="13"/>
  <c r="K275" i="13"/>
  <c r="L274" i="13"/>
  <c r="K274" i="13"/>
  <c r="L273" i="13"/>
  <c r="K273" i="13"/>
  <c r="L272" i="13"/>
  <c r="K272" i="13"/>
  <c r="L271" i="13"/>
  <c r="K271" i="13"/>
  <c r="L270" i="13"/>
  <c r="K270" i="13"/>
  <c r="L269" i="13"/>
  <c r="K269" i="13"/>
  <c r="L268" i="13"/>
  <c r="K268" i="13"/>
  <c r="L267" i="13"/>
  <c r="K267" i="13"/>
  <c r="L266" i="13"/>
  <c r="K266" i="13"/>
  <c r="L265" i="13"/>
  <c r="K265" i="13"/>
  <c r="L264" i="13"/>
  <c r="K264" i="13"/>
  <c r="L263" i="13"/>
  <c r="K263" i="13"/>
  <c r="L262" i="13"/>
  <c r="K262" i="13"/>
  <c r="L261" i="13"/>
  <c r="K261" i="13"/>
  <c r="L260" i="13"/>
  <c r="K260" i="13"/>
  <c r="L259" i="13"/>
  <c r="K259" i="13"/>
  <c r="L258" i="13"/>
  <c r="K258" i="13"/>
  <c r="L257" i="13"/>
  <c r="K257" i="13"/>
  <c r="L256" i="13"/>
  <c r="K256" i="13"/>
  <c r="L255" i="13"/>
  <c r="K255" i="13"/>
  <c r="L254" i="13"/>
  <c r="K254" i="13"/>
  <c r="L253" i="13"/>
  <c r="K253" i="13"/>
  <c r="L252" i="13"/>
  <c r="K252" i="13"/>
  <c r="L251" i="13"/>
  <c r="K251" i="13"/>
  <c r="L250" i="13"/>
  <c r="K250" i="13"/>
  <c r="L249" i="13"/>
  <c r="K249" i="13"/>
  <c r="L248" i="13"/>
  <c r="K248" i="13"/>
  <c r="L247" i="13"/>
  <c r="K247" i="13"/>
  <c r="L246" i="13"/>
  <c r="K246" i="13"/>
  <c r="L245" i="13"/>
  <c r="K245" i="13"/>
  <c r="L244" i="13"/>
  <c r="K244" i="13"/>
  <c r="L243" i="13"/>
  <c r="K243" i="13"/>
  <c r="L242" i="13"/>
  <c r="K242" i="13"/>
  <c r="L241" i="13"/>
  <c r="K241" i="13"/>
  <c r="L240" i="13"/>
  <c r="K240" i="13"/>
  <c r="L239" i="13"/>
  <c r="K239" i="13"/>
  <c r="L238" i="13"/>
  <c r="K238" i="13"/>
  <c r="L237" i="13"/>
  <c r="K237" i="13"/>
  <c r="L236" i="13"/>
  <c r="K236" i="13"/>
  <c r="L235" i="13"/>
  <c r="K235" i="13"/>
  <c r="L234" i="13"/>
  <c r="K234" i="13"/>
  <c r="L233" i="13"/>
  <c r="K233" i="13"/>
  <c r="L232" i="13"/>
  <c r="K232" i="13"/>
  <c r="L231" i="13"/>
  <c r="K231" i="13"/>
  <c r="L230" i="13"/>
  <c r="K230" i="13"/>
  <c r="L229" i="13"/>
  <c r="K229" i="13"/>
  <c r="L228" i="13"/>
  <c r="K228" i="13"/>
  <c r="L227" i="13"/>
  <c r="K227" i="13"/>
  <c r="L226" i="13"/>
  <c r="K226" i="13"/>
  <c r="L225" i="13"/>
  <c r="K225" i="13"/>
  <c r="L224" i="13"/>
  <c r="K224" i="13"/>
  <c r="L223" i="13"/>
  <c r="K223" i="13"/>
  <c r="L222" i="13"/>
  <c r="K222" i="13"/>
  <c r="L221" i="13"/>
  <c r="K221" i="13"/>
  <c r="L220" i="13"/>
  <c r="K220" i="13"/>
  <c r="L219" i="13"/>
  <c r="K219" i="13"/>
  <c r="L218" i="13"/>
  <c r="K218" i="13"/>
  <c r="L217" i="13"/>
  <c r="K217" i="13"/>
  <c r="L216" i="13"/>
  <c r="K216" i="13"/>
  <c r="L215" i="13"/>
  <c r="K215" i="13"/>
  <c r="L214" i="13"/>
  <c r="K214" i="13"/>
  <c r="L213" i="13"/>
  <c r="K213" i="13"/>
  <c r="L212" i="13"/>
  <c r="K212" i="13"/>
  <c r="L211" i="13"/>
  <c r="K211" i="13"/>
  <c r="L210" i="13"/>
  <c r="K210" i="13"/>
  <c r="L209" i="13"/>
  <c r="K209" i="13"/>
  <c r="L208" i="13"/>
  <c r="K208" i="13"/>
  <c r="L207" i="13"/>
  <c r="K207" i="13"/>
  <c r="L206" i="13"/>
  <c r="K206" i="13"/>
  <c r="L205" i="13"/>
  <c r="K205" i="13"/>
  <c r="L204" i="13"/>
  <c r="K204" i="13"/>
  <c r="L203" i="13"/>
  <c r="K203" i="13"/>
  <c r="L202" i="13"/>
  <c r="K202" i="13"/>
  <c r="L201" i="13"/>
  <c r="K201" i="13"/>
  <c r="L200" i="13"/>
  <c r="K200" i="13"/>
  <c r="L199" i="13"/>
  <c r="K199" i="13"/>
  <c r="L198" i="13"/>
  <c r="K198" i="13"/>
  <c r="L197" i="13"/>
  <c r="K197" i="13"/>
  <c r="L196" i="13"/>
  <c r="K196" i="13"/>
  <c r="L195" i="13"/>
  <c r="K195" i="13"/>
  <c r="L194" i="13"/>
  <c r="K194" i="13"/>
  <c r="L193" i="13"/>
  <c r="K193" i="13"/>
  <c r="L192" i="13"/>
  <c r="K192" i="13"/>
  <c r="L191" i="13"/>
  <c r="K191" i="13"/>
  <c r="L190" i="13"/>
  <c r="K190" i="13"/>
  <c r="L189" i="13"/>
  <c r="K189" i="13"/>
  <c r="L188" i="13"/>
  <c r="K188" i="13"/>
  <c r="L187" i="13"/>
  <c r="K187" i="13"/>
  <c r="L186" i="13"/>
  <c r="K186" i="13"/>
  <c r="L185" i="13"/>
  <c r="K185" i="13"/>
  <c r="L184" i="13"/>
  <c r="K184" i="13"/>
  <c r="L183" i="13"/>
  <c r="K183" i="13"/>
  <c r="L182" i="13"/>
  <c r="K182" i="13"/>
  <c r="L181" i="13"/>
  <c r="K181" i="13"/>
  <c r="L180" i="13"/>
  <c r="K180" i="13"/>
  <c r="L179" i="13"/>
  <c r="K179" i="13"/>
  <c r="L178" i="13"/>
  <c r="K178" i="13"/>
  <c r="L177" i="13"/>
  <c r="K177" i="13"/>
  <c r="L176" i="13"/>
  <c r="K176" i="13"/>
  <c r="L175" i="13"/>
  <c r="K175" i="13"/>
  <c r="L174" i="13"/>
  <c r="K174" i="13"/>
  <c r="L173" i="13"/>
  <c r="K173" i="13"/>
  <c r="L172" i="13"/>
  <c r="K172" i="13"/>
  <c r="L171" i="13"/>
  <c r="K171" i="13"/>
  <c r="L170" i="13"/>
  <c r="K170" i="13"/>
  <c r="L169" i="13"/>
  <c r="K169" i="13"/>
  <c r="L168" i="13"/>
  <c r="K168" i="13"/>
  <c r="L167" i="13"/>
  <c r="K167" i="13"/>
  <c r="L166" i="13"/>
  <c r="K166" i="13"/>
  <c r="L165" i="13"/>
  <c r="K165" i="13"/>
  <c r="L164" i="13"/>
  <c r="K164" i="13"/>
  <c r="L163" i="13"/>
  <c r="K163" i="13"/>
  <c r="L162" i="13"/>
  <c r="K162" i="13"/>
  <c r="L161" i="13"/>
  <c r="K161" i="13"/>
  <c r="L160" i="13"/>
  <c r="K160" i="13"/>
  <c r="L159" i="13"/>
  <c r="K159" i="13"/>
  <c r="L158" i="13"/>
  <c r="K158" i="13"/>
  <c r="L157" i="13"/>
  <c r="K157" i="13"/>
  <c r="L156" i="13"/>
  <c r="K156" i="13"/>
  <c r="L155" i="13"/>
  <c r="K155" i="13"/>
  <c r="L154" i="13"/>
  <c r="K154" i="13"/>
  <c r="L153" i="13"/>
  <c r="K153" i="13"/>
  <c r="L152" i="13"/>
  <c r="K152" i="13"/>
  <c r="L151" i="13"/>
  <c r="K151" i="13"/>
  <c r="L150" i="13"/>
  <c r="K150" i="13"/>
  <c r="L149" i="13"/>
  <c r="K149" i="13"/>
  <c r="L148" i="13"/>
  <c r="K148" i="13"/>
  <c r="L147" i="13"/>
  <c r="K147" i="13"/>
  <c r="L146" i="13"/>
  <c r="K146" i="13"/>
  <c r="L145" i="13"/>
  <c r="K145" i="13"/>
  <c r="L144" i="13"/>
  <c r="K144" i="13"/>
  <c r="L143" i="13"/>
  <c r="K143" i="13"/>
  <c r="L142" i="13"/>
  <c r="K142" i="13"/>
  <c r="L141" i="13"/>
  <c r="K141" i="13"/>
  <c r="L140" i="13"/>
  <c r="K140" i="13"/>
  <c r="L139" i="13"/>
  <c r="K139" i="13"/>
  <c r="L138" i="13"/>
  <c r="K138" i="13"/>
  <c r="L137" i="13"/>
  <c r="K137" i="13"/>
  <c r="L136" i="13"/>
  <c r="K136" i="13"/>
  <c r="L135" i="13"/>
  <c r="K135" i="13"/>
  <c r="L134" i="13"/>
  <c r="K134" i="13"/>
  <c r="L133" i="13"/>
  <c r="K133" i="13"/>
  <c r="L132" i="13"/>
  <c r="K132" i="13"/>
  <c r="L131" i="13"/>
  <c r="K131" i="13"/>
  <c r="L130" i="13"/>
  <c r="K130" i="13"/>
  <c r="L129" i="13"/>
  <c r="K129" i="13"/>
  <c r="L128" i="13"/>
  <c r="K128" i="13"/>
  <c r="L127" i="13"/>
  <c r="K127" i="13"/>
  <c r="L126" i="13"/>
  <c r="K126" i="13"/>
  <c r="L125" i="13"/>
  <c r="K125" i="13"/>
  <c r="L124" i="13"/>
  <c r="K124" i="13"/>
  <c r="L123" i="13"/>
  <c r="K123" i="13"/>
  <c r="L122" i="13"/>
  <c r="K122" i="13"/>
  <c r="L121" i="13"/>
  <c r="K121" i="13"/>
  <c r="L120" i="13"/>
  <c r="K120" i="13"/>
  <c r="L119" i="13"/>
  <c r="K119" i="13"/>
  <c r="L118" i="13"/>
  <c r="K118" i="13"/>
  <c r="L117" i="13"/>
  <c r="K117" i="13"/>
  <c r="L116" i="13"/>
  <c r="K116" i="13"/>
  <c r="L115" i="13"/>
  <c r="K115" i="13"/>
  <c r="L114" i="13"/>
  <c r="K114" i="13"/>
  <c r="L113" i="13"/>
  <c r="K113" i="13"/>
  <c r="L112" i="13"/>
  <c r="K112" i="13"/>
  <c r="L111" i="13"/>
  <c r="K111" i="13"/>
  <c r="L110" i="13"/>
  <c r="K110" i="13"/>
  <c r="L109" i="13"/>
  <c r="K109" i="13"/>
  <c r="L108" i="13"/>
  <c r="K108" i="13"/>
  <c r="L107" i="13"/>
  <c r="K107" i="13"/>
  <c r="L106" i="13"/>
  <c r="K106" i="13"/>
  <c r="L105" i="13"/>
  <c r="K105" i="13"/>
  <c r="L104" i="13"/>
  <c r="K104" i="13"/>
  <c r="L103" i="13"/>
  <c r="K103" i="13"/>
  <c r="L102" i="13"/>
  <c r="K102" i="13"/>
  <c r="L101" i="13"/>
  <c r="K101" i="13"/>
  <c r="L100" i="13"/>
  <c r="K100" i="13"/>
  <c r="L99" i="13"/>
  <c r="K99" i="13"/>
  <c r="L98" i="13"/>
  <c r="K98" i="13"/>
  <c r="L97" i="13"/>
  <c r="K97" i="13"/>
  <c r="L96" i="13"/>
  <c r="K96" i="13"/>
  <c r="L95" i="13"/>
  <c r="K95" i="13"/>
  <c r="L94" i="13"/>
  <c r="K94" i="13"/>
  <c r="L93" i="13"/>
  <c r="K93" i="13"/>
  <c r="L92" i="13"/>
  <c r="K92" i="13"/>
  <c r="L91" i="13"/>
  <c r="K91" i="13"/>
  <c r="L90" i="13"/>
  <c r="K90" i="13"/>
  <c r="L89" i="13"/>
  <c r="K89" i="13"/>
  <c r="L88" i="13"/>
  <c r="K88" i="13"/>
  <c r="L87" i="13"/>
  <c r="K87" i="13"/>
  <c r="L86" i="13"/>
  <c r="K86" i="13"/>
  <c r="L85" i="13"/>
  <c r="K85" i="13"/>
  <c r="L84" i="13"/>
  <c r="K84" i="13"/>
  <c r="L83" i="13"/>
  <c r="K83" i="13"/>
  <c r="L82" i="13"/>
  <c r="K82" i="13"/>
  <c r="L81" i="13"/>
  <c r="K81" i="13"/>
  <c r="L80" i="13"/>
  <c r="K80" i="13"/>
  <c r="L79" i="13"/>
  <c r="K79" i="13"/>
  <c r="L78" i="13"/>
  <c r="K78" i="13"/>
  <c r="L77" i="13"/>
  <c r="K77" i="13"/>
  <c r="L76" i="13"/>
  <c r="K76" i="13"/>
  <c r="L75" i="13"/>
  <c r="K75" i="13"/>
  <c r="L74" i="13"/>
  <c r="K74" i="13"/>
  <c r="L73" i="13"/>
  <c r="K73" i="13"/>
  <c r="L72" i="13"/>
  <c r="K72" i="13"/>
  <c r="L71" i="13"/>
  <c r="K71" i="13"/>
  <c r="L70" i="13"/>
  <c r="K70" i="13"/>
  <c r="L69" i="13"/>
  <c r="K69" i="13"/>
  <c r="L68" i="13"/>
  <c r="K68" i="13"/>
  <c r="L67" i="13"/>
  <c r="K67" i="13"/>
  <c r="L66" i="13"/>
  <c r="K66" i="13"/>
  <c r="L65" i="13"/>
  <c r="K65" i="13"/>
  <c r="L64" i="13"/>
  <c r="K64" i="13"/>
  <c r="L63" i="13"/>
  <c r="K63" i="13"/>
  <c r="L62" i="13"/>
  <c r="K62" i="13"/>
  <c r="L61" i="13"/>
  <c r="K61" i="13"/>
  <c r="L60" i="13"/>
  <c r="K60" i="13"/>
  <c r="L59" i="13"/>
  <c r="K59" i="13"/>
  <c r="L58" i="13"/>
  <c r="K58" i="13"/>
  <c r="L57" i="13"/>
  <c r="K57" i="13"/>
  <c r="L56" i="13"/>
  <c r="K56" i="13"/>
  <c r="L55" i="13"/>
  <c r="K55" i="13"/>
  <c r="L54" i="13"/>
  <c r="K54" i="13"/>
  <c r="L53" i="13"/>
  <c r="K53" i="13"/>
  <c r="L52" i="13"/>
  <c r="K52" i="13"/>
  <c r="L51" i="13"/>
  <c r="K51" i="13"/>
  <c r="L50" i="13"/>
  <c r="K50" i="13"/>
  <c r="L49" i="13"/>
  <c r="K49" i="13"/>
  <c r="L48" i="13"/>
  <c r="K48" i="13"/>
  <c r="L47" i="13"/>
  <c r="K47" i="13"/>
  <c r="L46" i="13"/>
  <c r="K46" i="13"/>
  <c r="L45" i="13"/>
  <c r="K45" i="13"/>
  <c r="L44" i="13"/>
  <c r="K44" i="13"/>
  <c r="L43" i="13"/>
  <c r="K43" i="13"/>
  <c r="L42" i="13"/>
  <c r="K42" i="13"/>
  <c r="L41" i="13"/>
  <c r="K41" i="13"/>
  <c r="L40" i="13"/>
  <c r="K40" i="13"/>
  <c r="L39" i="13"/>
  <c r="K39" i="13"/>
  <c r="L38" i="13"/>
  <c r="K38" i="13"/>
  <c r="L37" i="13"/>
  <c r="K37" i="13"/>
  <c r="L36" i="13"/>
  <c r="K36" i="13"/>
  <c r="L35" i="13"/>
  <c r="K35" i="13"/>
  <c r="L34" i="13"/>
  <c r="K34" i="13"/>
  <c r="L33" i="13"/>
  <c r="K33" i="13"/>
  <c r="L32" i="13"/>
  <c r="K32" i="13"/>
  <c r="L31" i="13"/>
  <c r="K31" i="13"/>
  <c r="L30" i="13"/>
  <c r="K30" i="13"/>
  <c r="L29" i="13"/>
  <c r="K29" i="13"/>
  <c r="L28" i="13"/>
  <c r="K28" i="13"/>
  <c r="L27" i="13"/>
  <c r="K27" i="13"/>
  <c r="L26" i="13"/>
  <c r="K26" i="13"/>
  <c r="L25" i="13"/>
  <c r="K25" i="13"/>
  <c r="L24" i="13"/>
  <c r="K24" i="13"/>
  <c r="L23" i="13"/>
  <c r="K23" i="13"/>
  <c r="L22" i="13"/>
  <c r="K22" i="13"/>
  <c r="L21" i="13"/>
  <c r="K21" i="13"/>
  <c r="L20" i="13"/>
  <c r="K20" i="13"/>
  <c r="L19" i="13"/>
  <c r="K19" i="13"/>
  <c r="L18" i="13"/>
  <c r="K18" i="13"/>
  <c r="L17" i="13"/>
  <c r="K17" i="13"/>
  <c r="L16" i="13"/>
  <c r="K16" i="13"/>
  <c r="L15" i="13"/>
  <c r="K15" i="13"/>
  <c r="L14" i="13"/>
  <c r="K14" i="13"/>
  <c r="L13" i="13"/>
  <c r="K13" i="13"/>
  <c r="L12" i="13"/>
  <c r="K12" i="13"/>
  <c r="L11" i="13"/>
  <c r="K11" i="13"/>
  <c r="L10" i="13"/>
  <c r="K10" i="13"/>
  <c r="L9" i="13"/>
  <c r="K9" i="13"/>
  <c r="L8" i="13"/>
  <c r="K8" i="13"/>
  <c r="L7" i="13"/>
  <c r="K7" i="13"/>
  <c r="L6" i="13"/>
  <c r="K6" i="13"/>
  <c r="L5" i="13"/>
  <c r="K5" i="13"/>
  <c r="L4" i="13"/>
  <c r="K4" i="13"/>
  <c r="L3" i="13"/>
  <c r="K3" i="13"/>
  <c r="L2" i="13"/>
  <c r="K2" i="13"/>
  <c r="J262" i="13" l="1"/>
  <c r="I262" i="13"/>
  <c r="J261" i="13"/>
  <c r="I261" i="13"/>
  <c r="J260" i="13"/>
  <c r="I260" i="13"/>
  <c r="J259" i="13"/>
  <c r="I259" i="13"/>
  <c r="J258" i="13"/>
  <c r="I258" i="13"/>
  <c r="J257" i="13"/>
  <c r="I257" i="13"/>
  <c r="J256" i="13"/>
  <c r="I256" i="13"/>
  <c r="J255" i="13"/>
  <c r="I255" i="13"/>
  <c r="J254" i="13"/>
  <c r="I254" i="13"/>
  <c r="J253" i="13"/>
  <c r="I253" i="13"/>
  <c r="J252" i="13"/>
  <c r="I252" i="13"/>
  <c r="J251" i="13"/>
  <c r="I251" i="13"/>
  <c r="J250" i="13"/>
  <c r="I250" i="13"/>
  <c r="J249" i="13"/>
  <c r="I249" i="13"/>
  <c r="J248" i="13"/>
  <c r="I248" i="13"/>
  <c r="J247" i="13"/>
  <c r="I247" i="13"/>
  <c r="J246" i="13"/>
  <c r="I246" i="13"/>
  <c r="J245" i="13"/>
  <c r="I245" i="13"/>
  <c r="J244" i="13"/>
  <c r="I244" i="13"/>
  <c r="J243" i="13"/>
  <c r="I243" i="13"/>
  <c r="J242" i="13"/>
  <c r="I242" i="13"/>
  <c r="J241" i="13"/>
  <c r="I241" i="13"/>
  <c r="J240" i="13"/>
  <c r="I240" i="13"/>
  <c r="J239" i="13"/>
  <c r="I239" i="13"/>
  <c r="J238" i="13"/>
  <c r="I238" i="13"/>
  <c r="J237" i="13"/>
  <c r="I237" i="13"/>
  <c r="J236" i="13"/>
  <c r="I236" i="13"/>
  <c r="J235" i="13"/>
  <c r="I235" i="13"/>
  <c r="J234" i="13"/>
  <c r="I234" i="13"/>
  <c r="J233" i="13"/>
  <c r="I233" i="13"/>
  <c r="J232" i="13"/>
  <c r="I232" i="13"/>
  <c r="J231" i="13"/>
  <c r="I231" i="13"/>
  <c r="J230" i="13"/>
  <c r="I230" i="13"/>
  <c r="J229" i="13"/>
  <c r="I229" i="13"/>
  <c r="J228" i="13"/>
  <c r="I228" i="13"/>
  <c r="J227" i="13"/>
  <c r="I227" i="13"/>
  <c r="J226" i="13"/>
  <c r="I226" i="13"/>
  <c r="J225" i="13"/>
  <c r="I225" i="13"/>
  <c r="J224" i="13"/>
  <c r="I224" i="13"/>
  <c r="J223" i="13"/>
  <c r="I223" i="13"/>
  <c r="J222" i="13"/>
  <c r="I222" i="13"/>
  <c r="J221" i="13"/>
  <c r="I221" i="13"/>
  <c r="I220" i="13"/>
  <c r="J219" i="13"/>
  <c r="I219" i="13"/>
  <c r="J218" i="13"/>
  <c r="I218" i="13"/>
  <c r="J217" i="13"/>
  <c r="I217" i="13"/>
  <c r="J216" i="13"/>
  <c r="I216" i="13"/>
  <c r="J215" i="13"/>
  <c r="I215" i="13"/>
  <c r="J214" i="13"/>
  <c r="I214" i="13"/>
  <c r="J213" i="13"/>
  <c r="I213" i="13"/>
  <c r="J212" i="13"/>
  <c r="I212" i="13"/>
  <c r="J211" i="13"/>
  <c r="I211" i="13"/>
  <c r="J210" i="13"/>
  <c r="I210" i="13"/>
  <c r="J209" i="13"/>
  <c r="I209" i="13"/>
  <c r="J208" i="13"/>
  <c r="I208" i="13"/>
  <c r="J207" i="13"/>
  <c r="I207" i="13"/>
  <c r="J206" i="13"/>
  <c r="I206" i="13"/>
  <c r="J205" i="13"/>
  <c r="I205" i="13"/>
  <c r="J204" i="13"/>
  <c r="I204" i="13"/>
  <c r="J203" i="13"/>
  <c r="I203" i="13"/>
  <c r="J202" i="13"/>
  <c r="I202" i="13"/>
  <c r="J201" i="13"/>
  <c r="I201" i="13"/>
  <c r="J200" i="13"/>
  <c r="I200" i="13"/>
  <c r="J199" i="13"/>
  <c r="I199" i="13"/>
  <c r="J198" i="13"/>
  <c r="I198" i="13"/>
  <c r="J197" i="13"/>
  <c r="I197" i="13"/>
  <c r="J196" i="13"/>
  <c r="I196" i="13"/>
  <c r="J195" i="13"/>
  <c r="I195" i="13"/>
  <c r="J194" i="13"/>
  <c r="I194" i="13"/>
  <c r="J193" i="13"/>
  <c r="I193" i="13"/>
  <c r="J192" i="13"/>
  <c r="I192" i="13"/>
  <c r="J191" i="13"/>
  <c r="I191" i="13"/>
  <c r="J190" i="13"/>
  <c r="I190" i="13"/>
  <c r="J189" i="13"/>
  <c r="I189" i="13"/>
  <c r="J188" i="13"/>
  <c r="I188" i="13"/>
  <c r="J187" i="13"/>
  <c r="I187" i="13"/>
  <c r="J186" i="13"/>
  <c r="I186" i="13"/>
  <c r="J185" i="13"/>
  <c r="I185" i="13"/>
  <c r="J184" i="13"/>
  <c r="I184" i="13"/>
  <c r="J183" i="13"/>
  <c r="I183" i="13"/>
  <c r="J182" i="13"/>
  <c r="I182" i="13"/>
  <c r="J181" i="13"/>
  <c r="I181" i="13"/>
  <c r="J180" i="13"/>
  <c r="I180" i="13"/>
  <c r="J179" i="13"/>
  <c r="I179" i="13"/>
  <c r="J178" i="13"/>
  <c r="I178" i="13"/>
  <c r="J177" i="13"/>
  <c r="I177" i="13"/>
  <c r="J176" i="13"/>
  <c r="I176" i="13"/>
  <c r="J175" i="13"/>
  <c r="I175" i="13"/>
  <c r="J174" i="13"/>
  <c r="I174" i="13"/>
  <c r="J173" i="13"/>
  <c r="I173" i="13"/>
  <c r="J172" i="13"/>
  <c r="I172" i="13"/>
  <c r="J171" i="13"/>
  <c r="I171" i="13"/>
  <c r="J170" i="13"/>
  <c r="I170" i="13"/>
  <c r="J169" i="13"/>
  <c r="I169" i="13"/>
  <c r="J168" i="13"/>
  <c r="I168" i="13"/>
  <c r="J167" i="13"/>
  <c r="I167" i="13"/>
  <c r="J166" i="13"/>
  <c r="I166" i="13"/>
  <c r="J165" i="13"/>
  <c r="I165" i="13"/>
  <c r="J164" i="13"/>
  <c r="I164" i="13"/>
  <c r="J163" i="13"/>
  <c r="I163" i="13"/>
  <c r="J162" i="13"/>
  <c r="I162" i="13"/>
  <c r="J161" i="13"/>
  <c r="I161" i="13"/>
  <c r="J160" i="13"/>
  <c r="I160" i="13"/>
  <c r="J159" i="13"/>
  <c r="I159" i="13"/>
  <c r="J158" i="13"/>
  <c r="I158" i="13"/>
  <c r="J157" i="13"/>
  <c r="I157" i="13"/>
  <c r="J156" i="13"/>
  <c r="I156" i="13"/>
  <c r="J155" i="13"/>
  <c r="I155" i="13"/>
  <c r="J154" i="13"/>
  <c r="I154" i="13"/>
  <c r="J153" i="13"/>
  <c r="I153" i="13"/>
  <c r="J152" i="13"/>
  <c r="I152" i="13"/>
  <c r="J151" i="13"/>
  <c r="I151" i="13"/>
  <c r="J150" i="13"/>
  <c r="I150" i="13"/>
  <c r="J149" i="13"/>
  <c r="I149" i="13"/>
  <c r="J148" i="13"/>
  <c r="I148" i="13"/>
  <c r="J147" i="13"/>
  <c r="I147" i="13"/>
  <c r="J146" i="13"/>
  <c r="I146" i="13"/>
  <c r="J145" i="13"/>
  <c r="I145" i="13"/>
  <c r="J144" i="13"/>
  <c r="I144" i="13"/>
  <c r="J143" i="13"/>
  <c r="I143" i="13"/>
  <c r="J142" i="13"/>
  <c r="I142" i="13"/>
  <c r="J141" i="13"/>
  <c r="I141" i="13"/>
  <c r="J140" i="13"/>
  <c r="I140" i="13"/>
  <c r="J139" i="13"/>
  <c r="I139" i="13"/>
  <c r="J138" i="13"/>
  <c r="I138" i="13"/>
  <c r="J137" i="13"/>
  <c r="I137" i="13"/>
  <c r="J136" i="13"/>
  <c r="I136" i="13"/>
  <c r="J135" i="13"/>
  <c r="I135" i="13"/>
  <c r="J134" i="13"/>
  <c r="I134" i="13"/>
  <c r="J133" i="13"/>
  <c r="I133" i="13"/>
  <c r="J132" i="13"/>
  <c r="I132" i="13"/>
  <c r="I131" i="13"/>
  <c r="J130" i="13"/>
  <c r="I130" i="13"/>
  <c r="J129" i="13"/>
  <c r="I129" i="13"/>
  <c r="J128" i="13"/>
  <c r="I128" i="13"/>
  <c r="J127" i="13"/>
  <c r="I127" i="13"/>
  <c r="J126" i="13"/>
  <c r="I126" i="13"/>
  <c r="J125" i="13"/>
  <c r="I125" i="13"/>
  <c r="J124" i="13"/>
  <c r="I124" i="13"/>
  <c r="J123" i="13"/>
  <c r="I123" i="13"/>
  <c r="J122" i="13"/>
  <c r="I122" i="13"/>
  <c r="J121" i="13"/>
  <c r="I121" i="13"/>
  <c r="J120" i="13"/>
  <c r="I120" i="13"/>
  <c r="J119" i="13"/>
  <c r="I119" i="13"/>
  <c r="J118" i="13"/>
  <c r="I118" i="13"/>
  <c r="J117" i="13"/>
  <c r="I117" i="13"/>
  <c r="J116" i="13"/>
  <c r="I116" i="13"/>
  <c r="J115" i="13"/>
  <c r="I115" i="13"/>
  <c r="J114" i="13"/>
  <c r="I114" i="13"/>
  <c r="J113" i="13"/>
  <c r="I113" i="13"/>
  <c r="J112" i="13"/>
  <c r="I112" i="13"/>
  <c r="J111" i="13"/>
  <c r="I111" i="13"/>
  <c r="J110" i="13"/>
  <c r="I110" i="13"/>
  <c r="J109" i="13"/>
  <c r="I109" i="13"/>
  <c r="I108" i="13"/>
  <c r="I107" i="13"/>
  <c r="J106" i="13"/>
  <c r="I106" i="13"/>
  <c r="J105" i="13"/>
  <c r="I105" i="13"/>
  <c r="J104" i="13"/>
  <c r="I104" i="13"/>
  <c r="J103" i="13"/>
  <c r="I103" i="13"/>
  <c r="J102" i="13"/>
  <c r="I102" i="13"/>
  <c r="J101" i="13"/>
  <c r="I101" i="13"/>
  <c r="I100" i="13"/>
  <c r="J99" i="13"/>
  <c r="I99" i="13"/>
  <c r="J98" i="13"/>
  <c r="I98" i="13"/>
  <c r="I97" i="13"/>
  <c r="J96" i="13"/>
  <c r="I96" i="13"/>
  <c r="J95" i="13"/>
  <c r="I95" i="13"/>
  <c r="J94" i="13"/>
  <c r="I94" i="13"/>
  <c r="J93" i="13"/>
  <c r="I93" i="13"/>
  <c r="J92" i="13"/>
  <c r="I92" i="13"/>
  <c r="J91" i="13"/>
  <c r="I91" i="13"/>
  <c r="J90" i="13"/>
  <c r="I90" i="13"/>
  <c r="J89" i="13"/>
  <c r="I89" i="13"/>
  <c r="J88" i="13"/>
  <c r="I88" i="13"/>
  <c r="J87" i="13"/>
  <c r="I87" i="13"/>
  <c r="J86" i="13"/>
  <c r="I86" i="13"/>
  <c r="J85" i="13"/>
  <c r="I85" i="13"/>
  <c r="J84" i="13"/>
  <c r="I84" i="13"/>
  <c r="J83" i="13"/>
  <c r="I83" i="13"/>
  <c r="J82" i="13"/>
  <c r="I82" i="13"/>
  <c r="J81" i="13"/>
  <c r="I81" i="13"/>
  <c r="J80" i="13"/>
  <c r="I80" i="13"/>
  <c r="J79" i="13"/>
  <c r="I79" i="13"/>
  <c r="J78" i="13"/>
  <c r="I78" i="13"/>
  <c r="J77" i="13"/>
  <c r="I77" i="13"/>
  <c r="J76" i="13"/>
  <c r="I76" i="13"/>
  <c r="J75" i="13"/>
  <c r="I75" i="13"/>
  <c r="J74" i="13"/>
  <c r="I74" i="13"/>
  <c r="J73" i="13"/>
  <c r="I73" i="13"/>
  <c r="J72" i="13"/>
  <c r="I72" i="13"/>
  <c r="J71" i="13"/>
  <c r="I71" i="13"/>
  <c r="J70" i="13"/>
  <c r="I70" i="13"/>
  <c r="J69" i="13"/>
  <c r="I69" i="13"/>
  <c r="J68" i="13"/>
  <c r="I68" i="13"/>
  <c r="J67" i="13"/>
  <c r="I67" i="13"/>
  <c r="J66" i="13"/>
  <c r="I66" i="13"/>
  <c r="J65" i="13"/>
  <c r="I65" i="13"/>
  <c r="J64" i="13"/>
  <c r="I64" i="13"/>
  <c r="J63" i="13"/>
  <c r="I63" i="13"/>
  <c r="J62" i="13"/>
  <c r="I62" i="13"/>
  <c r="J61" i="13"/>
  <c r="I61" i="13"/>
  <c r="J60" i="13"/>
  <c r="I60" i="13"/>
  <c r="J59" i="13"/>
  <c r="I59" i="13"/>
  <c r="J58" i="13"/>
  <c r="I58" i="13"/>
  <c r="J57" i="13"/>
  <c r="I57" i="13"/>
  <c r="J56" i="13"/>
  <c r="I56" i="13"/>
  <c r="J55" i="13"/>
  <c r="I55" i="13"/>
  <c r="J54" i="13"/>
  <c r="I54" i="13"/>
  <c r="J53" i="13"/>
  <c r="I53" i="13"/>
  <c r="J52" i="13"/>
  <c r="I52" i="13"/>
  <c r="J51" i="13"/>
  <c r="I51" i="13"/>
  <c r="J50" i="13"/>
  <c r="I50" i="13"/>
  <c r="J49" i="13"/>
  <c r="I49" i="13"/>
  <c r="J48" i="13"/>
  <c r="I48" i="13"/>
  <c r="J47" i="13"/>
  <c r="I47" i="13"/>
  <c r="J46" i="13"/>
  <c r="I46" i="13"/>
  <c r="J45" i="13"/>
  <c r="I45" i="13"/>
  <c r="J44" i="13"/>
  <c r="I44" i="13"/>
  <c r="J43" i="13"/>
  <c r="I43" i="13"/>
  <c r="J42" i="13"/>
  <c r="I42" i="13"/>
  <c r="J41" i="13"/>
  <c r="I41" i="13"/>
  <c r="J40" i="13"/>
  <c r="I40" i="13"/>
  <c r="J39" i="13"/>
  <c r="I39" i="13"/>
  <c r="J38" i="13"/>
  <c r="I38" i="13"/>
  <c r="J37" i="13"/>
  <c r="I37" i="13"/>
  <c r="J36" i="13"/>
  <c r="I36" i="13"/>
  <c r="J35" i="13"/>
  <c r="I35" i="13"/>
  <c r="J34" i="13"/>
  <c r="I34" i="13"/>
  <c r="J33" i="13"/>
  <c r="I33" i="13"/>
  <c r="J32" i="13"/>
  <c r="I32" i="13"/>
  <c r="J31" i="13"/>
  <c r="I31" i="13"/>
  <c r="J30" i="13"/>
  <c r="I30" i="13"/>
  <c r="J29" i="13"/>
  <c r="I29" i="13"/>
  <c r="J28" i="13"/>
  <c r="I28" i="13"/>
  <c r="J27" i="13"/>
  <c r="I27" i="13"/>
  <c r="J26" i="13"/>
  <c r="I26" i="13"/>
  <c r="J25" i="13"/>
  <c r="I25" i="13"/>
  <c r="J24" i="13"/>
  <c r="I24" i="13"/>
  <c r="J23" i="13"/>
  <c r="I23" i="13"/>
  <c r="J22" i="13"/>
  <c r="I22" i="13"/>
  <c r="J21" i="13"/>
  <c r="I21" i="13"/>
  <c r="J20" i="13"/>
  <c r="I20" i="13"/>
  <c r="J19" i="13"/>
  <c r="I19" i="13"/>
  <c r="J18" i="13"/>
  <c r="I18" i="13"/>
  <c r="J17" i="13"/>
  <c r="I17" i="13"/>
  <c r="J16" i="13"/>
  <c r="I16" i="13"/>
  <c r="J15" i="13"/>
  <c r="I15" i="13"/>
  <c r="J14" i="13"/>
  <c r="I14" i="13"/>
  <c r="J13" i="13"/>
  <c r="I13" i="13"/>
  <c r="J12" i="13"/>
  <c r="I12" i="13"/>
  <c r="J11" i="13"/>
  <c r="I11" i="13"/>
  <c r="J10" i="13"/>
  <c r="I10" i="13"/>
  <c r="J9" i="13"/>
  <c r="I9" i="13"/>
  <c r="J8" i="13"/>
  <c r="I8" i="13"/>
  <c r="J7" i="13"/>
  <c r="I7" i="13"/>
  <c r="J6" i="13"/>
  <c r="I6" i="13"/>
  <c r="J5" i="13"/>
  <c r="I5" i="13"/>
  <c r="I4" i="13"/>
  <c r="J3" i="13"/>
  <c r="I3" i="13"/>
  <c r="J2" i="13"/>
  <c r="I2" i="13"/>
  <c r="H64" i="13"/>
  <c r="G64" i="13"/>
  <c r="H63" i="13"/>
  <c r="G63" i="13"/>
  <c r="H62" i="13"/>
  <c r="G62" i="13"/>
  <c r="H61" i="13"/>
  <c r="G61" i="13"/>
  <c r="H60" i="13"/>
  <c r="G60" i="13"/>
  <c r="H59" i="13"/>
  <c r="G59" i="13"/>
  <c r="H58" i="13"/>
  <c r="G58" i="13"/>
  <c r="H57" i="13"/>
  <c r="G57" i="13"/>
  <c r="H56" i="13"/>
  <c r="G56" i="13"/>
  <c r="H55" i="13"/>
  <c r="G55" i="13"/>
  <c r="H54" i="13"/>
  <c r="G54" i="13"/>
  <c r="H53" i="13"/>
  <c r="G53" i="13"/>
  <c r="H52" i="13"/>
  <c r="G52" i="13"/>
  <c r="H51" i="13"/>
  <c r="G51" i="13"/>
  <c r="H50" i="13"/>
  <c r="G50" i="13"/>
  <c r="H49" i="13"/>
  <c r="G49" i="13"/>
  <c r="H48" i="13"/>
  <c r="G48" i="13"/>
  <c r="H47" i="13"/>
  <c r="G47" i="13"/>
  <c r="H46" i="13"/>
  <c r="G46" i="13"/>
  <c r="H45" i="13"/>
  <c r="G45" i="13"/>
  <c r="H44" i="13"/>
  <c r="G44" i="13"/>
  <c r="H43" i="13"/>
  <c r="G43" i="13"/>
  <c r="H42" i="13"/>
  <c r="G42" i="13"/>
  <c r="H41" i="13"/>
  <c r="G41" i="13"/>
  <c r="H40" i="13"/>
  <c r="G40" i="13"/>
  <c r="H39" i="13"/>
  <c r="G39" i="13"/>
  <c r="H38" i="13"/>
  <c r="G38" i="13"/>
  <c r="H37" i="13"/>
  <c r="G37" i="13"/>
  <c r="H36" i="13"/>
  <c r="G36" i="13"/>
  <c r="H35" i="13"/>
  <c r="G35" i="13"/>
  <c r="H34" i="13"/>
  <c r="G34" i="13"/>
  <c r="H33" i="13"/>
  <c r="G33" i="13"/>
  <c r="H32" i="13"/>
  <c r="G32" i="13"/>
  <c r="H31" i="13"/>
  <c r="G31" i="13"/>
  <c r="H30" i="13"/>
  <c r="G30" i="13"/>
  <c r="H29" i="13"/>
  <c r="G29" i="13"/>
  <c r="H28" i="13"/>
  <c r="G28" i="13"/>
  <c r="H27" i="13"/>
  <c r="G27" i="13"/>
  <c r="H26" i="13"/>
  <c r="G26" i="13"/>
  <c r="H25" i="13"/>
  <c r="G25" i="13"/>
  <c r="H24" i="13"/>
  <c r="G24" i="13"/>
  <c r="H23" i="13"/>
  <c r="G23" i="13"/>
  <c r="H22" i="13"/>
  <c r="G22" i="13"/>
  <c r="H21" i="13"/>
  <c r="G21" i="13"/>
  <c r="H20" i="13"/>
  <c r="G20" i="13"/>
  <c r="H19" i="13"/>
  <c r="G19" i="13"/>
  <c r="H18" i="13"/>
  <c r="G18" i="13"/>
  <c r="H17" i="13"/>
  <c r="G17" i="13"/>
  <c r="H16" i="13"/>
  <c r="G16" i="13"/>
  <c r="H15" i="13"/>
  <c r="G15" i="13"/>
  <c r="H14" i="13"/>
  <c r="G14" i="13"/>
  <c r="H13" i="13"/>
  <c r="G13" i="13"/>
  <c r="H12" i="13"/>
  <c r="G12" i="13"/>
  <c r="H11" i="13"/>
  <c r="G11" i="13"/>
  <c r="H10" i="13"/>
  <c r="G10" i="13"/>
  <c r="H9" i="13"/>
  <c r="G9" i="13"/>
  <c r="H8" i="13"/>
  <c r="G8" i="13"/>
  <c r="H7" i="13"/>
  <c r="G7" i="13"/>
  <c r="H6" i="13"/>
  <c r="G6" i="13"/>
  <c r="H5" i="13"/>
  <c r="G5" i="13"/>
  <c r="H4" i="13"/>
  <c r="G4" i="13"/>
  <c r="H3" i="13"/>
  <c r="G3" i="13"/>
  <c r="H2" i="13"/>
  <c r="G2" i="13"/>
  <c r="F24" i="13"/>
  <c r="E24" i="13"/>
  <c r="F23" i="13"/>
  <c r="E23" i="13"/>
  <c r="F22" i="13"/>
  <c r="E22" i="13"/>
  <c r="F21" i="13"/>
  <c r="E21" i="13"/>
  <c r="F20" i="13"/>
  <c r="E20" i="13"/>
  <c r="F19" i="13"/>
  <c r="E19" i="13"/>
  <c r="F18" i="13"/>
  <c r="E18" i="13"/>
  <c r="F17" i="13"/>
  <c r="E17" i="13"/>
  <c r="F16" i="13"/>
  <c r="E16" i="13"/>
  <c r="F15" i="13"/>
  <c r="E15" i="13"/>
  <c r="F14" i="13"/>
  <c r="E14" i="13"/>
  <c r="F13" i="13"/>
  <c r="E13" i="13"/>
  <c r="F12" i="13"/>
  <c r="E12" i="13"/>
  <c r="F11" i="13"/>
  <c r="E11" i="13"/>
  <c r="F10" i="13"/>
  <c r="E10" i="13"/>
  <c r="F9" i="13"/>
  <c r="E9" i="13"/>
  <c r="F8" i="13"/>
  <c r="E8" i="13"/>
  <c r="F7" i="13"/>
  <c r="E7" i="13"/>
  <c r="F6" i="13"/>
  <c r="E6" i="13"/>
  <c r="F5" i="13"/>
  <c r="E5" i="13"/>
  <c r="F4" i="13"/>
  <c r="E4" i="13"/>
  <c r="F3" i="13"/>
  <c r="E3" i="13"/>
  <c r="F2" i="13"/>
  <c r="E2" i="13"/>
  <c r="D268" i="13"/>
  <c r="C268" i="13"/>
  <c r="D267" i="13"/>
  <c r="C267" i="13"/>
  <c r="D266" i="13"/>
  <c r="C266" i="13"/>
  <c r="D265" i="13"/>
  <c r="C265" i="13"/>
  <c r="D264" i="13"/>
  <c r="C264" i="13"/>
  <c r="D263" i="13"/>
  <c r="C263" i="13"/>
  <c r="D262" i="13"/>
  <c r="C262" i="13"/>
  <c r="D261" i="13"/>
  <c r="C261" i="13"/>
  <c r="D260" i="13"/>
  <c r="C260" i="13"/>
  <c r="D259" i="13"/>
  <c r="C259" i="13"/>
  <c r="D258" i="13"/>
  <c r="C258" i="13"/>
  <c r="D257" i="13"/>
  <c r="C257" i="13"/>
  <c r="D256" i="13"/>
  <c r="C256" i="13"/>
  <c r="D255" i="13"/>
  <c r="C255" i="13"/>
  <c r="D254" i="13"/>
  <c r="C254" i="13"/>
  <c r="D253" i="13"/>
  <c r="C253" i="13"/>
  <c r="D252" i="13"/>
  <c r="C252" i="13"/>
  <c r="D251" i="13"/>
  <c r="C251" i="13"/>
  <c r="D250" i="13"/>
  <c r="C250" i="13"/>
  <c r="D249" i="13"/>
  <c r="C249" i="13"/>
  <c r="D248" i="13"/>
  <c r="C248" i="13"/>
  <c r="D247" i="13"/>
  <c r="C247" i="13"/>
  <c r="D246" i="13"/>
  <c r="C246" i="13"/>
  <c r="D245" i="13"/>
  <c r="C245" i="13"/>
  <c r="D244" i="13"/>
  <c r="C244" i="13"/>
  <c r="D243" i="13"/>
  <c r="C243" i="13"/>
  <c r="D242" i="13"/>
  <c r="C242" i="13"/>
  <c r="D241" i="13"/>
  <c r="C241" i="13"/>
  <c r="D240" i="13"/>
  <c r="C240" i="13"/>
  <c r="D239" i="13"/>
  <c r="C239" i="13"/>
  <c r="D238" i="13"/>
  <c r="C238" i="13"/>
  <c r="D237" i="13"/>
  <c r="C237" i="13"/>
  <c r="D236" i="13"/>
  <c r="C236" i="13"/>
  <c r="D235" i="13"/>
  <c r="C235" i="13"/>
  <c r="D234" i="13"/>
  <c r="C234" i="13"/>
  <c r="D233" i="13"/>
  <c r="C233" i="13"/>
  <c r="D232" i="13"/>
  <c r="C232" i="13"/>
  <c r="D231" i="13"/>
  <c r="C231" i="13"/>
  <c r="D230" i="13"/>
  <c r="C230" i="13"/>
  <c r="D229" i="13"/>
  <c r="C229" i="13"/>
  <c r="D228" i="13"/>
  <c r="C228" i="13"/>
  <c r="D227" i="13"/>
  <c r="C227" i="13"/>
  <c r="D226" i="13"/>
  <c r="C226" i="13"/>
  <c r="D225" i="13"/>
  <c r="C225" i="13"/>
  <c r="D224" i="13"/>
  <c r="C224" i="13"/>
  <c r="D223" i="13"/>
  <c r="C223" i="13"/>
  <c r="D222" i="13"/>
  <c r="C222" i="13"/>
  <c r="D221" i="13"/>
  <c r="C221" i="13"/>
  <c r="D220" i="13"/>
  <c r="C220" i="13"/>
  <c r="D219" i="13"/>
  <c r="C219" i="13"/>
  <c r="D218" i="13"/>
  <c r="C218" i="13"/>
  <c r="D217" i="13"/>
  <c r="C217" i="13"/>
  <c r="D216" i="13"/>
  <c r="C216" i="13"/>
  <c r="D215" i="13"/>
  <c r="C215" i="13"/>
  <c r="D214" i="13"/>
  <c r="C214" i="13"/>
  <c r="D213" i="13"/>
  <c r="C213" i="13"/>
  <c r="D212" i="13"/>
  <c r="C212" i="13"/>
  <c r="D211" i="13"/>
  <c r="C211" i="13"/>
  <c r="D210" i="13"/>
  <c r="C210" i="13"/>
  <c r="D209" i="13"/>
  <c r="C209" i="13"/>
  <c r="D208" i="13"/>
  <c r="C208" i="13"/>
  <c r="D207" i="13"/>
  <c r="C207" i="13"/>
  <c r="D206" i="13"/>
  <c r="C206" i="13"/>
  <c r="D205" i="13"/>
  <c r="C205" i="13"/>
  <c r="D204" i="13"/>
  <c r="C204" i="13"/>
  <c r="D203" i="13"/>
  <c r="C203" i="13"/>
  <c r="D202" i="13"/>
  <c r="C202" i="13"/>
  <c r="D201" i="13"/>
  <c r="C201" i="13"/>
  <c r="D200" i="13"/>
  <c r="C200" i="13"/>
  <c r="D199" i="13"/>
  <c r="C199" i="13"/>
  <c r="D198" i="13"/>
  <c r="C198" i="13"/>
  <c r="D197" i="13"/>
  <c r="C197" i="13"/>
  <c r="D196" i="13"/>
  <c r="C196" i="13"/>
  <c r="D195" i="13"/>
  <c r="C195" i="13"/>
  <c r="D194" i="13"/>
  <c r="C194" i="13"/>
  <c r="D193" i="13"/>
  <c r="C193" i="13"/>
  <c r="D192" i="13"/>
  <c r="C192" i="13"/>
  <c r="D191" i="13"/>
  <c r="C191" i="13"/>
  <c r="D190" i="13"/>
  <c r="C190" i="13"/>
  <c r="D189" i="13"/>
  <c r="C189" i="13"/>
  <c r="D188" i="13"/>
  <c r="C188" i="13"/>
  <c r="D187" i="13"/>
  <c r="C187" i="13"/>
  <c r="D186" i="13"/>
  <c r="C186" i="13"/>
  <c r="D185" i="13"/>
  <c r="C185" i="13"/>
  <c r="D184" i="13"/>
  <c r="C184" i="13"/>
  <c r="D183" i="13"/>
  <c r="C183" i="13"/>
  <c r="D182" i="13"/>
  <c r="C182" i="13"/>
  <c r="D181" i="13"/>
  <c r="C181" i="13"/>
  <c r="D180" i="13"/>
  <c r="C180" i="13"/>
  <c r="D179" i="13"/>
  <c r="C179" i="13"/>
  <c r="D178" i="13"/>
  <c r="C178" i="13"/>
  <c r="D177" i="13"/>
  <c r="C177" i="13"/>
  <c r="D176" i="13"/>
  <c r="C176" i="13"/>
  <c r="D175" i="13"/>
  <c r="C175" i="13"/>
  <c r="D174" i="13"/>
  <c r="C174" i="13"/>
  <c r="D173" i="13"/>
  <c r="C173" i="13"/>
  <c r="D172" i="13"/>
  <c r="C172" i="13"/>
  <c r="D171" i="13"/>
  <c r="C171" i="13"/>
  <c r="D170" i="13"/>
  <c r="C170" i="13"/>
  <c r="D169" i="13"/>
  <c r="C169" i="13"/>
  <c r="D168" i="13"/>
  <c r="C168" i="13"/>
  <c r="D167" i="13"/>
  <c r="C167" i="13"/>
  <c r="D166" i="13"/>
  <c r="C166" i="13"/>
  <c r="D165" i="13"/>
  <c r="C165" i="13"/>
  <c r="D164" i="13"/>
  <c r="C164" i="13"/>
  <c r="D163" i="13"/>
  <c r="C163" i="13"/>
  <c r="D162" i="13"/>
  <c r="C162" i="13"/>
  <c r="D161" i="13"/>
  <c r="C161" i="13"/>
  <c r="D160" i="13"/>
  <c r="C160" i="13"/>
  <c r="D159" i="13"/>
  <c r="C159" i="13"/>
  <c r="D158" i="13"/>
  <c r="C158" i="13"/>
  <c r="D157" i="13"/>
  <c r="C157" i="13"/>
  <c r="D156" i="13"/>
  <c r="C156" i="13"/>
  <c r="D155" i="13"/>
  <c r="C155" i="13"/>
  <c r="D154" i="13"/>
  <c r="C154" i="13"/>
  <c r="D153" i="13"/>
  <c r="C153" i="13"/>
  <c r="D152" i="13"/>
  <c r="C152" i="13"/>
  <c r="D151" i="13"/>
  <c r="C151" i="13"/>
  <c r="D150" i="13"/>
  <c r="C150" i="13"/>
  <c r="D149" i="13"/>
  <c r="C149" i="13"/>
  <c r="D148" i="13"/>
  <c r="C148" i="13"/>
  <c r="D147" i="13"/>
  <c r="C147" i="13"/>
  <c r="D146" i="13"/>
  <c r="C146" i="13"/>
  <c r="D145" i="13"/>
  <c r="C145" i="13"/>
  <c r="D144" i="13"/>
  <c r="C144" i="13"/>
  <c r="D143" i="13"/>
  <c r="C143" i="13"/>
  <c r="D142" i="13"/>
  <c r="C142" i="13"/>
  <c r="D141" i="13"/>
  <c r="C141" i="13"/>
  <c r="D140" i="13"/>
  <c r="C140" i="13"/>
  <c r="D139" i="13"/>
  <c r="C139" i="13"/>
  <c r="D138" i="13"/>
  <c r="C138" i="13"/>
  <c r="D137" i="13"/>
  <c r="C137" i="13"/>
  <c r="D136" i="13"/>
  <c r="C136" i="13"/>
  <c r="D135" i="13"/>
  <c r="C135" i="13"/>
  <c r="D134" i="13"/>
  <c r="C134" i="13"/>
  <c r="D133" i="13"/>
  <c r="C133" i="13"/>
  <c r="D132" i="13"/>
  <c r="C132" i="13"/>
  <c r="D131" i="13"/>
  <c r="C131" i="13"/>
  <c r="D130" i="13"/>
  <c r="C130" i="13"/>
  <c r="D129" i="13"/>
  <c r="C129" i="13"/>
  <c r="D128" i="13"/>
  <c r="C128" i="13"/>
  <c r="D127" i="13"/>
  <c r="C127" i="13"/>
  <c r="D126" i="13"/>
  <c r="C126" i="13"/>
  <c r="D125" i="13"/>
  <c r="C125" i="13"/>
  <c r="D124" i="13"/>
  <c r="C124" i="13"/>
  <c r="D123" i="13"/>
  <c r="C123" i="13"/>
  <c r="D122" i="13"/>
  <c r="C122" i="13"/>
  <c r="D121" i="13"/>
  <c r="C121" i="13"/>
  <c r="D120" i="13"/>
  <c r="C120" i="13"/>
  <c r="D119" i="13"/>
  <c r="C119" i="13"/>
  <c r="D118" i="13"/>
  <c r="C118" i="13"/>
  <c r="D117" i="13"/>
  <c r="C117" i="13"/>
  <c r="D116" i="13"/>
  <c r="C116" i="13"/>
  <c r="D115" i="13"/>
  <c r="C115" i="13"/>
  <c r="D114" i="13"/>
  <c r="C114" i="13"/>
  <c r="D113" i="13"/>
  <c r="C113" i="13"/>
  <c r="D112" i="13"/>
  <c r="C112" i="13"/>
  <c r="D111" i="13"/>
  <c r="C111" i="13"/>
  <c r="D110" i="13"/>
  <c r="C110" i="13"/>
  <c r="D109" i="13"/>
  <c r="C109" i="13"/>
  <c r="D108" i="13"/>
  <c r="C108" i="13"/>
  <c r="D107" i="13"/>
  <c r="C107" i="13"/>
  <c r="D106" i="13"/>
  <c r="C106" i="13"/>
  <c r="D105" i="13"/>
  <c r="C105" i="13"/>
  <c r="D104" i="13"/>
  <c r="C104" i="13"/>
  <c r="D103" i="13"/>
  <c r="C103" i="13"/>
  <c r="D102" i="13"/>
  <c r="C102" i="13"/>
  <c r="D101" i="13"/>
  <c r="C101" i="13"/>
  <c r="D100" i="13"/>
  <c r="C100" i="13"/>
  <c r="D99" i="13"/>
  <c r="C99" i="13"/>
  <c r="D98" i="13"/>
  <c r="C98" i="13"/>
  <c r="D97" i="13"/>
  <c r="C97" i="13"/>
  <c r="D96" i="13"/>
  <c r="C96" i="13"/>
  <c r="D95" i="13"/>
  <c r="C95" i="13"/>
  <c r="D94" i="13"/>
  <c r="C94" i="13"/>
  <c r="D93" i="13"/>
  <c r="C93" i="13"/>
  <c r="D92" i="13"/>
  <c r="C92" i="13"/>
  <c r="D91" i="13"/>
  <c r="C91" i="13"/>
  <c r="D90" i="13"/>
  <c r="C90" i="13"/>
  <c r="D89" i="13"/>
  <c r="C89" i="13"/>
  <c r="D88" i="13"/>
  <c r="C88" i="13"/>
  <c r="D87" i="13"/>
  <c r="C87" i="13"/>
  <c r="D86" i="13"/>
  <c r="C86" i="13"/>
  <c r="D85" i="13"/>
  <c r="C85" i="13"/>
  <c r="D84" i="13"/>
  <c r="C84" i="13"/>
  <c r="D83" i="13"/>
  <c r="C83" i="13"/>
  <c r="D82" i="13"/>
  <c r="C82" i="13"/>
  <c r="D81" i="13"/>
  <c r="C81" i="13"/>
  <c r="D80" i="13"/>
  <c r="C80" i="13"/>
  <c r="D79" i="13"/>
  <c r="C79" i="13"/>
  <c r="D78" i="13"/>
  <c r="C78" i="13"/>
  <c r="D77" i="13"/>
  <c r="C77" i="13"/>
  <c r="D76" i="13"/>
  <c r="C76" i="13"/>
  <c r="D75" i="13"/>
  <c r="C75" i="13"/>
  <c r="D74" i="13"/>
  <c r="C74" i="13"/>
  <c r="D73" i="13"/>
  <c r="C73" i="13"/>
  <c r="D72" i="13"/>
  <c r="C72" i="13"/>
  <c r="D71" i="13"/>
  <c r="C71" i="13"/>
  <c r="D70" i="13"/>
  <c r="C70" i="13"/>
  <c r="D69" i="13"/>
  <c r="C69" i="13"/>
  <c r="D68" i="13"/>
  <c r="C68" i="13"/>
  <c r="D67" i="13"/>
  <c r="C67" i="13"/>
  <c r="D66" i="13"/>
  <c r="C66" i="13"/>
  <c r="D65" i="13"/>
  <c r="C65" i="13"/>
  <c r="D64" i="13"/>
  <c r="C64" i="13"/>
  <c r="D63" i="13"/>
  <c r="C63" i="13"/>
  <c r="D62" i="13"/>
  <c r="C62" i="13"/>
  <c r="D61" i="13"/>
  <c r="C61" i="13"/>
  <c r="D60" i="13"/>
  <c r="C60" i="13"/>
  <c r="D59" i="13"/>
  <c r="C59" i="13"/>
  <c r="D58" i="13"/>
  <c r="C58" i="13"/>
  <c r="D57" i="13"/>
  <c r="C57" i="13"/>
  <c r="D56" i="13"/>
  <c r="C56" i="13"/>
  <c r="D55" i="13"/>
  <c r="C55" i="13"/>
  <c r="D54" i="13"/>
  <c r="C54" i="13"/>
  <c r="D53" i="13"/>
  <c r="C53" i="13"/>
  <c r="D52" i="13"/>
  <c r="C52" i="13"/>
  <c r="D51" i="13"/>
  <c r="C51" i="13"/>
  <c r="D50" i="13"/>
  <c r="C50" i="13"/>
  <c r="D49" i="13"/>
  <c r="C49" i="13"/>
  <c r="D48" i="13"/>
  <c r="C48" i="13"/>
  <c r="D47" i="13"/>
  <c r="C47" i="13"/>
  <c r="D46" i="13"/>
  <c r="C46" i="13"/>
  <c r="D45" i="13"/>
  <c r="C45" i="13"/>
  <c r="D44" i="13"/>
  <c r="C44" i="13"/>
  <c r="D43" i="13"/>
  <c r="C43" i="13"/>
  <c r="D42" i="13"/>
  <c r="C42" i="13"/>
  <c r="D41" i="13"/>
  <c r="C41" i="13"/>
  <c r="D40" i="13"/>
  <c r="C40" i="13"/>
  <c r="D39" i="13"/>
  <c r="C39" i="13"/>
  <c r="D38" i="13"/>
  <c r="C38" i="13"/>
  <c r="D37" i="13"/>
  <c r="C37" i="13"/>
  <c r="D36" i="13"/>
  <c r="C36" i="13"/>
  <c r="D35" i="13"/>
  <c r="C35" i="13"/>
  <c r="D34" i="13"/>
  <c r="C34" i="13"/>
  <c r="D33" i="13"/>
  <c r="C33" i="13"/>
  <c r="D32" i="13"/>
  <c r="C32" i="13"/>
  <c r="D31" i="13"/>
  <c r="C31" i="13"/>
  <c r="D30" i="13"/>
  <c r="C30" i="13"/>
  <c r="D29" i="13"/>
  <c r="C29" i="13"/>
  <c r="D28" i="13"/>
  <c r="C28" i="13"/>
  <c r="D27" i="13"/>
  <c r="C27" i="13"/>
  <c r="D26" i="13"/>
  <c r="C26" i="13"/>
  <c r="D25" i="13"/>
  <c r="C25" i="13"/>
  <c r="D24" i="13"/>
  <c r="C24" i="13"/>
  <c r="D23" i="13"/>
  <c r="C23" i="13"/>
  <c r="D22" i="13"/>
  <c r="C22" i="13"/>
  <c r="D21" i="13"/>
  <c r="C21" i="13"/>
  <c r="D20" i="13"/>
  <c r="C20" i="13"/>
  <c r="D19" i="13"/>
  <c r="C19" i="13"/>
  <c r="D18" i="13"/>
  <c r="C18" i="13"/>
  <c r="D17" i="13"/>
  <c r="C17" i="13"/>
  <c r="D16" i="13"/>
  <c r="C16" i="13"/>
  <c r="D15" i="13"/>
  <c r="C15" i="13"/>
  <c r="D14" i="13"/>
  <c r="C14" i="13"/>
  <c r="D13" i="13"/>
  <c r="C13" i="13"/>
  <c r="D12" i="13"/>
  <c r="C12" i="13"/>
  <c r="D11" i="13"/>
  <c r="C11" i="13"/>
  <c r="D10" i="13"/>
  <c r="C10" i="13"/>
  <c r="D9" i="13"/>
  <c r="C9" i="13"/>
  <c r="D8" i="13"/>
  <c r="C8" i="13"/>
  <c r="D7" i="13"/>
  <c r="C7" i="13"/>
  <c r="D6" i="13"/>
  <c r="C6" i="13"/>
  <c r="C5" i="13"/>
  <c r="D4" i="13"/>
  <c r="C4" i="13"/>
  <c r="D3" i="13"/>
  <c r="C3" i="13"/>
  <c r="D2" i="13"/>
  <c r="C2" i="13"/>
  <c r="B98" i="13" l="1"/>
  <c r="A98" i="13"/>
  <c r="B97" i="13"/>
  <c r="A97" i="13"/>
  <c r="B96" i="13"/>
  <c r="A96" i="13"/>
  <c r="B95" i="13"/>
  <c r="A95" i="13"/>
  <c r="B94" i="13"/>
  <c r="A94" i="13"/>
  <c r="B93" i="13"/>
  <c r="A93" i="13"/>
  <c r="B92" i="13"/>
  <c r="A92" i="13"/>
  <c r="B91" i="13"/>
  <c r="A91" i="13"/>
  <c r="B90" i="13"/>
  <c r="A90" i="13"/>
  <c r="B89" i="13"/>
  <c r="A89" i="13"/>
  <c r="B88" i="13"/>
  <c r="A88" i="13"/>
  <c r="B87" i="13"/>
  <c r="A87" i="13"/>
  <c r="B86" i="13"/>
  <c r="A86" i="13"/>
  <c r="B85" i="13"/>
  <c r="A85" i="13"/>
  <c r="B84" i="13"/>
  <c r="A84" i="13"/>
  <c r="B83" i="13"/>
  <c r="A83" i="13"/>
  <c r="B82" i="13"/>
  <c r="A82" i="13"/>
  <c r="B81" i="13"/>
  <c r="A81" i="13"/>
  <c r="B80" i="13"/>
  <c r="A80" i="13"/>
  <c r="B79" i="13"/>
  <c r="A79" i="13"/>
  <c r="B78" i="13"/>
  <c r="A78" i="13"/>
  <c r="B77" i="13"/>
  <c r="A77" i="13"/>
  <c r="B76" i="13"/>
  <c r="A76" i="13"/>
  <c r="B75" i="13"/>
  <c r="A75" i="13"/>
  <c r="B74" i="13"/>
  <c r="A74" i="13"/>
  <c r="B73" i="13"/>
  <c r="A73" i="13"/>
  <c r="B72" i="13"/>
  <c r="A72" i="13"/>
  <c r="B71" i="13"/>
  <c r="A71" i="13"/>
  <c r="B70" i="13"/>
  <c r="A70" i="13"/>
  <c r="B69" i="13"/>
  <c r="A69" i="13"/>
  <c r="B68" i="13"/>
  <c r="A68" i="13"/>
  <c r="B67" i="13"/>
  <c r="A67" i="13"/>
  <c r="B66" i="13"/>
  <c r="A66" i="13"/>
  <c r="B65" i="13"/>
  <c r="A65" i="13"/>
  <c r="B64" i="13"/>
  <c r="A64" i="13"/>
  <c r="B63" i="13"/>
  <c r="A63" i="13"/>
  <c r="B62" i="13"/>
  <c r="A62" i="13"/>
  <c r="B61" i="13"/>
  <c r="A61" i="13"/>
  <c r="B60" i="13"/>
  <c r="A60" i="13"/>
  <c r="B59" i="13"/>
  <c r="A59" i="13"/>
  <c r="B58" i="13"/>
  <c r="A58" i="13"/>
  <c r="B57" i="13"/>
  <c r="A57" i="13"/>
  <c r="A56" i="13"/>
  <c r="B55" i="13"/>
  <c r="A55" i="13"/>
  <c r="B54" i="13"/>
  <c r="A54" i="13"/>
  <c r="B53" i="13"/>
  <c r="A53" i="13"/>
  <c r="B52" i="13"/>
  <c r="A52" i="13"/>
  <c r="B51" i="13"/>
  <c r="A51" i="13"/>
  <c r="B50" i="13"/>
  <c r="A50" i="13"/>
  <c r="B49" i="13"/>
  <c r="A49" i="13"/>
  <c r="B48" i="13"/>
  <c r="A48" i="13"/>
  <c r="B47" i="13"/>
  <c r="A47" i="13"/>
  <c r="B46" i="13"/>
  <c r="A46" i="13"/>
  <c r="B45" i="13"/>
  <c r="A45" i="13"/>
  <c r="B44" i="13"/>
  <c r="A44" i="13"/>
  <c r="B43" i="13"/>
  <c r="A43" i="13"/>
  <c r="B42" i="13"/>
  <c r="A42" i="13"/>
  <c r="B41" i="13"/>
  <c r="A41" i="13"/>
  <c r="B40" i="13"/>
  <c r="A40" i="13"/>
  <c r="B39" i="13"/>
  <c r="A39" i="13"/>
  <c r="B38" i="13"/>
  <c r="A38" i="13"/>
  <c r="B37" i="13"/>
  <c r="A37" i="13"/>
  <c r="B36" i="13"/>
  <c r="A36" i="13"/>
  <c r="B35" i="13"/>
  <c r="A35" i="13"/>
  <c r="B34" i="13"/>
  <c r="A34" i="13"/>
  <c r="B33" i="13"/>
  <c r="A33" i="13"/>
  <c r="B32" i="13"/>
  <c r="A32" i="13"/>
  <c r="B31" i="13"/>
  <c r="A31" i="13"/>
  <c r="B30" i="13"/>
  <c r="A30" i="13"/>
  <c r="B29" i="13"/>
  <c r="A29" i="13"/>
  <c r="B28" i="13"/>
  <c r="A28" i="13"/>
  <c r="B27" i="13"/>
  <c r="A27" i="13"/>
  <c r="B26" i="13"/>
  <c r="A26" i="13"/>
  <c r="B25" i="13"/>
  <c r="A25" i="13"/>
  <c r="B24" i="13"/>
  <c r="A24" i="13"/>
  <c r="B23" i="13"/>
  <c r="A23" i="13"/>
  <c r="B21" i="13"/>
  <c r="A21" i="13"/>
  <c r="B20" i="13"/>
  <c r="A20"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6" i="13"/>
  <c r="A6" i="13"/>
  <c r="B5" i="13"/>
  <c r="A5" i="13"/>
  <c r="B4" i="13"/>
  <c r="A4" i="13"/>
  <c r="B3" i="13"/>
  <c r="A3" i="13"/>
  <c r="B2" i="13"/>
  <c r="A2" i="13"/>
  <c r="MA67" i="10" l="1"/>
  <c r="LZ67" i="10"/>
  <c r="LY67" i="10"/>
  <c r="LX67" i="10"/>
  <c r="LW67" i="10"/>
  <c r="LV67" i="10"/>
  <c r="LU67" i="10"/>
  <c r="LT67" i="10"/>
  <c r="LS67" i="10"/>
  <c r="LR67" i="10"/>
  <c r="LQ67" i="10"/>
  <c r="LP67" i="10"/>
  <c r="LO67" i="10"/>
  <c r="LN67" i="10"/>
  <c r="LM67" i="10"/>
  <c r="LL67" i="10"/>
  <c r="LK67" i="10"/>
  <c r="LJ67" i="10"/>
  <c r="LI67" i="10"/>
  <c r="LH67" i="10"/>
  <c r="LG67" i="10"/>
  <c r="LF67" i="10"/>
  <c r="LE67" i="10"/>
  <c r="LD67" i="10"/>
  <c r="LC67" i="10"/>
  <c r="LB67" i="10"/>
  <c r="LA67" i="10"/>
  <c r="KZ67" i="10"/>
  <c r="KY67" i="10"/>
  <c r="KX67" i="10"/>
  <c r="KW67" i="10"/>
  <c r="KV67" i="10"/>
  <c r="KU67" i="10"/>
  <c r="KT67" i="10"/>
  <c r="KS67" i="10"/>
  <c r="KR67" i="10"/>
  <c r="KQ67" i="10"/>
  <c r="KP67" i="10"/>
  <c r="KO67" i="10"/>
  <c r="KN67" i="10"/>
  <c r="KM67" i="10"/>
  <c r="KL67" i="10"/>
  <c r="KK67" i="10"/>
  <c r="KJ67" i="10"/>
  <c r="KI67" i="10"/>
  <c r="KH67" i="10"/>
  <c r="KG67" i="10"/>
  <c r="KF67" i="10"/>
  <c r="KE67" i="10"/>
  <c r="KD67" i="10"/>
  <c r="KC67" i="10"/>
  <c r="KB67" i="10"/>
  <c r="KA67" i="10"/>
  <c r="JZ67" i="10"/>
  <c r="JY67" i="10"/>
  <c r="JX67" i="10"/>
  <c r="JW67" i="10"/>
  <c r="JV67" i="10"/>
  <c r="JU67" i="10"/>
  <c r="JT67" i="10"/>
  <c r="JS67" i="10"/>
  <c r="JR67" i="10"/>
  <c r="JQ67" i="10"/>
  <c r="JP67" i="10"/>
  <c r="JO67" i="10"/>
  <c r="JN67" i="10"/>
  <c r="JM67" i="10"/>
  <c r="JL67" i="10"/>
  <c r="JK67" i="10"/>
  <c r="JJ67" i="10"/>
  <c r="JI67" i="10"/>
  <c r="JH67" i="10"/>
  <c r="JG67" i="10"/>
  <c r="JF67" i="10"/>
  <c r="JE67" i="10"/>
  <c r="JD67" i="10"/>
  <c r="JC67" i="10"/>
  <c r="JB67" i="10"/>
  <c r="JA67" i="10"/>
  <c r="IZ67" i="10"/>
  <c r="IY67" i="10"/>
  <c r="IX67" i="10"/>
  <c r="IW67" i="10"/>
  <c r="IV67" i="10"/>
  <c r="IU67" i="10"/>
  <c r="IT67" i="10"/>
  <c r="IS67" i="10"/>
  <c r="IR67" i="10"/>
  <c r="IQ67" i="10"/>
  <c r="IP67" i="10"/>
  <c r="IO67" i="10"/>
  <c r="IN67" i="10"/>
  <c r="IM67" i="10"/>
  <c r="IL67" i="10"/>
  <c r="IK67" i="10"/>
  <c r="IJ67" i="10"/>
  <c r="II67" i="10"/>
  <c r="IH67" i="10"/>
  <c r="IG67" i="10"/>
  <c r="IF67" i="10"/>
  <c r="IE67" i="10"/>
  <c r="ID67" i="10"/>
  <c r="IC67" i="10"/>
  <c r="IB67" i="10"/>
  <c r="IA67" i="10"/>
  <c r="HZ67" i="10"/>
  <c r="HY67" i="10"/>
  <c r="HX67" i="10"/>
  <c r="HW67" i="10"/>
  <c r="HV67" i="10"/>
  <c r="HU67" i="10"/>
  <c r="HT67" i="10"/>
  <c r="HS67" i="10"/>
  <c r="HR67" i="10"/>
  <c r="HQ67" i="10"/>
  <c r="HP67" i="10"/>
  <c r="HO67" i="10"/>
  <c r="HN67" i="10"/>
  <c r="HM67" i="10"/>
  <c r="HL67" i="10"/>
  <c r="HK67" i="10"/>
  <c r="HJ67" i="10"/>
  <c r="HI67" i="10"/>
  <c r="HH67" i="10"/>
  <c r="HG67" i="10"/>
  <c r="HF67" i="10"/>
  <c r="HE67" i="10"/>
  <c r="HD67" i="10"/>
  <c r="HC67" i="10"/>
  <c r="HB67" i="10"/>
  <c r="HA67" i="10"/>
  <c r="GZ67" i="10"/>
  <c r="GY67" i="10"/>
  <c r="GX67" i="10"/>
  <c r="GW67" i="10"/>
  <c r="GV67" i="10"/>
  <c r="GU67" i="10"/>
  <c r="GT67" i="10"/>
  <c r="GS67" i="10"/>
  <c r="GR67" i="10"/>
  <c r="GQ67" i="10"/>
  <c r="GP67" i="10"/>
  <c r="GO67" i="10"/>
  <c r="GN67" i="10"/>
  <c r="GM67" i="10"/>
  <c r="GL67" i="10"/>
  <c r="GK67" i="10"/>
  <c r="GJ67" i="10"/>
  <c r="GI67" i="10"/>
  <c r="GH67" i="10"/>
  <c r="GG67" i="10"/>
  <c r="GF67" i="10"/>
  <c r="GE67" i="10"/>
  <c r="GD67" i="10"/>
  <c r="GC67" i="10"/>
  <c r="GB67" i="10"/>
  <c r="GA67" i="10"/>
  <c r="FZ67" i="10"/>
  <c r="FY67" i="10"/>
  <c r="FX67" i="10"/>
  <c r="FW67" i="10"/>
  <c r="FV67" i="10"/>
  <c r="FU67" i="10"/>
  <c r="FT67" i="10"/>
  <c r="FS67" i="10"/>
  <c r="FR67" i="10"/>
  <c r="FQ67" i="10"/>
  <c r="FP67" i="10"/>
  <c r="FO67" i="10"/>
  <c r="FN67" i="10"/>
  <c r="FM67" i="10"/>
  <c r="FL67" i="10"/>
  <c r="FK67" i="10"/>
  <c r="FJ67" i="10"/>
  <c r="FI67" i="10"/>
  <c r="FH67" i="10"/>
  <c r="FG67" i="10"/>
  <c r="FF67" i="10"/>
  <c r="FE67" i="10"/>
  <c r="FD67" i="10"/>
  <c r="FC67" i="10"/>
  <c r="FB67" i="10"/>
  <c r="FA67" i="10"/>
  <c r="EZ67" i="10"/>
  <c r="EY67" i="10"/>
  <c r="EX67" i="10"/>
  <c r="EW67" i="10"/>
  <c r="EV67" i="10"/>
  <c r="EU67" i="10"/>
  <c r="ET67" i="10"/>
  <c r="ES67" i="10"/>
  <c r="ER67" i="10"/>
  <c r="EQ67" i="10"/>
  <c r="EP67" i="10"/>
  <c r="EO67" i="10"/>
  <c r="EN67" i="10"/>
  <c r="EM67" i="10"/>
  <c r="EL67" i="10"/>
  <c r="EK67" i="10"/>
  <c r="EJ67" i="10"/>
  <c r="EI67" i="10"/>
  <c r="EH67" i="10"/>
  <c r="EG67" i="10"/>
  <c r="EF67" i="10"/>
  <c r="EE67" i="10"/>
  <c r="ED67" i="10"/>
  <c r="EC67" i="10"/>
  <c r="EB67" i="10"/>
  <c r="EA67" i="10"/>
  <c r="DZ67" i="10"/>
  <c r="DY67" i="10"/>
  <c r="DX67" i="10"/>
  <c r="DW67" i="10"/>
  <c r="DV67" i="10"/>
  <c r="DU67" i="10"/>
  <c r="DT67" i="10"/>
  <c r="DS67" i="10"/>
  <c r="DR67" i="10"/>
  <c r="DQ67" i="10"/>
  <c r="DP67" i="10"/>
  <c r="DO67" i="10"/>
  <c r="DN67" i="10"/>
  <c r="DM67" i="10"/>
  <c r="DL67" i="10"/>
  <c r="DK67" i="10"/>
  <c r="DJ67" i="10"/>
  <c r="DI67" i="10"/>
  <c r="DH67" i="10"/>
  <c r="DG67" i="10"/>
  <c r="DF67" i="10"/>
  <c r="DE67" i="10"/>
  <c r="DD67" i="10"/>
  <c r="DC67" i="10"/>
  <c r="DB67" i="10"/>
  <c r="DA67" i="10"/>
  <c r="CZ67" i="10"/>
  <c r="CY67" i="10"/>
  <c r="CX67" i="10"/>
  <c r="CW67" i="10"/>
  <c r="CV67" i="10"/>
  <c r="CU67" i="10"/>
  <c r="CT67" i="10"/>
  <c r="CS67" i="10"/>
  <c r="CR67" i="10"/>
  <c r="CQ67" i="10"/>
  <c r="CP67" i="10"/>
  <c r="CO67" i="10"/>
  <c r="CN67" i="10"/>
  <c r="CM67" i="10"/>
  <c r="CL67" i="10"/>
  <c r="CK67" i="10"/>
  <c r="CJ67" i="10"/>
  <c r="CI67" i="10"/>
  <c r="CH67" i="10"/>
  <c r="CG67" i="10"/>
  <c r="CF67" i="10"/>
  <c r="CE67" i="10"/>
  <c r="CD67" i="10"/>
  <c r="CC67" i="10"/>
  <c r="CB67" i="10"/>
  <c r="CA67" i="10"/>
  <c r="BZ67" i="10"/>
  <c r="BY67" i="10"/>
  <c r="BX67" i="10"/>
  <c r="BW67" i="10"/>
  <c r="BV67" i="10"/>
  <c r="BU67" i="10"/>
  <c r="BT67" i="10"/>
  <c r="BS67" i="10"/>
  <c r="BR67" i="10"/>
  <c r="BQ67" i="10"/>
  <c r="BP67" i="10"/>
  <c r="BO67" i="10"/>
  <c r="BN67" i="10"/>
  <c r="BM67" i="10"/>
  <c r="BL67" i="10"/>
  <c r="BK67" i="10"/>
  <c r="BJ67" i="10"/>
  <c r="BI67" i="10"/>
  <c r="BH67" i="10"/>
  <c r="BG67" i="10"/>
  <c r="BF67" i="10"/>
  <c r="BE67" i="10"/>
  <c r="BD67" i="10"/>
  <c r="BC67" i="10"/>
  <c r="BB67" i="10"/>
  <c r="BA67" i="10"/>
  <c r="AZ67" i="10"/>
  <c r="AY67" i="10"/>
  <c r="AX67" i="10"/>
  <c r="AW67" i="10"/>
  <c r="AV67" i="10"/>
  <c r="AU67" i="10"/>
  <c r="AT67" i="10"/>
  <c r="AS67" i="10"/>
  <c r="AR67" i="10"/>
  <c r="AQ67" i="10"/>
  <c r="AP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HG67" i="9"/>
  <c r="HF67" i="9"/>
  <c r="HE67" i="9"/>
  <c r="HD67" i="9"/>
  <c r="HC67" i="9"/>
  <c r="HB67" i="9"/>
  <c r="HA67" i="9"/>
  <c r="GZ67" i="9"/>
  <c r="GY67" i="9"/>
  <c r="GX67" i="9"/>
  <c r="GW67" i="9"/>
  <c r="GV67" i="9"/>
  <c r="GU67" i="9"/>
  <c r="GT67" i="9"/>
  <c r="GS67" i="9"/>
  <c r="GR67" i="9"/>
  <c r="GQ67" i="9"/>
  <c r="GP67" i="9"/>
  <c r="GO67" i="9"/>
  <c r="GN67" i="9"/>
  <c r="GM67" i="9"/>
  <c r="GL67" i="9"/>
  <c r="GK67" i="9"/>
  <c r="GJ67" i="9"/>
  <c r="GI67" i="9"/>
  <c r="GH67" i="9"/>
  <c r="GG67" i="9"/>
  <c r="GF67" i="9"/>
  <c r="GE67" i="9"/>
  <c r="GD67" i="9"/>
  <c r="GC67" i="9"/>
  <c r="GB67" i="9"/>
  <c r="GA67" i="9"/>
  <c r="FZ67" i="9"/>
  <c r="FY67" i="9"/>
  <c r="FX67" i="9"/>
  <c r="FW67" i="9"/>
  <c r="FV67" i="9"/>
  <c r="FU67" i="9"/>
  <c r="FT67" i="9"/>
  <c r="FS67" i="9"/>
  <c r="FR67" i="9"/>
  <c r="FQ67" i="9"/>
  <c r="FP67" i="9"/>
  <c r="FO67" i="9"/>
  <c r="FN67" i="9"/>
  <c r="FM67" i="9"/>
  <c r="FL67" i="9"/>
  <c r="FK67" i="9"/>
  <c r="FJ67" i="9"/>
  <c r="FI67" i="9"/>
  <c r="FH67" i="9"/>
  <c r="FG67" i="9"/>
  <c r="FF67" i="9"/>
  <c r="FE67" i="9"/>
  <c r="FD67" i="9"/>
  <c r="FC67" i="9"/>
  <c r="FB67" i="9"/>
  <c r="FA67" i="9"/>
  <c r="EZ67" i="9"/>
  <c r="EY67" i="9"/>
  <c r="EX67" i="9"/>
  <c r="EW67" i="9"/>
  <c r="EV67" i="9"/>
  <c r="EU67" i="9"/>
  <c r="ET67" i="9"/>
  <c r="ES67" i="9"/>
  <c r="ER67" i="9"/>
  <c r="EQ67" i="9"/>
  <c r="EP67" i="9"/>
  <c r="EO67" i="9"/>
  <c r="EN67" i="9"/>
  <c r="EM67" i="9"/>
  <c r="EL67" i="9"/>
  <c r="EK67" i="9"/>
  <c r="EJ67" i="9"/>
  <c r="EI67" i="9"/>
  <c r="EH67" i="9"/>
  <c r="EG67" i="9"/>
  <c r="EF67" i="9"/>
  <c r="EE67" i="9"/>
  <c r="ED67" i="9"/>
  <c r="EC67" i="9"/>
  <c r="EB67" i="9"/>
  <c r="EA67" i="9"/>
  <c r="DZ67" i="9"/>
  <c r="DY67" i="9"/>
  <c r="DX67" i="9"/>
  <c r="DW67" i="9"/>
  <c r="DV67" i="9"/>
  <c r="DU67" i="9"/>
  <c r="DT67" i="9"/>
  <c r="DS67" i="9"/>
  <c r="DR67" i="9"/>
  <c r="DQ67" i="9"/>
  <c r="DP67" i="9"/>
  <c r="DO67" i="9"/>
  <c r="DN67" i="9"/>
  <c r="DM67" i="9"/>
  <c r="DL67" i="9"/>
  <c r="DK67" i="9"/>
  <c r="DJ67" i="9"/>
  <c r="DI67" i="9"/>
  <c r="DH67" i="9"/>
  <c r="DG67" i="9"/>
  <c r="DF67" i="9"/>
  <c r="DE67" i="9"/>
  <c r="DD67" i="9"/>
  <c r="DC67" i="9"/>
  <c r="DB67" i="9"/>
  <c r="DA67" i="9"/>
  <c r="CZ67" i="9"/>
  <c r="CY67" i="9"/>
  <c r="CX67" i="9"/>
  <c r="CW67" i="9"/>
  <c r="CV67" i="9"/>
  <c r="CU67" i="9"/>
  <c r="CT67" i="9"/>
  <c r="CS67" i="9"/>
  <c r="CR67" i="9"/>
  <c r="CQ67" i="9"/>
  <c r="CP67" i="9"/>
  <c r="CO67" i="9"/>
  <c r="CN67" i="9"/>
  <c r="CM67" i="9"/>
  <c r="CL67" i="9"/>
  <c r="CK67" i="9"/>
  <c r="CJ67" i="9"/>
  <c r="CI67" i="9"/>
  <c r="CH67" i="9"/>
  <c r="CG67" i="9"/>
  <c r="CF67" i="9"/>
  <c r="CE67" i="9"/>
  <c r="CD67" i="9"/>
  <c r="CC67" i="9"/>
  <c r="CB67" i="9"/>
  <c r="CA67" i="9"/>
  <c r="BZ67" i="9"/>
  <c r="BY67" i="9"/>
  <c r="BX67" i="9"/>
  <c r="BW67" i="9"/>
  <c r="BV67"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HD67" i="8"/>
  <c r="HC67" i="8"/>
  <c r="HB67" i="8"/>
  <c r="HA67" i="8"/>
  <c r="GZ67" i="8"/>
  <c r="GY67" i="8"/>
  <c r="GX67" i="8"/>
  <c r="GW67" i="8"/>
  <c r="GV67" i="8"/>
  <c r="GU67" i="8"/>
  <c r="GT67" i="8"/>
  <c r="GS67" i="8"/>
  <c r="GR67" i="8"/>
  <c r="GQ67" i="8"/>
  <c r="GP67" i="8"/>
  <c r="GO67" i="8"/>
  <c r="GN67" i="8"/>
  <c r="GM67" i="8"/>
  <c r="GL67" i="8"/>
  <c r="GK67" i="8"/>
  <c r="GJ67" i="8"/>
  <c r="GI67" i="8"/>
  <c r="GH67" i="8"/>
  <c r="GG67" i="8"/>
  <c r="GF67" i="8"/>
  <c r="GE67" i="8"/>
  <c r="GD67" i="8"/>
  <c r="GC67" i="8"/>
  <c r="GB67" i="8"/>
  <c r="GA67" i="8"/>
  <c r="FZ67" i="8"/>
  <c r="FY67" i="8"/>
  <c r="FX67" i="8"/>
  <c r="FW67" i="8"/>
  <c r="FV67" i="8"/>
  <c r="FU67" i="8"/>
  <c r="FT67" i="8"/>
  <c r="FS67" i="8"/>
  <c r="FR67" i="8"/>
  <c r="FQ67" i="8"/>
  <c r="FP67" i="8"/>
  <c r="FO67" i="8"/>
  <c r="FN67" i="8"/>
  <c r="FM67" i="8"/>
  <c r="FL67" i="8"/>
  <c r="FK67" i="8"/>
  <c r="FJ67" i="8"/>
  <c r="FI67" i="8"/>
  <c r="FH67" i="8"/>
  <c r="FG67" i="8"/>
  <c r="FF67" i="8"/>
  <c r="FE67" i="8"/>
  <c r="FD67" i="8"/>
  <c r="FC67" i="8"/>
  <c r="FB67" i="8"/>
  <c r="FA67" i="8"/>
  <c r="EZ67" i="8"/>
  <c r="EY67" i="8"/>
  <c r="EX67" i="8"/>
  <c r="EW67" i="8"/>
  <c r="EV67" i="8"/>
  <c r="EU67" i="8"/>
  <c r="ET67" i="8"/>
  <c r="ES67" i="8"/>
  <c r="ER67" i="8"/>
  <c r="EQ67" i="8"/>
  <c r="EP67" i="8"/>
  <c r="EO67" i="8"/>
  <c r="EN67" i="8"/>
  <c r="EM67" i="8"/>
  <c r="EL67" i="8"/>
  <c r="EK67" i="8"/>
  <c r="EJ67" i="8"/>
  <c r="EI67" i="8"/>
  <c r="EH67" i="8"/>
  <c r="EG67" i="8"/>
  <c r="EF67" i="8"/>
  <c r="EE67" i="8"/>
  <c r="ED67" i="8"/>
  <c r="EC67" i="8"/>
  <c r="EB67" i="8"/>
  <c r="EA67" i="8"/>
  <c r="DZ67" i="8"/>
  <c r="DY67" i="8"/>
  <c r="DX67" i="8"/>
  <c r="DW67" i="8"/>
  <c r="DV67" i="8"/>
  <c r="DU67" i="8"/>
  <c r="DT67" i="8"/>
  <c r="DS67" i="8"/>
  <c r="DR67" i="8"/>
  <c r="DQ67" i="8"/>
  <c r="DP67" i="8"/>
  <c r="DO67" i="8"/>
  <c r="DN67" i="8"/>
  <c r="DM67" i="8"/>
  <c r="DL67" i="8"/>
  <c r="DK67" i="8"/>
  <c r="DJ67" i="8"/>
  <c r="DI67" i="8"/>
  <c r="DH67" i="8"/>
  <c r="DG67" i="8"/>
  <c r="DF67" i="8"/>
  <c r="DE67" i="8"/>
  <c r="DD67"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FG67" i="7"/>
  <c r="FF67" i="7"/>
  <c r="FE67" i="7"/>
  <c r="FD67" i="7"/>
  <c r="FC67" i="7"/>
  <c r="FB67" i="7"/>
  <c r="FA67" i="7"/>
  <c r="EZ67" i="7"/>
  <c r="EY67" i="7"/>
  <c r="EX67" i="7"/>
  <c r="EW67" i="7"/>
  <c r="EV67" i="7"/>
  <c r="EU67" i="7"/>
  <c r="ET67" i="7"/>
  <c r="ES67" i="7"/>
  <c r="ER67" i="7"/>
  <c r="EQ67" i="7"/>
  <c r="EP67" i="7"/>
  <c r="EO67" i="7"/>
  <c r="EN67" i="7"/>
  <c r="EM67" i="7"/>
  <c r="EL67" i="7"/>
  <c r="EK67" i="7"/>
  <c r="EJ67" i="7"/>
  <c r="EI67" i="7"/>
  <c r="EH67" i="7"/>
  <c r="EG67" i="7"/>
  <c r="EF67" i="7"/>
  <c r="EE67" i="7"/>
  <c r="ED67" i="7"/>
  <c r="EC67" i="7"/>
  <c r="EB67" i="7"/>
  <c r="EA67" i="7"/>
  <c r="DZ67" i="7"/>
  <c r="DY67" i="7"/>
  <c r="DX67" i="7"/>
  <c r="DW67" i="7"/>
  <c r="DV67" i="7"/>
  <c r="DU67" i="7"/>
  <c r="DT67" i="7"/>
  <c r="DS67" i="7"/>
  <c r="DR67" i="7"/>
  <c r="DQ67" i="7"/>
  <c r="DP67" i="7"/>
  <c r="DO67" i="7"/>
  <c r="DN67" i="7"/>
  <c r="DM67" i="7"/>
  <c r="DL67" i="7"/>
  <c r="DK67" i="7"/>
  <c r="DJ67" i="7"/>
  <c r="DI67" i="7"/>
  <c r="DH67" i="7"/>
  <c r="DG67" i="7"/>
  <c r="DF67" i="7"/>
  <c r="DE67" i="7"/>
  <c r="DD67"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G67" i="7"/>
  <c r="F67" i="7"/>
  <c r="E67" i="7"/>
  <c r="D67" i="7"/>
  <c r="C67" i="7"/>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CRE67" i="4"/>
  <c r="CRD67" i="4"/>
  <c r="CRC67" i="4"/>
  <c r="CRB67" i="4"/>
  <c r="CRA67" i="4"/>
  <c r="CQZ67" i="4"/>
  <c r="CQY67" i="4"/>
  <c r="CQX67" i="4"/>
  <c r="CQW67" i="4"/>
  <c r="CQV67" i="4"/>
  <c r="CQU67" i="4"/>
  <c r="CQT67" i="4"/>
  <c r="CQS67" i="4"/>
  <c r="CQR67" i="4"/>
  <c r="CQQ67" i="4"/>
  <c r="CQP67" i="4"/>
  <c r="CQO67" i="4"/>
  <c r="CQN67" i="4"/>
  <c r="CQM67" i="4"/>
  <c r="CQL67" i="4"/>
  <c r="CQK67" i="4"/>
  <c r="CQJ67" i="4"/>
  <c r="CQI67" i="4"/>
  <c r="CQH67" i="4"/>
  <c r="CQG67" i="4"/>
  <c r="CQF67" i="4"/>
  <c r="CQE67" i="4"/>
  <c r="CQD67" i="4"/>
  <c r="CQC67" i="4"/>
  <c r="CQB67" i="4"/>
  <c r="CQA67" i="4"/>
  <c r="CPZ67" i="4"/>
  <c r="CPY67" i="4"/>
  <c r="CPX67" i="4"/>
  <c r="CPW67" i="4"/>
  <c r="CPV67" i="4"/>
  <c r="CPU67" i="4"/>
  <c r="CPT67" i="4"/>
  <c r="CPS67" i="4"/>
  <c r="CPR67" i="4"/>
  <c r="CPQ67" i="4"/>
  <c r="CPP67" i="4"/>
  <c r="CPO67" i="4"/>
  <c r="CPN67" i="4"/>
  <c r="CPM67" i="4"/>
  <c r="CPL67" i="4"/>
  <c r="CPK67" i="4"/>
  <c r="CPJ67" i="4"/>
  <c r="CPI67" i="4"/>
  <c r="CPH67" i="4"/>
  <c r="CPG67" i="4"/>
  <c r="CPF67" i="4"/>
  <c r="CPE67" i="4"/>
  <c r="CPD67" i="4"/>
  <c r="CPC67" i="4"/>
  <c r="CPB67" i="4"/>
  <c r="CPA67" i="4"/>
  <c r="COZ67" i="4"/>
  <c r="COY67" i="4"/>
  <c r="COX67" i="4"/>
  <c r="COW67" i="4"/>
  <c r="COV67" i="4"/>
  <c r="COU67" i="4"/>
  <c r="COT67" i="4"/>
  <c r="COS67" i="4"/>
  <c r="COR67" i="4"/>
  <c r="COQ67" i="4"/>
  <c r="COP67" i="4"/>
  <c r="COO67" i="4"/>
  <c r="CON67" i="4"/>
  <c r="COM67" i="4"/>
  <c r="COL67" i="4"/>
  <c r="COK67" i="4"/>
  <c r="COJ67" i="4"/>
  <c r="COI67" i="4"/>
  <c r="COH67" i="4"/>
  <c r="COG67" i="4"/>
  <c r="COF67" i="4"/>
  <c r="COE67" i="4"/>
  <c r="COD67" i="4"/>
  <c r="COC67" i="4"/>
  <c r="COB67" i="4"/>
  <c r="COA67" i="4"/>
  <c r="CNZ67" i="4"/>
  <c r="CNY67" i="4"/>
  <c r="CNX67" i="4"/>
  <c r="CNW67" i="4"/>
  <c r="CNV67" i="4"/>
  <c r="CNU67" i="4"/>
  <c r="CNT67" i="4"/>
  <c r="CNS67" i="4"/>
  <c r="CNR67" i="4"/>
  <c r="CNQ67" i="4"/>
  <c r="CNP67" i="4"/>
  <c r="CNO67" i="4"/>
  <c r="CNN67" i="4"/>
  <c r="CNM67" i="4"/>
  <c r="CNL67" i="4"/>
  <c r="CNK67" i="4"/>
  <c r="CNJ67" i="4"/>
  <c r="CNI67" i="4"/>
  <c r="CNH67" i="4"/>
  <c r="CNG67" i="4"/>
  <c r="CNF67" i="4"/>
  <c r="CNE67" i="4"/>
  <c r="CND67" i="4"/>
  <c r="CNC67" i="4"/>
  <c r="CNB67" i="4"/>
  <c r="CNA67" i="4"/>
  <c r="CMZ67" i="4"/>
  <c r="CMY67" i="4"/>
  <c r="CMX67" i="4"/>
  <c r="CMW67" i="4"/>
  <c r="CMV67" i="4"/>
  <c r="CMU67" i="4"/>
  <c r="CMT67" i="4"/>
  <c r="CMS67" i="4"/>
  <c r="CMR67" i="4"/>
  <c r="CMQ67" i="4"/>
  <c r="CMP67" i="4"/>
  <c r="CMO67" i="4"/>
  <c r="CMN67" i="4"/>
  <c r="CMM67" i="4"/>
  <c r="CML67" i="4"/>
  <c r="CMK67" i="4"/>
  <c r="CMJ67" i="4"/>
  <c r="CMI67" i="4"/>
  <c r="CMH67" i="4"/>
  <c r="CMG67" i="4"/>
  <c r="CMF67" i="4"/>
  <c r="CME67" i="4"/>
  <c r="CMD67" i="4"/>
  <c r="CMC67" i="4"/>
  <c r="CMB67" i="4"/>
  <c r="CMA67" i="4"/>
  <c r="CLZ67" i="4"/>
  <c r="CLY67" i="4"/>
  <c r="CLX67" i="4"/>
  <c r="CLW67" i="4"/>
  <c r="CLV67" i="4"/>
  <c r="CLU67" i="4"/>
  <c r="CLT67" i="4"/>
  <c r="CLS67" i="4"/>
  <c r="CLR67" i="4"/>
  <c r="CLQ67" i="4"/>
  <c r="CLP67" i="4"/>
  <c r="CLO67" i="4"/>
  <c r="CLN67" i="4"/>
  <c r="CLM67" i="4"/>
  <c r="CLL67" i="4"/>
  <c r="CLK67" i="4"/>
  <c r="CLJ67" i="4"/>
  <c r="CLI67" i="4"/>
  <c r="CLH67" i="4"/>
  <c r="CLG67" i="4"/>
  <c r="CLF67" i="4"/>
  <c r="CLE67" i="4"/>
  <c r="CLD67" i="4"/>
  <c r="CLC67" i="4"/>
  <c r="CLB67" i="4"/>
  <c r="CLA67" i="4"/>
  <c r="CKZ67" i="4"/>
  <c r="CKY67" i="4"/>
  <c r="CKX67" i="4"/>
  <c r="CKW67" i="4"/>
  <c r="CKV67" i="4"/>
  <c r="CKU67" i="4"/>
  <c r="CKT67" i="4"/>
  <c r="CKS67" i="4"/>
  <c r="CKR67" i="4"/>
  <c r="CKQ67" i="4"/>
  <c r="CKP67" i="4"/>
  <c r="CKO67" i="4"/>
  <c r="CKN67" i="4"/>
  <c r="CKM67" i="4"/>
  <c r="CKL67" i="4"/>
  <c r="CKK67" i="4"/>
  <c r="CKJ67" i="4"/>
  <c r="CKI67" i="4"/>
  <c r="CKH67" i="4"/>
  <c r="CKG67" i="4"/>
  <c r="CKF67" i="4"/>
  <c r="CKE67" i="4"/>
  <c r="CKD67" i="4"/>
  <c r="CKC67" i="4"/>
  <c r="CKB67" i="4"/>
  <c r="CKA67" i="4"/>
  <c r="CJZ67" i="4"/>
  <c r="CJY67" i="4"/>
  <c r="CJX67" i="4"/>
  <c r="CJW67" i="4"/>
  <c r="CJV67" i="4"/>
  <c r="CJU67" i="4"/>
  <c r="CJT67" i="4"/>
  <c r="CJS67" i="4"/>
  <c r="CJR67" i="4"/>
  <c r="CJQ67" i="4"/>
  <c r="CJP67" i="4"/>
  <c r="CJO67" i="4"/>
  <c r="CJN67" i="4"/>
  <c r="CJM67" i="4"/>
  <c r="CJL67" i="4"/>
  <c r="CJK67" i="4"/>
  <c r="CJJ67" i="4"/>
  <c r="CJI67" i="4"/>
  <c r="CJH67" i="4"/>
  <c r="CJG67" i="4"/>
  <c r="CJF67" i="4"/>
  <c r="CJE67" i="4"/>
  <c r="CJD67" i="4"/>
  <c r="CJC67" i="4"/>
  <c r="CJB67" i="4"/>
  <c r="CJA67" i="4"/>
  <c r="CIZ67" i="4"/>
  <c r="CIY67" i="4"/>
  <c r="CIX67" i="4"/>
  <c r="CIW67" i="4"/>
  <c r="CIV67" i="4"/>
  <c r="CIU67" i="4"/>
  <c r="CIT67" i="4"/>
  <c r="CIS67" i="4"/>
  <c r="CIR67" i="4"/>
  <c r="CIQ67" i="4"/>
  <c r="CIP67" i="4"/>
  <c r="CIO67" i="4"/>
  <c r="CIN67" i="4"/>
  <c r="CIM67" i="4"/>
  <c r="CIL67" i="4"/>
  <c r="CIK67" i="4"/>
  <c r="CIJ67" i="4"/>
  <c r="CII67" i="4"/>
  <c r="CIH67" i="4"/>
  <c r="CIG67" i="4"/>
  <c r="CIF67" i="4"/>
  <c r="CIE67" i="4"/>
  <c r="CID67" i="4"/>
  <c r="CIC67" i="4"/>
  <c r="CIB67" i="4"/>
  <c r="CIA67" i="4"/>
  <c r="CHZ67" i="4"/>
  <c r="CHY67" i="4"/>
  <c r="CHX67" i="4"/>
  <c r="CHW67" i="4"/>
  <c r="CHV67" i="4"/>
  <c r="CHU67" i="4"/>
  <c r="CHT67" i="4"/>
  <c r="CHS67" i="4"/>
  <c r="CHR67" i="4"/>
  <c r="CHQ67" i="4"/>
  <c r="CHP67" i="4"/>
  <c r="CHO67" i="4"/>
  <c r="CHN67" i="4"/>
  <c r="CHM67" i="4"/>
  <c r="CHL67" i="4"/>
  <c r="CHK67" i="4"/>
  <c r="CHJ67" i="4"/>
  <c r="CHI67" i="4"/>
  <c r="CHH67" i="4"/>
  <c r="CHG67" i="4"/>
  <c r="CHF67" i="4"/>
  <c r="CHE67" i="4"/>
  <c r="CHD67" i="4"/>
  <c r="CHC67" i="4"/>
  <c r="CHB67" i="4"/>
  <c r="CHA67" i="4"/>
  <c r="CGZ67" i="4"/>
  <c r="CGY67" i="4"/>
  <c r="CGX67" i="4"/>
  <c r="CGW67" i="4"/>
  <c r="CGV67" i="4"/>
  <c r="CGU67" i="4"/>
  <c r="CGT67" i="4"/>
  <c r="CGS67" i="4"/>
  <c r="CGR67" i="4"/>
  <c r="CGQ67" i="4"/>
  <c r="CGP67" i="4"/>
  <c r="CGO67" i="4"/>
  <c r="CGN67" i="4"/>
  <c r="CGM67" i="4"/>
  <c r="CGL67" i="4"/>
  <c r="CGK67" i="4"/>
  <c r="CGJ67" i="4"/>
  <c r="CGI67" i="4"/>
  <c r="CGH67" i="4"/>
  <c r="CGG67" i="4"/>
  <c r="CGF67" i="4"/>
  <c r="CGE67" i="4"/>
  <c r="CGD67" i="4"/>
  <c r="CGC67" i="4"/>
  <c r="CGB67" i="4"/>
  <c r="CGA67" i="4"/>
  <c r="CFZ67" i="4"/>
  <c r="CFY67" i="4"/>
  <c r="CFX67" i="4"/>
  <c r="CFW67" i="4"/>
  <c r="CFV67" i="4"/>
  <c r="CFU67" i="4"/>
  <c r="CFT67" i="4"/>
  <c r="CFS67" i="4"/>
  <c r="CFR67" i="4"/>
  <c r="CFQ67" i="4"/>
  <c r="CFP67" i="4"/>
  <c r="CFO67" i="4"/>
  <c r="CFN67" i="4"/>
  <c r="CFM67" i="4"/>
  <c r="CFL67" i="4"/>
  <c r="CFK67" i="4"/>
  <c r="CFJ67" i="4"/>
  <c r="CFI67" i="4"/>
  <c r="CFH67" i="4"/>
  <c r="CFG67" i="4"/>
  <c r="CFF67" i="4"/>
  <c r="CFE67" i="4"/>
  <c r="CFD67" i="4"/>
  <c r="CFC67" i="4"/>
  <c r="CFB67" i="4"/>
  <c r="CFA67" i="4"/>
  <c r="CEZ67" i="4"/>
  <c r="CEY67" i="4"/>
  <c r="CEX67" i="4"/>
  <c r="CEW67" i="4"/>
  <c r="CEV67" i="4"/>
  <c r="CEU67" i="4"/>
  <c r="CET67" i="4"/>
  <c r="CES67" i="4"/>
  <c r="CER67" i="4"/>
  <c r="CEQ67" i="4"/>
  <c r="CEP67" i="4"/>
  <c r="CEO67" i="4"/>
  <c r="CEN67" i="4"/>
  <c r="CEM67" i="4"/>
  <c r="CEL67" i="4"/>
  <c r="CEK67" i="4"/>
  <c r="CEJ67" i="4"/>
  <c r="CEI67" i="4"/>
  <c r="CEH67" i="4"/>
  <c r="CEG67" i="4"/>
  <c r="CEF67" i="4"/>
  <c r="CEE67" i="4"/>
  <c r="CED67" i="4"/>
  <c r="CEC67" i="4"/>
  <c r="CEB67" i="4"/>
  <c r="CEA67" i="4"/>
  <c r="CDZ67" i="4"/>
  <c r="CDY67" i="4"/>
  <c r="CDX67" i="4"/>
  <c r="CDW67" i="4"/>
  <c r="CDV67" i="4"/>
  <c r="CDU67" i="4"/>
  <c r="CDT67" i="4"/>
  <c r="CDS67" i="4"/>
  <c r="CDR67" i="4"/>
  <c r="CDQ67" i="4"/>
  <c r="CDP67" i="4"/>
  <c r="CDO67" i="4"/>
  <c r="CDN67" i="4"/>
  <c r="CDM67" i="4"/>
  <c r="CDL67" i="4"/>
  <c r="CDK67" i="4"/>
  <c r="CDJ67" i="4"/>
  <c r="CDI67" i="4"/>
  <c r="CDH67" i="4"/>
  <c r="CDG67" i="4"/>
  <c r="CDF67" i="4"/>
  <c r="CDE67" i="4"/>
  <c r="CDD67" i="4"/>
  <c r="CDC67" i="4"/>
  <c r="CDB67" i="4"/>
  <c r="CDA67" i="4"/>
  <c r="CCZ67" i="4"/>
  <c r="CCY67" i="4"/>
  <c r="CCX67" i="4"/>
  <c r="CCW67" i="4"/>
  <c r="CCV67" i="4"/>
  <c r="CCU67" i="4"/>
  <c r="CCT67" i="4"/>
  <c r="CCS67" i="4"/>
  <c r="CCR67" i="4"/>
  <c r="CCQ67" i="4"/>
  <c r="CCP67" i="4"/>
  <c r="CCO67" i="4"/>
  <c r="CCN67" i="4"/>
  <c r="CCM67" i="4"/>
  <c r="CCL67" i="4"/>
  <c r="CCK67" i="4"/>
  <c r="CCJ67" i="4"/>
  <c r="CCI67" i="4"/>
  <c r="CCH67" i="4"/>
  <c r="CCG67" i="4"/>
  <c r="CCF67" i="4"/>
  <c r="CCE67" i="4"/>
  <c r="CCD67" i="4"/>
  <c r="CCC67" i="4"/>
  <c r="CCB67" i="4"/>
  <c r="CCA67" i="4"/>
  <c r="CBZ67" i="4"/>
  <c r="CBY67" i="4"/>
  <c r="CBX67" i="4"/>
  <c r="CBW67" i="4"/>
  <c r="CBV67" i="4"/>
  <c r="CBU67" i="4"/>
  <c r="CBT67" i="4"/>
  <c r="CBS67" i="4"/>
  <c r="CBR67" i="4"/>
  <c r="CBQ67" i="4"/>
  <c r="CBP67" i="4"/>
  <c r="CBO67" i="4"/>
  <c r="CBN67" i="4"/>
  <c r="CBM67" i="4"/>
  <c r="CBL67" i="4"/>
  <c r="CBK67" i="4"/>
  <c r="CBJ67" i="4"/>
  <c r="CBI67" i="4"/>
  <c r="CBH67" i="4"/>
  <c r="CBG67" i="4"/>
  <c r="CBF67" i="4"/>
  <c r="CBE67" i="4"/>
  <c r="CBD67" i="4"/>
  <c r="CBC67" i="4"/>
  <c r="CBB67" i="4"/>
  <c r="CBA67" i="4"/>
  <c r="CAZ67" i="4"/>
  <c r="CAY67" i="4"/>
  <c r="CAX67" i="4"/>
  <c r="CAW67" i="4"/>
  <c r="CAV67" i="4"/>
  <c r="CAU67" i="4"/>
  <c r="CAT67" i="4"/>
  <c r="CAS67" i="4"/>
  <c r="CAR67" i="4"/>
  <c r="CAQ67" i="4"/>
  <c r="CAP67" i="4"/>
  <c r="CAO67" i="4"/>
  <c r="CAN67" i="4"/>
  <c r="CAM67" i="4"/>
  <c r="CAL67" i="4"/>
  <c r="CAK67" i="4"/>
  <c r="CAJ67" i="4"/>
  <c r="CAI67" i="4"/>
  <c r="CAH67" i="4"/>
  <c r="CAG67" i="4"/>
  <c r="CAF67" i="4"/>
  <c r="CAE67" i="4"/>
  <c r="CAD67" i="4"/>
  <c r="CAC67" i="4"/>
  <c r="CAB67" i="4"/>
  <c r="CAA67" i="4"/>
  <c r="BZZ67" i="4"/>
  <c r="BZY67" i="4"/>
  <c r="BZX67" i="4"/>
  <c r="BZW67" i="4"/>
  <c r="BZV67" i="4"/>
  <c r="BZU67" i="4"/>
  <c r="BZT67" i="4"/>
  <c r="BZS67" i="4"/>
  <c r="BZR67" i="4"/>
  <c r="BZQ67" i="4"/>
  <c r="BZP67" i="4"/>
  <c r="BZO67" i="4"/>
  <c r="BZN67" i="4"/>
  <c r="BZM67" i="4"/>
  <c r="BZL67" i="4"/>
  <c r="BZK67" i="4"/>
  <c r="BZJ67" i="4"/>
  <c r="BZI67" i="4"/>
  <c r="BZH67" i="4"/>
  <c r="BZG67" i="4"/>
  <c r="BZF67" i="4"/>
  <c r="BZE67" i="4"/>
  <c r="BZD67" i="4"/>
  <c r="BZC67" i="4"/>
  <c r="BZB67" i="4"/>
  <c r="BZA67" i="4"/>
  <c r="BYZ67" i="4"/>
  <c r="BYY67" i="4"/>
  <c r="BYX67" i="4"/>
  <c r="BYW67" i="4"/>
  <c r="BYV67" i="4"/>
  <c r="BYU67" i="4"/>
  <c r="BYT67" i="4"/>
  <c r="BYS67" i="4"/>
  <c r="BYR67" i="4"/>
  <c r="BYQ67" i="4"/>
  <c r="BYP67" i="4"/>
  <c r="BYO67" i="4"/>
  <c r="BYN67" i="4"/>
  <c r="BYM67" i="4"/>
  <c r="BYL67" i="4"/>
  <c r="BYK67" i="4"/>
  <c r="BYJ67" i="4"/>
  <c r="BYI67" i="4"/>
  <c r="BYH67" i="4"/>
  <c r="BYG67" i="4"/>
  <c r="BYF67" i="4"/>
  <c r="BYE67" i="4"/>
  <c r="BYD67" i="4"/>
  <c r="BYC67" i="4"/>
  <c r="BYB67" i="4"/>
  <c r="BYA67" i="4"/>
  <c r="BXZ67" i="4"/>
  <c r="BXY67" i="4"/>
  <c r="BXX67" i="4"/>
  <c r="BXW67" i="4"/>
  <c r="BXV67" i="4"/>
  <c r="BXU67" i="4"/>
  <c r="BXT67" i="4"/>
  <c r="BXS67" i="4"/>
  <c r="BXR67" i="4"/>
  <c r="BXQ67" i="4"/>
  <c r="BXP67" i="4"/>
  <c r="BXO67" i="4"/>
  <c r="BXN67" i="4"/>
  <c r="BXM67" i="4"/>
  <c r="BXL67" i="4"/>
  <c r="BXK67" i="4"/>
  <c r="BXJ67" i="4"/>
  <c r="BXI67" i="4"/>
  <c r="BXH67" i="4"/>
  <c r="BXG67" i="4"/>
  <c r="BXF67" i="4"/>
  <c r="BXE67" i="4"/>
  <c r="BXD67" i="4"/>
  <c r="BXC67" i="4"/>
  <c r="BXB67" i="4"/>
  <c r="BXA67" i="4"/>
  <c r="BWZ67" i="4"/>
  <c r="BWY67" i="4"/>
  <c r="BWX67" i="4"/>
  <c r="BWW67" i="4"/>
  <c r="BWV67" i="4"/>
  <c r="BWU67" i="4"/>
  <c r="BWT67" i="4"/>
  <c r="BWS67" i="4"/>
  <c r="BWR67" i="4"/>
  <c r="BWQ67" i="4"/>
  <c r="BWP67" i="4"/>
  <c r="BWO67" i="4"/>
  <c r="BWN67" i="4"/>
  <c r="BWM67" i="4"/>
  <c r="BWL67" i="4"/>
  <c r="BWK67" i="4"/>
  <c r="BWJ67" i="4"/>
  <c r="BWI67" i="4"/>
  <c r="BWH67" i="4"/>
  <c r="BWG67" i="4"/>
  <c r="BWF67" i="4"/>
  <c r="BWE67" i="4"/>
  <c r="BWD67" i="4"/>
  <c r="BWC67" i="4"/>
  <c r="BWB67" i="4"/>
  <c r="BWA67" i="4"/>
  <c r="BVZ67" i="4"/>
  <c r="BVY67" i="4"/>
  <c r="BVX67" i="4"/>
  <c r="BVW67" i="4"/>
  <c r="BVV67" i="4"/>
  <c r="BVU67" i="4"/>
  <c r="BVT67" i="4"/>
  <c r="BVS67" i="4"/>
  <c r="BVR67" i="4"/>
  <c r="BVQ67" i="4"/>
  <c r="BVP67" i="4"/>
  <c r="BVO67" i="4"/>
  <c r="BVN67" i="4"/>
  <c r="BVM67" i="4"/>
  <c r="BVL67" i="4"/>
  <c r="BVK67" i="4"/>
  <c r="BVJ67" i="4"/>
  <c r="BVI67" i="4"/>
  <c r="BVH67" i="4"/>
  <c r="BVG67" i="4"/>
  <c r="BVF67" i="4"/>
  <c r="BVE67" i="4"/>
  <c r="BVD67" i="4"/>
  <c r="BVC67" i="4"/>
  <c r="BVB67" i="4"/>
  <c r="BVA67" i="4"/>
  <c r="BUZ67" i="4"/>
  <c r="BUY67" i="4"/>
  <c r="BUX67" i="4"/>
  <c r="BUW67" i="4"/>
  <c r="BUV67" i="4"/>
  <c r="BUU67" i="4"/>
  <c r="BUT67" i="4"/>
  <c r="BUS67" i="4"/>
  <c r="BUR67" i="4"/>
  <c r="BUQ67" i="4"/>
  <c r="BUP67" i="4"/>
  <c r="BUO67" i="4"/>
  <c r="BUN67" i="4"/>
  <c r="BUM67" i="4"/>
  <c r="BUL67" i="4"/>
  <c r="BUK67" i="4"/>
  <c r="BUJ67" i="4"/>
  <c r="BUI67" i="4"/>
  <c r="BUH67" i="4"/>
  <c r="BUG67" i="4"/>
  <c r="BUF67" i="4"/>
  <c r="BUE67" i="4"/>
  <c r="BUD67" i="4"/>
  <c r="BUC67" i="4"/>
  <c r="BUB67" i="4"/>
  <c r="BUA67" i="4"/>
  <c r="BTZ67" i="4"/>
  <c r="BTY67" i="4"/>
  <c r="BTX67" i="4"/>
  <c r="BTW67" i="4"/>
  <c r="BTV67" i="4"/>
  <c r="BTU67" i="4"/>
  <c r="BTT67" i="4"/>
  <c r="BTS67" i="4"/>
  <c r="BTR67" i="4"/>
  <c r="BTQ67" i="4"/>
  <c r="BTP67" i="4"/>
  <c r="BTO67" i="4"/>
  <c r="BTN67" i="4"/>
  <c r="BTM67" i="4"/>
  <c r="BTL67" i="4"/>
  <c r="BTK67" i="4"/>
  <c r="BTJ67" i="4"/>
  <c r="BTI67" i="4"/>
  <c r="BTH67" i="4"/>
  <c r="BTG67" i="4"/>
  <c r="BTF67" i="4"/>
  <c r="BTE67" i="4"/>
  <c r="BTD67" i="4"/>
  <c r="BTC67" i="4"/>
  <c r="BTB67" i="4"/>
  <c r="BTA67" i="4"/>
  <c r="BSZ67" i="4"/>
  <c r="BSY67" i="4"/>
  <c r="BSX67" i="4"/>
  <c r="BSW67" i="4"/>
  <c r="BSV67" i="4"/>
  <c r="BSU67" i="4"/>
  <c r="BST67" i="4"/>
  <c r="BSS67" i="4"/>
  <c r="BSR67" i="4"/>
  <c r="BSQ67" i="4"/>
  <c r="BSP67" i="4"/>
  <c r="BSO67" i="4"/>
  <c r="BSN67" i="4"/>
  <c r="BSM67" i="4"/>
  <c r="BSL67" i="4"/>
  <c r="BSK67" i="4"/>
  <c r="BSJ67" i="4"/>
  <c r="BSI67" i="4"/>
  <c r="BSH67" i="4"/>
  <c r="BSG67" i="4"/>
  <c r="BSF67" i="4"/>
  <c r="BSE67" i="4"/>
  <c r="BSD67" i="4"/>
  <c r="BSC67" i="4"/>
  <c r="BSB67" i="4"/>
  <c r="BSA67" i="4"/>
  <c r="BRZ67" i="4"/>
  <c r="BRY67" i="4"/>
  <c r="BRX67" i="4"/>
  <c r="BRW67" i="4"/>
  <c r="BRV67" i="4"/>
  <c r="BRU67" i="4"/>
  <c r="BRT67" i="4"/>
  <c r="BRS67" i="4"/>
  <c r="BRR67" i="4"/>
  <c r="BRQ67" i="4"/>
  <c r="BRP67" i="4"/>
  <c r="BRO67" i="4"/>
  <c r="BRN67" i="4"/>
  <c r="BRM67" i="4"/>
  <c r="BRL67" i="4"/>
  <c r="BRK67" i="4"/>
  <c r="BRJ67" i="4"/>
  <c r="BRI67" i="4"/>
  <c r="BRH67" i="4"/>
  <c r="BRG67" i="4"/>
  <c r="BRF67" i="4"/>
  <c r="BRE67" i="4"/>
  <c r="BRD67" i="4"/>
  <c r="BRC67" i="4"/>
  <c r="BRB67" i="4"/>
  <c r="BRA67" i="4"/>
  <c r="BQZ67" i="4"/>
  <c r="BQY67" i="4"/>
  <c r="BQX67" i="4"/>
  <c r="BQW67" i="4"/>
  <c r="BQV67" i="4"/>
  <c r="BQU67" i="4"/>
  <c r="BQT67" i="4"/>
  <c r="BQS67" i="4"/>
  <c r="BQR67" i="4"/>
  <c r="BQQ67" i="4"/>
  <c r="BQP67" i="4"/>
  <c r="BQO67" i="4"/>
  <c r="BQN67" i="4"/>
  <c r="BQM67" i="4"/>
  <c r="BQL67" i="4"/>
  <c r="BQK67" i="4"/>
  <c r="BQJ67" i="4"/>
  <c r="BQI67" i="4"/>
  <c r="BQH67" i="4"/>
  <c r="BQG67" i="4"/>
  <c r="BQF67" i="4"/>
  <c r="BQE67" i="4"/>
  <c r="BQD67" i="4"/>
  <c r="BQC67" i="4"/>
  <c r="BQB67" i="4"/>
  <c r="BQA67" i="4"/>
  <c r="BPZ67" i="4"/>
  <c r="BPY67" i="4"/>
  <c r="BPX67" i="4"/>
  <c r="BPW67" i="4"/>
  <c r="BPV67" i="4"/>
  <c r="BPU67" i="4"/>
  <c r="BPT67" i="4"/>
  <c r="BPS67" i="4"/>
  <c r="BPR67" i="4"/>
  <c r="BPQ67" i="4"/>
  <c r="BPP67" i="4"/>
  <c r="BPO67" i="4"/>
  <c r="BPN67" i="4"/>
  <c r="BPM67" i="4"/>
  <c r="BPL67" i="4"/>
  <c r="BPK67" i="4"/>
  <c r="BPJ67" i="4"/>
  <c r="BPI67" i="4"/>
  <c r="BPH67" i="4"/>
  <c r="BPG67" i="4"/>
  <c r="BPF67" i="4"/>
  <c r="BPE67" i="4"/>
  <c r="BPD67" i="4"/>
  <c r="BPC67" i="4"/>
  <c r="BPB67" i="4"/>
  <c r="BPA67" i="4"/>
  <c r="BOZ67" i="4"/>
  <c r="BOY67" i="4"/>
  <c r="BOX67" i="4"/>
  <c r="BOW67" i="4"/>
  <c r="BOV67" i="4"/>
  <c r="BOU67" i="4"/>
  <c r="BOT67" i="4"/>
  <c r="BOS67" i="4"/>
  <c r="BOR67" i="4"/>
  <c r="BOQ67" i="4"/>
  <c r="BOP67" i="4"/>
  <c r="BOO67" i="4"/>
  <c r="BON67" i="4"/>
  <c r="BOM67" i="4"/>
  <c r="BOL67" i="4"/>
  <c r="BOK67" i="4"/>
  <c r="BOJ67" i="4"/>
  <c r="BOI67" i="4"/>
  <c r="BOH67" i="4"/>
  <c r="BOG67" i="4"/>
  <c r="BOF67" i="4"/>
  <c r="BOE67" i="4"/>
  <c r="BOD67" i="4"/>
  <c r="BOC67" i="4"/>
  <c r="BOB67" i="4"/>
  <c r="BOA67" i="4"/>
  <c r="BNZ67" i="4"/>
  <c r="BNY67" i="4"/>
  <c r="BNX67" i="4"/>
  <c r="BNW67" i="4"/>
  <c r="BNV67" i="4"/>
  <c r="BNU67" i="4"/>
  <c r="BNT67" i="4"/>
  <c r="BNS67" i="4"/>
  <c r="BNR67" i="4"/>
  <c r="BNQ67" i="4"/>
  <c r="BNP67" i="4"/>
  <c r="BNO67" i="4"/>
  <c r="BNN67" i="4"/>
  <c r="BNM67" i="4"/>
  <c r="BNL67" i="4"/>
  <c r="BNK67" i="4"/>
  <c r="BNJ67" i="4"/>
  <c r="BNI67" i="4"/>
  <c r="BNH67" i="4"/>
  <c r="BNG67" i="4"/>
  <c r="BNF67" i="4"/>
  <c r="BNE67" i="4"/>
  <c r="BND67" i="4"/>
  <c r="BNC67" i="4"/>
  <c r="BNB67" i="4"/>
  <c r="BNA67" i="4"/>
  <c r="BMZ67" i="4"/>
  <c r="BMY67" i="4"/>
  <c r="BMX67" i="4"/>
  <c r="BMW67" i="4"/>
  <c r="BMV67" i="4"/>
  <c r="BMU67" i="4"/>
  <c r="BMT67" i="4"/>
  <c r="BMS67" i="4"/>
  <c r="BMR67" i="4"/>
  <c r="BMQ67" i="4"/>
  <c r="BMP67" i="4"/>
  <c r="BMO67" i="4"/>
  <c r="BMN67" i="4"/>
  <c r="BMM67" i="4"/>
  <c r="BML67" i="4"/>
  <c r="BMK67" i="4"/>
  <c r="BMJ67" i="4"/>
  <c r="BMI67" i="4"/>
  <c r="BMH67" i="4"/>
  <c r="BMG67" i="4"/>
  <c r="BMF67" i="4"/>
  <c r="BME67" i="4"/>
  <c r="BMD67" i="4"/>
  <c r="BMC67" i="4"/>
  <c r="BMB67" i="4"/>
  <c r="BMA67" i="4"/>
  <c r="BLZ67" i="4"/>
  <c r="BLY67" i="4"/>
  <c r="BLX67" i="4"/>
  <c r="BLW67" i="4"/>
  <c r="BLV67" i="4"/>
  <c r="BLU67" i="4"/>
  <c r="BLT67" i="4"/>
  <c r="BLS67" i="4"/>
  <c r="BLR67" i="4"/>
  <c r="BLQ67" i="4"/>
  <c r="BLP67" i="4"/>
  <c r="BLO67" i="4"/>
  <c r="BLN67" i="4"/>
  <c r="BLM67" i="4"/>
  <c r="BLL67" i="4"/>
  <c r="BLK67" i="4"/>
  <c r="BLJ67" i="4"/>
  <c r="BLI67" i="4"/>
  <c r="BLH67" i="4"/>
  <c r="BLG67" i="4"/>
  <c r="BLF67" i="4"/>
  <c r="BLE67" i="4"/>
  <c r="BLD67" i="4"/>
  <c r="BLC67" i="4"/>
  <c r="BLB67" i="4"/>
  <c r="BLA67" i="4"/>
  <c r="BKZ67" i="4"/>
  <c r="BKY67" i="4"/>
  <c r="BKX67" i="4"/>
  <c r="BKW67" i="4"/>
  <c r="BKV67" i="4"/>
  <c r="BKU67" i="4"/>
  <c r="BKT67" i="4"/>
  <c r="BKS67" i="4"/>
  <c r="BKR67" i="4"/>
  <c r="BKQ67" i="4"/>
  <c r="BKP67" i="4"/>
  <c r="BKO67" i="4"/>
  <c r="BKN67" i="4"/>
  <c r="BKM67" i="4"/>
  <c r="BKL67" i="4"/>
  <c r="BKK67" i="4"/>
  <c r="BKJ67" i="4"/>
  <c r="BKI67" i="4"/>
  <c r="BKH67" i="4"/>
  <c r="BKG67" i="4"/>
  <c r="BKF67" i="4"/>
  <c r="BKE67" i="4"/>
  <c r="BKD67" i="4"/>
  <c r="BKC67" i="4"/>
  <c r="BKB67" i="4"/>
  <c r="BKA67" i="4"/>
  <c r="BJZ67" i="4"/>
  <c r="BJY67" i="4"/>
  <c r="BJX67" i="4"/>
  <c r="BJW67" i="4"/>
  <c r="BJV67" i="4"/>
  <c r="BJU67" i="4"/>
  <c r="BJT67" i="4"/>
  <c r="BJS67" i="4"/>
  <c r="BJR67" i="4"/>
  <c r="BJQ67" i="4"/>
  <c r="BJP67" i="4"/>
  <c r="BJO67" i="4"/>
  <c r="BJN67" i="4"/>
  <c r="BJM67" i="4"/>
  <c r="BJL67" i="4"/>
  <c r="BJK67" i="4"/>
  <c r="BJJ67" i="4"/>
  <c r="BJI67" i="4"/>
  <c r="BJH67" i="4"/>
  <c r="BJG67" i="4"/>
  <c r="BJF67" i="4"/>
  <c r="BJE67" i="4"/>
  <c r="BJD67" i="4"/>
  <c r="BJC67" i="4"/>
  <c r="BJB67" i="4"/>
  <c r="BJA67" i="4"/>
  <c r="BIZ67" i="4"/>
  <c r="BIY67" i="4"/>
  <c r="BIX67" i="4"/>
  <c r="BIW67" i="4"/>
  <c r="BIV67" i="4"/>
  <c r="BIU67" i="4"/>
  <c r="BIT67" i="4"/>
  <c r="BIS67" i="4"/>
  <c r="BIR67" i="4"/>
  <c r="BIQ67" i="4"/>
  <c r="BIP67" i="4"/>
  <c r="BIO67" i="4"/>
  <c r="BIN67" i="4"/>
  <c r="BIM67" i="4"/>
  <c r="BIL67" i="4"/>
  <c r="BIK67" i="4"/>
  <c r="BIJ67" i="4"/>
  <c r="BII67" i="4"/>
  <c r="BIH67" i="4"/>
  <c r="BIG67" i="4"/>
  <c r="BIF67" i="4"/>
  <c r="BIE67" i="4"/>
  <c r="BID67" i="4"/>
  <c r="BIC67" i="4"/>
  <c r="BIB67" i="4"/>
  <c r="BIA67" i="4"/>
  <c r="BHZ67" i="4"/>
  <c r="BHY67" i="4"/>
  <c r="BHX67" i="4"/>
  <c r="BHW67" i="4"/>
  <c r="BHV67" i="4"/>
  <c r="BHU67" i="4"/>
  <c r="BHT67" i="4"/>
  <c r="BHS67" i="4"/>
  <c r="BHR67" i="4"/>
  <c r="BHQ67" i="4"/>
  <c r="BHP67" i="4"/>
  <c r="BHO67" i="4"/>
  <c r="BHN67" i="4"/>
  <c r="BHM67" i="4"/>
  <c r="BHL67" i="4"/>
  <c r="BHK67" i="4"/>
  <c r="BHJ67" i="4"/>
  <c r="BHI67" i="4"/>
  <c r="BHH67" i="4"/>
  <c r="BHG67" i="4"/>
  <c r="BHF67" i="4"/>
  <c r="BHE67" i="4"/>
  <c r="BHD67" i="4"/>
  <c r="BHC67" i="4"/>
  <c r="BHB67" i="4"/>
  <c r="BHA67" i="4"/>
  <c r="BGZ67" i="4"/>
  <c r="BGY67" i="4"/>
  <c r="BGX67" i="4"/>
  <c r="BGW67" i="4"/>
  <c r="BGV67" i="4"/>
  <c r="BGU67" i="4"/>
  <c r="BGT67" i="4"/>
  <c r="BGS67" i="4"/>
  <c r="BGR67" i="4"/>
  <c r="BGQ67" i="4"/>
  <c r="BGP67" i="4"/>
  <c r="BGO67" i="4"/>
  <c r="BGN67" i="4"/>
  <c r="BGM67" i="4"/>
  <c r="BGL67" i="4"/>
  <c r="BGK67" i="4"/>
  <c r="BGJ67" i="4"/>
  <c r="BGI67" i="4"/>
  <c r="BGH67" i="4"/>
  <c r="BGG67" i="4"/>
  <c r="BGF67" i="4"/>
  <c r="BGE67" i="4"/>
  <c r="BGD67" i="4"/>
  <c r="BGC67" i="4"/>
  <c r="BGB67" i="4"/>
  <c r="BGA67" i="4"/>
  <c r="BFZ67" i="4"/>
  <c r="BFY67" i="4"/>
  <c r="BFX67" i="4"/>
  <c r="BFW67" i="4"/>
  <c r="BFV67" i="4"/>
  <c r="BFU67" i="4"/>
  <c r="BFT67" i="4"/>
  <c r="BFS67" i="4"/>
  <c r="BFR67" i="4"/>
  <c r="BFQ67" i="4"/>
  <c r="BFP67" i="4"/>
  <c r="BFO67" i="4"/>
  <c r="BFN67" i="4"/>
  <c r="BFM67" i="4"/>
  <c r="BFL67" i="4"/>
  <c r="BFK67" i="4"/>
  <c r="BFJ67" i="4"/>
  <c r="BFI67" i="4"/>
  <c r="BFH67" i="4"/>
  <c r="BFG67" i="4"/>
  <c r="BFF67" i="4"/>
  <c r="BFE67" i="4"/>
  <c r="BFD67" i="4"/>
  <c r="BFC67" i="4"/>
  <c r="BFB67" i="4"/>
  <c r="BFA67" i="4"/>
  <c r="BEZ67" i="4"/>
  <c r="BEY67" i="4"/>
  <c r="BEX67" i="4"/>
  <c r="BEW67" i="4"/>
  <c r="BEV67" i="4"/>
  <c r="BEU67" i="4"/>
  <c r="BET67" i="4"/>
  <c r="BES67" i="4"/>
  <c r="BER67" i="4"/>
  <c r="BEQ67" i="4"/>
  <c r="BEP67" i="4"/>
  <c r="BEO67" i="4"/>
  <c r="BEN67" i="4"/>
  <c r="BEM67" i="4"/>
  <c r="BEL67" i="4"/>
  <c r="BEK67" i="4"/>
  <c r="BEJ67" i="4"/>
  <c r="BEI67" i="4"/>
  <c r="BEH67" i="4"/>
  <c r="BEG67" i="4"/>
  <c r="BEF67" i="4"/>
  <c r="BEE67" i="4"/>
  <c r="BED67" i="4"/>
  <c r="BEC67" i="4"/>
  <c r="BEB67" i="4"/>
  <c r="BEA67" i="4"/>
  <c r="BDZ67" i="4"/>
  <c r="BDY67" i="4"/>
  <c r="BDX67" i="4"/>
  <c r="BDW67" i="4"/>
  <c r="BDV67" i="4"/>
  <c r="BDU67" i="4"/>
  <c r="BDT67" i="4"/>
  <c r="BDS67" i="4"/>
  <c r="BDR67" i="4"/>
  <c r="BDQ67" i="4"/>
  <c r="BDP67" i="4"/>
  <c r="BDO67" i="4"/>
  <c r="BDN67" i="4"/>
  <c r="BDM67" i="4"/>
  <c r="BDL67" i="4"/>
  <c r="BDK67" i="4"/>
  <c r="BDJ67" i="4"/>
  <c r="BDI67" i="4"/>
  <c r="BDH67" i="4"/>
  <c r="BDG67" i="4"/>
  <c r="BDF67" i="4"/>
  <c r="BDE67" i="4"/>
  <c r="BDD67" i="4"/>
  <c r="BDC67" i="4"/>
  <c r="BDB67" i="4"/>
  <c r="BDA67" i="4"/>
  <c r="BCZ67" i="4"/>
  <c r="BCY67" i="4"/>
  <c r="BCX67" i="4"/>
  <c r="BCW67" i="4"/>
  <c r="BCV67" i="4"/>
  <c r="BCU67" i="4"/>
  <c r="BCT67" i="4"/>
  <c r="BCS67" i="4"/>
  <c r="BCR67" i="4"/>
  <c r="BCQ67" i="4"/>
  <c r="BCP67" i="4"/>
  <c r="BCO67" i="4"/>
  <c r="BCN67" i="4"/>
  <c r="BCM67" i="4"/>
  <c r="BCL67" i="4"/>
  <c r="BCK67" i="4"/>
  <c r="BCJ67" i="4"/>
  <c r="BCI67" i="4"/>
  <c r="BCH67" i="4"/>
  <c r="BCG67" i="4"/>
  <c r="BCF67" i="4"/>
  <c r="BCE67" i="4"/>
  <c r="BCD67" i="4"/>
  <c r="BCC67" i="4"/>
  <c r="BCB67" i="4"/>
  <c r="BCA67" i="4"/>
  <c r="BBZ67" i="4"/>
  <c r="BBY67" i="4"/>
  <c r="BBX67" i="4"/>
  <c r="BBW67" i="4"/>
  <c r="BBV67" i="4"/>
  <c r="BBU67" i="4"/>
  <c r="BBT67" i="4"/>
  <c r="BBS67" i="4"/>
  <c r="BBR67" i="4"/>
  <c r="BBQ67" i="4"/>
  <c r="BBP67" i="4"/>
  <c r="BBO67" i="4"/>
  <c r="BBN67" i="4"/>
  <c r="BBM67" i="4"/>
  <c r="BBL67" i="4"/>
  <c r="BBK67" i="4"/>
  <c r="BBJ67" i="4"/>
  <c r="BBI67" i="4"/>
  <c r="BBH67" i="4"/>
  <c r="BBG67" i="4"/>
  <c r="BBF67" i="4"/>
  <c r="BBE67" i="4"/>
  <c r="BBD67" i="4"/>
  <c r="BBC67" i="4"/>
  <c r="BBB67" i="4"/>
  <c r="BBA67" i="4"/>
  <c r="BAZ67" i="4"/>
  <c r="BAY67" i="4"/>
  <c r="BAX67" i="4"/>
  <c r="BAW67" i="4"/>
  <c r="BAV67" i="4"/>
  <c r="BAU67" i="4"/>
  <c r="BAT67" i="4"/>
  <c r="BAS67" i="4"/>
  <c r="BAR67" i="4"/>
  <c r="BAQ67" i="4"/>
  <c r="BAP67" i="4"/>
  <c r="BAO67" i="4"/>
  <c r="BAN67" i="4"/>
  <c r="BAM67" i="4"/>
  <c r="BAL67" i="4"/>
  <c r="BAK67" i="4"/>
  <c r="BAJ67" i="4"/>
  <c r="BAI67" i="4"/>
  <c r="BAH67" i="4"/>
  <c r="BAG67" i="4"/>
  <c r="BAF67" i="4"/>
  <c r="BAE67" i="4"/>
  <c r="BAD67" i="4"/>
  <c r="BAC67" i="4"/>
  <c r="BAB67" i="4"/>
  <c r="BAA67" i="4"/>
  <c r="AZZ67" i="4"/>
  <c r="AZY67" i="4"/>
  <c r="AZX67" i="4"/>
  <c r="AZW67" i="4"/>
  <c r="AZV67" i="4"/>
  <c r="AZU67" i="4"/>
  <c r="AZT67" i="4"/>
  <c r="AZS67" i="4"/>
  <c r="AZR67" i="4"/>
  <c r="AZQ67" i="4"/>
  <c r="AZP67" i="4"/>
  <c r="AZO67" i="4"/>
  <c r="AZN67" i="4"/>
  <c r="AZM67" i="4"/>
  <c r="AZL67" i="4"/>
  <c r="AZK67" i="4"/>
  <c r="AZJ67" i="4"/>
  <c r="AZI67" i="4"/>
  <c r="AZH67" i="4"/>
  <c r="AZG67" i="4"/>
  <c r="AZF67" i="4"/>
  <c r="AZE67" i="4"/>
  <c r="AZD67" i="4"/>
  <c r="AZC67" i="4"/>
  <c r="AZB67" i="4"/>
  <c r="AZA67" i="4"/>
  <c r="AYZ67" i="4"/>
  <c r="AYY67" i="4"/>
  <c r="AYX67" i="4"/>
  <c r="AYW67" i="4"/>
  <c r="AYV67" i="4"/>
  <c r="AYU67" i="4"/>
  <c r="AYT67" i="4"/>
  <c r="AYS67" i="4"/>
  <c r="AYR67" i="4"/>
  <c r="AYQ67" i="4"/>
  <c r="AYP67" i="4"/>
  <c r="AYO67" i="4"/>
  <c r="AYN67" i="4"/>
  <c r="AYM67" i="4"/>
  <c r="AYL67" i="4"/>
  <c r="AYK67" i="4"/>
  <c r="AYJ67" i="4"/>
  <c r="AYI67" i="4"/>
  <c r="AYH67" i="4"/>
  <c r="AYG67" i="4"/>
  <c r="AYF67" i="4"/>
  <c r="AYE67" i="4"/>
  <c r="AYD67" i="4"/>
  <c r="AYC67" i="4"/>
  <c r="AYB67" i="4"/>
  <c r="AYA67" i="4"/>
  <c r="AXZ67" i="4"/>
  <c r="AXY67" i="4"/>
  <c r="AXX67" i="4"/>
  <c r="AXW67" i="4"/>
  <c r="AXV67" i="4"/>
  <c r="AXU67" i="4"/>
  <c r="AXT67" i="4"/>
  <c r="AXS67" i="4"/>
  <c r="AXR67" i="4"/>
  <c r="AXQ67" i="4"/>
  <c r="AXP67" i="4"/>
  <c r="AXO67" i="4"/>
  <c r="AXN67" i="4"/>
  <c r="AXM67" i="4"/>
  <c r="AXL67" i="4"/>
  <c r="AXK67" i="4"/>
  <c r="AXJ67" i="4"/>
  <c r="AXI67" i="4"/>
  <c r="AXH67" i="4"/>
  <c r="AXG67" i="4"/>
  <c r="AXF67" i="4"/>
  <c r="AXE67" i="4"/>
  <c r="AXD67" i="4"/>
  <c r="AXC67" i="4"/>
  <c r="AXB67" i="4"/>
  <c r="AXA67" i="4"/>
  <c r="AWZ67" i="4"/>
  <c r="AWY67" i="4"/>
  <c r="AWX67" i="4"/>
  <c r="AWW67" i="4"/>
  <c r="AWV67" i="4"/>
  <c r="AWU67" i="4"/>
  <c r="AWT67" i="4"/>
  <c r="AWS67" i="4"/>
  <c r="AWR67" i="4"/>
  <c r="AWQ67" i="4"/>
  <c r="AWP67" i="4"/>
  <c r="AWO67" i="4"/>
  <c r="AWN67" i="4"/>
  <c r="AWM67" i="4"/>
  <c r="AWL67" i="4"/>
  <c r="AWK67" i="4"/>
  <c r="AWJ67" i="4"/>
  <c r="AWI67" i="4"/>
  <c r="AWH67" i="4"/>
  <c r="AWG67" i="4"/>
  <c r="AWF67" i="4"/>
  <c r="AWE67" i="4"/>
  <c r="AWD67" i="4"/>
  <c r="AWC67" i="4"/>
  <c r="AWB67" i="4"/>
  <c r="AWA67" i="4"/>
  <c r="AVZ67" i="4"/>
  <c r="AVY67" i="4"/>
  <c r="AVX67" i="4"/>
  <c r="AVW67" i="4"/>
  <c r="AVV67" i="4"/>
  <c r="AVU67" i="4"/>
  <c r="AVT67" i="4"/>
  <c r="AVS67" i="4"/>
  <c r="AVR67" i="4"/>
  <c r="AVQ67" i="4"/>
  <c r="AVP67" i="4"/>
  <c r="AVO67" i="4"/>
  <c r="AVN67" i="4"/>
  <c r="AVM67" i="4"/>
  <c r="AVL67" i="4"/>
  <c r="AVK67" i="4"/>
  <c r="AVJ67" i="4"/>
  <c r="AVI67" i="4"/>
  <c r="AVH67" i="4"/>
  <c r="AVG67" i="4"/>
  <c r="AVF67" i="4"/>
  <c r="AVE67" i="4"/>
  <c r="AVD67" i="4"/>
  <c r="AVC67" i="4"/>
  <c r="AVB67" i="4"/>
  <c r="AVA67" i="4"/>
  <c r="AUZ67" i="4"/>
  <c r="AUY67" i="4"/>
  <c r="AUX67" i="4"/>
  <c r="AUW67" i="4"/>
  <c r="AUV67" i="4"/>
  <c r="AUU67" i="4"/>
  <c r="AUT67" i="4"/>
  <c r="AUS67" i="4"/>
  <c r="AUR67" i="4"/>
  <c r="AUQ67" i="4"/>
  <c r="AUP67" i="4"/>
  <c r="AUO67" i="4"/>
  <c r="AUN67" i="4"/>
  <c r="AUM67" i="4"/>
  <c r="AUL67" i="4"/>
  <c r="AUK67" i="4"/>
  <c r="AUJ67" i="4"/>
  <c r="AUI67" i="4"/>
  <c r="AUH67" i="4"/>
  <c r="AUG67" i="4"/>
  <c r="AUF67" i="4"/>
  <c r="AUE67" i="4"/>
  <c r="AUD67" i="4"/>
  <c r="AUC67" i="4"/>
  <c r="AUB67" i="4"/>
  <c r="AUA67" i="4"/>
  <c r="ATZ67" i="4"/>
  <c r="ATY67" i="4"/>
  <c r="ATX67" i="4"/>
  <c r="ATW67" i="4"/>
  <c r="ATV67" i="4"/>
  <c r="ATU67" i="4"/>
  <c r="ATT67" i="4"/>
  <c r="ATS67" i="4"/>
  <c r="ATR67" i="4"/>
  <c r="ATQ67" i="4"/>
  <c r="ATP67" i="4"/>
  <c r="ATO67" i="4"/>
  <c r="ATN67" i="4"/>
  <c r="ATM67" i="4"/>
  <c r="ATL67" i="4"/>
  <c r="ATK67" i="4"/>
  <c r="ATJ67" i="4"/>
  <c r="ATI67" i="4"/>
  <c r="ATH67" i="4"/>
  <c r="ATG67" i="4"/>
  <c r="ATF67" i="4"/>
  <c r="ATE67" i="4"/>
  <c r="ATD67" i="4"/>
  <c r="ATC67" i="4"/>
  <c r="ATB67" i="4"/>
  <c r="ATA67" i="4"/>
  <c r="ASZ67" i="4"/>
  <c r="ASY67" i="4"/>
  <c r="ASX67" i="4"/>
  <c r="ASW67" i="4"/>
  <c r="ASV67" i="4"/>
  <c r="ASU67" i="4"/>
  <c r="AST67" i="4"/>
  <c r="ASS67" i="4"/>
  <c r="ASR67" i="4"/>
  <c r="ASQ67" i="4"/>
  <c r="ASP67" i="4"/>
  <c r="ASO67" i="4"/>
  <c r="ASN67" i="4"/>
  <c r="ASM67" i="4"/>
  <c r="ASL67" i="4"/>
  <c r="ASK67" i="4"/>
  <c r="ASJ67" i="4"/>
  <c r="ASI67" i="4"/>
  <c r="ASH67" i="4"/>
  <c r="ASG67" i="4"/>
  <c r="ASF67" i="4"/>
  <c r="ASE67" i="4"/>
  <c r="ASD67" i="4"/>
  <c r="ASC67" i="4"/>
  <c r="ASB67" i="4"/>
  <c r="ASA67" i="4"/>
  <c r="ARZ67" i="4"/>
  <c r="ARY67" i="4"/>
  <c r="ARX67" i="4"/>
  <c r="ARW67" i="4"/>
  <c r="ARV67" i="4"/>
  <c r="ARU67" i="4"/>
  <c r="ART67" i="4"/>
  <c r="ARS67" i="4"/>
  <c r="ARR67" i="4"/>
  <c r="ARQ67" i="4"/>
  <c r="ARP67" i="4"/>
  <c r="ARO67" i="4"/>
  <c r="ARN67" i="4"/>
  <c r="ARM67" i="4"/>
  <c r="ARL67" i="4"/>
  <c r="ARK67" i="4"/>
  <c r="ARJ67" i="4"/>
  <c r="ARI67" i="4"/>
  <c r="ARH67" i="4"/>
  <c r="ARG67" i="4"/>
  <c r="ARF67" i="4"/>
  <c r="ARE67" i="4"/>
  <c r="ARD67" i="4"/>
  <c r="ARC67" i="4"/>
  <c r="ARB67" i="4"/>
  <c r="ARA67" i="4"/>
  <c r="AQZ67" i="4"/>
  <c r="AQY67" i="4"/>
  <c r="AQX67" i="4"/>
  <c r="AQW67" i="4"/>
  <c r="AQV67" i="4"/>
  <c r="AQU67" i="4"/>
  <c r="AQT67" i="4"/>
  <c r="AQS67" i="4"/>
  <c r="AQR67" i="4"/>
  <c r="AQQ67" i="4"/>
  <c r="AQP67" i="4"/>
  <c r="AQO67" i="4"/>
  <c r="AQN67" i="4"/>
  <c r="AQM67" i="4"/>
  <c r="AQL67" i="4"/>
  <c r="AQK67" i="4"/>
  <c r="AQJ67" i="4"/>
  <c r="AQI67" i="4"/>
  <c r="AQH67" i="4"/>
  <c r="AQG67" i="4"/>
  <c r="AQF67" i="4"/>
  <c r="AQE67" i="4"/>
  <c r="AQD67" i="4"/>
  <c r="AQC67" i="4"/>
  <c r="AQB67" i="4"/>
  <c r="AQA67" i="4"/>
  <c r="APZ67" i="4"/>
  <c r="APY67" i="4"/>
  <c r="APX67" i="4"/>
  <c r="APW67" i="4"/>
  <c r="APV67" i="4"/>
  <c r="APU67" i="4"/>
  <c r="APT67" i="4"/>
  <c r="APS67" i="4"/>
  <c r="APR67" i="4"/>
  <c r="APQ67" i="4"/>
  <c r="APP67" i="4"/>
  <c r="APO67" i="4"/>
  <c r="APN67" i="4"/>
  <c r="APM67" i="4"/>
  <c r="APL67" i="4"/>
  <c r="APK67" i="4"/>
  <c r="APJ67" i="4"/>
  <c r="API67" i="4"/>
  <c r="APH67" i="4"/>
  <c r="APG67" i="4"/>
  <c r="APF67" i="4"/>
  <c r="APE67" i="4"/>
  <c r="APD67" i="4"/>
  <c r="APC67" i="4"/>
  <c r="APB67" i="4"/>
  <c r="APA67" i="4"/>
  <c r="AOZ67" i="4"/>
  <c r="AOY67" i="4"/>
  <c r="AOX67" i="4"/>
  <c r="AOW67" i="4"/>
  <c r="AOV67" i="4"/>
  <c r="AOU67" i="4"/>
  <c r="AOT67" i="4"/>
  <c r="AOS67" i="4"/>
  <c r="AOR67" i="4"/>
  <c r="AOQ67" i="4"/>
  <c r="AOP67" i="4"/>
  <c r="AOO67" i="4"/>
  <c r="AON67" i="4"/>
  <c r="AOM67" i="4"/>
  <c r="AOL67" i="4"/>
  <c r="AOK67" i="4"/>
  <c r="AOJ67" i="4"/>
  <c r="AOI67" i="4"/>
  <c r="AOH67" i="4"/>
  <c r="AOG67" i="4"/>
  <c r="AOF67" i="4"/>
  <c r="AOE67" i="4"/>
  <c r="AOD67" i="4"/>
  <c r="AOC67" i="4"/>
  <c r="AOB67" i="4"/>
  <c r="AOA67" i="4"/>
  <c r="ANZ67" i="4"/>
  <c r="ANY67" i="4"/>
  <c r="ANX67" i="4"/>
  <c r="ANW67" i="4"/>
  <c r="ANV67" i="4"/>
  <c r="ANU67" i="4"/>
  <c r="ANT67" i="4"/>
  <c r="ANS67" i="4"/>
  <c r="ANR67" i="4"/>
  <c r="ANQ67" i="4"/>
  <c r="ANP67" i="4"/>
  <c r="ANO67" i="4"/>
  <c r="ANN67" i="4"/>
  <c r="ANM67" i="4"/>
  <c r="ANL67" i="4"/>
  <c r="ANK67" i="4"/>
  <c r="ANJ67" i="4"/>
  <c r="ANI67" i="4"/>
  <c r="ANH67" i="4"/>
  <c r="ANG67" i="4"/>
  <c r="ANF67" i="4"/>
  <c r="ANE67" i="4"/>
  <c r="AND67" i="4"/>
  <c r="ANC67" i="4"/>
  <c r="ANB67" i="4"/>
  <c r="ANA67" i="4"/>
  <c r="AMZ67" i="4"/>
  <c r="AMY67" i="4"/>
  <c r="AMX67" i="4"/>
  <c r="AMW67" i="4"/>
  <c r="AMV67" i="4"/>
  <c r="AMU67" i="4"/>
  <c r="AMT67" i="4"/>
  <c r="AMS67" i="4"/>
  <c r="AMR67" i="4"/>
  <c r="AMQ67" i="4"/>
  <c r="AMP67" i="4"/>
  <c r="AMO67" i="4"/>
  <c r="AMN67" i="4"/>
  <c r="AMM67" i="4"/>
  <c r="AML67" i="4"/>
  <c r="AMK67" i="4"/>
  <c r="AMJ67" i="4"/>
  <c r="AMI67" i="4"/>
  <c r="AMH67" i="4"/>
  <c r="AMG67" i="4"/>
  <c r="AMF67" i="4"/>
  <c r="AME67" i="4"/>
  <c r="AMD67" i="4"/>
  <c r="AMC67" i="4"/>
  <c r="AMB67" i="4"/>
  <c r="AMA67" i="4"/>
  <c r="ALZ67" i="4"/>
  <c r="ALY67" i="4"/>
  <c r="ALX67" i="4"/>
  <c r="ALW67" i="4"/>
  <c r="ALV67" i="4"/>
  <c r="ALU67"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O67" i="4"/>
  <c r="BN67" i="4"/>
  <c r="BM67" i="4"/>
  <c r="BL67" i="4"/>
  <c r="BK67" i="4"/>
  <c r="BJ67" i="4"/>
  <c r="BI67" i="4"/>
  <c r="BH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JB67" i="3"/>
  <c r="JA67" i="3"/>
  <c r="IZ67" i="3"/>
  <c r="IY67" i="3"/>
  <c r="IX67" i="3"/>
  <c r="IW67" i="3"/>
  <c r="IV67" i="3"/>
  <c r="IU67" i="3"/>
  <c r="IT67" i="3"/>
  <c r="IS67" i="3"/>
  <c r="IR67" i="3"/>
  <c r="IQ67" i="3"/>
  <c r="IP67" i="3"/>
  <c r="IO67" i="3"/>
  <c r="IN67" i="3"/>
  <c r="IM67" i="3"/>
  <c r="IL67" i="3"/>
  <c r="IK67" i="3"/>
  <c r="IJ67" i="3"/>
  <c r="II67" i="3"/>
  <c r="IH67" i="3"/>
  <c r="IG67" i="3"/>
  <c r="IF67" i="3"/>
  <c r="IE67" i="3"/>
  <c r="ID67" i="3"/>
  <c r="IC67" i="3"/>
  <c r="IB67" i="3"/>
  <c r="IA67" i="3"/>
  <c r="HZ67" i="3"/>
  <c r="HY67" i="3"/>
  <c r="HX67" i="3"/>
  <c r="HW67" i="3"/>
  <c r="HV67" i="3"/>
  <c r="HU67" i="3"/>
  <c r="HT67" i="3"/>
  <c r="HS67" i="3"/>
  <c r="HR67" i="3"/>
  <c r="HQ67" i="3"/>
  <c r="HP67" i="3"/>
  <c r="HO67" i="3"/>
  <c r="HN67" i="3"/>
  <c r="HM67" i="3"/>
  <c r="HL67" i="3"/>
  <c r="HK67" i="3"/>
  <c r="HJ67" i="3"/>
  <c r="HI67" i="3"/>
  <c r="HH67" i="3"/>
  <c r="HG67" i="3"/>
  <c r="HF67" i="3"/>
  <c r="HE67" i="3"/>
  <c r="HD67" i="3"/>
  <c r="HC67" i="3"/>
  <c r="HB67" i="3"/>
  <c r="HA67" i="3"/>
  <c r="GZ67" i="3"/>
  <c r="GY67" i="3"/>
  <c r="GX67" i="3"/>
  <c r="GW67" i="3"/>
  <c r="GV67" i="3"/>
  <c r="GU67" i="3"/>
  <c r="GT67" i="3"/>
  <c r="GS67" i="3"/>
  <c r="GR67" i="3"/>
  <c r="GQ67" i="3"/>
  <c r="GP67" i="3"/>
  <c r="GO67" i="3"/>
  <c r="GN67" i="3"/>
  <c r="GM67" i="3"/>
  <c r="GL67" i="3"/>
  <c r="GK67" i="3"/>
  <c r="GJ67" i="3"/>
  <c r="GI67" i="3"/>
  <c r="GH67" i="3"/>
  <c r="GG67" i="3"/>
  <c r="GF67" i="3"/>
  <c r="GE67" i="3"/>
  <c r="GD67" i="3"/>
  <c r="GC67" i="3"/>
  <c r="GB67" i="3"/>
  <c r="GA67" i="3"/>
  <c r="FZ67" i="3"/>
  <c r="FY67" i="3"/>
  <c r="FX67" i="3"/>
  <c r="FW67" i="3"/>
  <c r="FV67" i="3"/>
  <c r="FU67" i="3"/>
  <c r="FT67" i="3"/>
  <c r="FS67" i="3"/>
  <c r="FR67" i="3"/>
  <c r="FQ67" i="3"/>
  <c r="FP67" i="3"/>
  <c r="FO67" i="3"/>
  <c r="FN67" i="3"/>
  <c r="FM67" i="3"/>
  <c r="FL67" i="3"/>
  <c r="FK67" i="3"/>
  <c r="FJ67" i="3"/>
  <c r="FI67" i="3"/>
  <c r="FH67" i="3"/>
  <c r="FG67" i="3"/>
  <c r="FF67" i="3"/>
  <c r="FE67" i="3"/>
  <c r="FD67" i="3"/>
  <c r="FC67" i="3"/>
  <c r="FB67" i="3"/>
  <c r="FA67" i="3"/>
  <c r="EZ67" i="3"/>
  <c r="EY67" i="3"/>
  <c r="EX67" i="3"/>
  <c r="EW67" i="3"/>
  <c r="EV67" i="3"/>
  <c r="EU67" i="3"/>
  <c r="ET67" i="3"/>
  <c r="ES67" i="3"/>
  <c r="ER67" i="3"/>
  <c r="EQ67" i="3"/>
  <c r="EP67" i="3"/>
  <c r="EO67" i="3"/>
  <c r="EN67" i="3"/>
  <c r="EM67" i="3"/>
  <c r="EL67" i="3"/>
  <c r="EK67" i="3"/>
  <c r="EJ67" i="3"/>
  <c r="EI67" i="3"/>
  <c r="EH67" i="3"/>
  <c r="EG67" i="3"/>
  <c r="EF67" i="3"/>
  <c r="EE67" i="3"/>
  <c r="ED67" i="3"/>
  <c r="EC67" i="3"/>
  <c r="EB67" i="3"/>
  <c r="EA67" i="3"/>
  <c r="DZ67" i="3"/>
  <c r="DY67" i="3"/>
  <c r="DX67" i="3"/>
  <c r="DW67" i="3"/>
  <c r="DV67" i="3"/>
  <c r="DU67" i="3"/>
  <c r="DT67" i="3"/>
  <c r="DS67" i="3"/>
  <c r="DR67" i="3"/>
  <c r="DQ67" i="3"/>
  <c r="DP67" i="3"/>
  <c r="DO67" i="3"/>
  <c r="DN67" i="3"/>
  <c r="DM67" i="3"/>
  <c r="DL67" i="3"/>
  <c r="DK67" i="3"/>
  <c r="DJ67" i="3"/>
  <c r="DI67" i="3"/>
  <c r="DH67" i="3"/>
  <c r="DG67" i="3"/>
  <c r="DF67" i="3"/>
  <c r="DE67" i="3"/>
  <c r="DD67" i="3"/>
  <c r="DC67" i="3"/>
  <c r="DB67" i="3"/>
  <c r="DA67" i="3"/>
  <c r="CZ67" i="3"/>
  <c r="CY67" i="3"/>
  <c r="CX67" i="3"/>
  <c r="CW67" i="3"/>
  <c r="CV67" i="3"/>
  <c r="CU67" i="3"/>
  <c r="CT67" i="3"/>
  <c r="CS67" i="3"/>
  <c r="CR67" i="3"/>
  <c r="CQ67" i="3"/>
  <c r="CP67" i="3"/>
  <c r="CO67" i="3"/>
  <c r="CN67" i="3"/>
  <c r="CM67" i="3"/>
  <c r="CL67" i="3"/>
  <c r="CK67" i="3"/>
  <c r="CJ67" i="3"/>
  <c r="CI67" i="3"/>
  <c r="CH67" i="3"/>
  <c r="CG67" i="3"/>
  <c r="CF67" i="3"/>
  <c r="CE67" i="3"/>
  <c r="CD67" i="3"/>
  <c r="CC67" i="3"/>
  <c r="CB67" i="3"/>
  <c r="CA67" i="3"/>
  <c r="BZ67" i="3"/>
  <c r="BY67" i="3"/>
  <c r="BX67" i="3"/>
  <c r="BW67" i="3"/>
  <c r="BV67" i="3"/>
  <c r="BU67"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7" i="3"/>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C67" i="2"/>
  <c r="X67" i="1"/>
  <c r="W67" i="1"/>
  <c r="V67" i="1"/>
  <c r="U67" i="1"/>
  <c r="T67" i="1"/>
  <c r="S67" i="1"/>
  <c r="R67" i="1"/>
  <c r="Q67" i="1"/>
  <c r="P67" i="1"/>
  <c r="O67" i="1"/>
  <c r="N67" i="1"/>
  <c r="M67" i="1"/>
  <c r="L67" i="1"/>
  <c r="K67" i="1"/>
  <c r="J67" i="1"/>
  <c r="I67" i="1"/>
  <c r="H67" i="1"/>
  <c r="G67" i="1"/>
  <c r="F67" i="1"/>
  <c r="E67" i="1"/>
  <c r="D67" i="1"/>
  <c r="C67" i="1"/>
  <c r="JH67" i="11"/>
  <c r="JG67" i="11"/>
  <c r="JF67" i="11"/>
  <c r="JE67" i="11"/>
  <c r="JD67" i="11"/>
  <c r="JC67" i="11"/>
  <c r="JB67" i="11"/>
  <c r="JA67" i="11"/>
  <c r="IZ67" i="11"/>
  <c r="IY67" i="11"/>
  <c r="IX67" i="11"/>
  <c r="IW67" i="11"/>
  <c r="IV67" i="11"/>
  <c r="IU67" i="11"/>
  <c r="IT67" i="11"/>
  <c r="IS67" i="11"/>
  <c r="IR67" i="11"/>
  <c r="IQ67" i="11"/>
  <c r="IP67" i="11"/>
  <c r="IO67" i="11"/>
  <c r="IN67" i="11"/>
  <c r="IM67" i="11"/>
  <c r="IL67" i="11"/>
  <c r="IK67" i="11"/>
  <c r="IJ67" i="11"/>
  <c r="II67" i="11"/>
  <c r="IH67" i="11"/>
  <c r="IG67" i="11"/>
  <c r="IF67" i="11"/>
  <c r="IE67" i="11"/>
  <c r="ID67" i="11"/>
  <c r="IC67" i="11"/>
  <c r="IB67" i="11"/>
  <c r="IA67" i="11"/>
  <c r="HZ67" i="11"/>
  <c r="HY67" i="11"/>
  <c r="HX67" i="11"/>
  <c r="HW67" i="11"/>
  <c r="HV67" i="11"/>
  <c r="HU67" i="11"/>
  <c r="HT67" i="11"/>
  <c r="HS67" i="11"/>
  <c r="HR67" i="11"/>
  <c r="HQ67" i="11"/>
  <c r="HP67" i="11"/>
  <c r="HO67" i="11"/>
  <c r="HN67" i="11"/>
  <c r="HM67" i="11"/>
  <c r="HL67" i="11"/>
  <c r="HK67" i="11"/>
  <c r="HJ67" i="11"/>
  <c r="HI67" i="11"/>
  <c r="HH67" i="11"/>
  <c r="HG67" i="11"/>
  <c r="HF67" i="11"/>
  <c r="HE67" i="11"/>
  <c r="HD67" i="11"/>
  <c r="HC67" i="11"/>
  <c r="HB67" i="11"/>
  <c r="HA67" i="11"/>
  <c r="GZ67" i="11"/>
  <c r="GY67" i="11"/>
  <c r="GX67" i="11"/>
  <c r="GW67" i="11"/>
  <c r="GV67" i="11"/>
  <c r="GU67" i="11"/>
  <c r="GT67" i="11"/>
  <c r="GS67" i="11"/>
  <c r="GR67" i="11"/>
  <c r="GQ67" i="11"/>
  <c r="GP67" i="11"/>
  <c r="GO67" i="11"/>
  <c r="GN67" i="11"/>
  <c r="GM67" i="11"/>
  <c r="GL67" i="11"/>
  <c r="GK67" i="11"/>
  <c r="GJ67" i="11"/>
  <c r="GI67" i="11"/>
  <c r="GH67" i="11"/>
  <c r="GG67" i="11"/>
  <c r="GF67" i="11"/>
  <c r="GE67" i="11"/>
  <c r="GD67" i="11"/>
  <c r="GC67" i="11"/>
  <c r="GB67" i="11"/>
  <c r="GA67" i="11"/>
  <c r="FZ67" i="11"/>
  <c r="FY67" i="11"/>
  <c r="FX67" i="11"/>
  <c r="FW67" i="11"/>
  <c r="FV67" i="11"/>
  <c r="FU67" i="11"/>
  <c r="FT67" i="11"/>
  <c r="FS67" i="11"/>
  <c r="FR67" i="11"/>
  <c r="FQ67" i="11"/>
  <c r="FP67" i="11"/>
  <c r="FO67" i="11"/>
  <c r="FN67" i="11"/>
  <c r="FM67" i="11"/>
  <c r="FL67" i="11"/>
  <c r="FK67" i="11"/>
  <c r="FJ67" i="11"/>
  <c r="FI67" i="11"/>
  <c r="FH67" i="11"/>
  <c r="FG67" i="11"/>
  <c r="FF67" i="11"/>
  <c r="FE67" i="11"/>
  <c r="FD67" i="11"/>
  <c r="FC67" i="11"/>
  <c r="FB67" i="11"/>
  <c r="FA67" i="11"/>
  <c r="EZ67" i="11"/>
  <c r="EY67" i="11"/>
  <c r="EX67" i="11"/>
  <c r="EW67" i="11"/>
  <c r="EV67" i="11"/>
  <c r="EU67" i="11"/>
  <c r="ET67" i="11"/>
  <c r="ES67" i="11"/>
  <c r="ER67" i="11"/>
  <c r="EQ67" i="11"/>
  <c r="EP67" i="11"/>
  <c r="EO67" i="11"/>
  <c r="EN67" i="11"/>
  <c r="EM67" i="11"/>
  <c r="EL67" i="11"/>
  <c r="EK67" i="11"/>
  <c r="EJ67" i="11"/>
  <c r="EI67" i="11"/>
  <c r="EH67" i="11"/>
  <c r="EG67" i="11"/>
  <c r="EF67" i="11"/>
  <c r="EE67" i="11"/>
  <c r="ED67" i="11"/>
  <c r="EC67" i="11"/>
  <c r="EB67" i="11"/>
  <c r="EA67" i="11"/>
  <c r="DZ67" i="11"/>
  <c r="DY67" i="11"/>
  <c r="DX67" i="11"/>
  <c r="DW67" i="11"/>
  <c r="DV67" i="11"/>
  <c r="DU67" i="11"/>
  <c r="DT67" i="11"/>
  <c r="DS67" i="11"/>
  <c r="DR67" i="11"/>
  <c r="DQ67" i="11"/>
  <c r="DP67" i="11"/>
  <c r="DO67" i="11"/>
  <c r="DN67" i="11"/>
  <c r="DM67" i="11"/>
  <c r="DL67" i="11"/>
  <c r="DK67" i="11"/>
  <c r="DJ67" i="11"/>
  <c r="DI67" i="11"/>
  <c r="DH67" i="11"/>
  <c r="DG67" i="11"/>
  <c r="DF67" i="11"/>
  <c r="DE67" i="11"/>
  <c r="DD67" i="11"/>
  <c r="DC67" i="11"/>
  <c r="DB67" i="11"/>
  <c r="DA67" i="11"/>
  <c r="CZ67" i="11"/>
  <c r="CY67" i="11"/>
  <c r="CX67" i="11"/>
  <c r="CW67" i="11"/>
  <c r="CV67" i="11"/>
  <c r="CU67" i="11"/>
  <c r="CT67" i="11"/>
  <c r="CS67" i="11"/>
  <c r="CR67" i="11"/>
  <c r="CQ67" i="11"/>
  <c r="CP67" i="11"/>
  <c r="CO67" i="11"/>
  <c r="CN67" i="11"/>
  <c r="CM67" i="11"/>
  <c r="CL67" i="11"/>
  <c r="CK67" i="11"/>
  <c r="CJ67" i="11"/>
  <c r="CI67" i="11"/>
  <c r="CH67"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T67" i="12"/>
  <c r="CS67" i="12"/>
  <c r="CR67" i="12"/>
  <c r="CQ67" i="12"/>
  <c r="CP67" i="12"/>
  <c r="CO67" i="12"/>
  <c r="CN67" i="12"/>
  <c r="CM67" i="12"/>
  <c r="CL67" i="12"/>
  <c r="CK67" i="12"/>
  <c r="CJ67" i="12"/>
  <c r="CI67" i="12"/>
  <c r="CH67"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B67" i="10"/>
  <c r="B67" i="9"/>
  <c r="B67" i="8"/>
  <c r="B67" i="7"/>
  <c r="B67" i="6"/>
  <c r="B67" i="5"/>
  <c r="B67" i="4"/>
  <c r="B67" i="3"/>
  <c r="B67" i="2"/>
  <c r="B67" i="1"/>
  <c r="B67" i="11"/>
  <c r="B67"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2+USB+-+S11+REPORT+Verification_January+31,+2022_12.20" type="6" refreshedVersion="6" background="1" saveData="1">
    <textPr sourceFile="C:\Users\AMFlaherty\Downloads\2022+USB+-+S11+REPORT+Verification_January+31,+2022_12.20.tsv">
      <textFields count="23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0000000-0015-0000-FFFF-FFFF01000000}" name="2022+USB+-+S12+REPORT+-+Copy_January+31,+2022_12.21" type="6" refreshedVersion="6" background="1" saveData="1">
    <textPr sourceFile="C:\Users\AMFlaherty\Downloads\2022+USB+-+S12+REPORT+-+Copy_January+31,+2022_12.21.tsv">
      <textFields count="35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xr16:uid="{00000000-0015-0000-FFFF-FFFF02000000}" name="2022+USB+-+S3+Verification_January+31,+2022_12.10 (2)1" type="6" refreshedVersion="6" background="1" saveData="1">
    <textPr sourceFile="C:\Users\AMFlaherty\Downloads\2022+USB+-+S3+Verification_January+31,+2022_12.10 (2).tsv">
      <textFields count="4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xr16:uid="{00000000-0015-0000-FFFF-FFFF03000000}" name="2022+USB+-+S4+Verification_January+31,+2022_12.171" type="6" refreshedVersion="6" background="1" saveData="1">
    <textPr sourceFile="C:\Users\AMFlaherty\Downloads\2022+USB+-+S4+Verification_January+31,+2022_12.17.tsv">
      <textFields count="8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xr16:uid="{00000000-0015-0000-FFFF-FFFF04000000}" name="2022+USB+-+S5+REPORT+Verification_January+31,+2022_12.17" type="6" refreshedVersion="6" background="1" saveData="1">
    <textPr sourceFile="C:\Users\AMFlaherty\Downloads\2022+USB+-+S5+REPORT+Verification_January+31,+2022_12.17.tsv">
      <textFields count="28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xr16:uid="{00000000-0015-0000-FFFF-FFFF05000000}" name="2022+USB+-+S9+REPORT+Verification_January+31,+2022_12.19" type="6" refreshedVersion="6" background="1" saveData="1">
    <textPr sourceFile="C:\Users\AMFlaherty\Downloads\2022+USB+-+S9+REPORT+Verification_January+31,+2022_12.19.tsv">
      <textFields count="18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xr16:uid="{00000000-0015-0000-FFFF-FFFF06000000}" name="2022+USB+-+USE+S10+REPORT+Verification_January+31,+2022_12.20" type="6" refreshedVersion="6" background="1" saveData="1">
    <textPr sourceFile="C:\Users\AMFlaherty\Downloads\2022+USB+-+USE+S10+REPORT+Verification_January+31,+2022_12.20.tsv">
      <textFields count="2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<sst xmlns="http://schemas.openxmlformats.org/spreadsheetml/2006/main" count="80443" uniqueCount="14632">
  <si>
    <t>Q3.1.2</t>
  </si>
  <si>
    <t>Q3.1.3</t>
  </si>
  <si>
    <t>Q3.1.4</t>
  </si>
  <si>
    <t>Q3.1.5</t>
  </si>
  <si>
    <t>Q3.2.2_1</t>
  </si>
  <si>
    <t>Q3.2.2_2</t>
  </si>
  <si>
    <t>Q3.2.2_3</t>
  </si>
  <si>
    <t>Q3.2.2_4</t>
  </si>
  <si>
    <t>Q3.2.2_5</t>
  </si>
  <si>
    <t>Q3.2.2_6</t>
  </si>
  <si>
    <t>Q3.2.2_7</t>
  </si>
  <si>
    <t>Q3.2.2_8</t>
  </si>
  <si>
    <t>Q3.2.2_9</t>
  </si>
  <si>
    <t>Q3.2.2_10</t>
  </si>
  <si>
    <t>Q3.2.3</t>
  </si>
  <si>
    <t>Q3.2.4</t>
  </si>
  <si>
    <t>Q3.2.5</t>
  </si>
  <si>
    <t>Q3.2.6</t>
  </si>
  <si>
    <t>Q3.2.7</t>
  </si>
  <si>
    <t>Q3.2.8</t>
  </si>
  <si>
    <t>Q3.2.9</t>
  </si>
  <si>
    <t>Q3.2.10</t>
  </si>
  <si>
    <t>Q3.2.11</t>
  </si>
  <si>
    <t>Mobile optimized website</t>
  </si>
  <si>
    <t>New hire,Qualified change of status events,Open enrollment</t>
  </si>
  <si>
    <t>No</t>
  </si>
  <si>
    <t>Medical plan selection tool,Dental plan selection tool,Vision plan selection tool,Health / Dependent care FSA calculator,Pre-tax commuter calculator</t>
  </si>
  <si>
    <t>Never audited</t>
  </si>
  <si>
    <t>Yes</t>
  </si>
  <si>
    <t>Other</t>
  </si>
  <si>
    <t>Mental Health Parity</t>
  </si>
  <si>
    <t>None, not under consideration</t>
  </si>
  <si>
    <t>Don't know</t>
  </si>
  <si>
    <t>Medical plan,Prescription drug coverage</t>
  </si>
  <si>
    <t>Mobile app</t>
  </si>
  <si>
    <t>New hire,Qualified change of status events,Open enrollment,COBRA</t>
  </si>
  <si>
    <t>Treatment cost estimator,Medical plan selection tool,Dental plan selection tool,Vision plan selection tool,Health Savings Account (HSA) calculator,Health / Dependent care FSA calculator</t>
  </si>
  <si>
    <t>None, but considering</t>
  </si>
  <si>
    <t>Treatment cost estimator,Medical plan selection tool,Health Savings Account (HSA) calculator,Health / Dependent care FSA calculator,Life Insurance calculator,"Alex" Jelly Vision selection tool</t>
  </si>
  <si>
    <t>Medical plan</t>
  </si>
  <si>
    <t>Medical plan selection tool,Health Savings Account (HSA) calculator,Health / Dependent care FSA calculator,Life Insurance calculator,"Alex" Jelly Vision selection tool</t>
  </si>
  <si>
    <t>Considering</t>
  </si>
  <si>
    <t>Mobile app,Mobile optimized website</t>
  </si>
  <si>
    <t>Treatment cost estimator,Medical plan selection tool,Dental plan selection tool,Health Savings Account (HSA) calculator,Health / Dependent care FSA calculator,Life Insurance calculator</t>
  </si>
  <si>
    <t>Prescription drug coverage</t>
  </si>
  <si>
    <t>New hire,Open enrollment</t>
  </si>
  <si>
    <t>Medical plan selection tool,Dental plan selection tool,Vision plan selection tool</t>
  </si>
  <si>
    <t>Treatment cost estimator</t>
  </si>
  <si>
    <t>Medical plan selection tool,Dental plan selection tool,Vision plan selection tool,Health Savings Account (HSA) calculator,Health / Dependent care FSA calculator,Pre-tax commuter calculator,Life Insurance calculator,"Alex" Jelly Vision selection tool</t>
  </si>
  <si>
    <t>No - but interested in learning more</t>
  </si>
  <si>
    <t>Medical plan selection tool,Health Savings Account (HSA) calculator,Health / Dependent care FSA calculator</t>
  </si>
  <si>
    <t>Regularly</t>
  </si>
  <si>
    <t>Treatment cost estimator,Medical plan selection tool,Dental plan selection tool,Vision plan selection tool,Health Savings Account (HSA) calculator,Health / Dependent care FSA calculator,"Alex" Jelly Vision selection tool</t>
  </si>
  <si>
    <t>Workday</t>
  </si>
  <si>
    <t>Treatment cost estimator,Medical plan selection tool,Health Savings Account (HSA) calculator,Health / Dependent care FSA calculator</t>
  </si>
  <si>
    <t>Medical plan,Other</t>
  </si>
  <si>
    <t>Medical,Pharmacy,Dental,Vision</t>
  </si>
  <si>
    <t>Infrequently</t>
  </si>
  <si>
    <t>Medical plan,Prescription drug coverage,Other</t>
  </si>
  <si>
    <t>Potentail Rx audit to be conducted in 2022</t>
  </si>
  <si>
    <t>Treatment cost estimator,Medical plan selection tool,Dental plan selection tool,Vision plan selection tool,Health Savings Account (HSA) calculator,Health / Dependent care FSA calculator,Pre-tax commuter calculator,Life Insurance calculator,"Alex" Jelly Vision selection tool</t>
  </si>
  <si>
    <t>Clinical audit of Grand Rounds</t>
  </si>
  <si>
    <t>Treatment cost estimator,Dental plan selection tool,Health Savings Account (HSA) calculator,Health / Dependent care FSA calculator</t>
  </si>
  <si>
    <t>Medical,Pharmacy,Disability,Other</t>
  </si>
  <si>
    <t>wellness completion and participation</t>
  </si>
  <si>
    <t>Treatment cost estimator,Health Savings Account (HSA) calculator,Health / Dependent care FSA calculator,Life Insurance calculator,"Alex" Jelly Vision selection tool</t>
  </si>
  <si>
    <t>Treatment cost estimator,Medical plan selection tool,Dental plan selection tool,Vision plan selection tool,Health Savings Account (HSA) calculator,Health / Dependent care FSA calculator,Life Insurance calculator,"Alex" Jelly Vision selection tool</t>
  </si>
  <si>
    <t>Dependent coverage</t>
  </si>
  <si>
    <t>Biometrics, EAP, Eligibility, Health Reimbursement Accounts, Health Center, Wellness Assessments, LOA, Program Management,</t>
  </si>
  <si>
    <t>Dependent coverage,Eligibility requirements</t>
  </si>
  <si>
    <t>Eligibility requirements</t>
  </si>
  <si>
    <t>Treatment cost estimator,Medical plan selection tool,Dental plan selection tool,Vision plan selection tool,Health Savings Account (HSA) calculator,Health / Dependent care FSA calculator,Pre-tax commuter calculator,Life Insurance calculator</t>
  </si>
  <si>
    <t>None</t>
  </si>
  <si>
    <t>Treatment cost estimator,Health Savings Account (HSA) calculator,Health / Dependent care FSA calculator,Pre-tax commuter calculator</t>
  </si>
  <si>
    <t>Benefits administration</t>
  </si>
  <si>
    <t>Medical plan selection tool,Health Savings Account (HSA) calculator,Health / Dependent care FSA calculator,Pre-tax commuter calculator</t>
  </si>
  <si>
    <t>"Alex" Jelly Vision selection tool</t>
  </si>
  <si>
    <t>Life Insurance calculator</t>
  </si>
  <si>
    <t>401k Plan</t>
  </si>
  <si>
    <t>Health Savings Account (HSA) calculator,Health / Dependent care FSA calculator</t>
  </si>
  <si>
    <t>Treatment cost estimator,Medical plan selection tool,Dental plan selection tool,Vision plan selection tool,Health Savings Account (HSA) calculator,Health / Dependent care FSA calculator,Pre-tax commuter calculator</t>
  </si>
  <si>
    <t>HSA</t>
  </si>
  <si>
    <t>Medical plan selection tool,Dental plan selection tool,Vision plan selection tool,Health Savings Account (HSA) calculator,Health / Dependent care FSA calculator,Pre-tax commuter calculator,Life Insurance calculator</t>
  </si>
  <si>
    <t>Mental Health and Fertility vendor audit</t>
  </si>
  <si>
    <t>401(k), time away</t>
  </si>
  <si>
    <t>Treatment cost estimator,Medical plan selection tool,Dental plan selection tool,Vision plan selection tool</t>
  </si>
  <si>
    <t>Health Savings Account (HSA) calculator,Health / Dependent care FSA calculator,Pre-tax commuter calculator,"Alex" Jelly Vision selection tool</t>
  </si>
  <si>
    <t>Medical plan,Prescription drug coverage,Disease or care management,Other</t>
  </si>
  <si>
    <t>MHPAEA Review</t>
  </si>
  <si>
    <t>Medical,Pharmacy,Other</t>
  </si>
  <si>
    <t>Well being counts</t>
  </si>
  <si>
    <t>Treatment cost estimator,Life Insurance calculator</t>
  </si>
  <si>
    <t>Virgin pulse, Whil</t>
  </si>
  <si>
    <t>Medical plan,Dependent coverage</t>
  </si>
  <si>
    <t>Treatment cost estimator,Medical plan selection tool,Dental plan selection tool,Vision plan selection tool,Health Savings Account (HSA) calculator,Health / Dependent care FSA calculator,Life Insurance calculator</t>
  </si>
  <si>
    <t>Not at all</t>
  </si>
  <si>
    <t>Medical plan selection tool,Dental plan selection tool,Vision plan selection tool,Health / Dependent care FSA calculator,Life Insurance calculator</t>
  </si>
  <si>
    <t>Benefits administration,Expense or claim recovery (e.g., stop loss, subrogation)</t>
  </si>
  <si>
    <t>Medical,Pharmacy</t>
  </si>
  <si>
    <t>Treatment cost estimator,Medical plan selection tool,Health Savings Account (HSA) calculator,Health / Dependent care FSA calculator,Pre-tax commuter calculator</t>
  </si>
  <si>
    <t>Prescription drug coverage,Benefits administration,COBRA</t>
  </si>
  <si>
    <t>LAD claims performance review, LAD consumer experience assessment</t>
  </si>
  <si>
    <t>Medical plan selection tool,Dental plan selection tool,Health Savings Account (HSA) calculator,Health / Dependent care FSA calculator,Life Insurance calculator</t>
  </si>
  <si>
    <t>Oracle</t>
  </si>
  <si>
    <t>Open enrollment</t>
  </si>
  <si>
    <t>Disease or care management</t>
  </si>
  <si>
    <t>wellness program data</t>
  </si>
  <si>
    <t>Medical plan selection tool,Dental plan selection tool,Vision plan selection tool,Health Savings Account (HSA) calculator,Health / Dependent care FSA calculator,"Alex" Jelly Vision selection tool</t>
  </si>
  <si>
    <t>Medical plan selection tool,Health Savings Account (HSA) calculator,Health / Dependent care FSA calculator,Pre-tax commuter calculator,Life Insurance calculator</t>
  </si>
  <si>
    <t>Medical plan selection tool,Dental plan selection tool,Vision plan selection tool,Health Savings Account (HSA) calculator,Health / Dependent care FSA calculator</t>
  </si>
  <si>
    <t>Treatment cost estimator,Health Savings Account (HSA) calculator,Health / Dependent care FSA calculator,Pre-tax commuter calculator,"Alex" Jelly Vision selection tool</t>
  </si>
  <si>
    <t>Treatment cost estimator,Medical plan selection tool,Health Savings Account (HSA) calculator,Health / Dependent care FSA calculator,Life Insurance calculator</t>
  </si>
  <si>
    <t>Medical plan,Dental plan</t>
  </si>
  <si>
    <t>EAP</t>
  </si>
  <si>
    <t>Medical plan selection tool,Health Savings Account (HSA) calculator,Health / Dependent care FSA calculator,Life Insurance calculator</t>
  </si>
  <si>
    <t>Company</t>
  </si>
  <si>
    <t>Identifier</t>
  </si>
  <si>
    <t>pb35925a</t>
  </si>
  <si>
    <t>gm93386s</t>
  </si>
  <si>
    <t>vl74128k</t>
  </si>
  <si>
    <t>oa35404c</t>
  </si>
  <si>
    <t>er53587d</t>
  </si>
  <si>
    <t>cd44560x</t>
  </si>
  <si>
    <t>jc54324i</t>
  </si>
  <si>
    <t>ot62993f</t>
  </si>
  <si>
    <t>jd53008k</t>
  </si>
  <si>
    <t>ua47563y</t>
  </si>
  <si>
    <t>my40030w</t>
  </si>
  <si>
    <t>tg96882x</t>
  </si>
  <si>
    <t>se74517q</t>
  </si>
  <si>
    <t>ul10214j</t>
  </si>
  <si>
    <t>nc80547z</t>
  </si>
  <si>
    <t>wu18878u</t>
  </si>
  <si>
    <t>bg45494l</t>
  </si>
  <si>
    <t>iv60283q</t>
  </si>
  <si>
    <t>qt83965k</t>
  </si>
  <si>
    <t>wv96781j</t>
  </si>
  <si>
    <t>rl11497a</t>
  </si>
  <si>
    <t>ft31045t</t>
  </si>
  <si>
    <t>nn98071t</t>
  </si>
  <si>
    <t>mq82412v</t>
  </si>
  <si>
    <t>wo69716i</t>
  </si>
  <si>
    <t>rm73647q</t>
  </si>
  <si>
    <t>qg51683i</t>
  </si>
  <si>
    <t>mh98112n</t>
  </si>
  <si>
    <t>wm34447l</t>
  </si>
  <si>
    <t>we65760q</t>
  </si>
  <si>
    <t>ex31365p</t>
  </si>
  <si>
    <t>ym20101m</t>
  </si>
  <si>
    <t>wk10508e</t>
  </si>
  <si>
    <t>qr19064r</t>
  </si>
  <si>
    <t>vh17867e</t>
  </si>
  <si>
    <t>ak95792a</t>
  </si>
  <si>
    <t>sj50874v</t>
  </si>
  <si>
    <t>cv76910w</t>
  </si>
  <si>
    <t>tb10700t</t>
  </si>
  <si>
    <t>bo48423e</t>
  </si>
  <si>
    <t>mc95840s</t>
  </si>
  <si>
    <t>qo21212u</t>
  </si>
  <si>
    <t>kd94445t</t>
  </si>
  <si>
    <t>cr32372j</t>
  </si>
  <si>
    <t>ro56434i</t>
  </si>
  <si>
    <t>yg25124l</t>
  </si>
  <si>
    <t>rt73032s</t>
  </si>
  <si>
    <t>st37966m</t>
  </si>
  <si>
    <t>rv72328u</t>
  </si>
  <si>
    <t>lb35679m</t>
  </si>
  <si>
    <t>zw13794i</t>
  </si>
  <si>
    <t>pv56635b</t>
  </si>
  <si>
    <t>jq68777h</t>
  </si>
  <si>
    <t>de98620q</t>
  </si>
  <si>
    <t>iy60733y</t>
  </si>
  <si>
    <t>vi90253h</t>
  </si>
  <si>
    <t>ul71335g</t>
  </si>
  <si>
    <t>or24265n</t>
  </si>
  <si>
    <t>ed87055p</t>
  </si>
  <si>
    <t>dg71682h</t>
  </si>
  <si>
    <t>xq16177j</t>
  </si>
  <si>
    <t>va65866a</t>
  </si>
  <si>
    <t>cc59580g</t>
  </si>
  <si>
    <t>qh80227q</t>
  </si>
  <si>
    <t>Index</t>
  </si>
  <si>
    <t>Q4.1.2</t>
  </si>
  <si>
    <t>Q4.1.3_1</t>
  </si>
  <si>
    <t>Q4.1.3_2</t>
  </si>
  <si>
    <t>Q4.1.3_3</t>
  </si>
  <si>
    <t>Q4.1.3_4</t>
  </si>
  <si>
    <t>Q4.1.3_5</t>
  </si>
  <si>
    <t>Q4.1.3_6</t>
  </si>
  <si>
    <t>Q4.1.3_7</t>
  </si>
  <si>
    <t>Q4.1.3_8</t>
  </si>
  <si>
    <t>Q4.1.3_9</t>
  </si>
  <si>
    <t>Q4.1.3_10</t>
  </si>
  <si>
    <t>Q4.1.3_11</t>
  </si>
  <si>
    <t>Q4.1.3_12</t>
  </si>
  <si>
    <t>Q4.1.3_13</t>
  </si>
  <si>
    <t>Q4.1.3_14</t>
  </si>
  <si>
    <t>Q4.1.3_15</t>
  </si>
  <si>
    <t>Q4.1.3_16</t>
  </si>
  <si>
    <t>Q4.1.3_17</t>
  </si>
  <si>
    <t>Q4.1.3_18</t>
  </si>
  <si>
    <t>Q4.1.3_19</t>
  </si>
  <si>
    <t>Q4.1.3_20</t>
  </si>
  <si>
    <t>Q4.1.3_21</t>
  </si>
  <si>
    <t>Q4.1.3_22</t>
  </si>
  <si>
    <t>Q4.1.4_1</t>
  </si>
  <si>
    <t>Q4.1.4_2</t>
  </si>
  <si>
    <t>Q4.1.4_3</t>
  </si>
  <si>
    <t>Q4.1.4_4</t>
  </si>
  <si>
    <t>Q4.1.4_5</t>
  </si>
  <si>
    <t>Q4.1.4_6</t>
  </si>
  <si>
    <t>Q4.1.4_7</t>
  </si>
  <si>
    <t>Q4.1.4_8</t>
  </si>
  <si>
    <t>Q4.1.4_9</t>
  </si>
  <si>
    <t>Q4.1.4_10</t>
  </si>
  <si>
    <t>Q4.1.4_11</t>
  </si>
  <si>
    <t>Q4.1.4_12</t>
  </si>
  <si>
    <t>Q4.1.4_13</t>
  </si>
  <si>
    <t>Q4.1.4_14</t>
  </si>
  <si>
    <t>Q4.1.4_15</t>
  </si>
  <si>
    <t>Q4.1.4_16</t>
  </si>
  <si>
    <t>Q4.1.4_17</t>
  </si>
  <si>
    <t>Q4.1.4_18</t>
  </si>
  <si>
    <t>Q4.1.4_19</t>
  </si>
  <si>
    <t>Q4.1.4_20</t>
  </si>
  <si>
    <t>Q4.1.4_21</t>
  </si>
  <si>
    <t>Q4.1.4_22</t>
  </si>
  <si>
    <t>Q4.2.2_1</t>
  </si>
  <si>
    <t>Q4.2.2_2</t>
  </si>
  <si>
    <t>Q4.2.2_3</t>
  </si>
  <si>
    <t>Q4.2.2_4</t>
  </si>
  <si>
    <t>Q4.2.2_5</t>
  </si>
  <si>
    <t>Q4.2.2_6</t>
  </si>
  <si>
    <t>Q4.2.2_7</t>
  </si>
  <si>
    <t>Q4.2.2_8</t>
  </si>
  <si>
    <t>Q4.2.2_9</t>
  </si>
  <si>
    <t>Q4.2.2_10</t>
  </si>
  <si>
    <t>Q4.2.2_11</t>
  </si>
  <si>
    <t>Q4.2.2_12</t>
  </si>
  <si>
    <t>Q4.2.3</t>
  </si>
  <si>
    <t>Q4.2.4</t>
  </si>
  <si>
    <t>Q4.2.5</t>
  </si>
  <si>
    <t>Q4.2.6</t>
  </si>
  <si>
    <t>Q4.2.7</t>
  </si>
  <si>
    <t>Q4.2.10</t>
  </si>
  <si>
    <t>Currently in use</t>
  </si>
  <si>
    <t>Not in use</t>
  </si>
  <si>
    <t>Under consideration</t>
  </si>
  <si>
    <t>Monthly</t>
  </si>
  <si>
    <t>Quarterly</t>
  </si>
  <si>
    <t>Biannually</t>
  </si>
  <si>
    <t>Open Enrollment Only</t>
  </si>
  <si>
    <t>Weekly</t>
  </si>
  <si>
    <t>Not applicable</t>
  </si>
  <si>
    <t>No - development is currently in progress</t>
  </si>
  <si>
    <t>Prioritizing what should be communicated to our employees and the best communication channels.</t>
  </si>
  <si>
    <t>Annually</t>
  </si>
  <si>
    <t>No - not being considered at my company</t>
  </si>
  <si>
    <t>The changes in our population by job function due to recent acquisition activity.  Many newer employees are manufacturing or logistics workers.</t>
  </si>
  <si>
    <t>No - currently being considered</t>
  </si>
  <si>
    <t>Awareness, branding, and consistent frequency</t>
  </si>
  <si>
    <t>Company benefits department</t>
  </si>
  <si>
    <t>No - not being considered</t>
  </si>
  <si>
    <t>Resources, personnel and budgetary</t>
  </si>
  <si>
    <t>Communicating to non-corporate employees and getting employees to read communications.</t>
  </si>
  <si>
    <t>In development</t>
  </si>
  <si>
    <t>Communication channels are fragmented.</t>
  </si>
  <si>
    <t>volume of content and keeping content simple (while anticipating and answering questions) and consistent in all the different methods</t>
  </si>
  <si>
    <t>Planned this year</t>
  </si>
  <si>
    <t>Potential/Recruited Employees</t>
  </si>
  <si>
    <t>Engaging employees to read and explore information  Curating and consolidation of vendor materials - much of it goes unused</t>
  </si>
  <si>
    <t>Company benefits department,Utilize vendor's materials</t>
  </si>
  <si>
    <t>Employees do not read communications (email &amp; print).</t>
  </si>
  <si>
    <t>Company benefits department,Outsourced to communications vendor</t>
  </si>
  <si>
    <t>Helping employees navigate to the right information, at the right time, in their moment of need.</t>
  </si>
  <si>
    <t>Getting employees to know what their benefits are and where to find information about them</t>
  </si>
  <si>
    <t>Company benefits department,Outsourced to communications vendor,Utilize vendor's materials</t>
  </si>
  <si>
    <t>Hyper-personalized messages based on claims data, member demographics, etc.</t>
  </si>
  <si>
    <t>Ensuring the team members are educated about our benefits offerings relevant to them and where to access information.</t>
  </si>
  <si>
    <t>Company benefits department,Other company department (e.g., HR, comms, marketing)</t>
  </si>
  <si>
    <t>Too many communications - communication fatigue by employees</t>
  </si>
  <si>
    <t>Gaining overall attention to our message/program and call to action - so many other communication priorities we have to compete with Ensuring employees and dependents are aware of programs that can support them when they are ready or when needed</t>
  </si>
  <si>
    <t>It is getting our employees to read our communications.</t>
  </si>
  <si>
    <t>Ensuring our employees are aware of new and existing programs.</t>
  </si>
  <si>
    <t>Accepted, not started candidates</t>
  </si>
  <si>
    <t>With a large population and many programs offered, it is difficult to 1.) identify who would benefit most from a specific program and 2.) reach those EEs with targeted communication.</t>
  </si>
  <si>
    <t>Company benefits department,Outsourced to communications vendor,Outsourced to consultant,Utilize vendor's materials</t>
  </si>
  <si>
    <t>Enrollment status</t>
  </si>
  <si>
    <t>Keeping employees aware of our multitude of programs, while not overwhelming them with information.  Finding ways to make communications more personalized.</t>
  </si>
  <si>
    <t>Getting employees to access and use the information available to them.</t>
  </si>
  <si>
    <t>Employees are overwhelmed with communications so the challenge is getting employees to read and take action when needed to. Another challenge is bringing together all of our world-class programs in a cohesive way under the benefits brand.</t>
  </si>
  <si>
    <t>Getting our messages through to our employees, because of the large volume of emails that goes to them.</t>
  </si>
  <si>
    <t>Navigating through the multiple options for employees to choose from.</t>
  </si>
  <si>
    <t>So many preferences on how people prefer to receive the information causing much of our communication attempts to turn in to white noise. Additionally, employees don't understand benefits and don't take time to understand decisions until they are confronted with having to use the benefits. We continue to provide more information so that employees are better informed to make decisions and are better healthcare consumers, but that leads to overwhelming them with too much information.  This consistently a problem.</t>
  </si>
  <si>
    <t>Reader attention in a busy environment</t>
  </si>
  <si>
    <t>Getting employees to pay attention to the messaging</t>
  </si>
  <si>
    <t>Getting employees to read our emails.</t>
  </si>
  <si>
    <t>overload</t>
  </si>
  <si>
    <t>It's always a challenge to make sure that our employees are really absorbing all information communicated via email.</t>
  </si>
  <si>
    <t>Getting people to READ their emails or go to the Benefits Website to get information!</t>
  </si>
  <si>
    <t>SO much important information to share, it is difficult to highlight the features that are most important to the mass population, while still providing key information to individuals in unique or unusual situations.  The volume of information is overwhelming to the average consumer. The best method of reaching people that engages them to consume the information</t>
  </si>
  <si>
    <t>Meeting employees where they are, i.e. communicating benefits when they need them.</t>
  </si>
  <si>
    <t>FSA participants; CA-only employees for VDI; people managers for manager trainings</t>
  </si>
  <si>
    <t>Getting people to read the emails and communicating to the spouses</t>
  </si>
  <si>
    <t>getting information to spouses and collecting + quantifying feedback that is culturally aligned with Company.</t>
  </si>
  <si>
    <t>Company benefits department,Outsourced to consultant,Utilize vendor's materials</t>
  </si>
  <si>
    <t>Ease of use, and information available in one location</t>
  </si>
  <si>
    <t>Navigation to the right resources at the right time</t>
  </si>
  <si>
    <t>Our onshore manufacturing population have limited access to traditional digital communications (email, online documents, etc.) so we need to mindful of that limitation when designing communication campaigns.</t>
  </si>
  <si>
    <t>Keeping topics relevant to employees, Consistent Information Across All Communication Channels, Information overload, Keeping HRBPs informed/updated, M&amp;A communications. Targeting specific populations.</t>
  </si>
  <si>
    <t>Difficult to get employees to absorb information sent via e-mail and other communication methods such as posters, internal messaging channels, etc.  Need to solve for the problem where EEs now have too many resources to utilize and don't obtain the information in the most real-time or effective manner. Potential confusion from over information</t>
  </si>
  <si>
    <t>Reaching all audiences across multiple locations.</t>
  </si>
  <si>
    <t>Coming up with relevant content each quarter/month</t>
  </si>
  <si>
    <t>Creating awareness of programs/plans for participants/families to easily find the details when they need to utilize plan/program. Segmentation and personalization of communication currently is a challenge, but also have digital channel in place where we can start to solve for that in the future.</t>
  </si>
  <si>
    <t>Getting employees' attention and engagement.</t>
  </si>
  <si>
    <t>Ensuring that employees understand the messages and "get" the programs we are delivering. We still get employees who say they have not heard of one benefit or another.</t>
  </si>
  <si>
    <t>Company benefits department,Outsourced to consultant</t>
  </si>
  <si>
    <t>Employees without regular access to a computer at work.</t>
  </si>
  <si>
    <t>Creative marketing strategies for diverse groups of employees.</t>
  </si>
  <si>
    <t>Effectively targeting communications so that employees are able to quickly access the benefits information they need.</t>
  </si>
  <si>
    <t>Developing a holistic strategy for wellbeing and building cross-functional support to promote benefits and support</t>
  </si>
  <si>
    <t>Employees do not fully read emails sent; too many competing emails/topics.</t>
  </si>
  <si>
    <t>Audience engagement</t>
  </si>
  <si>
    <t>Employees reading the material we share and understanding what's shared.</t>
  </si>
  <si>
    <t>how often we can email employees</t>
  </si>
  <si>
    <t>Some of employees do not check company emails.</t>
  </si>
  <si>
    <t>Making employees aware of the full suite of benefits offered to them and getting them to engage in the variety of benefits that would support their overall well-being.  Multi-locations and languages spoken by employees, along with virtual new hire orientations make it hard to ensure everyone understands their benefits.</t>
  </si>
  <si>
    <t>Employees who receive so much email often do not read our communications</t>
  </si>
  <si>
    <t>Employees taking time to review the communication</t>
  </si>
  <si>
    <t>Ensure benefits are communicated in the most efficient way and employees/families are aware of the offerings.</t>
  </si>
  <si>
    <t>Getting our employees to engage and take advantage of self-service options. Continued employee engagement outside of the Open Enrollment season.</t>
  </si>
  <si>
    <t>Providing information in a variety of ways that employees can access as needed.  Employees take in information differently and at different times.  Offering communications that meet all of those needs while keeping costs manageable is difficult.</t>
  </si>
  <si>
    <t>Getting info to employees at the right time and having them read and take action. Simplifying the leave of absence process through communications</t>
  </si>
  <si>
    <t>Competing with other communications. With a remote first environment there are a lot of communications that go out it can be easy for stuff to get lost when to much is being communicated at once.</t>
  </si>
  <si>
    <t>Q5.1.2</t>
  </si>
  <si>
    <t>Q5.1.3_1</t>
  </si>
  <si>
    <t>Q5.1.3_2</t>
  </si>
  <si>
    <t>Q5.1.3_3</t>
  </si>
  <si>
    <t>Q5.1.3_4</t>
  </si>
  <si>
    <t>Q5.1.3_5</t>
  </si>
  <si>
    <t>Q5.1.3_6</t>
  </si>
  <si>
    <t>Q5.1.3_7</t>
  </si>
  <si>
    <t>Q5.1.3_8</t>
  </si>
  <si>
    <t>Q5.1.3_9</t>
  </si>
  <si>
    <t>Q5.1.3_10</t>
  </si>
  <si>
    <t>Q5.1.3_11</t>
  </si>
  <si>
    <t>Q5.1.4_1</t>
  </si>
  <si>
    <t>Q5.1.4_2</t>
  </si>
  <si>
    <t>Q5.1.4_3</t>
  </si>
  <si>
    <t>Q5.1.4_4</t>
  </si>
  <si>
    <t>Q5.1.5</t>
  </si>
  <si>
    <t>Q5.2.2</t>
  </si>
  <si>
    <t>Q5.2.4</t>
  </si>
  <si>
    <t>Q5.2.5</t>
  </si>
  <si>
    <t>Q5.2.6</t>
  </si>
  <si>
    <t>Q5.2.7</t>
  </si>
  <si>
    <t>Q5.2.8</t>
  </si>
  <si>
    <t>Q5.2.9_1</t>
  </si>
  <si>
    <t>Q5.2.9_2</t>
  </si>
  <si>
    <t>Q5.2.9_3</t>
  </si>
  <si>
    <t>Q5.2.10</t>
  </si>
  <si>
    <t>Q5.2.11</t>
  </si>
  <si>
    <t>Q5.2.12</t>
  </si>
  <si>
    <t>Q5.2.13</t>
  </si>
  <si>
    <t>Q5.2.14</t>
  </si>
  <si>
    <t>Q5.2.15</t>
  </si>
  <si>
    <t>Q5.2.17</t>
  </si>
  <si>
    <t>Q5.2.18</t>
  </si>
  <si>
    <t>Q5.2.19</t>
  </si>
  <si>
    <t>Q5.2.20</t>
  </si>
  <si>
    <t>Q5.2.21</t>
  </si>
  <si>
    <t>Q5.2.22</t>
  </si>
  <si>
    <t>Q5.2.23</t>
  </si>
  <si>
    <t>Q5.2.25</t>
  </si>
  <si>
    <t>Q5.2.26</t>
  </si>
  <si>
    <t>Q5.2.27</t>
  </si>
  <si>
    <t>Q5.2.28</t>
  </si>
  <si>
    <t>Q5.2.30</t>
  </si>
  <si>
    <t>Q5.2.31</t>
  </si>
  <si>
    <t>Q5.2.32</t>
  </si>
  <si>
    <t>Q5.2.33</t>
  </si>
  <si>
    <t>Q5.2.34</t>
  </si>
  <si>
    <t>Q5.2.35</t>
  </si>
  <si>
    <t>Q5.2.36</t>
  </si>
  <si>
    <t>Q5.2.37_1</t>
  </si>
  <si>
    <t>Q5.2.37_2</t>
  </si>
  <si>
    <t>Q5.2.37_3</t>
  </si>
  <si>
    <t>Q5.2.37_4</t>
  </si>
  <si>
    <t>Q5.2.37_5</t>
  </si>
  <si>
    <t>Q5.2.37_6</t>
  </si>
  <si>
    <t>Q5.2.38</t>
  </si>
  <si>
    <t>Q5.2.39</t>
  </si>
  <si>
    <t>Q5.2.40</t>
  </si>
  <si>
    <t>Q5.2.41</t>
  </si>
  <si>
    <t>Q5.2.42</t>
  </si>
  <si>
    <t>Q5.2.43</t>
  </si>
  <si>
    <t>Q5.2.44_1</t>
  </si>
  <si>
    <t>Q5.2.44_2</t>
  </si>
  <si>
    <t>Q5.2.44_3</t>
  </si>
  <si>
    <t>Q5.2.44_4</t>
  </si>
  <si>
    <t>Q5.2.44_5</t>
  </si>
  <si>
    <t>Q5.2.44_6</t>
  </si>
  <si>
    <t>Q5.2.45</t>
  </si>
  <si>
    <t>Q5.2.47</t>
  </si>
  <si>
    <t>Q5.2.49</t>
  </si>
  <si>
    <t>Q5.2.50</t>
  </si>
  <si>
    <t>Q5.2.51</t>
  </si>
  <si>
    <t>Q5.2.53</t>
  </si>
  <si>
    <t>Q5.2.55</t>
  </si>
  <si>
    <t>Q5.2.56</t>
  </si>
  <si>
    <t>Q5.2.57</t>
  </si>
  <si>
    <t>Q5.2.58_1</t>
  </si>
  <si>
    <t>Q5.2.58_2</t>
  </si>
  <si>
    <t>Q5.2.58_3</t>
  </si>
  <si>
    <t>Q5.2.59</t>
  </si>
  <si>
    <t>Q5.2.60</t>
  </si>
  <si>
    <t>Q5.2.61</t>
  </si>
  <si>
    <t>Q5.2.62</t>
  </si>
  <si>
    <t>Q5.2.63</t>
  </si>
  <si>
    <t>Q5.2.64</t>
  </si>
  <si>
    <t>Q5.2.65</t>
  </si>
  <si>
    <t>Q5.2.66</t>
  </si>
  <si>
    <t>Q5.2.67</t>
  </si>
  <si>
    <t>Q5.2.69</t>
  </si>
  <si>
    <t>Q5.2.69_10_TEXT</t>
  </si>
  <si>
    <t>Q5.2.70</t>
  </si>
  <si>
    <t>Q5.2.71</t>
  </si>
  <si>
    <t>Q5.2.72</t>
  </si>
  <si>
    <t>Q5.2.73</t>
  </si>
  <si>
    <t>Q5.2.74</t>
  </si>
  <si>
    <t>Q5.2.75</t>
  </si>
  <si>
    <t>Q5.2.76</t>
  </si>
  <si>
    <t>Q5.2.77</t>
  </si>
  <si>
    <t>Q5.2.78</t>
  </si>
  <si>
    <t>Q5.2.79</t>
  </si>
  <si>
    <t>Q5.2.80</t>
  </si>
  <si>
    <t>Q5.2.81</t>
  </si>
  <si>
    <t>Q5.2.82</t>
  </si>
  <si>
    <t>Q5.2.83</t>
  </si>
  <si>
    <t>Q5.2.84</t>
  </si>
  <si>
    <t>Q5.2.85</t>
  </si>
  <si>
    <t>Q5.2.86</t>
  </si>
  <si>
    <t>Q5.2.87</t>
  </si>
  <si>
    <t>Q5.2.88</t>
  </si>
  <si>
    <t>Q5.2.89</t>
  </si>
  <si>
    <t>Q5.2.90</t>
  </si>
  <si>
    <t>Q5.2.91</t>
  </si>
  <si>
    <t>Q5.2.92</t>
  </si>
  <si>
    <t>Q5.2.93</t>
  </si>
  <si>
    <t>Q5.2.94</t>
  </si>
  <si>
    <t>Q5.2.95</t>
  </si>
  <si>
    <t>Q5.2.96</t>
  </si>
  <si>
    <t>Q5.2.97</t>
  </si>
  <si>
    <t>Q5.2.98</t>
  </si>
  <si>
    <t>Q5.2.99</t>
  </si>
  <si>
    <t>Q5.2.100</t>
  </si>
  <si>
    <t>Q5.2.101</t>
  </si>
  <si>
    <t>Q5.2.102</t>
  </si>
  <si>
    <t>Q5.2.103</t>
  </si>
  <si>
    <t>Q5.2.104</t>
  </si>
  <si>
    <t>Q5.2.105</t>
  </si>
  <si>
    <t>Q5.2.106</t>
  </si>
  <si>
    <t>Q5.2.107</t>
  </si>
  <si>
    <t>Q5.2.108</t>
  </si>
  <si>
    <t>Q5.2.109</t>
  </si>
  <si>
    <t>Q5.2.110</t>
  </si>
  <si>
    <t>Q5.3.2</t>
  </si>
  <si>
    <t>Q5.3.4</t>
  </si>
  <si>
    <t>Q5.3.5_1</t>
  </si>
  <si>
    <t>Q5.3.5_2</t>
  </si>
  <si>
    <t>Q5.3.5_3</t>
  </si>
  <si>
    <t>Q5.3.6_1_1</t>
  </si>
  <si>
    <t>Q5.3.6_2_1</t>
  </si>
  <si>
    <t>Q5.3.6_3_1</t>
  </si>
  <si>
    <t>Q5.3.7</t>
  </si>
  <si>
    <t>Q5.3.8</t>
  </si>
  <si>
    <t>Q5.3.10</t>
  </si>
  <si>
    <t>Q5.3.10_8_TEXT</t>
  </si>
  <si>
    <t>Q5.3.11</t>
  </si>
  <si>
    <t>Q5.3.12</t>
  </si>
  <si>
    <t>Q5.3.13</t>
  </si>
  <si>
    <t>Q5.3.14</t>
  </si>
  <si>
    <t>Q5.3.15</t>
  </si>
  <si>
    <t>Q5.3.16</t>
  </si>
  <si>
    <t>Q5.3.17_1</t>
  </si>
  <si>
    <t>Q5.3.17_2</t>
  </si>
  <si>
    <t>Q5.3.17_3</t>
  </si>
  <si>
    <t>Q5.3.17_4</t>
  </si>
  <si>
    <t>Q5.3.18</t>
  </si>
  <si>
    <t>Q5.3.19</t>
  </si>
  <si>
    <t>Q5.3.20</t>
  </si>
  <si>
    <t>Q5.3.22</t>
  </si>
  <si>
    <t>Q5.3.23</t>
  </si>
  <si>
    <t>Q5.3.23_10_TEXT</t>
  </si>
  <si>
    <t>Q5.4.2</t>
  </si>
  <si>
    <t>Q5.4.4</t>
  </si>
  <si>
    <t>Q5.4.5</t>
  </si>
  <si>
    <t>Q5.4.6</t>
  </si>
  <si>
    <t>Q5.4.7</t>
  </si>
  <si>
    <t>Q5.4.8</t>
  </si>
  <si>
    <t>Q5.4.10</t>
  </si>
  <si>
    <t>Q5.4.11</t>
  </si>
  <si>
    <t>Q5.4.12_1</t>
  </si>
  <si>
    <t>Q5.4.12_2</t>
  </si>
  <si>
    <t>Q5.4.12_3</t>
  </si>
  <si>
    <t>Q5.4.12_4</t>
  </si>
  <si>
    <t>Q5.4.12_5</t>
  </si>
  <si>
    <t>Q5.4.12_6</t>
  </si>
  <si>
    <t>Q5.4.12_7</t>
  </si>
  <si>
    <t>Q5.4.12_8</t>
  </si>
  <si>
    <t>Q5.4.13</t>
  </si>
  <si>
    <t>Q5.4.14</t>
  </si>
  <si>
    <t>Q5.4.16</t>
  </si>
  <si>
    <t>Q5.4.17</t>
  </si>
  <si>
    <t>Q5.4.18</t>
  </si>
  <si>
    <t>Q5.4.19</t>
  </si>
  <si>
    <t>Q5.4.21</t>
  </si>
  <si>
    <t>Q5.4.23_1</t>
  </si>
  <si>
    <t>Q5.4.23_2</t>
  </si>
  <si>
    <t>Q5.4.23_3</t>
  </si>
  <si>
    <t>Q5.4.23_4</t>
  </si>
  <si>
    <t>Q5.4.23_5</t>
  </si>
  <si>
    <t>Q5.4.23_6</t>
  </si>
  <si>
    <t>Q5.4.23_7</t>
  </si>
  <si>
    <t>Q5.4.23_8</t>
  </si>
  <si>
    <t>Q5.4.23_9</t>
  </si>
  <si>
    <t>Q5.4.25_1</t>
  </si>
  <si>
    <t>Q5.4.25_2</t>
  </si>
  <si>
    <t>Q5.4.25_3</t>
  </si>
  <si>
    <t>Q5.4.25_4</t>
  </si>
  <si>
    <t>Q5.4.25_5</t>
  </si>
  <si>
    <t>Q5.4.25_6</t>
  </si>
  <si>
    <t>Q5.4.25_7</t>
  </si>
  <si>
    <t>Q5.4.25_8</t>
  </si>
  <si>
    <t>Q5.4.25_9</t>
  </si>
  <si>
    <t>Q5.4.25_10</t>
  </si>
  <si>
    <t>Q5.4.25_11</t>
  </si>
  <si>
    <t>Q5.4.25_12</t>
  </si>
  <si>
    <t>Q5.4.25_13</t>
  </si>
  <si>
    <t>Q5.4.25_14</t>
  </si>
  <si>
    <t>Q5.4.25_15</t>
  </si>
  <si>
    <t>Q5.4.25_16</t>
  </si>
  <si>
    <t>Q5.4.25_17</t>
  </si>
  <si>
    <t>Q5.4.25_18</t>
  </si>
  <si>
    <t>Q5.4.25_19</t>
  </si>
  <si>
    <t>Q5.4.25_20</t>
  </si>
  <si>
    <t>Q5.4.25_21</t>
  </si>
  <si>
    <t>Q5.4.25_22</t>
  </si>
  <si>
    <t>Q5.4.25_23</t>
  </si>
  <si>
    <t>Q5.4.27</t>
  </si>
  <si>
    <t>Q5.4.28</t>
  </si>
  <si>
    <t>Q5.4.29</t>
  </si>
  <si>
    <t>Q5.4.30</t>
  </si>
  <si>
    <t>Q5.4.31</t>
  </si>
  <si>
    <t>Q5.4.32</t>
  </si>
  <si>
    <t>Q5.4.34</t>
  </si>
  <si>
    <t>Q5.5.2</t>
  </si>
  <si>
    <t>Q5.5.3</t>
  </si>
  <si>
    <t>Q5.5.4_1</t>
  </si>
  <si>
    <t>Q5.5.4_2</t>
  </si>
  <si>
    <t>Q5.5.4_3</t>
  </si>
  <si>
    <t>Q5.5.4_4</t>
  </si>
  <si>
    <t>Q5.5.4_5</t>
  </si>
  <si>
    <t>Q5.5.5</t>
  </si>
  <si>
    <t>Q5.5.6</t>
  </si>
  <si>
    <t>Q5.5.7</t>
  </si>
  <si>
    <t>Q5.5.8</t>
  </si>
  <si>
    <t>Q5.5.9</t>
  </si>
  <si>
    <t>Q5.5.10</t>
  </si>
  <si>
    <t>Q5.6.2</t>
  </si>
  <si>
    <t>Q5.6.4</t>
  </si>
  <si>
    <t>Q5.6.5</t>
  </si>
  <si>
    <t>Q5.6.6</t>
  </si>
  <si>
    <t>Q5.6.8</t>
  </si>
  <si>
    <t>Q5.6.9</t>
  </si>
  <si>
    <t>Q5.6.10</t>
  </si>
  <si>
    <t>Q5.6.11</t>
  </si>
  <si>
    <t>Q5.6.12_1</t>
  </si>
  <si>
    <t>Q5.6.12_2</t>
  </si>
  <si>
    <t>Q5.6.12_3</t>
  </si>
  <si>
    <t>Q5.6.12_4</t>
  </si>
  <si>
    <t>Q5.6.14</t>
  </si>
  <si>
    <t>Q5.6.15</t>
  </si>
  <si>
    <t>Q5.6.16</t>
  </si>
  <si>
    <t>Q5.6.18</t>
  </si>
  <si>
    <t>Q5.6.19</t>
  </si>
  <si>
    <t>Q5.7.2</t>
  </si>
  <si>
    <t>Q5.7.4</t>
  </si>
  <si>
    <t>Q5.7.6</t>
  </si>
  <si>
    <t>Q5.7.7_1</t>
  </si>
  <si>
    <t>Q5.7.7_2</t>
  </si>
  <si>
    <t>Q5.7.7_3</t>
  </si>
  <si>
    <t>Q5.7.7_4</t>
  </si>
  <si>
    <t>Q5.7.8</t>
  </si>
  <si>
    <t>Q5.7.9</t>
  </si>
  <si>
    <t>Financial assistance</t>
  </si>
  <si>
    <t>based on sate regulations</t>
  </si>
  <si>
    <t>regular employees working 24+ hours a week</t>
  </si>
  <si>
    <t>Legal or attorney fees,	Court fees,	Adoption agency fees—including foreign adoption fees,	Travel expenses including food and lodging while away from home,	Translation services relating to the adoption</t>
  </si>
  <si>
    <t>Company-sponsored daycare not offered, and not considering</t>
  </si>
  <si>
    <t>Financial assistance,Access to an external elder care vendor - subsidized,Flexible Work Arrangements</t>
  </si>
  <si>
    <t>Medically necessary,Elective</t>
  </si>
  <si>
    <t>1 Year</t>
  </si>
  <si>
    <t>No, lifetime maximum benefit is unlimited</t>
  </si>
  <si>
    <t>Plan not offered</t>
  </si>
  <si>
    <t>Covered and described</t>
  </si>
  <si>
    <t>Covered but not described</t>
  </si>
  <si>
    <t>No, and not considering</t>
  </si>
  <si>
    <t>Pet insurance,Discount perks</t>
  </si>
  <si>
    <t>Employee pays all</t>
  </si>
  <si>
    <t>Agency Fees,Legal or court document fees</t>
  </si>
  <si>
    <t>Taxable, not grossed up</t>
  </si>
  <si>
    <t>Other, please specify:</t>
  </si>
  <si>
    <t>concierge support</t>
  </si>
  <si>
    <t>Yes, partially subsidized</t>
  </si>
  <si>
    <t>active coverage for 3 months - fully covered, no COBRA subsidy</t>
  </si>
  <si>
    <t>Yes, all benefits</t>
  </si>
  <si>
    <t>SOS concierge family support</t>
  </si>
  <si>
    <t>FSA for dependent care,FSA for healthcare,Tuition assistance</t>
  </si>
  <si>
    <t>Traditional FSA</t>
  </si>
  <si>
    <t>Must get pre-approval,Must be related to job</t>
  </si>
  <si>
    <t>24+ hours</t>
  </si>
  <si>
    <t>C</t>
  </si>
  <si>
    <t>list of certifications prescribed by talent development</t>
  </si>
  <si>
    <t>At all locations</t>
  </si>
  <si>
    <t>Parking benefit or allowance,Public transportation benefit or allowance,Transit,Shuttles to/from office,Shuttles between campus locations,Bicycling support,EV charging capabilities,Carpooling/vanpooling</t>
  </si>
  <si>
    <t>Our Work Place/facility team</t>
  </si>
  <si>
    <t xml:space="preserve">Yes, for all employees </t>
  </si>
  <si>
    <t>Standard offering</t>
  </si>
  <si>
    <t>Company pays all</t>
  </si>
  <si>
    <t>Company subsidizes</t>
  </si>
  <si>
    <t>Not offered</t>
  </si>
  <si>
    <t>5 years</t>
  </si>
  <si>
    <t>Manager discretion</t>
  </si>
  <si>
    <t>Years of service,Other</t>
  </si>
  <si>
    <t>None of the above</t>
  </si>
  <si>
    <t>No change and RSUs are forfeited</t>
  </si>
  <si>
    <t>Legal assistance</t>
  </si>
  <si>
    <t>Referral through Employee Assistance Program,Voluntary benefit (employee paid)</t>
  </si>
  <si>
    <t>Employee,Spouse or domestic partner,Children,Parents,Parents-in-law,Step parents</t>
  </si>
  <si>
    <t>Counseling provided</t>
  </si>
  <si>
    <t>Elder care referral,Childcare or daycare referral,Self-improvement or self-help online tool(s)</t>
  </si>
  <si>
    <t>Virtual (e.g., live webcast, telephonic coaching, text chat, telehealth),In-person,Self-paced (e.g., website or mobile app)</t>
  </si>
  <si>
    <t>Adoption assistance,Fertility assistance,New parent gifts/benefits</t>
  </si>
  <si>
    <t>Taxable</t>
  </si>
  <si>
    <t>Full-time employees only,Part-time employees only</t>
  </si>
  <si>
    <t>Work 20 hours or more a week</t>
  </si>
  <si>
    <t>It is a bonus to offset the expenses of adoption.  We do not designate how it should be used.</t>
  </si>
  <si>
    <t>At manager's discretion.</t>
  </si>
  <si>
    <t>FSA for dependent care,FSA for healthcare,Tuition assistance,Working remotely stipend/reimbursement</t>
  </si>
  <si>
    <t>Traditional FSA,Limited purpose FSA</t>
  </si>
  <si>
    <t>Yes, we offer the maximum carryover the IRS allows ($550 for 2022 plan year)</t>
  </si>
  <si>
    <t>Must get pre-approval,Accredited institution,Must be related to job</t>
  </si>
  <si>
    <t>20+ hours</t>
  </si>
  <si>
    <t>Manager discretion.</t>
  </si>
  <si>
    <t>I don't know</t>
  </si>
  <si>
    <t>In major metropolitan areas</t>
  </si>
  <si>
    <t>Cost shared by company and employee</t>
  </si>
  <si>
    <t>Fully company paid</t>
  </si>
  <si>
    <t>Fully employee paid</t>
  </si>
  <si>
    <t>Workplace Services</t>
  </si>
  <si>
    <t xml:space="preserve">Yes, for certain employees </t>
  </si>
  <si>
    <t>Required by position or role</t>
  </si>
  <si>
    <t>Needs to be requested</t>
  </si>
  <si>
    <t>Don't Know</t>
  </si>
  <si>
    <t>Cash,Gift/Experience</t>
  </si>
  <si>
    <t>$100 per 10 years</t>
  </si>
  <si>
    <t>Manager discretion,Employee preference</t>
  </si>
  <si>
    <t>Years of service</t>
  </si>
  <si>
    <t>Yes, all RSUs are preserved</t>
  </si>
  <si>
    <t>Vesting is continued upon rehire</t>
  </si>
  <si>
    <t>Elder care referral,Childcare or daycare referral,Onsite critical incident support,Virtual critical incident support,Convenience requests (e.g., tickets, realty information, etc.)</t>
  </si>
  <si>
    <t>Virtual (e.g., live webcast, telephonic coaching, text chat, telehealth),In-person</t>
  </si>
  <si>
    <t>All employees</t>
  </si>
  <si>
    <t>Must be actively at work at time of adoption</t>
  </si>
  <si>
    <t xml:space="preserve">	Adoption agency fees—including foreign adoption fees,	Travel expenses including food and lodging while away from home,	Temporary foster care costs,	Immigration expenses relating to the adoption,Other</t>
  </si>
  <si>
    <t>Adoption application fees,Adoption home studies,Placement fees,Immunization and translation fees,Parent, child, family adoption counseling,Costs incurred by registered domestic partner or same-sex spouse to adopt his or her partner's child(ren),Visa and passport fees for adopted child(ren),Medical assessment of adopted child(ren),Fees associated with the adoption of the child(ren) through a legally recognized surrogate arrangement</t>
  </si>
  <si>
    <t>Financial assistance,Access to an external elder care vendor - subsidized</t>
  </si>
  <si>
    <t>Yes, lifetime maximum of cycles</t>
  </si>
  <si>
    <t>Not covered</t>
  </si>
  <si>
    <t>Cleo support</t>
  </si>
  <si>
    <t>Pet friendly campus</t>
  </si>
  <si>
    <t>Wellthy support</t>
  </si>
  <si>
    <t>Must be actively at work at time of surrogacy</t>
  </si>
  <si>
    <t>Agency Fees,Legal or court document fees,Expenses incurred by surrogate,Other</t>
  </si>
  <si>
    <t>Tissue purchase (egg, sperm) and embryo fertilization/transfer,Other</t>
  </si>
  <si>
    <t>Taxable, and we gross up</t>
  </si>
  <si>
    <t>Lump-sum payment (unrelated to life insurance),Financial advisory services</t>
  </si>
  <si>
    <t>Additional salary payout</t>
  </si>
  <si>
    <t>3 months</t>
  </si>
  <si>
    <t>4 – 6 months</t>
  </si>
  <si>
    <t>Survivor benefits</t>
  </si>
  <si>
    <t>Yes, fully subsidized</t>
  </si>
  <si>
    <t>12 months</t>
  </si>
  <si>
    <t>New policy</t>
  </si>
  <si>
    <t>FSA for dependent care,FSA for healthcare,Working remotely stipend/reimbursement</t>
  </si>
  <si>
    <t>Charitable match,Commuter benefit(s),Company phone/laptop/tablet,Ergonomic/sit-stand workstations and desks,Onsite &amp; convenience benefits,Service award(s),Workplace flexibility</t>
  </si>
  <si>
    <t>No minimum hour requirement</t>
  </si>
  <si>
    <t>Parking benefit or allowance,Public transportation benefit or allowance,Transit,Bicycling support,Carpooling/vanpooling</t>
  </si>
  <si>
    <t>Benefits team</t>
  </si>
  <si>
    <t>10 years</t>
  </si>
  <si>
    <t>Additional time off</t>
  </si>
  <si>
    <t>20+</t>
  </si>
  <si>
    <t>Assessment &amp; referral only</t>
  </si>
  <si>
    <t>Elder care referral,Childcare or daycare referral,Onsite critical incident support,Virtual critical incident support,Self-improvement or self-help online tool(s)</t>
  </si>
  <si>
    <t>Virtual (e.g., live webcast, telephonic coaching, text chat, telehealth),Self-paced (e.g., website or mobile app)</t>
  </si>
  <si>
    <t>Parking benefit or allowance,Public transportation benefit or allowance,Transit</t>
  </si>
  <si>
    <t>advantage group</t>
  </si>
  <si>
    <t>Additional time off,Gift/Experience</t>
  </si>
  <si>
    <t>for employee with 10 years of experience, 20 working days</t>
  </si>
  <si>
    <t>ring, jade etc,.</t>
  </si>
  <si>
    <t>Dependents are not eligible</t>
  </si>
  <si>
    <t>Emotional Wellbeing Program (separate from EAP),Employee Assistance Program</t>
  </si>
  <si>
    <t>Virtual (e.g., live webcast, telephonic coaching, text chat, telehealth)</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</si>
  <si>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Temporary foster care costs,	Translation services relating to the adoption,	Immigration expenses relating to the adoption</t>
  </si>
  <si>
    <t>Access to an external elder care vendor - subsidized</t>
  </si>
  <si>
    <t>Separate leave policy (e.g., bereavement, adoption, etc.),Pet care or sitting,Discount perks,Other</t>
  </si>
  <si>
    <t>Pet insurance discount</t>
  </si>
  <si>
    <t>Travel and transportation costs (including amounts paid for meals and lodging); and other expenses as determined by Company in its sole discretion</t>
  </si>
  <si>
    <t>Lump-sum payment (unrelated to life insurance)</t>
  </si>
  <si>
    <t>one month of the Eligible Employee’s gross base salary</t>
  </si>
  <si>
    <t>Must get pre-approval,Accredited institution,Must be related to job,Must be related to company business,Other, please specify</t>
  </si>
  <si>
    <t>Employee’s Business Unit has the budget to support this financial investment</t>
  </si>
  <si>
    <t>Must get pre approval Must be related to job Biz unit must have budget Manager approval</t>
  </si>
  <si>
    <t>Home office set up (chair, desk, monitor, etc.),Office supplies</t>
  </si>
  <si>
    <t>Corporate Relations</t>
  </si>
  <si>
    <t>5 years,10 years,20 years,25 years</t>
  </si>
  <si>
    <t>Gift/Experience</t>
  </si>
  <si>
    <t>health, wellness, green product or donation of gift value to charity</t>
  </si>
  <si>
    <t>Director or above</t>
  </si>
  <si>
    <t>All dependents</t>
  </si>
  <si>
    <t>Not Offered</t>
  </si>
  <si>
    <t>Employee</t>
  </si>
  <si>
    <t>Emotional Wellbeing Program (separate from EAP),Employee Assistance Program,Financial wellbeing program,Physical wellbeing program</t>
  </si>
  <si>
    <t>Full-time employees only</t>
  </si>
  <si>
    <t>Legal or attorney fees,	Court fees,	Adoption agency fees—including foreign adoption fees,	Temporary foster care costs,	Translation services relating to the adoption,	Immigration expenses relating to the adoption</t>
  </si>
  <si>
    <t>On-site</t>
  </si>
  <si>
    <t>Employee Assistance Program</t>
  </si>
  <si>
    <t>phone consultations and referrals</t>
  </si>
  <si>
    <t>5+ Years</t>
  </si>
  <si>
    <t>Yes, lifetime maximum dollar amount</t>
  </si>
  <si>
    <t>Covered</t>
  </si>
  <si>
    <t>Pet insurance</t>
  </si>
  <si>
    <t>1 year</t>
  </si>
  <si>
    <t>Funeral planning,Survivor benefits,Will and estate planning</t>
  </si>
  <si>
    <t>Mental health services,Grief counseling,Tax services</t>
  </si>
  <si>
    <t>$1,000 or less</t>
  </si>
  <si>
    <t>Stock vesting</t>
  </si>
  <si>
    <t>Must get pre-approval,Accredited institution,College-level credit,Must be related to job,Must be related to company business</t>
  </si>
  <si>
    <t>6 Months</t>
  </si>
  <si>
    <t>B</t>
  </si>
  <si>
    <t>Facilities and Benefits</t>
  </si>
  <si>
    <t>5 years,10 years,20 years</t>
  </si>
  <si>
    <t>Plaque and Award</t>
  </si>
  <si>
    <t>Emotional Wellbeing Program (separate from EAP),Employee Assistance Program,Physical wellbeing program</t>
  </si>
  <si>
    <t>Adoption assistance,Pet benefit(s),Survivor support</t>
  </si>
  <si>
    <t>Legal or attorney fees,	Court fees,	Adoption agency fees—including foreign adoption fees,	Travel expenses including food and lodging while away from home</t>
  </si>
  <si>
    <t>2 months</t>
  </si>
  <si>
    <t>6 months</t>
  </si>
  <si>
    <t>Yes, some benefits</t>
  </si>
  <si>
    <t>Health benefits, Stock, life insurance, 401(k)</t>
  </si>
  <si>
    <t>Must get pre-approval,Accredited institution,College-level credit,Must be related to job</t>
  </si>
  <si>
    <t>Internet</t>
  </si>
  <si>
    <t>At headquarters</t>
  </si>
  <si>
    <t>Shuttles between campus locations,EV charging capabilities</t>
  </si>
  <si>
    <t>Facilities</t>
  </si>
  <si>
    <t>Varies</t>
  </si>
  <si>
    <t>Job-based</t>
  </si>
  <si>
    <t>Voluntary benefit (employee paid)</t>
  </si>
  <si>
    <t>Available via non-EAP vendor</t>
  </si>
  <si>
    <t>Financial assistance,Counseling or referral assistance</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</si>
  <si>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Temporary foster care costs</t>
  </si>
  <si>
    <t>Financial assistance,Access to an external elder care vendor - unsubsidized,Employee Assistance Program,Flexible Work Arrangements,Paid Time Off</t>
  </si>
  <si>
    <t>No set maximum, can use sick days</t>
  </si>
  <si>
    <t>Resources and referrals</t>
  </si>
  <si>
    <t>Medically necessary</t>
  </si>
  <si>
    <t>Pet insurance,Pet friendly campus</t>
  </si>
  <si>
    <t>Agency Fees,Legal or court document fees,Expenses incurred by surrogate</t>
  </si>
  <si>
    <t>Must be related to job.</t>
  </si>
  <si>
    <t>Parking benefit or allowance,Public transportation benefit or allowance,EV charging capabilities</t>
  </si>
  <si>
    <t>Benefits for Commuter, Facilities for EV Charging</t>
  </si>
  <si>
    <t>Applause award that can be redeemed for gift cards and/or merchandise</t>
  </si>
  <si>
    <t>16B officers</t>
  </si>
  <si>
    <t>Yes, a portion of RSUs are preserved</t>
  </si>
  <si>
    <t>Employee,Spouse or domestic partner,Children</t>
  </si>
  <si>
    <t>If spouse/partner both work at Company - only one employee may use the financial benefit. Children must be &lt; 18 years old, stepchildren are not eligible for reimbursement  Company has unlimited dollars/number per lifetime max.</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</si>
  <si>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Temporary foster care costs,	Translation services relating to the adoption,	Immigration expenses relating to the adoption,Other</t>
  </si>
  <si>
    <t>Parent, child and family adoption counseling; home studies.</t>
  </si>
  <si>
    <t>Off-site</t>
  </si>
  <si>
    <t>More than 30</t>
  </si>
  <si>
    <t>Access to an external elder care vendor - unsubsidized,Employee Assistance Program,Flexible Work Arrangements,Paid Time Off</t>
  </si>
  <si>
    <t>no maximum</t>
  </si>
  <si>
    <t>Baby box with gifts for new baby and parents.</t>
  </si>
  <si>
    <t>Separate leave policy (e.g., bereavement, adoption, etc.),Pet insurance,Discount perks</t>
  </si>
  <si>
    <t>Rethink - it is an innovative program that puts clinical best practices at employee's fingertips to help their child reach their full potential. This program is offered at no cost to all employees.</t>
  </si>
  <si>
    <t>Benefit continuation for 90 days and subsized COBRA for 9 months.</t>
  </si>
  <si>
    <t>9 months</t>
  </si>
  <si>
    <t>n/a</t>
  </si>
  <si>
    <t>Must get pre-approval,Must be related to job,Must be related to company business</t>
  </si>
  <si>
    <t>30+ hours</t>
  </si>
  <si>
    <t>Same tuition reimbursement rules above apply.</t>
  </si>
  <si>
    <t>Charitable match,Commuter benefit(s),Company phone/laptop/tablet,Ergonomic/sit-stand workstations and desks,Green benefit(s),Service award(s),Workplace flexibility</t>
  </si>
  <si>
    <t>EV charging capabilities</t>
  </si>
  <si>
    <t>Facilities Department</t>
  </si>
  <si>
    <t>Years of service,Job title</t>
  </si>
  <si>
    <t>Offered</t>
  </si>
  <si>
    <t>Elder care referral,Childcare or daycare referral,Virtual critical incident support,Convenience requests (e.g., tickets, realty information, etc.),Self-improvement or self-help online tool(s)</t>
  </si>
  <si>
    <t>Adoption assistance,Survivor support</t>
  </si>
  <si>
    <t>Non-Taxable</t>
  </si>
  <si>
    <t>Legal or attorney fees,	Court fees,	Adoption agency fees—including foreign adoption fees,	Pre-adoption medical exams and immunizations not covered by insurance,	Medical treatment of child not covered by insurance</t>
  </si>
  <si>
    <t>6x base monthly salary</t>
  </si>
  <si>
    <t>Home office set up (chair, desk, monitor, etc.)</t>
  </si>
  <si>
    <t>Charitable match,Commuter benefit(s),Company phone/laptop/tablet,Workplace flexibility</t>
  </si>
  <si>
    <t>More than 10</t>
  </si>
  <si>
    <t>Transit</t>
  </si>
  <si>
    <t>Payflex</t>
  </si>
  <si>
    <t>Emotional Wellbeing Program (separate from EAP),Employee Assistance Program,Financial wellbeing program</t>
  </si>
  <si>
    <t>taxable but Company will gross up</t>
  </si>
  <si>
    <t>benefits eligible employee</t>
  </si>
  <si>
    <t>No, but considering</t>
  </si>
  <si>
    <t>Wellthy caregiver support, EAP through Optum, rethink</t>
  </si>
  <si>
    <t>Taxable but Company will gross up</t>
  </si>
  <si>
    <t>must be enrolled in a Company medical plan</t>
  </si>
  <si>
    <t>Public transportation benefit or allowance,Shuttles to/from office,Shuttles between campus locations,EV charging capabilities</t>
  </si>
  <si>
    <t>Company's work place resources team</t>
  </si>
  <si>
    <t>Employees can pick from website</t>
  </si>
  <si>
    <t>Critical illness insurance,Legal assistance</t>
  </si>
  <si>
    <t>Spouses or domestic partners only</t>
  </si>
  <si>
    <t>Employee,Spouse or domestic partner,Parents,Parents-in-law</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</si>
  <si>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Translation services relating to the adoption,	Immigration expenses relating to the adoption</t>
  </si>
  <si>
    <t>Financial advisory services</t>
  </si>
  <si>
    <t>Will and estate planning,Other</t>
  </si>
  <si>
    <t>Financial counseling</t>
  </si>
  <si>
    <t>Charitable match,Commuter benefit(s),Company phone/laptop/tablet,Ergonomic/sit-stand workstations and desks,Service award(s),Workplace flexibility</t>
  </si>
  <si>
    <t>Benefits</t>
  </si>
  <si>
    <t>5 additional days</t>
  </si>
  <si>
    <t>The gift is chosen by the employee</t>
  </si>
  <si>
    <t>Vacation/Paid time off accrual</t>
  </si>
  <si>
    <t>Referral through Employee Assistance Program,Referral by vendor other than Employee Assistance Program,Voluntary benefit (employee paid)</t>
  </si>
  <si>
    <t>Legal or attorney fees,	Court fees,	Adoption agency fees—including foreign adoption fees,	Travel expenses including food and lodging while away from home,	Medical treatment of child not covered by insurance,	Temporary foster care costs</t>
  </si>
  <si>
    <t>Access to online resources and e-guides to help navigate health and caregiver related issues.</t>
  </si>
  <si>
    <t>Baby bundles are sent to new parents.  We are updating what will be included in the bundles.</t>
  </si>
  <si>
    <t>We offer Torchlight which helps families with different types of caregiving challenges — from supporting children who are struggling with developmental, academic, social and other challenges to navigating the complexities of elder care.  We also have Employee Resource Groups.</t>
  </si>
  <si>
    <t>Other, please specify</t>
  </si>
  <si>
    <t>One time stipend when enrolling in the remote work program.</t>
  </si>
  <si>
    <t>Charitable match,Commuter benefit(s),Company phone/laptop/tablet,Green benefit(s),Onsite &amp; convenience benefits,Service award(s),Workplace flexibility</t>
  </si>
  <si>
    <t>Bicycling support</t>
  </si>
  <si>
    <t>Alight</t>
  </si>
  <si>
    <t>5 years,10 years,20 years,25 years,Other</t>
  </si>
  <si>
    <t>Points that can be used for online merchandise.  Recognition message from CEO.</t>
  </si>
  <si>
    <t>VP or above</t>
  </si>
  <si>
    <t>Elder care referral,Childcare or daycare referral,Onsite critical incident support,Virtual critical incident support,Convenience requests (e.g., tickets, realty information, etc.),Self-improvement or self-help online tool(s)</t>
  </si>
  <si>
    <t>Expert Assistance to help locate long term elder care provider</t>
  </si>
  <si>
    <t>Company Blanket and congratulations card</t>
  </si>
  <si>
    <t>Agency Fees,Legal or court document fees,Other</t>
  </si>
  <si>
    <t>Reasonable travel and lodging costs for the intended parents and any minor children associated with the surrogacy process, Fee associated with the adoption of a surrogate child</t>
  </si>
  <si>
    <t>Tissue purchase (egg, sperm) from tissue bank,Tissue purchase (egg, sperm) from live donor,Tissue purchase (egg, sperm) and embryo fertilization/transfer</t>
  </si>
  <si>
    <t>Charitable match,Commuter benefit(s),Ergonomic/sit-stand workstations and desks,Service award(s),Workplace flexibility</t>
  </si>
  <si>
    <t>Parking benefit or allowance,Public transportation benefit or allowance</t>
  </si>
  <si>
    <t>Navia</t>
  </si>
  <si>
    <t>Cash</t>
  </si>
  <si>
    <t>One time lump sum of 40 hours</t>
  </si>
  <si>
    <t>Specific offering (company paid)</t>
  </si>
  <si>
    <t>Elder care referral,Childcare or daycare referral,Convenience requests (e.g., tickets, realty information, etc.),Self-improvement or self-help online tool(s)</t>
  </si>
  <si>
    <t>Elective</t>
  </si>
  <si>
    <t>Cleo</t>
  </si>
  <si>
    <t>Discount perks</t>
  </si>
  <si>
    <t>Only those covered on our Anthem and Select Health plans, who go through our fertility coverage with Progyny</t>
  </si>
  <si>
    <t>Non-taxable</t>
  </si>
  <si>
    <t>Charitable match,Commuter benefit(s),Company phone/laptop/tablet,Ergonomic/sit-stand workstations and desks,Workplace flexibility</t>
  </si>
  <si>
    <t>Public transportation benefit or allowance,EV charging capabilities,Carpooling/vanpooling</t>
  </si>
  <si>
    <t>Facilities (Workplace Resources)</t>
  </si>
  <si>
    <t>Job-based,Manager discretion</t>
  </si>
  <si>
    <t>Onsite critical incident support,Virtual critical incident support,Dedicated company counselor,Self-improvement or self-help online tool(s)</t>
  </si>
  <si>
    <t>Legal or attorney fees,	Court fees,	Adoption agency fees—including foreign adoption fees</t>
  </si>
  <si>
    <t>Access to an external elder care vendor - unsubsidized</t>
  </si>
  <si>
    <t>Baby blankets upon birth and adding to medical plan</t>
  </si>
  <si>
    <t>Charitable match,Commuter benefit(s),Company phone/laptop/tablet,Ergonomic/sit-stand workstations and desks,Onsite &amp; convenience benefits,Workplace flexibility</t>
  </si>
  <si>
    <t>Parking benefit or allowance,Transit,Shuttles to/from office,EV charging capabilities</t>
  </si>
  <si>
    <t>Facilities/Benefits</t>
  </si>
  <si>
    <t>Specific offering (company paid),Voluntary benefit (employee paid)</t>
  </si>
  <si>
    <t>Employee,Spouse or domestic partner</t>
  </si>
  <si>
    <t>Self-improvement or self-help online tool(s)</t>
  </si>
  <si>
    <t>Some items are taxable and others are non-taxable.</t>
  </si>
  <si>
    <t>Wellthy-eldercare navigation support</t>
  </si>
  <si>
    <t>3 Years</t>
  </si>
  <si>
    <t>$4000 cash benefit</t>
  </si>
  <si>
    <t>support for parents who have differently abled children</t>
  </si>
  <si>
    <t>Lump-sum payment (unrelated to life insurance),Services beyond EAP,Acceleration of benefits,Other, please specify:</t>
  </si>
  <si>
    <t>Survivor Income Benefit</t>
  </si>
  <si>
    <t>Flat amount</t>
  </si>
  <si>
    <t>Amount preset by company</t>
  </si>
  <si>
    <t>Spouse or domestic partner will receive monthly payments of 50% of your monthly base salary, up to $12,500, for a minimum of 3 years. Child will receive monthly payments of $1,000. If employee has more than one child, this amount will be split equally among them.</t>
  </si>
  <si>
    <t>Mental health services,Grief counseling</t>
  </si>
  <si>
    <t>COBRA</t>
  </si>
  <si>
    <t>Support to help with claim filing, notifying financial institutions, and government and credit agencies. Explaining how to assign insurance benefits to pay for funeral services.</t>
  </si>
  <si>
    <t>Office supplies,Internet</t>
  </si>
  <si>
    <t>Transportation team within the facilities organization</t>
  </si>
  <si>
    <t>Annually,5 years,10 years</t>
  </si>
  <si>
    <t>Referral through Employee Assistance Program,Referral by vendor other than Employee Assistance Program,Specific offering (company paid),Voluntary benefit (employee paid)</t>
  </si>
  <si>
    <t>Elder care referral,Childcare or daycare referral,Onsite critical incident support,Virtual critical incident support,Dedicated company counselor,Self-improvement or self-help online tool(s)</t>
  </si>
  <si>
    <t>$500 baby cash, baby swag</t>
  </si>
  <si>
    <t>Tissue purchase (egg, sperm) from tissue bank</t>
  </si>
  <si>
    <t>Wellthy, Financial payment for surviving dependents, continuation of paid health insurance</t>
  </si>
  <si>
    <t>Yes, we have a concierge partner within the life insurance company to provide one on one support for the surviving family.</t>
  </si>
  <si>
    <t>Charitable match,Commuter benefit(s),Company phone/laptop/tablet,Ergonomic/sit-stand workstations and desks,Green benefit(s),Onsite &amp; convenience benefits,Workplace flexibility</t>
  </si>
  <si>
    <t>Public transportation benefit or allowance,Shuttles to/from office,Shuttles between campus locations,Bicycling support</t>
  </si>
  <si>
    <t>Referral through Employee Assistance Program,Specific offering (company paid),Voluntary benefit (employee paid)</t>
  </si>
  <si>
    <t>Childcare or daycare referral,Onsite critical incident support,Dedicated company counselor,Self-improvement or self-help online tool(s)</t>
  </si>
  <si>
    <t>Adoption/surrogacy assistance payments are subject to Social Security and Medicare tax withholding, as well as any applicable state tax withholdings. The treatment of your benefits for federal income tax purposes varies by type of expense</t>
  </si>
  <si>
    <t>Legal or attorney fees,	Court fees,	Adoption agency fees—including foreign adoption fees,	Pre-adoption medical exams and immunizations not covered by insurance,	Medical treatment of child not covered by insurance,	Temporary foster care costs</t>
  </si>
  <si>
    <t>Access to an external elder care vendor - subsidized,Employee Assistance Program,Flexible Work Arrangements</t>
  </si>
  <si>
    <t>6 months of paid parental leave and Newborn kit.</t>
  </si>
  <si>
    <t>Rethink (third party vendor support)</t>
  </si>
  <si>
    <t>Lump-sum payment (unrelated to life insurance),Other, please specify:</t>
  </si>
  <si>
    <t>12 months of free COBRA</t>
  </si>
  <si>
    <t>$5000 condolence benefit</t>
  </si>
  <si>
    <t>Terminal illness - life insurance</t>
  </si>
  <si>
    <t>Active employee rates</t>
  </si>
  <si>
    <t>Survivor support concierge that coordinates benefits assistance including filing life insurance claim.</t>
  </si>
  <si>
    <t>Must get pre-approval,Accredited institution,Must be related to job,Must be related to company business</t>
  </si>
  <si>
    <t>Whichever items employees need for working from home successfully.</t>
  </si>
  <si>
    <t>extra day per year starting at year five. 20+ years receives additional 5 days.</t>
  </si>
  <si>
    <t>Pick gift from recognition store for service anniversary milestone.</t>
  </si>
  <si>
    <t>Restricted stock units (RSUs),Stock options</t>
  </si>
  <si>
    <t>100% acceleration of vesting upon rehire</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</si>
  <si>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Temporary foster care costs,	Immigration expenses relating to the adoption</t>
  </si>
  <si>
    <t>Rethink’s Parental Support</t>
  </si>
  <si>
    <t>Charitable match,Commuter benefit(s),Company phone/laptop/tablet,Ergonomic/sit-stand workstations and desks,Service award(s)</t>
  </si>
  <si>
    <t>HealthEquity</t>
  </si>
  <si>
    <t>Gifts from a catalog</t>
  </si>
  <si>
    <t>Legal or attorney fees,	Court fees,	Adoption agency fees—including foreign adoption fees,	Temporary foster care costs,	Translation services relating to the adoption,	Immigration expenses relating to the adoption,Other</t>
  </si>
  <si>
    <t>medical expenses related to the pregnancy and birth if not covered by insurance or another source</t>
  </si>
  <si>
    <t>Access to an external elder care vendor - subsidized,Flexible Work Arrangements</t>
  </si>
  <si>
    <t>Support through vendor partners</t>
  </si>
  <si>
    <t>Acceleration of benefits</t>
  </si>
  <si>
    <t>Stock vesting,401(k) vesting,Long-term incentive vesting</t>
  </si>
  <si>
    <t>varies depending on years of service</t>
  </si>
  <si>
    <t>Employees can choose from list of options</t>
  </si>
  <si>
    <t>Taxable if reimbursement exceeds IRS limit.</t>
  </si>
  <si>
    <t>Resource and Referral.</t>
  </si>
  <si>
    <t>Congratulatory gift box, New Parent Reintegration (30 days at Part Time schedule with Full time pay)  , Small Group Coaching for Returning back to Work, Breast Milk Shipping, Nursing Mothers Room (onsite), 12 week Paid Bonding leave</t>
  </si>
  <si>
    <t>Rethink, EAP, Health Plan provides unlimited autism coverage</t>
  </si>
  <si>
    <t>12 months paid CoBRA</t>
  </si>
  <si>
    <t>Financial Counselling</t>
  </si>
  <si>
    <t>Extended Fully Subsidized COBRA coverage from 6 to 12 months,</t>
  </si>
  <si>
    <t>Public transportation benefit or allowance,Shuttles between campus locations,Bicycling support,EV charging capabilities,Carpooling/vanpooling</t>
  </si>
  <si>
    <t>HR for Commuter Benefit  Corporate Services for the Rest</t>
  </si>
  <si>
    <t>Access to an external elder care vendor - subsidized,Employee Assistance Program,Flexible Work Arrangements,Paid Time Off</t>
  </si>
  <si>
    <t>Concierge Services</t>
  </si>
  <si>
    <t>Separate leave policy (e.g., bereavement, adoption, etc.),Pet insurance,Pet care or sitting</t>
  </si>
  <si>
    <t>ReThink</t>
  </si>
  <si>
    <t>Must get pre-approval,Accredited institution,College-level credit,Must be related to job,Must be related to company business,Other, please specify</t>
  </si>
  <si>
    <t>You must not be on a performance improvement plan (or written warning) or have been on one within the previous 90 days.</t>
  </si>
  <si>
    <t>Certificate programs are covered under the Tuition Assistance program if they are offered by an accredited institution that issues a pass/fail grade or a rating of completed and you receive college credit. Tests required for certification are NOT covered under Tuition Assistance but may be approved through your department from your department’s budget.</t>
  </si>
  <si>
    <t>Parking benefit or allowance,Public transportation benefit or allowance,Transit,Shuttles to/from office,Bicycling support,EV charging capabilities,Carpooling/vanpooling</t>
  </si>
  <si>
    <t>Workplace/Facilities</t>
  </si>
  <si>
    <t>All Employees are eligible regardless of hours worked.</t>
  </si>
  <si>
    <t>Referral assistance for in-home care and day care facilities</t>
  </si>
  <si>
    <t>Back-up care, webinars for special needs, Cleo</t>
  </si>
  <si>
    <t>Pay Cobra for 3 Months</t>
  </si>
  <si>
    <t>$5,000 – $9,999</t>
  </si>
  <si>
    <t>401(k) vesting</t>
  </si>
  <si>
    <t>Health &amp; Welfare</t>
  </si>
  <si>
    <t>nothing</t>
  </si>
  <si>
    <t>Environmental Health, Safety and Security</t>
  </si>
  <si>
    <t>Adoption assistance,Fertility assistance,Pet benefit(s)</t>
  </si>
  <si>
    <t>Legal or attorney fees</t>
  </si>
  <si>
    <t>Accredited institution,be related to company business</t>
  </si>
  <si>
    <t>Shuttles to/from office,Bicycling support,EV charging capabilities</t>
  </si>
  <si>
    <t>Workplace Solution Organization</t>
  </si>
  <si>
    <t>Job title</t>
  </si>
  <si>
    <t>Referral through Employee Assistance Program</t>
  </si>
  <si>
    <t>Access to an external elder care vendor - subsidized,Employee Assistance Program</t>
  </si>
  <si>
    <t>Support finding resources, care arrangement, care assistance, care giver support</t>
  </si>
  <si>
    <t>Pet insurance,Pet care or sitting</t>
  </si>
  <si>
    <t>We offer Rethink benefits to families. There are also services built into our medical and EAP plans.</t>
  </si>
  <si>
    <t>Services beyond EAP,Donation to non-profit or charity</t>
  </si>
  <si>
    <t>Grief counseling,Other</t>
  </si>
  <si>
    <t>financial</t>
  </si>
  <si>
    <t>1 – 3 months</t>
  </si>
  <si>
    <t>3 Months</t>
  </si>
  <si>
    <t>Home office set up (chair, desk, monitor, etc.),Internet</t>
  </si>
  <si>
    <t>Charitable match,Commuter benefit(s),Company phone/laptop/tablet,Onsite &amp; convenience benefits,Service award(s),Workplace flexibility</t>
  </si>
  <si>
    <t>Parking benefit or allowance,Public transportation benefit or allowance,Transit,Bicycling support,EV charging capabilities,Carpooling/vanpooling</t>
  </si>
  <si>
    <t>US Benefits and US Facilities team</t>
  </si>
  <si>
    <t>Elder care referral,Childcare or daycare referral,Onsite critical incident support,Self-improvement or self-help online tool(s)</t>
  </si>
  <si>
    <t>Legal or attorney fees,	Court fees,	Adoption agency fees—including foreign adoption fees,	Travel expenses including food and lodging while away from home,	Pre-adoption medical exams and immunizations not covered by insurance,	Medical treatment of child not covered by insurance</t>
  </si>
  <si>
    <t>Baby Blanket with Company Logo</t>
  </si>
  <si>
    <t>Parking benefit or allowance,Public transportation benefit or allowance,Shuttles between campus locations,Bicycling support,EV charging capabilities</t>
  </si>
  <si>
    <t>Travel and Employee Services manage shuttles: Facilities for charging stations. Benefits manages commuter benefit (pre/post tax commuter passes and parking) which has up to a $120 per month employer contribution available.</t>
  </si>
  <si>
    <t>Employee,Spouse or domestic partner,Children,Parents</t>
  </si>
  <si>
    <t>Parking benefit or allowance,Public transportation benefit or allowance,Transit,Shuttles to/from office</t>
  </si>
  <si>
    <t>Manager discretion,Certified accomodation-based</t>
  </si>
  <si>
    <t>10 days</t>
  </si>
  <si>
    <t>Eldercare provided through Bright Horizons and Care.com.</t>
  </si>
  <si>
    <t>2 Years</t>
  </si>
  <si>
    <t>Baby box of gifts including stuffed animal, an outfit, hat, teething toy, blanket.</t>
  </si>
  <si>
    <t>Pet insurance,Pet care or sitting,Discount perks</t>
  </si>
  <si>
    <t>Special needs support through Bright Horizons and medical plans.</t>
  </si>
  <si>
    <t>Acceleration of stock vesting</t>
  </si>
  <si>
    <t>Expenses that are eligible for reimbursement include coursework required for a degree and certification programs related to an employee’s current or next foreseeable position.</t>
  </si>
  <si>
    <t>Public transportation benefit or allowance,Transit,Shuttles to/from office,Shuttles between campus locations,Bicycling support,EV charging capabilities,Carpooling/vanpooling</t>
  </si>
  <si>
    <t>Workplace Services and Benefits Department</t>
  </si>
  <si>
    <t>Job-based,Employee preference</t>
  </si>
  <si>
    <t>Virtual critical incident support,Self-improvement or self-help online tool(s)</t>
  </si>
  <si>
    <t>Must get pre-approval,Accredited institution,College-level credit,Must be related to company business,Other, please specify</t>
  </si>
  <si>
    <t>must be related to the industry or job within the company, but not specifically to current job.</t>
  </si>
  <si>
    <t>pass testing for certification</t>
  </si>
  <si>
    <t>Public transportation benefit or allowance,Transit,Bicycling support,EV charging capabilities,Carpooling/vanpooling</t>
  </si>
  <si>
    <t>Elder care referral,Childcare or daycare referral,Onsite critical incident support,Virtual critical incident support,Dedicated company counselor,Convenience requests (e.g., tickets, realty information, etc.),Self-improvement or self-help online tool(s)</t>
  </si>
  <si>
    <t>Access to an external elder care vendor - subsidized,Paid Time Off</t>
  </si>
  <si>
    <t>company-branded onesie, free SNOO rental</t>
  </si>
  <si>
    <t>Parking benefit or allowance,Public transportation benefit or allowance,Transit,EV charging capabilities</t>
  </si>
  <si>
    <t>Benefits manages parking/public transit subsidy; Facilities manages EV charging</t>
  </si>
  <si>
    <t>No - but considering</t>
  </si>
  <si>
    <t>Employee Assistance Program,Other</t>
  </si>
  <si>
    <t>Counseling &amp; assistance locating eldercare providers</t>
  </si>
  <si>
    <t>Back Up care program includes Elder care back up coverage</t>
  </si>
  <si>
    <t>12 weeks paid birth &amp; adoption leave</t>
  </si>
  <si>
    <t>3 months paid COBRA</t>
  </si>
  <si>
    <t>Paid funeral expenses if team member death resulting from COVID</t>
  </si>
  <si>
    <t>Must get pre-approval,College-level credit,Must be related to job</t>
  </si>
  <si>
    <t>Carpooling/vanpooling</t>
  </si>
  <si>
    <t>Employee Programs Manager (a member of the Total Rewards COE team)</t>
  </si>
  <si>
    <t>Points which can be used to purchase products, services, or gift cards (third party vendor)</t>
  </si>
  <si>
    <t>Taxable, but grossed up</t>
  </si>
  <si>
    <t>All employees are eligible.</t>
  </si>
  <si>
    <t xml:space="preserve">Company-sponsored daycare not offered, but considering </t>
  </si>
  <si>
    <t>Resource and Referral assistance for eldercare needs and assessments, assisted living, etc.  Eldercare reimbursable as part of our wellbeing reimbursement programs.   Please note elder care days shown are up to four weeks (160 hours) paid at 100 percent of salary and an additional eight weeks (320 hours) of unpaid leave per leave year for a total of up to 12 weeks (480 hours) This is called Family Care Giver Leave, provides eligible employees with leave to help care for an immediate family member with a serious health condition. ​</t>
  </si>
  <si>
    <t>4 Years</t>
  </si>
  <si>
    <t>Yes, we have a home delivered Welcome Baby Box for all new parents with dependents 9 months and younger. This includes a letter as well as an assortment of items like a baby blanket created by a local nonprofit, logo'd onesie and beanie, thermometer and a few other misc items donated by our suppliers.</t>
  </si>
  <si>
    <t>We offer comprehensive ABA Therapy and a benefit via Rethink.</t>
  </si>
  <si>
    <t>All US employees but interns are eligible</t>
  </si>
  <si>
    <t>Tissue purchase (egg, sperm) from tissue bank,Tissue purchase (egg, sperm) from live donor,Tissue purchase (egg, sperm) and embryo fertilization/transfer,Other</t>
  </si>
  <si>
    <t>Expenses related to a surrogacy arrangement, such as fees associated with hiring a surrogate, medical costs related to the surrogate’s pregnancy, screening fees for the surrogate, and legal fees associated with a surrogacy contract and establishment of parentage    Any other reasonable and customary expense</t>
  </si>
  <si>
    <t>COBRA subsidy for one year</t>
  </si>
  <si>
    <t>Bonus payment</t>
  </si>
  <si>
    <t>Full amount</t>
  </si>
  <si>
    <t>More than 1 year</t>
  </si>
  <si>
    <t>Tax services</t>
  </si>
  <si>
    <t>N/A</t>
  </si>
  <si>
    <t>Must get pre-approval</t>
  </si>
  <si>
    <t>Below C</t>
  </si>
  <si>
    <t>Real Estate &amp; Facilities</t>
  </si>
  <si>
    <t>Cash,Gift/Experience,Other</t>
  </si>
  <si>
    <t>$20 per year of Service</t>
  </si>
  <si>
    <t>Crystal</t>
  </si>
  <si>
    <t>Option to choose Cash OR Crystal OR Cause donation with company match.</t>
  </si>
  <si>
    <t>Work 24 hours or more a week</t>
  </si>
  <si>
    <t>partner with a 3rd party to provide support with life insurance and other related support and company pays for 2 months of company paid COBRA for eligible dependents.</t>
  </si>
  <si>
    <t>Workplace Resources</t>
  </si>
  <si>
    <t>Manager discretion,Employee preference,Certified accomodation-based</t>
  </si>
  <si>
    <t>Full-time employees only,Other</t>
  </si>
  <si>
    <t>Dependents of Full time benefits eligible employees</t>
  </si>
  <si>
    <t>Working 24+ hours per week</t>
  </si>
  <si>
    <t>LSW guided care, backup care</t>
  </si>
  <si>
    <t>Pet care or sitting,Pet friendly campus</t>
  </si>
  <si>
    <t>FSA for dependent care,FSA for healthcare</t>
  </si>
  <si>
    <t>Legal or attorney fees,	Court fees,	Adoption agency fees—including foreign adoption fees,	Travel expenses including food and lodging while away from home,	Temporary foster care costs,Other</t>
  </si>
  <si>
    <t>Counseling services for parents</t>
  </si>
  <si>
    <t>Certificate programs must be approved by your manager and do not need to be affiliated with a college or university.    Technical language courses if not part of an overall degree  Upskilling courses directly related to employee’s current job or development plan  Professional Accreditations (i.e., Amazon, Google, Salesforce, Microsoft etc.)</t>
  </si>
  <si>
    <t>MyChoice Accounts</t>
  </si>
  <si>
    <t>nothing is offered at this time</t>
  </si>
  <si>
    <t>Rethink</t>
  </si>
  <si>
    <t>Lump-sum payment (unrelated to life insurance),Funeral/Burial payment,Acceleration of benefits,Other, please specify:</t>
  </si>
  <si>
    <t>COBRA payment</t>
  </si>
  <si>
    <t>12 month's of total Compensation subject to applicable local tax law</t>
  </si>
  <si>
    <t>Lump-sum payment</t>
  </si>
  <si>
    <t>Yes, we offer a $500 carryover</t>
  </si>
  <si>
    <t>monthly payment</t>
  </si>
  <si>
    <t>Selection from gifts, experience or gift cards from award store.</t>
  </si>
  <si>
    <t>No, benefit is unlimited</t>
  </si>
  <si>
    <t>Access to an external elder care vendor - unsubsidized,Employee Assistance Program,Flexible Work Arrangements</t>
  </si>
  <si>
    <t>15 days back up care</t>
  </si>
  <si>
    <t>Referral</t>
  </si>
  <si>
    <t>Baby blanket</t>
  </si>
  <si>
    <t>Pet insurance,Pet care or sitting,Discount perks,Pet friendly campus</t>
  </si>
  <si>
    <t>Agency Fees,Expenses incurred by surrogate</t>
  </si>
  <si>
    <t>Internal support &amp; through EAP/grief counseling</t>
  </si>
  <si>
    <t>Benefits team. The company commuter subsidy has been suspended due to the pandemic. Only essential workers are eligible for the company subsidy while in Pandemic.</t>
  </si>
  <si>
    <t>Elder care referral,Childcare or daycare referral,Virtual critical incident support,Dedicated company counselor,Convenience requests (e.g., tickets, realty information, etc.),Self-improvement or self-help online tool(s)</t>
  </si>
  <si>
    <t>Maternity kit for medical members to engage them in the maternity support program benefit.</t>
  </si>
  <si>
    <t>Parking benefit or allowance,Public transportation benefit or allowance,Transit,Shuttles to/from office,EV charging capabilities</t>
  </si>
  <si>
    <t>Facilities Department &amp; Benefits</t>
  </si>
  <si>
    <t>Employee,Spouse or domestic partner,Parents,Parents-in-law,Step parents</t>
  </si>
  <si>
    <t>Access to an external elder care vendor - unsubsidized,Employee Assistance Program</t>
  </si>
  <si>
    <t>rethink</t>
  </si>
  <si>
    <t>Financial advisory services,Other, please specify:</t>
  </si>
  <si>
    <t>cobra subsidy</t>
  </si>
  <si>
    <t>Must be full-time employee working 30 hours or more a week</t>
  </si>
  <si>
    <t>1:1 guidance on things like pregnancy and prenatal prep, postpartum life, breastfeeding, newborn parenting, sleep, sibling dynamics, and returning to work - offered through Cleo's network of baby and birth-related experts.</t>
  </si>
  <si>
    <t>none at this time</t>
  </si>
  <si>
    <t>ViaBenefits</t>
  </si>
  <si>
    <t>Referral through Employee Assistance Program,Referral by vendor other than Employee Assistance Program</t>
  </si>
  <si>
    <t>Onsite critical incident support,Self-improvement or self-help online tool(s)</t>
  </si>
  <si>
    <t>Charitable match,Commuter benefit(s),Company phone/laptop/tablet,Ergonomic/sit-stand workstations and desks,Green benefit(s),Onsite &amp; convenience benefits</t>
  </si>
  <si>
    <t>Public transportation benefit or allowance,Shuttles to/from office,Shuttles between campus locations,Bicycling support,EV charging capabilities,Carpooling/vanpooling</t>
  </si>
  <si>
    <t>Facilities team</t>
  </si>
  <si>
    <t>All EEs working 24+ hours per week</t>
  </si>
  <si>
    <t>Must be actively at work at time of adoption,Other</t>
  </si>
  <si>
    <t>Work 24+ hours per week</t>
  </si>
  <si>
    <t>Adoption of your domestic partner’s child</t>
  </si>
  <si>
    <t>Access to an external elder care vendor - subsidized,Access to an external elder care vendor - unsubsidized,Employee Assistance Program</t>
  </si>
  <si>
    <t>Give referrals</t>
  </si>
  <si>
    <t>Cleo provides parents with personalized support.  UrbanSitter credits</t>
  </si>
  <si>
    <t>Rethink, Wellthy</t>
  </si>
  <si>
    <t>work 24+ hours per week</t>
  </si>
  <si>
    <t>Must be actively at work at time of surrogacy,Other</t>
  </si>
  <si>
    <t>Legal fees associated with the surrogacy process Egg or sperm donor agency fees Surrogacy agency fees Sperm or egg tissue purchased from donor agency Gestational carrier, egg or sperm donor screening costs Egg or sperm retrieval fees and medical costs not covered by medical insurance Donor fertility (i.e. IVF) costs and fees not covered by another source Egg or sperm donation shipping and transport fees Medical expenses for the surrogate not covered by another source</t>
  </si>
  <si>
    <t>Charitable match,Commuter benefit(s),Company phone/laptop/tablet,Ergonomic/sit-stand workstations and desks,Onsite &amp; convenience benefits</t>
  </si>
  <si>
    <t>Parking benefit or allowance,Public transportation benefit or allowance,Transit,Carpooling/vanpooling</t>
  </si>
  <si>
    <t>Counseling or referral assistance</t>
  </si>
  <si>
    <t>Parking benefit or allowance,Public transportation benefit or allowance,Bicycling support,Carpooling/vanpooling</t>
  </si>
  <si>
    <t>Health Equity</t>
  </si>
  <si>
    <t>Non-Taxable up to the IRS limit with the remaining amount taxable.</t>
  </si>
  <si>
    <t>30 or more hours per week</t>
  </si>
  <si>
    <t>Managers can have a gift basket sent</t>
  </si>
  <si>
    <t>work 30 or more hours per week</t>
  </si>
  <si>
    <t>The Benefits Team administers our parking and transportation reimbursement program (Edenred is our current vendor). Shuttles and charging stations are managed by Facilities.</t>
  </si>
  <si>
    <t>Counseling &amp; educational support before and after adoption</t>
  </si>
  <si>
    <t>On-site,Off-site</t>
  </si>
  <si>
    <t>Access to an external elder care vendor - subsidized,Employee Assistance Program,Other</t>
  </si>
  <si>
    <t>Back-up Elder Care and Concierge support for resources</t>
  </si>
  <si>
    <t>Find providers, schedule appointments, and arrange transportation Source, vet, and interview in-home aides and companions Research and recommend long-term care options Manage prescription refills, handle prior authorizations, and more!</t>
  </si>
  <si>
    <t>Oneberrie gift bundle that includes a hands free towel, bath swaddle, washcloth, Bare Lotion made with natural ingredients, and more.</t>
  </si>
  <si>
    <t>Travel expenses for intended parents, egg or sperm donation shipping and transport fees, gestational carrier, egg or sperm donor compensation and screening</t>
  </si>
  <si>
    <t>Some examples are: Recognized certifications in programming languages for IT professionals (i.e. Java, SQL, Javascript, C++, Python), Product Management Certification, CIPD or SHRM for HR professionals, Prince 2 and/or Agile for project managers</t>
  </si>
  <si>
    <t>WageWorks/Health Equity</t>
  </si>
  <si>
    <t>Gift/Experience,Other</t>
  </si>
  <si>
    <t>Desktop boogie board</t>
  </si>
  <si>
    <t>Cash contribution to charity of your choice</t>
  </si>
  <si>
    <t>Childcare,Fertility assistance,New parent gifts/benefits,Pet benefit(s)</t>
  </si>
  <si>
    <t>baby blanket and baby robe</t>
  </si>
  <si>
    <t>varies</t>
  </si>
  <si>
    <t>Elder care referral,Childcare or daycare referral,Onsite critical incident support,Virtual critical incident support,Dedicated company counselor</t>
  </si>
  <si>
    <t>Work 30 hours per week and actively at work (or on approved leave)</t>
  </si>
  <si>
    <t>Legal or attorney fees,	Court fees,	Adoption agency fees—including foreign adoption fees,	Travel expenses including food and lodging while away from home,	Pre-adoption medical exams and immunizations not covered by insurance</t>
  </si>
  <si>
    <t>Financial assistance,Access to an external elder care vendor - subsidized,Employee Assistance Program,Flexible Work Arrangements,Paid Time Off</t>
  </si>
  <si>
    <t>Advice and resources</t>
  </si>
  <si>
    <t>EAP, special EAP for children- Brightline, UrbanSitter, typical medical insurance for dependents over 26 if certified disabled</t>
  </si>
  <si>
    <t>Work 30 hours per week and active at work (or on approved leave)</t>
  </si>
  <si>
    <t>Survivor benefits,Will and estate planning</t>
  </si>
  <si>
    <t>life insurance when employee is still alive</t>
  </si>
  <si>
    <t>TransAmerica Universal Life with Accelerated Death Benefit</t>
  </si>
  <si>
    <t>Must get pre-approval,Accredited institution,College-level credit</t>
  </si>
  <si>
    <t>Benefits Admin vendor</t>
  </si>
  <si>
    <t>Cash,Additional time off</t>
  </si>
  <si>
    <t>5 days</t>
  </si>
  <si>
    <t>Adoption assistance,Eldercare</t>
  </si>
  <si>
    <t>24 hours or more a week</t>
  </si>
  <si>
    <t>Legal or attorney fees,	Court fees,	Adoption agency fees—including foreign adoption fees,	Temporary foster care costs</t>
  </si>
  <si>
    <t>Must get pre-approval,Accredited institution,College-level credit,Must be related to company business</t>
  </si>
  <si>
    <t>Parking benefit or allowance,Public transportation benefit or allowance,Transit,Bicycling support,EV charging capabilities</t>
  </si>
  <si>
    <t>Facilities and Benefits share the role.  Facilities manages the space options for EV charging and bicycle storage while Benefits accesses commuter benefit program (via FSA vendor) to provide employees use of pre-tax dollars to pay for parking/public transportation.</t>
  </si>
  <si>
    <t>Elder care locator through Lyra</t>
  </si>
  <si>
    <t>Discount perks,Other</t>
  </si>
  <si>
    <t>Pet care locator through EAP</t>
  </si>
  <si>
    <t>Rethink, support for parents and caregivers of children with developmental disabilities, behavior challenges, or learning differences</t>
  </si>
  <si>
    <t>Flat amount,Bonus payment,Other</t>
  </si>
  <si>
    <t>12 month paid COBRA premiums</t>
  </si>
  <si>
    <t>6 months of base salary after date of death</t>
  </si>
  <si>
    <t>Acceleration of outstanding equity awards</t>
  </si>
  <si>
    <t>Courses for a professional/technical certification</t>
  </si>
  <si>
    <t>Parking benefit or allowance,Public transportation benefit or allowance,Transit,Shuttles to/from office,Shuttles between campus locations,EV charging capabilities</t>
  </si>
  <si>
    <t>Benefits - Commuter FSAs  Workplace Services - Shuttles, EV charging</t>
  </si>
  <si>
    <t>Elder care referral,Childcare or daycare referral,Dedicated company counselor,Self-improvement or self-help online tool(s)</t>
  </si>
  <si>
    <t>Non-taxable up to IRS limits.</t>
  </si>
  <si>
    <t>Legal or attorney fees,	Court fees,	Adoption agency fees—including foreign adoption fees,	Travel expenses including food and lodging while away from home,	Temporary foster care costs,	Translation services relating to the adoption,	Immigration expenses relating to the adoption</t>
  </si>
  <si>
    <t>Access to an external elder care vendor - subsidized,Access to an external elder care vendor - unsubsidized</t>
  </si>
  <si>
    <t>New baby branded onesie.</t>
  </si>
  <si>
    <t>Pet insurance,Pet care or sitting,Discount perks,Other</t>
  </si>
  <si>
    <t>24/7 veterinary helpline</t>
  </si>
  <si>
    <t>Rethink Benefits</t>
  </si>
  <si>
    <t>12 months of continued benefits at 100% coverage.</t>
  </si>
  <si>
    <t>Benefits manages commuter program. Facilities manages onsite parking property.</t>
  </si>
  <si>
    <t>$250 / $500 / $700 / $1,000 / $1,300 / $1,600</t>
  </si>
  <si>
    <t>Employee,Spouse or domestic partner,Children,Parents,Parents-in-law</t>
  </si>
  <si>
    <t>Note: the adoption assistance of $10K is per year, not per child.</t>
  </si>
  <si>
    <t>The benefit is that in-home assistance is provided if an elder parent needs backup care, for a reduced hourly cost.</t>
  </si>
  <si>
    <t>Pet insurance,Discount perks,Pet friendly campus</t>
  </si>
  <si>
    <t>Pre-approval by manager is expected.</t>
  </si>
  <si>
    <t>Benefits Team except for shuttle between locations and EV charging.</t>
  </si>
  <si>
    <t>Critical illness insurance,Hospital indemnity</t>
  </si>
  <si>
    <t>Legal or attorney fees,	Court fees,	Adoption agency fees—including foreign adoption fees,	Travel expenses including food and lodging while away from home,	Temporary foster care costs,	Translation services relating to the adoption,	Immigration expenses relating to the adoption,Other</t>
  </si>
  <si>
    <t>application fees, home studies, consultant/specialist fees, counseling, costs incurred by registered domestic partner to adopt his/her partner's children, visa and passport fees for adopted children</t>
  </si>
  <si>
    <t>Home office set up (chair, desk, monitor, etc.),Internet,Electricity</t>
  </si>
  <si>
    <t>Commuter benefit(s),Ergonomic/sit-stand workstations and desks,Workplace flexibility</t>
  </si>
  <si>
    <t>Parking benefit or allowance,Transit,Bicycling support</t>
  </si>
  <si>
    <t>Optum</t>
  </si>
  <si>
    <t>Elder care referral,Childcare or daycare referral,Virtual critical incident support,Self-improvement or self-help online tool(s)</t>
  </si>
  <si>
    <t>Adoption assistance,Surrogacy assistance</t>
  </si>
  <si>
    <t>gross up to cover the taxes</t>
  </si>
  <si>
    <t>all employees are eligible</t>
  </si>
  <si>
    <t>gross up to cover taxes</t>
  </si>
  <si>
    <t>Commuter benefit(s),Ergonomic/sit-stand workstations and desks</t>
  </si>
  <si>
    <t>At headquarters,In major metropolitan areas</t>
  </si>
  <si>
    <t>Parking benefit or allowance,Public transportation benefit or allowance,Transit,Shuttles to/from office,EV charging capabilities,Carpooling/vanpooling</t>
  </si>
  <si>
    <t>Benefits team.</t>
  </si>
  <si>
    <t>Access to an external elder care vendor - unsubsidized,Flexible Work Arrangements</t>
  </si>
  <si>
    <t>2 months salary as a gift to the family, not taxable</t>
  </si>
  <si>
    <t>6 months of COBRA premium</t>
  </si>
  <si>
    <t>We added financial planning survivor support benefit.  Increased the family gift from 1 month to 2 months.</t>
  </si>
  <si>
    <t>Must require something to pass like an exam.  Can not be a certificate for showing up.</t>
  </si>
  <si>
    <t>Wageworks for pre tax public transit and parking</t>
  </si>
  <si>
    <t>Points where employee selects the gift.  Point increase for years of service.  First gift at 3 years</t>
  </si>
  <si>
    <t>Working remotely stipend/reimbursement</t>
  </si>
  <si>
    <t>Onsite &amp; convenience benefits,Service award(s),Workplace flexibility</t>
  </si>
  <si>
    <t>Only for 10 year, additional 10 days</t>
  </si>
  <si>
    <t>Cancer,Kidney failure</t>
  </si>
  <si>
    <t>Childcare,Eldercare,Fertility assistance,New parent gifts/benefits,Survivor support</t>
  </si>
  <si>
    <t>Box with: onesie, bib, sippy cup, $50 Gift Card</t>
  </si>
  <si>
    <t>Flowers to family, services provided by Survivor Outreach Services</t>
  </si>
  <si>
    <t>The Commuter Team</t>
  </si>
  <si>
    <t>FTE</t>
  </si>
  <si>
    <t>Parking benefit or allowance,Public transportation benefit or allowance,Shuttles to/from office</t>
  </si>
  <si>
    <t>Benefits Team</t>
  </si>
  <si>
    <t>wooden block to mark the number of years you have been at the company</t>
  </si>
  <si>
    <t>Access to an external elder care vendor - unsubsidized,Other</t>
  </si>
  <si>
    <t>needs assessment, resource library</t>
  </si>
  <si>
    <t>Benefits team, For EV Charging - Facilities Team</t>
  </si>
  <si>
    <t>left undetermined and employee responsibility to determine taxability of benefit</t>
  </si>
  <si>
    <t>Financial assistance,Access to an external elder care vendor - subsidized,Employee Assistance Program,Flexible Work Arrangements</t>
  </si>
  <si>
    <t>In addition to providing ongoing and backup care for aging adults, LifeCare offers:  Complimentary in-home assessments conducted to determine if an aging adult could benefit from home safety modifications, home care or a relocation. Post-hospitalization assessments to determine the needs of an adult transferring to a facility or home after an injury or illness. Facility review to help families evaluate assisted living or retirement facilities for adults who can no longer live at home.</t>
  </si>
  <si>
    <t>Pet care or sitting,Discount perks</t>
  </si>
  <si>
    <t>EAP support and Caregiving Support (LifeCare)</t>
  </si>
  <si>
    <t xml:space="preserve">Court costs, legal costs, and attorney s fees   U.S.-based adoption and surrogacy agency fees   Travel expenses for the Intended Parents or gestational carrier specifically related to the adoption or surrogacy occurrence   Egg/sperm donation agency fees  </t>
  </si>
  <si>
    <t>Non-taxable for those with an underlying diagnosis only</t>
  </si>
  <si>
    <t>accrued annual bonus</t>
  </si>
  <si>
    <t>Funeral planning,Will and estate planning</t>
  </si>
  <si>
    <t>Company and survivors share the cost</t>
  </si>
  <si>
    <t>Accelerated Benefits Option9 If you become terminally ill and are diagnosed with 12 months or less to live, you have the option to receive up to 80% of your Life insurance proceeds not to exceed $500,000.</t>
  </si>
  <si>
    <t>access to grief counseling through two programs: the Employee Assistance Program (EAP) and MetLife.</t>
  </si>
  <si>
    <t>Must get pre-approval,Accredited institution,College-level credit,Must be related to job,Other, please specify</t>
  </si>
  <si>
    <t>• Professional Certification or License – examples include: o Information Services - MCSE, MCP o Human Resources - PHR, SPHR o Finance - CPA</t>
  </si>
  <si>
    <t>Wageworks</t>
  </si>
  <si>
    <t>catalog of gifts is offered</t>
  </si>
  <si>
    <t>Title/Level based</t>
  </si>
  <si>
    <t>Legal or attorney fees,	Court fees,	Adoption agency fees—including foreign adoption fees,	Travel expenses including food and lodging while away from home,	Pre-adoption medical exams and immunizations not covered by insurance,	Medical treatment of child not covered by insurance,	Immigration expenses relating to the adoption</t>
  </si>
  <si>
    <t>$250 New Baby gift</t>
  </si>
  <si>
    <t>Lump-sum payment (unrelated to life insurance),Donation to non-profit or charity,Acceleration of benefits,Other, please specify:</t>
  </si>
  <si>
    <t>Three month COBRA premium subsidy</t>
  </si>
  <si>
    <t>Bonus payment,Additional salary payout</t>
  </si>
  <si>
    <t>Three months of base or OTE if applicable</t>
  </si>
  <si>
    <t>$10,000 or more</t>
  </si>
  <si>
    <t>Certifications must be job related or technology industries. Anything else is not approved</t>
  </si>
  <si>
    <t>Internet,Other, please specify</t>
  </si>
  <si>
    <t>Can be used for what ever the employee wishes</t>
  </si>
  <si>
    <t>Parking benefit or allowance,Transit,Shuttles to/from office,Shuttles between campus locations,Bicycling support,EV charging capabilities,Carpooling/vanpooling</t>
  </si>
  <si>
    <t>Real Estate and Workplace team</t>
  </si>
  <si>
    <t>Class / course fee to attain professional certifications are covered but not the membership fee (if applicable).   Courses, certificate, or degree programs that increase your job effectiveness or that enhance your qualifications and standing in your current professional area. Courses must be taken through a regionally or nationally accredited institution, or accredited affiliated school if a local institution does not offer a course or program. Courses that are offered thru a Massive Open Online Course (MOOC) platform may also be eligible if they increase job effectiveness or enhance qualifications.</t>
  </si>
  <si>
    <t>HR Shared Services along with Benefits</t>
  </si>
  <si>
    <t>Legal or attorney fees,	Court fees,	Adoption agency fees—including foreign adoption fees,	Translation services relating to the adoption,	Immigration expenses relating to the adoption</t>
  </si>
  <si>
    <t>$75 reimbursement</t>
  </si>
  <si>
    <t>Welcome baby kit with company branded onesie</t>
  </si>
  <si>
    <t>Separate leave policy (e.g., bereavement, adoption, etc.),Pet insurance,Discount perks,Pet friendly campus</t>
  </si>
  <si>
    <t>Paid COBRA for 12 months</t>
  </si>
  <si>
    <t>401k, medical</t>
  </si>
  <si>
    <t>WageWorks manages commuter benefits.</t>
  </si>
  <si>
    <t>Work 16 or more a week</t>
  </si>
  <si>
    <t>DayOne Baby's Care Packages - A collection of lactation, comfort, and hygiene products, carefully selected by the DayOne Baby Team of nurses, lactation consultants and working parents.</t>
  </si>
  <si>
    <t>Pet insurance,Other</t>
  </si>
  <si>
    <t>Pet bereavement is part of our global bereavement policy</t>
  </si>
  <si>
    <t>Work 16 hours or more a week</t>
  </si>
  <si>
    <t>Home office set up (chair, desk, monitor, etc.),Mobile phone,Internet</t>
  </si>
  <si>
    <t>WageWorks</t>
  </si>
  <si>
    <t>Elder care referral,Childcare or daycare referral,Onsite critical incident support,Virtual critical incident support</t>
  </si>
  <si>
    <t>Q8.1.3</t>
  </si>
  <si>
    <t>Q8.1.4</t>
  </si>
  <si>
    <t>Q8.1.5_1</t>
  </si>
  <si>
    <t>Q8.1.5_2</t>
  </si>
  <si>
    <t>Q8.1.5_3</t>
  </si>
  <si>
    <t>Q8.1.5_4</t>
  </si>
  <si>
    <t>Q8.1.5_5</t>
  </si>
  <si>
    <t>Q8.1.5_6</t>
  </si>
  <si>
    <t>Q8.1.5_7</t>
  </si>
  <si>
    <t>Q8.1.5_8</t>
  </si>
  <si>
    <t>Q8.1.5_9</t>
  </si>
  <si>
    <t>Q8.1.5_10</t>
  </si>
  <si>
    <t>Q8.1.5_11</t>
  </si>
  <si>
    <t>Q8.1.5_12</t>
  </si>
  <si>
    <t>Q8.1.5_13</t>
  </si>
  <si>
    <t>Q8.1.5_14</t>
  </si>
  <si>
    <t>Q8.1.5_15</t>
  </si>
  <si>
    <t>Q8.1.5_16</t>
  </si>
  <si>
    <t>Q8.1.5_17</t>
  </si>
  <si>
    <t>Q8.1.5_18</t>
  </si>
  <si>
    <t>Q8.1.5_19</t>
  </si>
  <si>
    <t>Q8.1.5_20</t>
  </si>
  <si>
    <t>Q8.1.5_21</t>
  </si>
  <si>
    <t>Q8.1.6</t>
  </si>
  <si>
    <t>Q8.1.7</t>
  </si>
  <si>
    <t>Q8.1.8</t>
  </si>
  <si>
    <t>Q8.1.10</t>
  </si>
  <si>
    <t>Q8.1.11</t>
  </si>
  <si>
    <t>Q8.1.12</t>
  </si>
  <si>
    <t>Q8.1.13</t>
  </si>
  <si>
    <t>Q8.1.14</t>
  </si>
  <si>
    <t>Q8.2.2</t>
  </si>
  <si>
    <t>Q8.2.3</t>
  </si>
  <si>
    <t>Q8.2.4</t>
  </si>
  <si>
    <t>Q8.2.5</t>
  </si>
  <si>
    <t>Q8.2.6</t>
  </si>
  <si>
    <t>Q8.2.7</t>
  </si>
  <si>
    <t>Q8.2.8</t>
  </si>
  <si>
    <t>Q8.2.9</t>
  </si>
  <si>
    <t>Q8.2.10</t>
  </si>
  <si>
    <t>Q8.2.11_1</t>
  </si>
  <si>
    <t>Q8.2.11_2</t>
  </si>
  <si>
    <t>Q8.2.11_3</t>
  </si>
  <si>
    <t>Q8.2.11_4</t>
  </si>
  <si>
    <t>Q8.2.11_5</t>
  </si>
  <si>
    <t>Q8.2.11_6</t>
  </si>
  <si>
    <t>Q8.3.2</t>
  </si>
  <si>
    <t>Q8.3.3</t>
  </si>
  <si>
    <t>Q8.3.4</t>
  </si>
  <si>
    <t>Q8.3.5</t>
  </si>
  <si>
    <t>Q8.3.6_1</t>
  </si>
  <si>
    <t>Q8.3.6_2</t>
  </si>
  <si>
    <t>Q8.3.6_3</t>
  </si>
  <si>
    <t>Q8.3.6_4</t>
  </si>
  <si>
    <t>Q8.3.6_5</t>
  </si>
  <si>
    <t>Q8.3.6_6</t>
  </si>
  <si>
    <t>Q8.4.2</t>
  </si>
  <si>
    <t>Q8.4.3</t>
  </si>
  <si>
    <t>Q8.4.4</t>
  </si>
  <si>
    <t>Q8.4.5</t>
  </si>
  <si>
    <t>Q8.4.6</t>
  </si>
  <si>
    <t>Q8.4.7_1</t>
  </si>
  <si>
    <t>Q8.4.7_2</t>
  </si>
  <si>
    <t>Q8.4.7_3</t>
  </si>
  <si>
    <t>Q8.4.7_4</t>
  </si>
  <si>
    <t>Q8.4.7_5</t>
  </si>
  <si>
    <t>Q8.4.7_6</t>
  </si>
  <si>
    <t>Q8.5.2</t>
  </si>
  <si>
    <t>Q8.5.3</t>
  </si>
  <si>
    <t>Q8.5.4</t>
  </si>
  <si>
    <t>Q8.5.5</t>
  </si>
  <si>
    <t>Q8.5.6_1</t>
  </si>
  <si>
    <t>Q8.5.6_2</t>
  </si>
  <si>
    <t>Q8.5.6_3</t>
  </si>
  <si>
    <t>Q8.5.6_4</t>
  </si>
  <si>
    <t>Q8.5.6_5</t>
  </si>
  <si>
    <t>Q8.5.6_6</t>
  </si>
  <si>
    <t>Q8.5.7</t>
  </si>
  <si>
    <t>Q8.5.8</t>
  </si>
  <si>
    <t>Q8.6.2</t>
  </si>
  <si>
    <t>Q8.6.3</t>
  </si>
  <si>
    <t>Q8.6.4</t>
  </si>
  <si>
    <t>Q8.6.5_1</t>
  </si>
  <si>
    <t>Q8.6.5_2</t>
  </si>
  <si>
    <t>Q8.6.5_3</t>
  </si>
  <si>
    <t>Q8.6.5_4</t>
  </si>
  <si>
    <t>Q8.6.5_5</t>
  </si>
  <si>
    <t>Q8.6.5_6</t>
  </si>
  <si>
    <t>Q8.7.2</t>
  </si>
  <si>
    <t>Q8.7.3</t>
  </si>
  <si>
    <t>Q8.7.4</t>
  </si>
  <si>
    <t>Q8.7.5</t>
  </si>
  <si>
    <t>Q8.7.6</t>
  </si>
  <si>
    <t>Q8.7.7</t>
  </si>
  <si>
    <t>Q8.8.2</t>
  </si>
  <si>
    <t xml:space="preserve">We don't have any on-site health clinics </t>
  </si>
  <si>
    <t>We don't have any near-site health clinic(s)</t>
  </si>
  <si>
    <t>Transgender</t>
  </si>
  <si>
    <t>Counseling or psychotherapy,Gender dysphoria assessment,Hormone therapy,Voice or communication therapy,Surgery to change primary/secondary sex characteristics,Cosmetic or aesthetic surgery,Sperm or egg preservation and storage,Disability (short/long-term) benefits,Postoperative care,Follow-up care</t>
  </si>
  <si>
    <t>Require the patient to be 18+ before surgery is approved,Require that the individual live as the "new gender" for a specific amount of time prior to approving surgery,Require that there be at least two physicians in agreement about the plan in order to move forward with the surgery</t>
  </si>
  <si>
    <t>Palliative care focuses on relief from physical suffering. It can be associated with hospice (end-of-life) care, but is also provided for people living with a chronic illness.</t>
  </si>
  <si>
    <t>Applied behavioral analysis (ABA)</t>
  </si>
  <si>
    <t>Certified Nurse Midwives (CNM)</t>
  </si>
  <si>
    <t>No doula coverage provided</t>
  </si>
  <si>
    <t>Cover CNM sevices at licensed birth center only. (No home birth coverage.) No changes being considered.</t>
  </si>
  <si>
    <t>Preventive Diabetes support</t>
  </si>
  <si>
    <t>Gender dysphoria</t>
  </si>
  <si>
    <t>Counseling or psychotherapy,Gender dysphoria assessment,Hormone therapy,Voice or communication therapy,Surgery to change primary/secondary sex characteristics</t>
  </si>
  <si>
    <t>Require the patient to be 18+ before surgery is approved</t>
  </si>
  <si>
    <t>Care which controls pain and relieves symptoms, but does not cure and is appropriate for the illness.</t>
  </si>
  <si>
    <t>Applied behavioral analysis (ABA),Art,Early start denver model (ESDM)</t>
  </si>
  <si>
    <t>If they are in network they are covered.</t>
  </si>
  <si>
    <t>We implemented Catapult this year.  This is a mail order preventive care process where the participant receives a kit in the mail.  They perform a few tests and returns the kit to Catapult.  They then meet with a nurse to review the results.</t>
  </si>
  <si>
    <t>Counseling or psychotherapy,Gender dysphoria assessment,Hormone therapy,Voice or communication therapy,Surgery to change primary/secondary sex characteristics,Cosmetic or aesthetic surgery,Sperm or egg preservation and storage,Disability (short/long-term) benefits,Travel/lodging for patient and travel partner,Postoperative care,Follow-up care,Return to work support</t>
  </si>
  <si>
    <t>Require the patient to be 18+ before surgery is approved,Offer the option of a waiver/release for individuals under 18 to receive the surgery,Require that the individual live as the "new gender" for a specific amount of time prior to approving surgery,Require that there be at least two physicians in agreement about the plan in order to move forward with the surgery,Allow for the reversal of previous gender dysphoria surgery services</t>
  </si>
  <si>
    <t>Pain control and symptom relief, but does not cure</t>
  </si>
  <si>
    <t>None - autism treatments/services are not covered</t>
  </si>
  <si>
    <t>Require the patient to be 18+ before surgery is approved,Require that the individual live as the "new gender" for a specific amount of time prior to approving surgery</t>
  </si>
  <si>
    <t>Possibly</t>
  </si>
  <si>
    <t xml:space="preserve">On-site  health clinic(s) in place; not planning more </t>
  </si>
  <si>
    <t>Covered - better than health plan</t>
  </si>
  <si>
    <t>Covered - same as health plan</t>
  </si>
  <si>
    <t>Counseling or psychotherapy,Gender dysphoria assessment,Hormone therapy,Voice or communication therapy,Surgery to change primary/secondary sex characteristics,Cosmetic or aesthetic surgery,Disability (short/long-term) benefits,Travel/lodging for patient and travel partner</t>
  </si>
  <si>
    <t>possibly</t>
  </si>
  <si>
    <t>genetic testing is continuing to be reviewed as well as enhanced behavioral healthcare and musculoskeletal care</t>
  </si>
  <si>
    <t>Standard claim processing (network provider)</t>
  </si>
  <si>
    <t>Near-site health clinic(s) in place; not planning more</t>
  </si>
  <si>
    <t>Gender Affirming Surgery</t>
  </si>
  <si>
    <t>This is a benefit covered under Hospice, designed to provide palliative (pain relief) and supportive care to terminally ill people and supportive care to their families.  This will be established and reviewed from time to time by the person s attending physician and appropriate hospice care agency personnel.</t>
  </si>
  <si>
    <t>Applied behavioral analysis (ABA),Relationship development intervention (RDI),Social skills training,Supplements and vitamins</t>
  </si>
  <si>
    <t>Not currently</t>
  </si>
  <si>
    <t>Transgender,Gender dysphoria</t>
  </si>
  <si>
    <t>Require that the individual live as the "new gender" for a specific amount of time prior to approving surgery,Require that there be at least two physicians in agreement about the plan in order to move forward with the surgery</t>
  </si>
  <si>
    <t>care designed to minimize suffering and symptoms of serious complex conditions</t>
  </si>
  <si>
    <t>Applied behavioral analysis (ABA),Art</t>
  </si>
  <si>
    <t>Under another plan (e.g., Maven)</t>
  </si>
  <si>
    <t>Doulas are not covered under medical plan but are an eligible expense under our wellness reimbursement program</t>
  </si>
  <si>
    <t>Emoha was recently implemented.    Bright Line is currently under consideration.</t>
  </si>
  <si>
    <t>no</t>
  </si>
  <si>
    <t>none</t>
  </si>
  <si>
    <t>Retirees, COBRA</t>
  </si>
  <si>
    <t>Counseling or psychotherapy,Gender dysphoria assessment,Hormone therapy,Voice or communication therapy,Surgery to change primary/secondary sex characteristics,Cosmetic or aesthetic surgery,Sperm or egg preservation and storage,Disability (short/long-term) benefits,Postoperative care,Follow-up care,Return to work support</t>
  </si>
  <si>
    <t>Require the patient to be 18+ before surgery is approved,Allow for the reversal of previous gender dysphoria surgery services</t>
  </si>
  <si>
    <t>Palliative care is care that controls pain and relieves symptoms but is not intended to cure the illness</t>
  </si>
  <si>
    <t>Applied behavioral analysis (ABA),Social skills training</t>
  </si>
  <si>
    <t>Not at this time</t>
  </si>
  <si>
    <t>Transgender,Gender identity disorder</t>
  </si>
  <si>
    <t>Cancer Guardian - cancer is one of our highest cost claims and providing the support services during a difficult time is important to us.</t>
  </si>
  <si>
    <t>Primary care,Mental wellbeing services (therapy/counseling),Biometric screenings,Workplace injury services,Wellness coaching,Virtual medical services,Virtual mental health services</t>
  </si>
  <si>
    <t>Flat fee (monthly/annual)</t>
  </si>
  <si>
    <t xml:space="preserve">Employees </t>
  </si>
  <si>
    <t>Require the patient to be 18+ before surgery is approved,Require that the individual live as the "new gender" for a specific amount of time prior to approving surgery,Require that there be at least two physicians in agreement about the plan in order to move forward with the surgery,Allow for the reversal of previous gender dysphoria surgery services</t>
  </si>
  <si>
    <t>Evaluating services to support complex cancer diagnosis and digestive health diagnosis.</t>
  </si>
  <si>
    <t>Transgender,Transexual,Gender dysphoria,Gender identity disorder</t>
  </si>
  <si>
    <t>Counseling or psychotherapy,Gender dysphoria assessment,Hormone therapy,Voice or communication therapy,Surgery to change primary/secondary sex characteristics,Cosmetic or aesthetic surgery,Disability (short/long-term) benefits,Postoperative care,Follow-up care,Return to work support</t>
  </si>
  <si>
    <t>Based on hospice care; available for members with a 12-month terminal prognosis</t>
  </si>
  <si>
    <t>Require the patient to be 18+ before surgery is approved,Require that there be at least two physicians in agreement about the plan in order to move forward with the surgery</t>
  </si>
  <si>
    <t>Yes, considering doula coverage.</t>
  </si>
  <si>
    <t xml:space="preserve">Have one or more, planning others </t>
  </si>
  <si>
    <t>Have one or more, planning others</t>
  </si>
  <si>
    <t>Monthly subscription (PMPM)</t>
  </si>
  <si>
    <t>Applied behavioral analysis (ABA),Floortime,Social skills training</t>
  </si>
  <si>
    <t>We are building our virtual care strategy, transgender concierge services and evaluating our adoption and surrogacy benefit.</t>
  </si>
  <si>
    <t>Coverage with Evidence Development (CED) for emerging treatments that have promising potential Coverage for trigger point injections for migraine specific for pregnant women Expanded PA's for specialty and non-specialty drugs where it makes clinical sense and business sense (waste and abuse)</t>
  </si>
  <si>
    <t>Primary care,Specialty care,Mental wellbeing services (therapy/counseling),Biometric screenings,Laboratory and/or radiology services (including mammography),Full service pharmacy,Alternative access to prescriptions (e.g., vending machine, small stock, kiosk, etc.),Wellness coaching,Health and wellness education or course offerings,Virtual medical services,Virtual mental health services</t>
  </si>
  <si>
    <t>The Palliative Care Benefit provides Covered Health Services under the Plan that seeks to prevent or relieve the physical and emotional distress produced by a life-threatening medical condition or treatment. Services include covered Benefits as stated in the Plan. For these purposes only and subject to the conditions in this Palliative Care Services provision (and notwithstanding exclusions and limitations elsewhere in the plan) Private Duty Nursing services are included. Private Duty Nursing services under a palliative care plan are covered if the skilled nursing services support life necessary functions. Functions may include but are not limited to: ventilator support and respiratory surveillance, tracheostomy care, oxygen administration, deep oral suctioning and oral suctioning for persons who require external assistance in maintaining their airways, or other critical  functions (such as managing unstable blood glucose or a complex feeding regimen). Skilled Nursing Facility care and/or sub-acute care may be included in the Palliative Care Benefit if the above support is needed outside of the home setting</t>
  </si>
  <si>
    <t>Not at this time.</t>
  </si>
  <si>
    <t>Concierge/Navigation services to provide information and programs to employees at the right time when they need it.  MyBind Health is an innovative and fresh new approach to medical coverage offered to employees that makes it easy to get care throughout the year using doctors and hospitals that are in the UHC Choice Plus network. With MyBind Health, there are no deductibles or coinsurance, just copays.</t>
  </si>
  <si>
    <t>Palliative care means care that controls pain and relieves symptoms but is not meant to cure a terminal illness.</t>
  </si>
  <si>
    <t>None at this time.</t>
  </si>
  <si>
    <t>Usage based fee</t>
  </si>
  <si>
    <t>pre-65 retirees</t>
  </si>
  <si>
    <t>hospice care is designed to give supportive care to people in the final phase of a terminal illness and focus on comfort and quality of life, rather than a cure.</t>
  </si>
  <si>
    <t>Time off: Increased new parent leave to 12 weeks;  Life/Balance: Implementing a Mental Health campaign to reduce stigma, train managers and engage employees in better understanding Company s behavioral health resources   Life/Balance: Implementing a caregiver solution to assist employees and their families who are caring for a loved one, providing assistance with locating and scheduling resources * Providing Covid-19 support through monthly meetings for all employees hosted by our Medical Director</t>
  </si>
  <si>
    <t>Allow for the reversal of previous gender dysphoria surgery services</t>
  </si>
  <si>
    <t>No.</t>
  </si>
  <si>
    <t>Digital Mental Health Counselling and Coaching. To increase access to our employees and their families.</t>
  </si>
  <si>
    <t xml:space="preserve">On-site  health clinic(s) are under consideration </t>
  </si>
  <si>
    <t>Counseling or psychotherapy,Gender dysphoria assessment,Hormone therapy,Voice or communication therapy,Surgery to change primary/secondary sex characteristics,Sperm or egg preservation and storage,Travel/lodging for patient and travel partner,Postoperative care,Follow-up care</t>
  </si>
  <si>
    <t>Part of hospice program for persons with terminal illness</t>
  </si>
  <si>
    <t>Near Site Medical - ease of seeking treatment.</t>
  </si>
  <si>
    <t>Hospice services</t>
  </si>
  <si>
    <t>None are being considered.</t>
  </si>
  <si>
    <t>Counseling or psychotherapy,Gender dysphoria assessment,Hormone therapy,Voice or communication therapy,Surgery to change primary/secondary sex characteristics,Cosmetic or aesthetic surgery</t>
  </si>
  <si>
    <t>Primary care,Mental wellbeing services (therapy/counseling),Biometric screenings,Laboratory and/or radiology services (including mammography),Alternative access to prescriptions (e.g., vending machine, small stock, kiosk, etc.),Wellness coaching,Health and wellness education or course offerings,Virtual medical services,Virtual mental health services</t>
  </si>
  <si>
    <t>Near-site health clinic(s) are under consideration</t>
  </si>
  <si>
    <t>Hospice Services: Services to provide comfort and support for persons in the last stages of a terminal illness and their families.</t>
  </si>
  <si>
    <t>Applied behavioral analysis (ABA),Art,Auditory integration training (AIT),Early start denver model (ESDM),Equine ,Gluten or casein free dietary needs,Floortime,Sensory integration therapy,Social skills training,TEACCH</t>
  </si>
  <si>
    <t>Under review</t>
  </si>
  <si>
    <t>None at this time</t>
  </si>
  <si>
    <t>Palliative care is care that controls pain and relieves symptoms but is not indented to cure the illness.</t>
  </si>
  <si>
    <t>Under the medical plan</t>
  </si>
  <si>
    <t>We will be adding a more clear policy around doula benefits.</t>
  </si>
  <si>
    <t>Benefits related to remote working.  Benefits with a lens to diversity, inclusion and belonging.</t>
  </si>
  <si>
    <t>Applied behavioral analysis (ABA),Relationship development intervention (RDI),Supplements and vitamins</t>
  </si>
  <si>
    <t>No fee to employer</t>
  </si>
  <si>
    <t>Falls under Hospice coverage</t>
  </si>
  <si>
    <t>Applied behavioral analysis (ABA),Early start denver model (ESDM)</t>
  </si>
  <si>
    <t>Yes - looking at coverage for birth and death doulas for 2023</t>
  </si>
  <si>
    <t>Student loan repayment services;</t>
  </si>
  <si>
    <t>A Participant, or a Provider on behalf of the Participant, must specifically request services for Palliative Care.  Palliative Care Covered Services are covered when a Provider has assessed that a Participant is in need of Palliative Care for a serious Illness (including remission support), life-limiting injury or end-of-life care, and is limited to the following: 1. Acute Inpatient, Skilled Nursing Facility or Rehabilitation based Palliative Care services. 2. Home Health pain and symptom management services.  3. Home Health psychological and social services including individual and family counseling.  4. Caregiver support rendered by a Provider to a Participant.  5. Advanced care planning limited to face-to-face services between a Provider and a Participant to discuss the Participant s health care wishes if they become unable to make decisions about their care.</t>
  </si>
  <si>
    <t>Mental Health concierge service,  Cancer concierge service,</t>
  </si>
  <si>
    <t>Require that there be at least two physicians in agreement about the plan in order to move forward with the surgery</t>
  </si>
  <si>
    <t>Hospice care is a coordinated program of palliative and supportive care for dying members by an interdisciplinary team of professionals and volunteers centering primarily in the member s home.</t>
  </si>
  <si>
    <t>Gender-affirming care</t>
  </si>
  <si>
    <t>Caregiving</t>
  </si>
  <si>
    <t>Counseling or psychotherapy,Gender dysphoria assessment,Hormone therapy,Cosmetic or aesthetic surgery,Sperm or egg preservation and storage,Disability (short/long-term) benefits</t>
  </si>
  <si>
    <t>rehab and hospice services</t>
  </si>
  <si>
    <t>Global vs. Local benefit policies - for example, global parental leave;  covering domestic partners in countries where it's not a statutory requirement currently</t>
  </si>
  <si>
    <t>Offer the option of a waiver/release for individuals under 18 to receive the surgery,Allow for the reversal of previous gender dysphoria surgery services</t>
  </si>
  <si>
    <t>Q1: Fertility benefits, ID Theft, Legal services - align with market practice and support employee family forming benefits and provide fraud protection.</t>
  </si>
  <si>
    <t>Care for people who have serious illnesses. Assistance with treatment, pain and medication side effects, mind and spirit, advance directives,</t>
  </si>
  <si>
    <t>Workplace injury services,Massage therapy</t>
  </si>
  <si>
    <t>Counseling or psychotherapy,Gender dysphoria assessment,Hormone therapy,Voice or communication therapy,Surgery to change primary/secondary sex characteristics,Follow-up care</t>
  </si>
  <si>
    <t>Additional resources for Autism program.  Review benchmarking for fertility options and limits</t>
  </si>
  <si>
    <t>Offer the option of a waiver/release for individuals under 18 to receive the surgery</t>
  </si>
  <si>
    <t>Health care services that seek to prevent or relieve the physical and emotional distress produced by a life-threatening medical condition or its treatment.</t>
  </si>
  <si>
    <t>expanding coverage options/access across a wider set of population needs - a more flexible arrangement to facilitate user/family choice (DC)</t>
  </si>
  <si>
    <t>Hospice care is an integrated program recommended by a Physician which provides comfort and support services for the terminally ill. Hospice care can be provided on an inpatient or outpatient basis and includes physical, psychological, social, spiritual and respite care for the terminally ill person, and short-term grief counseling for immediate family members while the Covered Person is receiving hospice care.</t>
  </si>
  <si>
    <t>Not emerging, but exploring Care Navigation</t>
  </si>
  <si>
    <t>Covered but  not described</t>
  </si>
  <si>
    <t>Hospice care</t>
  </si>
  <si>
    <t>Possibly to doula coverage</t>
  </si>
  <si>
    <t>Primary care,Mental wellbeing services (therapy/counseling),Biometric screenings,Acupuncture,Chiropractic,Physical therapy,Eye care (e.g., exams, contacts, etc.),Health and wellness education or course offerings,Virtual medical services,Virtual mental health services</t>
  </si>
  <si>
    <t>Will be rolling out Doula reimbursement</t>
  </si>
  <si>
    <t>OTC Covid Testing, preventive cancer screening, advanced primary care pilot, maternity bundles with providers, advanced telehealth, BIPOC healthcare concierge/navigation support</t>
  </si>
  <si>
    <t>Workplace injury services</t>
  </si>
  <si>
    <t>Counseling or psychotherapy,Gender dysphoria assessment,Voice or communication therapy,Surgery to change primary/secondary sex characteristics</t>
  </si>
  <si>
    <t>Offered as a function of hospice care benefit</t>
  </si>
  <si>
    <t>100% virtual care model (i.e. Amazon care) Big Health - Daylight, Sleepio, etc. Narrow Networks</t>
  </si>
  <si>
    <t>Counseling or psychotherapy,Gender dysphoria assessment,Hormone therapy,Surgery to change primary/secondary sex characteristics</t>
  </si>
  <si>
    <t>Counseling or psychotherapy,Gender dysphoria assessment,Hormone therapy,Voice or communication therapy,Surgery to change primary/secondary sex characteristics,Sperm or egg preservation and storage,Disability (short/long-term) benefits,Travel/lodging for patient and travel partner,Postoperative care,Follow-up care,Return to work support</t>
  </si>
  <si>
    <t>Palliative care is not specifically defined but is covered at the same level as hospice care.</t>
  </si>
  <si>
    <t>Applied behavioral analysis (ABA),Auditory integration training (AIT),Early start denver model (ESDM),Relationship development intervention (RDI),Social skills training,TEACCH</t>
  </si>
  <si>
    <t>Transgender,Other</t>
  </si>
  <si>
    <t>Gender Affirmation</t>
  </si>
  <si>
    <t>Expanded coverage of gender affirmation procedures to align with WPATH.</t>
  </si>
  <si>
    <t>Gender-affirming Healthcare Benefits</t>
  </si>
  <si>
    <t>Offer the option of a waiver/release for individuals under 18 to receive the surgery,Require that the individual live as the "new gender" for a specific amount of time prior to approving surgery,Require that there be at least two physicians in agreement about the plan in order to move forward with the surgery</t>
  </si>
  <si>
    <t>Gender Affirming Support</t>
  </si>
  <si>
    <t>follows plan rules</t>
  </si>
  <si>
    <t>covered under hospice benefit</t>
  </si>
  <si>
    <t>adult dependents only</t>
  </si>
  <si>
    <t>Counseling or psychotherapy,Gender dysphoria assessment,Hormone therapy,Voice or communication therapy,Surgery to change primary/secondary sex characteristics,Disability (short/long-term) benefits,Travel/lodging for patient and travel partner,Postoperative care,Follow-up care</t>
  </si>
  <si>
    <t>Applied behavioral analysis (ABA),Sensory integration therapy</t>
  </si>
  <si>
    <t>This year we plan to overhaul our fertility benefits</t>
  </si>
  <si>
    <t>Point solutions for MSK, Cardio metabolic and Cancer.</t>
  </si>
  <si>
    <t>Hospice care is a specialized form of interdisciplinary health care designed to provide palliative care and to alleviate the physical, emotional, and spiritual discomforts of a Member experiencing the last phases of life due to a terminal illness.</t>
  </si>
  <si>
    <t>Primary care,Workplace injury services</t>
  </si>
  <si>
    <t>Gender dysphoria,Other</t>
  </si>
  <si>
    <t>Gender Affirming</t>
  </si>
  <si>
    <t>The plan aligns palliative care with 'Hospice services' and is covered as such.</t>
  </si>
  <si>
    <t>Counseling or psychotherapy,Gender dysphoria assessment,Hormone therapy,Voice or communication therapy,Surgery to change primary/secondary sex characteristics,Sperm or egg preservation and storage,Disability (short/long-term) benefits</t>
  </si>
  <si>
    <t>In 2022, we will look at cell and gene therapies to determine if additional inclusion or exclusion information should be incorporated in to plan documents. We understand there have been great advancements in the technologies behind these therapies but that they also come at a high price. We do not see/have a reason currently to have concern about utilization but have been advised it is an area that may take off at any moment.</t>
  </si>
  <si>
    <t>Primary care,Specialty care,Biometric screenings,Workplace injury services,Wellness coaching,Acupuncture,Chiropractic,Occupational therapy,Virtual medical services,Virtual mental health services</t>
  </si>
  <si>
    <t>LGBTQ Benefits</t>
  </si>
  <si>
    <t>Hospice care is a specialized form of interdisciplinary health care designed to provide palliative care and to alleviate the physical, emotional, and spiritual discomforts of a Member experiencing the last phases of life due to a terminal illness. It also provides support to the primary caregiver and the Member's family. A Member who chooses hospice care is choosing to receive palliative care for pain and other symptoms associated with the terminal illness, but not to receive care to try to cure the terminal illness. You may change your decision to receive hospice care benefits at any time. Palliative drugs prescribed for pain control and symptom management of the terminal illness for up to a 100-day supply in accord with our drug formulary guidelines. You must obtain these drugs from a Plan Pharmacy. Certain drugs are limited to a maximum 30-day supply in any 30-day period (please call our Member Service Contact Center for the current list of these drugs)</t>
  </si>
  <si>
    <t>Applied behavioral analysis (ABA),Dolphin</t>
  </si>
  <si>
    <t>Primary care,Dentistry</t>
  </si>
  <si>
    <t>Not Currently</t>
  </si>
  <si>
    <t>Counseling or psychotherapy,Gender dysphoria assessment,Hormone therapy,Voice or communication therapy,Surgery to change primary/secondary sex characteristics,Sperm or egg preservation and storage,Disability (short/long-term) benefits,Travel/lodging for patient and travel partner,Postoperative care,Follow-up care</t>
  </si>
  <si>
    <t>Primary care,Mental wellbeing services (therapy/counseling),Biometric screenings,Alternative access to prescriptions (e.g., vending machine, small stock, kiosk, etc.),Wellness coaching,Physical therapy,Health and wellness education or course offerings,Virtual medical services</t>
  </si>
  <si>
    <t>Gender Reassignment</t>
  </si>
  <si>
    <t>Counseling or psychotherapy,Hormone therapy,Surgery to change primary/secondary sex characteristics,Postoperative care,Follow-up care</t>
  </si>
  <si>
    <t>No - Just added this coverage in 2021</t>
  </si>
  <si>
    <t>Discussing coverage on over the counter COVID tests</t>
  </si>
  <si>
    <t>Q9.1.2_1</t>
  </si>
  <si>
    <t>Q9.1.2_2</t>
  </si>
  <si>
    <t>Q9.1.2_3</t>
  </si>
  <si>
    <t>Q9.1.2_4</t>
  </si>
  <si>
    <t>Q9.1.2_5</t>
  </si>
  <si>
    <t>Q9.1.2_6</t>
  </si>
  <si>
    <t>Q9.1.2_7</t>
  </si>
  <si>
    <t>Q9.1.2_8</t>
  </si>
  <si>
    <t>Q9.1.2_9</t>
  </si>
  <si>
    <t>Q9.1.2_10</t>
  </si>
  <si>
    <t>Q9.1.2_11</t>
  </si>
  <si>
    <t>Q9.1.2_12</t>
  </si>
  <si>
    <t>Q9.1.2_13</t>
  </si>
  <si>
    <t>Q9.1.2_14</t>
  </si>
  <si>
    <t>Q9.1.3_1</t>
  </si>
  <si>
    <t>Q9.1.3_2</t>
  </si>
  <si>
    <t>Q9.1.3_3</t>
  </si>
  <si>
    <t>Q9.1.3_4</t>
  </si>
  <si>
    <t>Q9.1.3_5</t>
  </si>
  <si>
    <t>Q9.1.3_6</t>
  </si>
  <si>
    <t>Q9.1.3_7</t>
  </si>
  <si>
    <t>Q9.1.3_8</t>
  </si>
  <si>
    <t>Q9.1.3_9</t>
  </si>
  <si>
    <t>Q9.1.3_10</t>
  </si>
  <si>
    <t>Q9.1.3_11</t>
  </si>
  <si>
    <t>Q9.1.3_12</t>
  </si>
  <si>
    <t>Q9.1.3_13</t>
  </si>
  <si>
    <t>Q9.1.3_14</t>
  </si>
  <si>
    <t>Q9.1.4</t>
  </si>
  <si>
    <t>Q9.1.5_1</t>
  </si>
  <si>
    <t>Q9.1.5_2</t>
  </si>
  <si>
    <t>Q9.1.5_3</t>
  </si>
  <si>
    <t>Q9.1.5_4</t>
  </si>
  <si>
    <t>Q9.1.5_5</t>
  </si>
  <si>
    <t>Q9.1.5_6</t>
  </si>
  <si>
    <t>Q9.1.5_7</t>
  </si>
  <si>
    <t>Q9.1.5_8</t>
  </si>
  <si>
    <t>Q9.1.5_9</t>
  </si>
  <si>
    <t>Q9.1.5_10</t>
  </si>
  <si>
    <t>Q9.1.5_11</t>
  </si>
  <si>
    <t>Q9.1.5_12</t>
  </si>
  <si>
    <t>Q9.1.5_13</t>
  </si>
  <si>
    <t>Q9.1.5_14</t>
  </si>
  <si>
    <t>Q9.1.6</t>
  </si>
  <si>
    <t>Q9.1.7</t>
  </si>
  <si>
    <t>Q9.1.8</t>
  </si>
  <si>
    <t>Q9.1.9</t>
  </si>
  <si>
    <t>Q9.1.10</t>
  </si>
  <si>
    <t>Q9.2.2</t>
  </si>
  <si>
    <t>Q9.2.3</t>
  </si>
  <si>
    <t>Q9.2.4</t>
  </si>
  <si>
    <t>Q9.2.5</t>
  </si>
  <si>
    <t>Q9.2.6</t>
  </si>
  <si>
    <t>Q9.2.7</t>
  </si>
  <si>
    <t>Q9.2.8</t>
  </si>
  <si>
    <t>Q9.2.9</t>
  </si>
  <si>
    <t>Q9.2.10</t>
  </si>
  <si>
    <t>Q9.2.11</t>
  </si>
  <si>
    <t>Q9.2.12</t>
  </si>
  <si>
    <t>Q9.2.13</t>
  </si>
  <si>
    <t>Q9.2.14</t>
  </si>
  <si>
    <t>Q9.2.15</t>
  </si>
  <si>
    <t>Q9.2.16</t>
  </si>
  <si>
    <t>Q9.2.17</t>
  </si>
  <si>
    <t>Q9.3.2</t>
  </si>
  <si>
    <t>Q9.3.3</t>
  </si>
  <si>
    <t>Q9.3.4</t>
  </si>
  <si>
    <t>Q9.3.5</t>
  </si>
  <si>
    <t>Q9.3.6</t>
  </si>
  <si>
    <t>Q9.3.7</t>
  </si>
  <si>
    <t>Q9.3.8</t>
  </si>
  <si>
    <t>Q9.3.9</t>
  </si>
  <si>
    <t>Q9.3.10</t>
  </si>
  <si>
    <t>Q9.3.11</t>
  </si>
  <si>
    <t>Q9.3.12</t>
  </si>
  <si>
    <t>Q9.3.13</t>
  </si>
  <si>
    <t>Q9.4.2</t>
  </si>
  <si>
    <t>Q9.4.3</t>
  </si>
  <si>
    <t>Q9.4.4</t>
  </si>
  <si>
    <t>Q9.4.5</t>
  </si>
  <si>
    <t>Q9.4.6</t>
  </si>
  <si>
    <t>Q9.4.7</t>
  </si>
  <si>
    <t>Q9.4.8</t>
  </si>
  <si>
    <t>Q9.4.9</t>
  </si>
  <si>
    <t>Q9.4.10</t>
  </si>
  <si>
    <t>Q9.4.11</t>
  </si>
  <si>
    <t>Q9.4.12</t>
  </si>
  <si>
    <t>Q9.5.2_1</t>
  </si>
  <si>
    <t>Q9.5.2_2</t>
  </si>
  <si>
    <t>Q9.5.2_3</t>
  </si>
  <si>
    <t>Q9.5.2_4</t>
  </si>
  <si>
    <t>Q9.5.3_1</t>
  </si>
  <si>
    <t>Q9.5.3_2</t>
  </si>
  <si>
    <t>Q9.5.3_3</t>
  </si>
  <si>
    <t>Q9.5.3_4</t>
  </si>
  <si>
    <t>Q9.5.4_1</t>
  </si>
  <si>
    <t>Q9.5.4_2</t>
  </si>
  <si>
    <t>Q9.5.4_3</t>
  </si>
  <si>
    <t>Q9.5.5</t>
  </si>
  <si>
    <t>Q9.5.6_1</t>
  </si>
  <si>
    <t>Q9.5.6_2</t>
  </si>
  <si>
    <t>Q9.5.6_3</t>
  </si>
  <si>
    <t>Q9.5.7_1</t>
  </si>
  <si>
    <t>Q9.5.7_2</t>
  </si>
  <si>
    <t>Q9.5.7_3</t>
  </si>
  <si>
    <t>Q9.5.7_4</t>
  </si>
  <si>
    <t>Q9.5.7_5</t>
  </si>
  <si>
    <t>Q9.5.8_1</t>
  </si>
  <si>
    <t>Q9.5.8_2</t>
  </si>
  <si>
    <t>Q9.5.8_3</t>
  </si>
  <si>
    <t>Q9.5.8_4</t>
  </si>
  <si>
    <t>Q9.5.8_5</t>
  </si>
  <si>
    <t>Q9.5.9_1</t>
  </si>
  <si>
    <t>Q9.5.9_2</t>
  </si>
  <si>
    <t>Q9.5.9_3</t>
  </si>
  <si>
    <t>Q9.5.10</t>
  </si>
  <si>
    <t>Q9.5.11_1</t>
  </si>
  <si>
    <t>Q9.5.11_2</t>
  </si>
  <si>
    <t>Q9.5.11_3</t>
  </si>
  <si>
    <t>Q9.5.11_4</t>
  </si>
  <si>
    <t>Q9.5.11_5</t>
  </si>
  <si>
    <t>Q9.5.12</t>
  </si>
  <si>
    <t>Q9.5.12_5_TEXT</t>
  </si>
  <si>
    <t>Q9.6.2</t>
  </si>
  <si>
    <t>Q9.6.3</t>
  </si>
  <si>
    <t>Q9.6.4</t>
  </si>
  <si>
    <t>Q9.6.5_1</t>
  </si>
  <si>
    <t>Q9.6.5_2</t>
  </si>
  <si>
    <t>Q9.6.5_3</t>
  </si>
  <si>
    <t>Q9.6.5_4</t>
  </si>
  <si>
    <t>Q9.6.5_5</t>
  </si>
  <si>
    <t>Q9.6.6</t>
  </si>
  <si>
    <t>Q9.6.7_1</t>
  </si>
  <si>
    <t>Q9.6.7_2</t>
  </si>
  <si>
    <t>Q9.6.7_3</t>
  </si>
  <si>
    <t>Q9.6.7_4</t>
  </si>
  <si>
    <t>Q9.6.7_5</t>
  </si>
  <si>
    <t>Q9.6.7_6</t>
  </si>
  <si>
    <t>Q9.6.7_7</t>
  </si>
  <si>
    <t>Q9.6.7_8</t>
  </si>
  <si>
    <t>Q9.6.7_9</t>
  </si>
  <si>
    <t>Q9.6.7_10</t>
  </si>
  <si>
    <t>Q9.6.7_11</t>
  </si>
  <si>
    <t>Q9.6.7_12</t>
  </si>
  <si>
    <t>Q9.6.8</t>
  </si>
  <si>
    <t>Q9.6.9</t>
  </si>
  <si>
    <t>Q9.6.10</t>
  </si>
  <si>
    <t>Q9.6.11</t>
  </si>
  <si>
    <t>Q9.7.2</t>
  </si>
  <si>
    <t>Q9.7.3</t>
  </si>
  <si>
    <t>Q9.7.4</t>
  </si>
  <si>
    <t>Q9.7.5_1</t>
  </si>
  <si>
    <t>Q9.7.5_2</t>
  </si>
  <si>
    <t>Q9.7.5_3</t>
  </si>
  <si>
    <t>Q9.7.5_4</t>
  </si>
  <si>
    <t>Q9.7.5_5</t>
  </si>
  <si>
    <t>Q9.7.5_6</t>
  </si>
  <si>
    <t>Q9.7.5_7</t>
  </si>
  <si>
    <t>Q9.7.6</t>
  </si>
  <si>
    <t>Q9.7.7</t>
  </si>
  <si>
    <t>Q9.7.8</t>
  </si>
  <si>
    <t>Q9.7.9</t>
  </si>
  <si>
    <t>Life insurance,AD&amp;D,Short-Term Disability (STD),Long-Term Disability (LTD),Business Travel Accident (BTA)</t>
  </si>
  <si>
    <t>Business Travel Accident (BTA)</t>
  </si>
  <si>
    <t>Life insurance,AD&amp;D,Short-Term Disability (STD),Long-Term Disability (LTD)</t>
  </si>
  <si>
    <t>Vendor audits,Internal audits (e.g., SOX)</t>
  </si>
  <si>
    <t>Multiplier of eligible earnings</t>
  </si>
  <si>
    <t xml:space="preserve">3 x </t>
  </si>
  <si>
    <t>$100,000 - $499,000</t>
  </si>
  <si>
    <t>Post-tax</t>
  </si>
  <si>
    <t>Flat dollar amount</t>
  </si>
  <si>
    <t>$1,000,000 - $2,999,999</t>
  </si>
  <si>
    <t>Initial eligibility (e.g., new hire, PT to FT, etc.),Annual open enrollment (election limited - e.g., increase by one level only),Qualified change of status event (election limited to specified coverage level)</t>
  </si>
  <si>
    <t>Yes - 100% aligned</t>
  </si>
  <si>
    <t>Spouse (same and opposite sex),Domestic partner  (same and opposite sex),Child(ren)</t>
  </si>
  <si>
    <t>$250,000 - $299,999</t>
  </si>
  <si>
    <t>$50,000+</t>
  </si>
  <si>
    <t>Initial eligibility (e.g., new hire, PT to FT, etc.),Annual open enrollment (up to maximum benefit level  - no limitations),Qualified change of status event (up to maximum - no limitations)</t>
  </si>
  <si>
    <t>Dependents not eligible</t>
  </si>
  <si>
    <t xml:space="preserve"> $5,000,000 - $5,999,999</t>
  </si>
  <si>
    <t>7 days</t>
  </si>
  <si>
    <t>No other individuals eligible</t>
  </si>
  <si>
    <t>100% employer paid</t>
  </si>
  <si>
    <t>have not had excess contributions yet</t>
  </si>
  <si>
    <t>Fully insured</t>
  </si>
  <si>
    <t xml:space="preserve">120 Days </t>
  </si>
  <si>
    <t>Until age 65</t>
  </si>
  <si>
    <t>60 months</t>
  </si>
  <si>
    <t>48 months</t>
  </si>
  <si>
    <t>42 months</t>
  </si>
  <si>
    <t>36 months</t>
  </si>
  <si>
    <t>30 months</t>
  </si>
  <si>
    <t>24 months</t>
  </si>
  <si>
    <t>21 months</t>
  </si>
  <si>
    <t>18 months</t>
  </si>
  <si>
    <t>15 months</t>
  </si>
  <si>
    <t>Yes - optional or voluntary program (100% employee paid)</t>
  </si>
  <si>
    <t>Nursing home care,Home health care,Assisted-living care,Adult day care,Respite care,Hospice care</t>
  </si>
  <si>
    <t>180+ days</t>
  </si>
  <si>
    <t>Life insurance,Short-Term Disability (STD),Long-Term Disability (LTD)</t>
  </si>
  <si>
    <t>Life insurance</t>
  </si>
  <si>
    <t>Short-Term Disability (STD),Long-Term Disability (LTD)</t>
  </si>
  <si>
    <t>Health Savings Account (HSA)</t>
  </si>
  <si>
    <t>Review or update earnings definition(s),Review or update salary or earnings pay codes,Internal process with controls to address new pay types,Internal process with controls to address discontinued pay types,Internal audits (e.g., SOX)</t>
  </si>
  <si>
    <t>1 x</t>
  </si>
  <si>
    <t>$500,000 - $999,000</t>
  </si>
  <si>
    <t>Initial eligibility (e.g., new hire, PT to FT, etc.)</t>
  </si>
  <si>
    <t>No - not aligned</t>
  </si>
  <si>
    <t>$200,000 - $249,999</t>
  </si>
  <si>
    <t>$20,000 - $29,999</t>
  </si>
  <si>
    <t xml:space="preserve">Less than $50,000 </t>
  </si>
  <si>
    <t>Not defined yet</t>
  </si>
  <si>
    <t>Self-insured</t>
  </si>
  <si>
    <t>180+ Days</t>
  </si>
  <si>
    <t>Case by case basis</t>
  </si>
  <si>
    <t>Salary based premiums</t>
  </si>
  <si>
    <t>Review or update earnings definition(s),Review or update salary or earnings pay codes,Internal process with controls to address new pay types,Internal audits (e.g., SOX)</t>
  </si>
  <si>
    <t xml:space="preserve">2 x </t>
  </si>
  <si>
    <t>Initial eligibility (e.g., new hire, PT to FT, etc.),Annual open enrollment (election limited - e.g., increase by one level only)</t>
  </si>
  <si>
    <t>$350,000 - $399,999</t>
  </si>
  <si>
    <t>$10,000 - $14,999</t>
  </si>
  <si>
    <t>Spouse (same and opposite sex),Domestic Partner  (same and opposite sex),Child(ren)</t>
  </si>
  <si>
    <t>Social security retirement age</t>
  </si>
  <si>
    <t>No formal processes - overall review completed as needed</t>
  </si>
  <si>
    <t xml:space="preserve">Pre-tax  </t>
  </si>
  <si>
    <t xml:space="preserve">5 x </t>
  </si>
  <si>
    <t>Annual open enrollment (up to maximum benefit level  - no limitations)</t>
  </si>
  <si>
    <t>Spouse (same and opposite sex),Child(ren)</t>
  </si>
  <si>
    <t>Annual open enrollment (up to maximum benefit level  - no limitations),Qualified change of status event (up to maximum - no limitations)</t>
  </si>
  <si>
    <t>$500,000 - $549,999</t>
  </si>
  <si>
    <t>90 Days</t>
  </si>
  <si>
    <t>Vendor audits</t>
  </si>
  <si>
    <t>1 x,1.5 x,2 x ,2.5 x,3 x ,3.5 x ,4 x,4.5 x ,5 x ,5.5 x ,Other</t>
  </si>
  <si>
    <t>up to 8x</t>
  </si>
  <si>
    <t>Initial eligibility (e.g., new hire, PT to FT, etc.),Qualified change of status event (election limited to specified coverage level)</t>
  </si>
  <si>
    <t>Basic or employer paid coverage not offered</t>
  </si>
  <si>
    <t>$750,000 - $799,999</t>
  </si>
  <si>
    <t>100% employee paid (post-tax)</t>
  </si>
  <si>
    <t>Reduce employee contributions</t>
  </si>
  <si>
    <t>Life insurance,AD&amp;D</t>
  </si>
  <si>
    <t>$3,000,000 - $4,999,999</t>
  </si>
  <si>
    <t>2X thru 10X</t>
  </si>
  <si>
    <t>Initial eligibility (e.g., new hire, PT to FT, etc.),Qualified change of status event (election limited to specified coverage level),Other</t>
  </si>
  <si>
    <t>Multipler of eligible earnings</t>
  </si>
  <si>
    <t>$800,000+</t>
  </si>
  <si>
    <t xml:space="preserve"> $10,000,000 +</t>
  </si>
  <si>
    <t>14 days</t>
  </si>
  <si>
    <t>We are self insured for STD and pay 100% for 12 weeks and 70% for 13 additional weeks.</t>
  </si>
  <si>
    <t>100% employee paid (pre-tax)</t>
  </si>
  <si>
    <t>Pay administrative fees,Other, please specify:</t>
  </si>
  <si>
    <t>Assesments</t>
  </si>
  <si>
    <t>Initial eligibility (e.g., new hire, PT to FT, etc.),Annual open enrollment (up to maximum benefit level - no limitations),Qualified change of status event (election limited to specified coverage level)</t>
  </si>
  <si>
    <t>1 x,2 x ,3 x ,4 x,5 x ,Other</t>
  </si>
  <si>
    <t>6, 7, and 8 times</t>
  </si>
  <si>
    <t>4 x</t>
  </si>
  <si>
    <t>Life insurance,AD&amp;D,Business Travel Accident (BTA)</t>
  </si>
  <si>
    <t>Family Care Benefits - Parental or Family Care</t>
  </si>
  <si>
    <t>Salary,Sales commission (projected)</t>
  </si>
  <si>
    <t>6x &amp; 7x</t>
  </si>
  <si>
    <t>Partial  - modified as much as insurer would allow</t>
  </si>
  <si>
    <t>2.5 x</t>
  </si>
  <si>
    <t>Employer pays the LTD premiums, but employees are defaulted to pay the taxes on the premiums, which allows the LTD benefit to be non-taxable to the employee</t>
  </si>
  <si>
    <t>2 x ,3 x ,4 x,5 x ,Other</t>
  </si>
  <si>
    <t>6 x</t>
  </si>
  <si>
    <t>$2M max basic and supplemental combined</t>
  </si>
  <si>
    <t>Less than $1,000,000</t>
  </si>
  <si>
    <t>the LTD maximum of 25,000 is a monthly maximum  The Maximum Benefit Period is to age 65 if the employee is disabled before age 60.    At OE: Increase to the buy up level is subject to Evidence of Insurability.  There is also a  3/12 pre-existing condition limitation which means looking back 3 months before the effective date to see if a person has received medical treatment, advice, taken medication, etc. for a condition.  If there is evidence of treatment - that condition only would be excluded for the first 12 months of the plan.</t>
  </si>
  <si>
    <t>Pay administrative fees,Reduce employee contributions</t>
  </si>
  <si>
    <t>90 days</t>
  </si>
  <si>
    <t>Benefits continue until individual no longer meets eligibility requirements</t>
  </si>
  <si>
    <t>$5,000,000 - $6,999,999</t>
  </si>
  <si>
    <t xml:space="preserve">1 x,2 x ,3 x ,4 x,5 x </t>
  </si>
  <si>
    <t>Basic and Optional combined $2M maximum</t>
  </si>
  <si>
    <t>Part-time employees,Full-time employees,Spouse</t>
  </si>
  <si>
    <t>2 years (less than 3 years)</t>
  </si>
  <si>
    <t>Short-Term Disability (STD),Long-Term Disability (LTD),Business Travel Accident (BTA)</t>
  </si>
  <si>
    <t>Review or update earnings definition(s),Review or update salary or earnings pay codes,Vendor audits</t>
  </si>
  <si>
    <t>Increase disability benefits,Other, please specify:</t>
  </si>
  <si>
    <t>Life insurance,AD&amp;D,Long-Term Disability (LTD)</t>
  </si>
  <si>
    <t>Internal process with controls to address new pay types,Internal process with controls to address discontinued pay types,Internal audits (e.g., SOX)</t>
  </si>
  <si>
    <t>1 x,2 x ,3 x ,4 x</t>
  </si>
  <si>
    <t>$100,000 - $149,999</t>
  </si>
  <si>
    <t>STD paid through payroll, LTD paid by the carrier</t>
  </si>
  <si>
    <t>Review or update salary or earnings pay codes</t>
  </si>
  <si>
    <t>8 x</t>
  </si>
  <si>
    <t>$15,000 - $19,999</t>
  </si>
  <si>
    <t>Employer pays portion - employee pays balance (post-tax)</t>
  </si>
  <si>
    <t>Basic/employer paid coverage not offered</t>
  </si>
  <si>
    <t>Yes - optional or voluntary program (subsidized by employer)</t>
  </si>
  <si>
    <t>Home health care,Assisted-living care,Adult day care</t>
  </si>
  <si>
    <t>Internal audits (e.g., SOX)</t>
  </si>
  <si>
    <t>8 x salary</t>
  </si>
  <si>
    <t>180 days (6 months)</t>
  </si>
  <si>
    <t>For 2022 we started offering a choice of employee-paid or employer-paid LTD. The employee-paid LTD provides a tax-free benefit.</t>
  </si>
  <si>
    <t>Pay administrative fees,Increase disability benefits,Enhance/add new programs/services</t>
  </si>
  <si>
    <t>6x</t>
  </si>
  <si>
    <t>Review or update earnings definition(s),Review or update salary or earnings pay codes,Internal process with controls to address new pay types,Internal process with controls to address discontinued pay types,Vendor audits,Internal audits (e.g., SOX)</t>
  </si>
  <si>
    <t>up to 8 x</t>
  </si>
  <si>
    <t>Annual open enrollment (election limited - e.g., increase by one level only),Qualified change of status event (election limited to specified coverage level),Other</t>
  </si>
  <si>
    <t>$700,000 - $749,999</t>
  </si>
  <si>
    <t>$5,000 - $9,999</t>
  </si>
  <si>
    <t>27 months</t>
  </si>
  <si>
    <t>Review or update earnings definition(s),Review or update salary or earnings pay codes,Internal process with controls to address new pay types,Internal process with controls to address discontinued pay types,Vendor audits</t>
  </si>
  <si>
    <t>1x to 10x</t>
  </si>
  <si>
    <t>None of the Above</t>
  </si>
  <si>
    <t>STD is paid at 100% for the first 90 days then days 91 - 180 STD is paid at 80%.</t>
  </si>
  <si>
    <t>Employer pays portion - employee pays balance (pre-tax)</t>
  </si>
  <si>
    <t>Pay administrative fees,Increase disability benefits,Reduce employee contributions</t>
  </si>
  <si>
    <t>Nursing home care,Home health care,Assisted-living care,Hospice care</t>
  </si>
  <si>
    <t>4 years (less than 5 years)</t>
  </si>
  <si>
    <t>Review or update earnings definition(s),Internal audits (e.g., SOX)</t>
  </si>
  <si>
    <t>multiples of 1x up to 9x</t>
  </si>
  <si>
    <t>$300,000 - $349,999</t>
  </si>
  <si>
    <t>second through sixth week of approved STD is 100% of base pay. Seventh through 26th week of approved absence is 70% of base pay.</t>
  </si>
  <si>
    <t>Pay administrative fees</t>
  </si>
  <si>
    <t>Initial eligibility (e.g., new hire, PT to FT, etc.),Annual open enrollment (up to maximum benefit level - no limitations)</t>
  </si>
  <si>
    <t>Long-Term Disability (LTD)</t>
  </si>
  <si>
    <t>Review or update earnings definition(s)</t>
  </si>
  <si>
    <t>7 years (less than 8 years)</t>
  </si>
  <si>
    <t>Review or update earnings definition(s),Review or update salary or earnings pay codes</t>
  </si>
  <si>
    <t>up to 9x</t>
  </si>
  <si>
    <t>Initial eligibility (e.g., new hire, PT to FT, etc.),Annual open enrollment (up to maximum benefit level  - no limitations),Qualified change of status event (election limited to specified coverage level)</t>
  </si>
  <si>
    <t>More than 30 days</t>
  </si>
  <si>
    <t>Internal process with controls to address new pay types</t>
  </si>
  <si>
    <t>7x</t>
  </si>
  <si>
    <t>$30,000 - $39,999</t>
  </si>
  <si>
    <t>90 days (3 months)</t>
  </si>
  <si>
    <t>Part-time employees,Full-time employees</t>
  </si>
  <si>
    <t>CA Voluntary Disability Insurance (VDI)</t>
  </si>
  <si>
    <t>Less than 30 days</t>
  </si>
  <si>
    <t>30 days (1 month)</t>
  </si>
  <si>
    <t>Increase disability benefits,Reduce employee contributions</t>
  </si>
  <si>
    <t>Nursing home care,Home health care,Assisted-living care</t>
  </si>
  <si>
    <t>5 years (less than 6 years)</t>
  </si>
  <si>
    <t>Review or update earnings definition(s),Internal process with controls to address new pay types,Vendor audits,Internal audits (e.g., SOX)</t>
  </si>
  <si>
    <t>Initial eligibility (e.g., new hire, PT to FT, etc.),Annual open enrollment (election limited - e.g., increase by one level only),Qualified change of status event (up to maximum - no limitations)</t>
  </si>
  <si>
    <t>Fitness Reimbursement</t>
  </si>
  <si>
    <t>Life insurance,Short-Term Disability (STD),Long-Term Disability (LTD),Business Travel Accident (BTA)</t>
  </si>
  <si>
    <t>AD&amp;D</t>
  </si>
  <si>
    <t>$50,000 AD&amp;D lump sum benefit</t>
  </si>
  <si>
    <t>Group Universal Life (supplemental life insurance)</t>
  </si>
  <si>
    <t>Salary</t>
  </si>
  <si>
    <t>7x of base pay</t>
  </si>
  <si>
    <t xml:space="preserve"> $8,000,000 - $8,999,999</t>
  </si>
  <si>
    <t>STD benefits pay 75% for the first 12 weeks, then decrease to 66.67% for the remainder of the STD period.</t>
  </si>
  <si>
    <t>Enhance/add new programs/services</t>
  </si>
  <si>
    <t>6 x (up to $2M maximum combined benefit between basic and supplemental)</t>
  </si>
  <si>
    <t xml:space="preserve">3.5 x </t>
  </si>
  <si>
    <t>Health Savings Account (HSA),Salary based premiums</t>
  </si>
  <si>
    <t>On-Target Earnings definition.  Salary + bonus (or commission) target</t>
  </si>
  <si>
    <t>STD benefit pays 100% of your pay for the first eight weeks, 75% of your pay for the next eight weeks, and 60% of your pay for the next 10 weeks.</t>
  </si>
  <si>
    <t>Life insurance,AD&amp;D,Short-Term Disability (STD)</t>
  </si>
  <si>
    <t>For our maternity leave disability, we pay 100% for the Elimination Period through accrued sick leave.   For our STD plan, we cover 80% of wages for up to 7 weeks and then 67% weeks 8 and onwards.</t>
  </si>
  <si>
    <t>Health Savings Account (HSA),Wellness incentive</t>
  </si>
  <si>
    <t>$450,000 - $499,999</t>
  </si>
  <si>
    <t>1.5 x</t>
  </si>
  <si>
    <t>Spouse (same and opposite sex),Domestic Partner  (same and opposite sex)</t>
  </si>
  <si>
    <t>5 x ,Other</t>
  </si>
  <si>
    <t>10x salary</t>
  </si>
  <si>
    <t>Review or update earnings definition(s),Vendor audits</t>
  </si>
  <si>
    <t>8x</t>
  </si>
  <si>
    <t xml:space="preserve"> $1,000,000 - $1,999,999</t>
  </si>
  <si>
    <t>Initial eligibility (e.g., new hire, PT to FT, etc.),Annual open enrollment (up to maximum benefit level  - no limitations)</t>
  </si>
  <si>
    <t>Pay administrative fees,Increase disability benefits</t>
  </si>
  <si>
    <t>1x to 8x</t>
  </si>
  <si>
    <t>We also offer a STD Buy-up which is 90% of salary paid.</t>
  </si>
  <si>
    <t>Employee's choice of pre- or post- tax</t>
  </si>
  <si>
    <t>6x an employee's annual earnings in $10k increments</t>
  </si>
  <si>
    <t>Initial eligibility (e.g., new hire, PT to FT, etc.),Qualified change of status event (up to maximum - no limitations)</t>
  </si>
  <si>
    <t>Part-time EEs not eligible</t>
  </si>
  <si>
    <t>Not available</t>
  </si>
  <si>
    <t>Not to exceed 6X</t>
  </si>
  <si>
    <t>Initial eligibility (e.g., new hire, PT to FT, etc.),Annual open enrollment (up to maximum benefit level  - no limitations),Annual open enrollment (election limited - e.g., increase by one level only),Qualified change of status event (up to maximum - no limitations)</t>
  </si>
  <si>
    <t>Initial eligibility (e.g., new hire, PT to FT, etc.),Annual open enrollment (up to maximum benefit level  - no limitations),Annual open enrollment (election limited - e.g., increase by one level only)</t>
  </si>
  <si>
    <t>1)STD:  We pay 100% for first six weeks, then it drops to 80%  2) Voluntary Buy-up LTD option increases benefit to 70% of annual salary.  Employees pay the cost for the additional coverage.</t>
  </si>
  <si>
    <t>$150,000 - $199,999</t>
  </si>
  <si>
    <t>Less than $5,000</t>
  </si>
  <si>
    <t>Initial eligibility (e.g., new hire, PT to FT, etc.),Annual open enrollment (election limited - e.g., increase by one level only),Other</t>
  </si>
  <si>
    <t>Review or update salary or earnings pay codes,Vendor audits,Internal audits (e.g., SOX)</t>
  </si>
  <si>
    <t>10 x</t>
  </si>
  <si>
    <t>Nursing home care,Home health care,Assisted-living care,Adult day care,Respite care</t>
  </si>
  <si>
    <t>Short-Term Disability (STD)</t>
  </si>
  <si>
    <t>California Voluntary Disability Insurance (in lieu of CA SDI)</t>
  </si>
  <si>
    <t>Parents,In-laws,Siblings,Other adult relative (e.g., cousin),Non-relative caregiver (e.g., nanny),Other</t>
  </si>
  <si>
    <t>STD is 70% of base salary + earned commission, up to maximum of $3,500 per week.</t>
  </si>
  <si>
    <t>Voluntary Life for Employee, Spouse, Children, Voluntary AD&amp;D for Employee, Spouse, Children</t>
  </si>
  <si>
    <t>Home health care,Hospice care</t>
  </si>
  <si>
    <t>Internal process with controls to address new pay types,Internal process with controls to address discontinued pay types</t>
  </si>
  <si>
    <t>$7,000,000 - $9,999,999</t>
  </si>
  <si>
    <t>Life insurance,Long-Term Disability (LTD),Business Travel Accident (BTA)</t>
  </si>
  <si>
    <t>$50,000 - $99,000</t>
  </si>
  <si>
    <t xml:space="preserve"> $2,000,000 - $2,999,999</t>
  </si>
  <si>
    <t>60 days (2 months)</t>
  </si>
  <si>
    <t>Disability is paid at 75% PFL at 85%, weekly max is $3k.  contribution is 0.65%</t>
  </si>
  <si>
    <t>Review or update salary or earnings pay codes,Internal process with controls to address discontinued pay types,Internal audits (e.g., SOX)</t>
  </si>
  <si>
    <t>22 - 30 days</t>
  </si>
  <si>
    <t xml:space="preserve"> $4,000,000 - $4,999,999</t>
  </si>
  <si>
    <t>Full-time employees,Spouse,Domestic partner</t>
  </si>
  <si>
    <t>Nursing home care,Assisted-living care,Hospice care</t>
  </si>
  <si>
    <t>Review or update earnings definition(s),Review or update salary or earnings pay codes,Internal process with controls to address new pay types,Vendor audits</t>
  </si>
  <si>
    <t>1x to 8x annual base salary or On Target Earnings</t>
  </si>
  <si>
    <t>STD is 100 for weeks 2 - 8, then for weeks 9 - 26 is 75%</t>
  </si>
  <si>
    <t>Pay administrative fees,Reduce employee contributions,Other, please specify:</t>
  </si>
  <si>
    <t>Internal process with controls to address new pay types,Internal process with controls to address discontinued pay types,Vendor audits,Internal audits (e.g., SOX)</t>
  </si>
  <si>
    <t>$600,000 - $649,999</t>
  </si>
  <si>
    <t>3 days</t>
  </si>
  <si>
    <t>Our current pay process is automated through the "Advice To Pay" process with our vendor Sedgwick.</t>
  </si>
  <si>
    <t>1x to 8x annual earnings up to $3M</t>
  </si>
  <si>
    <t>Review or update earnings definition(s),Review or update salary or earnings pay codes,Internal process with controls to address new pay types,Internal process with controls to address discontinued pay types</t>
  </si>
  <si>
    <t>More than 10 years</t>
  </si>
  <si>
    <t>Other earning or pay type</t>
  </si>
  <si>
    <t>Salary based premiums,Other earning or pay type</t>
  </si>
  <si>
    <t>Initial eligibility (e.g., new hire, PT to FT, etc.),Annual open enrollment (up to maximum benefit level  - no limitations),Qualified change of status event (up to maximum - no limitations),Other</t>
  </si>
  <si>
    <t>Initial eligibility (e.g., new hire, PT to FT, etc.),Annual open enrollment (up to maximum benefit level - no limitations),Qualified change of status event (up to maximum - no limitations),Other</t>
  </si>
  <si>
    <t>Q10.1.2</t>
  </si>
  <si>
    <t>Q10.1.3</t>
  </si>
  <si>
    <t>Q10.1.4</t>
  </si>
  <si>
    <t>Q10.1.5</t>
  </si>
  <si>
    <t>Q10.1.6</t>
  </si>
  <si>
    <t>Q10.1.7</t>
  </si>
  <si>
    <t>Q10.1.8</t>
  </si>
  <si>
    <t>Q10.1.9</t>
  </si>
  <si>
    <t>Q10.1.10_1</t>
  </si>
  <si>
    <t>Q10.1.10_2</t>
  </si>
  <si>
    <t>Q10.1.10_3</t>
  </si>
  <si>
    <t>Q10.1.10_4</t>
  </si>
  <si>
    <t>Q10.1.10_5</t>
  </si>
  <si>
    <t>Q10.1.10_6</t>
  </si>
  <si>
    <t>Q10.1.11</t>
  </si>
  <si>
    <t>Q10.1.12</t>
  </si>
  <si>
    <t>Q10.1.13_1</t>
  </si>
  <si>
    <t>Q10.1.13_2</t>
  </si>
  <si>
    <t>Q10.1.14</t>
  </si>
  <si>
    <t>Q10.1.15</t>
  </si>
  <si>
    <t>Q10.1.16</t>
  </si>
  <si>
    <t>Q10.1.17</t>
  </si>
  <si>
    <t>Q10.1.18</t>
  </si>
  <si>
    <t>Q10.1.19</t>
  </si>
  <si>
    <t>Q10.1.20_1</t>
  </si>
  <si>
    <t>Q10.1.20_2</t>
  </si>
  <si>
    <t>Q10.1.21</t>
  </si>
  <si>
    <t>Q10.1.22</t>
  </si>
  <si>
    <t>Q10.1.23</t>
  </si>
  <si>
    <t>Q10.1.24</t>
  </si>
  <si>
    <t>Q10.1.25</t>
  </si>
  <si>
    <t>Q10.1.26</t>
  </si>
  <si>
    <t>Q10.1.27</t>
  </si>
  <si>
    <t>Q10.1.28</t>
  </si>
  <si>
    <t>Q10.1.29</t>
  </si>
  <si>
    <t>Q10.1.30</t>
  </si>
  <si>
    <t>Q10.1.31</t>
  </si>
  <si>
    <t>Q10.1.32</t>
  </si>
  <si>
    <t>Q10.1.33</t>
  </si>
  <si>
    <t>Q10.1.34</t>
  </si>
  <si>
    <t>Q10.2.2</t>
  </si>
  <si>
    <t>Q10.2.3</t>
  </si>
  <si>
    <t>Q10.2.4</t>
  </si>
  <si>
    <t>Q10.2.5</t>
  </si>
  <si>
    <t>Q10.2.6</t>
  </si>
  <si>
    <t>Q10.2.7</t>
  </si>
  <si>
    <t>Q10.2.8_1</t>
  </si>
  <si>
    <t>Q10.2.8_2</t>
  </si>
  <si>
    <t>Q10.2.8_3</t>
  </si>
  <si>
    <t>Q10.2.8_4</t>
  </si>
  <si>
    <t>Q10.2.8_5</t>
  </si>
  <si>
    <t>Q10.2.9</t>
  </si>
  <si>
    <t>Q10.2.10</t>
  </si>
  <si>
    <t>Q10.2.11</t>
  </si>
  <si>
    <t>Q10.2.12</t>
  </si>
  <si>
    <t>Q10.2.13</t>
  </si>
  <si>
    <t>Q10.2.14</t>
  </si>
  <si>
    <t>Q10.2.15_1</t>
  </si>
  <si>
    <t>Q10.2.15_2</t>
  </si>
  <si>
    <t>Q10.2.15_3</t>
  </si>
  <si>
    <t>Q10.2.15_4</t>
  </si>
  <si>
    <t>Q10.2.15_5</t>
  </si>
  <si>
    <t>Q10.2.15_6</t>
  </si>
  <si>
    <t>Q10.2.16_1</t>
  </si>
  <si>
    <t>Q10.2.16_2</t>
  </si>
  <si>
    <t>Q10.2.16_3</t>
  </si>
  <si>
    <t>Q10.2.16_4</t>
  </si>
  <si>
    <t>Q10.2.16_5</t>
  </si>
  <si>
    <t>Q10.2.16_6</t>
  </si>
  <si>
    <t>Q10.2.17</t>
  </si>
  <si>
    <t>Q10.2.18</t>
  </si>
  <si>
    <t>Q10.2.19</t>
  </si>
  <si>
    <t>Q10.3.2</t>
  </si>
  <si>
    <t>Q10.3.3_1</t>
  </si>
  <si>
    <t>Q10.3.3_2</t>
  </si>
  <si>
    <t>Q10.3.3_3</t>
  </si>
  <si>
    <t>Q10.3.3_4</t>
  </si>
  <si>
    <t>Q10.3.3_5</t>
  </si>
  <si>
    <t>Q10.3.3_6</t>
  </si>
  <si>
    <t>Q10.3.3_7</t>
  </si>
  <si>
    <t>Q10.3.3_8</t>
  </si>
  <si>
    <t>Q10.3.4</t>
  </si>
  <si>
    <t>Q10.3.5</t>
  </si>
  <si>
    <t>Q10.3.6</t>
  </si>
  <si>
    <t>Q10.4.2</t>
  </si>
  <si>
    <t>Q10.4.3</t>
  </si>
  <si>
    <t>Q10.4.4_1</t>
  </si>
  <si>
    <t>Q10.4.4_2</t>
  </si>
  <si>
    <t>Q10.4.4_3</t>
  </si>
  <si>
    <t>Q10.4.4_4</t>
  </si>
  <si>
    <t>Q10.4.4_5</t>
  </si>
  <si>
    <t>Q10.4.4_6</t>
  </si>
  <si>
    <t>Q10.4.4_7</t>
  </si>
  <si>
    <t>Q10.4.4_8</t>
  </si>
  <si>
    <t>Q10.4.4_9</t>
  </si>
  <si>
    <t>Q10.4.4_10</t>
  </si>
  <si>
    <t>Q10.4.4_11</t>
  </si>
  <si>
    <t>Q10.4.4_12</t>
  </si>
  <si>
    <t>Q10.4.4_13</t>
  </si>
  <si>
    <t>Q10.4.4_14</t>
  </si>
  <si>
    <t>Q10.4.4_15</t>
  </si>
  <si>
    <t>Q10.4.4_16</t>
  </si>
  <si>
    <t>Q10.4.4_17</t>
  </si>
  <si>
    <t>Q10.4.4_18</t>
  </si>
  <si>
    <t>Q10.4.4_19</t>
  </si>
  <si>
    <t>Q10.4.4_20</t>
  </si>
  <si>
    <t>Q10.4.4_21</t>
  </si>
  <si>
    <t>Q10.4.4_22</t>
  </si>
  <si>
    <t>Q10.4.4_23</t>
  </si>
  <si>
    <t>Q10.4.4_24</t>
  </si>
  <si>
    <t>Q10.4.4_25</t>
  </si>
  <si>
    <t>Q10.4.4_26</t>
  </si>
  <si>
    <t>Q10.4.4_27</t>
  </si>
  <si>
    <t>Q10.4.4_28</t>
  </si>
  <si>
    <t>Q10.4.4_29</t>
  </si>
  <si>
    <t>Q10.4.4_30</t>
  </si>
  <si>
    <t>Q10.4.4_31</t>
  </si>
  <si>
    <t>Q10.4.4_32</t>
  </si>
  <si>
    <t>Q10.4.4_33</t>
  </si>
  <si>
    <t>Q10.4.4_34</t>
  </si>
  <si>
    <t>Q10.4.4_35</t>
  </si>
  <si>
    <t>Q10.4.4_36</t>
  </si>
  <si>
    <t>Q10.4.4_37</t>
  </si>
  <si>
    <t>Q10.4.4_38</t>
  </si>
  <si>
    <t>Q10.4.4_39</t>
  </si>
  <si>
    <t>Q10.4.4_41</t>
  </si>
  <si>
    <t>Q10.4.4_42</t>
  </si>
  <si>
    <t>Q10.4.4_40</t>
  </si>
  <si>
    <t>Q10.4.5</t>
  </si>
  <si>
    <t>Q10.4.6</t>
  </si>
  <si>
    <t>Q10.4.7_1</t>
  </si>
  <si>
    <t>Q10.4.7_2</t>
  </si>
  <si>
    <t>Q10.4.7_3</t>
  </si>
  <si>
    <t>Q10.4.7_4</t>
  </si>
  <si>
    <t>Q10.4.7_5</t>
  </si>
  <si>
    <t>Q10.4.7_6</t>
  </si>
  <si>
    <t>Q10.4.7_7</t>
  </si>
  <si>
    <t>Q10.4.7_8</t>
  </si>
  <si>
    <t>Q10.4.7_9</t>
  </si>
  <si>
    <t>Q10.4.7_10</t>
  </si>
  <si>
    <t>Q10.4.7_11</t>
  </si>
  <si>
    <t>Q10.4.7_12</t>
  </si>
  <si>
    <t>Q10.4.7_13</t>
  </si>
  <si>
    <t>Q10.4.7_14</t>
  </si>
  <si>
    <t>Q10.4.8</t>
  </si>
  <si>
    <t>Q10.4.9</t>
  </si>
  <si>
    <t>Q10.4.10</t>
  </si>
  <si>
    <t>Q10.5.2_1</t>
  </si>
  <si>
    <t>Q10.5.2_2</t>
  </si>
  <si>
    <t>Q10.5.2_3</t>
  </si>
  <si>
    <t>Q10.5.2_4</t>
  </si>
  <si>
    <t>Q10.5.2_5</t>
  </si>
  <si>
    <t>Q10.5.2_6</t>
  </si>
  <si>
    <t>Q10.6.2</t>
  </si>
  <si>
    <t>Q10.6.3</t>
  </si>
  <si>
    <t>Q10.6.4</t>
  </si>
  <si>
    <t>Q10.6.5</t>
  </si>
  <si>
    <t>Q10.6.6</t>
  </si>
  <si>
    <t>Q10.6.7</t>
  </si>
  <si>
    <t>Q10.6.8</t>
  </si>
  <si>
    <t>Q10.6.9</t>
  </si>
  <si>
    <t>Q10.6.10</t>
  </si>
  <si>
    <t>Q10.6.11</t>
  </si>
  <si>
    <t>Q10.6.12</t>
  </si>
  <si>
    <t>Q10.6.13_1</t>
  </si>
  <si>
    <t>Q10.6.13_2</t>
  </si>
  <si>
    <t>Q10.6.13_3</t>
  </si>
  <si>
    <t>Q10.6.13_13</t>
  </si>
  <si>
    <t>Q10.6.13_4</t>
  </si>
  <si>
    <t>Q10.6.13_5</t>
  </si>
  <si>
    <t>Q10.6.13_6</t>
  </si>
  <si>
    <t>Q10.6.13_7</t>
  </si>
  <si>
    <t>Q10.6.13_8</t>
  </si>
  <si>
    <t>Q10.6.13_9</t>
  </si>
  <si>
    <t>Q10.6.13_10</t>
  </si>
  <si>
    <t>Q10.6.13_11</t>
  </si>
  <si>
    <t>Q10.6.13_12</t>
  </si>
  <si>
    <t>Q10.6.14</t>
  </si>
  <si>
    <t>Q10.6.15</t>
  </si>
  <si>
    <t>Q10.6.16</t>
  </si>
  <si>
    <t>Q10.6.17</t>
  </si>
  <si>
    <t>Q10.6.18</t>
  </si>
  <si>
    <t>Q10.6.19</t>
  </si>
  <si>
    <t>Q10.6.20</t>
  </si>
  <si>
    <t>Q10.6.21</t>
  </si>
  <si>
    <t>Q10.6.22</t>
  </si>
  <si>
    <t>Q10.6.23</t>
  </si>
  <si>
    <t>Q10.6.24_1</t>
  </si>
  <si>
    <t>Q10.6.24_2</t>
  </si>
  <si>
    <t>Q10.6.24_3</t>
  </si>
  <si>
    <t>Q10.6.24_4</t>
  </si>
  <si>
    <t>Q10.6.25</t>
  </si>
  <si>
    <t>Q10.6.26</t>
  </si>
  <si>
    <t>Q10.6.27</t>
  </si>
  <si>
    <t>Q10.6.28</t>
  </si>
  <si>
    <t>Q10.6.29</t>
  </si>
  <si>
    <t>Q10.6.30</t>
  </si>
  <si>
    <t>Q10.6.31</t>
  </si>
  <si>
    <t>Q10.7.2</t>
  </si>
  <si>
    <t>Q10.7.3</t>
  </si>
  <si>
    <t>Q10.7.4</t>
  </si>
  <si>
    <t>Q10.7.5</t>
  </si>
  <si>
    <t>Q10.7.6</t>
  </si>
  <si>
    <t>Q10.7.7_1</t>
  </si>
  <si>
    <t>Q10.7.7_2</t>
  </si>
  <si>
    <t>Q10.7.7_3</t>
  </si>
  <si>
    <t>Q10.7.8</t>
  </si>
  <si>
    <t>Q10.7.9</t>
  </si>
  <si>
    <t>Q10.7.9_10_TEXT</t>
  </si>
  <si>
    <t>Q10.7.10</t>
  </si>
  <si>
    <t>Q10.7.11</t>
  </si>
  <si>
    <t>Calendar year (Oct - Dec) - Q4 2021</t>
  </si>
  <si>
    <t>Full-time employees,Part-time employees,Interns</t>
  </si>
  <si>
    <t>Yes - opt out (automatically included but employee may opt out)</t>
  </si>
  <si>
    <t>16%+</t>
  </si>
  <si>
    <t>Target date fund</t>
  </si>
  <si>
    <t>Yes - optional (employee can elect auto-rebalance, but not required)</t>
  </si>
  <si>
    <t>Terminate the plan</t>
  </si>
  <si>
    <t>$1,000,000,000 to $4,999,999,999</t>
  </si>
  <si>
    <t>Yes - safe harbor match offered</t>
  </si>
  <si>
    <t>Maximum employer match not to exceed a dollar amount</t>
  </si>
  <si>
    <t>50% of 6% of 401k eligible compensation, with year-end true-up</t>
  </si>
  <si>
    <t xml:space="preserve">Yes </t>
  </si>
  <si>
    <t xml:space="preserve">Annually </t>
  </si>
  <si>
    <t>Immediate</t>
  </si>
  <si>
    <t>No - employee is required to repay the loan within a specified period of time (e.g., 3 months following termination)</t>
  </si>
  <si>
    <t>Stable Value,Fixed Income: Bond Index,Fixed Income: Total Return,Treasury Inflation-Protected Securities (TIPS),Large Cap Index,Large Cap Value,Large Cap Growth,Mid Cap Blend,Small Cap Value,Small Cap Growth,International Cap Blend,International Cap Index,Balanced,Target Date Retirement Funds,Socially Responsible,Other</t>
  </si>
  <si>
    <t>Real Estate, Promissory Notes, Collectibles, Alternative Investments, Foreign Securities not traded in the US, Margins, Calls, Swaps.</t>
  </si>
  <si>
    <t>Top hat plan</t>
  </si>
  <si>
    <t>Title,Grade</t>
  </si>
  <si>
    <t>Upon first meeting eligiblity requirements (e.g., promotion)</t>
  </si>
  <si>
    <t>401k reconciliation match</t>
  </si>
  <si>
    <t>if 401k eligible compensation is reduced due to NQDC deferral, and thereby reducing match in 401k plan, make-up match will be placed in NQDC plan</t>
  </si>
  <si>
    <t>Corporate assets</t>
  </si>
  <si>
    <t>Daily</t>
  </si>
  <si>
    <t>Installments,Lump sum</t>
  </si>
  <si>
    <t>Lump sum</t>
  </si>
  <si>
    <t>Wallet (by My Secure Advantage)</t>
  </si>
  <si>
    <t>Full-time employees,Part-time employees</t>
  </si>
  <si>
    <t>Merge plans</t>
  </si>
  <si>
    <t>No - but based on our participation rates, we monitor this closely</t>
  </si>
  <si>
    <t>Yes - non-safe harbor match offered</t>
  </si>
  <si>
    <t>Maximum employer match not to exceed a contribution percentage</t>
  </si>
  <si>
    <t>Company matches $1 for every $1 you contribute as either Pre-Tax or Roth 401(k) Contributions, up to 6% of your Eligible Pay.  With no cap of contributions up to IRS limits.</t>
  </si>
  <si>
    <t>Shared cost between employee and company</t>
  </si>
  <si>
    <t>Yes - loan payoff may continue per the original loan agreement</t>
  </si>
  <si>
    <t>Company match</t>
  </si>
  <si>
    <t>up to 6% of the amount above the IRS contribution limit</t>
  </si>
  <si>
    <t>Each pay period</t>
  </si>
  <si>
    <t>Age,Service years</t>
  </si>
  <si>
    <t>55 years</t>
  </si>
  <si>
    <t>15 years</t>
  </si>
  <si>
    <t>Emergency payment to cover the cost of expenses not eligible under Section 139 (post-tax)</t>
  </si>
  <si>
    <t>18 years old</t>
  </si>
  <si>
    <t xml:space="preserve">No </t>
  </si>
  <si>
    <t>Less than $500,000,000</t>
  </si>
  <si>
    <t>Employer match to a maximum employee contribution percentage</t>
  </si>
  <si>
    <t>Matching Contribution rate of 50% of the first 6% of Compensation that participants contribute</t>
  </si>
  <si>
    <t>Ayco</t>
  </si>
  <si>
    <t>19+ years old</t>
  </si>
  <si>
    <t>Full-time employees</t>
  </si>
  <si>
    <t>Continue the plan</t>
  </si>
  <si>
    <t>company matching</t>
  </si>
  <si>
    <t>50% of employee contribution up to IRS max</t>
  </si>
  <si>
    <t>Company provides a discretionary employer match of 75% of your contributions up to the first 6% of pay you contribute.</t>
  </si>
  <si>
    <t>Other paid leave types (jury duty, bereavement, etc.),Overtime,Paid time off (PTO),Salary,Sales commission,Shift differential,Sick time,Vacation</t>
  </si>
  <si>
    <t>409(a) plan</t>
  </si>
  <si>
    <t>Grade</t>
  </si>
  <si>
    <t>Upon hire</t>
  </si>
  <si>
    <t>4.5% of eligible salary - 401k contributions</t>
  </si>
  <si>
    <t>Mutual funds</t>
  </si>
  <si>
    <t>Calendar year (Jul - Sept) - Q3 2021</t>
  </si>
  <si>
    <t>$10,000,000,000 or more</t>
  </si>
  <si>
    <t>Service based match, eligible immediately.</t>
  </si>
  <si>
    <t>Less than 2 years service - 50% up to 6% of eligible pay contributed; 2 or more but less than 5 years of service - 75% up to 6% of eligible pay contributed; 5+ years of service - 100% up to 6% of eligible pay contributed</t>
  </si>
  <si>
    <t>Allocate back to plan participants</t>
  </si>
  <si>
    <t>Commingled,Separate Accounts,Stable Value,Fixed Income: Bond Index,Fixed Income: High Yield,Real Estate,Large Cap Index,Large Cap Value,Large Cap Growth,Small Cap Index,Small Cap Value,Small Cap Growth,International Cap Index,International Cap Value,Target Date Retirement Funds</t>
  </si>
  <si>
    <t>Full-time employees,Interns</t>
  </si>
  <si>
    <t>Amounts contributed over the 415 limit.</t>
  </si>
  <si>
    <t>We match 100% of the first 3% of your contributions, then 50% of the next 3%.</t>
  </si>
  <si>
    <t>Other paid leave types (jury duty, bereavement, etc.),Overtime,Salary,Sales commission,Sick time,Vacation</t>
  </si>
  <si>
    <t>N/A - not offered</t>
  </si>
  <si>
    <t>Terminate acquired plan</t>
  </si>
  <si>
    <t>Employer match to a maximum employee contribution dollar amount</t>
  </si>
  <si>
    <t>The Participating Employer has elected to make Matching Contributions in an amount equal to 75% of the first $6,000 you make in Pre-Tax 401(k) Deferrals and/or Roth 401(k) Deferrals (maximum annual match of $4,500).</t>
  </si>
  <si>
    <t>Age</t>
  </si>
  <si>
    <t>65 years</t>
  </si>
  <si>
    <t>Paid time off,Other, please specify:</t>
  </si>
  <si>
    <t>Employees can apply for financial assistance through our Employee Relief Foundation. We also make referrals to the above resources but do not pay the cost.</t>
  </si>
  <si>
    <t>Full-time employees,Part-time employees,Interns,Other</t>
  </si>
  <si>
    <t xml:space="preserve">Quarterly ,Annually </t>
  </si>
  <si>
    <t>Graded Vesting</t>
  </si>
  <si>
    <t>Salary,Title,Grade</t>
  </si>
  <si>
    <t>Installments,Lump sum,Age</t>
  </si>
  <si>
    <t xml:space="preserve">50-55 Years Old </t>
  </si>
  <si>
    <t>Wallet through My Secure Advantage (MSA)</t>
  </si>
  <si>
    <t>Calendar year (Jan - Mar) - Q1 2021</t>
  </si>
  <si>
    <t>$500,000,000 to $999,999,999</t>
  </si>
  <si>
    <t>50% match up to Employee's 8% contribution</t>
  </si>
  <si>
    <t>Salary,Sick time,Vacation</t>
  </si>
  <si>
    <t>Money Market,Fixed Income: Bond Index,Large Cap Index,Large Cap Value,Large Cap Growth,Mid Cap Index,Mid Cap Value,Mid Cap Growth,Small Cap Index,Small Cap Value,Small Cap Growth,International Cap Blend,International Cap Growth,Target Date Retirement Funds</t>
  </si>
  <si>
    <t>Varies - employee is able to select their own increase percentage</t>
  </si>
  <si>
    <t>100% of first 4.5%</t>
  </si>
  <si>
    <t>Match $1 per $1 up to 4.5% of pay in excess of 401a17 limits</t>
  </si>
  <si>
    <t>Service years</t>
  </si>
  <si>
    <t>50% of employee's contribution on up to 6% of per pay earnings or a max of 3%</t>
  </si>
  <si>
    <t>Allocate back to plan participants,Offsets administrative fees</t>
  </si>
  <si>
    <t>Money Market,Fixed Income: Low Duration,Fixed Income: Bond Index,Treasury Inflation-Protected Securities (TIPS),Large Cap Blend,Large Cap Index,Large Cap Value,Large Cap Growth,Mid Cap Blend,Mid Cap Index,Mid Cap Value,Small Cap Blend,Small Cap Index,Small Cap Value,Small Cap Growth,International Cap Blend,International Cap Index,Emerging Markets,Global,Balanced,Target Date Retirement Funds,Other</t>
  </si>
  <si>
    <t>Paid time off</t>
  </si>
  <si>
    <t>Yes - opt in (employee may elect to participate)</t>
  </si>
  <si>
    <t>Company contributes a Matching Contribution to the Plan on your behalf each pay period. The Matching Contribution is equal to 100% of your Pre-Tax Contributions and/or Roth 401(k) Contributions, up to 6% of your Compensation (up to a maximum of $7,500). After-Tax and Catch-Up Contributions are not matched. Your Matching Contributions are deposited in your Matching Contributions Account.</t>
  </si>
  <si>
    <t>Commingled,Separate Accounts,Money Market,Fixed Income: Low Duration,Fixed Income: Bond Index,Large Cap Blend,Large Cap Index,Mid Cap Blend,Mid Cap Index,Small Cap Blend,Small Cap Index,International Cap Blend,International Cap Index,Emerging Markets,Balanced,Target Date Retirement Funds,Other</t>
  </si>
  <si>
    <t>Balanced Real Asset</t>
  </si>
  <si>
    <t>20 years</t>
  </si>
  <si>
    <t>Paid time off,Emergency payment to cover the cost of expenses covered by Section 139 (pre-tax)</t>
  </si>
  <si>
    <t>Custom built financial wellbeing website.</t>
  </si>
  <si>
    <t>50% of 6% of eligible contributions (maximum is based on 3% of annual compensation limit)</t>
  </si>
  <si>
    <t>Money Market,Fixed Income: Bond Index,Fixed Income: Total Return,Real Estate,Large Cap Index,Large Cap Value,Large Cap Growth,Mid Cap Index,Mid Cap Value,Mid Cap Growth,Small Cap Blend,International Cap Index,International Cap Growth,International Small Cap,Target Date Retirement Funds,Other</t>
  </si>
  <si>
    <t>Self-directed brokerage</t>
  </si>
  <si>
    <t>Not allowed to short or trade on margin</t>
  </si>
  <si>
    <t>Origin - vendor</t>
  </si>
  <si>
    <t>Company matches your contributions, up to 4% of your eligible earned compensation, in the pay periods in which you make contributions to a maximum of $11,600 in 2021. The maximum for 2022 is $12,200.</t>
  </si>
  <si>
    <t>Every pay period</t>
  </si>
  <si>
    <t>Stable Value,Fixed Income: Bond Index,Large Cap Index,Large Cap Value,Large Cap Growth,Mid Cap Index,Mid Cap Value,Mid Cap Growth,Small Cap Value,Small Cap Growth,International Cap Index,International Cap Growth,Global,Balanced,Target Date Retirement Funds</t>
  </si>
  <si>
    <t>once true up and performance match done, refund after tax in excess of annual additions limit</t>
  </si>
  <si>
    <t>50% of pretax/Roth contributions, up to 6% of eligible pay.</t>
  </si>
  <si>
    <t>Stable Value,Fixed Income: Bond Index,Fixed Income: Total Return,Large Cap Blend,Large Cap Index,Large Cap Growth,Mid Cap Index,Mid Cap Value,Mid Cap Growth,Small Cap Value,Small Cap Growth,International Cap Index,International Cap Value,Target Date Retirement Funds</t>
  </si>
  <si>
    <t>Supplemental Savings for Executives</t>
  </si>
  <si>
    <t>Same as the 401(k) plan</t>
  </si>
  <si>
    <t>$5,000,000,000 to $9,999,999,999</t>
  </si>
  <si>
    <t>The lesser of 50% of pre-tax and Roth contributions up to 7% of annual eligible pay OR 50% up to $19,000.</t>
  </si>
  <si>
    <t>Commingled,Stable Value,Fixed Income: Bond Index,Treasury Inflation-Protected Securities (TIPS),International Cap Index,Target Date Retirement Funds,Other</t>
  </si>
  <si>
    <t>International Bond Index Fund; US All Cap Index</t>
  </si>
  <si>
    <t>Paven</t>
  </si>
  <si>
    <t>You will receive the greater of: 100% of your contributions up to $3,000 or 50% of your contributions up to $9,750.</t>
  </si>
  <si>
    <t>Stable Value,Fixed Income: Low Duration,Fixed Income: Total Return,Real Estate,Large Cap Blend,Large Cap Index,Large Cap Value,Large Cap Growth,Mid Cap Blend,Mid Cap Index,Mid Cap Value,Mid Cap Growth,Small Cap Blend,Small Cap Index,Small Cap Value,Small Cap Growth,International Cap Blend,International Cap Index,Balanced,Target Date Retirement Funds,Socially Responsible</t>
  </si>
  <si>
    <t>Excess were due to prior external employers contributions</t>
  </si>
  <si>
    <t>Age based fund</t>
  </si>
  <si>
    <t>100% of first 4%</t>
  </si>
  <si>
    <t>Cliff Vesting</t>
  </si>
  <si>
    <t>Offsets administrative fees</t>
  </si>
  <si>
    <t>Stable Value,Company Stock,Real Estate,Large Cap Blend,Mid Cap Blend,International Cap Blend,Global,Age Based Retirement Funds,Other</t>
  </si>
  <si>
    <t>US All Cap Equity, US Core Plus Fixed Income, Diversified Real Asset</t>
  </si>
  <si>
    <t>ETFs and Mutual Funds</t>
  </si>
  <si>
    <t>Excess plan</t>
  </si>
  <si>
    <t>Salary,Title</t>
  </si>
  <si>
    <t>100% of first 4% of pay that exceeds the IRS Limit for 401k (290k in 2021)</t>
  </si>
  <si>
    <t>The match is based on years of service.</t>
  </si>
  <si>
    <t>First year of service: 100% of up to 4% of eligible pay Second year of service: 100% of up to 5% of eligible pay Third year of service and beyond: 100% of up to 6% of eligible pay</t>
  </si>
  <si>
    <t>Plan administrator</t>
  </si>
  <si>
    <t>Money Market,Stable Value,Fixed Income: Bond Index,Fixed Income: Total Return,Real Estate,Large Cap Blend,Large Cap Value,Large Cap Growth,Mid Cap Blend,Mid Cap Value,Mid Cap Growth,Small Cap Blend,International Cap Growth,Emerging Markets,Other</t>
  </si>
  <si>
    <t>Managed Index Fund</t>
  </si>
  <si>
    <t>Matching contributions are equal to 100% of the first 4% of match-eligible contributions you contribute each pay period during the year.</t>
  </si>
  <si>
    <t>Money Market,Fixed Income: Low Duration,Fixed Income: Bond Index,Fixed Income: High Yield,Treasury Inflation-Protected Securities (TIPS),Real Estate,Large Cap Blend,Large Cap Index,International Cap Blend,International Cap Index,Emerging Markets,Age Based Retirement Funds,Other</t>
  </si>
  <si>
    <t>Small/Mid Cap Equity Fund</t>
  </si>
  <si>
    <t>Salary,Grade</t>
  </si>
  <si>
    <t>4% of Employee contributions above IRS limit, max of $11,400</t>
  </si>
  <si>
    <t>Full-time employees,Part-time employees,Other</t>
  </si>
  <si>
    <t>$ for $ match up to 5% of eligible contribution.</t>
  </si>
  <si>
    <t>We use compensation in excess, of the IRS qualified limit (285K) to allocate a match (up to to 5% of the excess compensation)</t>
  </si>
  <si>
    <t>60 years</t>
  </si>
  <si>
    <t>changed vesting to immediate</t>
  </si>
  <si>
    <t>$1.25 for every $1 you contribute, up to 6 percent of your eligible pay for a maximum $10,000 per year.</t>
  </si>
  <si>
    <t>Stable Value,Fixed Income: Bond Index,Large Cap Index,Mid Cap Index,Small Cap Index,International Cap Index,Target Date Retirement Funds,Socially Responsible</t>
  </si>
  <si>
    <t>Age,Service years,Other</t>
  </si>
  <si>
    <t>Varies based on assistance needed</t>
  </si>
  <si>
    <t>Mint, Turbo, Credit Karma</t>
  </si>
  <si>
    <t>Company Match: Company will match 30% of all employee elective deferrals based on eligible pay. For example, if you contribute $100, Company will contribute a $30 employer match. The match applies to all deferrals, including Catch Up Contributions. The match is in addition to your deferral and does not count toward the annual IRS deferral limits. The match is deposited into your pre-tax account. Vesting: The term "vesting" refers to the portion of your account balance that you are entitled to under the plan rules. You are always 100% vested in your 401(k) balance.</t>
  </si>
  <si>
    <t>Salary,Sales commission</t>
  </si>
  <si>
    <t>Commingled,Money Market,Fixed Income: Bond Index,Fixed Income: Total Return,Treasury Inflation-Protected Securities (TIPS),Large Cap Index,Large Cap Value,Large Cap Growth,Small Cap Value,Small Cap Growth,International Cap Blend,International Cap Index,Emerging Markets,Global,Target Date Retirement Funds,Other</t>
  </si>
  <si>
    <t>Small-Mid Cap Index</t>
  </si>
  <si>
    <t>Retirement Income Replacement funds</t>
  </si>
  <si>
    <t>Pension Eligible: Matching contributions will be made at the rate of $1 for every $1 contributed up to 3% of eligible pay.  In addition, matching contributions will be made equal to $0.50 for every $1 on the next 4% of eligible pay contributed to the 401(k) Plan. Non-Pension Eligible: Matching contributions will be made at the rate of $1 for every $1 you contribute up to 4% of eligible pay.  In addition, matching contributions will be made equal to $0.50 for every $1 on the next 4% of eligible pay contributed to the 401(k) Plan.</t>
  </si>
  <si>
    <t>Salary,Sales commission,Vacation</t>
  </si>
  <si>
    <t>Commingled,Separate Accounts,Stable Value,Fixed Income: Bond Index,Fixed Income: Total Return,Large Cap Index,Large Cap Value,Large Cap Growth,Small Cap Blend,International Cap Growth,Target Date Retirement Funds,Other</t>
  </si>
  <si>
    <t>Small/Mid Cap Fund</t>
  </si>
  <si>
    <t>Installments</t>
  </si>
  <si>
    <t>Full-time employees,Part-time employees,Contingent workers (e.g., contractors, temporary)</t>
  </si>
  <si>
    <t>greater of:   1)  50% of the first 5% of deferrals, plus 25% of the next 5% of deferrals; or 2)  50% of the first $8,000 contributed</t>
  </si>
  <si>
    <t>Aggressive Allocation</t>
  </si>
  <si>
    <t>Salary,Grade,Key employee</t>
  </si>
  <si>
    <t>15 years of service</t>
  </si>
  <si>
    <t>The Company will match 50% of each pretax or Roth 401(k) dollar you contribute on the first 6% of pay [and bonus if elected separately] that you defer to your plan. The Company does not match your after-tax or catch-up contributions. In any event, the Company’s matching contribution may not exceed 3% of your eligible compensation.</t>
  </si>
  <si>
    <t>Stable Value,Fixed Income: Bond Index,Fixed Income: Total Return,Company Stock,Large Cap Blend,Large Cap Value,Large Cap Growth,Mid Cap Blend,Mid Cap Value,Mid Cap Growth,Small Cap Value,Small Cap Growth,International Cap Growth,Emerging Markets,Global,Target Date Retirement Funds,Other</t>
  </si>
  <si>
    <t>Brokerage Link</t>
  </si>
  <si>
    <t>3% of amount of EE salary deferral, capped at no more than $2,500</t>
  </si>
  <si>
    <t>Corporate owned life insurance (COLI),Managed portfolio</t>
  </si>
  <si>
    <t>combination of age + service must equal 60 or more</t>
  </si>
  <si>
    <t>case by case basis</t>
  </si>
  <si>
    <t>non-Roth after-tax contributions</t>
  </si>
  <si>
    <t>100% of first 6%</t>
  </si>
  <si>
    <t>Stable Value,Fixed Income: Bond Index,Fixed Income: Total Return,Large Cap Blend,Large Cap Value,Large Cap Growth,Mid Cap Blend,Small Cap Blend,International Cap Blend,International Cap Growth,Emerging Markets,Global,Target Date Retirement Funds</t>
  </si>
  <si>
    <t>Plan funding</t>
  </si>
  <si>
    <t>100% of first 6% on excess compensation</t>
  </si>
  <si>
    <t>Corporate owned life insurance (COLI),Corporate assets</t>
  </si>
  <si>
    <t>50% of pre-tax + Roth deferrals up to 402g limit.</t>
  </si>
  <si>
    <t>Commingled,Separate Accounts,Money Market,Fixed Income: Bond Index,Fixed Income: Total Return,Company Stock,Large Cap Index,Large Cap Value,Large Cap Growth,Mid Cap Value,Mid Cap Growth,Small Cap Value,International Cap Value,International Cap Growth,Target Date Retirement Funds,Other</t>
  </si>
  <si>
    <t>Brokerage Window</t>
  </si>
  <si>
    <t>The company will make a matching contribution on your behalf equal to 100% of your before-tax  &amp; post-tax contribution up to 3% of your compensation and 50% of your before-tax &amp; post-tax contribution equal to the next 2% of your compensation.  Before-tax contributions that exceed 5% of your compensation will not be eligible for ​the matching contribution.  The company match will be contributed on a per-pay-period basis and is based on your total before-tax and post-tax contributions and compensation each pay period.  If you are a highly compensated employee, the total company match will not exceed the maximum annual amount of $5,000</t>
  </si>
  <si>
    <t>Stable Value Common Trust Fund, DL Total Return Bond, World Bond Fund, Communications &amp; Technology Fund, American Funds EuroPacific Growth Fund</t>
  </si>
  <si>
    <t>We changed the true up to be quarterly rather then annually. We also changed the match calculation formula to be simpler and easier to understand.</t>
  </si>
  <si>
    <t>100% of first 5%, up to $5,000</t>
  </si>
  <si>
    <t xml:space="preserve">Quarterly </t>
  </si>
  <si>
    <t>all non-publicly traded securities are restricted</t>
  </si>
  <si>
    <t>Company will make a dollar-for-dollar matching contribution on your contributions up to 5% of year to date eligible pay</t>
  </si>
  <si>
    <t xml:space="preserve">Every pay period,Annually </t>
  </si>
  <si>
    <t>Commingled,Stable Value,Fixed Income: Bond Index,Large Cap Blend,Large Cap Growth,Mid Cap Blend,Mid Cap Growth,International Cap Blend,Emerging Markets,Global,Age Based Retirement Funds,Target Date Retirement Funds</t>
  </si>
  <si>
    <t>Semi-annually</t>
  </si>
  <si>
    <t>An additional formula was added for an acquired division.</t>
  </si>
  <si>
    <t>50% of pre-tax + Roth deferrals up to 402g limit; one division has 25% of pre-tax + Roth deferrals up to 402g limit.</t>
  </si>
  <si>
    <t>Company match of 100% of the first 2% of your eligible compensation you contribute to the Plan as regular pre-tax 401(k) and/or Roth 401(k) contributions for the year, plus 50% of the next 4% of your eligible compensation you contribute to the Plan as regular pre-tax 401(k) and/or Roth 401(k) contributions for the year (up to a maximum of $6,000 per calendar year).</t>
  </si>
  <si>
    <t>Commingled,Money Market,Fixed Income: Total Return,Large Cap Index,Large Cap Value,Large Cap Growth,Mid Cap Value,Mid Cap Growth,Small Cap Value,Small Cap Growth,International Cap Value,International Cap Growth,Balanced,Target Date Retirement Funds</t>
  </si>
  <si>
    <t>Title</t>
  </si>
  <si>
    <t>Not specified in plan document</t>
  </si>
  <si>
    <t>NetBenefits</t>
  </si>
  <si>
    <t>1 month</t>
  </si>
  <si>
    <t>Matching Contributions equal to 100% on the first 4.00% of eligible Compensation contributed to the Plan</t>
  </si>
  <si>
    <t>Commingled,Money Market,Stable Value,Fixed Income: Bond Index,Fixed Income: Total Return,Large Cap Index,Large Cap Value,Large Cap Growth,Mid Cap Index,Mid Cap Value,Mid Cap Growth,Small Cap Value,Small Cap Growth,International Cap Index,International Cap Growth,Balanced,Target Date Retirement Funds</t>
  </si>
  <si>
    <t>50% of the first 7% of eligible compensation (or 3.5%)</t>
  </si>
  <si>
    <t>Commingled,Fixed Income: Bond Index,Fixed Income: Total Return,Large Cap Blend,Large Cap Index,Mid Cap Blend,Mid Cap Index,Small Cap Blend,Small Cap Index,International Cap Blend,International Cap Index,Target Date Retirement Funds</t>
  </si>
  <si>
    <t>normal retirement provisions</t>
  </si>
  <si>
    <t>Calendar year (Apr - June) - Q2 2021</t>
  </si>
  <si>
    <t>No match offered</t>
  </si>
  <si>
    <t>Commingled</t>
  </si>
  <si>
    <t>Investments</t>
  </si>
  <si>
    <t>increase by $500</t>
  </si>
  <si>
    <t>Pre-tax/Roth contributions are matched dollar for dollar up to $6,000 and 50 cents on each dollar on the next $2,000 of contribution.</t>
  </si>
  <si>
    <t>Money Market,Stable Value,Large Cap Blend,Large Cap Index,Large Cap Value,Large Cap Growth,Mid Cap Blend,Mid Cap Index,Mid Cap Value,Mid Cap Growth,Small Cap Blend,Small Cap Index,Small Cap Value,Small Cap Growth,International Cap Blend,International Cap Index,International Cap Value,International Cap Growth,International Small Cap,Global,Target Date Retirement Funds</t>
  </si>
  <si>
    <t>Paid time off,Medical supplies</t>
  </si>
  <si>
    <t>Full-time employees,Interns,Other</t>
  </si>
  <si>
    <t>$1 to $1 on up to 5% of eligible compensation</t>
  </si>
  <si>
    <t>50% of the first 6% of eligible compensation on each paycheck.</t>
  </si>
  <si>
    <t>Commingled,Separate Accounts,Stable Value,Fixed Income: Bond Index,Fixed Income: Total Return,Company Stock,Treasury Inflation-Protected Securities (TIPS),Large Cap Blend,Large Cap Index,Large Cap Value,Large Cap Growth,Mid Cap Value,Mid Cap Growth,Small Cap Value,Small Cap Growth,International Cap Index,International Cap Growth,Emerging Markets,Global,Balanced,Target Date Retirement Funds,Other</t>
  </si>
  <si>
    <t>ETFs, bonds, CDs, foreign securities, mortgage securities, US Treasury securities, and UITs</t>
  </si>
  <si>
    <t>50% of an employee's contributions up to $1,000</t>
  </si>
  <si>
    <t>Stable Value,Fixed Income: Bond Index,Real Estate,Large Cap Blend,Large Cap Value,Large Cap Growth,Mid Cap Blend,Mid Cap Value,Mid Cap Growth,Small Cap Blend,Small Cap Value,Small Cap Growth,International Cap Growth,Target Date Retirement Funds</t>
  </si>
  <si>
    <t>Contributions from Highly Compensated Employees (HCE) that were above the 10k limit for HCEs.</t>
  </si>
  <si>
    <t>Company match up to 4% of employee compensation on pre-tax and Roth contributions; after-tax contributions are not matched. This means that for every dollar employee contributes, Company will also contribute a dollar to their account to a maximum in 2021</t>
  </si>
  <si>
    <t>Commingled,Separate Accounts,Stable Value,Fixed Income: Bond Index,Fixed Income: Total Return,Large Cap Blend,Large Cap Index,Large Cap Value,Large Cap Growth,Mid Cap Blend,Mid Cap Index,Mid Cap Value,Mid Cap Growth,International Cap Blend,International Cap Index,International Cap Growth,Global,Target Date Retirement Funds</t>
  </si>
  <si>
    <t>Ayco 360</t>
  </si>
  <si>
    <t>Will match 50% of the 4% of contributions up to $2,000</t>
  </si>
  <si>
    <t>self directed</t>
  </si>
  <si>
    <t>maximum $ match is $4,000 if employee contributes $8,000.</t>
  </si>
  <si>
    <t>Money Market,Stable Value,Fixed Income: Bond Index,Fixed Income: High Yield,Real Estate,Large Cap Blend,Large Cap Index,Large Cap Growth,Mid Cap Index,Mid Cap Value,Small Cap Index,International Cap Growth,Global,Target Date Retirement Funds</t>
  </si>
  <si>
    <t>BrightPlan</t>
  </si>
  <si>
    <t>100% on first $1,500, 50% on the next $1,500, 33% on next $7,500, and 10% thereafter</t>
  </si>
  <si>
    <t>Stable Value,Fixed Income: Bond Index,Fixed Income: Total Return,Large Cap Index,Large Cap Value,Large Cap Growth,Mid Cap Index,Mid Cap Value,Mid Cap Growth,Small Cap Index,Small Cap Value,Small Cap Growth,International Cap Index,International Cap Value,International Cap Growth,Target Date Retirement Funds</t>
  </si>
  <si>
    <t>Rabbi Trust</t>
  </si>
  <si>
    <t>25% up to 16% of base salary plus bonus</t>
  </si>
  <si>
    <t>35+</t>
  </si>
  <si>
    <t>pre-tax</t>
  </si>
  <si>
    <t>For each $1 you contribute to your 401(k) savings plan account, Company will contribute $1, up to 6% of eligible pay and a maximum of $5,000 per year.</t>
  </si>
  <si>
    <t>Money Market,Fixed Income: Bond Index,Treasury Inflation-Protected Securities (TIPS),Large Cap Index,Large Cap Value,Large Cap Growth,Mid Cap Blend,Mid Cap Index,Mid Cap Value,Small Cap Blend,International Cap Index,International Cap Growth,Target Date Retirement Funds</t>
  </si>
  <si>
    <t>100% of the first 3%, 50% of the next 3%</t>
  </si>
  <si>
    <t>Money Market,Stable Value,Fixed Income: Bond Index,Fixed Income: Total Return,Large Cap Index,Large Cap Growth,Mid Cap Index,Mid Cap Growth,Small Cap Index,Small Cap Growth,International Cap Index,International Cap Growth,International Small Cap,Emerging Markets,Target Date Retirement Funds</t>
  </si>
  <si>
    <t>Counseling and videos via third party</t>
  </si>
  <si>
    <t>100% of employee contributions up to 5%</t>
  </si>
  <si>
    <t>Money Market,Stable Value,Fixed Income: Bond Index,Large Cap Index,Large Cap Value,Large Cap Growth,Mid Cap Index,Mid Cap Value,Small Cap Blend,Small Cap Growth,International Cap Blend,International Cap Index,Global,Target Date Retirement Funds</t>
  </si>
  <si>
    <t>Prudential and Fidelity</t>
  </si>
  <si>
    <t>Match $0.50 to the $1 on the first 6% of deferral on biweekly basis, not to exceed $6,000 per calendar year.</t>
  </si>
  <si>
    <t>Other paid leave types (jury duty, bereavement, etc.),Overtime,Paid time off (PTO),Salary,Sales commission,Shift differential,Sick time,Vacation,Other</t>
  </si>
  <si>
    <t>Commingled,Separate Accounts,Stable Value,Fixed Income: Total Return,Fixed Income: High Yield,Treasury Inflation-Protected Securities (TIPS),Large Cap Blend,Large Cap Index,Large Cap Value,Large Cap Growth,Small Cap Blend,Small Cap Growth,International Cap Blend,Target Date Retirement Funds</t>
  </si>
  <si>
    <t>SoFi</t>
  </si>
  <si>
    <t>50% of employee's contribution up to $2500/year</t>
  </si>
  <si>
    <t>MLP, ETF, Municipals</t>
  </si>
  <si>
    <t>$1 per $1 on the first 3% of eligible pay you contribute, and $0.50 on the $1 on the next 3% of eligible pay</t>
  </si>
  <si>
    <t>Stable Value,Fixed Income: High Yield,Real Estate,Large Cap Index,Large Cap Value,Large Cap Growth,Mid Cap Index,Small Cap Blend,International Cap Blend,Emerging Markets,Target Date Retirement Funds</t>
  </si>
  <si>
    <t>Model portfolio</t>
  </si>
  <si>
    <t>Changed from 100% up to $2,000 to 50% on the first 6% contributed to the plan.</t>
  </si>
  <si>
    <t>We match 50% of the first 6% of eligible compensation contributed to the plan - to IRS limits.</t>
  </si>
  <si>
    <t>Commingled,Stable Value,Fixed Income: Bond Index,Fixed Income: Total Return,Real Estate,Large Cap Blend,Large Cap Index,Large Cap Value,Large Cap Growth,Mid Cap Blend,Mid Cap Index,Mid Cap Value,Mid Cap Growth,Small Cap Blend,Small Cap Index,Small Cap Value,Small Cap Growth,International Cap Index,International Cap Growth,International Small Cap,Emerging Markets,Socially Responsible,ETFs,Other</t>
  </si>
  <si>
    <t>Model portfolios, Fixed Income (World/International)</t>
  </si>
  <si>
    <t>Just limited to mutual funds and ETFs.</t>
  </si>
  <si>
    <t>100% of employee contributions up to $2,000 then 50% up to $3,000 with a max match total of $5,000</t>
  </si>
  <si>
    <t>Separate Accounts,Money Market,Fixed Income: Bond Index,Fixed Income: Total Return,Large Cap Index,Large Cap Value,Large Cap Growth,Mid Cap Index,Mid Cap Value,Small Cap Index,Small Cap Growth,International Cap Index,Emerging Markets,Age Based Retirement Funds,Target Date Retirement Funds</t>
  </si>
  <si>
    <t>Origin</t>
  </si>
  <si>
    <t>$0.50 on the dollar up to an annual max of $2,000.00</t>
  </si>
  <si>
    <t>Real Estate,Large Cap Index,Mid Cap Index,Small Cap Index,Small Cap Growth,International Small Cap,Target Date Retirement Funds</t>
  </si>
  <si>
    <t>40% per $1 contributed.  Contribute at least $7500 on a pretax/Roth basis annually in order to receive maximum  to $3k match per year</t>
  </si>
  <si>
    <t>Commingled,Stable Value,Fixed Income: Bond Index,Treasury Inflation-Protected Securities (TIPS),Large Cap Index,Large Cap Value,Large Cap Growth,Mid Cap Index,Mid Cap Growth,Small Cap Blend,Small Cap Growth,International Cap Blend,International Cap Index,Balanced,Target Date Retirement Funds</t>
  </si>
  <si>
    <t>Bright Plan</t>
  </si>
  <si>
    <t>Money Market,Treasury Inflation-Protected Securities (TIPS),Large Cap Blend,Large Cap Index,Large Cap Value,Large Cap Growth,Mid Cap Blend,Mid Cap Index,Mid Cap Value,Mid Cap Growth,Small Cap Blend,Small Cap Index,Small Cap Value,Small Cap Growth,International Cap Blend,International Cap Index,International Cap Value,International Cap Growth,International Small Cap,Target Date Retirement Funds</t>
  </si>
  <si>
    <t>Salary,Title,Grade,Key employee</t>
  </si>
  <si>
    <t>After first 30 days of employment</t>
  </si>
  <si>
    <t>Yes - mandatory</t>
  </si>
  <si>
    <t>Money Market,Stable Value,Large Cap Blend,Large Cap Index,Large Cap Value,Large Cap Growth,Mid Cap Blend,Mid Cap Value,Small Cap Blend,Small Cap Growth,International Cap Blend,International Cap Index,International Cap Growth,Emerging Markets,Age Based Retirement Funds,Target Date Retirement Funds,Socially Responsible</t>
  </si>
  <si>
    <t>Salary Finance</t>
  </si>
  <si>
    <t>very minor</t>
  </si>
  <si>
    <t>$1.00 for every $1.00 contributed, up to the IRS annual compensation limit</t>
  </si>
  <si>
    <t>Money Market,Fixed Income: Bond Index,Fixed Income: Total Return,Large Cap Value,Large Cap Growth,Mid Cap Index,Mid Cap Value,Small Cap Blend,International Cap Blend,Global,Target Date Retirement Funds,Socially Responsible</t>
  </si>
  <si>
    <t>Reinstated match after a temporary suspension in 2020.</t>
  </si>
  <si>
    <t>Company will match 50% of the first 8% of your eligible compensation up to 4% of your compensation or $6,000, whichever is less.</t>
  </si>
  <si>
    <t>Stable Value,Fixed Income: Bond Index,Fixed Income: Total Return,Large Cap Blend,Large Cap Index,Mid Cap Blend,Mid Cap Index,Small Cap Blend,Small Cap Index,International Cap Blend,International Cap Index,Target Date Retirement Funds</t>
  </si>
  <si>
    <t>Pre-Tax Less than $240,161.53: 50% of pay $240,161.53 or more: 13% of pay Post-Tax - 401(m) Less than $240,161.53: 50% of pay $240,161.53 or more: 13% of pay Overall Less than $240,161.53: 50% of pay $240,161.53 or more: 13% of pay</t>
  </si>
  <si>
    <t>Target Date Retirement Funds</t>
  </si>
  <si>
    <t>Company match dollar for dollar up to 6% of eligible compensation   Quarterly maximum capped $2,250 / annual maximum $9,000.</t>
  </si>
  <si>
    <t>50% of 6% of pre-tax and/or Roth contributions</t>
  </si>
  <si>
    <t>Commingled,Money Market,Stable Value,Fixed Income: Bond Index,Fixed Income: Total Return,Company Stock,Treasury Inflation-Protected Securities (TIPS),Large Cap Index,Large Cap Value,Large Cap Growth,Mid Cap Value,Mid Cap Growth,Small Cap Value,Small Cap Growth,International Cap Value,International Cap Growth,Target Date Retirement Funds,Other</t>
  </si>
  <si>
    <t>Specialty - Technology</t>
  </si>
  <si>
    <t>50 percent on the first 6 percent of eligible compensation you contribute to the 401(k).</t>
  </si>
  <si>
    <t>increased match by 1% and changed match to dollar for dollar</t>
  </si>
  <si>
    <t>Compensation must be defined to compute contributions under the Plan.  For purposes of determining contributions, only Compensation paid to you for services you performed while employed as an Eligible Employee shall be considered.  Generally, eligible compensation for computing contributions under the Plan is the taxable compensation for a Plan Year reportable by your Employer on your IRS Form W-2, excluding reimbursements or other expense allowances, fringe benefits, moving expenses, deferred compensation, unused leave, and welfare benefits and including salary reduction contributions you made to an Employer sponsored cafeteria, qualified transportation fringe, simplified employee pension, 401(k), 457(b) or 403(b) plan. The definition of compensation for your plan for purposes of computing contributions also excludes certain amounts as indicated in the table below. Source Exclusion (s) Employee Deferral Contributions and Qualified Nonelective Contributions Gift Card, Group Term Life Imputed income,parking imputed income, Medical waiver credits, Housing/living allowances/stipends, Sign on Bonuses, Realocation bonuses, All compensation arising from any equity awards granted by the company Employer Matching Contributions Gift Card, Group Term Life Imputed income,parking imputed income, Medical waiver credits, Housing/living allowances/stipends, Sign on Bonuses, Realocation bonuses, All compensation arising from any equity awards granted by the company   Compensation for your first year of eligible Plan participation will be measured only for that portion of your initial Plan Year that you are eligible.  Tax laws limit the amount of compensation that may be taken into account each Plan Year; the maximum amount for the 2018 Plan Year is $275,000.</t>
  </si>
  <si>
    <t>Q11.1.2</t>
  </si>
  <si>
    <t>Q11.1.3</t>
  </si>
  <si>
    <t>Q11.1.4</t>
  </si>
  <si>
    <t>Q11.1.5</t>
  </si>
  <si>
    <t>Q11.1.6</t>
  </si>
  <si>
    <t>Q11.1.7_1</t>
  </si>
  <si>
    <t>Q11.1.7_2</t>
  </si>
  <si>
    <t>Q11.1.7_3</t>
  </si>
  <si>
    <t>Q11.1.7_4</t>
  </si>
  <si>
    <t>Q11.1.7_5</t>
  </si>
  <si>
    <t>Q11.1.7_6</t>
  </si>
  <si>
    <t>Q11.1.7_7</t>
  </si>
  <si>
    <t>Q11.1.7_8</t>
  </si>
  <si>
    <t>Q11.1.7_9</t>
  </si>
  <si>
    <t>Q11.1.7_10</t>
  </si>
  <si>
    <t>Q11.1.7_11</t>
  </si>
  <si>
    <t>Q11.1.7_12</t>
  </si>
  <si>
    <t>Q11.1.7_13</t>
  </si>
  <si>
    <t>Q11.1.7_14</t>
  </si>
  <si>
    <t>Q11.1.8</t>
  </si>
  <si>
    <t>Q11.1.9</t>
  </si>
  <si>
    <t>Q11.1.9_5_TEXT</t>
  </si>
  <si>
    <t>Q11.1.10</t>
  </si>
  <si>
    <t>Q11.2.2</t>
  </si>
  <si>
    <t>Q11.2.3_1</t>
  </si>
  <si>
    <t>Q11.2.3_2</t>
  </si>
  <si>
    <t>Q11.2.3_3</t>
  </si>
  <si>
    <t>Q11.2.3_4</t>
  </si>
  <si>
    <t>Q11.2.3_5</t>
  </si>
  <si>
    <t>Q11.2.3_6</t>
  </si>
  <si>
    <t>Q11.2.3_7</t>
  </si>
  <si>
    <t>Q11.2.3_8</t>
  </si>
  <si>
    <t>Q11.2.3_9</t>
  </si>
  <si>
    <t>Q11.2.3_10</t>
  </si>
  <si>
    <t>Q11.2.3_11</t>
  </si>
  <si>
    <t>Q11.2.3_12</t>
  </si>
  <si>
    <t>Q11.2.3_13</t>
  </si>
  <si>
    <t>Q11.2.4</t>
  </si>
  <si>
    <t>Q11.2.5</t>
  </si>
  <si>
    <t>Q11.2.6</t>
  </si>
  <si>
    <t>Q11.2.7</t>
  </si>
  <si>
    <t>Q11.2.8</t>
  </si>
  <si>
    <t>Q11.3.2</t>
  </si>
  <si>
    <t>Q11.3.3_1</t>
  </si>
  <si>
    <t>Q11.3.3_2</t>
  </si>
  <si>
    <t>Q11.3.3_3</t>
  </si>
  <si>
    <t>Q11.3.3_4</t>
  </si>
  <si>
    <t>Q11.3.3_5</t>
  </si>
  <si>
    <t>Q11.3.3_6</t>
  </si>
  <si>
    <t>Q11.3.3_7</t>
  </si>
  <si>
    <t>Q11.3.3_8</t>
  </si>
  <si>
    <t>Q11.3.3_9</t>
  </si>
  <si>
    <t>Q11.3.3_10</t>
  </si>
  <si>
    <t>Q11.3.3_11</t>
  </si>
  <si>
    <t>Q11.3.3_12</t>
  </si>
  <si>
    <t>Q11.3.3_13</t>
  </si>
  <si>
    <t>Q11.3.3_14</t>
  </si>
  <si>
    <t>Q11.3.4</t>
  </si>
  <si>
    <t>Q11.3.5</t>
  </si>
  <si>
    <t>Q11.3.6</t>
  </si>
  <si>
    <t>Q11.3.7</t>
  </si>
  <si>
    <t>Q11.3.8</t>
  </si>
  <si>
    <t>Q11.4.2</t>
  </si>
  <si>
    <t>Q11.4.3</t>
  </si>
  <si>
    <t>Q11.4.4_1</t>
  </si>
  <si>
    <t>Q11.4.4_2</t>
  </si>
  <si>
    <t>Q11.5.2_1</t>
  </si>
  <si>
    <t>Q11.5.2_2</t>
  </si>
  <si>
    <t>Q11.5.2_3</t>
  </si>
  <si>
    <t>Q11.5.2_4</t>
  </si>
  <si>
    <t>Q11.5.3</t>
  </si>
  <si>
    <t>Q11.5.4</t>
  </si>
  <si>
    <t>Q11.5.5</t>
  </si>
  <si>
    <t>Q11.5.6_1</t>
  </si>
  <si>
    <t>Q11.5.6_2</t>
  </si>
  <si>
    <t>Q11.5.6_3</t>
  </si>
  <si>
    <t>Q11.5.6_4</t>
  </si>
  <si>
    <t>Q11.5.6_5</t>
  </si>
  <si>
    <t>Q11.5.6_6</t>
  </si>
  <si>
    <t>Q11.5.6_7</t>
  </si>
  <si>
    <t>Q11.5.7_1</t>
  </si>
  <si>
    <t>Q11.5.7_2</t>
  </si>
  <si>
    <t>Q11.5.7_3</t>
  </si>
  <si>
    <t>Q11.5.7_4</t>
  </si>
  <si>
    <t>Q11.5.7_5</t>
  </si>
  <si>
    <t>Q11.5.7_6</t>
  </si>
  <si>
    <t>Q11.5.7_7</t>
  </si>
  <si>
    <t>Q11.5.8_1</t>
  </si>
  <si>
    <t>Q11.5.8_2</t>
  </si>
  <si>
    <t>Q11.5.8_3</t>
  </si>
  <si>
    <t>Q11.5.8_4</t>
  </si>
  <si>
    <t>Q11.5.8_5</t>
  </si>
  <si>
    <t>Q11.5.8_6</t>
  </si>
  <si>
    <t>Q11.5.8_7</t>
  </si>
  <si>
    <t>Q11.5.9_1</t>
  </si>
  <si>
    <t>Q11.5.9_2</t>
  </si>
  <si>
    <t>Q11.5.9_3</t>
  </si>
  <si>
    <t>Q11.5.9_4</t>
  </si>
  <si>
    <t>Q11.5.9_5</t>
  </si>
  <si>
    <t>Q11.5.9_6</t>
  </si>
  <si>
    <t>Q11.5.9_7</t>
  </si>
  <si>
    <t>Q11.6.3</t>
  </si>
  <si>
    <t>Q11.6.4</t>
  </si>
  <si>
    <t>Q11.6.5</t>
  </si>
  <si>
    <t>Q11.6.6_1</t>
  </si>
  <si>
    <t>Q11.6.6_2</t>
  </si>
  <si>
    <t>Q11.6.6_3</t>
  </si>
  <si>
    <t>Q11.6.6_4</t>
  </si>
  <si>
    <t>Q11.6.6_5</t>
  </si>
  <si>
    <t>Q11.6.7_1</t>
  </si>
  <si>
    <t>Q11.6.7_2</t>
  </si>
  <si>
    <t>Q11.6.7_3</t>
  </si>
  <si>
    <t>Q11.6.7_4</t>
  </si>
  <si>
    <t>Q11.6.7_5</t>
  </si>
  <si>
    <t>Q11.6.8</t>
  </si>
  <si>
    <t>Q11.6.9</t>
  </si>
  <si>
    <t>Q11.6.10</t>
  </si>
  <si>
    <t>Q11.6.11</t>
  </si>
  <si>
    <t>Q11.6.12</t>
  </si>
  <si>
    <t>Q11.6.14</t>
  </si>
  <si>
    <t>Q11.6.15</t>
  </si>
  <si>
    <t>Q11.6.16</t>
  </si>
  <si>
    <t>Q11.6.17</t>
  </si>
  <si>
    <t>Q11.6.18</t>
  </si>
  <si>
    <t>Q11.6.19</t>
  </si>
  <si>
    <t>Q11.6.20</t>
  </si>
  <si>
    <t>Q11.6.22</t>
  </si>
  <si>
    <t>Q11.6.23</t>
  </si>
  <si>
    <t>Q11.6.24</t>
  </si>
  <si>
    <t>Q11.6.25</t>
  </si>
  <si>
    <t>Q11.6.26</t>
  </si>
  <si>
    <t>Q11.6.27</t>
  </si>
  <si>
    <t>Q11.6.28</t>
  </si>
  <si>
    <t>Q11.6.29</t>
  </si>
  <si>
    <t>Q11.6.30</t>
  </si>
  <si>
    <t>Q11.6.31</t>
  </si>
  <si>
    <t>Q11.6.32</t>
  </si>
  <si>
    <t>Q11.6.33</t>
  </si>
  <si>
    <t>Q11.7.2</t>
  </si>
  <si>
    <t>Q11.7.3</t>
  </si>
  <si>
    <t>Q11.7.4</t>
  </si>
  <si>
    <t>Q11.7.5</t>
  </si>
  <si>
    <t>Q11.7.6</t>
  </si>
  <si>
    <t>Q11.7.7</t>
  </si>
  <si>
    <t>Q11.7.8</t>
  </si>
  <si>
    <t>Q11.7.9</t>
  </si>
  <si>
    <t>Q11.7.9_6_TEXT</t>
  </si>
  <si>
    <t>Q11.7.10</t>
  </si>
  <si>
    <t>Q11.7.11</t>
  </si>
  <si>
    <t>Q11.7.13</t>
  </si>
  <si>
    <t>Q11.7.14</t>
  </si>
  <si>
    <t>Q11.7.15</t>
  </si>
  <si>
    <t>Q11.7.16</t>
  </si>
  <si>
    <t>Q11.7.17</t>
  </si>
  <si>
    <t>Q11.7.18_1</t>
  </si>
  <si>
    <t>Q11.7.18_2</t>
  </si>
  <si>
    <t>Q11.7.18_3</t>
  </si>
  <si>
    <t>Q11.7.18_4</t>
  </si>
  <si>
    <t>Q11.7.18_5</t>
  </si>
  <si>
    <t>Q11.7.18_6</t>
  </si>
  <si>
    <t>Q11.7.18_7</t>
  </si>
  <si>
    <t>Q11.7.18_8</t>
  </si>
  <si>
    <t>Q11.7.18_9</t>
  </si>
  <si>
    <t>Q11.7.18_10</t>
  </si>
  <si>
    <t>Q11.7.18_11</t>
  </si>
  <si>
    <t>Q11.7.18_12</t>
  </si>
  <si>
    <t>Q11.7.18_13</t>
  </si>
  <si>
    <t>Q11.7.18_14</t>
  </si>
  <si>
    <t>Q11.7.18_15</t>
  </si>
  <si>
    <t>Q11.7.18_16</t>
  </si>
  <si>
    <t>Q11.7.18_17</t>
  </si>
  <si>
    <t>Q11.7.18_18</t>
  </si>
  <si>
    <t>Q11.7.18_19</t>
  </si>
  <si>
    <t>Q11.7.19</t>
  </si>
  <si>
    <t>Q11.7.20</t>
  </si>
  <si>
    <t>Q11.7.22</t>
  </si>
  <si>
    <t>Q11.7.23</t>
  </si>
  <si>
    <t>Q11.7.24</t>
  </si>
  <si>
    <t>Q11.7.26</t>
  </si>
  <si>
    <t>Q11.7.27</t>
  </si>
  <si>
    <t>Q11.7.29</t>
  </si>
  <si>
    <t>Q11.7.30</t>
  </si>
  <si>
    <t>Q11.7.32</t>
  </si>
  <si>
    <t>Q11.7.32_5_TEXT</t>
  </si>
  <si>
    <t>Q11.7.33</t>
  </si>
  <si>
    <t>Q11.7.34</t>
  </si>
  <si>
    <t>Q11.7.36</t>
  </si>
  <si>
    <t>Q11.7.37</t>
  </si>
  <si>
    <t>Q11.7.38</t>
  </si>
  <si>
    <t>Q11.7.39</t>
  </si>
  <si>
    <t>Q11.7.40</t>
  </si>
  <si>
    <t>Q11.7.42</t>
  </si>
  <si>
    <t>Q11.7.43</t>
  </si>
  <si>
    <t>Q11.8.2</t>
  </si>
  <si>
    <t>Q11.8.3</t>
  </si>
  <si>
    <t>Q11.9.2</t>
  </si>
  <si>
    <t>Q11.9.3</t>
  </si>
  <si>
    <t>Q11.9.4</t>
  </si>
  <si>
    <t>Q11.9.5</t>
  </si>
  <si>
    <t>Q11.9.6</t>
  </si>
  <si>
    <t>Q11.9.7</t>
  </si>
  <si>
    <t>Q11.9.8</t>
  </si>
  <si>
    <t>Q11.10.2</t>
  </si>
  <si>
    <t>Q11.10.3</t>
  </si>
  <si>
    <t>Q11.10.4</t>
  </si>
  <si>
    <t>Q11.10.5</t>
  </si>
  <si>
    <t>Q11.10.6</t>
  </si>
  <si>
    <t>Q11.11.2_1</t>
  </si>
  <si>
    <t>Q11.11.2_2</t>
  </si>
  <si>
    <t>Q11.11.2_3</t>
  </si>
  <si>
    <t>Q11.11.2_4</t>
  </si>
  <si>
    <t>Q11.11.2_5</t>
  </si>
  <si>
    <t>Q11.11.3</t>
  </si>
  <si>
    <t>Q11.11.4</t>
  </si>
  <si>
    <t>No eligibility requirements</t>
  </si>
  <si>
    <t>No rules or requirements to be eligible</t>
  </si>
  <si>
    <t>Service date applies</t>
  </si>
  <si>
    <t>Not applicable - benefit or program not offered</t>
  </si>
  <si>
    <t>Service date not applied</t>
  </si>
  <si>
    <t>Less than 20 hours</t>
  </si>
  <si>
    <t>29 days cap</t>
  </si>
  <si>
    <t>29 day cap</t>
  </si>
  <si>
    <t>Accrued</t>
  </si>
  <si>
    <t>Non-exempt (overtime eligible)</t>
  </si>
  <si>
    <t>Unlimited</t>
  </si>
  <si>
    <t>PTO - accrued</t>
  </si>
  <si>
    <t>Not considering</t>
  </si>
  <si>
    <t>Accrued to company maximum</t>
  </si>
  <si>
    <t>Combined with PTO</t>
  </si>
  <si>
    <t>Employee is required to report PTO or vacation</t>
  </si>
  <si>
    <t>Fully paid</t>
  </si>
  <si>
    <t>16 weeks</t>
  </si>
  <si>
    <t>5 weeks</t>
  </si>
  <si>
    <t>Spouse,Domestic partner,Child(ren),Step children,Foster children,Parent</t>
  </si>
  <si>
    <t>12 weeks</t>
  </si>
  <si>
    <t>welcome back form program with flexible work schedule options</t>
  </si>
  <si>
    <t>Yes, considering</t>
  </si>
  <si>
    <t>Provide pay required by law &amp; supplement to 100% - keep employee whole</t>
  </si>
  <si>
    <t>4 weeks</t>
  </si>
  <si>
    <t>At the beginning of each year</t>
  </si>
  <si>
    <t>Employee is ill with a pandemic-related illness (has tested positive),Employee is showing symptoms of a pandemic-related illness (has not yet tested positive),Employee is not ill but must take time to care for a dependent requiring care due to a pandemic-related illness,Employee is not ill but must stay home to quarantine and employee's job cannot be performed from home,Employee does not have access to sufficient childcare during pandemic and must stay home to care for children</t>
  </si>
  <si>
    <t>20 days</t>
  </si>
  <si>
    <t>100% of salary for unlimited time</t>
  </si>
  <si>
    <t>30 days</t>
  </si>
  <si>
    <t>Paid days off if training falls on work day</t>
  </si>
  <si>
    <t>52 weeks</t>
  </si>
  <si>
    <t>Rolling 12 month look back from employee first day of leave</t>
  </si>
  <si>
    <t>Yes - regular annual shutdown</t>
  </si>
  <si>
    <t>More than 5 days</t>
  </si>
  <si>
    <t>Paid by company</t>
  </si>
  <si>
    <t>6 weeks</t>
  </si>
  <si>
    <t>Global</t>
  </si>
  <si>
    <t>Yes, with formal eligibility requirements and rules</t>
  </si>
  <si>
    <t>Yes, informally with manager approval</t>
  </si>
  <si>
    <t>Considered on a case by case basis.</t>
  </si>
  <si>
    <t>Paid time off (PTO)</t>
  </si>
  <si>
    <t>20 - 29 hours</t>
  </si>
  <si>
    <t>1.5 x annual accrual limit</t>
  </si>
  <si>
    <t>Certain cases only (e.g., shutdowns)</t>
  </si>
  <si>
    <t>Paid - up to amount required by law</t>
  </si>
  <si>
    <t>Newborn,Adoption</t>
  </si>
  <si>
    <t>3 weeks</t>
  </si>
  <si>
    <t>6 days</t>
  </si>
  <si>
    <t>1 day</t>
  </si>
  <si>
    <t>Annual shutdown is determined year by year (not regular)</t>
  </si>
  <si>
    <t>Undecided</t>
  </si>
  <si>
    <t>Unpaid by company</t>
  </si>
  <si>
    <t xml:space="preserve">Frontloaded </t>
  </si>
  <si>
    <t>Employee is required to report PTO or vacation,Employee is required to report sick time</t>
  </si>
  <si>
    <t>Newborn,Adoption,Foster child</t>
  </si>
  <si>
    <t>10 weeks</t>
  </si>
  <si>
    <t>2 weeks</t>
  </si>
  <si>
    <t>Policy is temporary and applies to COVID-19 only</t>
  </si>
  <si>
    <t>No time off provided for reserve training</t>
  </si>
  <si>
    <t>1  week</t>
  </si>
  <si>
    <t>Political Campaign Leave</t>
  </si>
  <si>
    <t>2 days</t>
  </si>
  <si>
    <t>8 weeks</t>
  </si>
  <si>
    <t>Vacation,Paid time off (PTO)</t>
  </si>
  <si>
    <t>40 hours</t>
  </si>
  <si>
    <t>1.5X</t>
  </si>
  <si>
    <t>100% of salary for limited time</t>
  </si>
  <si>
    <t>family accompany leave (encourage employees to spend some time with family)--7 days per year</t>
  </si>
  <si>
    <t>3 days in office, 2 days at home</t>
  </si>
  <si>
    <t>International to US employee transfer</t>
  </si>
  <si>
    <t>Vacation</t>
  </si>
  <si>
    <t>years of service and/or state</t>
  </si>
  <si>
    <t>Approved and implementing in 2022</t>
  </si>
  <si>
    <t>Frontloaded</t>
  </si>
  <si>
    <t>Employee is required to report sick time</t>
  </si>
  <si>
    <t>Flexible schedule/change in work schedule,Concierge/Navigation,Elder care services,Child care services,Pet care,Other</t>
  </si>
  <si>
    <t>Referrals for ongoing child &amp; elderly care</t>
  </si>
  <si>
    <t>Up to 10 consecutive workdays of paid time off at 100% for all regular employees</t>
  </si>
  <si>
    <t>For each pandemic need (e.g., if employee gets ill twice, receive two banks; if employee gets ill, then needs to care for an ill family member, two banks; etc.)</t>
  </si>
  <si>
    <t>Employee is ill with a pandemic-related illness (has tested positive),Employee is showing symptoms of a pandemic-related illness (has not yet tested positive),Employee is not ill but must take time to care for a dependent requiring care due to a pandemic-related illness</t>
  </si>
  <si>
    <t>Emergency Pay and Emergency Premium for Non-Exempt Employees</t>
  </si>
  <si>
    <t>4 days</t>
  </si>
  <si>
    <t>Be rehired within a certain period of time (e.g., rehired within 12 months of termination)</t>
  </si>
  <si>
    <t>Hired as a result of merger/acquisition,Intern hired as an employee</t>
  </si>
  <si>
    <t>2 years</t>
  </si>
  <si>
    <t>Vacation - accrued</t>
  </si>
  <si>
    <t>Spouse,Domestic partner,Child(ren),Parent</t>
  </si>
  <si>
    <t>Gradual Return to work for new parents Time in support of Adoption and surrogacy for the employee to create or expand their family.</t>
  </si>
  <si>
    <t>Be rehired within a certain period of time (e.g., rehired within 12 months of termination),Meet the employment service time minimum (e.g., 1 year of prior service)</t>
  </si>
  <si>
    <t>Vacation,Unlimited time off</t>
  </si>
  <si>
    <t>Length of service</t>
  </si>
  <si>
    <t>Personal time off or paid leave,Unpaid leave</t>
  </si>
  <si>
    <t>Employee is ill with a pandemic-related illness (has tested positive),Employee is showing symptoms of a pandemic-related illness (has not yet tested positive),Employee is not ill but must take time to care for a dependent requiring care due to a pandemic-related illness,Employee is not ill but must stay home to quarantine and employee's job cannot be performed from home,Employee does not have access to sufficient childcare during pandemic and must stay home to care for children,Other, please specify:</t>
  </si>
  <si>
    <t>Adverse reaction to vaccine, needs to vaccinate/booster</t>
  </si>
  <si>
    <t>60 days</t>
  </si>
  <si>
    <t>26 weeks</t>
  </si>
  <si>
    <t>FMLA, USERRA, Company Medical, Company Family Care, Company Parental, Personal, Statutory State Leaves</t>
  </si>
  <si>
    <t>near 2x annual accrual</t>
  </si>
  <si>
    <t>Hardship leave (paid); Administrative leave due to work authorization issues/expiration (unpaid)</t>
  </si>
  <si>
    <t>4 years</t>
  </si>
  <si>
    <t>US only</t>
  </si>
  <si>
    <t>5 - Extremely flexible</t>
  </si>
  <si>
    <t xml:space="preserve">Be rehired within a certain period of time (e.g., rehired within 12 months of termination),Be in good standing with the company </t>
  </si>
  <si>
    <t>0-7 = 150 hours, 8-11 = 200 hours, 12+ = 250 hours</t>
  </si>
  <si>
    <t>13 weeks</t>
  </si>
  <si>
    <t>15 days</t>
  </si>
  <si>
    <t>100% of salary, less government earnings, for limited time</t>
  </si>
  <si>
    <t>Paid days off up to maximum number of days</t>
  </si>
  <si>
    <t>Any leave required by law.</t>
  </si>
  <si>
    <t>Unlimited time off</t>
  </si>
  <si>
    <t>Offered to city/state mandated maximums</t>
  </si>
  <si>
    <t>18 weeks</t>
  </si>
  <si>
    <t xml:space="preserve">Paid </t>
  </si>
  <si>
    <t>Not applicable - my company has an unaccrued vacation or PTO policy</t>
  </si>
  <si>
    <t>Telecommuting: generally shifted to remote work for all permanently, with no formal rules or eligibility requirements. In-office is on an as-needed basis.</t>
  </si>
  <si>
    <t>Up to 5 years of service 240, after 5 years 280</t>
  </si>
  <si>
    <t>Newborn,Adoption,Surrogacy</t>
  </si>
  <si>
    <t>It is up to the employee. Generally anyone who relies on you or you rely on them.</t>
  </si>
  <si>
    <t>Critical Time Off - we allow employees to take time away to focus on emergencies that required their full attention such as natural disasters, deaths, family situations, accidents, etc. The employee discuses with manager the situation and they agree on  how much time is needed. This time is paid and the employee does not have to use their PTO allotment. Adoption (Pre-Adoption) Leave - employees seeking to adopt have access to Adoption Leave which provides an unlimited amount of time for pre-adoption related matters such as court appearances, meeting with lawyers/adoption agencies, travel, etc.</t>
  </si>
  <si>
    <t>During the pandemic generally everyone is working from home unless they are deemed a critical onsite worker. This is expected to continue as long as the pandemic deems necessary.</t>
  </si>
  <si>
    <t xml:space="preserve">Be rehired within a certain period of time (e.g., rehired within 12 months of termination),Meet the employment service time minimum (e.g., 1 year of prior service),Have an employment service time that exceeds the termination period ,Be in good standing with the company </t>
  </si>
  <si>
    <t>Length of service must be greater than time away (termination period)</t>
  </si>
  <si>
    <t>1.5 times annual accrual</t>
  </si>
  <si>
    <t xml:space="preserve">Be rehired within a certain period of time (e.g., rehired within 12 months of termination),Meet the employment service time minimum (e.g., 1 year of prior service),Be in good standing with the company </t>
  </si>
  <si>
    <t>max number of allowed vacation hours for the year</t>
  </si>
  <si>
    <t>Flexible schedule/change in work schedule,Elder care services,Child care services</t>
  </si>
  <si>
    <t>Flexible schedule or change in work schedule,Remote work</t>
  </si>
  <si>
    <t>Crisis Sick Leave</t>
  </si>
  <si>
    <t>Employee is ill with a pandemic-related illness (has tested positive),Employee is showing symptoms of a pandemic-related illness (has not yet tested positive),Employee is not ill but must take time to care for a dependent requiring care due to a pandemic-related illness,Employee is not ill but must stay home to quarantine and employee's job cannot be performed from home</t>
  </si>
  <si>
    <t>100% of salary, less government earnings, for unlimited time</t>
  </si>
  <si>
    <t>Paid time off (PTO),Unlimited time off</t>
  </si>
  <si>
    <t>1.5x annual</t>
  </si>
  <si>
    <t>12 months, starting with employee anniversary</t>
  </si>
  <si>
    <t>1.75 * annual accrual</t>
  </si>
  <si>
    <t>five-year cumulative length of all absences from employment due to military service</t>
  </si>
  <si>
    <t>Employee can change work schedule so training falls on day off</t>
  </si>
  <si>
    <t>200 hours for less than 2 years, 240 for 2 to 10 years, 300 hours for 10+ years</t>
  </si>
  <si>
    <t>Flexible schedule or change in work schedule,Personal time off or paid leave,Unpaid leave</t>
  </si>
  <si>
    <t>Voting time off</t>
  </si>
  <si>
    <t>7 years</t>
  </si>
  <si>
    <t>7 weeks</t>
  </si>
  <si>
    <t>Annual Accrual (168)x1.5=252 hours Max Accrual</t>
  </si>
  <si>
    <t>At company's discretion</t>
  </si>
  <si>
    <t>17 weeks</t>
  </si>
  <si>
    <t>Remote work,Personal time off or paid leave</t>
  </si>
  <si>
    <t>YOS</t>
  </si>
  <si>
    <t>Flexible schedule or change in work schedule,Job sharing,Remote work,Personal time off or paid leave,Unpaid leave</t>
  </si>
  <si>
    <t>14 weeks</t>
  </si>
  <si>
    <t>Employee is not ill but must take time to care for a dependent requiring care due to a pandemic-related illness,Employee does not have access to sufficient childcare during pandemic and must stay home to care for children</t>
  </si>
  <si>
    <t>COVID 19 sick leave - 10/14 days, Natural Disaster Leave - 10 days, Unpaid time off - 30 days, Jury duty - as needed Voting - 4 hrs, Vaccine Time Off - 2x 4 hours (or per injection)</t>
  </si>
  <si>
    <t>within same calendar year</t>
  </si>
  <si>
    <t>annual allotment</t>
  </si>
  <si>
    <t>8 days</t>
  </si>
  <si>
    <t>Calendar year</t>
  </si>
  <si>
    <t>Community emergency</t>
  </si>
  <si>
    <t>flat rate credited annually</t>
  </si>
  <si>
    <t>11 days</t>
  </si>
  <si>
    <t>5 years supplemental pay</t>
  </si>
  <si>
    <t>No formula</t>
  </si>
  <si>
    <t>Elder care services,Child care services</t>
  </si>
  <si>
    <t>New Parent Reintegration program allows Full time  employees returning from  paid bonding leave to work part time for 30 days as they transition back into the workforce.</t>
  </si>
  <si>
    <t>Varies, between 1.5- 2x the annual accrual</t>
  </si>
  <si>
    <t>Managers ,Exempt (non-overtime eligible),Non-exempt (overtime eligible)</t>
  </si>
  <si>
    <t>Employee is ill with a pandemic-related illness (has tested positive),Employee is not ill but must take time to care for a dependent requiring care due to a pandemic-related illness,Employee is not ill but must stay home to quarantine and employee's job cannot be performed from home,Employee does not have access to sufficient childcare during pandemic and must stay home to care for children,Other, please specify:</t>
  </si>
  <si>
    <t>Time off to get vaccinated, and time off if experiencing symptoms from the vaccine.</t>
  </si>
  <si>
    <t>1 to 6 months</t>
  </si>
  <si>
    <t>flat number of hours</t>
  </si>
  <si>
    <t>Unpaid</t>
  </si>
  <si>
    <t>Spouse,Domestic partner,Child(ren),Step children,Foster children,Parent,Parent-in-law,Brother/Sister,Brother/Sister-in-law</t>
  </si>
  <si>
    <t>Fully unpaid</t>
  </si>
  <si>
    <t>service credit</t>
  </si>
  <si>
    <t>Concierge/Navigation</t>
  </si>
  <si>
    <t>Nothing additional to add.</t>
  </si>
  <si>
    <t>40 days  (flat formula for all employees)</t>
  </si>
  <si>
    <t>No leave offered</t>
  </si>
  <si>
    <t>Program currently runs through 2021.  We do not know if we will reinstate the benefit in 2022.</t>
  </si>
  <si>
    <t>Employee is ill with a pandemic-related illness (has tested positive),Employee is showing symptoms of a pandemic-related illness (has not yet tested positive),Employee is not ill but must take time to care for a dependent requiring care due to a pandemic-related illness,Employee is not ill but must stay home to quarantine and employee's job cannot be performed from home,Other, please specify:</t>
  </si>
  <si>
    <t>May be used for School closure due to active COVID outbreak</t>
  </si>
  <si>
    <t>10 Days</t>
  </si>
  <si>
    <t>12 months, starting with first day of leave</t>
  </si>
  <si>
    <t>Less than 1 month</t>
  </si>
  <si>
    <t>The number of vacation days a regular full or part-time employee is eligible for is based on years of service. Days are defined as regularly scheduled work hours during a calendar day.</t>
  </si>
  <si>
    <t>4.62 hours/biweekly</t>
  </si>
  <si>
    <t>Can get reimbursed for expenses such as housekeeping, elder care, child care and pet care services under perks allowance.</t>
  </si>
  <si>
    <t>Flexible schedule or change in work schedule,Personal time off or paid leave</t>
  </si>
  <si>
    <t>12 days</t>
  </si>
  <si>
    <t>Up to 18 months</t>
  </si>
  <si>
    <t>Voting Time Off, Election Poll Worker Time Off, Vaccine Time Off</t>
  </si>
  <si>
    <t>Spouse,Domestic partner,Child(ren),Step children,Foster children,Grandchildren,Parent,Grandparent,Brother/Sister</t>
  </si>
  <si>
    <t>45 weeks</t>
  </si>
  <si>
    <t>Non-occupational medical leave, voting, School-CA Only, Military Spouse Leave, Leave for Court Appearances, Leave for Crime Victims, Victims of Domestic Violence, Sexual Assault or Stalking</t>
  </si>
  <si>
    <t>Spouse,Domestic partner,Child(ren),Step children,Foster children,Parent,Parent-in-law</t>
  </si>
  <si>
    <t>adult backup care</t>
  </si>
  <si>
    <t>At manager’s discretion an employee may take ten (10) days off for the death of a family member not in the aforementioned list</t>
  </si>
  <si>
    <t>Meet the employment service time minimum (e.g., 1 year of prior service)</t>
  </si>
  <si>
    <t>accrued hours as of the end of each pay period, not to exceed 400 max</t>
  </si>
  <si>
    <t>30 - 39 hours</t>
  </si>
  <si>
    <t>State Law as applicable 100%.  Other states not required by law; quarantine/Covid diagnosis paid 100% for workplace exposure only.</t>
  </si>
  <si>
    <t>Employee is not ill but must stay home to quarantine and employee's job cannot be performed from home</t>
  </si>
  <si>
    <t>Military Differential Pay provides up to 240 hours of supplemental pay during a rolling 12-month period</t>
  </si>
  <si>
    <t>You may carry forward unused vacation time from one 1 to the next, not to exceed the maximum annual vacation amount in effect for you on December 31 of the year from which you are carrying over.</t>
  </si>
  <si>
    <t>Civic</t>
  </si>
  <si>
    <t>All employees can work from home 50% if they choose with the exception of essential employees who are required to work onsite.</t>
  </si>
  <si>
    <t>based on years of service</t>
  </si>
  <si>
    <t>Would be on a case-by-case basis coordinating with the employee's manager</t>
  </si>
  <si>
    <t>24 weeks</t>
  </si>
  <si>
    <t>Medical Leave (for employees not yet eligible for FMLA or have exhausted FMLA)</t>
  </si>
  <si>
    <t>We are moving in to a hybrid/flexible work schedule, permanently, beginning in 2022 on a global basis</t>
  </si>
  <si>
    <t>Flexible schedule/change in work schedule,Concierge/Navigation,Elder care services,Child care services,Pet care</t>
  </si>
  <si>
    <t>PTO continues to accrue up to a maximum accrual cap of 30 days / 240 hours for full time employees.  If an employee works less than a 40-hour work week, his/her PTO maximum accrual cap will be based on his/her standard daily schedule.</t>
  </si>
  <si>
    <t>Educational Leave - unpaid, up to 2 years</t>
  </si>
  <si>
    <t>1.5 hours per year</t>
  </si>
  <si>
    <t>Unpaid leave</t>
  </si>
  <si>
    <t>medical, paternity, maternity, personal, military</t>
  </si>
  <si>
    <t>120 hours divided by 2 = 60 hours + 120 hours</t>
  </si>
  <si>
    <t>5 hours are accrued every pay period</t>
  </si>
  <si>
    <t>Birth moms get up to 12 weeks fully paid across their disability time and bonding time. So if they only use 6 weeks for disability, they'll get 6 weeks for bonding. Or 8 and 4, 10 and 2, etc. Paid time is capped at 12 weeks.</t>
  </si>
  <si>
    <t>1.75 x annual accrual</t>
  </si>
  <si>
    <t>Employee is not ill but must take time to care for a dependent requiring care due to a pandemic-related illness,Employee is not ill but must stay home to quarantine and employee's job cannot be performed from home,Employee does not have access to sufficient childcare during pandemic and must stay home to care for children</t>
  </si>
  <si>
    <t>Sabbatical</t>
  </si>
  <si>
    <t>2x of annual accrual</t>
  </si>
  <si>
    <t>20 weeks</t>
  </si>
  <si>
    <t>Manager's discretion</t>
  </si>
  <si>
    <t>No formal process and up to manager discretion</t>
  </si>
  <si>
    <t>Due to the pandemic, we are wfh.   But exploring the opportunity for a hybrid return to work schedule</t>
  </si>
  <si>
    <t>Hours accrued each pay period</t>
  </si>
  <si>
    <t>Hired as a result of merger/acquisition</t>
  </si>
  <si>
    <t>300 hour cap</t>
  </si>
  <si>
    <t>Employee is ill with a pandemic-related illness (has tested positive),Employee is showing symptoms of a pandemic-related illness (has not yet tested positive)</t>
  </si>
  <si>
    <t>Spouse,Domestic partner,Child(ren),Step children,Foster children,Parent,Parent-in-law,Grandparent</t>
  </si>
  <si>
    <t>Employee is ill with a pandemic-related illness (has tested positive),Employee is not ill but must take time to care for a dependent requiring care due to a pandemic-related illness</t>
  </si>
  <si>
    <t>TBD subject to COVID resolution going forward</t>
  </si>
  <si>
    <t>7 to 12 months</t>
  </si>
  <si>
    <t>150% of annual accrual rate</t>
  </si>
  <si>
    <t>Employee is ill with a pandemic-related illness (has tested positive)</t>
  </si>
  <si>
    <t>2x annual accrual</t>
  </si>
  <si>
    <t>Employee is ill from side effects of COVID-19 vaccine</t>
  </si>
  <si>
    <t>Individual teams will determine the appropriate work schedule for their team - a combination of in office and remote days.</t>
  </si>
  <si>
    <t>4.62 hours accrual per pay period with an accrual cap of 180 hours.</t>
  </si>
  <si>
    <t>4.62 hours accrued per pay period up to the accrual cap of 180 hours.</t>
  </si>
  <si>
    <t>currently only one bank of pandemic/natural disaster of 240 hours, which is to cover 30 days.</t>
  </si>
  <si>
    <t>Effective January 2022, will off 6 months paid military leave</t>
  </si>
  <si>
    <t>30 days or 240 hours</t>
  </si>
  <si>
    <t>Spouse,Domestic partner,Child(ren),Step children,Foster children,Parent,Parent-in-law,Brother/Sister</t>
  </si>
  <si>
    <t>The emergency sick time off bank of 80 hours was granted in 2021 and was granted again as of 1/1/2022 to be effective the first 6 months of the year, only.</t>
  </si>
  <si>
    <t>21 days</t>
  </si>
  <si>
    <t>accrue .8018 days per pay period in the US</t>
  </si>
  <si>
    <t>whatever the orders require</t>
  </si>
  <si>
    <t>per pay period hourly accrual</t>
  </si>
  <si>
    <t>Flexible schedule/change in work schedule,Concierge/Navigation,Elder care services,Child care services</t>
  </si>
  <si>
    <t>Public disaster leave of 2 weeks paid.</t>
  </si>
  <si>
    <t xml:space="preserve">7 - 12 months </t>
  </si>
  <si>
    <t>Unlimited for FT.  PT employees received 80 hours per year no matter the length of service, 1.54 per pay period.</t>
  </si>
  <si>
    <t>Partially paid</t>
  </si>
  <si>
    <t>Provide pay required by law &amp; supplement - may not be 100%</t>
  </si>
  <si>
    <t>Flexible schedule/change in work schedule,Other</t>
  </si>
  <si>
    <t>Care.com membership to assist with the list above</t>
  </si>
  <si>
    <t>Flexible schedule or change in work schedule</t>
  </si>
  <si>
    <t>There is a 30-day or 240-hour maximum accrual allowed</t>
  </si>
  <si>
    <t>Educational Leave</t>
  </si>
  <si>
    <t>The maximum you can earn is 31 days</t>
  </si>
  <si>
    <t>Employee is ill with a pandemic-related illness (has tested positive),Employee is not ill but must take time to care for a dependent requiring care due to a pandemic-related illness,Employee is not ill but must stay home to quarantine and employee's job cannot be performed from home,Employee does not have access to sufficient childcare during pandemic and must stay home to care for children</t>
  </si>
  <si>
    <t>The Vacation accrual cap is equal to 1.5 times the amount of Vacation you are eligible to accrue.</t>
  </si>
  <si>
    <t>This is now called Take a Break Days. They can use for Pandemic and COVID related symptoms or if they just need a wellbeing day away from work. This coverage is actual 4 days in 2022.</t>
  </si>
  <si>
    <t>Pregnancy Disability Leave and Workers' Comp leave</t>
  </si>
  <si>
    <t>Annual accrual amount * 1.5</t>
  </si>
  <si>
    <t>365 days in 5 year period</t>
  </si>
  <si>
    <t>Volunteer Firefighter &amp; Rescue and Civil Air Patrol  Voting   New Parent Leave</t>
  </si>
  <si>
    <t>None of the above are eligible</t>
  </si>
  <si>
    <t>1 - 6 months</t>
  </si>
  <si>
    <t>At the beginning of each new pandemic</t>
  </si>
  <si>
    <t>situations, such as domestic abuse, menopause, etc.</t>
  </si>
  <si>
    <t>one an employee hits 240 hours they stop accruing vacation time until they use time, they will start accruing again when the have less then 240 hours available</t>
  </si>
  <si>
    <t>34 weeks</t>
  </si>
  <si>
    <t>Emergency Time Off, Pregnancy Loss</t>
  </si>
  <si>
    <t>Q12.1.2_1</t>
  </si>
  <si>
    <t>Q12.1.2_2</t>
  </si>
  <si>
    <t>Q12.1.2_3</t>
  </si>
  <si>
    <t>Q12.1.2_4</t>
  </si>
  <si>
    <t>Q12.1.2_5</t>
  </si>
  <si>
    <t>Q12.1.2_6</t>
  </si>
  <si>
    <t>Q12.1.2_7</t>
  </si>
  <si>
    <t>Q12.1.2_8</t>
  </si>
  <si>
    <t>Q12.1.2_9</t>
  </si>
  <si>
    <t>Q12.1.3</t>
  </si>
  <si>
    <t>Q12.2.2</t>
  </si>
  <si>
    <t>Q12.2.2_51_TEXT</t>
  </si>
  <si>
    <t>Q12.2.3</t>
  </si>
  <si>
    <t>Q12.2.3_51_TEXT</t>
  </si>
  <si>
    <t>Q12.2.4</t>
  </si>
  <si>
    <t>Q12.2.4_51_TEXT</t>
  </si>
  <si>
    <t>Q12.2.5</t>
  </si>
  <si>
    <t>Q12.2.5_51_TEXT</t>
  </si>
  <si>
    <t>Q12.2.6</t>
  </si>
  <si>
    <t>Q12.2.6_51_TEXT</t>
  </si>
  <si>
    <t>Q12.2.7</t>
  </si>
  <si>
    <t>Q12.2.7_51_TEXT</t>
  </si>
  <si>
    <t>Q12.2.8</t>
  </si>
  <si>
    <t>Q12.2.9_1</t>
  </si>
  <si>
    <t>Q12.2.9_4</t>
  </si>
  <si>
    <t>Q12.2.9_5</t>
  </si>
  <si>
    <t>Q12.2.9_6</t>
  </si>
  <si>
    <t>Q12.2.9_7</t>
  </si>
  <si>
    <t>Q12.2.9_8</t>
  </si>
  <si>
    <t>Q12.3.2</t>
  </si>
  <si>
    <t>Q12.3.2_52_TEXT</t>
  </si>
  <si>
    <t>Q12.3.3</t>
  </si>
  <si>
    <t>Q12.3.3_52_TEXT</t>
  </si>
  <si>
    <t>Q12.3.4</t>
  </si>
  <si>
    <t>Q12.3.4_52_TEXT</t>
  </si>
  <si>
    <t>Q12.3.5</t>
  </si>
  <si>
    <t>Q12.3.5_52_TEXT</t>
  </si>
  <si>
    <t>Q12.3.6</t>
  </si>
  <si>
    <t>Q12.3.6_52_TEXT</t>
  </si>
  <si>
    <t>Q12.3.7</t>
  </si>
  <si>
    <t>Q12.3.7_52_TEXT</t>
  </si>
  <si>
    <t>Q12.3.8</t>
  </si>
  <si>
    <t>Q12.3.8_52_TEXT</t>
  </si>
  <si>
    <t>Q12.3.9</t>
  </si>
  <si>
    <t>Q12.3.9_52_TEXT</t>
  </si>
  <si>
    <t>Q12.3.10</t>
  </si>
  <si>
    <t>Q12.3.11_1</t>
  </si>
  <si>
    <t>Q12.3.11_4</t>
  </si>
  <si>
    <t>Q12.3.11_5</t>
  </si>
  <si>
    <t>Q12.3.11_6</t>
  </si>
  <si>
    <t>Q12.3.11_7</t>
  </si>
  <si>
    <t>Q12.3.11_8</t>
  </si>
  <si>
    <t>Q12.3.11_9</t>
  </si>
  <si>
    <t>Q12.3.11_10</t>
  </si>
  <si>
    <t>Q12.4.2</t>
  </si>
  <si>
    <t>Q12.4.2_28_TEXT</t>
  </si>
  <si>
    <t>Q12.4.3</t>
  </si>
  <si>
    <t>Q12.4.3_28_TEXT</t>
  </si>
  <si>
    <t>Q12.4.4</t>
  </si>
  <si>
    <t>Q12.4.4_28_TEXT</t>
  </si>
  <si>
    <t>Q12.4.5</t>
  </si>
  <si>
    <t>Q12.4.5_28_TEXT</t>
  </si>
  <si>
    <t>Q12.4.6</t>
  </si>
  <si>
    <t>Q12.4.7_1</t>
  </si>
  <si>
    <t>Q12.4.7_2</t>
  </si>
  <si>
    <t>Q12.4.7_3</t>
  </si>
  <si>
    <t>Q12.4.7_4</t>
  </si>
  <si>
    <t>Q12.5.2</t>
  </si>
  <si>
    <t>Q12.5.2_37_TEXT</t>
  </si>
  <si>
    <t>Q12.5.3</t>
  </si>
  <si>
    <t>Q12.5.3_37_TEXT</t>
  </si>
  <si>
    <t>Q12.5.4</t>
  </si>
  <si>
    <t>Q12.5.4_37_TEXT</t>
  </si>
  <si>
    <t>Q12.5.5</t>
  </si>
  <si>
    <t>Q12.5.5_37_TEXT</t>
  </si>
  <si>
    <t>Q12.5.6</t>
  </si>
  <si>
    <t>Q12.5.7_1</t>
  </si>
  <si>
    <t>Q12.5.7_2</t>
  </si>
  <si>
    <t>Q12.5.7_3</t>
  </si>
  <si>
    <t>Q12.5.7_4</t>
  </si>
  <si>
    <t>Q12.6.2</t>
  </si>
  <si>
    <t>Q12.6.2_45_TEXT</t>
  </si>
  <si>
    <t>Q12.6.3</t>
  </si>
  <si>
    <t>Q12.6.3_45_TEXT</t>
  </si>
  <si>
    <t>Q12.6.4</t>
  </si>
  <si>
    <t>Q12.6.4_45_TEXT</t>
  </si>
  <si>
    <t>Q12.6.5</t>
  </si>
  <si>
    <t>Q12.6.5_45_TEXT</t>
  </si>
  <si>
    <t>Q12.6.6</t>
  </si>
  <si>
    <t>Q12.6.6_45_TEXT</t>
  </si>
  <si>
    <t>Q12.6.7</t>
  </si>
  <si>
    <t>Q12.6.7_45_TEXT</t>
  </si>
  <si>
    <t>Q12.6.8</t>
  </si>
  <si>
    <t>Q12.6.8_9_TEXT</t>
  </si>
  <si>
    <t>Q12.6.9</t>
  </si>
  <si>
    <t>Q12.6.10_1</t>
  </si>
  <si>
    <t>Q12.6.10_2</t>
  </si>
  <si>
    <t>Q12.6.10_3</t>
  </si>
  <si>
    <t>Q12.6.10_4</t>
  </si>
  <si>
    <t>Q12.6.10_5</t>
  </si>
  <si>
    <t>Q12.6.10_6</t>
  </si>
  <si>
    <t>Q12.7.2</t>
  </si>
  <si>
    <t>Q12.7.2_25_TEXT</t>
  </si>
  <si>
    <t>Q12.7.3</t>
  </si>
  <si>
    <t>Q12.7.3_25_TEXT</t>
  </si>
  <si>
    <t>Q12.7.4</t>
  </si>
  <si>
    <t>Q12.7.4_25_TEXT</t>
  </si>
  <si>
    <t>Q12.7.5</t>
  </si>
  <si>
    <t>Q12.7.5_25_TEXT</t>
  </si>
  <si>
    <t>Q12.7.6</t>
  </si>
  <si>
    <t>Q12.7.6_25_TEXT</t>
  </si>
  <si>
    <t>Q12.7.7</t>
  </si>
  <si>
    <t>Q12.7.7_25_TEXT</t>
  </si>
  <si>
    <t>Q12.7.8</t>
  </si>
  <si>
    <t>Q12.7.8_25_TEXT</t>
  </si>
  <si>
    <t>Q12.7.9</t>
  </si>
  <si>
    <t>Q12.7.9_25_TEXT</t>
  </si>
  <si>
    <t>Q12.7.10</t>
  </si>
  <si>
    <t>Q12.7.10_25_TEXT</t>
  </si>
  <si>
    <t>Q12.7.11</t>
  </si>
  <si>
    <t>Q12.7.11_25_TEXT</t>
  </si>
  <si>
    <t>Q12.7.12</t>
  </si>
  <si>
    <t>Q12.7.12_25_TEXT</t>
  </si>
  <si>
    <t>Q12.7.13</t>
  </si>
  <si>
    <t>Q12.7.13_42_TEXT</t>
  </si>
  <si>
    <t>Q12.7.14</t>
  </si>
  <si>
    <t>Q12.7.14_42_TEXT</t>
  </si>
  <si>
    <t>Q12.7.15</t>
  </si>
  <si>
    <t>Q12.7.15_42_TEXT</t>
  </si>
  <si>
    <t>Q12.7.16</t>
  </si>
  <si>
    <t>Q12.7.16_42_TEXT</t>
  </si>
  <si>
    <t>Q12.7.17</t>
  </si>
  <si>
    <t>Q12.7.17_16_TEXT</t>
  </si>
  <si>
    <t>Q12.7.18</t>
  </si>
  <si>
    <t>Q12.7.18_23_TEXT</t>
  </si>
  <si>
    <t>Q12.7.19</t>
  </si>
  <si>
    <t>Q12.7.20_1</t>
  </si>
  <si>
    <t>Q12.7.20_2</t>
  </si>
  <si>
    <t>Q12.7.20_3</t>
  </si>
  <si>
    <t>Q12.7.20_17</t>
  </si>
  <si>
    <t>Q12.7.20_4</t>
  </si>
  <si>
    <t>Q12.7.20_5</t>
  </si>
  <si>
    <t>Q12.7.20_6</t>
  </si>
  <si>
    <t>Q12.7.20_14</t>
  </si>
  <si>
    <t>Q12.7.20_7</t>
  </si>
  <si>
    <t>Q12.7.20_16</t>
  </si>
  <si>
    <t>Q12.7.20_8</t>
  </si>
  <si>
    <t>Q12.7.20_9</t>
  </si>
  <si>
    <t>Q12.7.20_10</t>
  </si>
  <si>
    <t>Q12.7.20_11</t>
  </si>
  <si>
    <t>Q12.7.20_12</t>
  </si>
  <si>
    <t>Q12.7.20_13</t>
  </si>
  <si>
    <t>Q12.7.20_18</t>
  </si>
  <si>
    <t>Q12.8.2</t>
  </si>
  <si>
    <t>Q12.8.2_60_TEXT</t>
  </si>
  <si>
    <t>Q12.8.3</t>
  </si>
  <si>
    <t>Q12.8.3_60_TEXT</t>
  </si>
  <si>
    <t>Q12.8.4</t>
  </si>
  <si>
    <t>Q12.8.4_60_TEXT</t>
  </si>
  <si>
    <t>Q12.8.5</t>
  </si>
  <si>
    <t>Q12.8.5_60_TEXT</t>
  </si>
  <si>
    <t>Q12.8.6</t>
  </si>
  <si>
    <t>Q12.8.6_60_TEXT</t>
  </si>
  <si>
    <t>Q12.8.7</t>
  </si>
  <si>
    <t>Q12.8.7_60_TEXT</t>
  </si>
  <si>
    <t>Q12.8.8</t>
  </si>
  <si>
    <t>Q12.8.8_60_TEXT</t>
  </si>
  <si>
    <t>Q12.8.9</t>
  </si>
  <si>
    <t>Q12.8.10_1</t>
  </si>
  <si>
    <t>Q12.8.10_2</t>
  </si>
  <si>
    <t>Q12.8.10_3</t>
  </si>
  <si>
    <t>Q12.8.10_4</t>
  </si>
  <si>
    <t>Q12.8.10_5</t>
  </si>
  <si>
    <t>Q12.8.10_6</t>
  </si>
  <si>
    <t>Q12.8.10_7</t>
  </si>
  <si>
    <t>Q12.8.11</t>
  </si>
  <si>
    <t>Q12.8.12</t>
  </si>
  <si>
    <t>Q12.9.2</t>
  </si>
  <si>
    <t>Q12.9.2_50_TEXT</t>
  </si>
  <si>
    <t>Q12.9.3</t>
  </si>
  <si>
    <t>Q12.9.3_50_TEXT</t>
  </si>
  <si>
    <t>Q12.9.4</t>
  </si>
  <si>
    <t>Q12.9.4_50_TEXT</t>
  </si>
  <si>
    <t>Q12.9.5</t>
  </si>
  <si>
    <t>Q12.9.5_50_TEXT</t>
  </si>
  <si>
    <t>Q12.9.6</t>
  </si>
  <si>
    <t>Q12.9.6_50_TEXT</t>
  </si>
  <si>
    <t>Q12.9.7</t>
  </si>
  <si>
    <t>Q12.9.7_50_TEXT</t>
  </si>
  <si>
    <t>Q12.9.8</t>
  </si>
  <si>
    <t>Q12.9.8_50_TEXT</t>
  </si>
  <si>
    <t>Q12.9.9</t>
  </si>
  <si>
    <t>Q12.9.10_1</t>
  </si>
  <si>
    <t>Q12.9.10_2</t>
  </si>
  <si>
    <t>Q12.9.10_3</t>
  </si>
  <si>
    <t>Q12.9.10_4</t>
  </si>
  <si>
    <t>Q12.9.10_5</t>
  </si>
  <si>
    <t>Q12.9.10_6</t>
  </si>
  <si>
    <t>Q12.9.10_7</t>
  </si>
  <si>
    <t>Q12.10.2</t>
  </si>
  <si>
    <t>Q12.10.2_28_TEXT</t>
  </si>
  <si>
    <t>Q12.10.3</t>
  </si>
  <si>
    <t>Q12.10.3_28_TEXT</t>
  </si>
  <si>
    <t>Q12.10.4</t>
  </si>
  <si>
    <t>Q12.10.4_28_TEXT</t>
  </si>
  <si>
    <t>Q12.10.5</t>
  </si>
  <si>
    <t>Q12.10.5_28_TEXT</t>
  </si>
  <si>
    <t>Q12.10.6</t>
  </si>
  <si>
    <t>Q12.10.6_28_TEXT</t>
  </si>
  <si>
    <t>Q12.10.7</t>
  </si>
  <si>
    <t>Q12.10.8_1</t>
  </si>
  <si>
    <t>Q12.10.8_2</t>
  </si>
  <si>
    <t>Q12.10.8_3</t>
  </si>
  <si>
    <t>Q12.10.8_4</t>
  </si>
  <si>
    <t>Q12.10.8_5</t>
  </si>
  <si>
    <t>Q12.10.10</t>
  </si>
  <si>
    <t>Q12.10.10_58_TEXT</t>
  </si>
  <si>
    <t>Q12.10.11</t>
  </si>
  <si>
    <t>Q12.10.11_58_TEXT</t>
  </si>
  <si>
    <t>Q12.10.12</t>
  </si>
  <si>
    <t>Q12.10.12_58_TEXT</t>
  </si>
  <si>
    <t>Q12.10.13</t>
  </si>
  <si>
    <t>Q12.10.13_58_TEXT</t>
  </si>
  <si>
    <t>Q12.10.14</t>
  </si>
  <si>
    <t>Q12.10.14_58_TEXT</t>
  </si>
  <si>
    <t>Q12.10.15</t>
  </si>
  <si>
    <t>Q12.10.15_58_TEXT</t>
  </si>
  <si>
    <t>Q12.10.16</t>
  </si>
  <si>
    <t>Q12.10.16_58_TEXT</t>
  </si>
  <si>
    <t>Q12.10.17</t>
  </si>
  <si>
    <t>Q12.10.17_58_TEXT</t>
  </si>
  <si>
    <t>Q12.10.18</t>
  </si>
  <si>
    <t>Q12.10.19_1</t>
  </si>
  <si>
    <t>Q12.10.19_4</t>
  </si>
  <si>
    <t>Q12.10.19_5</t>
  </si>
  <si>
    <t>Q12.10.19_6</t>
  </si>
  <si>
    <t>Q12.10.19_7</t>
  </si>
  <si>
    <t>Q12.10.19_8</t>
  </si>
  <si>
    <t>Q12.10.19_9</t>
  </si>
  <si>
    <t>Q12.10.19_10</t>
  </si>
  <si>
    <t>Q12.10.21</t>
  </si>
  <si>
    <t>Q12.10.21_42_TEXT</t>
  </si>
  <si>
    <t>Q12.10.22</t>
  </si>
  <si>
    <t>Q12.10.22_42_TEXT</t>
  </si>
  <si>
    <t>Q12.10.23</t>
  </si>
  <si>
    <t>Q12.10.23_42_TEXT</t>
  </si>
  <si>
    <t>Q12.10.24</t>
  </si>
  <si>
    <t>Q12.10.24_42_TEXT</t>
  </si>
  <si>
    <t>Q12.10.25</t>
  </si>
  <si>
    <t>Q12.10.25_42_TEXT</t>
  </si>
  <si>
    <t>Q12.10.26</t>
  </si>
  <si>
    <t>Q12.10.26_42_TEXT</t>
  </si>
  <si>
    <t>Q12.10.27</t>
  </si>
  <si>
    <t>Q12.10.27_42_TEXT</t>
  </si>
  <si>
    <t>Q12.10.28</t>
  </si>
  <si>
    <t>Q12.10.29_1</t>
  </si>
  <si>
    <t>Q12.10.29_2</t>
  </si>
  <si>
    <t>Q12.10.29_3</t>
  </si>
  <si>
    <t>Q12.10.29_4</t>
  </si>
  <si>
    <t>Q12.10.29_5</t>
  </si>
  <si>
    <t>Q12.10.29_6</t>
  </si>
  <si>
    <t>Q12.10.29_7</t>
  </si>
  <si>
    <t>Q12.10.31</t>
  </si>
  <si>
    <t>Q12.10.31_38_TEXT</t>
  </si>
  <si>
    <t>Q12.10.32</t>
  </si>
  <si>
    <t>Q12.10.32_38_TEXT</t>
  </si>
  <si>
    <t>Q12.10.33</t>
  </si>
  <si>
    <t>Q12.10.33_38_TEXT</t>
  </si>
  <si>
    <t>Q12.10.34</t>
  </si>
  <si>
    <t>Q12.10.34_38_TEXT</t>
  </si>
  <si>
    <t>Q12.10.35</t>
  </si>
  <si>
    <t>Q12.10.35_38_TEXT</t>
  </si>
  <si>
    <t>Q12.10.36</t>
  </si>
  <si>
    <t>Q12.10.36_38_TEXT</t>
  </si>
  <si>
    <t>Q12.10.37</t>
  </si>
  <si>
    <t>Q12.10.37_38_TEXT</t>
  </si>
  <si>
    <t>Q12.10.38</t>
  </si>
  <si>
    <t>Q12.10.39_1</t>
  </si>
  <si>
    <t>Q12.10.39_2</t>
  </si>
  <si>
    <t>Q12.10.39_3</t>
  </si>
  <si>
    <t>Q12.10.39_4</t>
  </si>
  <si>
    <t>Q12.10.39_5</t>
  </si>
  <si>
    <t>Q12.10.39_6</t>
  </si>
  <si>
    <t>Q12.10.39_7</t>
  </si>
  <si>
    <t>Q12.11.2</t>
  </si>
  <si>
    <t>Q12.11.2_78_TEXT</t>
  </si>
  <si>
    <t>Q12.11.3</t>
  </si>
  <si>
    <t>Q12.11.3_78_TEXT</t>
  </si>
  <si>
    <t>Q12.11.4</t>
  </si>
  <si>
    <t>Q12.11.4_78_TEXT</t>
  </si>
  <si>
    <t>Q12.11.5</t>
  </si>
  <si>
    <t>Q12.11.5_78_TEXT</t>
  </si>
  <si>
    <t>Q12.11.6</t>
  </si>
  <si>
    <t>Q12.11.6_78_TEXT</t>
  </si>
  <si>
    <t>Q12.11.7</t>
  </si>
  <si>
    <t>Q12.11.7_78_TEXT</t>
  </si>
  <si>
    <t>Q12.11.8</t>
  </si>
  <si>
    <t>Q12.11.8_78_TEXT</t>
  </si>
  <si>
    <t>Q12.11.9</t>
  </si>
  <si>
    <t>Q12.11.9_78_TEXT</t>
  </si>
  <si>
    <t>Q12.11.10</t>
  </si>
  <si>
    <t>Q12.11.10_78_TEXT</t>
  </si>
  <si>
    <t>Q12.11.11</t>
  </si>
  <si>
    <t>Q12.11.12_1</t>
  </si>
  <si>
    <t>Q12.11.12_2</t>
  </si>
  <si>
    <t>Q12.11.12_3</t>
  </si>
  <si>
    <t>Q12.11.12_4</t>
  </si>
  <si>
    <t>Q12.11.12_13</t>
  </si>
  <si>
    <t>Q12.11.12_5</t>
  </si>
  <si>
    <t>Q12.11.12_6</t>
  </si>
  <si>
    <t>Q12.11.12_7</t>
  </si>
  <si>
    <t>Q12.11.12_8</t>
  </si>
  <si>
    <t>Q12.12.2</t>
  </si>
  <si>
    <t>Q12.12.2_20_TEXT</t>
  </si>
  <si>
    <t>Q12.12.3</t>
  </si>
  <si>
    <t>Q12.12.3_13_TEXT</t>
  </si>
  <si>
    <t>Q12.12.4</t>
  </si>
  <si>
    <t>Q12.12.4_13_TEXT</t>
  </si>
  <si>
    <t>Q12.12.5</t>
  </si>
  <si>
    <t>Q12.12.5_18_TEXT</t>
  </si>
  <si>
    <t>Q12.12.6</t>
  </si>
  <si>
    <t>Q12.12.6_15_TEXT</t>
  </si>
  <si>
    <t>Q12.12.7</t>
  </si>
  <si>
    <t>Q12.12.7_11_TEXT</t>
  </si>
  <si>
    <t>Q12.12.8</t>
  </si>
  <si>
    <t>Q12.12.8_24_TEXT</t>
  </si>
  <si>
    <t>Q12.12.9</t>
  </si>
  <si>
    <t>Q12.12.9_8_TEXT</t>
  </si>
  <si>
    <t>Q12.12.10</t>
  </si>
  <si>
    <t>Q12.12.11_1</t>
  </si>
  <si>
    <t>Q12.12.11_2</t>
  </si>
  <si>
    <t>Q12.12.11_3</t>
  </si>
  <si>
    <t>Q12.12.11_4</t>
  </si>
  <si>
    <t>Q12.12.11_5</t>
  </si>
  <si>
    <t>Q12.12.11_6</t>
  </si>
  <si>
    <t>Q12.12.11_7</t>
  </si>
  <si>
    <t>Q12.12.11_8</t>
  </si>
  <si>
    <t>Q12.13.2</t>
  </si>
  <si>
    <t>Hyas Group,Mercer,Vanguard</t>
  </si>
  <si>
    <t>Hyas Group,Mercer</t>
  </si>
  <si>
    <t>Mercer</t>
  </si>
  <si>
    <t>Hyas Group</t>
  </si>
  <si>
    <t>Hyas Group,Vanguard</t>
  </si>
  <si>
    <t>bswift</t>
  </si>
  <si>
    <t>Benz Communications,ROI</t>
  </si>
  <si>
    <t>Benz Communications,bswift</t>
  </si>
  <si>
    <t>Benz Communications</t>
  </si>
  <si>
    <t>Guidespark</t>
  </si>
  <si>
    <t>No vendor employed</t>
  </si>
  <si>
    <t>Perkins Coie</t>
  </si>
  <si>
    <t>Ultipro</t>
  </si>
  <si>
    <t>Aetna,Hawaii Medical Service Assoc (HMSA),Kaiser</t>
  </si>
  <si>
    <t>Aetna,Kaiser</t>
  </si>
  <si>
    <t>Delta Dental</t>
  </si>
  <si>
    <t>Vision Service Plan (VSP)</t>
  </si>
  <si>
    <t>AccessHope,Best Doctors,Through health plans (e.g., UHC, Cigna)</t>
  </si>
  <si>
    <t>CareCounsel,Mercer Health Advantage,Through health plans (e.g., UHC, Cigna)</t>
  </si>
  <si>
    <t>AccessHope,Best Doctors,Mercer Health Advantage</t>
  </si>
  <si>
    <t>Through health plans (e.g., UHC, Cigna)</t>
  </si>
  <si>
    <t>One Medical Group</t>
  </si>
  <si>
    <t>Teladoc</t>
  </si>
  <si>
    <t>Able To,Headspace,Other, please specify:</t>
  </si>
  <si>
    <t>Spring Health</t>
  </si>
  <si>
    <t>Life Dojo</t>
  </si>
  <si>
    <t>Through health plans (e.g., UHC, Cigna),Other, please specify:</t>
  </si>
  <si>
    <t>Spring Health EAP</t>
  </si>
  <si>
    <t>My Secure Advantage,Through EAP</t>
  </si>
  <si>
    <t>CVS,Other, please specify:</t>
  </si>
  <si>
    <t>Business Health Affiliates</t>
  </si>
  <si>
    <t>Benz Communications,EXOS (Medifit),Through health plans (e.g., UHC, Cigna)</t>
  </si>
  <si>
    <t>EXOS (Medifit),Through health plans (e.g., UHC, Cigna),Other, please specify:</t>
  </si>
  <si>
    <t>Bon Appetit</t>
  </si>
  <si>
    <t>EXOS (Medifit)</t>
  </si>
  <si>
    <t>Bon Appetit for nutrition coaching</t>
  </si>
  <si>
    <t>WellnessFX</t>
  </si>
  <si>
    <t>International SOS</t>
  </si>
  <si>
    <t>Transamerica</t>
  </si>
  <si>
    <t>Bright Horizons,Transamerica</t>
  </si>
  <si>
    <t>Bright Horizons</t>
  </si>
  <si>
    <t>transamerica</t>
  </si>
  <si>
    <t>TRI-AD</t>
  </si>
  <si>
    <t>Hood Strong</t>
  </si>
  <si>
    <t>Commuter Check DIrect</t>
  </si>
  <si>
    <t>Liberty Mutual</t>
  </si>
  <si>
    <t>Chubb (ACE)</t>
  </si>
  <si>
    <t>Tri-Star</t>
  </si>
  <si>
    <t>Vanguard</t>
  </si>
  <si>
    <t>Nolan Financial</t>
  </si>
  <si>
    <t>Reliance Trust</t>
  </si>
  <si>
    <t>Hyatt Legal (MetLaw, MetLife Company)</t>
  </si>
  <si>
    <t>Fond</t>
  </si>
  <si>
    <t>Altair Global Relocation</t>
  </si>
  <si>
    <t>MTM Recognition</t>
  </si>
  <si>
    <t>Benevity - One World</t>
  </si>
  <si>
    <t>Keypoint Credit Union</t>
  </si>
  <si>
    <t>Mobile Pros,MyDetailer</t>
  </si>
  <si>
    <t>Purple Tie</t>
  </si>
  <si>
    <t>Independent</t>
  </si>
  <si>
    <t>FedEx</t>
  </si>
  <si>
    <t>No vendors going to bid next year</t>
  </si>
  <si>
    <t>Willis Towers Watson</t>
  </si>
  <si>
    <t>Callan and Associates</t>
  </si>
  <si>
    <t>ADP</t>
  </si>
  <si>
    <t>Trucker Huss</t>
  </si>
  <si>
    <t>Aetna,Anthem,Kaiser</t>
  </si>
  <si>
    <t>Magellan</t>
  </si>
  <si>
    <t>Castlight</t>
  </si>
  <si>
    <t>John Hancock</t>
  </si>
  <si>
    <t>Fidelity</t>
  </si>
  <si>
    <t>Moss Adams (Mohler, Nixon &amp; Williams)</t>
  </si>
  <si>
    <t>Cigna</t>
  </si>
  <si>
    <t>Sedgwick</t>
  </si>
  <si>
    <t>Fidelity,Financial Engines</t>
  </si>
  <si>
    <t>Cartus</t>
  </si>
  <si>
    <t>Eurest Food Services</t>
  </si>
  <si>
    <t>Disability Claims Administrator,Disability Management (STD and LTD),Life/AD&amp;D,Short-Term Disability (STD) Administrator,Wellness Portal Vendor(s)</t>
  </si>
  <si>
    <t>ABD Insurance</t>
  </si>
  <si>
    <t>McFadden and Thorpe</t>
  </si>
  <si>
    <t>DLA Piper</t>
  </si>
  <si>
    <t>Anthem,Hawaii Medical Service Assoc (HMSA),Kaiser</t>
  </si>
  <si>
    <t>Express Scripts</t>
  </si>
  <si>
    <t>Lyra Health</t>
  </si>
  <si>
    <t>Anthem</t>
  </si>
  <si>
    <t>One Medical Group,Through health plans (e.g., UHC, Cigna)</t>
  </si>
  <si>
    <t>Headspace,Lyra Health</t>
  </si>
  <si>
    <t>AYCO</t>
  </si>
  <si>
    <t>One Medical</t>
  </si>
  <si>
    <t>Ayco,Lyra Health,Wellthy</t>
  </si>
  <si>
    <t>Cleo,Progyny,Wellthy</t>
  </si>
  <si>
    <t>Bright Horizons,Wellthy</t>
  </si>
  <si>
    <t>Bright Horizons,Cleo,Wellthy</t>
  </si>
  <si>
    <t>Bright Horizons,Care.com</t>
  </si>
  <si>
    <t>Navia Benefits Solutions</t>
  </si>
  <si>
    <t>Vita</t>
  </si>
  <si>
    <t>Prudential Life Insurance</t>
  </si>
  <si>
    <t>Zurich</t>
  </si>
  <si>
    <t>Graebel Relocation Services</t>
  </si>
  <si>
    <t>Dental,Long-Term Care</t>
  </si>
  <si>
    <t>Aon Hewitt</t>
  </si>
  <si>
    <t>Morgan Stanley</t>
  </si>
  <si>
    <t>UNUM</t>
  </si>
  <si>
    <t>AIG</t>
  </si>
  <si>
    <t>Aon Hewitt,Mercer</t>
  </si>
  <si>
    <t>Latham &amp; Watkins LLP</t>
  </si>
  <si>
    <t>Empyrean,SAP,Success Factors</t>
  </si>
  <si>
    <t>SAP</t>
  </si>
  <si>
    <t>Empyrean,Thomson Reuters</t>
  </si>
  <si>
    <t>Anthem,Kaiser</t>
  </si>
  <si>
    <t>Consumer Medical</t>
  </si>
  <si>
    <t>LiveHealth Online,Through health plans (e.g., UHC, Cigna)</t>
  </si>
  <si>
    <t>LifeWorks</t>
  </si>
  <si>
    <t>meQuilibrium</t>
  </si>
  <si>
    <t>LifeCare,Through EAP</t>
  </si>
  <si>
    <t>Safeway,Other, please specify:</t>
  </si>
  <si>
    <t>Maxim was acquired by LabCorp. We use LabCorp</t>
  </si>
  <si>
    <t>Onsite Fitness Centers</t>
  </si>
  <si>
    <t>LabCorp</t>
  </si>
  <si>
    <t>LifeCare</t>
  </si>
  <si>
    <t>MetLife</t>
  </si>
  <si>
    <t>Empyrean</t>
  </si>
  <si>
    <t>Through medical plan</t>
  </si>
  <si>
    <t>Holtzman Partners</t>
  </si>
  <si>
    <t>Ernst &amp; Young,Holtzman Partners</t>
  </si>
  <si>
    <t>Farmers via Met Life</t>
  </si>
  <si>
    <t>Hyatt Legal (MetLaw, MetLife Company),MetLife</t>
  </si>
  <si>
    <t>Aires</t>
  </si>
  <si>
    <t>Fooda</t>
  </si>
  <si>
    <t>FedEx,UPS</t>
  </si>
  <si>
    <t>Mercer,Willis Towers Watson</t>
  </si>
  <si>
    <t>AJ Gallagher</t>
  </si>
  <si>
    <t>Miller &amp; Chevalier</t>
  </si>
  <si>
    <t>Aetna,Kaiser,UnitedHealthcare</t>
  </si>
  <si>
    <t>Optum,OptumRX</t>
  </si>
  <si>
    <t>United Behavioral Health</t>
  </si>
  <si>
    <t>Advance Medical</t>
  </si>
  <si>
    <t>Stanford Health Navigator</t>
  </si>
  <si>
    <t>Crossover Health</t>
  </si>
  <si>
    <t>ComPsych</t>
  </si>
  <si>
    <t>Optum Health</t>
  </si>
  <si>
    <t>Through EAP</t>
  </si>
  <si>
    <t>Bright Horizons,ComPsych</t>
  </si>
  <si>
    <t>Optum (Optum Bank)</t>
  </si>
  <si>
    <t>UnitedHealthcare</t>
  </si>
  <si>
    <t>Ernst &amp; Young</t>
  </si>
  <si>
    <t>Securian</t>
  </si>
  <si>
    <t>Empower Retirement</t>
  </si>
  <si>
    <t>The Newport Group</t>
  </si>
  <si>
    <t>Financial Knowledge</t>
  </si>
  <si>
    <t>General Physics</t>
  </si>
  <si>
    <t>Passport Unlimited</t>
  </si>
  <si>
    <t>Bank of America</t>
  </si>
  <si>
    <t>Infinite Massage</t>
  </si>
  <si>
    <t>Farm Fresh to You,The Fruit Guys</t>
  </si>
  <si>
    <t>Neopost</t>
  </si>
  <si>
    <t>John Paul Concierge Services</t>
  </si>
  <si>
    <t>Aon Hewitt,Mercer,Willis Towers Watson</t>
  </si>
  <si>
    <t>Capacuity</t>
  </si>
  <si>
    <t>JellyVision,Willis Towers Watson</t>
  </si>
  <si>
    <t>SOVOS</t>
  </si>
  <si>
    <t>Winston &amp; Strawn</t>
  </si>
  <si>
    <t>Collaborative,CVS,Kaiser</t>
  </si>
  <si>
    <t>Aetna</t>
  </si>
  <si>
    <t>Aetna carved in</t>
  </si>
  <si>
    <t>2ndMD</t>
  </si>
  <si>
    <t>Resources for Living</t>
  </si>
  <si>
    <t>Calm</t>
  </si>
  <si>
    <t>Crossover Health,Weight Watchers</t>
  </si>
  <si>
    <t>Livongo (eff. 2/28/2022)</t>
  </si>
  <si>
    <t>Health Fitness</t>
  </si>
  <si>
    <t>Crossover Health,Health Fitness</t>
  </si>
  <si>
    <t>International SOS,Other, please specify:</t>
  </si>
  <si>
    <t>SOS (Survivor Outreach Services)</t>
  </si>
  <si>
    <t>Via Benefits (Formally One Exchange)</t>
  </si>
  <si>
    <t>Armanino</t>
  </si>
  <si>
    <t>Prudential Life Insurance,Sedgwick</t>
  </si>
  <si>
    <t>CorVel Corporation</t>
  </si>
  <si>
    <t>Matrix Trust Company</t>
  </si>
  <si>
    <t>ARAG</t>
  </si>
  <si>
    <t>Nationwide</t>
  </si>
  <si>
    <t>Edcor (mid-year implementation)</t>
  </si>
  <si>
    <t>NEI Global Relocation</t>
  </si>
  <si>
    <t>O.C. Tanner</t>
  </si>
  <si>
    <t>Perk Spot</t>
  </si>
  <si>
    <t>YourCause</t>
  </si>
  <si>
    <t>First Tech CU,Tech CU</t>
  </si>
  <si>
    <t>Booster</t>
  </si>
  <si>
    <t>Aramark</t>
  </si>
  <si>
    <t>Ricoh</t>
  </si>
  <si>
    <t>Carlson Wagonlit</t>
  </si>
  <si>
    <t>Elite Cleaners</t>
  </si>
  <si>
    <t>401(k) Investment Consultants,Dental,International Consultants/Brokers</t>
  </si>
  <si>
    <t>Woodruff-Sawyer &amp; Co</t>
  </si>
  <si>
    <t>Aon Hewitt,Mercer,Other, please specify:</t>
  </si>
  <si>
    <t>Lockton</t>
  </si>
  <si>
    <t>Benz Communications,Workday</t>
  </si>
  <si>
    <t>Wilson Sonsini Goodrich and Rosati (WSGR)</t>
  </si>
  <si>
    <t>Lyra Health,Through health plans (e.g., UHC, Cigna)</t>
  </si>
  <si>
    <t>Aetna,Cigna Global/International</t>
  </si>
  <si>
    <t>Voya</t>
  </si>
  <si>
    <t>Grand Rounds</t>
  </si>
  <si>
    <t>CareCounsel</t>
  </si>
  <si>
    <t>Sanvello</t>
  </si>
  <si>
    <t>GlobalFit</t>
  </si>
  <si>
    <t>benefitexpress</t>
  </si>
  <si>
    <t>AIG,AIG Affiliate - National Union Fire Company PA</t>
  </si>
  <si>
    <t>Prudential Life Insurance,The Larkin Company</t>
  </si>
  <si>
    <t>Sentry Insurance</t>
  </si>
  <si>
    <t>Globalforce</t>
  </si>
  <si>
    <t>Guckenheimer</t>
  </si>
  <si>
    <t>BusinessSolver</t>
  </si>
  <si>
    <t>BusinessSolver,Through health plans (e.g., UHC, Cigna),Woodruff Sawyer</t>
  </si>
  <si>
    <t>Morgan, Lewis and Bockius LLP</t>
  </si>
  <si>
    <t>ADP,ProBusiness</t>
  </si>
  <si>
    <t>Businessolver</t>
  </si>
  <si>
    <t>Kaiser,Tufts,UnitedHealthcare</t>
  </si>
  <si>
    <t>Kaiser,OptumRX,Tufts</t>
  </si>
  <si>
    <t>Kaiser,Tufts,United Behavioral Health</t>
  </si>
  <si>
    <t>United Healthcare</t>
  </si>
  <si>
    <t>Best Doctors</t>
  </si>
  <si>
    <t>Best Doctors,Through health plans (e.g., UHC, Cigna)</t>
  </si>
  <si>
    <t>PAMF Care-a-Van</t>
  </si>
  <si>
    <t>Xsite Health Services</t>
  </si>
  <si>
    <t>Headspace,Optum Health</t>
  </si>
  <si>
    <t>Headspace,Through health plans (e.g., UHC, Cigna)</t>
  </si>
  <si>
    <t>Real Appeal</t>
  </si>
  <si>
    <t>Safeway</t>
  </si>
  <si>
    <t>Virgin,Virgin - Global Corporate Challenge (GCC)</t>
  </si>
  <si>
    <t>Time Out</t>
  </si>
  <si>
    <t>Bright Horizons,Cleo</t>
  </si>
  <si>
    <t>BenefitsSolver</t>
  </si>
  <si>
    <t>BenefitsSolver,Workday</t>
  </si>
  <si>
    <t>HealthEquity,WageWorks</t>
  </si>
  <si>
    <t>Milliman</t>
  </si>
  <si>
    <t>Lincoln Financial</t>
  </si>
  <si>
    <t>Matrix Absence Management</t>
  </si>
  <si>
    <t>Travelers</t>
  </si>
  <si>
    <t>MetLife (Retirewise)</t>
  </si>
  <si>
    <t>Odyssey Relocation Management</t>
  </si>
  <si>
    <t>Tech CU</t>
  </si>
  <si>
    <t>MyDetailer</t>
  </si>
  <si>
    <t>UPS</t>
  </si>
  <si>
    <t>Charles Schwab</t>
  </si>
  <si>
    <t>Strategic Factory</t>
  </si>
  <si>
    <t>American Benefits Council (ABC),Other, please specify:</t>
  </si>
  <si>
    <t>Smith &amp; Downey</t>
  </si>
  <si>
    <t>Collaborative,CVS</t>
  </si>
  <si>
    <t>CuraLinc, Spring Health</t>
  </si>
  <si>
    <t>Livongo,Through health plans (e.g., UHC, Cigna)</t>
  </si>
  <si>
    <t>CuraLinc</t>
  </si>
  <si>
    <t>SoFi,Through EAP,Other, please specify:</t>
  </si>
  <si>
    <t>Enrich</t>
  </si>
  <si>
    <t>Virgin</t>
  </si>
  <si>
    <t>Through health plans (e.g., UHC, Cigna),Virgin</t>
  </si>
  <si>
    <t>Chubb</t>
  </si>
  <si>
    <t>PayFlex</t>
  </si>
  <si>
    <t>Liberty Mutual,Other, please specify:</t>
  </si>
  <si>
    <t>Liberty Mutual sold business to Lincoln Financial Group</t>
  </si>
  <si>
    <t>Lincoln Financial Group</t>
  </si>
  <si>
    <t>Farmers Insurance</t>
  </si>
  <si>
    <t>Dental</t>
  </si>
  <si>
    <t>American Benefits Consulting</t>
  </si>
  <si>
    <t>Alight Solutions,Conduent</t>
  </si>
  <si>
    <t>PartnerComm</t>
  </si>
  <si>
    <t>Ernst and Young,PartnerComm</t>
  </si>
  <si>
    <t>Orrick, Herrington &amp; Sutcliffe</t>
  </si>
  <si>
    <t>Human Capital Management Systems</t>
  </si>
  <si>
    <t>Aetna,Cigna,UnitedHealthcare</t>
  </si>
  <si>
    <t>CVS</t>
  </si>
  <si>
    <t>United Healthcare,Cigna,Aetna</t>
  </si>
  <si>
    <t>Alight Solutions,Conduent,Stanford Health Navigator</t>
  </si>
  <si>
    <t>SWORD - effective 8/1/22</t>
  </si>
  <si>
    <t>Stanford Hospital &amp; Clinics</t>
  </si>
  <si>
    <t>Optum Health,Potential Project,Vida</t>
  </si>
  <si>
    <t>Vida</t>
  </si>
  <si>
    <t>Health Fitness,L&amp;T Health and Fitness,Optum</t>
  </si>
  <si>
    <t>BaySport,Health Fitness</t>
  </si>
  <si>
    <t>AG Sieben &amp; Associates</t>
  </si>
  <si>
    <t>Wellthy</t>
  </si>
  <si>
    <t>Optum,Wellthy</t>
  </si>
  <si>
    <t>Bright Horizons,Kindercare</t>
  </si>
  <si>
    <t>Kindercare,Wellthy</t>
  </si>
  <si>
    <t>Aflac</t>
  </si>
  <si>
    <t>COBRA Administrator</t>
  </si>
  <si>
    <t>Alliant,Morgan Stanley</t>
  </si>
  <si>
    <t>Alliant</t>
  </si>
  <si>
    <t>Marsh,Mercer</t>
  </si>
  <si>
    <t>Goodwin Proctor</t>
  </si>
  <si>
    <t>ADP,Workday</t>
  </si>
  <si>
    <t>Cigna,Kaiser</t>
  </si>
  <si>
    <t>Cigna,Kaiser,Other, please specify:</t>
  </si>
  <si>
    <t>Workplace Options EAP</t>
  </si>
  <si>
    <t>Cancer Guardian</t>
  </si>
  <si>
    <t>HealthAdvocate</t>
  </si>
  <si>
    <t>Livongo</t>
  </si>
  <si>
    <t>Workplace Options</t>
  </si>
  <si>
    <t>meQuilibrium,Workplace Options</t>
  </si>
  <si>
    <t>Through health plans (e.g., UHC, Cigna),Weight Watchers</t>
  </si>
  <si>
    <t>Health Advocate,Through health plans (e.g., UHC, Cigna)</t>
  </si>
  <si>
    <t>HSA Bank</t>
  </si>
  <si>
    <t>Discovery Benefits</t>
  </si>
  <si>
    <t>The Hartford</t>
  </si>
  <si>
    <t>Alliance Bernstein L.P.</t>
  </si>
  <si>
    <t>LegalShield</t>
  </si>
  <si>
    <t>Globalforce,Other, please specify:</t>
  </si>
  <si>
    <t>WorkHuman</t>
  </si>
  <si>
    <t>Abenity</t>
  </si>
  <si>
    <t>BluRoo</t>
  </si>
  <si>
    <t>Cafeteria Vendor</t>
  </si>
  <si>
    <t>Internal services used</t>
  </si>
  <si>
    <t>Fidelity,Willis Towers Watson</t>
  </si>
  <si>
    <t>Alight Solutions</t>
  </si>
  <si>
    <t>Alight Solutions,Ernst and Young</t>
  </si>
  <si>
    <t>Groom Law Group,Locke Lord</t>
  </si>
  <si>
    <t>OptumInsights</t>
  </si>
  <si>
    <t>Aetna,Blue Cross,Kaiser</t>
  </si>
  <si>
    <t>Lyra Health,meQuilibrium,Whil</t>
  </si>
  <si>
    <t>No specific vendor.  Covered through medical and Rx vendors.</t>
  </si>
  <si>
    <t>Premise Health</t>
  </si>
  <si>
    <t>Torchlight</t>
  </si>
  <si>
    <t>CIGNA</t>
  </si>
  <si>
    <t>Deloitte &amp; Touche,Price Waterhouse Coopers (PwC),Willis Towers Watson</t>
  </si>
  <si>
    <t>Alight Solutions,Optum (Optum Bank)</t>
  </si>
  <si>
    <t>Cigna,Sedgwick</t>
  </si>
  <si>
    <t>LibertyMutual,MetLife,Travelers Insurance</t>
  </si>
  <si>
    <t>EdAssist</t>
  </si>
  <si>
    <t>Benefits Hub</t>
  </si>
  <si>
    <t>BenePlace</t>
  </si>
  <si>
    <t>Wells Fargo</t>
  </si>
  <si>
    <t>Sequoia Consulting Group</t>
  </si>
  <si>
    <t>Vision Service Plan (VSP),Other, please specify:</t>
  </si>
  <si>
    <t>XP Health</t>
  </si>
  <si>
    <t>Care.com,Grayce</t>
  </si>
  <si>
    <t>Care.com</t>
  </si>
  <si>
    <t>Navia Benefits Solutions,Via Benefits (Formally One Exchange)</t>
  </si>
  <si>
    <t>Rocket Lawyer</t>
  </si>
  <si>
    <t>Pets Best</t>
  </si>
  <si>
    <t>Applyist</t>
  </si>
  <si>
    <t>Long-Term Disability Carrier/Administrator,Short-Term Disability (STD) Administrator</t>
  </si>
  <si>
    <t>Mercer,Richter International</t>
  </si>
  <si>
    <t>GuideSpark</t>
  </si>
  <si>
    <t>Truven</t>
  </si>
  <si>
    <t>Anthem,Kaiser,Select Health</t>
  </si>
  <si>
    <t>Anthem,Lyra Health</t>
  </si>
  <si>
    <t>Kaiser Mobile Health Vehicle</t>
  </si>
  <si>
    <t>LiveHealth Online,Through health plans (e.g., UHC, Cigna),Other, please specify:</t>
  </si>
  <si>
    <t>Catapult</t>
  </si>
  <si>
    <t>Grokker,Lyra Health,Vida</t>
  </si>
  <si>
    <t>Through health plans (e.g., UHC, Cigna),Vida</t>
  </si>
  <si>
    <t>Grokker,Vida</t>
  </si>
  <si>
    <t>Total Wellness</t>
  </si>
  <si>
    <t>Grokker</t>
  </si>
  <si>
    <t>Lyra and Grokker</t>
  </si>
  <si>
    <t>Care.com,Cleo</t>
  </si>
  <si>
    <t>Liberty Mutual,Sedgwick</t>
  </si>
  <si>
    <t>Office Lube,Siteler Wash</t>
  </si>
  <si>
    <t>7 Star Cleaners</t>
  </si>
  <si>
    <t>BusinessSolver,Mercer</t>
  </si>
  <si>
    <t>American Benefits Council (ABC)</t>
  </si>
  <si>
    <t>Modern Health</t>
  </si>
  <si>
    <t>Maxim</t>
  </si>
  <si>
    <t>M Benefits</t>
  </si>
  <si>
    <t>Broadridge (Matrix Trust) Financial Solutions</t>
  </si>
  <si>
    <t>ARAG,Rocket Lawyer</t>
  </si>
  <si>
    <t>Tuition.io</t>
  </si>
  <si>
    <t>Perks at Work</t>
  </si>
  <si>
    <t>Provident CU</t>
  </si>
  <si>
    <t>Anchor Auto Body</t>
  </si>
  <si>
    <t>PartnerComm,Willis Towers Watson</t>
  </si>
  <si>
    <t>PartnerComm,Other, please specify:</t>
  </si>
  <si>
    <t>NearFuture</t>
  </si>
  <si>
    <t>Venable</t>
  </si>
  <si>
    <t>HDMS</t>
  </si>
  <si>
    <t>Hawaii Medical Service Assoc (HMSA),Kaiser,Other, please specify:</t>
  </si>
  <si>
    <t>Meritain Health</t>
  </si>
  <si>
    <t>Using Best Doctors thru Teladoc Health</t>
  </si>
  <si>
    <t>Accolade</t>
  </si>
  <si>
    <t>Accolade,Crossover Health</t>
  </si>
  <si>
    <t>AccessHope,Other, please specify:</t>
  </si>
  <si>
    <t>Progyny</t>
  </si>
  <si>
    <t>Onsite Dental</t>
  </si>
  <si>
    <t>Crossover Health,Other, please specify:</t>
  </si>
  <si>
    <t>Onsite Dental, VSP</t>
  </si>
  <si>
    <t>Teladoc Health</t>
  </si>
  <si>
    <t>Headspace,Lyra Health,Other, please specify:</t>
  </si>
  <si>
    <t>Crossover Health,Lyra Health</t>
  </si>
  <si>
    <t>Crossover Health,Lyra Health,Plus One (+1), An Optum Company</t>
  </si>
  <si>
    <t>Through EAP,Other, please specify:</t>
  </si>
  <si>
    <t>Financial Finesse</t>
  </si>
  <si>
    <t>Crossover Health,CVS</t>
  </si>
  <si>
    <t>myStrength was discontinued through Lyra</t>
  </si>
  <si>
    <t>We do not have a vendor specifically for Wellness, however many of our vendors do include health and wellness information on their websites.</t>
  </si>
  <si>
    <t>Plus One (+1) - An Optum Company</t>
  </si>
  <si>
    <t>Crossover Health,Plus One (+1) - An Optum Company</t>
  </si>
  <si>
    <t>Trustmark</t>
  </si>
  <si>
    <t>Care.com,Cleo,Wellthy</t>
  </si>
  <si>
    <t>Bright Horizons,Care.com,Cleo</t>
  </si>
  <si>
    <t>Charles Schwab,Fidelity,Other, please specify:</t>
  </si>
  <si>
    <t>First Republic Bank</t>
  </si>
  <si>
    <t>Booster,Other, please specify:</t>
  </si>
  <si>
    <t>Indy Express, More Automotive</t>
  </si>
  <si>
    <t>Plus One</t>
  </si>
  <si>
    <t>Capitol Concierge</t>
  </si>
  <si>
    <t>Johnny D's</t>
  </si>
  <si>
    <t>Benefit Call Center/Member Support,Enrollment Administration</t>
  </si>
  <si>
    <t>Benefit Focus</t>
  </si>
  <si>
    <t>Groom Law Group</t>
  </si>
  <si>
    <t>Artemis</t>
  </si>
  <si>
    <t>Happify,Headspace</t>
  </si>
  <si>
    <t>Naturally Slim</t>
  </si>
  <si>
    <t>Care.com,Maven,Wellthy</t>
  </si>
  <si>
    <t>Care.com,Wellthy</t>
  </si>
  <si>
    <t>Crowe Horwath LLP</t>
  </si>
  <si>
    <t>MetLife,Sedgwick</t>
  </si>
  <si>
    <t>Gallager Bassett</t>
  </si>
  <si>
    <t>LegalEASE (Legal Access Company),Rocket Lawyer</t>
  </si>
  <si>
    <t>Gradifi</t>
  </si>
  <si>
    <t>Plus Relocation Services</t>
  </si>
  <si>
    <t>Stanford Federal CU</t>
  </si>
  <si>
    <t>diabetes and weight management</t>
  </si>
  <si>
    <t>Fidelity,Mercer,Willis Towers Watson</t>
  </si>
  <si>
    <t>Fidelity,Mercer</t>
  </si>
  <si>
    <t>Alight Solutions,bswift</t>
  </si>
  <si>
    <t>Alight Solutions,Willis Towers Watson</t>
  </si>
  <si>
    <t>Aon Hewitt,Truven</t>
  </si>
  <si>
    <t>Anthem,Kaiser,Other, please specify:</t>
  </si>
  <si>
    <t>Bind Health Plan</t>
  </si>
  <si>
    <t>Kaiser,Optum</t>
  </si>
  <si>
    <t>Cigna,MetLife</t>
  </si>
  <si>
    <t>Eye Med</t>
  </si>
  <si>
    <t>United HealthCare</t>
  </si>
  <si>
    <t>Grand Rounds,Stanford Health Navigator,Through health plans (e.g., UHC, Cigna)</t>
  </si>
  <si>
    <t>Doctors on Demand</t>
  </si>
  <si>
    <t>Quit Genius</t>
  </si>
  <si>
    <t>Ernst and Young,Other, please specify:</t>
  </si>
  <si>
    <t>Health Fitness,Premise Health,Real Appeal</t>
  </si>
  <si>
    <t>ARAG Legal,LifeCare,Rethink</t>
  </si>
  <si>
    <t>ARAG Legal,LifeCare</t>
  </si>
  <si>
    <t>Cigna,Matrix Absence Management</t>
  </si>
  <si>
    <t>Reliance Standard</t>
  </si>
  <si>
    <t>Fidelity,Other, please specify:</t>
  </si>
  <si>
    <t>Farmers Insurance,MetLife</t>
  </si>
  <si>
    <t>BI Worldwide</t>
  </si>
  <si>
    <t>Beneplace,LifeCare</t>
  </si>
  <si>
    <t>First Tech CU,In Touch (EDS)</t>
  </si>
  <si>
    <t>Aspire (Optum)</t>
  </si>
  <si>
    <t>Dental,Disease Management,Vision,Weight Management Vendor</t>
  </si>
  <si>
    <t>Wellness Program Vendor</t>
  </si>
  <si>
    <t>Canterbury,Fidelity,Fiduciary Benchmarks (FBi)</t>
  </si>
  <si>
    <t>Canterbury,Fidelity</t>
  </si>
  <si>
    <t>Kirkland and Ellis</t>
  </si>
  <si>
    <t>Ceridian</t>
  </si>
  <si>
    <t>Hinge,Livongo</t>
  </si>
  <si>
    <t>Rally</t>
  </si>
  <si>
    <t>Bright Horizons,Rethink</t>
  </si>
  <si>
    <t>Plansource</t>
  </si>
  <si>
    <t>Cohn Rezzinck</t>
  </si>
  <si>
    <t>The Larkin Company</t>
  </si>
  <si>
    <t>Liberty Mutual,The Larkin Company</t>
  </si>
  <si>
    <t>Broadspire</t>
  </si>
  <si>
    <t>Petplan</t>
  </si>
  <si>
    <t>Ion Tuition</t>
  </si>
  <si>
    <t>Wellness Portal Vendor(s)</t>
  </si>
  <si>
    <t>Life Ins</t>
  </si>
  <si>
    <t>Aetna,Anthem,Cigna</t>
  </si>
  <si>
    <t>Compsych</t>
  </si>
  <si>
    <t>Aetna,MetLife</t>
  </si>
  <si>
    <t>ESI</t>
  </si>
  <si>
    <t>OHD</t>
  </si>
  <si>
    <t>Wellness Corporate Solutions</t>
  </si>
  <si>
    <t>Onsite Health Diagnostics</t>
  </si>
  <si>
    <t>Virgin Pulse</t>
  </si>
  <si>
    <t>Bright Horizons,Rethink,Wellthy</t>
  </si>
  <si>
    <t>Alight Solutions,HealthEquity</t>
  </si>
  <si>
    <t>Reed Group</t>
  </si>
  <si>
    <t>LibertyMutual,MetLife</t>
  </si>
  <si>
    <t>BGRS (Brookfield Asset Management)</t>
  </si>
  <si>
    <t>Beneplace</t>
  </si>
  <si>
    <t>First Tech CU</t>
  </si>
  <si>
    <t>CarDash</t>
  </si>
  <si>
    <t>Compass</t>
  </si>
  <si>
    <t>Life/AD&amp;D,Medical,Perks/Discounts</t>
  </si>
  <si>
    <t>Truven,Other, please specify:</t>
  </si>
  <si>
    <t>IBM</t>
  </si>
  <si>
    <t>Connected Care</t>
  </si>
  <si>
    <t>Delta Care,Delta Dental,Kaiser</t>
  </si>
  <si>
    <t>Business Solver(West Core)</t>
  </si>
  <si>
    <t>Hinge,Livongo,Through health plans (e.g., UHC, Cigna)</t>
  </si>
  <si>
    <t>On Site Dental</t>
  </si>
  <si>
    <t>On Site Dental (Mobile)</t>
  </si>
  <si>
    <t>ComPsych,Headspace,Other, please specify:</t>
  </si>
  <si>
    <t>Modern health, Heart Math</t>
  </si>
  <si>
    <t>Modern Health, Heart Math</t>
  </si>
  <si>
    <t>Weight Watchers</t>
  </si>
  <si>
    <t>AYCO,SoFi</t>
  </si>
  <si>
    <t>Premise Health,Quest</t>
  </si>
  <si>
    <t>BusinessSolver,Rethink</t>
  </si>
  <si>
    <t>ComPsych,Flex Today,Kindercare</t>
  </si>
  <si>
    <t>Flex Today</t>
  </si>
  <si>
    <t>Ernst &amp; Young,Mercer,Willis Towers Watson</t>
  </si>
  <si>
    <t>GP Worldwide</t>
  </si>
  <si>
    <t>So-Fi</t>
  </si>
  <si>
    <t>SIRVA</t>
  </si>
  <si>
    <t>First Tech CU,Tech CU,US Bank</t>
  </si>
  <si>
    <t>Renewal Spa</t>
  </si>
  <si>
    <t>Fulcrum</t>
  </si>
  <si>
    <t>Greenberg Traurig</t>
  </si>
  <si>
    <t>Health e(fx)</t>
  </si>
  <si>
    <t>Cigna,Kaiser,UnitedHealthcare</t>
  </si>
  <si>
    <t>QBE</t>
  </si>
  <si>
    <t>Accolade,Alight Solutions</t>
  </si>
  <si>
    <t>Hinge,Through health plans (e.g., UHC, Cigna)</t>
  </si>
  <si>
    <t>Mobile Med</t>
  </si>
  <si>
    <t>Optum Health,Whil</t>
  </si>
  <si>
    <t>Financial Knowledge,Mint,Through EAP</t>
  </si>
  <si>
    <t>MobileMed, The Wellness Group</t>
  </si>
  <si>
    <t>VIRGIN PULSE</t>
  </si>
  <si>
    <t>Trustmark for WA</t>
  </si>
  <si>
    <t>Bright Horizons,Optum</t>
  </si>
  <si>
    <t>Zurich,Other, please specify:</t>
  </si>
  <si>
    <t>Zurich is now Aflac</t>
  </si>
  <si>
    <t>Empower Retirement,Financial Knowledge</t>
  </si>
  <si>
    <t>Edcor</t>
  </si>
  <si>
    <t>The Fruit Guys</t>
  </si>
  <si>
    <t>EAP Vendor</t>
  </si>
  <si>
    <t>Medical</t>
  </si>
  <si>
    <t>Alight Solutions,Aon Hewitt</t>
  </si>
  <si>
    <t>Alight Solutions,Mercer</t>
  </si>
  <si>
    <t>Fidelity,Guidespark</t>
  </si>
  <si>
    <t>PeopleSoft</t>
  </si>
  <si>
    <t>Collective Health</t>
  </si>
  <si>
    <t>ACI</t>
  </si>
  <si>
    <t>TaskHuman</t>
  </si>
  <si>
    <t>Active Wellness</t>
  </si>
  <si>
    <t>Alight Solutions,Collective Health</t>
  </si>
  <si>
    <t>Lincoln</t>
  </si>
  <si>
    <t>Fidelity,Financial Knowledge</t>
  </si>
  <si>
    <t>Madison Performance Group</t>
  </si>
  <si>
    <t>Access Perks</t>
  </si>
  <si>
    <t>Booster,MyDetailer</t>
  </si>
  <si>
    <t>Fidelity,JellyVision,Through health plans (e.g., UHC, Cigna)</t>
  </si>
  <si>
    <t>Tango Health</t>
  </si>
  <si>
    <t>Success Factors</t>
  </si>
  <si>
    <t>Tango</t>
  </si>
  <si>
    <t>Fidelity,Wellthy</t>
  </si>
  <si>
    <t>Leave/Disability Carrier</t>
  </si>
  <si>
    <t>Arnerich, Massena and Associates</t>
  </si>
  <si>
    <t>Empyrean,JellyVision,Willis Towers Watson</t>
  </si>
  <si>
    <t>Empyrean,Willis Towers Watson</t>
  </si>
  <si>
    <t>Wilson Sonsini Goodrich and Rosati (WSGR),Other, please specify:</t>
  </si>
  <si>
    <t>Seyfarth</t>
  </si>
  <si>
    <t>Cigna Global/International,Delta Dental</t>
  </si>
  <si>
    <t>Cigna Global/International,Vision Service Plan (VSP)</t>
  </si>
  <si>
    <t>SunLife</t>
  </si>
  <si>
    <t>2nd M.D.</t>
  </si>
  <si>
    <t>Hinge,Other, please specify:</t>
  </si>
  <si>
    <t>Kaiser Mobile Health Vehicle,PAMF Care-a-Van</t>
  </si>
  <si>
    <t>Optum Health,Through health plans (e.g., UHC, Cigna),Other, please specify:</t>
  </si>
  <si>
    <t>Through Virgin Pulse Wellness</t>
  </si>
  <si>
    <t>Through Wellness program Virgin Health</t>
  </si>
  <si>
    <t>Optum,Plus One (+1) - An Optum Company,Virgin</t>
  </si>
  <si>
    <t>Optum,Plus One (+1) - An Optum Company</t>
  </si>
  <si>
    <t>Quest</t>
  </si>
  <si>
    <t>Lincoln - our life insurance provider</t>
  </si>
  <si>
    <t>Care.com,Progyny,Rethink</t>
  </si>
  <si>
    <t>Empyrean,Health Advocate</t>
  </si>
  <si>
    <t>Moved to WEX for 2022</t>
  </si>
  <si>
    <t>Navia Benefits Solutions,Other, please specify:</t>
  </si>
  <si>
    <t>Moved to WEX in 2022</t>
  </si>
  <si>
    <t>Billing Services - Tied to Empyrean</t>
  </si>
  <si>
    <t>Fidelity,Verity Point</t>
  </si>
  <si>
    <t>AllState</t>
  </si>
  <si>
    <t>Berry, Appleman and Leiden</t>
  </si>
  <si>
    <t>Bright Funds</t>
  </si>
  <si>
    <t>local cleaner</t>
  </si>
  <si>
    <t>Mental/Behavioral Health,Survivor Support</t>
  </si>
  <si>
    <t>Aon Hewitt,Marsh</t>
  </si>
  <si>
    <t>PlanSource</t>
  </si>
  <si>
    <t>Benz Communications,PlanSource</t>
  </si>
  <si>
    <t>Littler Mendelson</t>
  </si>
  <si>
    <t>Jones Day</t>
  </si>
  <si>
    <t>ADP,Success Factors</t>
  </si>
  <si>
    <t>ProBusiness</t>
  </si>
  <si>
    <t>Anthem,Cigna Global/International,Kaiser</t>
  </si>
  <si>
    <t>CVS,Kaiser</t>
  </si>
  <si>
    <t>Anthem,Kaiser,Optum</t>
  </si>
  <si>
    <t>23andMe, Livongo</t>
  </si>
  <si>
    <t>LiveHealth Online,One Medical Group</t>
  </si>
  <si>
    <t>CVS,Maxim</t>
  </si>
  <si>
    <t>Plus One (+1) - An Optum Company,Virgin</t>
  </si>
  <si>
    <t>Quest,Virgin</t>
  </si>
  <si>
    <t>Connect Your Care</t>
  </si>
  <si>
    <t>BASIC Pacific</t>
  </si>
  <si>
    <t>Standard Insurance Company (The Standard)</t>
  </si>
  <si>
    <t>Prudential</t>
  </si>
  <si>
    <t>Work Human</t>
  </si>
  <si>
    <t>StarOne</t>
  </si>
  <si>
    <t>Benz Communications,BusinessSolver,Fidelity</t>
  </si>
  <si>
    <t>McDermott</t>
  </si>
  <si>
    <t>Marathon Health</t>
  </si>
  <si>
    <t>My Secure Advantage,Through EAP,Other, please specify:</t>
  </si>
  <si>
    <t>Fidelity Investments</t>
  </si>
  <si>
    <t>PB Mares</t>
  </si>
  <si>
    <t>CapRelo</t>
  </si>
  <si>
    <t>Coastal Federal Credit Union</t>
  </si>
  <si>
    <t>Through Fitness Center</t>
  </si>
  <si>
    <t>Southern Foods</t>
  </si>
  <si>
    <t>Willis Towers Watson,Other, please specify:</t>
  </si>
  <si>
    <t>Porea Communication Design</t>
  </si>
  <si>
    <t>Anthem,Kaiser,Lyra Health</t>
  </si>
  <si>
    <t>Onsite Health</t>
  </si>
  <si>
    <t>Crossover Health,LiveHealth Online</t>
  </si>
  <si>
    <t>Financial Knowledge,SoFi</t>
  </si>
  <si>
    <t>Move Coach (Run Coach)</t>
  </si>
  <si>
    <t>Move Coach (Run Coach),Other, please specify:</t>
  </si>
  <si>
    <t>Wisdom Labs</t>
  </si>
  <si>
    <t>SOS</t>
  </si>
  <si>
    <t>The Larkin Company,Other, please specify:</t>
  </si>
  <si>
    <t>SageView,Other, please specify:</t>
  </si>
  <si>
    <t>T.Rowe Price</t>
  </si>
  <si>
    <t>JellyVision,Workday</t>
  </si>
  <si>
    <t>JellyVision</t>
  </si>
  <si>
    <t>Equifax,Workday</t>
  </si>
  <si>
    <t>Cooley</t>
  </si>
  <si>
    <t>Anthem,Carved Into Medical Plan,Kaiser</t>
  </si>
  <si>
    <t>Magellan,Through health plans (e.g., UHC, Cigna),Other, please specify:</t>
  </si>
  <si>
    <t>T.Rowe Price,  Tuition.io</t>
  </si>
  <si>
    <t>Through health plans (e.g., UHC, Cigna),Willis Towers Watson</t>
  </si>
  <si>
    <t>Via Benefits (Formally One Exchange),Willis Towers Watson</t>
  </si>
  <si>
    <t>Chubb (ACE),Other, please specify:</t>
  </si>
  <si>
    <t>T Rowe Price</t>
  </si>
  <si>
    <t>MetLife,Nationwide</t>
  </si>
  <si>
    <t>FedEx,Internal services used,UPS</t>
  </si>
  <si>
    <t>American Express,FCM Travel</t>
  </si>
  <si>
    <t>Cafeteria, Food Carts, Fruits/Vegetables,H &amp; W Consultants (Domestic),International Consultants/Brokers</t>
  </si>
  <si>
    <t>Musculoskeletal program, diabetes management program, HSA administration; global benefits consulting; possibly a wellness app/platform; possibly wellness fund reimbursement administration</t>
  </si>
  <si>
    <t>Precept Group/BB&amp;T</t>
  </si>
  <si>
    <t>Charles Schwab,SageView</t>
  </si>
  <si>
    <t>Tipton Communications</t>
  </si>
  <si>
    <t>BB&amp;T</t>
  </si>
  <si>
    <t>Anthem,Kaiser,Tufts</t>
  </si>
  <si>
    <t>Anthem,Kaiser,Modern Health</t>
  </si>
  <si>
    <t>MVP</t>
  </si>
  <si>
    <t>2nd.MD</t>
  </si>
  <si>
    <t>VisionOne</t>
  </si>
  <si>
    <t>through disability vendor (LifeKeys)</t>
  </si>
  <si>
    <t>Care.com,Rethink</t>
  </si>
  <si>
    <t>McGriff (BB&amp;T)</t>
  </si>
  <si>
    <t>Wright Ford Young</t>
  </si>
  <si>
    <t>McGriff</t>
  </si>
  <si>
    <t>Matrix</t>
  </si>
  <si>
    <t>LegalEASE (Legal Access Company)</t>
  </si>
  <si>
    <t>Imagine Culinary Group</t>
  </si>
  <si>
    <t>Booster, Paragon</t>
  </si>
  <si>
    <t>Soothe</t>
  </si>
  <si>
    <t>AJ Gallagher,Mercer</t>
  </si>
  <si>
    <t>Holland &amp; Hart</t>
  </si>
  <si>
    <t>SAP,Workday</t>
  </si>
  <si>
    <t>Blue Cross,Cigna Global/International,Kaiser</t>
  </si>
  <si>
    <t>Blue Cross</t>
  </si>
  <si>
    <t>Blue Cross,Compsych</t>
  </si>
  <si>
    <t>Whil</t>
  </si>
  <si>
    <t>Crossover Health,Through health plans (e.g., UHC, Cigna)</t>
  </si>
  <si>
    <t>Virgin / Fidelty</t>
  </si>
  <si>
    <t>Anthem,Through health plans (e.g., UHC, Cigna)</t>
  </si>
  <si>
    <t>Flores &amp; Assoc</t>
  </si>
  <si>
    <t>Weichert, Realtors</t>
  </si>
  <si>
    <t>US Bank</t>
  </si>
  <si>
    <t>Conduent</t>
  </si>
  <si>
    <t>Blue Cross,Kaiser</t>
  </si>
  <si>
    <t>Carved Into Medical Plan</t>
  </si>
  <si>
    <t>Carved Into Medical Plan,Kaiser</t>
  </si>
  <si>
    <t>Wellspring Family Services</t>
  </si>
  <si>
    <t>Walgreens</t>
  </si>
  <si>
    <t>Limeade</t>
  </si>
  <si>
    <t>Aduro Life,Limeade</t>
  </si>
  <si>
    <t>Aduro Life</t>
  </si>
  <si>
    <t>WTW - myFiTage and Limeade</t>
  </si>
  <si>
    <t>Acius Consulting Group,Ayco</t>
  </si>
  <si>
    <t>Maven,Progyny,Rethink</t>
  </si>
  <si>
    <t>Deloitte &amp; Touche</t>
  </si>
  <si>
    <t>Benevity - One World,BI Worldwide,Gifts by Design</t>
  </si>
  <si>
    <t>American Express</t>
  </si>
  <si>
    <t>local Rudys</t>
  </si>
  <si>
    <t>AJ Gallagher,Willis Towers Watson</t>
  </si>
  <si>
    <t>AJ Gallagher,Mercer,Willis Towers Watson</t>
  </si>
  <si>
    <t>Callan and Associates,Fidelity</t>
  </si>
  <si>
    <t>Alight Solutions,JellyVision</t>
  </si>
  <si>
    <t>CVS,Hawaii Medical Service Assoc (HMSA),Kaiser</t>
  </si>
  <si>
    <t>Teladoc Medical Experts</t>
  </si>
  <si>
    <t>Lyra Health,Workplace Options</t>
  </si>
  <si>
    <t>Lyra Health,meQuilibrium</t>
  </si>
  <si>
    <t>JellyVision,Through EAP</t>
  </si>
  <si>
    <t>Kaiser</t>
  </si>
  <si>
    <t>Engage through Castlight/Anthem</t>
  </si>
  <si>
    <t>Survivor Outreach Services (SOS)</t>
  </si>
  <si>
    <t>Alight Solutions,Through health plans (e.g., UHC, Cigna)</t>
  </si>
  <si>
    <t>Alight Solutions,Via Benefits (Formally One Exchange)</t>
  </si>
  <si>
    <t>Internal/Self Insured</t>
  </si>
  <si>
    <t>TicketsatWork</t>
  </si>
  <si>
    <t>Concur</t>
  </si>
  <si>
    <t>Wells Fargo (we moved)</t>
  </si>
  <si>
    <t>Booster (locations closed)</t>
  </si>
  <si>
    <t>Purple Tie (locations closed)</t>
  </si>
  <si>
    <t>Gukenheimer (locations closed)</t>
  </si>
  <si>
    <t>Sequoia</t>
  </si>
  <si>
    <t>Marsh,Mercer,Willis Towers Watson</t>
  </si>
  <si>
    <t>Varies by country</t>
  </si>
  <si>
    <t>ACA Track</t>
  </si>
  <si>
    <t>Hanson Bridgett</t>
  </si>
  <si>
    <t>Workday,Other, please specify:</t>
  </si>
  <si>
    <t>Springbuk</t>
  </si>
  <si>
    <t>Anthem,Collective Health,Kaiser</t>
  </si>
  <si>
    <t>Collective Health,CVS,Kaiser</t>
  </si>
  <si>
    <t>Anthem,Collective Health,Lyra Health</t>
  </si>
  <si>
    <t>Collective Health,Delta Dental</t>
  </si>
  <si>
    <t>Collective Health,Vision Service Plan (VSP)</t>
  </si>
  <si>
    <t>Care.com,Carrot,Lyra Health</t>
  </si>
  <si>
    <t>Care.com,Lyra Health</t>
  </si>
  <si>
    <t>Collective Health,Workday</t>
  </si>
  <si>
    <t>Cannon Cochran Management Services (CCMSI),Internal/Self Insured,Zurich</t>
  </si>
  <si>
    <t>ADP,BusinessSolver</t>
  </si>
  <si>
    <t>Collective Health/Anthem</t>
  </si>
  <si>
    <t>Symetra</t>
  </si>
  <si>
    <t>TotalWellness</t>
  </si>
  <si>
    <t>LifeWorks and Collective Health</t>
  </si>
  <si>
    <t>LifeWprls amd Collective Health</t>
  </si>
  <si>
    <t>HealthEquity/WageWorks</t>
  </si>
  <si>
    <t>Siteler Wash</t>
  </si>
  <si>
    <t>Centers of Excellence,Critical Illness,Group Legal Insurance,Perks/Discounts</t>
  </si>
  <si>
    <t>Marsh,Mercer,Other, please specify:</t>
  </si>
  <si>
    <t>Sciath for Brazil, Redcliffe for Canada</t>
  </si>
  <si>
    <t>ABD Insurance,Fidelity</t>
  </si>
  <si>
    <t>Health e(fx),Workday</t>
  </si>
  <si>
    <t>Hawaii Medical Service Assoc (HMSA),Kaiser,UnitedHealthcare</t>
  </si>
  <si>
    <t>Kaiser,Through health plans (e.g., UHC, Cigna)</t>
  </si>
  <si>
    <t>Concern EAP,Ginger,Through health plans (e.g., UHC, Cigna)</t>
  </si>
  <si>
    <t>HCC (Tokio Marine)</t>
  </si>
  <si>
    <t>Carenet</t>
  </si>
  <si>
    <t>Concern EAP</t>
  </si>
  <si>
    <t>Concern EAP,Grokker,Through health plans (e.g., UHC, Cigna)</t>
  </si>
  <si>
    <t>Money Management Educators, Grokker</t>
  </si>
  <si>
    <t>through health plans</t>
  </si>
  <si>
    <t>Health Advocate</t>
  </si>
  <si>
    <t>Crossover Health,Grokker</t>
  </si>
  <si>
    <t>onsite gym</t>
  </si>
  <si>
    <t>Grokker,Through health plans (e.g., UHC, Cigna)</t>
  </si>
  <si>
    <t>Grokker, Concern EAP</t>
  </si>
  <si>
    <t>Mercer,The Hartford</t>
  </si>
  <si>
    <t>Money Management Educator</t>
  </si>
  <si>
    <t>PerkSpot</t>
  </si>
  <si>
    <t>Unknown</t>
  </si>
  <si>
    <t>Currently Unavailable</t>
  </si>
  <si>
    <t>Corporate Travel Management</t>
  </si>
  <si>
    <t>ACA Reporting</t>
  </si>
  <si>
    <t>Aon Hewitt,Mercer,Owens &amp; Associates</t>
  </si>
  <si>
    <t>The ABD</t>
  </si>
  <si>
    <t>Orrick, Herrington &amp; Sutcliffe,Trucker Huss</t>
  </si>
  <si>
    <t>Blue Cross,Cigna,Kaiser</t>
  </si>
  <si>
    <t>Cigna,Compsych</t>
  </si>
  <si>
    <t>Delta Care,Delta Dental</t>
  </si>
  <si>
    <t>MDLive</t>
  </si>
  <si>
    <t>SoFi,Through EAP</t>
  </si>
  <si>
    <t>Crossover Health,CVS,Safeway</t>
  </si>
  <si>
    <t>Baysport</t>
  </si>
  <si>
    <t>Internal resources</t>
  </si>
  <si>
    <t>Chubbs</t>
  </si>
  <si>
    <t>Care.com,ComPsych</t>
  </si>
  <si>
    <t>bswift,Workday</t>
  </si>
  <si>
    <t>bswift,CareCounsel,Fidelity</t>
  </si>
  <si>
    <t>Charles Schwab,Fidelity</t>
  </si>
  <si>
    <t>ScholarShare</t>
  </si>
  <si>
    <t>LibertyMutual</t>
  </si>
  <si>
    <t>Bristol Global Mobility</t>
  </si>
  <si>
    <t>Medical,Pharmacy,Student Debt/Loan Repayment</t>
  </si>
  <si>
    <t>Disability / FMLA, Life</t>
  </si>
  <si>
    <t>CAPTRUST</t>
  </si>
  <si>
    <t>Benz Communications,bswift,Fidelity</t>
  </si>
  <si>
    <t>bswift,Fidelity</t>
  </si>
  <si>
    <t>Ogletree, Deakins, Nash, Smoak &amp; Stewart</t>
  </si>
  <si>
    <t>Kaiser,UnitedHealthcare</t>
  </si>
  <si>
    <t>Kaiser,Optum,UnitedHealthcare</t>
  </si>
  <si>
    <t>Swiss Re</t>
  </si>
  <si>
    <t>Optum Health,Through health plans (e.g., UHC, Cigna)</t>
  </si>
  <si>
    <t>Real Appeal,Through health plans (e.g., UHC, Cigna)</t>
  </si>
  <si>
    <t>Empower Health Services</t>
  </si>
  <si>
    <t>Active Wellness,Optum,Real Appeal</t>
  </si>
  <si>
    <t>LifeCare,Through health plans (e.g., UHC, Cigna)</t>
  </si>
  <si>
    <t>Optum (Optum Bank),UnitedHealthcare</t>
  </si>
  <si>
    <t>Grant Thornton</t>
  </si>
  <si>
    <t>Hyatt Legal (MetLaw, MetLife Company),MetLife,Other, please specify:</t>
  </si>
  <si>
    <t>ID Watchdog</t>
  </si>
  <si>
    <t>COBRA,Disability Claims Administrator,Disability Management (STD and LTD),Life/AD&amp;D,Long-Term Disability Carrier/Administrator,Short-Term Disability (STD) Administrator,Stop Loss</t>
  </si>
  <si>
    <t>Internal Resources,Oracle</t>
  </si>
  <si>
    <t>ING Group</t>
  </si>
  <si>
    <t>Grand Rounds,Stanford Health Navigator</t>
  </si>
  <si>
    <t>American Well</t>
  </si>
  <si>
    <t>Reach Fitness</t>
  </si>
  <si>
    <t>Hartford</t>
  </si>
  <si>
    <t>Genworth</t>
  </si>
  <si>
    <t>Rethink,Wellthy</t>
  </si>
  <si>
    <t>Sensiba San Filippo</t>
  </si>
  <si>
    <t>A G Siebens</t>
  </si>
  <si>
    <t>Fidelity,MetLife (Retirewise)</t>
  </si>
  <si>
    <t>Sofi</t>
  </si>
  <si>
    <t>Rideau Recognition Solutions</t>
  </si>
  <si>
    <t>Life, Accident, Disability Leave Administration Potentially LTC</t>
  </si>
  <si>
    <t>Fidelity,SageView</t>
  </si>
  <si>
    <t>Willis Towers Watson,Workday</t>
  </si>
  <si>
    <t>ROI</t>
  </si>
  <si>
    <t>Express Scripts,Kaiser</t>
  </si>
  <si>
    <t>Kaiser,Other, please specify:</t>
  </si>
  <si>
    <t>Blue Shield</t>
  </si>
  <si>
    <t>Lyra</t>
  </si>
  <si>
    <t>The Standard EAP (Health Advocate)</t>
  </si>
  <si>
    <t>Crossover</t>
  </si>
  <si>
    <t>Care.com,Other, please specify:</t>
  </si>
  <si>
    <t>Twic</t>
  </si>
  <si>
    <t>PeakOne</t>
  </si>
  <si>
    <t>ISOS</t>
  </si>
  <si>
    <t>Disability Claims Administrator,Disability Management (STD and LTD),Life/AD&amp;D,Long-Term Care,Wellness - Organized events or competitions</t>
  </si>
  <si>
    <t>Alight Solutions,Aon Hewitt,Mercer Health Advantage</t>
  </si>
  <si>
    <t>Mercer Health Advantage,Through health plans (e.g., UHC, Cigna)</t>
  </si>
  <si>
    <t>Optum Health,Vida,Whil</t>
  </si>
  <si>
    <t>meQuilibrium,Optum Health,Vida</t>
  </si>
  <si>
    <t>Real Appeal,Vida</t>
  </si>
  <si>
    <t>AYCO,Through EAP</t>
  </si>
  <si>
    <t>MeQ</t>
  </si>
  <si>
    <t>EXOS (Medifit),GlobalFit,Vida</t>
  </si>
  <si>
    <t>EXOS (Medifit),Through health plans (e.g., UHC, Cigna),Vida</t>
  </si>
  <si>
    <t>Maxim Healthcare Services</t>
  </si>
  <si>
    <t>No events due to Covid</t>
  </si>
  <si>
    <t>Not held due to COVID</t>
  </si>
  <si>
    <t>meQ and Ayco</t>
  </si>
  <si>
    <t>Ayco,Other, please specify:</t>
  </si>
  <si>
    <t>Internal team support</t>
  </si>
  <si>
    <t>Bright Horizons,Cleo,Rethink</t>
  </si>
  <si>
    <t>AC Newman,Prudential Life Insurance,Zurich</t>
  </si>
  <si>
    <t>Chubb (ACE),Sedgwick</t>
  </si>
  <si>
    <t>Charles Schwab,Other, please specify:</t>
  </si>
  <si>
    <t>Charles Schwab,ETRADE,Other, please specify:</t>
  </si>
  <si>
    <t>Veterinary Pet Insurance (VPI)</t>
  </si>
  <si>
    <t>Perks at Work,Other, please specify:</t>
  </si>
  <si>
    <t>Keypoint Credit Union,Tech CU</t>
  </si>
  <si>
    <t>7 Star Cleaners,Kim's Cleaners &amp; Alterations</t>
  </si>
  <si>
    <t>On-Site Farmers Market,On-Site Garden</t>
  </si>
  <si>
    <t>STD</t>
  </si>
  <si>
    <t>SageView,Vanguard</t>
  </si>
  <si>
    <t>ACA Trak</t>
  </si>
  <si>
    <t>Collective Health,Kaiser,Other, please specify:</t>
  </si>
  <si>
    <t>Collective Health,CVS</t>
  </si>
  <si>
    <t>Ginger,Lyra Health,Other, please specify:</t>
  </si>
  <si>
    <t>TelaDoc</t>
  </si>
  <si>
    <t>Grokker,Lyra Health,Other, please specify:</t>
  </si>
  <si>
    <t>AYCO,Other, please specify:</t>
  </si>
  <si>
    <t>Schwab</t>
  </si>
  <si>
    <t>Espresa</t>
  </si>
  <si>
    <t>Grokker,Other, please specify:</t>
  </si>
  <si>
    <t>Cleo,Lyra Health,Wellthy</t>
  </si>
  <si>
    <t>Cleo,Lyra Health,Progyny</t>
  </si>
  <si>
    <t>UrbanSitter</t>
  </si>
  <si>
    <t>Miller Kaplan</t>
  </si>
  <si>
    <t>Internal/Self Insured,The Larkin Company,Other, please specify:</t>
  </si>
  <si>
    <t>CA VDI</t>
  </si>
  <si>
    <t>Internal/Self Insured,Other, please specify:</t>
  </si>
  <si>
    <t>National Fire and Marine Insurance Co.</t>
  </si>
  <si>
    <t>Vanguard,Other, please specify:</t>
  </si>
  <si>
    <t>Perkspot</t>
  </si>
  <si>
    <t>Benefit Portal Consultants,Centers of Excellence,Disability Management (STD and LTD),Stop Loss</t>
  </si>
  <si>
    <t>Family formation benefits.</t>
  </si>
  <si>
    <t>Collective Health,Kaiser,Lyra Health</t>
  </si>
  <si>
    <t>Grokker,Lyra Health</t>
  </si>
  <si>
    <t>SoFi,Other, please specify:</t>
  </si>
  <si>
    <t>LOA/Disability Fertility Group Home/Auto LTC</t>
  </si>
  <si>
    <t>bswift,Willis Towers Watson</t>
  </si>
  <si>
    <t>DLA Piper,Greenberg Traurig</t>
  </si>
  <si>
    <t>Kaiser,Lyra Health,UnitedHealthcare</t>
  </si>
  <si>
    <t>2nd MD</t>
  </si>
  <si>
    <t>Cloud 9  Dental</t>
  </si>
  <si>
    <t>VSP</t>
  </si>
  <si>
    <t>CVS,Walgreens</t>
  </si>
  <si>
    <t>Price Waterhouse Coopers (PwC)</t>
  </si>
  <si>
    <t>Edenred</t>
  </si>
  <si>
    <t>bswift,Via Benefits (Formally One Exchange)</t>
  </si>
  <si>
    <t>The Principal Group</t>
  </si>
  <si>
    <t>San Diego County CU</t>
  </si>
  <si>
    <t>Cosmo Cleaners</t>
  </si>
  <si>
    <t>Balboa</t>
  </si>
  <si>
    <t>Wellbeing provider RFP, Fertility RFP, STD &amp; LOA RFP, Recognition/Tenure Administrator RFP, Employee Discount Provider RFP</t>
  </si>
  <si>
    <t>Aon Hewitt,Willis Towers Watson</t>
  </si>
  <si>
    <t>Alight Solutions,Other, please specify:</t>
  </si>
  <si>
    <t>Creatives on Call</t>
  </si>
  <si>
    <t>Alight Solutions,JellyVision,Other, please specify:</t>
  </si>
  <si>
    <t>Alight Solutions,Equifax</t>
  </si>
  <si>
    <t>Equifax</t>
  </si>
  <si>
    <t>Aetna,Lyra Health,UnitedHealthcare</t>
  </si>
  <si>
    <t>Color</t>
  </si>
  <si>
    <t>Premera</t>
  </si>
  <si>
    <t>Lyra Health,Other, please specify:</t>
  </si>
  <si>
    <t>ICAS</t>
  </si>
  <si>
    <t>AYCO,Through EAP,Other, please specify:</t>
  </si>
  <si>
    <t>Brightplan</t>
  </si>
  <si>
    <t>Concern</t>
  </si>
  <si>
    <t>Plus One (+1) - An Optum Company,Wage Works</t>
  </si>
  <si>
    <t>Chubb (ACE),Cigna</t>
  </si>
  <si>
    <t>Fidelity,Wealth Management Educators</t>
  </si>
  <si>
    <t>Fidelity,Money Management Educator</t>
  </si>
  <si>
    <t>Future Fuel i.o.</t>
  </si>
  <si>
    <t>Aramark,The Fruit Guys</t>
  </si>
  <si>
    <t>Disability Claims Administrator,Perks/Discounts,Service Awards,Short-Term Disability (STD) Administrator</t>
  </si>
  <si>
    <t>Aon Hewitt,Fidelity,Fiduciary Investment Advisors (FIA)</t>
  </si>
  <si>
    <t>Fiduciary Investment Advisors (FIA)</t>
  </si>
  <si>
    <t>Dabbs Law Firm</t>
  </si>
  <si>
    <t>business solver</t>
  </si>
  <si>
    <t>CVS,UnitedHealthcare</t>
  </si>
  <si>
    <t>My Secure Advantage</t>
  </si>
  <si>
    <t>rally</t>
  </si>
  <si>
    <t>Fidelity,Prudential</t>
  </si>
  <si>
    <t>Medical,Total Rewards Statements</t>
  </si>
  <si>
    <t>Wellness</t>
  </si>
  <si>
    <t>Unsure</t>
  </si>
  <si>
    <t>Aon Hewitt,BusinessSolver</t>
  </si>
  <si>
    <t>Aon Hewitt,Fidelity</t>
  </si>
  <si>
    <t>Compsych,Other, please specify:</t>
  </si>
  <si>
    <t>Briightline</t>
  </si>
  <si>
    <t>AccessHope</t>
  </si>
  <si>
    <t>AccessHope,Brightline Health,Other, please specify:</t>
  </si>
  <si>
    <t>SWORD</t>
  </si>
  <si>
    <t>AccessHope,Through health plans (e.g., UHC, Cigna),Other, please specify:</t>
  </si>
  <si>
    <t>Carrot</t>
  </si>
  <si>
    <t>Onsite Dental but not since COVID started</t>
  </si>
  <si>
    <t>SWORD, ComPsych, Brightline, Access Hope</t>
  </si>
  <si>
    <t>ComPsych,Other, please specify:</t>
  </si>
  <si>
    <t>Brightline</t>
  </si>
  <si>
    <t>ComPsych,Grokker,Other, please specify:</t>
  </si>
  <si>
    <t>Sharecare (do not recommend)</t>
  </si>
  <si>
    <t>LifeStart</t>
  </si>
  <si>
    <t>Urban Sitter</t>
  </si>
  <si>
    <t>Prudential Life Insurance,Other, please specify:</t>
  </si>
  <si>
    <t>Fidelity,Money Management Educator,Prudential</t>
  </si>
  <si>
    <t>Fidelity,Money Management Educator,Wells Fargo</t>
  </si>
  <si>
    <t>Chase</t>
  </si>
  <si>
    <t>Don't know name</t>
  </si>
  <si>
    <t>Zeel</t>
  </si>
  <si>
    <t>Lodo</t>
  </si>
  <si>
    <t>FSA/DC, COBRA &amp; Commuter Benefits</t>
  </si>
  <si>
    <t>Prudential Retirement</t>
  </si>
  <si>
    <t>BenefitFocus</t>
  </si>
  <si>
    <t>Anthem,Cigna Global/International</t>
  </si>
  <si>
    <t>Navitus</t>
  </si>
  <si>
    <t>ReliaStar/Voya</t>
  </si>
  <si>
    <t>ARAG Legal</t>
  </si>
  <si>
    <t>LibertyMutual,MetLife,YouDecide</t>
  </si>
  <si>
    <t>ARAG,YouDecide</t>
  </si>
  <si>
    <t>Nationwide,YouDecide</t>
  </si>
  <si>
    <t>Hallmark</t>
  </si>
  <si>
    <t>YouDecide</t>
  </si>
  <si>
    <t>COBRA,Dental,Flexible Spending Account (FSA) Administration</t>
  </si>
  <si>
    <t>Leave admin, consultant, life &amp; AD&amp;D</t>
  </si>
  <si>
    <t>Alliant,Mercer,Willis Towers Watson</t>
  </si>
  <si>
    <t>SageView</t>
  </si>
  <si>
    <t>Alliant,JellyVision,Willis Towers Watson</t>
  </si>
  <si>
    <t>Alliant,Willis Towers Watson</t>
  </si>
  <si>
    <t>Lyra Health,United Behavioral Health,Other, please specify:</t>
  </si>
  <si>
    <t>Lyra Health,Whil</t>
  </si>
  <si>
    <t>JellyVision,Through EAP,Other, please specify:</t>
  </si>
  <si>
    <t>Sageview</t>
  </si>
  <si>
    <t>Jellyvision</t>
  </si>
  <si>
    <t>Lyra Health,Rethink</t>
  </si>
  <si>
    <t>Alliant,Fidelity,Through health plans (e.g., UHC, Cigna)</t>
  </si>
  <si>
    <t>Stanley, Hunt, DuPree &amp; Rhine (SHDR)</t>
  </si>
  <si>
    <t>AnyPerk</t>
  </si>
  <si>
    <t>Back-up Daycare</t>
  </si>
  <si>
    <t>AJ Gallagher,Willis Towers Watson,Other, please specify:</t>
  </si>
  <si>
    <t>Sciath</t>
  </si>
  <si>
    <t>Internal Resources</t>
  </si>
  <si>
    <t>Philsbury</t>
  </si>
  <si>
    <t>Aetna,Compsych,Kaiser</t>
  </si>
  <si>
    <t>Costco</t>
  </si>
  <si>
    <t>Wage Works</t>
  </si>
  <si>
    <t>BaySport</t>
  </si>
  <si>
    <t>Bright Horizons,Progyny,Other, please specify:</t>
  </si>
  <si>
    <t>Milk Stork, CCA</t>
  </si>
  <si>
    <t>Kindercare</t>
  </si>
  <si>
    <t>ABC Consulting</t>
  </si>
  <si>
    <t>MetLife (Retirewise),T Rowe Price</t>
  </si>
  <si>
    <t>NuCompass Mobility</t>
  </si>
  <si>
    <t>USA Marketing</t>
  </si>
  <si>
    <t>Citibank</t>
  </si>
  <si>
    <t>Baysports</t>
  </si>
  <si>
    <t>Back-Up Care,Pharmacy</t>
  </si>
  <si>
    <t>Alliant,Other, please specify:</t>
  </si>
  <si>
    <t>We also employer local brokers for certain countries but use Alliant as the global broker.</t>
  </si>
  <si>
    <t>Benz Communications,JellyVision,Willis Towers Watson</t>
  </si>
  <si>
    <t>Implico Communications</t>
  </si>
  <si>
    <t>Guardian</t>
  </si>
  <si>
    <t>Guardian,Vision Service Plan (VSP)</t>
  </si>
  <si>
    <t>Workplace Options,Other, please specify:</t>
  </si>
  <si>
    <t>JellyVision,SoFi</t>
  </si>
  <si>
    <t>Carrot,Ovio Health,Progyny</t>
  </si>
  <si>
    <t>CNA Insurance</t>
  </si>
  <si>
    <t>Pets Bests</t>
  </si>
  <si>
    <t>Sofi (student debt refinancing)</t>
  </si>
  <si>
    <t>Working Advantage,Other, please specify:</t>
  </si>
  <si>
    <t>Twic (wellbeing reimbursement administrator)</t>
  </si>
  <si>
    <t>Employee Advocate,Medical,Non-Qualified Deferred Compensation Recordkeeper/Administration,Retirement Education - Personal,Stress, Resiliency, Mindfulness etc. Programs,Wellness Portal Vendor(s)</t>
  </si>
  <si>
    <t>FSA Administration</t>
  </si>
  <si>
    <t>Sterling Lexicon</t>
  </si>
  <si>
    <t>Employee Advocate,Flexible Spending Account (FSA) Administration,Health Savings Account (HSA) Administration</t>
  </si>
  <si>
    <t>life insurance and disability</t>
  </si>
  <si>
    <t>Owens &amp; Associates,Willis Towers Watson</t>
  </si>
  <si>
    <t>PSST</t>
  </si>
  <si>
    <t>Cigna,Hawaii Medical Service Assoc (HMSA),Kaiser</t>
  </si>
  <si>
    <t>through Broker, WTW</t>
  </si>
  <si>
    <t>Lyra and WPO EAP</t>
  </si>
  <si>
    <t>Internal Resources hired + contractors</t>
  </si>
  <si>
    <t>Internal services used,Pitney Bowes</t>
  </si>
  <si>
    <t>OptumRX</t>
  </si>
  <si>
    <t>Crossover Health,Optum</t>
  </si>
  <si>
    <t>Crossover Health,Through health plans (e.g., UHC, Cigna),Other, please specify:</t>
  </si>
  <si>
    <t>Health joy</t>
  </si>
  <si>
    <t>Naturally Slim,Real Appeal</t>
  </si>
  <si>
    <t>Aduro Life,Limeade,Through health plans (e.g., UHC, Cigna)</t>
  </si>
  <si>
    <t>Aduro Life,Through health plans (e.g., UHC, Cigna)</t>
  </si>
  <si>
    <t>Aduro Life,Crossover Health</t>
  </si>
  <si>
    <t>John Hancock,Transamerica,Other, please specify:</t>
  </si>
  <si>
    <t>Mercer Health Advantage</t>
  </si>
  <si>
    <t>Mercer,Moss Adams (Mohler, Nixon &amp; Williams)</t>
  </si>
  <si>
    <t>Lincoln Financail</t>
  </si>
  <si>
    <t>Matrix was acquired but I don't recall the name</t>
  </si>
  <si>
    <t>Fidelity,Financial Knowledge,Other, please specify:</t>
  </si>
  <si>
    <t>Hyatt Legal (MetLaw, MetLife Company),Rocket Lawyer</t>
  </si>
  <si>
    <t>TicketsatWork,Other, please specify:</t>
  </si>
  <si>
    <t>Espresa Vendors</t>
  </si>
  <si>
    <t>ACA Reporting,Employee Advocate,Expert Medical Second Opinion</t>
  </si>
  <si>
    <t>UHC</t>
  </si>
  <si>
    <t>Guradian</t>
  </si>
  <si>
    <t>Clifton Larson Allen</t>
  </si>
  <si>
    <t>Geoblue</t>
  </si>
  <si>
    <t>HRIS Software (systems),Medical</t>
  </si>
  <si>
    <t>Marsh,Other, please specify:</t>
  </si>
  <si>
    <t>Pacific Resources aka Brown and Brown</t>
  </si>
  <si>
    <t>Mercer,Other, please specify:</t>
  </si>
  <si>
    <t>Pacific Resources</t>
  </si>
  <si>
    <t>In-house system</t>
  </si>
  <si>
    <t>BenefitScience</t>
  </si>
  <si>
    <t>Hawaii Medical Service Assoc (HMSA),Kaiser,OptumRX</t>
  </si>
  <si>
    <t>Kaiser,United Healthcare</t>
  </si>
  <si>
    <t>Survivor Outreach Services</t>
  </si>
  <si>
    <t>ARAG Legal,Lyra Health,Other, please specify:</t>
  </si>
  <si>
    <t>Care.com,Kindercare,Rethink</t>
  </si>
  <si>
    <t>BenefitsSolver,Mercer</t>
  </si>
  <si>
    <t>Luum</t>
  </si>
  <si>
    <t>ARAG,Perks at Work,Other, please specify:</t>
  </si>
  <si>
    <t>Data Warehouse,Long-Term Care,Medical,Pet Insurance,Pharmacy</t>
  </si>
  <si>
    <t>Financial Wellness</t>
  </si>
  <si>
    <t>Lifeworks (via MetLife)</t>
  </si>
  <si>
    <t>Happify</t>
  </si>
  <si>
    <t>Ernst and Young</t>
  </si>
  <si>
    <t>Care.com,Carrot,Cleo</t>
  </si>
  <si>
    <t>Cigna,HSA Bank</t>
  </si>
  <si>
    <t>Hood &amp; Strong</t>
  </si>
  <si>
    <t>MetLife (Retirewise),Vanguard</t>
  </si>
  <si>
    <t>Disease Management</t>
  </si>
  <si>
    <t>AJ Gallagher,Other, please specify:</t>
  </si>
  <si>
    <t>Hylant</t>
  </si>
  <si>
    <t>Aon</t>
  </si>
  <si>
    <t>Grand Rounds and Ameriben for Anthem plans</t>
  </si>
  <si>
    <t>WellDyne RX</t>
  </si>
  <si>
    <t>Quantum Health, SurgeryPlus, Healthcare Bluebook</t>
  </si>
  <si>
    <t>Doctors on Demand,LiveHealth Online</t>
  </si>
  <si>
    <t>Bright Horizons,Maven</t>
  </si>
  <si>
    <t>WEX</t>
  </si>
  <si>
    <t>Great West Trust Company</t>
  </si>
  <si>
    <t>Financial Engines</t>
  </si>
  <si>
    <t>Gradifi/eTrade</t>
  </si>
  <si>
    <t>Corestream</t>
  </si>
  <si>
    <t>Long-Term Care</t>
  </si>
  <si>
    <t>Level</t>
  </si>
  <si>
    <t>Aquent</t>
  </si>
  <si>
    <t>Mahalo</t>
  </si>
  <si>
    <t>Greenberg Traurig,Littler Mendelson</t>
  </si>
  <si>
    <t>VOYA</t>
  </si>
  <si>
    <t>Bright Horizons,Maven,Rethink</t>
  </si>
  <si>
    <t>Woodruff-Sawyer &amp; Co.</t>
  </si>
  <si>
    <t>TRI-AD,Other, please specify:</t>
  </si>
  <si>
    <t>LUUM</t>
  </si>
  <si>
    <t>Commuter Check Direct</t>
  </si>
  <si>
    <t>Gerber</t>
  </si>
  <si>
    <t>CorVel Corporation,Travelers</t>
  </si>
  <si>
    <t>CorVel</t>
  </si>
  <si>
    <t>Beneplace,Perks at Work</t>
  </si>
  <si>
    <t>Paragon Mobile Detailing</t>
  </si>
  <si>
    <t>Childcare</t>
  </si>
  <si>
    <t>Newport Group</t>
  </si>
  <si>
    <t>Verity Point</t>
  </si>
  <si>
    <t>IBM Watson</t>
  </si>
  <si>
    <t>CIC+</t>
  </si>
  <si>
    <t>AccessHope,Hinge,Through health plans (e.g., UHC, Cigna)</t>
  </si>
  <si>
    <t>AccessHope,Hinge,St. Joseph's Hoag Health</t>
  </si>
  <si>
    <t>Crossover Health,St. Joseph's Hoag Health</t>
  </si>
  <si>
    <t>Curalinc/SupportLinc</t>
  </si>
  <si>
    <t>Crossover Health,Workplace Options,Other, please specify:</t>
  </si>
  <si>
    <t>Lark</t>
  </si>
  <si>
    <t>Providence St. Joseph Health</t>
  </si>
  <si>
    <t>Anthem EAP</t>
  </si>
  <si>
    <t>Omada</t>
  </si>
  <si>
    <t>NC Fit</t>
  </si>
  <si>
    <t>Anthem,MetLife</t>
  </si>
  <si>
    <t>Anthem,Other, please specify:</t>
  </si>
  <si>
    <t>Curalinc</t>
  </si>
  <si>
    <t>BDO LLP</t>
  </si>
  <si>
    <t>Sedgwick,Travelers</t>
  </si>
  <si>
    <t>T. Rowe</t>
  </si>
  <si>
    <t>Working Advantage</t>
  </si>
  <si>
    <t>ACA Reporting,Back-Up Care,Childcare,On-Site Health Clinics (Pharmacy, Dental or Vision)</t>
  </si>
  <si>
    <t>Willis Towers Watson,Woodruff-Sawyer &amp; Co</t>
  </si>
  <si>
    <t>AJ Gallagher,Willis Towers Watson,Woodruff-Sawyer &amp; Co</t>
  </si>
  <si>
    <t>Woodruff Sawyer</t>
  </si>
  <si>
    <t>Benz Communications,Willis Towers Watson</t>
  </si>
  <si>
    <t>Benz Communications,JellyVision</t>
  </si>
  <si>
    <t>Benz Communications,Other, please specify:</t>
  </si>
  <si>
    <t>LumApps</t>
  </si>
  <si>
    <t>Trusaic</t>
  </si>
  <si>
    <t>Hub International</t>
  </si>
  <si>
    <t>Cigna,Optum</t>
  </si>
  <si>
    <t>Premise</t>
  </si>
  <si>
    <t>Alinea (mobile mammography)</t>
  </si>
  <si>
    <t>Optum,Premise Health</t>
  </si>
  <si>
    <t>Care.com,Optum</t>
  </si>
  <si>
    <t>Care.com,Maven</t>
  </si>
  <si>
    <t>Internal reimbursement</t>
  </si>
  <si>
    <t>Pacific Resources (Brown and Brown)</t>
  </si>
  <si>
    <t>ABD</t>
  </si>
  <si>
    <t>HSA/FSA vendor</t>
  </si>
  <si>
    <t>ABD Insurance,Fidelity,Willis Towers Watson</t>
  </si>
  <si>
    <t>Collective Health,Kaiser</t>
  </si>
  <si>
    <t>Collective Health,Express Scripts</t>
  </si>
  <si>
    <t>Doctors on Demand,One Medical Group</t>
  </si>
  <si>
    <t>Lifeworks (via MetLife),Other, please specify:</t>
  </si>
  <si>
    <t>Calm App</t>
  </si>
  <si>
    <t>J. Manning and Associates</t>
  </si>
  <si>
    <t>Care.com,Carrot,Wellthy</t>
  </si>
  <si>
    <t>ABD Insurance &amp; Financial Services, Inc.</t>
  </si>
  <si>
    <t>Awardco</t>
  </si>
  <si>
    <t>Health Savings Account (HSA) Administration</t>
  </si>
  <si>
    <t>Q1.3.2</t>
  </si>
  <si>
    <t>Q1.3.3</t>
  </si>
  <si>
    <t>Q1.3.4_1_4</t>
  </si>
  <si>
    <t>Q1.3.4_2_4</t>
  </si>
  <si>
    <t>Q1.3.4_3_4</t>
  </si>
  <si>
    <t>Q1.3.4_4_4</t>
  </si>
  <si>
    <t>Q1.3.5_1_1</t>
  </si>
  <si>
    <t>Q1.3.5_2_1</t>
  </si>
  <si>
    <t>Q1.3.6</t>
  </si>
  <si>
    <t>Q1.3.7</t>
  </si>
  <si>
    <t>Q1.4.2</t>
  </si>
  <si>
    <t>Q1.4.3</t>
  </si>
  <si>
    <t>Q1.4.4_1</t>
  </si>
  <si>
    <t>Q1.4.4_2</t>
  </si>
  <si>
    <t>Q1.4.4_3</t>
  </si>
  <si>
    <t>Q1.4.4_4</t>
  </si>
  <si>
    <t>Q1.4.4_5</t>
  </si>
  <si>
    <t>Q1.4.4_6</t>
  </si>
  <si>
    <t>Q1.4.4_7</t>
  </si>
  <si>
    <t>Q1.4.4_9</t>
  </si>
  <si>
    <t>Q1.4.4_10</t>
  </si>
  <si>
    <t>Q1.4.4_11</t>
  </si>
  <si>
    <t>Q1.4.4_12</t>
  </si>
  <si>
    <t>Q1.4.4_13</t>
  </si>
  <si>
    <t>Q1.4.4_14</t>
  </si>
  <si>
    <t>Q1.4.4_15</t>
  </si>
  <si>
    <t>Q1.4.4_16</t>
  </si>
  <si>
    <t>Q1.4.4_17</t>
  </si>
  <si>
    <t>Q1.4.4_18</t>
  </si>
  <si>
    <t>Q1.4.4_19</t>
  </si>
  <si>
    <t>Q1.4.4_20</t>
  </si>
  <si>
    <t>Q1.5.2</t>
  </si>
  <si>
    <t>Q1.5.3_1</t>
  </si>
  <si>
    <t>Q1.5.3_2</t>
  </si>
  <si>
    <t>Q1.5.3_3</t>
  </si>
  <si>
    <t>Q1.5.3_4</t>
  </si>
  <si>
    <t>Q1.5.3_5</t>
  </si>
  <si>
    <t>Q1.5.3_6</t>
  </si>
  <si>
    <t>Q1.5.3_7</t>
  </si>
  <si>
    <t>Q1.5.3_8</t>
  </si>
  <si>
    <t>Q1.5.3_9</t>
  </si>
  <si>
    <t>Q1.5.3_10</t>
  </si>
  <si>
    <t>Q1.5.3_11</t>
  </si>
  <si>
    <t>Q1.5.4_1</t>
  </si>
  <si>
    <t>Q1.5.4_2</t>
  </si>
  <si>
    <t>Q1.5.4_3</t>
  </si>
  <si>
    <t>Q1.5.4_4</t>
  </si>
  <si>
    <t>Q1.5.4_5</t>
  </si>
  <si>
    <t>Q1.5.4_6</t>
  </si>
  <si>
    <t>Q1.5.4_7</t>
  </si>
  <si>
    <t>Q1.5.4_8</t>
  </si>
  <si>
    <t>Q1.5.5_1</t>
  </si>
  <si>
    <t>Q1.5.5_2</t>
  </si>
  <si>
    <t>Q1.5.5_3</t>
  </si>
  <si>
    <t>Q1.5.5_4</t>
  </si>
  <si>
    <t>Q1.5.5_5</t>
  </si>
  <si>
    <t>Q1.5.6_1</t>
  </si>
  <si>
    <t>Q1.5.6_2</t>
  </si>
  <si>
    <t>Q1.5.6_3</t>
  </si>
  <si>
    <t>Q1.5.6_4</t>
  </si>
  <si>
    <t>Q1.5.7_1</t>
  </si>
  <si>
    <t>Q1.5.7_2</t>
  </si>
  <si>
    <t>Q1.5.7_3</t>
  </si>
  <si>
    <t>Q1.5.7_4</t>
  </si>
  <si>
    <t>Q1.5.8_1</t>
  </si>
  <si>
    <t>Q1.5.8_2</t>
  </si>
  <si>
    <t>Q1.5.8_3</t>
  </si>
  <si>
    <t>Q1.5.8_4</t>
  </si>
  <si>
    <t>Q1.5.8_5</t>
  </si>
  <si>
    <t>Q1.5.8_6</t>
  </si>
  <si>
    <t>Q1.5.8_7</t>
  </si>
  <si>
    <t>Q1.5.8_8</t>
  </si>
  <si>
    <t>Q1.5.8_9</t>
  </si>
  <si>
    <t>Q1.6.2</t>
  </si>
  <si>
    <t>Q1.6.3</t>
  </si>
  <si>
    <t>Q1.6.4</t>
  </si>
  <si>
    <t>Q1.6.5</t>
  </si>
  <si>
    <t>Q1.6.6</t>
  </si>
  <si>
    <t>Q1.6.7</t>
  </si>
  <si>
    <t>Q1.6.8</t>
  </si>
  <si>
    <t>Q1.6.9</t>
  </si>
  <si>
    <t>Q1.7.2</t>
  </si>
  <si>
    <t>Q1.7.3_1</t>
  </si>
  <si>
    <t>Q1.7.3_2</t>
  </si>
  <si>
    <t>Q1.7.3_3</t>
  </si>
  <si>
    <t>Q1.7.4_1</t>
  </si>
  <si>
    <t>Q1.7.4_2</t>
  </si>
  <si>
    <t>Q1.7.4_3</t>
  </si>
  <si>
    <t>Q1.7.5_1</t>
  </si>
  <si>
    <t>Q1.7.5_2</t>
  </si>
  <si>
    <t>Q1.7.5_3</t>
  </si>
  <si>
    <t>Q1.7.6_1</t>
  </si>
  <si>
    <t>Q1.7.6_2</t>
  </si>
  <si>
    <t>Q1.7.6_3</t>
  </si>
  <si>
    <t>Q1.7.7_1</t>
  </si>
  <si>
    <t>Q1.7.7_2</t>
  </si>
  <si>
    <t>Q1.7.7_3</t>
  </si>
  <si>
    <t>Male,Female,Did not disclose</t>
  </si>
  <si>
    <t>14 on Best employer for diversity</t>
  </si>
  <si>
    <t>Frame.io</t>
  </si>
  <si>
    <t>global wellness days</t>
  </si>
  <si>
    <t>Centralized</t>
  </si>
  <si>
    <t>100% Fully managed</t>
  </si>
  <si>
    <t>0% Not managed</t>
  </si>
  <si>
    <t>75% Most aspects managed</t>
  </si>
  <si>
    <t>50% Some aspects managed</t>
  </si>
  <si>
    <t>25% Minimally managed</t>
  </si>
  <si>
    <t>Benefit not offered</t>
  </si>
  <si>
    <t>Cancer,Diabetes,Pregnancy - high risk,Musculoskeletal</t>
  </si>
  <si>
    <t>Anxiety and panic disorders,Bipolar disorder,Depression,Eating disorders</t>
  </si>
  <si>
    <t>Bipolar disorder,Eating disorders</t>
  </si>
  <si>
    <t>Wellness,Other</t>
  </si>
  <si>
    <t>mental wellbeing</t>
  </si>
  <si>
    <t>addressing burnout</t>
  </si>
  <si>
    <t>reconnecting</t>
  </si>
  <si>
    <t>Develop Dependent Care strategy</t>
  </si>
  <si>
    <t>Promote Rewards Employee Value Proposition</t>
  </si>
  <si>
    <t>Male,Female</t>
  </si>
  <si>
    <t>RFP for Administrator</t>
  </si>
  <si>
    <t>Great Place to Work certification</t>
  </si>
  <si>
    <t>Restructured Rx benefit to reduce cost; aligning all fertility programs to similar benefit</t>
  </si>
  <si>
    <t>Integrated two acquired companies</t>
  </si>
  <si>
    <t>Disability, Life and AD&amp;D and Wellness providers</t>
  </si>
  <si>
    <t>Added Juneteenth as a holiday in the U.S.</t>
  </si>
  <si>
    <t>Cancer,Pregnancy - high risk,Other</t>
  </si>
  <si>
    <t>Crohn's Disease</t>
  </si>
  <si>
    <t>Cost containment,Wellness</t>
  </si>
  <si>
    <t>ASO fee reduction</t>
  </si>
  <si>
    <t>Medical claims containment through wellness initiatives</t>
  </si>
  <si>
    <t>Disability plan redesign to reduce claim cost and administrative expense</t>
  </si>
  <si>
    <t>Behavioral health program implementation</t>
  </si>
  <si>
    <t>Wellbeing focus around activity, nutrition and mindfulness</t>
  </si>
  <si>
    <t>Male,Female,Nonbinary,Did not disclose</t>
  </si>
  <si>
    <t>Corporate Equality Index of the Human Rights Campaign</t>
  </si>
  <si>
    <t>Pregnancy - high risk,Pregnancy - routine,Musculoskeletal</t>
  </si>
  <si>
    <t>Anxiety and panic disorders,Bipolar disorder</t>
  </si>
  <si>
    <t>Communications,Cost containment,Wellness</t>
  </si>
  <si>
    <t>No award achieved</t>
  </si>
  <si>
    <t>Enhanced family care leave</t>
  </si>
  <si>
    <t>Compliance,Wellness</t>
  </si>
  <si>
    <t>complete benefit policy compliance review</t>
  </si>
  <si>
    <t>hold remote wellness fair</t>
  </si>
  <si>
    <t>2021 Mayor’s Health &amp; Fitness Council Moving the Needle Awards</t>
  </si>
  <si>
    <t>Disability plan audit</t>
  </si>
  <si>
    <t>Expanded ESPP to more countries and increased contribution limit to 15%;</t>
  </si>
  <si>
    <t>Depression</t>
  </si>
  <si>
    <t>Injury &amp; Poisoning; Circulatory System; genitourinary system</t>
  </si>
  <si>
    <t>Attention deficit disorders; psychiatric/neuro disorders</t>
  </si>
  <si>
    <t>Anxiety and panic disorders,Bipolar disorder,Depression,Other</t>
  </si>
  <si>
    <t>Pervasive developmental disorders</t>
  </si>
  <si>
    <t>Communications,Other</t>
  </si>
  <si>
    <t>Promoting our TR programs so they are well known and appreciated</t>
  </si>
  <si>
    <t>Automating and streamlining processes to reduce our burden</t>
  </si>
  <si>
    <t>Diabetes,Other</t>
  </si>
  <si>
    <t>Depression,Substance abuse and addiction,Other</t>
  </si>
  <si>
    <t>Communications,Compliance</t>
  </si>
  <si>
    <t>Navigating healthcare</t>
  </si>
  <si>
    <t>mental health</t>
  </si>
  <si>
    <t>Transparency</t>
  </si>
  <si>
    <t>Corporate Equality Index of the Human Rights Campaign,Other</t>
  </si>
  <si>
    <t>Fortune's Most Admired, Barron's Most Sustainable, Computer World Best Place to Work in IT, Best ESG Companies, Woman Engineer Magazine Top 50 Employer</t>
  </si>
  <si>
    <t>Rebranding of company and HR communications</t>
  </si>
  <si>
    <t>Saved $$ with carve-out PBM</t>
  </si>
  <si>
    <t>Explored global solution for 2022 implementation</t>
  </si>
  <si>
    <t>Conducted RFP on medical administration</t>
  </si>
  <si>
    <t>Launched flexible time off</t>
  </si>
  <si>
    <t>Decentralized</t>
  </si>
  <si>
    <t>Cancer,Diabetes,Musculoskeletal</t>
  </si>
  <si>
    <t>Enhancing new HR portal globally</t>
  </si>
  <si>
    <t>Continue to review plan design to mitigate cost increase</t>
  </si>
  <si>
    <t>Introducing new wellness programs globally</t>
  </si>
  <si>
    <t>Forbes World's Most Admired Companies, Barron’s list of 100 Most Sustainable Companies, Most Loved Workplace</t>
  </si>
  <si>
    <t>Complied w/temporary COVID-related legislation</t>
  </si>
  <si>
    <t>Enhanced benefits communications portal</t>
  </si>
  <si>
    <t>Remote Learning Child Care Leave (thru 4/30/21)</t>
  </si>
  <si>
    <t>Several acquisitions</t>
  </si>
  <si>
    <t>401(k)/Deferred Comp/HSA RFP</t>
  </si>
  <si>
    <t>For 2021, we had 10 "recharge" company holidays</t>
  </si>
  <si>
    <t>Insourced benefits admin to Workday</t>
  </si>
  <si>
    <t>Diabetes,Heart disease,Pregnancy - routine,Musculoskeletal,Other</t>
  </si>
  <si>
    <t>Cancer,Diabetes,Pregnancy - high risk,Pregnancy - routine,Other</t>
  </si>
  <si>
    <t>Mental health, digestive</t>
  </si>
  <si>
    <t>Neurodevelopmental disorders</t>
  </si>
  <si>
    <t>neurodevelopment disorders</t>
  </si>
  <si>
    <t>Continued enhancement of US Benefits website</t>
  </si>
  <si>
    <t>Awareness of our benefits and program offerings</t>
  </si>
  <si>
    <t>Monitoring for Covid rule changes and making plan modifications accordingly</t>
  </si>
  <si>
    <t>Supporting internal organizations with their initiatives, e.g., D&amp;I is focusing on resilience.</t>
  </si>
  <si>
    <t>Monitoring and enhancing wellness reimbursement program based on employee requests and feedback</t>
  </si>
  <si>
    <t>Male,Female,Nonbinary</t>
  </si>
  <si>
    <t>Fortune's Best Place to Work</t>
  </si>
  <si>
    <t>completed RFP for this space and validated current vendor is preferred</t>
  </si>
  <si>
    <t>Injuries and poisoning.</t>
  </si>
  <si>
    <t>Increase employee engagement.</t>
  </si>
  <si>
    <t>Enhance employee experience.  Explore a plan chooser tool.</t>
  </si>
  <si>
    <t>Educate employees on plan options and features available.</t>
  </si>
  <si>
    <t>Exploring and enhancing mental health benefits.</t>
  </si>
  <si>
    <t>Depression,Substance abuse and addiction</t>
  </si>
  <si>
    <t>Mental health</t>
  </si>
  <si>
    <t>Work Flexibility</t>
  </si>
  <si>
    <t>Financial Wellbeing</t>
  </si>
  <si>
    <t>Hrybrid OE Communications Piece - combined digital and hard copy experience</t>
  </si>
  <si>
    <t>Digital MSK Vendor</t>
  </si>
  <si>
    <t>Mental disorders</t>
  </si>
  <si>
    <t>Trauma and Stressor-related disorders</t>
  </si>
  <si>
    <t>Neurodevelopmental</t>
  </si>
  <si>
    <t>Clinical Management</t>
  </si>
  <si>
    <t>Efficiency</t>
  </si>
  <si>
    <t>Navigation</t>
  </si>
  <si>
    <t>Access</t>
  </si>
  <si>
    <t>Communications,Compliance,Cost containment,Wellness</t>
  </si>
  <si>
    <t>Educating employees on their benefits and how to use them</t>
  </si>
  <si>
    <t>Ensuring accurate and timely regulatory responsibilities</t>
  </si>
  <si>
    <t>Mental Health &amp; Wellbeing</t>
  </si>
  <si>
    <t>Adoption of our Virgin Pulse platform</t>
  </si>
  <si>
    <t>Corporate Equality Index of the Human Rights Campaign,World's Most Ethical Company,Other</t>
  </si>
  <si>
    <t>Fortune's World's Most Admired Companies, FlexJob Top 100 Companies Hiring Remote Workers, Ethisphere's World's Most Ethical Companies</t>
  </si>
  <si>
    <t>Communications strategy to limit the amount of communications sent to EEs through email.  Newsletters with combined topics, hyper-personalized messages to promote programs that are relevant to EEs.</t>
  </si>
  <si>
    <t>Continue to offer tools to help EEs navigate health care.  Designated Benefit Pro to support EEs with benefit questions, claims escalations, program navigation, etc.</t>
  </si>
  <si>
    <t>Enhancements to parental programs</t>
  </si>
  <si>
    <t>Completed RFPs for mental health, EAP and other digital solutions</t>
  </si>
  <si>
    <t>Added a holiday for MLK day</t>
  </si>
  <si>
    <t>Rolled out new discount portal</t>
  </si>
  <si>
    <t>Autism</t>
  </si>
  <si>
    <t>Simplification</t>
  </si>
  <si>
    <t>Hyper-personalized messages</t>
  </si>
  <si>
    <t>Complying with TFR and CAA requirements</t>
  </si>
  <si>
    <t>Promotion of EAP/Mental Health benefits</t>
  </si>
  <si>
    <t>Improved access - simplification</t>
  </si>
  <si>
    <t>Offer a variety of modalities - choice</t>
  </si>
  <si>
    <t>Behavioral Health, Hyperlipidemia, Gastritis/Dyspepsia</t>
  </si>
  <si>
    <t>Hematologic Disorders, Neurologic Disorders, Newborn Care</t>
  </si>
  <si>
    <t>ADHD and other childhood disruptive disorders</t>
  </si>
  <si>
    <t>Communications,Wellness</t>
  </si>
  <si>
    <t>Continue to educate/communicate benefit offerings</t>
  </si>
  <si>
    <t>Create wellness calendar for company-wide alongside our wellness vendors</t>
  </si>
  <si>
    <t>Glassdoor Best Place to Work</t>
  </si>
  <si>
    <t>implemented employee/employer paid LTD choice</t>
  </si>
  <si>
    <t>Behavioral Health</t>
  </si>
  <si>
    <t>Communications,Compliance,Other</t>
  </si>
  <si>
    <t>HSA Plan education</t>
  </si>
  <si>
    <t>Increasing retirement savings with targeted messaging</t>
  </si>
  <si>
    <t>Personalize communications to help employees understand the most impactful actions they can take to improve their physical, financial and emotional health</t>
  </si>
  <si>
    <t>Implement OTC testing requirements for health and PBM's</t>
  </si>
  <si>
    <t>Implement and manage the No Surprises Act rules</t>
  </si>
  <si>
    <t>Comply with the new healthcare transparency rules.</t>
  </si>
  <si>
    <t>Continue to improve timely access and the quality of mental health provided globally.</t>
  </si>
  <si>
    <t>Ensure deferred healthcare returns to pre-2020 levels including high value elective procedures and preventive procedures.</t>
  </si>
  <si>
    <t>Gain approval to implement equity in globally family building benefits outside the U.S. (to align with U.S.) in the areas of fertility, adoption and surrogacy.</t>
  </si>
  <si>
    <t>Open Enrollment communications outlining major changes for 2022 Benefits</t>
  </si>
  <si>
    <t>Increase STD Benefits</t>
  </si>
  <si>
    <t>Added HSA plans (Cigna and Kaiser), replaced Kaiser HMO with Kaiser HSA plan</t>
  </si>
  <si>
    <t>Acquisition of global company adding 500 employees to US Benefits</t>
  </si>
  <si>
    <t>$1B in assets, reduced fees on multiple funds</t>
  </si>
  <si>
    <t>Added benefits concierge service for all US employees</t>
  </si>
  <si>
    <t>Extended winter break paid shut down by 3 days for a total of 9 paid days off</t>
  </si>
  <si>
    <t>Added Critical Illness, Hospital, ID Theft and Accident options</t>
  </si>
  <si>
    <t>HSA Education</t>
  </si>
  <si>
    <t>Awareness of all available benefits including H&amp;W, Wellbeing, Retirement, Voluntary, etc.</t>
  </si>
  <si>
    <t>Benefits Education</t>
  </si>
  <si>
    <t>Maintaining compliance for all plans</t>
  </si>
  <si>
    <t>Mental Health</t>
  </si>
  <si>
    <t>Family Support Programs</t>
  </si>
  <si>
    <t>Musculoskeletal,Other</t>
  </si>
  <si>
    <t>Dermatology, mental health</t>
  </si>
  <si>
    <t>Develop well being philosophy</t>
  </si>
  <si>
    <t>Enhance employee experience</t>
  </si>
  <si>
    <t>Build for scale</t>
  </si>
  <si>
    <t>Cancer,Infertility,Pregnancy - high risk,Pregnancy - routine</t>
  </si>
  <si>
    <t>Best Places to Work for Women, Great Places to Work for Parents, Best Workplaces in Texas, 2021 World's Most Ethical Companies List</t>
  </si>
  <si>
    <t>Added Included Health for LGBTQ+ employees</t>
  </si>
  <si>
    <t>During Summer, employees had every other Friday off as a part of Wellness Friday program.</t>
  </si>
  <si>
    <t>Arthritis,Cancer,Diabetes,Heart disease,Musculoskeletal,Other</t>
  </si>
  <si>
    <t>Asthma</t>
  </si>
  <si>
    <t>Anxiety and panic disorders,Bipolar disorder,Depression,Eating disorders,Substance abuse and addiction</t>
  </si>
  <si>
    <t>Expand our award-winning global wellness initiative by launching a new community wellbeing pillar to help team members develop positive relationships and connectedness with other people both at work and in life outside of work.</t>
  </si>
  <si>
    <t>Expand our existing global financial well-being pillar with the launch of a new tool to help team members assess their current financial situation and connect them with 1:1 support.</t>
  </si>
  <si>
    <t>Enhance the team member experience and increase clinical outcomes through partnership with Included Health.</t>
  </si>
  <si>
    <t>Evaluate benefits offerings and deliver benefits from a diversity, equity and inclusion perspective.</t>
  </si>
  <si>
    <t>Continue strategy to simplify and streamline benefits offerings, when possible.</t>
  </si>
  <si>
    <t>Harmonizing 401k</t>
  </si>
  <si>
    <t>Implement a new Wellness Program</t>
  </si>
  <si>
    <t>Improved new hire experience</t>
  </si>
  <si>
    <t>Increased new parent leave to 12 weeks</t>
  </si>
  <si>
    <t>facilitated 4 webcasts to encourage mental health use</t>
  </si>
  <si>
    <t>Maintain costs without reducing benefits</t>
  </si>
  <si>
    <t>Encourage use of our wellness programs through strong communication plan</t>
  </si>
  <si>
    <t>Enhanced Vision and Dental benefits</t>
  </si>
  <si>
    <t>Updated policies to be more inclusive example Defined Family as Loved one.</t>
  </si>
  <si>
    <t>Global Mental Wellness Campaign</t>
  </si>
  <si>
    <t>Added Juneteenth and Veterans Day as Designated Holidays.</t>
  </si>
  <si>
    <t>Benefit Administrator change: Business Solver</t>
  </si>
  <si>
    <t>Long Term Care benefit roll out in Washington</t>
  </si>
  <si>
    <t>Compliance,Other</t>
  </si>
  <si>
    <t>No Surprise Billing</t>
  </si>
  <si>
    <t>Price Transparency</t>
  </si>
  <si>
    <t>Healthcare</t>
  </si>
  <si>
    <t>Diversity and Inclusion</t>
  </si>
  <si>
    <t>Forbes 2021 World's Best Employers, Glassdoor's Best Places to Work Employee's Choice, Best Workplaces for Parents</t>
  </si>
  <si>
    <t>launched Global Recharge Days - last week of year and day before Thanksgiving) fully employer paid</t>
  </si>
  <si>
    <t>Mood Disorders</t>
  </si>
  <si>
    <t>improve online resources</t>
  </si>
  <si>
    <t>focus messaging to simplify resource options</t>
  </si>
  <si>
    <t>continue rich program</t>
  </si>
  <si>
    <t>monthly newsletters</t>
  </si>
  <si>
    <t>Held EE contributions flat</t>
  </si>
  <si>
    <t>Had Covid Crises Leave all year.</t>
  </si>
  <si>
    <t>Expanded Teledoc to include behavioral health service</t>
  </si>
  <si>
    <t>1 acquisition</t>
  </si>
  <si>
    <t>Add TaskHuman in early 2021 and then added spouse/DP in October</t>
  </si>
  <si>
    <t>Piloted TaskHuman in early 2021.</t>
  </si>
  <si>
    <t>added post tax contributions and Roth conversion</t>
  </si>
  <si>
    <t>Migrated to Oracle HCM in early 2021</t>
  </si>
  <si>
    <t>added Wellness Days and additional holiday.</t>
  </si>
  <si>
    <t>Cancer,Heart disease,Pregnancy - routine,Musculoskeletal</t>
  </si>
  <si>
    <t>Better newsletter content</t>
  </si>
  <si>
    <t>Global wellness newsletter semi annually</t>
  </si>
  <si>
    <t>Create more robust structured wellness program in Americas</t>
  </si>
  <si>
    <t>Pursue higher utilization of TaskHuman benefit</t>
  </si>
  <si>
    <t>Fortune's Best Place to Work,Other</t>
  </si>
  <si>
    <t>100 Most Sustainable Companies in America</t>
  </si>
  <si>
    <t>Expanded medical plans in Hawaii by adding UHC.</t>
  </si>
  <si>
    <t>Expanded paid parental leave.</t>
  </si>
  <si>
    <t>Launched a Global EAP</t>
  </si>
  <si>
    <t>Launched a retirement wellness portal. Also after-tax and RIPC.</t>
  </si>
  <si>
    <t>Observed Juneteenth Holiday.</t>
  </si>
  <si>
    <t>New vendor Wellthy Care Concierge Services.</t>
  </si>
  <si>
    <t>Cancer</t>
  </si>
  <si>
    <t>Compliance</t>
  </si>
  <si>
    <t>DOL Cybersecurity Compliance</t>
  </si>
  <si>
    <t>COVID Legislation</t>
  </si>
  <si>
    <t>Retirement Programs</t>
  </si>
  <si>
    <t>two integration, two acquisitions,</t>
  </si>
  <si>
    <t>Medical, HSA, FSA</t>
  </si>
  <si>
    <t>Communication Portal first steps to personalization</t>
  </si>
  <si>
    <t>add of Juneteenth</t>
  </si>
  <si>
    <t>Total Reward Branding</t>
  </si>
  <si>
    <t>Enhanced employee experience, additional personalization</t>
  </si>
  <si>
    <t>Update process to meet most recent compliance requirements</t>
  </si>
  <si>
    <t>Update internal documentation</t>
  </si>
  <si>
    <t>Enhance internal training process</t>
  </si>
  <si>
    <t>Develop and roll out global wellbeing program</t>
  </si>
  <si>
    <t>Roll out global wellbeing platform</t>
  </si>
  <si>
    <t>Extend Rethink benefits to new countries</t>
  </si>
  <si>
    <t>American Heart Association Gold Status; World's Most Admired Companies</t>
  </si>
  <si>
    <t>Wellness Incentive tied to Recognition Program</t>
  </si>
  <si>
    <t>Global Parental Leave</t>
  </si>
  <si>
    <t>Added an additional EAP session (6 to 7 covered sessions now)</t>
  </si>
  <si>
    <t>Cancer,Musculoskeletal,Other</t>
  </si>
  <si>
    <t>mental nervous</t>
  </si>
  <si>
    <t>New offering of Supplemental Health Insurances (accidental injury, hospital care)</t>
  </si>
  <si>
    <t>For Supplemental Health Insurances, Critical illness, Legal &amp; ID theft protection benefits.</t>
  </si>
  <si>
    <t>Mental &amp; Neurological</t>
  </si>
  <si>
    <t>Cancer,Musculoskeletal</t>
  </si>
  <si>
    <t>Mental Wellbeing campaigns</t>
  </si>
  <si>
    <t>Physical Wellbeing campaigns</t>
  </si>
  <si>
    <t>2021 Forbes - The Best Employers for Diversity, 2021 Best Place to Work for LGBTQ+ Equality - Human Rights Campaign, Glassdoor 2021 Best Place to Work, Comparably Best Companies for Diversity, InHerSight: 25 Best Companies for Women to Work, Diversity Journal Diversity Leader Award, Forbes America's Best Large Employers, Ethisphere's World's Most Ethical Companies</t>
  </si>
  <si>
    <t>Medical Claims Audit</t>
  </si>
  <si>
    <t>Enhanced Progyny Rx to unlimited</t>
  </si>
  <si>
    <t>Extended full pay &amp; benefits for Militarty leave to 18 mos &amp; medical/pregnancy to 12-wks, increased Military Exigency</t>
  </si>
  <si>
    <t>Monthly no meeting days</t>
  </si>
  <si>
    <t>Mental Health, Respiratory</t>
  </si>
  <si>
    <t>Best Comprehensive Performance Award from ZTE, Fujitsu Supply Chain Excellence Award, 2021 Lightwave Innovation Reviews Program</t>
  </si>
  <si>
    <t>quarterly wellness challenges with incentives, monthly healthy habit challenges</t>
  </si>
  <si>
    <t>increased employer match to 5k, removed 180-day eligibility period to be eligible for employer match</t>
  </si>
  <si>
    <t>Quarterly "Thank you" Days (Company paid)</t>
  </si>
  <si>
    <t>Arthritis,Cancer,Diabetes,Obesity</t>
  </si>
  <si>
    <t>leveraging our new Workday Benefits portal for employee communications</t>
  </si>
  <si>
    <t>complete global appointed broker (US &amp; Non-US) to have a clear strategy &amp; alignment across global demographics including outsource aspects of benefits administration</t>
  </si>
  <si>
    <t>linking our wellness initiatives to our health plans and top health claims to engage &amp; educate employees to promote healthier choices and healthy living</t>
  </si>
  <si>
    <t>educate employees on benefits of HDHPs and HSAs</t>
  </si>
  <si>
    <t>Silicon Valley Business Journey Best Places to Work and Workplace Wellness</t>
  </si>
  <si>
    <t>increased fertility coverage on medical plans</t>
  </si>
  <si>
    <t>completed 2 acquisitions</t>
  </si>
  <si>
    <t>added college admissions support</t>
  </si>
  <si>
    <t>added auto in-plan Roth rollover, simplified company match formula, increased match true-up frequency</t>
  </si>
  <si>
    <t>increased adoption and surrogacy benefit</t>
  </si>
  <si>
    <t>covid-related testing, vaccination, etc.</t>
  </si>
  <si>
    <t>Pervasive Developmental Disorders</t>
  </si>
  <si>
    <t>revamp wellness brand and communications globally</t>
  </si>
  <si>
    <t>expand US benefits site to include global</t>
  </si>
  <si>
    <t>update LOA communications</t>
  </si>
  <si>
    <t>address mental health</t>
  </si>
  <si>
    <t>coordinate for global wellness initiatives</t>
  </si>
  <si>
    <t>look at current US offerings and look at opportunities to enhance/change/offer globally as the company grows</t>
  </si>
  <si>
    <t>Added Critical Illness and Accident Injury benefits for 2021</t>
  </si>
  <si>
    <t>Genetic/Autoimmune/Neuro</t>
  </si>
  <si>
    <t>Anxiety and panic disorders</t>
  </si>
  <si>
    <t>Substance abuse and addiction</t>
  </si>
  <si>
    <t>Engaging communications to attract and retain talent</t>
  </si>
  <si>
    <t>Consolidate and simplify communications</t>
  </si>
  <si>
    <t>Raise awareness of current programs</t>
  </si>
  <si>
    <t>Launch a wellbeing education series specialized for different audiences: senior leaders, managers and supervisors, and individual contributor</t>
  </si>
  <si>
    <t>Certify the Global Wellbeing team in mental health support, and develop a internal training to facilitate monthly</t>
  </si>
  <si>
    <t>Introduce social wellbeing strategy, DEI inclusive experience partnership, and team building playbook</t>
  </si>
  <si>
    <t>World's Most Ethical Company</t>
  </si>
  <si>
    <t>Communications,Compliance,Cost containment,Wellness,Other</t>
  </si>
  <si>
    <t>Promote our Be Well platform and the variety of mental health programs &amp; resources offered.</t>
  </si>
  <si>
    <t>COVID Testing</t>
  </si>
  <si>
    <t>Ongoing review of Rx contract T&amp;Cs and definitions to ensure competitive terms and pricing.</t>
  </si>
  <si>
    <t>Telehealth</t>
  </si>
  <si>
    <t>COVID Coverage</t>
  </si>
  <si>
    <t>Completed pharmacy audit</t>
  </si>
  <si>
    <t>Completed one large acquisition</t>
  </si>
  <si>
    <t>Launched first time Student Debt Relief program</t>
  </si>
  <si>
    <t>Circulatory System, Behavioral Health, and Infectious/Parasitic</t>
  </si>
  <si>
    <t>Pervasive Development Disorders</t>
  </si>
  <si>
    <t>Global parity/philosophy</t>
  </si>
  <si>
    <t>Cojoint survey</t>
  </si>
  <si>
    <t>Global broker RFP</t>
  </si>
  <si>
    <t>Onsite COVID and flu vaccines</t>
  </si>
  <si>
    <t>Lyra implementation</t>
  </si>
  <si>
    <t>psychiatric disorders, gastrointestinal</t>
  </si>
  <si>
    <t>psychiatric disorders</t>
  </si>
  <si>
    <t>Revised benefits charter</t>
  </si>
  <si>
    <t>Measure success</t>
  </si>
  <si>
    <t>Improve clarity</t>
  </si>
  <si>
    <t>New employee support channel model for US</t>
  </si>
  <si>
    <t>Scale benefits operating model</t>
  </si>
  <si>
    <t>Impact Talent strategy</t>
  </si>
  <si>
    <t>Best Places to Work for LGBTQ Equality, Fast Company - Most Innovative Companies, Newsweek - Most Responsible Companies, S&amp;P Global Sustainability</t>
  </si>
  <si>
    <t>DEI Initiatives, Corporate Responsibility volunteer opportunities</t>
  </si>
  <si>
    <t>Completed RFP process for health and welfare and 401k plans</t>
  </si>
  <si>
    <t>Global Wellness Reimbursement Policy Review</t>
  </si>
  <si>
    <t>Wellness Brand</t>
  </si>
  <si>
    <t>Wellness Strategy</t>
  </si>
  <si>
    <t>Introduced HDHP plan with HSA</t>
  </si>
  <si>
    <t>RFP completed and new LAD vendor selected</t>
  </si>
  <si>
    <t>Ginger introduced; new global EAP partner</t>
  </si>
  <si>
    <t>Mental Disorders</t>
  </si>
  <si>
    <t>Cancer,Pregnancy - high risk</t>
  </si>
  <si>
    <t>Trauma/Stressor Related Disorders</t>
  </si>
  <si>
    <t>Neurodevelopmental Disorders</t>
  </si>
  <si>
    <t>Ongoing/regular cadence of comms</t>
  </si>
  <si>
    <t>Ease of Use to access information</t>
  </si>
  <si>
    <t>One source of truth</t>
  </si>
  <si>
    <t>Regularly communicate</t>
  </si>
  <si>
    <t>Develop 3 year plan</t>
  </si>
  <si>
    <t>Identify opportunity areas</t>
  </si>
  <si>
    <t>Unlimited Surrogacy Benefit</t>
  </si>
  <si>
    <t>WINFertility &amp; FertilityIQ implementations</t>
  </si>
  <si>
    <t>Cigna RecoveryOne</t>
  </si>
  <si>
    <t>LTC implementation</t>
  </si>
  <si>
    <t>Focus on medical health and fitness</t>
  </si>
  <si>
    <t>Focus on emotional and mental health</t>
  </si>
  <si>
    <t>Focus on Financial Health</t>
  </si>
  <si>
    <t>Medical and RX claims audit completed</t>
  </si>
  <si>
    <t>Used outside vendor to create new Annual Enrollment &amp; New Hire materials</t>
  </si>
  <si>
    <t>Increased Paid time off for maternity and paternal benefits</t>
  </si>
  <si>
    <t>Unlimited PTO for salary employees</t>
  </si>
  <si>
    <t>Simplify</t>
  </si>
  <si>
    <t>Create unity to Global HR and Wellness</t>
  </si>
  <si>
    <t>Refresh</t>
  </si>
  <si>
    <t>Stay compliant</t>
  </si>
  <si>
    <t>Review ACA</t>
  </si>
  <si>
    <t>Focus on medical programs to help create a healthy environment</t>
  </si>
  <si>
    <t>Review wellness incentives and align them with medical programs</t>
  </si>
  <si>
    <t>low employee contribution increases to stay competive</t>
  </si>
  <si>
    <t>Continue to offer wellness incentives</t>
  </si>
  <si>
    <t>Review and benchmark gym reimbursements</t>
  </si>
  <si>
    <t>Increase engagement</t>
  </si>
  <si>
    <t>Kept Employee cost increases low</t>
  </si>
  <si>
    <t>Improved fertility benefit</t>
  </si>
  <si>
    <t>a few acquisitions</t>
  </si>
  <si>
    <t>Added Juneteenth</t>
  </si>
  <si>
    <t>Added Wellthy and FertilityIQ</t>
  </si>
  <si>
    <t>Diabetes,Musculoskeletal,Other</t>
  </si>
  <si>
    <t>reaching a diverse population base</t>
  </si>
  <si>
    <t>non-quantitative treatment limitations testing</t>
  </si>
  <si>
    <t>2022 RFPs for Benefits Administration, Medical Network Change, Global Mental Health Support</t>
  </si>
  <si>
    <t>ill-defined condition, infectious diseases, unclassified conditions, lung diseases</t>
  </si>
  <si>
    <t>perinatal complications, ill-defined conditions, behavioral health</t>
  </si>
  <si>
    <t>Disorders usually diagnosed in infancy childhood or adolescence, adjustment disorders</t>
  </si>
  <si>
    <t>Consolidation of resources for employees</t>
  </si>
  <si>
    <t>More real-time or timely updates</t>
  </si>
  <si>
    <t>Crowd-sourcing support from other internal partners to amplify our benefits and wellness related materials and communication pieces (employee spotlights, newsletters, etc)</t>
  </si>
  <si>
    <t>Life, Accident Disability Vendor RFP for 2023</t>
  </si>
  <si>
    <t>Exploring funding options to allow employees to receive credits based on their varying medical plan tier/election - allowances that are contributed into bucketed "wallets" they can use on themselves.</t>
  </si>
  <si>
    <t>Enhancing family and child support</t>
  </si>
  <si>
    <t>Sabbatical, 401k and Dependent</t>
  </si>
  <si>
    <t>Adding addtl pages to support COVID resources</t>
  </si>
  <si>
    <t>Revised HIPAA policy and training materials</t>
  </si>
  <si>
    <t>We held EE contributions flat for the 2nd year in a row</t>
  </si>
  <si>
    <t>Harmonized Disability and Maternity Leave salary continuation benefit</t>
  </si>
  <si>
    <t>Too many to list, in support of Remote Work</t>
  </si>
  <si>
    <t>RFP Stop Loss, Exploring captive</t>
  </si>
  <si>
    <t>Over a dozen plan provisions enhanced supporting EE experience</t>
  </si>
  <si>
    <t>Streamlined frozen salary compared to current salary</t>
  </si>
  <si>
    <t>Increased EAP, RFP BH solutions</t>
  </si>
  <si>
    <t>We acquired 6 companies globally</t>
  </si>
  <si>
    <t>COVID support @ home</t>
  </si>
  <si>
    <t>Home health care</t>
  </si>
  <si>
    <t>Fertility, EAP, Mental Health, Caregiving, LTC, Voluntary Benefits, Vaccination Tracking</t>
  </si>
  <si>
    <t>We removed our After-Tax contribution limit for HCEs</t>
  </si>
  <si>
    <t>We added a Data Analytics dedicated team to our HR org</t>
  </si>
  <si>
    <t>We added additional dates</t>
  </si>
  <si>
    <t>Decisions made on 2022 RFP strategy, and new potential program partner options</t>
  </si>
  <si>
    <t>We launched Aflac in 2021</t>
  </si>
  <si>
    <t>Diabetes,Infertility,Pregnancy - high risk,Pregnancy - routine,Obesity</t>
  </si>
  <si>
    <t>Global Strategy</t>
  </si>
  <si>
    <t>Benefits Brand</t>
  </si>
  <si>
    <t>Highlighting value</t>
  </si>
  <si>
    <t>Dependent Audit</t>
  </si>
  <si>
    <t>Global compliance with local regs</t>
  </si>
  <si>
    <t>HIPAA training extended to internal stakeholders beyond Benefits</t>
  </si>
  <si>
    <t>Health, including pharmacy and stop loss</t>
  </si>
  <si>
    <t>Care navigation</t>
  </si>
  <si>
    <t>Addressable spend</t>
  </si>
  <si>
    <t>Mental / Emotional</t>
  </si>
  <si>
    <t>Financial</t>
  </si>
  <si>
    <t>Common thread of all individ programs</t>
  </si>
  <si>
    <t>Savings of 1% in US benefits renewal</t>
  </si>
  <si>
    <t>New LTD carrier</t>
  </si>
  <si>
    <t>Increased coverage for dental and vision</t>
  </si>
  <si>
    <t>Increased parental leave globally, NICU and pregnancy loss leave</t>
  </si>
  <si>
    <t>New Basic Life and supp life carrier</t>
  </si>
  <si>
    <t>Medical plan implementation with mental health provider (Lyra)</t>
  </si>
  <si>
    <t>Launched new donation matching and VTO program, adoption assistance increase, new commuter subsidy</t>
  </si>
  <si>
    <t>Recognition platform</t>
  </si>
  <si>
    <t>94% 401k participation rate</t>
  </si>
  <si>
    <t>Enhancement to various file integrations with carriers - Larkin and Espresa</t>
  </si>
  <si>
    <t>New recognition platform and program</t>
  </si>
  <si>
    <t>New Long Term Care Offering in WA (in Oct) then during OE</t>
  </si>
  <si>
    <t>Infectious Disease - Screening and office visits</t>
  </si>
  <si>
    <t>Infertility,Pregnancy - routine,Other</t>
  </si>
  <si>
    <t>Anxiety and panic disorders,Bipolar disorder,Depression</t>
  </si>
  <si>
    <t>Communications,Wellness,Other</t>
  </si>
  <si>
    <t>Regular benefits communications to promote programs including workshops</t>
  </si>
  <si>
    <t>Global benefits portal</t>
  </si>
  <si>
    <t>Defining wellness in a hybrid world</t>
  </si>
  <si>
    <t>international mental health</t>
  </si>
  <si>
    <t>Implement higher employee cost share</t>
  </si>
  <si>
    <t>Set up family formation benefits</t>
  </si>
  <si>
    <t>Internal audit, Medical Carrier Audit</t>
  </si>
  <si>
    <t>Created new wellbeing brand and launched global wellbeing portal</t>
  </si>
  <si>
    <t>COVID vaccination and testing tracking, conducted internal HIPAA audit</t>
  </si>
  <si>
    <t>Expanded wellbeing reimbursement</t>
  </si>
  <si>
    <t>Expanded Lyra to full U.S. population, expanded meQ to include non-U.S. population</t>
  </si>
  <si>
    <t>Child / elder care vendor RFP</t>
  </si>
  <si>
    <t>401(k) and Non-Qualified Plan Recordkeeper RFP, Investment advisor market check, Streamlined 401(k) contribution options to include traditional after-tax spillover election</t>
  </si>
  <si>
    <t>Added 4 global holidays</t>
  </si>
  <si>
    <t>Added legal, identity theft, pet insurance</t>
  </si>
  <si>
    <t>Improve employee understanding / perception of value of overall benefits program</t>
  </si>
  <si>
    <t>Healthcare transparency requirements</t>
  </si>
  <si>
    <t>COVID Executive Order and/or OSHA ETS if applicable</t>
  </si>
  <si>
    <t>Conduct deep dive and evaluation on overall program to inform future roadmap</t>
  </si>
  <si>
    <t>Conduct LOA/Disability vendor RFP</t>
  </si>
  <si>
    <t>Conduct fertility vendor RFP</t>
  </si>
  <si>
    <t>Further expand voluntary benefits</t>
  </si>
  <si>
    <t>IndyStar Central Indiana’s Top Workplaces, FORTUNE Best Workplaces for Women,</t>
  </si>
  <si>
    <t>We completed a rebate and electronic claims audit with CVS (prescriptions) this year.</t>
  </si>
  <si>
    <t>Increased number of EAP sessions, Implemented Lyra</t>
  </si>
  <si>
    <t>We ran a 12 week metabolic health pilot between 3 vendors.</t>
  </si>
  <si>
    <t>Conducted RFP for Global Employee Assistance Program (EAP)</t>
  </si>
  <si>
    <t>Bipolar disorder,Substance abuse and addiction,Other</t>
  </si>
  <si>
    <t>Neurodevelopmental Disorders and Autistic Disorders</t>
  </si>
  <si>
    <t>Wellness - Mental Health, Wellness reimbursement technology etc.</t>
  </si>
  <si>
    <t>Retirement Benefits</t>
  </si>
  <si>
    <t>Diversity, Equity and Inclusivity Benefits - Transgender benefits, BIPOC benefits</t>
  </si>
  <si>
    <t>Will allow remote work 2 days per week</t>
  </si>
  <si>
    <t>Parental leave now 16 weeks</t>
  </si>
  <si>
    <t>Incresed PTO accrual and carry over</t>
  </si>
  <si>
    <t>Understanding Plan</t>
  </si>
  <si>
    <t>Using plan tools</t>
  </si>
  <si>
    <t>Mental Wellness</t>
  </si>
  <si>
    <t>Overall health</t>
  </si>
  <si>
    <t>Musculoskeletal</t>
  </si>
  <si>
    <t>Dermatology</t>
  </si>
  <si>
    <t>Manage healthcare costs within forecasted budget established with Finance for 2022 by encouraging employees to use in- network providers</t>
  </si>
  <si>
    <t>To manage long term employee health and reduce long term costs, remind employees of the importance of keeping up with recommended screenings and physicals and not to defer care</t>
  </si>
  <si>
    <t>Educate employees about available Anthem resources (since we just moved to them) that may provide efficient and cost effective solutions for them.</t>
  </si>
  <si>
    <t>Promote resilience by providing employees with video resources related to mindfulness, meditation, relaxation techniques, managing through uncertain times, practicing self care, using EAP as needed etc.</t>
  </si>
  <si>
    <t>Encourage employees to exercise, which may have fallen off during COVID,  through Corporate exercise challenge</t>
  </si>
  <si>
    <t>Provide education on nutrition, blood pressure management and how to have a healthy heart</t>
  </si>
  <si>
    <t>Best Places to Work, Anita B.org Top Companies for Women Technologists, Fortune Most Admired Companies, Fortune Future 50</t>
  </si>
  <si>
    <t>Develop communications strategy &amp; roadmap for global benefits &amp; wellbeing</t>
  </si>
  <si>
    <t>Implemented 2nd MD, Quit4life</t>
  </si>
  <si>
    <t>Behavioral health</t>
  </si>
  <si>
    <t>Adjustment disorder</t>
  </si>
  <si>
    <t>Anxiety and panic disorders,Bipolar disorder,Substance abuse and addiction</t>
  </si>
  <si>
    <t>Implement wellbeing programs</t>
  </si>
  <si>
    <t>Implement Benefits Wellbeing Strategy &amp; communication to support programs and plans</t>
  </si>
  <si>
    <t>Manager and HRBP trainings</t>
  </si>
  <si>
    <t>Build cross-functional team to support wellbeing</t>
  </si>
  <si>
    <t>Completed transgender benefit analysis; OON claims audit</t>
  </si>
  <si>
    <t>2021 Benefits Magazine won Gold Quill Award</t>
  </si>
  <si>
    <t>Removed waiting period for new hires and reduced benefit period from 24 to 12 months</t>
  </si>
  <si>
    <t>Received approval to pilot Modern Health</t>
  </si>
  <si>
    <t>Added Medicare Decision Support (Via Benefits)</t>
  </si>
  <si>
    <t>RFP For tuition reimbursement outsourcing</t>
  </si>
  <si>
    <t>Added summer wellness shutdown and Juneteenth holiday for 2022</t>
  </si>
  <si>
    <t>RFP for consulting services</t>
  </si>
  <si>
    <t>Build out year-round benefits communication strategy topics.</t>
  </si>
  <si>
    <t>Link communications to program engagement and ROI.</t>
  </si>
  <si>
    <t>Evaluate moving physical benefits book to a digital only offering</t>
  </si>
  <si>
    <t>Define global benefits strategy and create governance model.</t>
  </si>
  <si>
    <t>Comply with upcoming OSHA and state mandates</t>
  </si>
  <si>
    <t>Rollout Modern Health pilot and full implementation.</t>
  </si>
  <si>
    <t>Implemented a new external US benefits and global wellbeing website</t>
  </si>
  <si>
    <t>Enhanced mililtary leaves</t>
  </si>
  <si>
    <t>Added evidence of insurability for a special voluntary life enrollment</t>
  </si>
  <si>
    <t>Made some enhancements to fund offerings, added brokerage link</t>
  </si>
  <si>
    <t>Diabetes,Musculoskeletal</t>
  </si>
  <si>
    <t>"Maternity" which includes pregnancy (high risk and routine) and birth; mental health disorders</t>
  </si>
  <si>
    <t>Communications,Cost containment,Wellness,Other</t>
  </si>
  <si>
    <t>Drive engagement to our new public benefits website as a first point of contact for benefits related information.</t>
  </si>
  <si>
    <t>Expand public benefits website to include several coutries outside of the United States.</t>
  </si>
  <si>
    <t>Support benefits administration/communications outside of the United States with more countries going live on new platform</t>
  </si>
  <si>
    <t>Medical carrier RFP</t>
  </si>
  <si>
    <t>Increase leadership/manager wellbeing programs, trainings and resources</t>
  </si>
  <si>
    <t>Add additional mental health programs, policies and resources for employees.</t>
  </si>
  <si>
    <t>Development and deployment of a global wellbeing champion network.</t>
  </si>
  <si>
    <t>FORTUNE Future 50, Deloitte Fast 500, Financial Technology Report's Top 100 Financial Technology Companies of 2021</t>
  </si>
  <si>
    <t>Resource tools</t>
  </si>
  <si>
    <t>Vendor sessions</t>
  </si>
  <si>
    <t>People Operations team with Benefits focus to assist employees</t>
  </si>
  <si>
    <t>Maintain weekly wellness posts</t>
  </si>
  <si>
    <t>Tying together virtual events that go in tandem with posts</t>
  </si>
  <si>
    <t>Ensuring that employees understand the options available and can obtain info when applicable</t>
  </si>
  <si>
    <t>Completed 401(k) audit for 2020.</t>
  </si>
  <si>
    <t>Met all deadlines for required compliance items.</t>
  </si>
  <si>
    <t>Obesity,Other</t>
  </si>
  <si>
    <t>Psych/Neurotic, Non-Psych Mental Disorder, Asthma, Disease/Thyroid</t>
  </si>
  <si>
    <t>Behavioral, Gastrointestinal, Infect/Parasitic</t>
  </si>
  <si>
    <t>Reactive Stress Disorder, ADD/ADHD</t>
  </si>
  <si>
    <t>Reactive Stress Disorder, Autism</t>
  </si>
  <si>
    <t>Communications</t>
  </si>
  <si>
    <t>New benefits website hosted externally</t>
  </si>
  <si>
    <t>Other Conditions (i.e. medical exams, screenings, aftercare), Infectious and parasitic diseases, and nervous system</t>
  </si>
  <si>
    <t>Cancer,Other</t>
  </si>
  <si>
    <t>Infectious and parasitic diseases, circulatory system and injury and poisoning</t>
  </si>
  <si>
    <t>Anxiety and panic disorders,Bipolar disorder,Depression,Substance abuse and addiction,Other</t>
  </si>
  <si>
    <t>Bipolar disorder,Depression,Other</t>
  </si>
  <si>
    <t>Whole Person Wellbeing</t>
  </si>
  <si>
    <t>Promotion of existing programs</t>
  </si>
  <si>
    <t>Focus on Whole Person</t>
  </si>
  <si>
    <t>Empathy building</t>
  </si>
  <si>
    <t>We changed our vesting schedule to immediate vesting effective 2022.</t>
  </si>
  <si>
    <t>We added Volunteer Day for the global workforce.</t>
  </si>
  <si>
    <t>Diabetes,Heart disease,Pregnancy - routine</t>
  </si>
  <si>
    <t>Pregnancy - routine</t>
  </si>
  <si>
    <t>General Benefits Education</t>
  </si>
  <si>
    <t>Leave of Absence Eduction</t>
  </si>
  <si>
    <t>401K plan</t>
  </si>
  <si>
    <t>Communications,Cost containment</t>
  </si>
  <si>
    <t>Text messaging</t>
  </si>
  <si>
    <t>A system for messages to get relayed to factory workers</t>
  </si>
  <si>
    <t>Switch medical providers</t>
  </si>
  <si>
    <t>Usual cost cutting methods during contract negotiations (due to growth, utilization, etc...)</t>
  </si>
  <si>
    <t>Implemented family formation benefits, enhanced transgender benefits</t>
  </si>
  <si>
    <t>Sent for benefits administration and financial wellness solution</t>
  </si>
  <si>
    <t>Enhanced 401k match</t>
  </si>
  <si>
    <t>Cancer,Diabetes,Pregnancy - routine,Musculoskeletal</t>
  </si>
  <si>
    <t>Diversification</t>
  </si>
  <si>
    <t>Personalization</t>
  </si>
  <si>
    <t>Implemented ongoing dependent verification</t>
  </si>
  <si>
    <t>Added Life Events to the Benefits Guide</t>
  </si>
  <si>
    <t>Approval to increase STD from 75% to 100%</t>
  </si>
  <si>
    <t>Began implementation of Grand Rounds navigation and EMO</t>
  </si>
  <si>
    <t>One acquisition</t>
  </si>
  <si>
    <t>Added voluntary benefits and perks platform</t>
  </si>
  <si>
    <t>Cardiac, Digestive</t>
  </si>
  <si>
    <t>Keeping a regular cadence of communications</t>
  </si>
  <si>
    <t>Getting our employees familiar with our new partners (e.g. Grand Rounds)</t>
  </si>
  <si>
    <t>Plans ease of use</t>
  </si>
  <si>
    <t>Making sure our vendors are compliant with the new Transparency Rules</t>
  </si>
  <si>
    <t>Leave of Absence rules</t>
  </si>
  <si>
    <t>Covid/vaccine related regs.</t>
  </si>
  <si>
    <t>Support employees with their mental health</t>
  </si>
  <si>
    <t>Best Places to Work for LGBTQ Equality, Brand Finance Global 500, Reputation Institute Global RepTrak, Brand Finance U.S. 500,  SABRE Awards: North America, Fortune: World’s Most Admired Companies, Ethisphere World’s Most Ethical Companies, CDP Climate A List</t>
  </si>
  <si>
    <t>Medical Audit</t>
  </si>
  <si>
    <t>New eMag</t>
  </si>
  <si>
    <t>Maintained budget during Covid, Blended National premiums for HMO locations</t>
  </si>
  <si>
    <t>STD and leave guarantee through 12/31/2023</t>
  </si>
  <si>
    <t>EAP design remains at 1-7 visits, Added more regional Medical HMO options</t>
  </si>
  <si>
    <t>Strategy deep dives on cancer</t>
  </si>
  <si>
    <t>Optional Life Maximum increase from $2.5M to $3M</t>
  </si>
  <si>
    <t>Align Behavioral Health /Substance Abuse in and out of network plan design</t>
  </si>
  <si>
    <t>RecoveryOne MSK Pilot Phase 2 effect 7/1/21</t>
  </si>
  <si>
    <t>Improved Rx terms from Rx RFP</t>
  </si>
  <si>
    <t>Strategy deep dives on measurement</t>
  </si>
  <si>
    <t>added Juneteenth holiday starting in 2022</t>
  </si>
  <si>
    <t>Offer new self-funded dental plan through Level</t>
  </si>
  <si>
    <t>Cancer,Infertility,Pregnancy - high risk,Musculoskeletal</t>
  </si>
  <si>
    <t>Disorders first evident in childhood</t>
  </si>
  <si>
    <t>Understand diverse audience situations and needs</t>
  </si>
  <si>
    <t>Be intentional with the messaging</t>
  </si>
  <si>
    <t>Reach people where they are</t>
  </si>
  <si>
    <t>HIPAA compliance</t>
  </si>
  <si>
    <t>Transparency in Coverage/No Surprises Act due diligence</t>
  </si>
  <si>
    <t>Mental Health Parity and Addiction Equity Act (MHPAEA)</t>
  </si>
  <si>
    <t>Affordability</t>
  </si>
  <si>
    <t>Best in class pricing</t>
  </si>
  <si>
    <t>Best in class Performance Guarantees</t>
  </si>
  <si>
    <t>Informed - I know what wellbeing support and benefits are available, and where to find them</t>
  </si>
  <si>
    <t>Supported - My wellbeing is supported by my team and manager, who is informed and encouraging</t>
  </si>
  <si>
    <t>Tailored - There are benefits and solutions that are designed to suit my own needs, and respond to my feedback</t>
  </si>
  <si>
    <t>Passed all nondiscrimination testing</t>
  </si>
  <si>
    <t>Kept rates fairly flat for 2021</t>
  </si>
  <si>
    <t>Continue to improve on Workday functionality for employee new hire experience</t>
  </si>
  <si>
    <t>Engaged with Lyra for new EAP program with continued continuity between this program and our UHC medical plan for continued service after the 12 annual visits</t>
  </si>
  <si>
    <t>Implemented Workday Payroll</t>
  </si>
  <si>
    <t>Added Chubb Long Term Care in time for WA State LTC mandate</t>
  </si>
  <si>
    <t>Routine Pregnancies</t>
  </si>
  <si>
    <t>Targeted communication campaigns throughout the year to feature programs and services offered through our H&amp;W plans</t>
  </si>
  <si>
    <t>Communicate Point Solution programs to employees to improve services and participant engagement with H&amp;W programs</t>
  </si>
  <si>
    <t>Have a successful processing and deployment of the 1095-C mailing</t>
  </si>
  <si>
    <t>Pass the Annual NonDiscrimination Testing</t>
  </si>
  <si>
    <t>Continue to automate compliance reporting</t>
  </si>
  <si>
    <t>Process improvements and manager/employee guides</t>
  </si>
  <si>
    <t>Rolled out a mental health training, stood up a mental health champion network and change EAP vendor</t>
  </si>
  <si>
    <t>RFP 401(k) recordkeeper</t>
  </si>
  <si>
    <t>Changed 401(k) recordkeeper</t>
  </si>
  <si>
    <t>Diabetes,Heart disease</t>
  </si>
  <si>
    <t>Arthritis,Cancer,Musculoskeletal</t>
  </si>
  <si>
    <t>Review communication with employee experience and DEI in mind</t>
  </si>
  <si>
    <t>Communication focused on moments that matters</t>
  </si>
  <si>
    <t>Employee Experience</t>
  </si>
  <si>
    <t>Review offering from DE&amp;I lens</t>
  </si>
  <si>
    <t>Just 100 - America's most JUST companies</t>
  </si>
  <si>
    <t>Revamped internal communications and moved to lumapps</t>
  </si>
  <si>
    <t>Disability RFP conducted</t>
  </si>
  <si>
    <t>Set up separate Delivery/Administration and COE teams</t>
  </si>
  <si>
    <t>LOA RFP conducted</t>
  </si>
  <si>
    <t>Life RFP conducted</t>
  </si>
  <si>
    <t>2 acquisitions</t>
  </si>
  <si>
    <t>Consulting RFP conducted</t>
  </si>
  <si>
    <t>Improve content</t>
  </si>
  <si>
    <t>Centralize content</t>
  </si>
  <si>
    <t>Build out content that is gaps</t>
  </si>
  <si>
    <t>Mental health support and training</t>
  </si>
  <si>
    <t>Fitness</t>
  </si>
  <si>
    <t>Medical and Pharmacy RFP</t>
  </si>
  <si>
    <t>Strategic Roadmap</t>
  </si>
  <si>
    <t>Covid Support (vaccines, testing, etc.)</t>
  </si>
  <si>
    <t>COVID-19 Related Resources</t>
  </si>
  <si>
    <t>Company kept employee medical, dental and visions costs flat for 2021</t>
  </si>
  <si>
    <t>Added commissions as part of disability</t>
  </si>
  <si>
    <t>Virtual Benefits Fair, Sponsored classes with Outschool for Children</t>
  </si>
  <si>
    <t>Implemented a COVID-19 Caregiver Leave and vaccination time off</t>
  </si>
  <si>
    <t>Recharge Fridays the second Friday of every month, Variety of mental health webinars</t>
  </si>
  <si>
    <t>Cleverly</t>
  </si>
  <si>
    <t>Recognition Platform</t>
  </si>
  <si>
    <t>Increased retirement plan match 1%</t>
  </si>
  <si>
    <t>Announced Juneteenth as a new company holiday being 2022</t>
  </si>
  <si>
    <t>Provided a Long Term Care option to employees located in Washington</t>
  </si>
  <si>
    <t>Cancer,Pregnancy - routine,Other</t>
  </si>
  <si>
    <t>Neurological Diseases</t>
  </si>
  <si>
    <t>Pregnancy - routine,Other</t>
  </si>
  <si>
    <t>Behavioral Health, Ill-defined conditions: predominantly include physician encounters where a specific diagnosis could not be made, either because symptoms were no longer present at the time of the encounter or because further tests were required to make a diagnosis. These types of encounters are most common among practitioners that are practicing in a primary-care-like capacity (family practice, pediatric, etc.).</t>
  </si>
  <si>
    <t>Increase employee engagement</t>
  </si>
  <si>
    <t>Enhance financial and physical wellbeing offerings</t>
  </si>
  <si>
    <t>Ease navigation to the right resources at the right time</t>
  </si>
  <si>
    <t>Q2.1.2</t>
  </si>
  <si>
    <t>Q2.1.3</t>
  </si>
  <si>
    <t>Q2.1.4</t>
  </si>
  <si>
    <t>Q2.1.5</t>
  </si>
  <si>
    <t>Q2.1.6</t>
  </si>
  <si>
    <t>Q2.1.7</t>
  </si>
  <si>
    <t>Q2.1.8</t>
  </si>
  <si>
    <t>Q2.1.9_1</t>
  </si>
  <si>
    <t>Q2.1.9_2</t>
  </si>
  <si>
    <t>Q2.1.10</t>
  </si>
  <si>
    <t>Q2.1.11_1</t>
  </si>
  <si>
    <t>Q2.1.11_2</t>
  </si>
  <si>
    <t>Q2.1.11_3</t>
  </si>
  <si>
    <t>Q2.1.11_4</t>
  </si>
  <si>
    <t>Q2.1.11_5</t>
  </si>
  <si>
    <t>Q2.1.11_6</t>
  </si>
  <si>
    <t>Q2.1.12</t>
  </si>
  <si>
    <t>Q2.1.13_1_1</t>
  </si>
  <si>
    <t>Q2.1.13_2_1</t>
  </si>
  <si>
    <t>Q2.1.13_3_1</t>
  </si>
  <si>
    <t>Q2.1.13_4_1</t>
  </si>
  <si>
    <t>Q2.1.13_5_1</t>
  </si>
  <si>
    <t>Q2.1.13_6_1</t>
  </si>
  <si>
    <t>Q2.1.13_7_1</t>
  </si>
  <si>
    <t>Q2.1.13_8_1</t>
  </si>
  <si>
    <t>Q2.1.13_9_1</t>
  </si>
  <si>
    <t>Q2.1.13_10_1</t>
  </si>
  <si>
    <t>Q2.1.13_11_1</t>
  </si>
  <si>
    <t>Q2.1.13_12_1</t>
  </si>
  <si>
    <t>Q2.1.13_13_1</t>
  </si>
  <si>
    <t>Q2.1.13_14_1</t>
  </si>
  <si>
    <t>Q2.1.13_15_1</t>
  </si>
  <si>
    <t>Q2.1.13_16_1</t>
  </si>
  <si>
    <t>Q2.1.14</t>
  </si>
  <si>
    <t>Q2.2.2_1_1</t>
  </si>
  <si>
    <t>Q2.2.2_2_1</t>
  </si>
  <si>
    <t>Q2.2.2_3_1</t>
  </si>
  <si>
    <t>Q2.2.2_4_1</t>
  </si>
  <si>
    <t>Q2.2.2_5_1</t>
  </si>
  <si>
    <t>Q2.2.3_1_1</t>
  </si>
  <si>
    <t>Q2.2.3_2_1</t>
  </si>
  <si>
    <t>Q2.2.3_3_1</t>
  </si>
  <si>
    <t>Q2.2.3_4_1</t>
  </si>
  <si>
    <t>Q2.2.3_5_1</t>
  </si>
  <si>
    <t>Q2.2.4_1_1</t>
  </si>
  <si>
    <t>Q2.2.4_1_2</t>
  </si>
  <si>
    <t>Q2.2.4_2_1</t>
  </si>
  <si>
    <t>Q2.2.4_2_2</t>
  </si>
  <si>
    <t>Q2.2.4_3_1</t>
  </si>
  <si>
    <t>Q2.2.4_3_2</t>
  </si>
  <si>
    <t>Q2.2.5_1_1</t>
  </si>
  <si>
    <t>Q2.2.5_1_2</t>
  </si>
  <si>
    <t>Q2.2.5_2_1</t>
  </si>
  <si>
    <t>Q2.2.5_2_2</t>
  </si>
  <si>
    <t>Q2.2.5_3_1</t>
  </si>
  <si>
    <t>Q2.2.5_3_2</t>
  </si>
  <si>
    <t>Q2.2.6</t>
  </si>
  <si>
    <t>Q2.3.2</t>
  </si>
  <si>
    <t>Q2.3.3</t>
  </si>
  <si>
    <t>Q2.3.4</t>
  </si>
  <si>
    <t>Q2.3.5</t>
  </si>
  <si>
    <t>Q2.3.6</t>
  </si>
  <si>
    <t>Q2.3.7</t>
  </si>
  <si>
    <t>Q2.3.8</t>
  </si>
  <si>
    <t>Q2.3.9</t>
  </si>
  <si>
    <t>Q2.3.10</t>
  </si>
  <si>
    <t>Q2.3.11</t>
  </si>
  <si>
    <t>Q2.4.2</t>
  </si>
  <si>
    <t>Q2.4.3_1</t>
  </si>
  <si>
    <t>Q2.4.3_2</t>
  </si>
  <si>
    <t>Q2.4.3_3</t>
  </si>
  <si>
    <t>Q2.4.3_4</t>
  </si>
  <si>
    <t>Q2.4.3_5</t>
  </si>
  <si>
    <t>Q2.4.3_6</t>
  </si>
  <si>
    <t>Q2.4.3_7</t>
  </si>
  <si>
    <t>Q2.4.3_8</t>
  </si>
  <si>
    <t>Q2.4.3_9</t>
  </si>
  <si>
    <t>Q2.4.3_10</t>
  </si>
  <si>
    <t>Q2.4.3_11</t>
  </si>
  <si>
    <t>Q2.4.3_12</t>
  </si>
  <si>
    <t>Q2.4.3_13</t>
  </si>
  <si>
    <t>Q2.4.3_14</t>
  </si>
  <si>
    <t>Q2.4.3_15</t>
  </si>
  <si>
    <t>Q2.4.3_16</t>
  </si>
  <si>
    <t>Q2.4.4</t>
  </si>
  <si>
    <t>Q2.4.5_1</t>
  </si>
  <si>
    <t>Q2.4.5_2</t>
  </si>
  <si>
    <t>Q2.4.5_3</t>
  </si>
  <si>
    <t>Q2.4.5_4</t>
  </si>
  <si>
    <t>Q2.4.5_5</t>
  </si>
  <si>
    <t>Q2.4.5_6</t>
  </si>
  <si>
    <t>Q2.4.5_7</t>
  </si>
  <si>
    <t>Q2.4.5_8</t>
  </si>
  <si>
    <t>Q2.4.5_9</t>
  </si>
  <si>
    <t>Q2.4.5_10</t>
  </si>
  <si>
    <t>Q2.4.5_11</t>
  </si>
  <si>
    <t>Q2.4.5_12</t>
  </si>
  <si>
    <t>Q2.4.5_13</t>
  </si>
  <si>
    <t>Q2.4.5_14</t>
  </si>
  <si>
    <t>Q2.4.5_15</t>
  </si>
  <si>
    <t>Q2.4.5_16</t>
  </si>
  <si>
    <t>Q2.4.6</t>
  </si>
  <si>
    <t>Q2.4.7_1</t>
  </si>
  <si>
    <t>Q2.4.7_2</t>
  </si>
  <si>
    <t>Q2.4.7_3</t>
  </si>
  <si>
    <t>Q2.4.7_4</t>
  </si>
  <si>
    <t>Q2.4.7_5</t>
  </si>
  <si>
    <t>Q2.4.7_6</t>
  </si>
  <si>
    <t>Q2.4.7_7</t>
  </si>
  <si>
    <t>Q2.4.7_8</t>
  </si>
  <si>
    <t>Q2.4.7_9</t>
  </si>
  <si>
    <t>Q2.4.7_10</t>
  </si>
  <si>
    <t>Q2.4.7_11</t>
  </si>
  <si>
    <t>Q2.4.7_12</t>
  </si>
  <si>
    <t>Q2.4.7_13</t>
  </si>
  <si>
    <t>Q2.4.7_14</t>
  </si>
  <si>
    <t>Q2.4.7_15</t>
  </si>
  <si>
    <t>Q2.4.7_16</t>
  </si>
  <si>
    <t>Q2.4.8</t>
  </si>
  <si>
    <t>Q2.4.9_1</t>
  </si>
  <si>
    <t>Q2.4.9_2</t>
  </si>
  <si>
    <t>Q2.4.9_3</t>
  </si>
  <si>
    <t>Q2.4.9_4</t>
  </si>
  <si>
    <t>Q2.4.9_5</t>
  </si>
  <si>
    <t>Q2.4.9_6</t>
  </si>
  <si>
    <t>Q2.4.9_7</t>
  </si>
  <si>
    <t>Q2.4.9_8</t>
  </si>
  <si>
    <t>Q2.4.9_9</t>
  </si>
  <si>
    <t>Q2.4.9_10</t>
  </si>
  <si>
    <t>Q2.4.9_11</t>
  </si>
  <si>
    <t>Q2.4.9_12</t>
  </si>
  <si>
    <t>Q2.4.9_13</t>
  </si>
  <si>
    <t>Q2.4.9_14</t>
  </si>
  <si>
    <t>Q2.4.9_15</t>
  </si>
  <si>
    <t>Q2.4.9_16</t>
  </si>
  <si>
    <t>Q2.4.10</t>
  </si>
  <si>
    <t>Q2.4.11_1</t>
  </si>
  <si>
    <t>Q2.4.11_2</t>
  </si>
  <si>
    <t>Q2.4.11_3</t>
  </si>
  <si>
    <t>Q2.4.11_4</t>
  </si>
  <si>
    <t>Q2.4.11_5</t>
  </si>
  <si>
    <t>Q2.4.11_6</t>
  </si>
  <si>
    <t>Q2.4.11_7</t>
  </si>
  <si>
    <t>Q2.4.11_8</t>
  </si>
  <si>
    <t>Q2.4.11_9</t>
  </si>
  <si>
    <t>Q2.4.11_10</t>
  </si>
  <si>
    <t>Q2.4.11_11</t>
  </si>
  <si>
    <t>Q2.4.11_12</t>
  </si>
  <si>
    <t>Q2.4.11_13</t>
  </si>
  <si>
    <t>Q2.4.11_14</t>
  </si>
  <si>
    <t>Q2.4.11_15</t>
  </si>
  <si>
    <t>Q2.4.11_16</t>
  </si>
  <si>
    <t>Q2.4.12</t>
  </si>
  <si>
    <t>Q2.4.13_1</t>
  </si>
  <si>
    <t>Q2.4.13_2</t>
  </si>
  <si>
    <t>Q2.4.13_3</t>
  </si>
  <si>
    <t>Q2.4.13_4</t>
  </si>
  <si>
    <t>Q2.4.13_5</t>
  </si>
  <si>
    <t>Q2.4.13_6</t>
  </si>
  <si>
    <t>Q2.4.13_7</t>
  </si>
  <si>
    <t>Q2.4.13_8</t>
  </si>
  <si>
    <t>Q2.4.13_9</t>
  </si>
  <si>
    <t>Q2.4.13_10</t>
  </si>
  <si>
    <t>Q2.4.13_11</t>
  </si>
  <si>
    <t>Q2.4.13_12</t>
  </si>
  <si>
    <t>Q2.4.13_13</t>
  </si>
  <si>
    <t>Q2.4.13_14</t>
  </si>
  <si>
    <t>Q2.4.13_15</t>
  </si>
  <si>
    <t>Q2.4.13_16</t>
  </si>
  <si>
    <t>Q2.4.14</t>
  </si>
  <si>
    <t>Q2.4.15_1</t>
  </si>
  <si>
    <t>Q2.4.15_2</t>
  </si>
  <si>
    <t>Q2.4.15_3</t>
  </si>
  <si>
    <t>Q2.4.15_4</t>
  </si>
  <si>
    <t>Q2.4.15_5</t>
  </si>
  <si>
    <t>Q2.4.15_6</t>
  </si>
  <si>
    <t>Q2.4.15_7</t>
  </si>
  <si>
    <t>Q2.4.15_8</t>
  </si>
  <si>
    <t>Q2.4.15_9</t>
  </si>
  <si>
    <t>Q2.4.15_10</t>
  </si>
  <si>
    <t>Q2.4.15_11</t>
  </si>
  <si>
    <t>Q2.4.15_12</t>
  </si>
  <si>
    <t>Q2.4.15_13</t>
  </si>
  <si>
    <t>Q2.4.15_14</t>
  </si>
  <si>
    <t>Q2.4.15_15</t>
  </si>
  <si>
    <t>Q2.4.15_16</t>
  </si>
  <si>
    <t>Q2.4.16</t>
  </si>
  <si>
    <t>Q2.5.2</t>
  </si>
  <si>
    <t>Q2.5.3</t>
  </si>
  <si>
    <t>Q2.5.4_1</t>
  </si>
  <si>
    <t>Q2.5.4_2</t>
  </si>
  <si>
    <t>Q2.5.4_3</t>
  </si>
  <si>
    <t>Q2.5.4_4</t>
  </si>
  <si>
    <t>Q2.5.4_5</t>
  </si>
  <si>
    <t>Q2.5.4_6</t>
  </si>
  <si>
    <t>Q2.5.4_7</t>
  </si>
  <si>
    <t>Q2.5.4_8</t>
  </si>
  <si>
    <t>Q2.5.4_9</t>
  </si>
  <si>
    <t>Q2.5.4_10</t>
  </si>
  <si>
    <t>Q2.5.4_11</t>
  </si>
  <si>
    <t>Q2.5.4_12</t>
  </si>
  <si>
    <t>Q2.5.4_13</t>
  </si>
  <si>
    <t>Q2.5.4_14</t>
  </si>
  <si>
    <t>Q2.5.4_15</t>
  </si>
  <si>
    <t>Q2.5.4_16</t>
  </si>
  <si>
    <t>Q2.5.5</t>
  </si>
  <si>
    <t>Q2.5.6</t>
  </si>
  <si>
    <t>Q2.5.7_1</t>
  </si>
  <si>
    <t>Q2.5.7_2</t>
  </si>
  <si>
    <t>Q2.5.7_3</t>
  </si>
  <si>
    <t>Q2.5.7_4</t>
  </si>
  <si>
    <t>Q2.5.7_5</t>
  </si>
  <si>
    <t>Q2.5.7_6</t>
  </si>
  <si>
    <t>Q2.5.7_7</t>
  </si>
  <si>
    <t>Q2.5.7_8</t>
  </si>
  <si>
    <t>Q2.5.7_9</t>
  </si>
  <si>
    <t>Q2.5.7_10</t>
  </si>
  <si>
    <t>Q2.5.7_11</t>
  </si>
  <si>
    <t>Q2.5.7_12</t>
  </si>
  <si>
    <t>Q2.5.7_13</t>
  </si>
  <si>
    <t>Q2.5.7_14</t>
  </si>
  <si>
    <t>Q2.5.7_15</t>
  </si>
  <si>
    <t>Q2.5.7_16</t>
  </si>
  <si>
    <t>Q2.5.8</t>
  </si>
  <si>
    <t>Q2.6.2</t>
  </si>
  <si>
    <t>Q2.6.3</t>
  </si>
  <si>
    <t>Q2.6.4</t>
  </si>
  <si>
    <t>Q2.6.5</t>
  </si>
  <si>
    <t>Q2.6.6</t>
  </si>
  <si>
    <t>Q2.6.7</t>
  </si>
  <si>
    <t>Q2.7.2</t>
  </si>
  <si>
    <t>Q2.7.3</t>
  </si>
  <si>
    <t>Q2.7.4</t>
  </si>
  <si>
    <t>Q2.7.5</t>
  </si>
  <si>
    <t>Q2.7.6</t>
  </si>
  <si>
    <t>Q2.8.2</t>
  </si>
  <si>
    <t>Q2.8.3</t>
  </si>
  <si>
    <t>Q2.8.4</t>
  </si>
  <si>
    <t>Q2.8.5</t>
  </si>
  <si>
    <t>Q2.8.6</t>
  </si>
  <si>
    <t>Q2.8.7</t>
  </si>
  <si>
    <t>Q2.8.8</t>
  </si>
  <si>
    <t>Q2.9.2</t>
  </si>
  <si>
    <t>Q2.9.3</t>
  </si>
  <si>
    <t>Q2.9.4</t>
  </si>
  <si>
    <t>Q2.9.5</t>
  </si>
  <si>
    <t>Q2.9.5_8_TEXT</t>
  </si>
  <si>
    <t>Q2.9.6</t>
  </si>
  <si>
    <t>Q2.9.7</t>
  </si>
  <si>
    <t>Q2.9.8_1</t>
  </si>
  <si>
    <t>Q2.9.8_2</t>
  </si>
  <si>
    <t>Q2.9.8_3</t>
  </si>
  <si>
    <t>Q2.9.8_4</t>
  </si>
  <si>
    <t>Q2.9.8_5</t>
  </si>
  <si>
    <t>Q2.9.8_6</t>
  </si>
  <si>
    <t>Q2.9.8_7</t>
  </si>
  <si>
    <t>Q2.9.9</t>
  </si>
  <si>
    <t>Q2.9.10</t>
  </si>
  <si>
    <t>Q2.10.2</t>
  </si>
  <si>
    <t>Q2.10.3</t>
  </si>
  <si>
    <t>Q2.10.4</t>
  </si>
  <si>
    <t>Q2.10.5</t>
  </si>
  <si>
    <t>Q2.10.6</t>
  </si>
  <si>
    <t>Q2.10.7</t>
  </si>
  <si>
    <t>Q2.10.9</t>
  </si>
  <si>
    <t>Q2.10.10</t>
  </si>
  <si>
    <t>Q2.10.11</t>
  </si>
  <si>
    <t>Full-time employees,Interns or students</t>
  </si>
  <si>
    <t>Interns are eligible after 90 days. regular employees are eligible on date of hire.</t>
  </si>
  <si>
    <t>HDHP (without HSA)</t>
  </si>
  <si>
    <t>Not applicable – not auto-enrolled</t>
  </si>
  <si>
    <t>Waive or opt out,Employee only,Employee + spouse or domestic partner,Employee + any child(ren),Family (employee + spouse or domestic partner + dependent) with 2 children,Family (employee + spouse or domestic partner + dependent) with 3 children</t>
  </si>
  <si>
    <t>HDHP/HSA,HMO ,Indemnity - out of area</t>
  </si>
  <si>
    <t xml:space="preserve">PPO </t>
  </si>
  <si>
    <t>Yes (specific only)</t>
  </si>
  <si>
    <t>Last day of the month</t>
  </si>
  <si>
    <t>Not applicable - not eligible for benefits</t>
  </si>
  <si>
    <t>401(k),Basic (company-paid) short-term disability,Basic long-term disability,Commuter shuttle services,Company discount programs,Dependent medical coverage option,Employee assistance program (EAP),Employee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awards,Working remotely stipend</t>
  </si>
  <si>
    <t>Commuter shuttle services,Company discount programs,Employee assistance program (EAP),Fitness center participation,Laundry / dry cleaning services,Paid jury duty,Patent awards</t>
  </si>
  <si>
    <t>We don’t have other types of employees</t>
  </si>
  <si>
    <t>Same notification as other change of status events</t>
  </si>
  <si>
    <t>No special criteria</t>
  </si>
  <si>
    <t>Legal guardianship</t>
  </si>
  <si>
    <t>Effective date</t>
  </si>
  <si>
    <t>Medical,Dental,Vision,Employee Assistance Program (EAP),Life Insurance/AD&amp;D,Voluntary Plans - Long Term Care,Voluntary Plans - Legal Insurance,Voluntary Plans - Financial Planning Services</t>
  </si>
  <si>
    <t>Same rules as a legal spouse applies to domestic partners,At new hire,During annual open enrollment,Within 30 days of establishing domestic partnership</t>
  </si>
  <si>
    <t>No - 100% honor system without agreement or attestation requirements</t>
  </si>
  <si>
    <t>Tier diferential: +1</t>
  </si>
  <si>
    <t>We do not gross up to cover imputed income</t>
  </si>
  <si>
    <t>Follow federal tax practice exactly</t>
  </si>
  <si>
    <t>No waiting period - eligible on first day of employment</t>
  </si>
  <si>
    <t>HDHP (with HSA)</t>
  </si>
  <si>
    <t>Waive or opt out,Employee only,Employee + spouse or domestic partner,Employee + any child(ren),Family (employee + spouse or domestic partner + dependent) with any child(ren)</t>
  </si>
  <si>
    <t xml:space="preserve">HDHP/HSA,HMO </t>
  </si>
  <si>
    <t>401(k),Basic (company-paid) short-term disability,Basic long-term disability,Commuter shuttle services,Company discount programs,Dependent medical coverage option,Employee assistance program (EAP),Employee recognition,Employee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awards,Wellness incentives participation</t>
  </si>
  <si>
    <t>Yes - as required by law</t>
  </si>
  <si>
    <t>Legal guardianship,IRS tax dependent</t>
  </si>
  <si>
    <t>Not eligible for coverage</t>
  </si>
  <si>
    <t>you and your domestic partner meet all of the following criteria: You and your domestic partner must have an ongoing and committed spouse-like relationship which has existed for at least six months immediately prior to the date that you wish to have your domestic partner enrolled in the High Deductible Health Plan and/or an available Company-sponsored HMO. Both you and your domestic partner must be 18 years of age or older and competent to contract. Neither you, nor your domestic partner is married, as defined by state law, nor the domestic partner of anyone else. You are not related by blood to a degree of closeness that would prohibit legal marriage in the state in which you reside. You and your domestic partner have shared the same place of residence for at least six months immediately prior to the date you wish to have your partner enrolled in the High Deductible Health Plan and/or an available Company-sponsored HMO and you intend to reside together indefinitely. You and your domestic partner are also responsible to each other for the direction and financial management of your household and intend this to remain the case indefinitely. You and your domestic partner are jointly responsible for each other's financial obligations. This includes creditors. At least six months have elapsed since Company benefits coverage was terminated on a previously covered domestic partner or spouse, if any.</t>
  </si>
  <si>
    <t>Medical,Dental,Vision,Employee Assistance Program (EAP)</t>
  </si>
  <si>
    <t>Same rules as a legal spouse applies to domestic partners</t>
  </si>
  <si>
    <t>COBRA rate</t>
  </si>
  <si>
    <t xml:space="preserve">PPO,HDHP/HSA,HMO </t>
  </si>
  <si>
    <t>401(k),Basic (company-paid) short-term disability,Basic long-term disability,Company discount programs,Dependent medical coverage option,Employee assistance program (EAP),Employee recognition,Employee stock purchase plan (ESPP),Employer match to 401(k),Free food,Fully insured medical coverage option,Laundry / dry cleaning services,Paid holidays,Paid jury duty,Paid military leave,Paid sick days,Seeded health savings account (HSA),Self-insured high deductible health plan (HDHP),Self-insured medical coverage,Service awards</t>
  </si>
  <si>
    <t>Company discount programs,Dependent medical coverage option,Employee assistance program (EAP),Free food,Fully insured medical coverage option,Laundry / dry cleaning services,Paid holidays,Paid jury duty,Paid sick days,Seeded health savings account (HSA),Self-insured high deductible health plan (HDHP),Self-insured medical coverage</t>
  </si>
  <si>
    <t>31 days</t>
  </si>
  <si>
    <t>End of month</t>
  </si>
  <si>
    <t>Domestic partner is the subscirber's domestic partner under a legally registered and valid domestic partnership. Domestic partner does not include any person who is: (a) covered as a subscriber, or (b) in active service in the armed forces.</t>
  </si>
  <si>
    <t>Medical,Dental,Vision,Employee Assistance Program (EAP),Life Insurance/AD&amp;D</t>
  </si>
  <si>
    <t>No - however employee provides electronic signature agreement or attestation</t>
  </si>
  <si>
    <t>EPO</t>
  </si>
  <si>
    <t>PPO,EPO</t>
  </si>
  <si>
    <t>Not applicable - my company is not self-insured</t>
  </si>
  <si>
    <t>401(k),Basic (company-paid) short-term disability,Basic long-term disability,Dependent medical coverage option,Employer match to 401(k),Fully insured medical coverage option,Paid holidays,Paid jury duty,Paid military leave,Paid sick days,Supplemental long-term disability</t>
  </si>
  <si>
    <t>Paid holidays,Paid sick days</t>
  </si>
  <si>
    <t>None - domestic partners are not covered</t>
  </si>
  <si>
    <t>Not applicable - we do not impute income</t>
  </si>
  <si>
    <t>Full-time employees,Part-time employees,Interns or students</t>
  </si>
  <si>
    <t>Company discount programs,Dependent medical coverage option,Emotional wellbeing program (separate from EAP),Employee assistance program (EAP),Fitness center participation,Paid holidays,Paid jury duty,Paid military leave,Paid sick days,Self-insured high deductible health plan (HDHP),Self-insured medical coverage,Wellness incentives participation</t>
  </si>
  <si>
    <t>Don't address state, impute and communicate enrolled employee responsibility</t>
  </si>
  <si>
    <t>Retail has a different part time definition than corporate</t>
  </si>
  <si>
    <t>Date of termination</t>
  </si>
  <si>
    <t>401(k),Basic (company-paid) short-term disability,Basic long-term disability,Commuter shuttle services,Company discount programs,Dependent medical coverage option,Employee assistance program (EAP),Employee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long-term disability</t>
  </si>
  <si>
    <t>Basic (company-paid) short-term disability,Basic long-term disability,Commuter shuttle services,Company discount programs,Dependent medical coverage option,Employee assistance program (EAP),Employee stock purchase plan (ESPP),Fitness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coverage,Supplemental long-term disability</t>
  </si>
  <si>
    <t>Commuter shuttle services</t>
  </si>
  <si>
    <t>Legal court order,Legal guardianship</t>
  </si>
  <si>
    <t>You have a domestic partnership or civil union that is legally established under state law; or - You meet all of the following criteria: - You live together in an exclusive, committed relationship, identical to being married. -  Live together  means that you share the same living quarters. You will not be considered to have stopped living together if one of you leaves the shared quarters for a period of time but intends to return.  Exclusive  means that your partner is your sole domestic partner.  Committed relationship"  means that the relationship is intended to last indefinitely and that you and your partner are responsible for each other s common welfare. - Both of you are at least 18 years old and mentally competent to enter into a contract. - Neither of you is married to another person. - You and your partner are not related in any way that would prevent a marriage in the state in which you reside. - Neither of you has been in a different domestic partnership within the previous six months (this requirement is waived if the previous partnership ended due to the death of your partner or if your partnership was legally terminated in the state in which you reside).</t>
  </si>
  <si>
    <t>Medical,Dental,Vision,Employee Assistance Program (EAP),Life Insurance/AD&amp;D,Voluntary Plans - Legal Insurance,Voluntary Plans - Financial Planning Services</t>
  </si>
  <si>
    <t>At new hire,During annual open enrollment,Within 30 days of establishing domestic partnership</t>
  </si>
  <si>
    <t>401(k),Company discount programs,Employee assistance program (EAP),Employee stock purchase plan (ESPP),Employer match to 401(k),Fitness center participation,Laundry / dry cleaning services,Paid holidays,Paid sick days,Seeded health savings account (HSA),Self-insured high deductible health plan (HDHP),Self-insured medical coverage,Working remotely stipend</t>
  </si>
  <si>
    <t>Fitness center participation</t>
  </si>
  <si>
    <t>Yes, for some events</t>
  </si>
  <si>
    <t>Policy differs by state</t>
  </si>
  <si>
    <t>PPO,EPO,HDHP/HSA,HMO ,Indemnity - out of area</t>
  </si>
  <si>
    <t>401(k),Basic (company-paid) short-term disability,Basic long-term disability,Company discount programs,Dependent medical coverage option,Employee assistance program (EAP),Employee recognition,Employee stock purchase plan (ESPP),Employer match to 401(k),Fitness center participation,Free food,Fully insured medical coverage option,Paid holidays,Paid jury duty,Paid military leave,Paid sick days,Patent awards,Seeded health savings account (HSA),Self-insured high deductible health plan (HDHP),Self-insured medical coverage,Service awards,Wellness incentives participation</t>
  </si>
  <si>
    <t>Legal court order,IRS tax dependent,Other</t>
  </si>
  <si>
    <t>IRS tax dependent</t>
  </si>
  <si>
    <t>Registered Domestic Partners (a) Domestic Partners - same-sex and opposite-sex couples who have registered with any state or local government domestic partnership registry; or (b) State Registered Domestic Partners - two individuals who are Registered Domestic Partners with the state, in a state in which they reside pursuant to a domestic partner registration law; or (c) Civil Union Partners - two individuals who are in a legally recognized Civil Union with the state, in a state in which they reside pursuant to a civil union law.  Non-Registered Domestic Partners Partners not registered or recognized by any legal entity, but who meet the company's domestic partner requirements below.</t>
  </si>
  <si>
    <t>Medical,Dental,Vision,Employee Assistance Program (EAP),Life Insurance/AD&amp;D,Voluntary Plans - Legal Insurance</t>
  </si>
  <si>
    <t>Use enrolled employee rate</t>
  </si>
  <si>
    <t>401(k),Basic (company-paid) short-term disability,Basic long-term disability,Company discount programs,Dependent medical coverage option,Employee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awards,Supplemental long-term disability,Wellness incentives participation,Working remotely stipend</t>
  </si>
  <si>
    <t>401(k),Employer match to 401(k),Fitness center participation,Laundry / dry cleaning services,Paid holidays,Paid sick days</t>
  </si>
  <si>
    <t>Fitness center participation,Laundry / dry cleaning services</t>
  </si>
  <si>
    <t>Laundry / dry cleaning services</t>
  </si>
  <si>
    <t>Legal court order</t>
  </si>
  <si>
    <t>Same rules as a legal spouse applies to domestic partners,Other</t>
  </si>
  <si>
    <t>401(k),Basic (company-paid) short-term disability,Basic long-term disability,Company discount programs,Dependent medical coverage option,Employee assistance program (EAP),Employee stock purchase plan (ESPP),Employer match to 401(k),Fitness center participation,Fully insured medical coverage option,Paid holidays,Paid jury duty,Paid military leave,Paid sick days,Seeded health savings account (HSA),Self-insured high deductible health plan (HDHP),Self-insured medical coverage,Supplemental long-term disability,Wellness incentives participation</t>
  </si>
  <si>
    <t>Employee assistance program (EAP)</t>
  </si>
  <si>
    <t>Yes, for all events</t>
  </si>
  <si>
    <t>A domestic partner is someone who has resided with you at your principal residence for at least one year, is at least 18 years old, is not your blood relative to a degree that would prohibit a legal marriage, has signed a notarized affidavit required by the Employer and has demonstrated to the Employer financial interdependence. Your domestic partner and you must demonstrate financial interdependence by providing documentation of at least two of the following arrangements: (a) common ownership of real property or a common leasehold interest in property; (b) common ownership of a motor vehicle; (c) a joint bank account or a joint credit account; (d) designation as a beneficiary under life insurance, retirement benefits or a will; (e) assignment of durable power of attorney; or (f) other proof acceptable to the Employer to establish financial interdependence.</t>
  </si>
  <si>
    <t>Medical,Dental,Vision,Employee Assistance Program (EAP),Life Insurance/AD&amp;D,Voluntary Plans - Long Term Care,Voluntary Plans - Legal Insurance</t>
  </si>
  <si>
    <t>Interns and co-ops are eligible for medical plans, but not the full suite of offerings that are available to regular employees. All employees are eligible for EAP.</t>
  </si>
  <si>
    <t>PPO (without HRA)</t>
  </si>
  <si>
    <t xml:space="preserve">PPO,EPO,HDHP/HSA,HMO </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</si>
  <si>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long-term disability</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</si>
  <si>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long-term disability</t>
  </si>
  <si>
    <t>Employee assistance program (EAP),Online therapy (e.g., Talkspace)</t>
  </si>
  <si>
    <t>A domestic partnership qualifies for medical coverage if one of the three options defined below are met. 1. All of the following requirements must be true of your domestic partner relationship: *Have a committed relationship of mutual caring which has existed for at least eight (8) months prior to enrollment in the company health plans; and *Are both 18 or older and mentally competent to consent to contract; and *Neither of us is married, our relationship is mutually exclusive, and this will remain the case indefinitely; and *Not related by blood to a degree of closeness that would prohibit legal marriage in the state in which we legally reside; and  *Maintained the same principal place of residence for at least eight (8) months and intend to do so indefinitely; and  *Are responsible to each other for the direction and financial management of our household and intend this to remain the case indefinitely OR 2. Have entered into a valid registered domestic partnership, civil union or same-sex marriage that is recognized under the laws of a particular state                OR 3. We have entered into a valid same-sex marriage or partnership in a foreign country.</t>
  </si>
  <si>
    <t>Part-time employees working less than 30 hours per week and Interns are only eligible for one medical plan option.</t>
  </si>
  <si>
    <t>Employee only,Employee + spouse or domestic partner,Employee + any child(ren),Family (employee + spouse or domestic partner + dependent) with any child(ren)</t>
  </si>
  <si>
    <t>Yes (specific and aggregate)</t>
  </si>
  <si>
    <t>401(k),Basic (company-paid) short-term disability,Basic long-term disability,Company discount programs,Dependent medical coverage option,Employee assistance program (EAP),Employee stock purchase plan (ESPP),Employer match to 401(k),Fitness center participation,Free food,Fully insured medical coverage option,Laundry / dry cleaning services,Paid holidays,Paid jury duty,Paid military leave,Patent awards,Seeded health savings account (HSA),Self-insured high deductible health plan (HDHP),Self-insured medical coverage,Service awards,Wellness incentives participation</t>
  </si>
  <si>
    <t>401(k),Company discount programs,Dependent medical coverage option,Employee assistance program (EAP),Employer match to 401(k),Fitness center participation,Free food,Fully insured medical coverage option,Laundry / dry cleaning services,Paid holidays,Paid jury duty,Paid military leave,Self-insured medical coverage,Service awards,Wellness incentives participation</t>
  </si>
  <si>
    <t>Free food,Laundry / dry cleaning services</t>
  </si>
  <si>
    <t>Two persons of the same or opposite sex, 18 years of age or older, not otherwise married to another individual, who are unrelated by blood and who have voluntarily declared that they are each other's sole Domestic Partner.</t>
  </si>
  <si>
    <t>PPO,HDHP/HSA,HMO ,Indemnity - out of area</t>
  </si>
  <si>
    <t>401(k),Basic (company-paid) short-term disability,Basic long-term disability,Company discount programs,Dependent medical coverage option,Employee assistance program (EAP),Employee recognition,Employer match to 401(k),Fitness center participation,Fully insured medical coverage option,Online therapy (e.g., Talkspace),Paid holidays,Paid jury duty,Paid military leave,Paid sick days,Seeded health savings account (HSA),Self-insured high deductible health plan (HDHP),Self-insured medical coverage,Service awards,Supplemental long-term disability,Wellness incentives participation</t>
  </si>
  <si>
    <t>Employee assistance program (EAP),Self-insured high deductible health plan (HDHP)</t>
  </si>
  <si>
    <t>31 days to report a life event / 60 days to report newborn</t>
  </si>
  <si>
    <t>Domestic partner (same-sex or opposite-sex), if you are properly registered with a state or local government domestic partnership registry, or meet the following requirements: o You and your domestic partner both indicate that you have lived together in a relationship where you have been responsible for each other s welfare for at least six consecutive months; o You are the sole domestic partner of each other; o You are both at least 18 years of age; and o You are not legally married to anyone else.</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</si>
  <si>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401(k),Free food,Fully insured medical coverage option,Online therapy (e.g., Talkspace),Paid holidays,Paid jury duty,Paid military leave,Paid sick days,Seeded health savings account (HSA),Self-insured high deductible health plan (HDHP),Self-insured medical coverage,Service awards,Supplemental long-term disability,Supplemental short-term disability,Wellness incentives participation</t>
  </si>
  <si>
    <t>401(k),Basic (company-paid) short-term disability,Basic long-term disability,Commuter shuttle services,Company discount programs,Dependent medical coverage option,Emotional wellbeing program (separate from EAP),Employee assistance program (EAP),Employee stock purchase plan (ESPP),Employer match to 401(k),Free food,Fully insured medical coverage option,Online therapy (e.g., Talkspace),Paid holidays,Paid jury duty,Paid military leave,Paid sick days,Seeded health savings account (HSA),Self-insured high deductible health plan (HDHP),Self-insured medical coverage,Service awards,Supplemental long-term disability,Supplemental short-term disability,Wellness incentives participation</t>
  </si>
  <si>
    <t>Yes, on a case-by-case basis</t>
  </si>
  <si>
    <t>Domestic partnerships include same and opposite sex partners who meet the following criteria: o Are 18 years or older o Share a close personal relationship and are responsible for each other s common welfare and are able to consent to the partnership</t>
  </si>
  <si>
    <t>401(k),Basic (company-paid) short-term disability,Basic long-term disability,Company discount programs,Dependent medical coverage option,Employee assistance program (EAP),Employee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t>
  </si>
  <si>
    <t>Company discount programs,Fitness center participation,Laundry / dry cleaning services</t>
  </si>
  <si>
    <t>Primary residence with employee</t>
  </si>
  <si>
    <t>Part time employees must work 20+ hours to be eligible for medical. All interns are eligible for medical. All FT employees are eligible for medical.</t>
  </si>
  <si>
    <t>PPO,HDHP/HSA</t>
  </si>
  <si>
    <t>401(k),Basic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services,Online therapy (e.g., Talkspace),Paid holidays,Paid sick days,Self-insured high deductible health plan (HDHP),Self-insured medical coverage,Supplemental short-term disability,Wellness incentives participation,Working remotely stipend</t>
  </si>
  <si>
    <t>Medical,Dental,Vision,Employee Assistance Program (EAP),Voluntary Plans - Legal Insurance</t>
  </si>
  <si>
    <t>401(k),Basic (company-paid) short-term disability,Basic long-term disability,Commuter shuttle services,Company discount programs,Dependent medical coverage option,Employee assistance program (EAP),Employee recognition,Employer match to 401(k),Fitness center participation,Free food,Fully insured medical coverage option,Laundry / dry cleaning services,Paid holidays,Paid jury duty,Paid military leave,Paid sick days,Seeded health savings account (HSA),Self-insured high deductible health plan (HDHP),Self-insured medical coverage,Service awards,Supplemental short-term disability,Wellness incentives participation,Working remotely stipend</t>
  </si>
  <si>
    <t>31 days, 60 days for newborn</t>
  </si>
  <si>
    <t>end of month for most events, effective date for moving out of service area</t>
  </si>
  <si>
    <t>401(k),Basic (company-paid) short-term disability,Basic long-term disability,Commuter shuttle services,Company discount programs,Dependent medical coverage option,Emotional wellbeing program
(separate from EAP),Employee assistance program (EAP),Employee recognition,Employer match to 401(k),Fitness center participation,Free food,Fully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awards,Supplemental long-term disability,Supplemental short-term disability</t>
  </si>
  <si>
    <t>Fitness center participation,Free food,Laundry / dry cleaning services</t>
  </si>
  <si>
    <t>Free food</t>
  </si>
  <si>
    <t>A same or opposite sex domestic partner as identified on a valid affidavit of domestic partnership on record with the Company, which shall certify that the partnership satisfies one of the following two alternatives:  1) Alternative 1: the Eligible Employee and the Eligible Employee’s partner are currently registered as domestic partners, pursuant to state or local law where they reside; or   2) Alternative 2: Each of the Eligible Employee and the Eligible Employee’s partner meet the following qualifications:   - is 18 years of age or older; - shares a committed and exclusive personal relationship with the other and is responsible for the other’s common welfare;  - is the other’s sole domestic partner; - is not related to the other by blood closer than would bar a marriage in the state of residence; - lives with the other partner permanently (Note: to live together means that the Eligible Employee and the Eligible Employee’s partner share a place to live. The Eligible Employee and the Eligible Employee’s partner do not have to both be on the rental agreement, lease or deed. It will not disqualify the domestic partnership if the Eligible Employee or the Eligible Employee’s partner have a temporary or part-time separate place to live somewhere else. Even if the Eligible Employee or the Eligible Employee’s partner leaves the place they share, they will still be treated as living together as long as the partner who left intends to return);  - is jointly financially responsible for “basic living expenses,” defined as the cost of basic food, shelter and any other expenses incurred as part of the relationship;  - was mentally competent to consent to the relationship when the relationship began; and - is not married.</t>
  </si>
  <si>
    <t>Interns are not eligible for 401k, vacation and vacation buy, and disability.</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</si>
  <si>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military leave,Paid sick days,Patent awards,Seeded health savings account (HSA),Self-insured high deductible health plan (HDHP),Self-insured medical coverage,Service awards,Supplemental long-term disability,Wellness incentives participation,Working remotely stipend</t>
  </si>
  <si>
    <t>Company discount programs,Dependent medical coverage option,Emotional wellbeing program (separate from EAP),Employee assistance program (EAP),Employee recognition,Fitness center participation,Fully insured medical coverage option,Online therapy (e.g., Talkspace),Paid holidays,Paid sick days,Seeded health savings account (HSA),Self-insured high deductible health plan (HDHP),Self-insured medical coverage,Wellness incentives participation</t>
  </si>
  <si>
    <t>Legal guardianship,Primary residence with employee</t>
  </si>
  <si>
    <t>IRS tax dependent,Primary residence with employee</t>
  </si>
  <si>
    <t>Legal guardianship,IRS tax dependent,Primary residence with employee</t>
  </si>
  <si>
    <t>Must register the domestic partnership with a state or local government that accepts such registrations. If registration is not an option or is not preferred, each other's sole domestic partner and intend to remain so indefinitely; must satisfy the following requirements for at least six full months: Must be Must reside together in the same principal residence and intend to remain so indefinitely; Must be emotionally committed to one another, share joint responsibilities for your common welfare, and be financially interdependent; Must each be at least 18 years of age and mentally competent to consent to a contract; Must not be related by blood closer than would bar marriage under applicable law in effect where you reside; and Must not be legally married to anyone else or involved in any other domestic partnership.</t>
  </si>
  <si>
    <t>HDHP/HSA</t>
  </si>
  <si>
    <t>401(k),Basic long-term disability,Company discount programs,Employee assistance program (EAP),Employee recognition,Employer match to 401(k),Fitness center participation,Fully insured medical coverage option,Laundry / dry cleaning services,Paid holidays,Paid jury duty,Paid military leave,Paid sick days,Seeded health savings account (HSA),Self-insured high deductible health plan (HDHP),Self-insured medical coverage,Service awards,Supplemental long-term disability,Wellness incentives participation</t>
  </si>
  <si>
    <t>401(k),Company discount programs,Employee recognition,Employer match to 401(k),Fitness center participation,Laundry / dry cleaning services</t>
  </si>
  <si>
    <t>PPO (with HRA)</t>
  </si>
  <si>
    <t>PPO,EPO,HDHP/HSA,HMO ,HDHP/HRA,Indemnity - out of area</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</si>
  <si>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military leave,Paid sick days,Seeded health savings account (HSA),Self-insured high deductible health plan (HDHP),Self-insured medical coverage,Service awards,Supplemental long-term disability,Wellness incentives participation,Working remotely stipend</t>
  </si>
  <si>
    <t>Company discount programs,Dependent medical coverage option,Emotional wellbeing program (separate from EAP),Employee assistance program (EAP),Fitness center participation,Fully insured medical coverage option,Online therapy (e.g., Talkspace),Paid holidays,Paid sick days,Seeded health savings account (HSA),Self-insured high deductible health plan (HDHP),Self-insured medical coverage,Wellness incentives participation</t>
  </si>
  <si>
    <t>To qualify for benefits, you and your domestic partner must have either registered your domestic partnership with a state or local government that accepts such registrations, or you and your domestic partner must have satisfied all of the following requirements for at least six full months: You must be each other s sole domestic partner and intend to remain so indefinitely; You must reside together in the same principal residence and intend to remain so indefinitely; You must be emotionally committed to one another, share joint responsibilities for your common welfare, and be financially interdependent; You must each be at least 18 years of age and mentally competent to consent to a contract; You must not be related by blood more closely than would bar marriage under applicable law in effect where you reside; and You must not be legally married to anyone else or involved in any other domestic partnership</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</si>
  <si>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days,Patent awards,Self-insured high deductible health plan (HDHP),Self-insured medical coverage,Service awards</t>
  </si>
  <si>
    <t>Your domestic partner is eligible for health and voluntary benefit programs if you are in a committed relationship and the domestic partner is 18 years or older, not related to you, has resided with you for greater than one year, and shares mutual obligation of support for the basic necessities of life.</t>
  </si>
  <si>
    <t>Full-time employees,Part-time employees,Seasonal workers,Other</t>
  </si>
  <si>
    <t>Select Time employees</t>
  </si>
  <si>
    <t>Seasonal workers are only offered medical coverage once they meet the ACA hours worked requirement.  Select Time employees are offered coverage following a 30 day waiting period.</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</si>
  <si>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t>
  </si>
  <si>
    <t>Commuter shuttle services,Company discount programs,Employee assistance program (EAP),Employee stock purchase plan (ESPP),Fitness center participation,Free food,Paid holidays,Paid sick days</t>
  </si>
  <si>
    <t>401(k),Company discount programs,Employee assistance program (EAP),Employee stock purchase plan (ESPP),Employer match to 401(k),Fitness center participation,Free food,Online therapy (e.g., Talkspace),Paid sick days</t>
  </si>
  <si>
    <t>401(k),Company discount programs,Dependent medical coverage option,Emotional wellbeing program (separate from EAP),Employee assistance program (EAP),Employee recognition,Employee stock purchase plan (ESPP),Employer match to 401(k),Fitness center participation,Free food,Online therapy (e.g., Talkspace),Paid sick days,Self-insured medical coverage</t>
  </si>
  <si>
    <t>Be financially interdependent and jointly responsible for each other's common welfare     Intend to remain in a committed relationship     Share the same living quarters and permanent address     Not be so closely related by blood that legal marriage would otherwise be prohibited     Be at least age 18     Not be in another domestic partnership or marriage</t>
  </si>
  <si>
    <t>Same rules as a legal spouse applies to domestic partners,At new hire,During annual open enrollment,Within 30 days of establishing domestic partnership,Other</t>
  </si>
  <si>
    <t>No - but would consider it</t>
  </si>
  <si>
    <t>401(k),Basic (company-paid) short-term disability,Basic long-term disability,Commuter shuttle services,Company discount programs,Dependent medical coverage option,Employee assistance program (EAP),Employee recognition,Employee stock purchase plan (ESPP),Employer match to 401(k),Fitness center participation,Fully insured medical coverage option,Laundry / dry cleaning services,Paid holidays,Paid jury duty,Paid sick days,Seeded health savings account (HSA),Self-insured high deductible health plan (HDHP),Self-insured medical coverage,Service awards,Working remotely stipend</t>
  </si>
  <si>
    <t>Basic (company-paid) short-term disability,Basic long-term disability,Commuter shuttle services,Company discount programs,Dependent medical coverage option,Employee assistance program (EAP),Employee recognition,Fitness center participation,Fully insured medical coverage option,Laundry / dry cleaning services,Paid holidays,Paid jury duty,Paid sick days,Seeded health savings account (HSA),Self-insured high deductible health plan (HDHP),Self-insured medical coverage,Working remotely stipend</t>
  </si>
  <si>
    <t>Legal court order,Legal guardianship,IRS tax dependent</t>
  </si>
  <si>
    <t>'-Your domestic partner or civil union partner of the same or opposite sex that is currently registered as such with any governmental body, pursuant to state or local law; or - Your domestic partner of the same or opposite sex who have a dedicated relation</t>
  </si>
  <si>
    <t>Same rules as a legal spouse applies to domestic partners,At new hire,During annual open enrollment</t>
  </si>
  <si>
    <t>There is no waiting period.</t>
  </si>
  <si>
    <t>Waive or opt out,Employee only,Employee + spouse or domestic partner,Employee + 1 child,Family (employee + spouse or domestic partner + dependent) with any child(ren)</t>
  </si>
  <si>
    <t>401(k),Basic (company-paid) short-term disability,Basic long-term disability,Commuter shuttle services,Company discount programs,Dependent medical coverage option,Employee assistance program (EAP),Employee stock purchase plan (ESPP),Employer match to 401(k),Fitness center participation,Fully insured medical coverage option,Paid holidays,Paid jury duty,Paid military leave,Patent awards,Seeded health savings account (HSA),Self-insured high deductible health plan (HDHP)</t>
  </si>
  <si>
    <t>Employees who engage in an ongoing and committed spouse-like relationship with an adult of the same or opposite gender.</t>
  </si>
  <si>
    <t>401(k),Basic (company-paid) short-term disability,Basic long-term disability,Company discount programs,Dependent medical coverage option,Employee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participation,Working remotely stipend</t>
  </si>
  <si>
    <t>Basic (company-paid) short-term disability,Company discount programs,Dependent medical coverage option,Employee assistance program (EAP),Fitness center participation,Laundry / dry cleaning services,Online therapy (e.g., Talkspace),Paid holidays,Paid sick days,Seeded health savings account (HSA),Self-insured high deductible health plan (HDHP),Wellness incentives participation</t>
  </si>
  <si>
    <t>60 days for birth/adoption, all others 31 days</t>
  </si>
  <si>
    <t>Your domestic partner may also be an eligible dependent under certain Plan Coverages.  For purposes of the Plan, a  Domestic Partner  includes:   A person who must be covered by certain Coverages in the same way a Spouse is covered pursuant to applicable insurance law because of the person s relationship with the Participant (for example, a Registered Domestic Partner of a California Participant covered by a California Insurance Policy).   A person who is a member of a domestic partnership or civil union recognized under applicable state law.   A  domestic partner  recognized by the Employer for benefits purposes as outlined by the Employer s domestic partner policy, which is hereby incorporated by reference.</t>
  </si>
  <si>
    <t>401(k),Basic long-term disability,Commuter shuttle services,Company discount programs,Dependent medical coverage option,Employee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t>
  </si>
  <si>
    <t>Commuter shuttle services,Company discount programs,Dependent medical coverage option,Employee assistance program (EAP),Fitness center participation,Fully insured medical coverage option,Laundry / dry cleaning services,Online therapy (e.g., Talkspace),Paid holidays,Paid sick days,Seeded health savings account (HSA),Self-insured high deductible health plan (HDHP),Self-insured medical coverage</t>
  </si>
  <si>
    <t>30 days except 60 days when you have a baby, adopt, or have a child placed in your care for adoption.</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</si>
  <si>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participation,Paid holidays,Paid jury duty,Paid military leave,Paid sick days,Seeded health savings account (HSA),Self-insured high deductible health plan (HDHP),Self-insured medical coverage,Service awards,Working remotely stipend</t>
  </si>
  <si>
    <t>Company discount programs,Paid holidays</t>
  </si>
  <si>
    <t xml:space="preserve">PPO,EPO,HMO </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</si>
  <si>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services,Paid holidays,Paid jury duty,Paid military leave,Paid sick days,Patent awards,Self-insured medical coverage,Wellness incentives participation,Working remotely stipend</t>
  </si>
  <si>
    <t>Commuter shuttle services,Company discount programs,Fitness center participation,Free food,Laundry / dry cleaning services,Paid holidays</t>
  </si>
  <si>
    <t>Commuter shuttle services,Fitness center participation,Free food</t>
  </si>
  <si>
    <t>Company provides health care coverage for employee's registered domestic partner or the employee's same or opposite-sex domestic partner. For a domestic partnership other than one that is legally registered, the employee and domestic partner must meet all of the following requirements to be covered Company's health plans:  1) Are not forming the domestic partnership solely to obtain insurance coverage; 2) Are jointly responsible for each other's basic living expenses incurred during their domestic partnership; 3) Are not married or a member of another domestic partnership; 4) Are not related by blood in any way that would prevent them from being married to each other in the state in which they reside; 5) Are both at least 18 years of age; 6) Cohabit and reside together in the same residence and intend to do so indefinitely; 7) Have resided in the same household for at least six months;  8) Are both capable of consenting to the domestic partnership; 9) Have not previously filled a Declaration of Domestic Partnership with the Secretary of State that has not been terminated.</t>
  </si>
  <si>
    <t>Company discount programs,Employee recognition,Fitness center participation,Free food,Paid holidays,Paid sick days,Patent awards</t>
  </si>
  <si>
    <t>Company discount programs,Fitness center participation,Free food,Paid holidays,Paid sick days</t>
  </si>
  <si>
    <t>More than 180 days</t>
  </si>
  <si>
    <t>401(k),Basic (company-paid) short-term disability,Company discount programs,Emotional wellbeing program (separate from EAP),Employee assistance program (EAP),Employer match to 401(k),Fitness center participation,Laundry / dry cleaning services,Paid holidays,Paid jury duty,Paid military leave,Paid sick days,Patent awards,Wellness incentives participation,Working remotely stipend</t>
  </si>
  <si>
    <t>Waive or opt out,Employee only,Employee + spouse or domestic partner,Employee + 1 child,Employee + 2 children,Family (employee + spouse or domestic partner + dependent) with any child(ren)</t>
  </si>
  <si>
    <t>401(k),Basic (company-paid) short-term disability,Basic long-term disability,Company discount programs,Dependent medical coverage option,Employee assistance program (EAP),Employee recognition,Employee stock purchase plan (ESPP),Employer match to 401(k),Fitness center participation,Free food,Fully insured medical coverage option,Online therapy (e.g., Talkspace),Paid holidays,Paid jury duty,Paid military leave,Paid sick days,Patent awards,Seeded health savings account (HSA),Self-insured high deductible health plan (HDHP),Self-insured medical coverage,Service awards,Supplemental long-term disability,Wellness incentives participation</t>
  </si>
  <si>
    <t>401(k),Company discount programs,Dependent medical coverage option,Employee assistance program (EAP),Employee recognition,Employee stock purchase plan (ESPP),Employer match to 401(k),Fitness center participation,Free food,Fully insured medical coverage option,Online therapy (e.g., Talkspace),Paid holidays,Paid jury duty,Paid military leave,Paid sick days,Patent awards,Seeded health savings account (HSA),Self-insured high deductible health plan (HDHP),Self-insured medical coverage,Service awards,Wellness incentives participation</t>
  </si>
  <si>
    <t>401(k),Company discount programs,Dependent medical coverage option,Employee assistance program (EAP),Employee recognition,Employer match to 401(k),Fitness center participation,Free food,Fully insured medical coverage option,Online therapy (e.g., Talkspace),Paid holidays,Seeded health savings account (HSA),Self-insured high deductible health plan (HDHP),Self-insured medical coverage,Service awards,Wellness incentives participation</t>
  </si>
  <si>
    <t>Spouse or Domestic Partner. Your spouse by a marriage that occurred in any state or foreign jurisdiction in accordance with the applicable law of such state or foreign jurisdiction (regardless of the marital laws where you currently live) is eligible to participate in the Health Plans.  Your domestic partner, as defined by the Company Domestic Partner Affidavit is eligible to participate in the Health Plans.</t>
  </si>
  <si>
    <t>Corporate employees are eligible on date of hire. Retail FT Employees are eligible as of Day 31 of employment and Retail PT are eligible as of Day 91 of employment</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</si>
  <si>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military leave,Paid sick days,Patent awards,Seeded health savings account (HSA),Self-insured high deductible health plan (HDHP),Self-insured medical coverage,Service awards,Wellness incentives participation</t>
  </si>
  <si>
    <t>1. We are each other's sole Domestic Partner and intend to remain so indefinitely. 2. Neither one of us is legally married. 3. We are at least eighteen (18) years of age and mentally competent to consent to contract. 4. We are not related by blood to a degree of closeness that would prohibit legal marriage in the state in which we legally reside. 5. We reside together in the same residence and intend to do so indefinitely. 6. We are jointly responsible for each other's common welfare and financial obligations  7. We agree to notify the Company Benefits department if there is any change of circumstances attested to in this affidavit within thirty (30) days of the change. Except for a temporary residence change in which we reside in separate residences for a period of time lasting not more than 90 days, we agree that any benefits available to the non-employee Domestic Partner shall be terminated upon a change of circumstances attested to in this affidavit. 8. We understand that this information will be held confidential and will be subject to disclosure only (a) for business need, including (without limitation) administration of benefits; (b) upon our express written authorization or (c) if required by law or court order. 9. We understand that a civil action may be brought against us for any expenses incurred by Company or any benefit plan providers, including reasonable attorney's fees, because of any false statement(s) contained in this Affidavit of Domestic Partnership. 10. We understand that this declaration of responsibility for our common welfare may have legal implications under Federal and State law. 11. We agree that this affidavit may constitute, or contribute to, the establishment of community property in a court of law. Such community property may include without limitation Company stock holdings including shares purchased through the Employee Stock Purchase Plan, Company stock options and stock awards,  the Savings Plus401(k) Plan, and other property and assets. 12. I, the undersigned Company Employee, understand that willful falsification of information on this affidavit may lead to disciplinary action, up to and including discharge from employment.</t>
  </si>
  <si>
    <t>PDO</t>
  </si>
  <si>
    <t>401(k),Basic (company-paid) short-term disability,Basic long-term disability,Company discount programs,Dependent medical coverage option,Emotional wellbeing program (separate from EAP),Employee assistance program (EAP),Employee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coverage,Wellness incentives participation,Working remotely stipend</t>
  </si>
  <si>
    <t>Company discount programs,Fitness center participation,Free food,Laundry / dry cleaning services</t>
  </si>
  <si>
    <t>401(k),Basic (company-paid) short-term disability,Basic long-term disability,Commuter shuttle services,Company discount programs,Dependent medical coverage option,Emotional wellbeing program
(separate from EAP),Employee assistance program (EAP),Employee stock purchase plan (ESPP),Employer match to 401(k),Free food,Laundry / dry cleaning services,Online therapy (e.g., Talkspace),Paid holidays,Paid jury duty,Paid military leave,Paid sick days,Self-insured high deductible health plan (HDHP),Self-insured medical coverage</t>
  </si>
  <si>
    <t>401(k),Commuter shuttle services,Employer match to 401(k),Free food,Laundry / dry cleaning services,Paid holidays,Paid jury duty,Paid military leave,Paid sick days</t>
  </si>
  <si>
    <t>Commuter shuttle services,Free food,Laundry / dry cleaning services,Paid holidays</t>
  </si>
  <si>
    <t>Commuter shuttle services,Free food</t>
  </si>
  <si>
    <t>Your domestic partner is someone you have a committed, intimate relationship with, shares your primary residence and is at least 18 years old.</t>
  </si>
  <si>
    <t>401(k),Basic (company-paid) short-term disability,Basic long-term disability,Company discount programs,Employee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days,Self-insured high deductible health plan (HDHP),Self-insured medical coverage,Wellness incentives participation</t>
  </si>
  <si>
    <t>Be at least 18 years of age  Have lived together for a minimum of six months  Be in an exclusive, mutually committed relationship similar to that of marriage  Be financially responsible for each other's well being  Not be married to anyone else or have another domestic partner (any such past relationships must have been dissolved for at least six months)  Not be related by blood to any degree that would bar marriage in the state in which you reside</t>
  </si>
  <si>
    <t>part-time and interns must wait 60 days before enrollment and are limited to the POS or HDHP Plan.</t>
  </si>
  <si>
    <t>Waive or opt out,Employee only,Employee + spouse or domestic partner,Employee + spouse or domestic partner or child(ren),Employee + any child(ren)</t>
  </si>
  <si>
    <t>PPO,HDHP/HSA,HMO ,POS</t>
  </si>
  <si>
    <t>401(k),Company discount programs,Dependent medical coverage option,Emotional wellbeing program (separate from EAP),Employee assistance program (EAP),Employee recognition,Employee stock purchase plan (ESPP),Fitness center participation,Laundry / dry cleaning services,Online therapy (e.g., Talkspace),Paid holidays,Paid sick days,Self-insured high deductible health plan (HDHP),Self-insured medical coverage,Service awards</t>
  </si>
  <si>
    <t>401(k),Employee assistance program (EAP),Employee recognition,Fitness center participation,Laundry / dry cleaning services,Self-insured high deductible health plan (HDHP),Self-insured medical coverage,Service awards,Working remotely stipend</t>
  </si>
  <si>
    <t>A domestic partner is an individual of the same sex or opposite sex with whom you’re in a domestic partnership, civil union or other similar formal relationship that’s not a marriage under state law.</t>
  </si>
  <si>
    <t>At new hire,During annual open enrollment</t>
  </si>
  <si>
    <t>HMO</t>
  </si>
  <si>
    <t>Waive or opt out,Employee only,Employee + spouse or domestic partner,Employee + 1 child,Employee + 2 children,Family (employee + spouse or domestic partner + dependent) with 1 child,Family (employee + spouse or domestic partner + dependent) with 2 children</t>
  </si>
  <si>
    <t>401(k),Basic (company-paid) short-term disability,Basic long-term disability,Commuter shuttle services,Company discount programs,Dependent medical coverage option,Emotional wellbeing program
(separate from EAP),Employee assistance program (EAP),Employee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t>
  </si>
  <si>
    <t>To be considered a "qualified domestic partner", your partner, must be:   1. Someone of the same sex or opposite sex with whom you have chosen to share your life in an intimate and committed relationship of mutual caring;  2. Someone who is:  a. unmarried, b. your sole domestic partner, c. at least 18 years of age, d. capable of entering into a contract, and e. not related by blood to a degree of closeness which would prohibit legal marriage in the state in which you legally reside.</t>
  </si>
  <si>
    <t>PPO,EPO,HDHP/HSA</t>
  </si>
  <si>
    <t>401(k),Basic (company-paid) short-term disability,Basic long-term disability,Commuter shuttle services,Company discount programs,Dependent medical coverage option,Employee assistance program (EAP),Employee stock purchase plan (ESPP),Employer match to 401(k),Fitness center participation,Online therapy (e.g., Talkspace),Paid holidays,Paid jury duty,Paid military leave,Paid sick days,Patent awards,Seeded health savings account (HSA),Self-insured high deductible health plan (HDHP),Self-insured medical coverage,Supplemental short-term disability,Wellness incentives participation</t>
  </si>
  <si>
    <t>Commuter shuttle services,Company discount programs,Fitness center participation,Paid jury duty,Patent awards</t>
  </si>
  <si>
    <t>To be eligible for domestic partner coverage under the Company benefit plans, the following eligibility requirements must be met: You and your domestic partner are registered as domestic partners according to applicable city, county or state laws; or In the absence of domestic partner registration, all of the following requirements must be met (Company Rewards Customer Service may request documentation and/or an affidavit):   You and your domestic partner are at least 18 years of age and have lived together for at least six months;   You and your domestic partner are not related to one another to a degree that would prevent marriage under the law of the state in which you reside; and Neither you nor your domestic partner are married to another person under statutory or common law and neither of you are in another domestic partnership.</t>
  </si>
  <si>
    <t>401(k),Basic (company-paid) short-term disability,Basic long-term disability,Company discount programs,Dependent medical coverage option,Employee assistance program (EAP),Employee stock purchase plan (ESPP),Employer match to 401(k),Fitness center participation,Fully insured medical coverage option,Online therapy (e.g., Talkspace),Paid holidays,Paid jury duty,Paid military leave,Self-insured high deductible health plan (HDHP),Self-insured medical coverage,Service awards,Supplemental long-term disability,Supplemental short-term disability</t>
  </si>
  <si>
    <t>Fitness center participation,Paid holidays,Paid jury duty,Paid military leave</t>
  </si>
  <si>
    <t>Domestic Partner is Defined As:  -Your Civil Union partner, which is defined as the individual with whom You entered into a valid Civil Union in a state that provides for Civil Unions; or - Your same-sex or opposite-sex registered Qualified Domestic Partner as described under California Family Code section 297; or - Your same-sex or opposite-sex Qualified Domestic Partner provided You meet all of the following requirements: o You are each other s sole Qualified Domestic Partners, are mutually responsible for Your common welfare and intend for this to remain so indefinitely; and o You share the same principal residence and are mutually responsible for Your financial obligations; and o You are both age 18 or older (or the age of consent in the state of Your residence) and mentally competent to consent to contract; and o You are not related by blood to a degree of closeness that would prohibit legal marriage in Your state of residence; and o You (or Your Qualified Domestic Partner) are not legally married to another person.</t>
  </si>
  <si>
    <t>Fitness center participation,Free food,Paid holidays</t>
  </si>
  <si>
    <t>Paid holidays</t>
  </si>
  <si>
    <t>Legal court order,Legal guardianship,IRS tax dependent,Primary residence with employee</t>
  </si>
  <si>
    <t>You are both at least 18 years old    You reside in the same principal residence and have done so for at least six months    You are mutually responsible for basic living expenses and debts    Neither of you is legally married to anyone else    You are not blood relatives</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</si>
  <si>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coverage,Supplemental long-term disability,Supplemental short-term disability,Working remotely stipend</t>
  </si>
  <si>
    <t>Commuter shuttle services,Employee assistance program (EAP),Employee recognition,Fitness center participation,Free food,Paid holidays,Paid sick days,Working remotely stipend</t>
  </si>
  <si>
    <t>Working remotely stipend</t>
  </si>
  <si>
    <t>domestic partnership or civil union legally established by law Same or opposite sex who have met the following criteria: are financially interdependent &amp; are jointly responsible for each others common welfare intend to remain in a committed relationship share the same living quarters and permanent address for 6 months at least age 18 years of age and capable of consenting to domestic partnership are not so closely related by blood that a legal marriage would e otherwise prohibited by law and have not been in a different domestic partner relationship or marriage w/in the last 6 months</t>
  </si>
  <si>
    <t>Same rules as a legal spouse applies to domestic partners,At new hire,During annual open enrollment,Other</t>
  </si>
  <si>
    <t>401(k),Basic (company-paid) short-term disability,Basic long-term disability,Company discount programs,Dependent medical coverage option,Emotional wellbeing program (separate from EAP),Employee assistance program (EAP),Employee recognition,Employer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coverage,Supplemental long-term disability,Supplemental short-term disability,Working remotely stipend</t>
  </si>
  <si>
    <t>Company discount programs,Employee recognition,Free food,Online therapy (e.g., Talkspace),Working remotely stipend</t>
  </si>
  <si>
    <t>1. We have an ongoing and committed spouse-like relationship, which has existed for at least 6  months prior to the date of this Declaration.   2. We are both 18 years of age or older and competent to contract.  3. Neither of us is married, as defined by state law, nor the domestic partner of anyone else. We  intend to remain each other’s domestic partner indefinitely. We are not related by blood to a degree  of closeness that would prohibit legal marriage in the state in which we reside.  4. We have shared the same place of residence for at least the last 6 months immediately prior  to the date of this Declaration and intend to do so indefinitely. We are also responsible to each other  for the direction and financial management of our household and intend this to remain the case  indefinitely. We are jointly responsible for each other’s financial obligations.  5. We are not in this relationship solely for the purpose of obtaining benefits coverage.</t>
  </si>
  <si>
    <t>Interns are eligible for benefits after 90 days and part time employees must be working 30 hours or more per week</t>
  </si>
  <si>
    <t>401(k),Basic (company-paid) short-term disability,Basic long-term disability,Company discount programs,Dependent medical coverage option,Emotional wellbeing program (separate from EAP),Employee assistance program (EAP),Employee stock purchase plan (ESPP),Employer match to 401(k),Free food,Fully insured medical coverage option,Online therapy (e.g., Talkspace),Paid holidays,Paid jury duty,Paid military leave,Paid sick days,Patent awards,Seeded health savings account (HSA),Self-insured high deductible health plan (HDHP),Self-insured medical coverage</t>
  </si>
  <si>
    <t>Your domestic partner is eligible for benefits if they are not  a  relative  and  lives  with  you  in  a  committed relationship.</t>
  </si>
  <si>
    <t>Interns must complete 90 days of service.  All others are eligible on date of hire.  There are also some benefit programs that are only available to Directors and above.</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</si>
  <si>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participation,Working remotely stipend</t>
  </si>
  <si>
    <t>Commuter shuttle services,Fitness center participation,Laundry / dry cleaning services</t>
  </si>
  <si>
    <t>401(k),Basic (company-paid) short-term disability,Basic long-term disability,Commuter shuttle services,Company discount programs,Dependent medical coverage option,Emotional wellbeing program
(separate from EAP),Employee assistance program (EAP),Employee stock purchase plan (ESPP),Employer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coverage,Service awards,Wellness incentives participation,Working remotely stipend</t>
  </si>
  <si>
    <t>Fitness center participation,Free food</t>
  </si>
  <si>
    <t>Interns can only get medical, dental and vision</t>
  </si>
  <si>
    <t>Employee only,Employee + 1 child,Employee + 2 children,Employee + 3 children,Employee + 4 children,Employee + 5 children</t>
  </si>
  <si>
    <t>401(k),Basic (company-paid) short-term disability,Basic long-term disability,Company discount programs,Dependent medical coverage option,Emotional wellbeing program (separate from EAP),Employee assistance program (EAP),Employee recognition,Employer match to 401(k),Fitness center participation,Free food,Paid holidays,Paid jury duty,Patent awards,Seeded health savings account (HSA),Self-insured high deductible health plan (HDHP),Self-insured medical coverage,Service awards,Wellness incentives participation</t>
  </si>
  <si>
    <t>Company discount programs,Employee assistance program (EAP),Fitness center participation,Self-insured medical coverage</t>
  </si>
  <si>
    <t>Proof of financial interdependence prior 12 months</t>
  </si>
  <si>
    <t>401(k),Basic (company-paid) short-term disability,Basic long-term disability,Dependent medical coverage option,Employee assistance program (EAP),Employee recognition,Employer match to 401(k),Fitness center participation,Free food,Online therapy (e.g., Talkspace),Paid holidays,Paid sick days,Seeded health savings account (HSA),Self-insured high deductible health plan (HDHP),Self-insured medical coverage,Service awards,Supplemental long-term disability,Supplemental short-term disability,Wellness incentives participation</t>
  </si>
  <si>
    <t>Fitness center participation,Free food,Fully insured medical coverage option</t>
  </si>
  <si>
    <t>means a person of the same sex or opposite sex who meets the following eligibility requirements:  	shares your permanent residence;  	has resided with you for no less than 6 months;  	is no less than 18 years of age;  	is financially interdependent with you and has proven such interdependence by providing documentation of at least two of the following arrangements: common ownership of real property or a common leasehold interest in such property; community ownership of a motor vehicle; a joint bank account or a joint credit account; designation as a beneficiary for life insurance or retirement benefits or under your partner's will; assignment of a durable power of attorney or health care power of attorney; or such other proof as is considered by the Claims Administrator to be sufficient to establish financial interdependency under the circumstances of your particular case;  	is not a blood relative any closer than would prohibit legal marriage;</t>
  </si>
  <si>
    <t>Company discount programs,Dependent medical coverage option,Emotional wellbeing program (separate from EAP),Employee assistance program (EAP),Employee stock purchase plan (ESPP),Paid holidays,Paid jury duty,Paid sick days,Self-insured high deductible health plan (HDHP),Self-insured medical coverage</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</si>
  <si>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services,Paid holidays,Paid jury duty,Paid sick days,Seeded health savings account (HSA),Self-insured high deductible health plan (HDHP),Self-insured medical coverage,Wellness incentives participation,Working remotely stipend</t>
  </si>
  <si>
    <t>living together in a mutually financially dependent relationship</t>
  </si>
  <si>
    <t>401(k),Basic (company-paid) short-term disability,Basic long-term disability,Company discount programs,Dependent medical coverage option,Employee assistance program (EAP),Employee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awards,Wellness incentives participation,Working remotely stipend</t>
  </si>
  <si>
    <t>If you enroll a domestic partner, you can also enroll the eligible dependent children of your domestic partner who resides with you. You and your domestic partner must meet the requirements of A or must meet and attest to the requirements of B (as shown below), to be eligible for coverage: A.)    You are registered domestic partners or civil union partners in the state where you reside.   OR  B.)   You re each other s sole domestic partner. You re emotionally committed to each other for mutual care and support and intend to remain so indefinitely; and   You have resided together in the same principal residence for a full six (6) months and intend to remain so indefinitely; and   You re jointly responsible for each other s financial welfare and basic living expenses (you re financially interdependent); and   You re both at least age 18 and mentally competent to consent to a contract under the laws of the state where you reside; and   You re not related by blood closer than would bar marriage under applicable law in effect where you reside; and   You re not legally married to each other and you re not legally married or separated from anyone else. Domestic partners who serve in the military are not eligible for coverage.</t>
  </si>
  <si>
    <t>Eligibility is working minimum 20 hours/week. This includes some part time employees/interns and excludes other part time employees/interns.  Interns are only eligible for medical (HDHP and PPO), dental, vision, mental health point solution, EAP, and STD.</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</si>
  <si>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t>
  </si>
  <si>
    <t>ERISA plans: within 12 months of the QLE effective date in accordance with the IRS temporary "outbreak period"; non-ERISA plans: 30 days.</t>
  </si>
  <si>
    <t>No special criteria,Other</t>
  </si>
  <si>
    <t>Domestic Partner - a person of the same or opposite sex with whom the Employee has established a Domestic Partnership.</t>
  </si>
  <si>
    <t>Full-time and part-time employees are eligible for medical coverage starting day 1. Interns are eligible for medical coverage on day 91 of their internship.</t>
  </si>
  <si>
    <t>EPO,HDHP/HSA,HMO ,POS</t>
  </si>
  <si>
    <t>401(k),Basic (company-paid) short-term disability,Basic long-term disability,Company discount programs,Dependent medical coverage option,Emotional wellbeing program (separate from EAP),Employee assistance program (EAP),Employee stock purchase plan (ESPP),Employer match to 401(k),Fitness center participation,Fully insured medical coverage option,Laundry / dry cleaning services,Online therapy (e.g., Talkspace),Paid holidays,Paid jury duty,Paid sick days,Seeded health savings account (HSA),Self-insured high deductible health plan (HDHP),Self-insured medical coverage,Working remotely stipend</t>
  </si>
  <si>
    <t>401(k),Basic (company-paid) short-term disability,Company discount programs,Dependent medical coverage option,Emotional wellbeing program (separate from EAP),Employee assistance program (EAP),Employer match to 401(k),Fitness center participation,Fully insured medical coverage option,Laundry / dry cleaning services,Online therapy (e.g., Talkspace),Paid holidays,Paid jury duty,Paid sick days,Seeded health savings account (HSA),Self-insured high deductible health plan (HDHP),Self-insured medical coverage,Working remotely stipend</t>
  </si>
  <si>
    <t>The term  Domestic Partner  is defined as an individual (1) who is your registered domestic partner or civil union partner (registered with any governmental body, pursuant to state or local law), or (2) who meets the Employer s domestic partner requirements.</t>
  </si>
  <si>
    <t>Fixed Term Employees</t>
  </si>
  <si>
    <t>Waive or opt out,Employee only,Employee + spouse or domestic partner,Employee + spouse or domestic partner or child(ren),Employee + any child(ren),Family (employee + spouse or domestic partner + dependent) with any child(ren)</t>
  </si>
  <si>
    <t>401(k),Basic (company-paid) short-term disability,Basic long-term disability,Company discount programs,Dependent medical coverage option,Employee assistance program (EAP),Employer match to 401(k),Paid holidays,Paid jury duty,Paid military leave,Paid sick days,Seeded health savings account (HSA),Self-insured high deductible health plan (HDHP),Self-insured medical coverage,Working remotely stipend</t>
  </si>
  <si>
    <t>Basic (company-paid) short-term disability,Basic long-term disability,Company discount programs,Employee assistance program (EAP),Paid holidays,Paid jury duty,Paid military leave,Paid sick days,Seeded health savings account (HSA),Self-insured high deductible health plan (HDHP),Self-insured medical coverage,Working remotely stipend</t>
  </si>
  <si>
    <t>A domestic partner is defined as your domestic partner who has registered the domestic partnership by filing a Declaration of Domestic Partnership with the California Secretary of state or the equivalent document issued by a local agency of California, another state, or a local agency of another state under which the partnership was created. A domestic partner is also defined as a person of the same or opposite sex who has not registered for the previously mentioned status but meets the following criteria:  shares your permanent residence has resided with you for no less than one year is no less than 18 years of age is financially interdependent with you and has proven such by providing documentation of at least two of the following arrangements: common ownership of property common ownership of a vechile joint bank account or credit account designation as a beneficiary for life insurance or retirement benefits assignment of a durable power of attorney or health care power of attorney is not a blood relative</t>
  </si>
  <si>
    <t>Medical,Dental,Vision,Life Insurance/AD&amp;D</t>
  </si>
  <si>
    <t>Interns are only eligible to enroll in our HS Basic medical plan, and can contribute to a HSA if enrolled in the medical plan.  Interns are not offered dental, vision or other health and welfare benefits.</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</si>
  <si>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awards,Wellness incentives participation</t>
  </si>
  <si>
    <t>To be considered a qualified domestic partner, your partner must meet all of the following criteria. They must be: a) someone of the same sex or opposite sect that you have lived with in a committed, exclusive relationship for the past 12 months immediately prior to certifying Domestic Partnership and someone you intend to continue a relationship with indefinitely;  b) someone that is: (I) unmarried, (ii) your sole domestic partner and not a member of another domestic partnership , (iii) at least 18 years of age, (iv) capable of entering into a contract, and (v) not related by blood to a degree of closeness which would prohibit legal marriage in the state in which you legally reside.   c) someone you share the same principal place of residence with and intend to do so indefinitely; and  d) Someone who jointly share in the cost of basic living expenses (e.g., the cost of basic food, shelter and medical expenses) with you.</t>
  </si>
  <si>
    <t xml:space="preserve">PPO,HMO </t>
  </si>
  <si>
    <t>401(k),Basic (company-paid) short-term disability,Basic long-term disability,Dependent medical coverage option,Employee assistance program (EAP),Employee recognition,Employer match to 401(k),Free food,Fully insured medical coverage option,Paid holidays,Paid jury duty,Paid sick days,Service awards,Working remotely stipend</t>
  </si>
  <si>
    <t>Fully insured medical coverage option,Paid holidays,Paid jury duty,Paid sick days,Working remotely stipend</t>
  </si>
  <si>
    <t>Medical,Dental,Vision</t>
  </si>
  <si>
    <t>Full-time employees,Interns or students,Seasonal workers</t>
  </si>
  <si>
    <t>401(k),Basic (company-paid) short-term disability,Basic long-term disability,Commuter shuttle services,Company discount programs,Dependent medical coverage option,Emotional wellbeing program
(separate from EAP),Employee assistance program (EAP),Employee stock purchase plan (ESPP),Fitness center participation,Fully insured medical coverage option,Online therapy (e.g., Talkspace),Paid holidays,Paid jury duty,Paid military leave,Paid sick days,Seeded health savings account (HSA),Self-insured high deductible health plan (HDHP),Self-insured medical coverage</t>
  </si>
  <si>
    <t>401(k),Commuter shuttle services,Company discount programs,Emotional wellbeing program (separate from EAP),Employee assistance program (EAP),Paid holidays,Paid jury duty,Paid military leave,Paid sick days,Patent awards,Self-insured high deductible health plan (HDHP)</t>
  </si>
  <si>
    <t>401(k),Commuter shuttle services,Company discount programs,Dependent medical coverage option,Emotional wellbeing program (separate from EAP),Employee assistance program (EAP),Fitness center participation,Online therapy (e.g., Talkspace),Paid holidays,Paid sick days,Self-insured high deductible health plan (HDHP),Self-insured medical coverage</t>
  </si>
  <si>
    <t>Eligible domestic partners are: Your domestic partner or civil union partner of the same or opposite sex that is currently registered as such with any governmental body, pursuant to state or local law; or partners of the same or opposite sex who have a dedicated relationship characterized by all of the following: Both partners are at least 18 years old and legally capable of entering into a contract ( i.e., capable of consenting to a domestic partnership; Both intend the relationship to last indefinitely; Both share the same common residence and have for at least six months; Neither partner is related by blood to a degree that would prohibit marriage in your state; and Neither is married under statutory or common law, legally separated, or in a domestic partnership with anyone else, and neither has been in such a relationship for the last six months.</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</si>
  <si>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401(k),Free food,Fully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short-term disability,Working remotely stipend</t>
  </si>
  <si>
    <t>401(k),Commuter shuttle services,Company discount programs,Emotional wellbeing program (separate from EAP),Employee recognition,Employer match to 401(k),Free food,Laundry / dry cleaning services,Online therapy (e.g., Talkspace),Paid holidays,Paid jury duty,Paid sick days,Service awards,Working remotely stipend</t>
  </si>
  <si>
    <t>Commuter shuttle services,Employee recognition,Free food,Laundry / dry cleaning services,Working remotely stipend</t>
  </si>
  <si>
    <t>Free food,Working remotely stipend</t>
  </si>
  <si>
    <t>1. We affirm that this domestic partnership began on or about ___/___/___. 2. We are each other's sole domestic partner, and we intend to remain so indefinitely. 3. Neither of us is married to or legally separated from anyone else nor have had another domestic partner within the prior six months. 4. We are both at least eighteen (18) years of age and mentally competent to consent to contract. 5. We are not related by blood to a degree of closeness that would prohibit legal marriage in the state in which we reside. 6. We share a residence and intend to do so indefinitely (must provide proof of shared residency). 7. We are engaged in a committed relationship of mutual caring and support and are jointly responsible for our common welfare. 8. We are not in this relationship solely for the purpose of obtaining benefits coverage.</t>
  </si>
  <si>
    <t>401(k),Basic (company-paid) short-term disability,Basic long-term disability,Company discount programs,Dependent medical coverage option,Employee assistance program (EAP),Employee recognition,Employer match to 401(k),Fitness center participation,Fully insured medical coverage option,Online therapy (e.g., Talkspace),Paid holidays,Paid jury duty,Paid military leave,Paid sick days,Patent awards,Seeded health savings account (HSA),Self-insured high deductible health plan (HDHP),Self-insured medical coverage</t>
  </si>
  <si>
    <t>Employee assistance program (EAP),Employee recognition,Paid holidays,Paid sick days</t>
  </si>
  <si>
    <t>To qualify, you and your domestic partner must certify and declare that you meet the criteria below. An individual is eligible as your domestic partner only if:  You and your domestic partner:  Are in an exclusive, committed relationship of mutual support and are jointly responsible for your common welfare;   Are each other s sole domestic partner and intend to remain as such;  Are both unmarried and not legally separated from anyone else; Have resided together for at least twelve (12) consecutive months and intend to continue to reside together;  Are not related by blood closer than would bar marriage in your state of residence, are not legally married to anyone, and are the sole partners of each other;  Are both 18 years of age or older, and are mentally competent to consent to contract;  Are not in a relationship for the sole purpose of obtaining healthcare or life insurance coverage.</t>
  </si>
  <si>
    <t>Full-time employees,Part-time employees,Seasonal workers</t>
  </si>
  <si>
    <t>PPO,EPO,HDHP/HSA,HMO ,POS</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</si>
  <si>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coverage,Service awards</t>
  </si>
  <si>
    <t>Commuter shuttle services,Fitness center participation,Paid holidays</t>
  </si>
  <si>
    <t>A domestic partnership, for benefits purposes, is defined as two individuals of the same or opposite sex who have a committed relationship of at least six months with mutual obligations akin to those of marriage, which include financial responsibility to each other. You must complete an online Declaration of Domestic Partnership when you enroll.  Under Company's definition of domestic partnership you and your domestic partner must:  Be at least 18 years old and mentally competent to consent to contract;  Be in a committed relationship of mutual caring and support that you both entered into freely and intend to continue indefinitely;  Live together in the same residence and intend to so reside indefinitely;  Be jointly responsible with your common welfare and living expenses;  Intend to be life partners and not be legally married to each other;  Not be married to anyone else or legally separated from anyone else;  Not be in a domestic partnership with anyone else;  Not be in this relationship solely for the purpose of obtaining benefits coverage; and  Not be related by blood any closer than would bar marriage in the state in which you reside. Alternatively, your domestic partnership must: o Be registered under the laws of the state or city in which you and your Domestic Partner reside and you have filed a Declaration of Domestic Partnership with Company; or o Qualify as a civil union, as defined under the laws of a state that recognizes a civil union, if proof of the civil union has been filed with Company.</t>
  </si>
  <si>
    <t>401(k),Basic (company-paid) short-term disability,Basic long-term disability,Commuter shuttle services,Company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sick days,Seeded health savings account (HSA),Self-insured high deductible health plan (HDHP),Self-insured medical coverage,Service awards,Wellness incentives participation,Working remotely stipend</t>
  </si>
  <si>
    <t>401(k),Dependent medical coverage option,Employee assistance program (EAP),Online therapy (e.g., Talkspace),Paid holidays,Self-insured high deductible health plan (HDHP)</t>
  </si>
  <si>
    <t>Your domestic partner will be considered duly qualified if you and your domestic partner: Are registered with a governmental body under state or local law; or You and your domestic partner meet the following criteria: You have an intimate, committed relationship of mutual caring; You share the same principal residence(s); You agree to be responsible for each other's basic living expenses during your domestic partnership and agree that anyone who is owed these expenses can collect from either of you; You are both 18 years of age or older; Neither of you is legally married; You are not so closely related by blood that legal marriage would otherwise be prohibited; Neither of you has a different domestic partner now; and Neither of you has had a different domestic partner in the last six months (unless your partner has died).</t>
  </si>
  <si>
    <t>Interns are eligible for 1 medical plan at EE only coverage.  Not eligible for dental or vision or other benefits.</t>
  </si>
  <si>
    <t>401(k),Basic (company-paid) short-term disability,Basic long-term disability,Company discount programs,Employee assistance program (EAP),Employee stock purchase plan (ESPP),Employer match to 401(k),Fitness center participation,Free food,Paid holidays,Paid jury duty,Paid military leave,Paid sick days,Patent awards,Seeded health savings account (HSA),Self-insured high deductible health plan (HDHP),Self-insured medical coverage,Wellness incentives participation</t>
  </si>
  <si>
    <t>401(k),Company discount programs,Employee assistance program (EAP),Employer match to 401(k),Fitness center participation,Free food,Paid jury duty,Paid military leave,Paid sick days,Patent awards,Self-insured medical coverage,Wellness incentives participation</t>
  </si>
  <si>
    <t>We cohabit and reside together in the same residence and intend to do so indefinitely.   We are of the same or opposite gender as each other and we are each other s sole Domestic Partner and intend to remain so indefinitely.   We have resided in the same household for at least 12 months.   We are both at least eighteen (18) years of age and mentally competent to consent to contract.   Neither of us is married to or legally separated from anyone else nor have either of us had another Domestic Partner within the prior 12 months.   We are not related by blood to the degree of kinship that would prohibit legal marriage in the state in which we reside.   At least one year has elapsed since the Company benefits coverage was terminated on a previously covered Domestic Partner or spouse (if any).   We are engaged in a committed relationship of mutual caring and support and are jointly responsible for our common welfare and living expenses.   Our interdependence can be demonstrated by at least three of the following:   Common ownership of real property (joint deed or mortgage agreement) or a common leasehold interest in property    Common ownership of a motor vehicle   Driver s license listing a common address   Joint bank accounts or credit accounts   Designation of the other as the primary beneficiary for life insurance or retirement benefits, or primary beneficiary designation under the other s will   Assignment of a durable property power of attorney or health care power of attorney   We have formalized our relationship in accordance with any specific registration procedures and/or requirements adopted by the state or local government where we reside and will produce documentation to that effect upon request. If the state or local government of our residence has not adopted the formal registration procedures and/or requirements, we will provide a notarized copy of this Affidavit of Domestic Partnership.   We are not in this relationship solely for the purpose of obtaining benefits coverage</t>
  </si>
  <si>
    <t>Same rules as a legal spouse applies to domestic partners,During annual open enrollment,Within 30 days of establishing domestic partnership</t>
  </si>
  <si>
    <t>Interns offered some benefits, but not all</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</si>
  <si>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long-term disability,Supplemental short-term disability,Working remotely stipend</t>
  </si>
  <si>
    <t>Company discount programs,Free food,Laundry / dry cleaning services</t>
  </si>
  <si>
    <t>Domestic Partners are two adults who have chosen to share one another's lives in an intimate and committed relationship of mutual caring. You maintain the same principal place of residence and intend to do in the future. You agree to be responsible for each other's basic living expenses in the event one of you is unable to provide expenses for him/herself. You both are age 18 or older, not related by blood, and neither of you are married.</t>
  </si>
  <si>
    <t>Same-sex domestic partner</t>
  </si>
  <si>
    <t>401(k),Basic (company-paid) short-term disability,Basic long-term disability,Dependent medical coverage option,Employee assistance program (EAP),Employee recognition,Employee stock purchase plan (ESPP),Employer match to 401(k),Paid holidays,Paid jury duty,Paid military leave,Paid sick days,Seeded health savings account (HSA),Self-insured high deductible health plan (HDHP),Self-insured medical coverage,Service awards,Working remotely stipend</t>
  </si>
  <si>
    <t>Your domestic partner is the person with whom you are in an intimate, committed relationship that is substantially similar to a marriage. For your domestic partner to be an eligible dependent, your partnership must be registered with a government entity, or you and your domestic partner must have a notarized affidavit documenting your partnership. You may be required to provide documentation that an individual is your spouse or domestic partner, such as a marriage license or registration certificate.</t>
  </si>
  <si>
    <t>Q6.1.2_1_1</t>
  </si>
  <si>
    <t>Q6.1.2_2_1</t>
  </si>
  <si>
    <t>Q6.1.2_3_1</t>
  </si>
  <si>
    <t>Q6.1.2_4_1</t>
  </si>
  <si>
    <t>Q6.1.2_5_1</t>
  </si>
  <si>
    <t>Q6.1.2_6_1</t>
  </si>
  <si>
    <t>Q6.1.2_7_1</t>
  </si>
  <si>
    <t>Q6.1.2_8_1</t>
  </si>
  <si>
    <t>Q6.1.2_9_1</t>
  </si>
  <si>
    <t>Q6.1.2_10_1</t>
  </si>
  <si>
    <t>Q6.1.2_11_1</t>
  </si>
  <si>
    <t>Q6.1.2_12_1</t>
  </si>
  <si>
    <t>Q6.1.3_1_1</t>
  </si>
  <si>
    <t>Q6.1.3_2_1</t>
  </si>
  <si>
    <t>Q6.1.3_3_1</t>
  </si>
  <si>
    <t>Q6.1.3_4_1</t>
  </si>
  <si>
    <t>Q6.1.3_5_1</t>
  </si>
  <si>
    <t>Q6.1.3_6_1</t>
  </si>
  <si>
    <t>Q6.1.3_7_1</t>
  </si>
  <si>
    <t>Q6.1.3_8_1</t>
  </si>
  <si>
    <t>Q6.1.3_9_1</t>
  </si>
  <si>
    <t>Q6.1.3_10_1</t>
  </si>
  <si>
    <t>Q6.1.3_11_1</t>
  </si>
  <si>
    <t>Q6.1.3_12_1</t>
  </si>
  <si>
    <t>Q6.2.2</t>
  </si>
  <si>
    <t>Q6.2.5</t>
  </si>
  <si>
    <t>Q6.2.6</t>
  </si>
  <si>
    <t>Q6.2.7_1</t>
  </si>
  <si>
    <t>Q6.2.7_2</t>
  </si>
  <si>
    <t>Q6.2.7_3</t>
  </si>
  <si>
    <t>Q6.2.7_4</t>
  </si>
  <si>
    <t>Q6.2.7_5</t>
  </si>
  <si>
    <t>Q6.2.7_6</t>
  </si>
  <si>
    <t>Q6.2.8</t>
  </si>
  <si>
    <t>Q6.2.9_1</t>
  </si>
  <si>
    <t>Q6.2.9_2</t>
  </si>
  <si>
    <t>Q6.2.9_3</t>
  </si>
  <si>
    <t>Q6.2.9_4</t>
  </si>
  <si>
    <t>Q6.2.10</t>
  </si>
  <si>
    <t>Q6.2.11_1</t>
  </si>
  <si>
    <t>Q6.2.11_2</t>
  </si>
  <si>
    <t>Q6.2.11_3</t>
  </si>
  <si>
    <t>Q6.2.11_4</t>
  </si>
  <si>
    <t>Q6.2.11_5</t>
  </si>
  <si>
    <t>Q6.2.11_6</t>
  </si>
  <si>
    <t>Q6.2.11_7</t>
  </si>
  <si>
    <t>Q6.2.11_8</t>
  </si>
  <si>
    <t>Q6.2.11_9</t>
  </si>
  <si>
    <t>Q6.2.11_10</t>
  </si>
  <si>
    <t>Q6.2.11_11</t>
  </si>
  <si>
    <t>Q6.2.11_12</t>
  </si>
  <si>
    <t>Q6.2.11_13</t>
  </si>
  <si>
    <t>Q6.2.12_1</t>
  </si>
  <si>
    <t>Q6.2.12_2</t>
  </si>
  <si>
    <t>Q6.2.12_3</t>
  </si>
  <si>
    <t>Q6.2.12_4</t>
  </si>
  <si>
    <t>Q6.2.12_5</t>
  </si>
  <si>
    <t>Q6.2.12_6</t>
  </si>
  <si>
    <t>Q6.2.12_7</t>
  </si>
  <si>
    <t>Q6.2.12_8</t>
  </si>
  <si>
    <t>Q6.2.12_9</t>
  </si>
  <si>
    <t>Q6.2.12_10</t>
  </si>
  <si>
    <t>Q6.2.12_11</t>
  </si>
  <si>
    <t>Q6.2.12_12</t>
  </si>
  <si>
    <t>Q6.2.12_13</t>
  </si>
  <si>
    <t>Q6.2.13_1</t>
  </si>
  <si>
    <t>Q6.2.13_5</t>
  </si>
  <si>
    <t>Q6.2.13_6</t>
  </si>
  <si>
    <t>Q6.2.13_7</t>
  </si>
  <si>
    <t>Q6.2.13_8</t>
  </si>
  <si>
    <t>Q6.2.13_9</t>
  </si>
  <si>
    <t>Q6.2.13_10</t>
  </si>
  <si>
    <t>Q6.2.13_11</t>
  </si>
  <si>
    <t>Q6.2.13_12</t>
  </si>
  <si>
    <t>Q6.2.13_13</t>
  </si>
  <si>
    <t>Q6.2.13_14</t>
  </si>
  <si>
    <t>Q6.2.13_15</t>
  </si>
  <si>
    <t>Q6.2.13_16</t>
  </si>
  <si>
    <t>Q6.2.14_1</t>
  </si>
  <si>
    <t>Q6.2.14_5</t>
  </si>
  <si>
    <t>Q6.2.14_6</t>
  </si>
  <si>
    <t>Q6.2.14_7</t>
  </si>
  <si>
    <t>Q6.2.14_8</t>
  </si>
  <si>
    <t>Q6.2.14_9</t>
  </si>
  <si>
    <t>Q6.2.14_10</t>
  </si>
  <si>
    <t>Q6.2.14_11</t>
  </si>
  <si>
    <t>Q6.2.14_12</t>
  </si>
  <si>
    <t>Q6.2.14_13</t>
  </si>
  <si>
    <t>Q6.2.14_14</t>
  </si>
  <si>
    <t>Q6.2.14_15</t>
  </si>
  <si>
    <t>Q6.2.14_16</t>
  </si>
  <si>
    <t>Q6.2.15_1</t>
  </si>
  <si>
    <t>Q6.2.15_5</t>
  </si>
  <si>
    <t>Q6.2.15_6</t>
  </si>
  <si>
    <t>Q6.2.15_7</t>
  </si>
  <si>
    <t>Q6.2.15_8</t>
  </si>
  <si>
    <t>Q6.2.15_9</t>
  </si>
  <si>
    <t>Q6.2.15_10</t>
  </si>
  <si>
    <t>Q6.2.15_11</t>
  </si>
  <si>
    <t>Q6.2.15_12</t>
  </si>
  <si>
    <t>Q6.2.15_13</t>
  </si>
  <si>
    <t>Q6.2.15_14</t>
  </si>
  <si>
    <t>Q6.2.15_15</t>
  </si>
  <si>
    <t>Q6.2.15_16</t>
  </si>
  <si>
    <t>Q6.2.16_1</t>
  </si>
  <si>
    <t>Q6.2.16_5</t>
  </si>
  <si>
    <t>Q6.2.16_6</t>
  </si>
  <si>
    <t>Q6.2.16_7</t>
  </si>
  <si>
    <t>Q6.2.16_8</t>
  </si>
  <si>
    <t>Q6.2.16_9</t>
  </si>
  <si>
    <t>Q6.2.16_10</t>
  </si>
  <si>
    <t>Q6.2.16_11</t>
  </si>
  <si>
    <t>Q6.2.16_12</t>
  </si>
  <si>
    <t>Q6.2.16_13</t>
  </si>
  <si>
    <t>Q6.2.16_14</t>
  </si>
  <si>
    <t>Q6.2.16_15</t>
  </si>
  <si>
    <t>Q6.2.16_16</t>
  </si>
  <si>
    <t>Q6.2.17</t>
  </si>
  <si>
    <t>Q6.2.19</t>
  </si>
  <si>
    <t>Q6.2.20</t>
  </si>
  <si>
    <t>Q6.2.21</t>
  </si>
  <si>
    <t>Q6.2.22</t>
  </si>
  <si>
    <t>Q6.2.23</t>
  </si>
  <si>
    <t>Q6.2.24</t>
  </si>
  <si>
    <t>Q6.2.25_1</t>
  </si>
  <si>
    <t>Q6.2.25_2</t>
  </si>
  <si>
    <t>Q6.2.25_3</t>
  </si>
  <si>
    <t>Q6.2.25_4</t>
  </si>
  <si>
    <t>Q6.2.25_5</t>
  </si>
  <si>
    <t>Q6.2.25_7</t>
  </si>
  <si>
    <t>Q6.2.25_6</t>
  </si>
  <si>
    <t>Q6.2.26_1</t>
  </si>
  <si>
    <t>Q6.2.26_2</t>
  </si>
  <si>
    <t>Q6.2.26_3</t>
  </si>
  <si>
    <t>Q6.2.26_4</t>
  </si>
  <si>
    <t>Q6.2.26_5</t>
  </si>
  <si>
    <t>Q6.2.26_7</t>
  </si>
  <si>
    <t>Q6.2.26_6</t>
  </si>
  <si>
    <t>Q6.2.27_1</t>
  </si>
  <si>
    <t>Q6.2.27_2</t>
  </si>
  <si>
    <t>Q6.2.27_3</t>
  </si>
  <si>
    <t>Q6.2.27_4</t>
  </si>
  <si>
    <t>Q6.2.27_5</t>
  </si>
  <si>
    <t>Q6.2.27_7</t>
  </si>
  <si>
    <t>Q6.2.27_6</t>
  </si>
  <si>
    <t>Q6.2.28_1</t>
  </si>
  <si>
    <t>Q6.2.28_2</t>
  </si>
  <si>
    <t>Q6.2.28_3</t>
  </si>
  <si>
    <t>Q6.2.28_4</t>
  </si>
  <si>
    <t>Q6.2.28_5</t>
  </si>
  <si>
    <t>Q6.2.28_7</t>
  </si>
  <si>
    <t>Q6.2.28_6</t>
  </si>
  <si>
    <t>Q6.2.29_1</t>
  </si>
  <si>
    <t>Q6.2.29_2</t>
  </si>
  <si>
    <t>Q6.2.29_3</t>
  </si>
  <si>
    <t>Q6.2.29_4</t>
  </si>
  <si>
    <t>Q6.2.29_5</t>
  </si>
  <si>
    <t>Q6.2.29_6</t>
  </si>
  <si>
    <t>Q6.2.29_7</t>
  </si>
  <si>
    <t>Q6.2.30_1</t>
  </si>
  <si>
    <t>Q6.2.30_2</t>
  </si>
  <si>
    <t>Q6.2.30_3</t>
  </si>
  <si>
    <t>Q6.2.30_4</t>
  </si>
  <si>
    <t>Q6.2.30_5</t>
  </si>
  <si>
    <t>Q6.2.30_6</t>
  </si>
  <si>
    <t>Q6.2.30_7</t>
  </si>
  <si>
    <t>Q6.2.32_1</t>
  </si>
  <si>
    <t>Q6.2.32_2</t>
  </si>
  <si>
    <t>Q6.2.32_3</t>
  </si>
  <si>
    <t>Q6.2.32_4</t>
  </si>
  <si>
    <t>Q6.2.32_5</t>
  </si>
  <si>
    <t>Q6.2.32_6</t>
  </si>
  <si>
    <t>Q6.2.32_7</t>
  </si>
  <si>
    <t>Q6.2.32_8</t>
  </si>
  <si>
    <t>Q6.2.32_9</t>
  </si>
  <si>
    <t>Q6.2.32_10</t>
  </si>
  <si>
    <t>Q6.2.33</t>
  </si>
  <si>
    <t>Q6.2.34</t>
  </si>
  <si>
    <t>Q6.2.35</t>
  </si>
  <si>
    <t>Q6.2.36</t>
  </si>
  <si>
    <t>Q6.2.37</t>
  </si>
  <si>
    <t>Q6.2.38</t>
  </si>
  <si>
    <t>Q6.2.39</t>
  </si>
  <si>
    <t>Q6.2.40</t>
  </si>
  <si>
    <t>Q6.2.41</t>
  </si>
  <si>
    <t>Q6.2.42_1_1</t>
  </si>
  <si>
    <t>Q6.2.42_1_2</t>
  </si>
  <si>
    <t>Q6.2.42_1_3</t>
  </si>
  <si>
    <t>Q6.2.42_1_4</t>
  </si>
  <si>
    <t>Q6.2.42_2_1</t>
  </si>
  <si>
    <t>Q6.2.42_2_2</t>
  </si>
  <si>
    <t>Q6.2.42_2_3</t>
  </si>
  <si>
    <t>Q6.2.42_2_4</t>
  </si>
  <si>
    <t>Q6.2.42_3_1</t>
  </si>
  <si>
    <t>Q6.2.42_3_2</t>
  </si>
  <si>
    <t>Q6.2.42_3_3</t>
  </si>
  <si>
    <t>Q6.2.42_3_4</t>
  </si>
  <si>
    <t>Q6.2.42_4_1</t>
  </si>
  <si>
    <t>Q6.2.42_4_2</t>
  </si>
  <si>
    <t>Q6.2.42_4_3</t>
  </si>
  <si>
    <t>Q6.2.42_4_4</t>
  </si>
  <si>
    <t>Q6.2.42_5_1</t>
  </si>
  <si>
    <t>Q6.2.42_5_2</t>
  </si>
  <si>
    <t>Q6.2.42_5_3</t>
  </si>
  <si>
    <t>Q6.2.42_5_4</t>
  </si>
  <si>
    <t>Q6.2.42_6_1</t>
  </si>
  <si>
    <t>Q6.2.42_6_2</t>
  </si>
  <si>
    <t>Q6.2.42_6_3</t>
  </si>
  <si>
    <t>Q6.2.42_6_4</t>
  </si>
  <si>
    <t>Q6.2.42_7_1</t>
  </si>
  <si>
    <t>Q6.2.42_7_2</t>
  </si>
  <si>
    <t>Q6.2.42_7_3</t>
  </si>
  <si>
    <t>Q6.2.42_7_4</t>
  </si>
  <si>
    <t>Q6.2.43_1_1</t>
  </si>
  <si>
    <t>Q6.2.43_2_1</t>
  </si>
  <si>
    <t>Q6.2.43_3_1</t>
  </si>
  <si>
    <t>Q6.2.43_4_1</t>
  </si>
  <si>
    <t>Q6.2.43_5_1</t>
  </si>
  <si>
    <t>Q6.2.43_6_1</t>
  </si>
  <si>
    <t>Q6.2.43_7_1</t>
  </si>
  <si>
    <t>Q6.2.44_1_1</t>
  </si>
  <si>
    <t>Q6.2.44_1_2</t>
  </si>
  <si>
    <t>Q6.2.44_2_1</t>
  </si>
  <si>
    <t>Q6.2.44_2_2</t>
  </si>
  <si>
    <t>Q6.2.44_3_1</t>
  </si>
  <si>
    <t>Q6.2.44_3_2</t>
  </si>
  <si>
    <t>Q6.2.44_4_1</t>
  </si>
  <si>
    <t>Q6.2.44_4_2</t>
  </si>
  <si>
    <t>Q6.2.44_5_1</t>
  </si>
  <si>
    <t>Q6.2.44_5_2</t>
  </si>
  <si>
    <t>Q6.2.44_6_1</t>
  </si>
  <si>
    <t>Q6.2.44_6_2</t>
  </si>
  <si>
    <t>Q6.2.44_7_1</t>
  </si>
  <si>
    <t>Q6.2.44_7_2</t>
  </si>
  <si>
    <t>Q6.2.45_1_1</t>
  </si>
  <si>
    <t>Q6.2.45_2_1</t>
  </si>
  <si>
    <t>Q6.2.45_3_1</t>
  </si>
  <si>
    <t>Q6.2.45_4_1</t>
  </si>
  <si>
    <t>Q6.2.45_5_1</t>
  </si>
  <si>
    <t>Q6.2.45_6_1</t>
  </si>
  <si>
    <t>Q6.2.45_7_1</t>
  </si>
  <si>
    <t>Q6.2.46_1_1</t>
  </si>
  <si>
    <t>Q6.2.46_1_2</t>
  </si>
  <si>
    <t>Q6.2.46_2_1</t>
  </si>
  <si>
    <t>Q6.2.46_2_2</t>
  </si>
  <si>
    <t>Q6.2.46_3_1</t>
  </si>
  <si>
    <t>Q6.2.46_3_2</t>
  </si>
  <si>
    <t>Q6.2.46_4_1</t>
  </si>
  <si>
    <t>Q6.2.46_4_2</t>
  </si>
  <si>
    <t>Q6.2.46_5_1</t>
  </si>
  <si>
    <t>Q6.2.46_5_2</t>
  </si>
  <si>
    <t>Q6.2.46_6_1</t>
  </si>
  <si>
    <t>Q6.2.46_6_2</t>
  </si>
  <si>
    <t>Q6.2.46_7_1</t>
  </si>
  <si>
    <t>Q6.2.46_7_2</t>
  </si>
  <si>
    <t>Q6.2.47_1_1</t>
  </si>
  <si>
    <t>Q6.2.47_2_1</t>
  </si>
  <si>
    <t>Q6.2.47_3_1</t>
  </si>
  <si>
    <t>Q6.2.47_4_1</t>
  </si>
  <si>
    <t>Q6.2.47_5_1</t>
  </si>
  <si>
    <t>Q6.2.47_6_1</t>
  </si>
  <si>
    <t>Q6.2.47_7_1</t>
  </si>
  <si>
    <t>Q6.2.48_1_1</t>
  </si>
  <si>
    <t>Q6.2.48_1_2</t>
  </si>
  <si>
    <t>Q6.2.48_2_1</t>
  </si>
  <si>
    <t>Q6.2.48_2_2</t>
  </si>
  <si>
    <t>Q6.2.48_3_1</t>
  </si>
  <si>
    <t>Q6.2.48_3_2</t>
  </si>
  <si>
    <t>Q6.2.48_4_1</t>
  </si>
  <si>
    <t>Q6.2.48_4_2</t>
  </si>
  <si>
    <t>Q6.2.48_5_1</t>
  </si>
  <si>
    <t>Q6.2.48_5_2</t>
  </si>
  <si>
    <t>Q6.2.48_6_1</t>
  </si>
  <si>
    <t>Q6.2.48_6_2</t>
  </si>
  <si>
    <t>Q6.2.48_7_1</t>
  </si>
  <si>
    <t>Q6.2.48_7_2</t>
  </si>
  <si>
    <t>Q6.2.49_1_1</t>
  </si>
  <si>
    <t>Q6.2.49_2_1</t>
  </si>
  <si>
    <t>Q6.2.49_3_1</t>
  </si>
  <si>
    <t>Q6.2.49_4_1</t>
  </si>
  <si>
    <t>Q6.2.49_5_1</t>
  </si>
  <si>
    <t>Q6.2.49_6_1</t>
  </si>
  <si>
    <t>Q6.2.49_7_1</t>
  </si>
  <si>
    <t>Q6.2.50_1_1</t>
  </si>
  <si>
    <t>Q6.2.50_1_2</t>
  </si>
  <si>
    <t>Q6.2.50_2_1</t>
  </si>
  <si>
    <t>Q6.2.50_2_2</t>
  </si>
  <si>
    <t>Q6.2.50_3_1</t>
  </si>
  <si>
    <t>Q6.2.50_3_2</t>
  </si>
  <si>
    <t>Q6.2.50_4_1</t>
  </si>
  <si>
    <t>Q6.2.50_4_2</t>
  </si>
  <si>
    <t>Q6.2.50_5_1</t>
  </si>
  <si>
    <t>Q6.2.50_5_2</t>
  </si>
  <si>
    <t>Q6.2.50_6_1</t>
  </si>
  <si>
    <t>Q6.2.50_6_2</t>
  </si>
  <si>
    <t>Q6.2.50_7_1</t>
  </si>
  <si>
    <t>Q6.2.50_7_2</t>
  </si>
  <si>
    <t>Q6.2.51</t>
  </si>
  <si>
    <t>Q6.2.52</t>
  </si>
  <si>
    <t>Q6.2.53</t>
  </si>
  <si>
    <t>Q6.3.2</t>
  </si>
  <si>
    <t>Q6.3.5</t>
  </si>
  <si>
    <t>Q6.3.6</t>
  </si>
  <si>
    <t>Q6.3.7_1</t>
  </si>
  <si>
    <t>Q6.3.7_2</t>
  </si>
  <si>
    <t>Q6.3.7_3</t>
  </si>
  <si>
    <t>Q6.3.7_4</t>
  </si>
  <si>
    <t>Q6.3.7_5</t>
  </si>
  <si>
    <t>Q6.3.7_6</t>
  </si>
  <si>
    <t>Q6.3.8</t>
  </si>
  <si>
    <t>Q6.3.9_1</t>
  </si>
  <si>
    <t>Q6.3.9_2</t>
  </si>
  <si>
    <t>Q6.3.9_3</t>
  </si>
  <si>
    <t>Q6.3.9_4</t>
  </si>
  <si>
    <t>Q6.3.10</t>
  </si>
  <si>
    <t>Q6.3.11_1</t>
  </si>
  <si>
    <t>Q6.3.11_2</t>
  </si>
  <si>
    <t>Q6.3.11_3</t>
  </si>
  <si>
    <t>Q6.3.11_4</t>
  </si>
  <si>
    <t>Q6.3.11_5</t>
  </si>
  <si>
    <t>Q6.3.11_6</t>
  </si>
  <si>
    <t>Q6.3.11_7</t>
  </si>
  <si>
    <t>Q6.3.11_8</t>
  </si>
  <si>
    <t>Q6.3.11_9</t>
  </si>
  <si>
    <t>Q6.3.11_10</t>
  </si>
  <si>
    <t>Q6.3.11_11</t>
  </si>
  <si>
    <t>Q6.3.11_12</t>
  </si>
  <si>
    <t>Q6.3.11_13</t>
  </si>
  <si>
    <t>Q6.3.12_1</t>
  </si>
  <si>
    <t>Q6.3.12_2</t>
  </si>
  <si>
    <t>Q6.3.12_3</t>
  </si>
  <si>
    <t>Q6.3.12_4</t>
  </si>
  <si>
    <t>Q6.3.12_5</t>
  </si>
  <si>
    <t>Q6.3.12_6</t>
  </si>
  <si>
    <t>Q6.3.12_7</t>
  </si>
  <si>
    <t>Q6.3.12_8</t>
  </si>
  <si>
    <t>Q6.3.12_9</t>
  </si>
  <si>
    <t>Q6.3.12_10</t>
  </si>
  <si>
    <t>Q6.3.12_11</t>
  </si>
  <si>
    <t>Q6.3.12_12</t>
  </si>
  <si>
    <t>Q6.3.12_13</t>
  </si>
  <si>
    <t>Q6.3.13_1</t>
  </si>
  <si>
    <t>Q6.3.13_5</t>
  </si>
  <si>
    <t>Q6.3.13_6</t>
  </si>
  <si>
    <t>Q6.3.13_7</t>
  </si>
  <si>
    <t>Q6.3.13_8</t>
  </si>
  <si>
    <t>Q6.3.13_9</t>
  </si>
  <si>
    <t>Q6.3.13_10</t>
  </si>
  <si>
    <t>Q6.3.13_11</t>
  </si>
  <si>
    <t>Q6.3.13_12</t>
  </si>
  <si>
    <t>Q6.3.13_13</t>
  </si>
  <si>
    <t>Q6.3.13_14</t>
  </si>
  <si>
    <t>Q6.3.13_15</t>
  </si>
  <si>
    <t>Q6.3.13_16</t>
  </si>
  <si>
    <t>Q6.3.14_1</t>
  </si>
  <si>
    <t>Q6.3.14_5</t>
  </si>
  <si>
    <t>Q6.3.14_6</t>
  </si>
  <si>
    <t>Q6.3.14_7</t>
  </si>
  <si>
    <t>Q6.3.14_8</t>
  </si>
  <si>
    <t>Q6.3.14_9</t>
  </si>
  <si>
    <t>Q6.3.14_10</t>
  </si>
  <si>
    <t>Q6.3.14_11</t>
  </si>
  <si>
    <t>Q6.3.14_12</t>
  </si>
  <si>
    <t>Q6.3.14_13</t>
  </si>
  <si>
    <t>Q6.3.14_14</t>
  </si>
  <si>
    <t>Q6.3.14_15</t>
  </si>
  <si>
    <t>Q6.3.14_16</t>
  </si>
  <si>
    <t>Q6.3.15_1</t>
  </si>
  <si>
    <t>Q6.3.15_5</t>
  </si>
  <si>
    <t>Q6.3.15_6</t>
  </si>
  <si>
    <t>Q6.3.15_7</t>
  </si>
  <si>
    <t>Q6.3.15_8</t>
  </si>
  <si>
    <t>Q6.3.15_9</t>
  </si>
  <si>
    <t>Q6.3.15_10</t>
  </si>
  <si>
    <t>Q6.3.15_11</t>
  </si>
  <si>
    <t>Q6.3.15_12</t>
  </si>
  <si>
    <t>Q6.3.15_13</t>
  </si>
  <si>
    <t>Q6.3.15_14</t>
  </si>
  <si>
    <t>Q6.3.15_15</t>
  </si>
  <si>
    <t>Q6.3.15_16</t>
  </si>
  <si>
    <t>Q6.3.16_1</t>
  </si>
  <si>
    <t>Q6.3.16_5</t>
  </si>
  <si>
    <t>Q6.3.16_6</t>
  </si>
  <si>
    <t>Q6.3.16_7</t>
  </si>
  <si>
    <t>Q6.3.16_8</t>
  </si>
  <si>
    <t>Q6.3.16_9</t>
  </si>
  <si>
    <t>Q6.3.16_10</t>
  </si>
  <si>
    <t>Q6.3.16_11</t>
  </si>
  <si>
    <t>Q6.3.16_12</t>
  </si>
  <si>
    <t>Q6.3.16_13</t>
  </si>
  <si>
    <t>Q6.3.16_14</t>
  </si>
  <si>
    <t>Q6.3.16_15</t>
  </si>
  <si>
    <t>Q6.3.16_16</t>
  </si>
  <si>
    <t>Q6.3.17</t>
  </si>
  <si>
    <t>Q6.3.19</t>
  </si>
  <si>
    <t>Q6.3.20</t>
  </si>
  <si>
    <t>Q6.3.21</t>
  </si>
  <si>
    <t>Q6.3.22</t>
  </si>
  <si>
    <t>Q6.3.23</t>
  </si>
  <si>
    <t>Q6.3.24</t>
  </si>
  <si>
    <t>Q6.3.25_1</t>
  </si>
  <si>
    <t>Q6.3.25_2</t>
  </si>
  <si>
    <t>Q6.3.25_3</t>
  </si>
  <si>
    <t>Q6.3.25_4</t>
  </si>
  <si>
    <t>Q6.3.25_5</t>
  </si>
  <si>
    <t>Q6.3.25_7</t>
  </si>
  <si>
    <t>Q6.3.25_6</t>
  </si>
  <si>
    <t>Q6.3.26_1</t>
  </si>
  <si>
    <t>Q6.3.26_2</t>
  </si>
  <si>
    <t>Q6.3.26_3</t>
  </si>
  <si>
    <t>Q6.3.26_4</t>
  </si>
  <si>
    <t>Q6.3.26_5</t>
  </si>
  <si>
    <t>Q6.3.26_7</t>
  </si>
  <si>
    <t>Q6.3.26_6</t>
  </si>
  <si>
    <t>Q6.3.27_1</t>
  </si>
  <si>
    <t>Q6.3.27_2</t>
  </si>
  <si>
    <t>Q6.3.27_3</t>
  </si>
  <si>
    <t>Q6.3.27_4</t>
  </si>
  <si>
    <t>Q6.3.27_5</t>
  </si>
  <si>
    <t>Q6.3.27_7</t>
  </si>
  <si>
    <t>Q6.3.27_6</t>
  </si>
  <si>
    <t>Q6.3.28_1</t>
  </si>
  <si>
    <t>Q6.3.28_2</t>
  </si>
  <si>
    <t>Q6.3.28_3</t>
  </si>
  <si>
    <t>Q6.3.28_4</t>
  </si>
  <si>
    <t>Q6.3.28_5</t>
  </si>
  <si>
    <t>Q6.3.28_7</t>
  </si>
  <si>
    <t>Q6.3.28_6</t>
  </si>
  <si>
    <t>Q6.3.29_1</t>
  </si>
  <si>
    <t>Q6.3.29_2</t>
  </si>
  <si>
    <t>Q6.3.29_3</t>
  </si>
  <si>
    <t>Q6.3.29_4</t>
  </si>
  <si>
    <t>Q6.3.29_5</t>
  </si>
  <si>
    <t>Q6.3.29_6</t>
  </si>
  <si>
    <t>Q6.3.29_7</t>
  </si>
  <si>
    <t>Q6.3.30_1</t>
  </si>
  <si>
    <t>Q6.3.30_2</t>
  </si>
  <si>
    <t>Q6.3.30_3</t>
  </si>
  <si>
    <t>Q6.3.30_4</t>
  </si>
  <si>
    <t>Q6.3.30_5</t>
  </si>
  <si>
    <t>Q6.3.30_6</t>
  </si>
  <si>
    <t>Q6.3.30_7</t>
  </si>
  <si>
    <t>Q6.3.32_1</t>
  </si>
  <si>
    <t>Q6.3.32_2</t>
  </si>
  <si>
    <t>Q6.3.32_3</t>
  </si>
  <si>
    <t>Q6.3.32_4</t>
  </si>
  <si>
    <t>Q6.3.32_5</t>
  </si>
  <si>
    <t>Q6.3.32_6</t>
  </si>
  <si>
    <t>Q6.3.32_7</t>
  </si>
  <si>
    <t>Q6.3.32_8</t>
  </si>
  <si>
    <t>Q6.3.32_9</t>
  </si>
  <si>
    <t>Q6.3.32_10</t>
  </si>
  <si>
    <t>Q6.3.33</t>
  </si>
  <si>
    <t>Q6.3.34</t>
  </si>
  <si>
    <t>Q6.3.35</t>
  </si>
  <si>
    <t>Q6.3.36</t>
  </si>
  <si>
    <t>Q6.3.37</t>
  </si>
  <si>
    <t>Q6.3.38</t>
  </si>
  <si>
    <t>Q6.3.39</t>
  </si>
  <si>
    <t>Q6.3.40</t>
  </si>
  <si>
    <t>Q6.3.41</t>
  </si>
  <si>
    <t>Q6.3.42_1_1</t>
  </si>
  <si>
    <t>Q6.3.42_1_2</t>
  </si>
  <si>
    <t>Q6.3.42_1_3</t>
  </si>
  <si>
    <t>Q6.3.42_1_4</t>
  </si>
  <si>
    <t>Q6.3.42_2_1</t>
  </si>
  <si>
    <t>Q6.3.42_2_2</t>
  </si>
  <si>
    <t>Q6.3.42_2_3</t>
  </si>
  <si>
    <t>Q6.3.42_2_4</t>
  </si>
  <si>
    <t>Q6.3.42_3_1</t>
  </si>
  <si>
    <t>Q6.3.42_3_2</t>
  </si>
  <si>
    <t>Q6.3.42_3_3</t>
  </si>
  <si>
    <t>Q6.3.42_3_4</t>
  </si>
  <si>
    <t>Q6.3.42_4_1</t>
  </si>
  <si>
    <t>Q6.3.42_4_2</t>
  </si>
  <si>
    <t>Q6.3.42_4_3</t>
  </si>
  <si>
    <t>Q6.3.42_4_4</t>
  </si>
  <si>
    <t>Q6.3.42_5_1</t>
  </si>
  <si>
    <t>Q6.3.42_5_2</t>
  </si>
  <si>
    <t>Q6.3.42_5_3</t>
  </si>
  <si>
    <t>Q6.3.42_5_4</t>
  </si>
  <si>
    <t>Q6.3.42_6_1</t>
  </si>
  <si>
    <t>Q6.3.42_6_2</t>
  </si>
  <si>
    <t>Q6.3.42_6_3</t>
  </si>
  <si>
    <t>Q6.3.42_6_4</t>
  </si>
  <si>
    <t>Q6.3.42_7_1</t>
  </si>
  <si>
    <t>Q6.3.42_7_2</t>
  </si>
  <si>
    <t>Q6.3.42_7_3</t>
  </si>
  <si>
    <t>Q6.3.42_7_4</t>
  </si>
  <si>
    <t>Q6.3.43_1_1</t>
  </si>
  <si>
    <t>Q6.3.43_2_1</t>
  </si>
  <si>
    <t>Q6.3.43_3_1</t>
  </si>
  <si>
    <t>Q6.3.43_4_1</t>
  </si>
  <si>
    <t>Q6.3.43_5_1</t>
  </si>
  <si>
    <t>Q6.3.43_6_1</t>
  </si>
  <si>
    <t>Q6.3.43_7_1</t>
  </si>
  <si>
    <t>Q6.3.44_1_1</t>
  </si>
  <si>
    <t>Q6.3.44_1_2</t>
  </si>
  <si>
    <t>Q6.3.44_2_1</t>
  </si>
  <si>
    <t>Q6.3.44_2_2</t>
  </si>
  <si>
    <t>Q6.3.44_3_1</t>
  </si>
  <si>
    <t>Q6.3.44_3_2</t>
  </si>
  <si>
    <t>Q6.3.44_4_1</t>
  </si>
  <si>
    <t>Q6.3.44_4_2</t>
  </si>
  <si>
    <t>Q6.3.44_5_1</t>
  </si>
  <si>
    <t>Q6.3.44_5_2</t>
  </si>
  <si>
    <t>Q6.3.44_6_1</t>
  </si>
  <si>
    <t>Q6.3.44_6_2</t>
  </si>
  <si>
    <t>Q6.3.44_7_1</t>
  </si>
  <si>
    <t>Q6.3.44_7_2</t>
  </si>
  <si>
    <t>Q6.3.45_1_1</t>
  </si>
  <si>
    <t>Q6.3.45_2_1</t>
  </si>
  <si>
    <t>Q6.3.45_3_1</t>
  </si>
  <si>
    <t>Q6.3.45_4_1</t>
  </si>
  <si>
    <t>Q6.3.45_5_1</t>
  </si>
  <si>
    <t>Q6.3.45_6_1</t>
  </si>
  <si>
    <t>Q6.3.45_7_1</t>
  </si>
  <si>
    <t>Q6.3.46_1_1</t>
  </si>
  <si>
    <t>Q6.3.46_1_2</t>
  </si>
  <si>
    <t>Q6.3.46_2_1</t>
  </si>
  <si>
    <t>Q6.3.46_2_2</t>
  </si>
  <si>
    <t>Q6.3.46_3_1</t>
  </si>
  <si>
    <t>Q6.3.46_3_2</t>
  </si>
  <si>
    <t>Q6.3.46_4_1</t>
  </si>
  <si>
    <t>Q6.3.46_4_2</t>
  </si>
  <si>
    <t>Q6.3.46_5_1</t>
  </si>
  <si>
    <t>Q6.3.46_5_2</t>
  </si>
  <si>
    <t>Q6.3.46_6_1</t>
  </si>
  <si>
    <t>Q6.3.46_6_2</t>
  </si>
  <si>
    <t>Q6.3.46_7_1</t>
  </si>
  <si>
    <t>Q6.3.46_7_2</t>
  </si>
  <si>
    <t>Q6.3.47_1_1</t>
  </si>
  <si>
    <t>Q6.3.47_2_1</t>
  </si>
  <si>
    <t>Q6.3.47_3_1</t>
  </si>
  <si>
    <t>Q6.3.47_4_1</t>
  </si>
  <si>
    <t>Q6.3.47_5_1</t>
  </si>
  <si>
    <t>Q6.3.47_6_1</t>
  </si>
  <si>
    <t>Q6.3.47_7_1</t>
  </si>
  <si>
    <t>Q6.3.48_1_1</t>
  </si>
  <si>
    <t>Q6.3.48_1_2</t>
  </si>
  <si>
    <t>Q6.3.48_2_1</t>
  </si>
  <si>
    <t>Q6.3.48_2_2</t>
  </si>
  <si>
    <t>Q6.3.48_3_1</t>
  </si>
  <si>
    <t>Q6.3.48_3_2</t>
  </si>
  <si>
    <t>Q6.3.48_4_1</t>
  </si>
  <si>
    <t>Q6.3.48_4_2</t>
  </si>
  <si>
    <t>Q6.3.48_5_1</t>
  </si>
  <si>
    <t>Q6.3.48_5_2</t>
  </si>
  <si>
    <t>Q6.3.48_6_1</t>
  </si>
  <si>
    <t>Q6.3.48_6_2</t>
  </si>
  <si>
    <t>Q6.3.48_7_1</t>
  </si>
  <si>
    <t>Q6.3.48_7_2</t>
  </si>
  <si>
    <t>Q6.3.49_1_1</t>
  </si>
  <si>
    <t>Q6.3.49_2_1</t>
  </si>
  <si>
    <t>Q6.3.49_3_1</t>
  </si>
  <si>
    <t>Q6.3.49_4_1</t>
  </si>
  <si>
    <t>Q6.3.49_5_1</t>
  </si>
  <si>
    <t>Q6.3.49_6_1</t>
  </si>
  <si>
    <t>Q6.3.49_7_1</t>
  </si>
  <si>
    <t>Q6.3.50_1_1</t>
  </si>
  <si>
    <t>Q6.3.50_1_2</t>
  </si>
  <si>
    <t>Q6.3.50_2_1</t>
  </si>
  <si>
    <t>Q6.3.50_2_2</t>
  </si>
  <si>
    <t>Q6.3.50_3_1</t>
  </si>
  <si>
    <t>Q6.3.50_3_2</t>
  </si>
  <si>
    <t>Q6.3.50_4_1</t>
  </si>
  <si>
    <t>Q6.3.50_4_2</t>
  </si>
  <si>
    <t>Q6.3.50_5_1</t>
  </si>
  <si>
    <t>Q6.3.50_5_2</t>
  </si>
  <si>
    <t>Q6.3.50_6_1</t>
  </si>
  <si>
    <t>Q6.3.50_6_2</t>
  </si>
  <si>
    <t>Q6.3.50_7_1</t>
  </si>
  <si>
    <t>Q6.3.50_7_2</t>
  </si>
  <si>
    <t>Q6.3.51</t>
  </si>
  <si>
    <t>Q6.3.52</t>
  </si>
  <si>
    <t>Q6.3.53</t>
  </si>
  <si>
    <t>Q6.4.2</t>
  </si>
  <si>
    <t>Q6.4.5</t>
  </si>
  <si>
    <t>Q6.4.6</t>
  </si>
  <si>
    <t>Q6.4.7_1</t>
  </si>
  <si>
    <t>Q6.4.7_2</t>
  </si>
  <si>
    <t>Q6.4.7_3</t>
  </si>
  <si>
    <t>Q6.4.7_4</t>
  </si>
  <si>
    <t>Q6.4.7_5</t>
  </si>
  <si>
    <t>Q6.4.7_6</t>
  </si>
  <si>
    <t>Q6.4.8</t>
  </si>
  <si>
    <t>Q6.4.9_1</t>
  </si>
  <si>
    <t>Q6.4.9_2</t>
  </si>
  <si>
    <t>Q6.4.9_3</t>
  </si>
  <si>
    <t>Q6.4.9_4</t>
  </si>
  <si>
    <t>Q6.4.10_1</t>
  </si>
  <si>
    <t>Q6.4.10_2</t>
  </si>
  <si>
    <t>Q6.4.10_3</t>
  </si>
  <si>
    <t>Q6.4.10_4</t>
  </si>
  <si>
    <t>Q6.4.10_5</t>
  </si>
  <si>
    <t>Q6.4.10_6</t>
  </si>
  <si>
    <t>Q6.4.10_7</t>
  </si>
  <si>
    <t>Q6.4.10_8</t>
  </si>
  <si>
    <t>Q6.4.10_9</t>
  </si>
  <si>
    <t>Q6.4.10_10</t>
  </si>
  <si>
    <t>Q6.4.10_11</t>
  </si>
  <si>
    <t>Q6.4.10_12</t>
  </si>
  <si>
    <t>Q6.4.10_13</t>
  </si>
  <si>
    <t>Q6.4.11_1</t>
  </si>
  <si>
    <t>Q6.4.11_2</t>
  </si>
  <si>
    <t>Q6.4.11_3</t>
  </si>
  <si>
    <t>Q6.4.11_4</t>
  </si>
  <si>
    <t>Q6.4.11_5</t>
  </si>
  <si>
    <t>Q6.4.11_6</t>
  </si>
  <si>
    <t>Q6.4.11_7</t>
  </si>
  <si>
    <t>Q6.4.11_8</t>
  </si>
  <si>
    <t>Q6.4.11_9</t>
  </si>
  <si>
    <t>Q6.4.11_10</t>
  </si>
  <si>
    <t>Q6.4.11_11</t>
  </si>
  <si>
    <t>Q6.4.11_12</t>
  </si>
  <si>
    <t>Q6.4.11_13</t>
  </si>
  <si>
    <t>Q6.4.12_1</t>
  </si>
  <si>
    <t>Q6.4.12_5</t>
  </si>
  <si>
    <t>Q6.4.12_6</t>
  </si>
  <si>
    <t>Q6.4.12_7</t>
  </si>
  <si>
    <t>Q6.4.12_8</t>
  </si>
  <si>
    <t>Q6.4.12_9</t>
  </si>
  <si>
    <t>Q6.4.12_10</t>
  </si>
  <si>
    <t>Q6.4.12_11</t>
  </si>
  <si>
    <t>Q6.4.12_12</t>
  </si>
  <si>
    <t>Q6.4.12_13</t>
  </si>
  <si>
    <t>Q6.4.12_14</t>
  </si>
  <si>
    <t>Q6.4.12_15</t>
  </si>
  <si>
    <t>Q6.4.12_16</t>
  </si>
  <si>
    <t>Q6.4.13_1</t>
  </si>
  <si>
    <t>Q6.4.13_5</t>
  </si>
  <si>
    <t>Q6.4.13_6</t>
  </si>
  <si>
    <t>Q6.4.13_7</t>
  </si>
  <si>
    <t>Q6.4.13_8</t>
  </si>
  <si>
    <t>Q6.4.13_9</t>
  </si>
  <si>
    <t>Q6.4.13_10</t>
  </si>
  <si>
    <t>Q6.4.13_11</t>
  </si>
  <si>
    <t>Q6.4.13_12</t>
  </si>
  <si>
    <t>Q6.4.13_13</t>
  </si>
  <si>
    <t>Q6.4.13_14</t>
  </si>
  <si>
    <t>Q6.4.13_15</t>
  </si>
  <si>
    <t>Q6.4.13_16</t>
  </si>
  <si>
    <t>Q6.4.14_1</t>
  </si>
  <si>
    <t>Q6.4.14_5</t>
  </si>
  <si>
    <t>Q6.4.14_6</t>
  </si>
  <si>
    <t>Q6.4.14_7</t>
  </si>
  <si>
    <t>Q6.4.14_8</t>
  </si>
  <si>
    <t>Q6.4.14_9</t>
  </si>
  <si>
    <t>Q6.4.14_10</t>
  </si>
  <si>
    <t>Q6.4.14_11</t>
  </si>
  <si>
    <t>Q6.4.14_12</t>
  </si>
  <si>
    <t>Q6.4.14_13</t>
  </si>
  <si>
    <t>Q6.4.14_14</t>
  </si>
  <si>
    <t>Q6.4.14_15</t>
  </si>
  <si>
    <t>Q6.4.14_16</t>
  </si>
  <si>
    <t>Q6.4.15_1</t>
  </si>
  <si>
    <t>Q6.4.15_5</t>
  </si>
  <si>
    <t>Q6.4.15_6</t>
  </si>
  <si>
    <t>Q6.4.15_7</t>
  </si>
  <si>
    <t>Q6.4.15_8</t>
  </si>
  <si>
    <t>Q6.4.15_9</t>
  </si>
  <si>
    <t>Q6.4.15_10</t>
  </si>
  <si>
    <t>Q6.4.15_11</t>
  </si>
  <si>
    <t>Q6.4.15_12</t>
  </si>
  <si>
    <t>Q6.4.15_13</t>
  </si>
  <si>
    <t>Q6.4.15_14</t>
  </si>
  <si>
    <t>Q6.4.15_15</t>
  </si>
  <si>
    <t>Q6.4.15_16</t>
  </si>
  <si>
    <t>Q6.4.16</t>
  </si>
  <si>
    <t>Q6.4.18</t>
  </si>
  <si>
    <t>Q6.4.19</t>
  </si>
  <si>
    <t>Q6.4.20</t>
  </si>
  <si>
    <t>Q6.4.21</t>
  </si>
  <si>
    <t>Q6.4.22</t>
  </si>
  <si>
    <t>Q6.4.23</t>
  </si>
  <si>
    <t>Q6.4.24_1</t>
  </si>
  <si>
    <t>Q6.4.24_2</t>
  </si>
  <si>
    <t>Q6.4.24_3</t>
  </si>
  <si>
    <t>Q6.4.24_4</t>
  </si>
  <si>
    <t>Q6.4.24_5</t>
  </si>
  <si>
    <t>Q6.4.24_7</t>
  </si>
  <si>
    <t>Q6.4.24_6</t>
  </si>
  <si>
    <t>Q6.4.25_1</t>
  </si>
  <si>
    <t>Q6.4.25_2</t>
  </si>
  <si>
    <t>Q6.4.25_3</t>
  </si>
  <si>
    <t>Q6.4.25_4</t>
  </si>
  <si>
    <t>Q6.4.25_5</t>
  </si>
  <si>
    <t>Q6.4.25_7</t>
  </si>
  <si>
    <t>Q6.4.25_6</t>
  </si>
  <si>
    <t>Q6.4.26_1</t>
  </si>
  <si>
    <t>Q6.4.26_2</t>
  </si>
  <si>
    <t>Q6.4.26_3</t>
  </si>
  <si>
    <t>Q6.4.26_4</t>
  </si>
  <si>
    <t>Q6.4.26_5</t>
  </si>
  <si>
    <t>Q6.4.26_7</t>
  </si>
  <si>
    <t>Q6.4.26_6</t>
  </si>
  <si>
    <t>Q6.4.27_1</t>
  </si>
  <si>
    <t>Q6.4.27_2</t>
  </si>
  <si>
    <t>Q6.4.27_3</t>
  </si>
  <si>
    <t>Q6.4.27_4</t>
  </si>
  <si>
    <t>Q6.4.27_5</t>
  </si>
  <si>
    <t>Q6.4.27_7</t>
  </si>
  <si>
    <t>Q6.4.27_6</t>
  </si>
  <si>
    <t>Q6.4.28_1</t>
  </si>
  <si>
    <t>Q6.4.28_2</t>
  </si>
  <si>
    <t>Q6.4.28_3</t>
  </si>
  <si>
    <t>Q6.4.28_4</t>
  </si>
  <si>
    <t>Q6.4.28_5</t>
  </si>
  <si>
    <t>Q6.4.28_6</t>
  </si>
  <si>
    <t>Q6.4.28_7</t>
  </si>
  <si>
    <t>Q6.4.29_1</t>
  </si>
  <si>
    <t>Q6.4.29_2</t>
  </si>
  <si>
    <t>Q6.4.29_3</t>
  </si>
  <si>
    <t>Q6.4.29_4</t>
  </si>
  <si>
    <t>Q6.4.29_5</t>
  </si>
  <si>
    <t>Q6.4.29_6</t>
  </si>
  <si>
    <t>Q6.4.29_7</t>
  </si>
  <si>
    <t>Q6.4.31_1</t>
  </si>
  <si>
    <t>Q6.4.31_2</t>
  </si>
  <si>
    <t>Q6.4.31_3</t>
  </si>
  <si>
    <t>Q6.4.31_4</t>
  </si>
  <si>
    <t>Q6.4.31_5</t>
  </si>
  <si>
    <t>Q6.4.31_6</t>
  </si>
  <si>
    <t>Q6.4.31_7</t>
  </si>
  <si>
    <t>Q6.4.31_8</t>
  </si>
  <si>
    <t>Q6.4.31_9</t>
  </si>
  <si>
    <t>Q6.4.31_10</t>
  </si>
  <si>
    <t>Q6.4.32</t>
  </si>
  <si>
    <t>Q6.4.33</t>
  </si>
  <si>
    <t>Q6.4.34</t>
  </si>
  <si>
    <t>Q6.4.35</t>
  </si>
  <si>
    <t>Q6.4.36</t>
  </si>
  <si>
    <t>Q6.4.37</t>
  </si>
  <si>
    <t>Q6.4.38</t>
  </si>
  <si>
    <t>Q6.4.39</t>
  </si>
  <si>
    <t>Q6.4.40</t>
  </si>
  <si>
    <t>Q6.4.41_1_1</t>
  </si>
  <si>
    <t>Q6.4.41_1_2</t>
  </si>
  <si>
    <t>Q6.4.41_1_3</t>
  </si>
  <si>
    <t>Q6.4.41_1_4</t>
  </si>
  <si>
    <t>Q6.4.41_2_1</t>
  </si>
  <si>
    <t>Q6.4.41_2_2</t>
  </si>
  <si>
    <t>Q6.4.41_2_3</t>
  </si>
  <si>
    <t>Q6.4.41_2_4</t>
  </si>
  <si>
    <t>Q6.4.41_3_1</t>
  </si>
  <si>
    <t>Q6.4.41_3_2</t>
  </si>
  <si>
    <t>Q6.4.41_3_3</t>
  </si>
  <si>
    <t>Q6.4.41_3_4</t>
  </si>
  <si>
    <t>Q6.4.41_4_1</t>
  </si>
  <si>
    <t>Q6.4.41_4_2</t>
  </si>
  <si>
    <t>Q6.4.41_4_3</t>
  </si>
  <si>
    <t>Q6.4.41_4_4</t>
  </si>
  <si>
    <t>Q6.4.41_5_1</t>
  </si>
  <si>
    <t>Q6.4.41_5_2</t>
  </si>
  <si>
    <t>Q6.4.41_5_3</t>
  </si>
  <si>
    <t>Q6.4.41_5_4</t>
  </si>
  <si>
    <t>Q6.4.41_6_1</t>
  </si>
  <si>
    <t>Q6.4.41_6_2</t>
  </si>
  <si>
    <t>Q6.4.41_6_3</t>
  </si>
  <si>
    <t>Q6.4.41_6_4</t>
  </si>
  <si>
    <t>Q6.4.41_7_1</t>
  </si>
  <si>
    <t>Q6.4.41_7_2</t>
  </si>
  <si>
    <t>Q6.4.41_7_3</t>
  </si>
  <si>
    <t>Q6.4.41_7_4</t>
  </si>
  <si>
    <t>Q6.4.42_1_1</t>
  </si>
  <si>
    <t>Q6.4.42_2_1</t>
  </si>
  <si>
    <t>Q6.4.42_3_1</t>
  </si>
  <si>
    <t>Q6.4.42_4_1</t>
  </si>
  <si>
    <t>Q6.4.42_5_1</t>
  </si>
  <si>
    <t>Q6.4.42_6_1</t>
  </si>
  <si>
    <t>Q6.4.42_7_1</t>
  </si>
  <si>
    <t>Q6.4.43_1_1</t>
  </si>
  <si>
    <t>Q6.4.43_1_2</t>
  </si>
  <si>
    <t>Q6.4.43_2_1</t>
  </si>
  <si>
    <t>Q6.4.43_2_2</t>
  </si>
  <si>
    <t>Q6.4.43_3_1</t>
  </si>
  <si>
    <t>Q6.4.43_3_2</t>
  </si>
  <si>
    <t>Q6.4.43_4_1</t>
  </si>
  <si>
    <t>Q6.4.43_4_2</t>
  </si>
  <si>
    <t>Q6.4.43_5_1</t>
  </si>
  <si>
    <t>Q6.4.43_5_2</t>
  </si>
  <si>
    <t>Q6.4.43_6_1</t>
  </si>
  <si>
    <t>Q6.4.43_6_2</t>
  </si>
  <si>
    <t>Q6.4.43_7_1</t>
  </si>
  <si>
    <t>Q6.4.43_7_2</t>
  </si>
  <si>
    <t>Q6.4.44_1_1</t>
  </si>
  <si>
    <t>Q6.4.44_2_1</t>
  </si>
  <si>
    <t>Q6.4.44_3_1</t>
  </si>
  <si>
    <t>Q6.4.44_4_1</t>
  </si>
  <si>
    <t>Q6.4.44_5_1</t>
  </si>
  <si>
    <t>Q6.4.44_6_1</t>
  </si>
  <si>
    <t>Q6.4.44_7_1</t>
  </si>
  <si>
    <t>Q6.4.45_1_1</t>
  </si>
  <si>
    <t>Q6.4.45_1_2</t>
  </si>
  <si>
    <t>Q6.4.45_2_1</t>
  </si>
  <si>
    <t>Q6.4.45_2_2</t>
  </si>
  <si>
    <t>Q6.4.45_3_1</t>
  </si>
  <si>
    <t>Q6.4.45_3_2</t>
  </si>
  <si>
    <t>Q6.4.45_4_1</t>
  </si>
  <si>
    <t>Q6.4.45_4_2</t>
  </si>
  <si>
    <t>Q6.4.45_5_1</t>
  </si>
  <si>
    <t>Q6.4.45_5_2</t>
  </si>
  <si>
    <t>Q6.4.45_6_1</t>
  </si>
  <si>
    <t>Q6.4.45_6_2</t>
  </si>
  <si>
    <t>Q6.4.45_7_1</t>
  </si>
  <si>
    <t>Q6.4.45_7_2</t>
  </si>
  <si>
    <t>Q6.4.46_1_1</t>
  </si>
  <si>
    <t>Q6.4.46_2_1</t>
  </si>
  <si>
    <t>Q6.4.46_3_1</t>
  </si>
  <si>
    <t>Q6.4.46_4_1</t>
  </si>
  <si>
    <t>Q6.4.46_5_1</t>
  </si>
  <si>
    <t>Q6.4.46_6_1</t>
  </si>
  <si>
    <t>Q6.4.46_7_1</t>
  </si>
  <si>
    <t>Q6.4.47_1_1</t>
  </si>
  <si>
    <t>Q6.4.47_1_2</t>
  </si>
  <si>
    <t>Q6.4.47_2_1</t>
  </si>
  <si>
    <t>Q6.4.47_2_2</t>
  </si>
  <si>
    <t>Q6.4.47_3_1</t>
  </si>
  <si>
    <t>Q6.4.47_3_2</t>
  </si>
  <si>
    <t>Q6.4.47_4_1</t>
  </si>
  <si>
    <t>Q6.4.47_4_2</t>
  </si>
  <si>
    <t>Q6.4.47_5_1</t>
  </si>
  <si>
    <t>Q6.4.47_5_2</t>
  </si>
  <si>
    <t>Q6.4.47_6_1</t>
  </si>
  <si>
    <t>Q6.4.47_6_2</t>
  </si>
  <si>
    <t>Q6.4.47_7_1</t>
  </si>
  <si>
    <t>Q6.4.47_7_2</t>
  </si>
  <si>
    <t>Q6.4.48_1_1</t>
  </si>
  <si>
    <t>Q6.4.48_2_1</t>
  </si>
  <si>
    <t>Q6.4.48_3_1</t>
  </si>
  <si>
    <t>Q6.4.48_4_1</t>
  </si>
  <si>
    <t>Q6.4.48_5_1</t>
  </si>
  <si>
    <t>Q6.4.48_6_1</t>
  </si>
  <si>
    <t>Q6.4.48_7_1</t>
  </si>
  <si>
    <t>Q6.4.49_1_1</t>
  </si>
  <si>
    <t>Q6.4.49_1_2</t>
  </si>
  <si>
    <t>Q6.4.49_2_1</t>
  </si>
  <si>
    <t>Q6.4.49_2_2</t>
  </si>
  <si>
    <t>Q6.4.49_3_1</t>
  </si>
  <si>
    <t>Q6.4.49_3_2</t>
  </si>
  <si>
    <t>Q6.4.49_4_1</t>
  </si>
  <si>
    <t>Q6.4.49_4_2</t>
  </si>
  <si>
    <t>Q6.4.49_5_1</t>
  </si>
  <si>
    <t>Q6.4.49_5_2</t>
  </si>
  <si>
    <t>Q6.4.49_6_1</t>
  </si>
  <si>
    <t>Q6.4.49_6_2</t>
  </si>
  <si>
    <t>Q6.4.49_7_1</t>
  </si>
  <si>
    <t>Q6.4.49_7_2</t>
  </si>
  <si>
    <t>Q6.4.50</t>
  </si>
  <si>
    <t>Q6.4.51</t>
  </si>
  <si>
    <t>Q6.4.52</t>
  </si>
  <si>
    <t>Q6.5.2</t>
  </si>
  <si>
    <t>Q6.5.5</t>
  </si>
  <si>
    <t>Q6.5.6</t>
  </si>
  <si>
    <t>Q6.5.7_1</t>
  </si>
  <si>
    <t>Q6.5.7_2</t>
  </si>
  <si>
    <t>Q6.5.7_3</t>
  </si>
  <si>
    <t>Q6.5.7_4</t>
  </si>
  <si>
    <t>Q6.5.7_5</t>
  </si>
  <si>
    <t>Q6.5.7_6</t>
  </si>
  <si>
    <t>Q6.5.8</t>
  </si>
  <si>
    <t>Q6.5.9_1</t>
  </si>
  <si>
    <t>Q6.5.9_2</t>
  </si>
  <si>
    <t>Q6.5.9_3</t>
  </si>
  <si>
    <t>Q6.5.9_4</t>
  </si>
  <si>
    <t>Q6.5.10_1</t>
  </si>
  <si>
    <t>Q6.5.10_2</t>
  </si>
  <si>
    <t>Q6.5.10_3</t>
  </si>
  <si>
    <t>Q6.5.10_4</t>
  </si>
  <si>
    <t>Q6.5.10_5</t>
  </si>
  <si>
    <t>Q6.5.10_6</t>
  </si>
  <si>
    <t>Q6.5.10_7</t>
  </si>
  <si>
    <t>Q6.5.10_8</t>
  </si>
  <si>
    <t>Q6.5.10_9</t>
  </si>
  <si>
    <t>Q6.5.10_10</t>
  </si>
  <si>
    <t>Q6.5.10_11</t>
  </si>
  <si>
    <t>Q6.5.10_12</t>
  </si>
  <si>
    <t>Q6.5.10_13</t>
  </si>
  <si>
    <t>Q6.5.11_1</t>
  </si>
  <si>
    <t>Q6.5.11_2</t>
  </si>
  <si>
    <t>Q6.5.11_3</t>
  </si>
  <si>
    <t>Q6.5.11_4</t>
  </si>
  <si>
    <t>Q6.5.11_5</t>
  </si>
  <si>
    <t>Q6.5.11_6</t>
  </si>
  <si>
    <t>Q6.5.11_7</t>
  </si>
  <si>
    <t>Q6.5.11_8</t>
  </si>
  <si>
    <t>Q6.5.11_9</t>
  </si>
  <si>
    <t>Q6.5.11_10</t>
  </si>
  <si>
    <t>Q6.5.11_11</t>
  </si>
  <si>
    <t>Q6.5.11_12</t>
  </si>
  <si>
    <t>Q6.5.11_13</t>
  </si>
  <si>
    <t>Q6.5.12_1</t>
  </si>
  <si>
    <t>Q6.5.12_5</t>
  </si>
  <si>
    <t>Q6.5.12_6</t>
  </si>
  <si>
    <t>Q6.5.12_7</t>
  </si>
  <si>
    <t>Q6.5.12_8</t>
  </si>
  <si>
    <t>Q6.5.12_9</t>
  </si>
  <si>
    <t>Q6.5.12_10</t>
  </si>
  <si>
    <t>Q6.5.12_11</t>
  </si>
  <si>
    <t>Q6.5.12_12</t>
  </si>
  <si>
    <t>Q6.5.12_13</t>
  </si>
  <si>
    <t>Q6.5.12_14</t>
  </si>
  <si>
    <t>Q6.5.12_15</t>
  </si>
  <si>
    <t>Q6.5.12_16</t>
  </si>
  <si>
    <t>Q6.5.13_1</t>
  </si>
  <si>
    <t>Q6.5.13_5</t>
  </si>
  <si>
    <t>Q6.5.13_6</t>
  </si>
  <si>
    <t>Q6.5.13_7</t>
  </si>
  <si>
    <t>Q6.5.13_8</t>
  </si>
  <si>
    <t>Q6.5.13_9</t>
  </si>
  <si>
    <t>Q6.5.13_10</t>
  </si>
  <si>
    <t>Q6.5.13_11</t>
  </si>
  <si>
    <t>Q6.5.13_12</t>
  </si>
  <si>
    <t>Q6.5.13_13</t>
  </si>
  <si>
    <t>Q6.5.13_14</t>
  </si>
  <si>
    <t>Q6.5.13_15</t>
  </si>
  <si>
    <t>Q6.5.13_16</t>
  </si>
  <si>
    <t>Q6.5.14_1</t>
  </si>
  <si>
    <t>Q6.5.14_5</t>
  </si>
  <si>
    <t>Q6.5.14_6</t>
  </si>
  <si>
    <t>Q6.5.14_7</t>
  </si>
  <si>
    <t>Q6.5.14_8</t>
  </si>
  <si>
    <t>Q6.5.14_9</t>
  </si>
  <si>
    <t>Q6.5.14_10</t>
  </si>
  <si>
    <t>Q6.5.14_11</t>
  </si>
  <si>
    <t>Q6.5.14_12</t>
  </si>
  <si>
    <t>Q6.5.14_13</t>
  </si>
  <si>
    <t>Q6.5.14_14</t>
  </si>
  <si>
    <t>Q6.5.14_15</t>
  </si>
  <si>
    <t>Q6.5.14_16</t>
  </si>
  <si>
    <t>Q6.5.15_1</t>
  </si>
  <si>
    <t>Q6.5.15_5</t>
  </si>
  <si>
    <t>Q6.5.15_6</t>
  </si>
  <si>
    <t>Q6.5.15_7</t>
  </si>
  <si>
    <t>Q6.5.15_8</t>
  </si>
  <si>
    <t>Q6.5.15_9</t>
  </si>
  <si>
    <t>Q6.5.15_10</t>
  </si>
  <si>
    <t>Q6.5.15_11</t>
  </si>
  <si>
    <t>Q6.5.15_12</t>
  </si>
  <si>
    <t>Q6.5.15_13</t>
  </si>
  <si>
    <t>Q6.5.15_14</t>
  </si>
  <si>
    <t>Q6.5.15_15</t>
  </si>
  <si>
    <t>Q6.5.15_16</t>
  </si>
  <si>
    <t>Q6.5.16</t>
  </si>
  <si>
    <t>Q6.5.18</t>
  </si>
  <si>
    <t>Q6.5.19</t>
  </si>
  <si>
    <t>Q6.5.20</t>
  </si>
  <si>
    <t>Q6.5.21</t>
  </si>
  <si>
    <t>Q6.5.22</t>
  </si>
  <si>
    <t>Q6.5.23</t>
  </si>
  <si>
    <t>Q6.5.24_1</t>
  </si>
  <si>
    <t>Q6.5.24_2</t>
  </si>
  <si>
    <t>Q6.5.24_3</t>
  </si>
  <si>
    <t>Q6.5.24_4</t>
  </si>
  <si>
    <t>Q6.5.24_5</t>
  </si>
  <si>
    <t>Q6.5.24_7</t>
  </si>
  <si>
    <t>Q6.5.24_6</t>
  </si>
  <si>
    <t>Q6.5.25_1</t>
  </si>
  <si>
    <t>Q6.5.25_2</t>
  </si>
  <si>
    <t>Q6.5.25_3</t>
  </si>
  <si>
    <t>Q6.5.25_4</t>
  </si>
  <si>
    <t>Q6.5.25_5</t>
  </si>
  <si>
    <t>Q6.5.25_7</t>
  </si>
  <si>
    <t>Q6.5.25_6</t>
  </si>
  <si>
    <t>Q6.5.26_1</t>
  </si>
  <si>
    <t>Q6.5.26_2</t>
  </si>
  <si>
    <t>Q6.5.26_3</t>
  </si>
  <si>
    <t>Q6.5.26_4</t>
  </si>
  <si>
    <t>Q6.5.26_5</t>
  </si>
  <si>
    <t>Q6.5.26_7</t>
  </si>
  <si>
    <t>Q6.5.26_6</t>
  </si>
  <si>
    <t>Q6.5.27_1</t>
  </si>
  <si>
    <t>Q6.5.27_2</t>
  </si>
  <si>
    <t>Q6.5.27_3</t>
  </si>
  <si>
    <t>Q6.5.27_4</t>
  </si>
  <si>
    <t>Q6.5.27_5</t>
  </si>
  <si>
    <t>Q6.5.27_7</t>
  </si>
  <si>
    <t>Q6.5.27_6</t>
  </si>
  <si>
    <t>Q6.5.28_1</t>
  </si>
  <si>
    <t>Q6.5.28_2</t>
  </si>
  <si>
    <t>Q6.5.28_3</t>
  </si>
  <si>
    <t>Q6.5.28_4</t>
  </si>
  <si>
    <t>Q6.5.28_5</t>
  </si>
  <si>
    <t>Q6.5.28_6</t>
  </si>
  <si>
    <t>Q6.5.28_7</t>
  </si>
  <si>
    <t>Q6.5.29_1</t>
  </si>
  <si>
    <t>Q6.5.29_2</t>
  </si>
  <si>
    <t>Q6.5.29_3</t>
  </si>
  <si>
    <t>Q6.5.29_4</t>
  </si>
  <si>
    <t>Q6.5.29_5</t>
  </si>
  <si>
    <t>Q6.5.29_6</t>
  </si>
  <si>
    <t>Q6.5.29_7</t>
  </si>
  <si>
    <t>Q6.5.31_1</t>
  </si>
  <si>
    <t>Q6.5.31_2</t>
  </si>
  <si>
    <t>Q6.5.31_3</t>
  </si>
  <si>
    <t>Q6.5.31_4</t>
  </si>
  <si>
    <t>Q6.5.31_5</t>
  </si>
  <si>
    <t>Q6.5.31_6</t>
  </si>
  <si>
    <t>Q6.5.31_7</t>
  </si>
  <si>
    <t>Q6.5.31_8</t>
  </si>
  <si>
    <t>Q6.5.31_9</t>
  </si>
  <si>
    <t>Q6.5.31_10</t>
  </si>
  <si>
    <t>Q6.5.32</t>
  </si>
  <si>
    <t>Q6.5.33</t>
  </si>
  <si>
    <t>Q6.5.34</t>
  </si>
  <si>
    <t>Q6.5.35</t>
  </si>
  <si>
    <t>Q6.5.36</t>
  </si>
  <si>
    <t>Q6.5.37</t>
  </si>
  <si>
    <t>Q6.5.38</t>
  </si>
  <si>
    <t>Q6.5.39</t>
  </si>
  <si>
    <t>Q6.5.40</t>
  </si>
  <si>
    <t>Q6.5.41_1_1</t>
  </si>
  <si>
    <t>Q6.5.41_1_2</t>
  </si>
  <si>
    <t>Q6.5.41_1_3</t>
  </si>
  <si>
    <t>Q6.5.41_1_4</t>
  </si>
  <si>
    <t>Q6.5.41_2_1</t>
  </si>
  <si>
    <t>Q6.5.41_2_2</t>
  </si>
  <si>
    <t>Q6.5.41_2_3</t>
  </si>
  <si>
    <t>Q6.5.41_2_4</t>
  </si>
  <si>
    <t>Q6.5.41_3_1</t>
  </si>
  <si>
    <t>Q6.5.41_3_2</t>
  </si>
  <si>
    <t>Q6.5.41_3_3</t>
  </si>
  <si>
    <t>Q6.5.41_3_4</t>
  </si>
  <si>
    <t>Q6.5.41_4_1</t>
  </si>
  <si>
    <t>Q6.5.41_4_2</t>
  </si>
  <si>
    <t>Q6.5.41_4_3</t>
  </si>
  <si>
    <t>Q6.5.41_4_4</t>
  </si>
  <si>
    <t>Q6.5.41_5_1</t>
  </si>
  <si>
    <t>Q6.5.41_5_2</t>
  </si>
  <si>
    <t>Q6.5.41_5_3</t>
  </si>
  <si>
    <t>Q6.5.41_5_4</t>
  </si>
  <si>
    <t>Q6.5.41_6_1</t>
  </si>
  <si>
    <t>Q6.5.41_6_2</t>
  </si>
  <si>
    <t>Q6.5.41_6_3</t>
  </si>
  <si>
    <t>Q6.5.41_6_4</t>
  </si>
  <si>
    <t>Q6.5.41_7_1</t>
  </si>
  <si>
    <t>Q6.5.41_7_2</t>
  </si>
  <si>
    <t>Q6.5.41_7_3</t>
  </si>
  <si>
    <t>Q6.5.41_7_4</t>
  </si>
  <si>
    <t>Q6.5.42_1_1</t>
  </si>
  <si>
    <t>Q6.5.42_2_1</t>
  </si>
  <si>
    <t>Q6.5.42_3_1</t>
  </si>
  <si>
    <t>Q6.5.42_4_1</t>
  </si>
  <si>
    <t>Q6.5.42_5_1</t>
  </si>
  <si>
    <t>Q6.5.42_6_1</t>
  </si>
  <si>
    <t>Q6.5.42_7_1</t>
  </si>
  <si>
    <t>Q6.5.43_1_1</t>
  </si>
  <si>
    <t>Q6.5.43_1_2</t>
  </si>
  <si>
    <t>Q6.5.43_2_1</t>
  </si>
  <si>
    <t>Q6.5.43_2_2</t>
  </si>
  <si>
    <t>Q6.5.43_3_1</t>
  </si>
  <si>
    <t>Q6.5.43_3_2</t>
  </si>
  <si>
    <t>Q6.5.43_4_1</t>
  </si>
  <si>
    <t>Q6.5.43_4_2</t>
  </si>
  <si>
    <t>Q6.5.43_5_1</t>
  </si>
  <si>
    <t>Q6.5.43_5_2</t>
  </si>
  <si>
    <t>Q6.5.43_6_1</t>
  </si>
  <si>
    <t>Q6.5.43_6_2</t>
  </si>
  <si>
    <t>Q6.5.43_7_1</t>
  </si>
  <si>
    <t>Q6.5.43_7_2</t>
  </si>
  <si>
    <t>Q6.5.44_1_1</t>
  </si>
  <si>
    <t>Q6.5.44_2_1</t>
  </si>
  <si>
    <t>Q6.5.44_3_1</t>
  </si>
  <si>
    <t>Q6.5.44_4_1</t>
  </si>
  <si>
    <t>Q6.5.44_5_1</t>
  </si>
  <si>
    <t>Q6.5.44_6_1</t>
  </si>
  <si>
    <t>Q6.5.44_7_1</t>
  </si>
  <si>
    <t>Q6.5.45_1_1</t>
  </si>
  <si>
    <t>Q6.5.45_1_2</t>
  </si>
  <si>
    <t>Q6.5.45_2_1</t>
  </si>
  <si>
    <t>Q6.5.45_2_2</t>
  </si>
  <si>
    <t>Q6.5.45_3_1</t>
  </si>
  <si>
    <t>Q6.5.45_3_2</t>
  </si>
  <si>
    <t>Q6.5.45_4_1</t>
  </si>
  <si>
    <t>Q6.5.45_4_2</t>
  </si>
  <si>
    <t>Q6.5.45_5_1</t>
  </si>
  <si>
    <t>Q6.5.45_5_2</t>
  </si>
  <si>
    <t>Q6.5.45_6_1</t>
  </si>
  <si>
    <t>Q6.5.45_6_2</t>
  </si>
  <si>
    <t>Q6.5.45_7_1</t>
  </si>
  <si>
    <t>Q6.5.45_7_2</t>
  </si>
  <si>
    <t>Q6.5.46_1_1</t>
  </si>
  <si>
    <t>Q6.5.46_2_1</t>
  </si>
  <si>
    <t>Q6.5.46_3_1</t>
  </si>
  <si>
    <t>Q6.5.46_4_1</t>
  </si>
  <si>
    <t>Q6.5.46_5_1</t>
  </si>
  <si>
    <t>Q6.5.46_6_1</t>
  </si>
  <si>
    <t>Q6.5.46_7_1</t>
  </si>
  <si>
    <t>Q6.5.47_1_1</t>
  </si>
  <si>
    <t>Q6.5.47_1_2</t>
  </si>
  <si>
    <t>Q6.5.47_2_1</t>
  </si>
  <si>
    <t>Q6.5.47_2_2</t>
  </si>
  <si>
    <t>Q6.5.47_3_1</t>
  </si>
  <si>
    <t>Q6.5.47_3_2</t>
  </si>
  <si>
    <t>Q6.5.47_4_1</t>
  </si>
  <si>
    <t>Q6.5.47_4_2</t>
  </si>
  <si>
    <t>Q6.5.47_5_1</t>
  </si>
  <si>
    <t>Q6.5.47_5_2</t>
  </si>
  <si>
    <t>Q6.5.47_6_1</t>
  </si>
  <si>
    <t>Q6.5.47_6_2</t>
  </si>
  <si>
    <t>Q6.5.47_7_1</t>
  </si>
  <si>
    <t>Q6.5.47_7_2</t>
  </si>
  <si>
    <t>Q6.5.48_1_1</t>
  </si>
  <si>
    <t>Q6.5.48_2_1</t>
  </si>
  <si>
    <t>Q6.5.48_3_1</t>
  </si>
  <si>
    <t>Q6.5.48_4_1</t>
  </si>
  <si>
    <t>Q6.5.48_5_1</t>
  </si>
  <si>
    <t>Q6.5.48_6_1</t>
  </si>
  <si>
    <t>Q6.5.48_7_1</t>
  </si>
  <si>
    <t>Q6.5.49_1_1</t>
  </si>
  <si>
    <t>Q6.5.49_1_2</t>
  </si>
  <si>
    <t>Q6.5.49_2_1</t>
  </si>
  <si>
    <t>Q6.5.49_2_2</t>
  </si>
  <si>
    <t>Q6.5.49_3_1</t>
  </si>
  <si>
    <t>Q6.5.49_3_2</t>
  </si>
  <si>
    <t>Q6.5.49_4_1</t>
  </si>
  <si>
    <t>Q6.5.49_4_2</t>
  </si>
  <si>
    <t>Q6.5.49_5_1</t>
  </si>
  <si>
    <t>Q6.5.49_5_2</t>
  </si>
  <si>
    <t>Q6.5.49_6_1</t>
  </si>
  <si>
    <t>Q6.5.49_6_2</t>
  </si>
  <si>
    <t>Q6.5.49_7_1</t>
  </si>
  <si>
    <t>Q6.5.49_7_2</t>
  </si>
  <si>
    <t>Q6.5.50</t>
  </si>
  <si>
    <t>Q6.5.51</t>
  </si>
  <si>
    <t>Q6.5.52</t>
  </si>
  <si>
    <t>Q6.6.2</t>
  </si>
  <si>
    <t>Q6.6.5</t>
  </si>
  <si>
    <t>Q6.6.6</t>
  </si>
  <si>
    <t>Q6.6.7_1</t>
  </si>
  <si>
    <t>Q6.6.7_2</t>
  </si>
  <si>
    <t>Q6.6.7_3</t>
  </si>
  <si>
    <t>Q6.6.7_4</t>
  </si>
  <si>
    <t>Q6.6.7_5</t>
  </si>
  <si>
    <t>Q6.6.7_6</t>
  </si>
  <si>
    <t>Q6.6.8</t>
  </si>
  <si>
    <t>Q6.6.9_1</t>
  </si>
  <si>
    <t>Q6.6.9_2</t>
  </si>
  <si>
    <t>Q6.6.9_3</t>
  </si>
  <si>
    <t>Q6.6.9_4</t>
  </si>
  <si>
    <t>Q6.6.10_1</t>
  </si>
  <si>
    <t>Q6.6.10_2</t>
  </si>
  <si>
    <t>Q6.6.10_3</t>
  </si>
  <si>
    <t>Q6.6.10_4</t>
  </si>
  <si>
    <t>Q6.6.10_5</t>
  </si>
  <si>
    <t>Q6.6.10_6</t>
  </si>
  <si>
    <t>Q6.6.10_7</t>
  </si>
  <si>
    <t>Q6.6.10_8</t>
  </si>
  <si>
    <t>Q6.6.10_9</t>
  </si>
  <si>
    <t>Q6.6.10_10</t>
  </si>
  <si>
    <t>Q6.6.10_11</t>
  </si>
  <si>
    <t>Q6.6.10_12</t>
  </si>
  <si>
    <t>Q6.6.10_13</t>
  </si>
  <si>
    <t>Q6.6.11_1</t>
  </si>
  <si>
    <t>Q6.6.11_2</t>
  </si>
  <si>
    <t>Q6.6.11_3</t>
  </si>
  <si>
    <t>Q6.6.11_4</t>
  </si>
  <si>
    <t>Q6.6.11_5</t>
  </si>
  <si>
    <t>Q6.6.11_6</t>
  </si>
  <si>
    <t>Q6.6.11_7</t>
  </si>
  <si>
    <t>Q6.6.11_8</t>
  </si>
  <si>
    <t>Q6.6.11_9</t>
  </si>
  <si>
    <t>Q6.6.11_10</t>
  </si>
  <si>
    <t>Q6.6.11_11</t>
  </si>
  <si>
    <t>Q6.6.11_12</t>
  </si>
  <si>
    <t>Q6.6.11_13</t>
  </si>
  <si>
    <t>Q6.6.12_1</t>
  </si>
  <si>
    <t>Q6.6.12_5</t>
  </si>
  <si>
    <t>Q6.6.12_6</t>
  </si>
  <si>
    <t>Q6.6.12_7</t>
  </si>
  <si>
    <t>Q6.6.12_8</t>
  </si>
  <si>
    <t>Q6.6.12_9</t>
  </si>
  <si>
    <t>Q6.6.12_10</t>
  </si>
  <si>
    <t>Q6.6.12_11</t>
  </si>
  <si>
    <t>Q6.6.12_12</t>
  </si>
  <si>
    <t>Q6.6.12_13</t>
  </si>
  <si>
    <t>Q6.6.12_14</t>
  </si>
  <si>
    <t>Q6.6.12_15</t>
  </si>
  <si>
    <t>Q6.6.12_16</t>
  </si>
  <si>
    <t>Q6.6.13_1</t>
  </si>
  <si>
    <t>Q6.6.13_5</t>
  </si>
  <si>
    <t>Q6.6.13_6</t>
  </si>
  <si>
    <t>Q6.6.13_7</t>
  </si>
  <si>
    <t>Q6.6.13_8</t>
  </si>
  <si>
    <t>Q6.6.13_9</t>
  </si>
  <si>
    <t>Q6.6.13_10</t>
  </si>
  <si>
    <t>Q6.6.13_11</t>
  </si>
  <si>
    <t>Q6.6.13_12</t>
  </si>
  <si>
    <t>Q6.6.13_13</t>
  </si>
  <si>
    <t>Q6.6.13_14</t>
  </si>
  <si>
    <t>Q6.6.13_15</t>
  </si>
  <si>
    <t>Q6.6.13_16</t>
  </si>
  <si>
    <t>Q6.6.14_1</t>
  </si>
  <si>
    <t>Q6.6.14_5</t>
  </si>
  <si>
    <t>Q6.6.14_6</t>
  </si>
  <si>
    <t>Q6.6.14_7</t>
  </si>
  <si>
    <t>Q6.6.14_8</t>
  </si>
  <si>
    <t>Q6.6.14_9</t>
  </si>
  <si>
    <t>Q6.6.14_10</t>
  </si>
  <si>
    <t>Q6.6.14_11</t>
  </si>
  <si>
    <t>Q6.6.14_12</t>
  </si>
  <si>
    <t>Q6.6.14_13</t>
  </si>
  <si>
    <t>Q6.6.14_14</t>
  </si>
  <si>
    <t>Q6.6.14_15</t>
  </si>
  <si>
    <t>Q6.6.14_16</t>
  </si>
  <si>
    <t>Q6.6.15_1</t>
  </si>
  <si>
    <t>Q6.6.15_5</t>
  </si>
  <si>
    <t>Q6.6.15_6</t>
  </si>
  <si>
    <t>Q6.6.15_7</t>
  </si>
  <si>
    <t>Q6.6.15_8</t>
  </si>
  <si>
    <t>Q6.6.15_9</t>
  </si>
  <si>
    <t>Q6.6.15_10</t>
  </si>
  <si>
    <t>Q6.6.15_11</t>
  </si>
  <si>
    <t>Q6.6.15_12</t>
  </si>
  <si>
    <t>Q6.6.15_13</t>
  </si>
  <si>
    <t>Q6.6.15_14</t>
  </si>
  <si>
    <t>Q6.6.15_15</t>
  </si>
  <si>
    <t>Q6.6.15_16</t>
  </si>
  <si>
    <t>Q6.6.16</t>
  </si>
  <si>
    <t>Q6.6.18</t>
  </si>
  <si>
    <t>Q6.6.19</t>
  </si>
  <si>
    <t>Q6.6.20</t>
  </si>
  <si>
    <t>Q6.6.21</t>
  </si>
  <si>
    <t>Q6.6.22</t>
  </si>
  <si>
    <t>Q6.6.23</t>
  </si>
  <si>
    <t>Q6.6.24_1</t>
  </si>
  <si>
    <t>Q6.6.24_2</t>
  </si>
  <si>
    <t>Q6.6.24_3</t>
  </si>
  <si>
    <t>Q6.6.24_4</t>
  </si>
  <si>
    <t>Q6.6.24_5</t>
  </si>
  <si>
    <t>Q6.6.24_7</t>
  </si>
  <si>
    <t>Q6.6.24_6</t>
  </si>
  <si>
    <t>Q6.6.25_1</t>
  </si>
  <si>
    <t>Q6.6.25_2</t>
  </si>
  <si>
    <t>Q6.6.25_3</t>
  </si>
  <si>
    <t>Q6.6.25_4</t>
  </si>
  <si>
    <t>Q6.6.25_5</t>
  </si>
  <si>
    <t>Q6.6.25_7</t>
  </si>
  <si>
    <t>Q6.6.25_6</t>
  </si>
  <si>
    <t>Q6.6.26_1</t>
  </si>
  <si>
    <t>Q6.6.26_2</t>
  </si>
  <si>
    <t>Q6.6.26_3</t>
  </si>
  <si>
    <t>Q6.6.26_4</t>
  </si>
  <si>
    <t>Q6.6.26_5</t>
  </si>
  <si>
    <t>Q6.6.26_7</t>
  </si>
  <si>
    <t>Q6.6.26_6</t>
  </si>
  <si>
    <t>Q6.6.27_1</t>
  </si>
  <si>
    <t>Q6.6.27_2</t>
  </si>
  <si>
    <t>Q6.6.27_3</t>
  </si>
  <si>
    <t>Q6.6.27_4</t>
  </si>
  <si>
    <t>Q6.6.27_5</t>
  </si>
  <si>
    <t>Q6.6.27_7</t>
  </si>
  <si>
    <t>Q6.6.27_6</t>
  </si>
  <si>
    <t>Q6.6.28_1</t>
  </si>
  <si>
    <t>Q6.6.28_2</t>
  </si>
  <si>
    <t>Q6.6.28_3</t>
  </si>
  <si>
    <t>Q6.6.28_4</t>
  </si>
  <si>
    <t>Q6.6.28_5</t>
  </si>
  <si>
    <t>Q6.6.28_6</t>
  </si>
  <si>
    <t>Q6.6.28_7</t>
  </si>
  <si>
    <t>Q6.6.29_1</t>
  </si>
  <si>
    <t>Q6.6.29_2</t>
  </si>
  <si>
    <t>Q6.6.29_3</t>
  </si>
  <si>
    <t>Q6.6.29_4</t>
  </si>
  <si>
    <t>Q6.6.29_5</t>
  </si>
  <si>
    <t>Q6.6.29_6</t>
  </si>
  <si>
    <t>Q6.6.29_7</t>
  </si>
  <si>
    <t>Q6.6.31_1</t>
  </si>
  <si>
    <t>Q6.6.31_2</t>
  </si>
  <si>
    <t>Q6.6.31_3</t>
  </si>
  <si>
    <t>Q6.6.31_4</t>
  </si>
  <si>
    <t>Q6.6.31_5</t>
  </si>
  <si>
    <t>Q6.6.31_6</t>
  </si>
  <si>
    <t>Q6.6.31_7</t>
  </si>
  <si>
    <t>Q6.6.31_8</t>
  </si>
  <si>
    <t>Q6.6.31_9</t>
  </si>
  <si>
    <t>Q6.6.31_10</t>
  </si>
  <si>
    <t>Q6.6.32</t>
  </si>
  <si>
    <t>Q6.6.33</t>
  </si>
  <si>
    <t>Q6.6.34</t>
  </si>
  <si>
    <t>Q6.6.35</t>
  </si>
  <si>
    <t>Q6.6.36</t>
  </si>
  <si>
    <t>Q6.6.37</t>
  </si>
  <si>
    <t>Q6.6.38</t>
  </si>
  <si>
    <t>Q6.6.39</t>
  </si>
  <si>
    <t>Q6.6.40</t>
  </si>
  <si>
    <t>Q6.6.41_1_1</t>
  </si>
  <si>
    <t>Q6.6.41_1_2</t>
  </si>
  <si>
    <t>Q6.6.41_1_3</t>
  </si>
  <si>
    <t>Q6.6.41_1_4</t>
  </si>
  <si>
    <t>Q6.6.41_2_1</t>
  </si>
  <si>
    <t>Q6.6.41_2_2</t>
  </si>
  <si>
    <t>Q6.6.41_2_3</t>
  </si>
  <si>
    <t>Q6.6.41_2_4</t>
  </si>
  <si>
    <t>Q6.6.41_3_1</t>
  </si>
  <si>
    <t>Q6.6.41_3_2</t>
  </si>
  <si>
    <t>Q6.6.41_3_3</t>
  </si>
  <si>
    <t>Q6.6.41_3_4</t>
  </si>
  <si>
    <t>Q6.6.41_4_1</t>
  </si>
  <si>
    <t>Q6.6.41_4_2</t>
  </si>
  <si>
    <t>Q6.6.41_4_3</t>
  </si>
  <si>
    <t>Q6.6.41_4_4</t>
  </si>
  <si>
    <t>Q6.6.41_5_1</t>
  </si>
  <si>
    <t>Q6.6.41_5_2</t>
  </si>
  <si>
    <t>Q6.6.41_5_3</t>
  </si>
  <si>
    <t>Q6.6.41_5_4</t>
  </si>
  <si>
    <t>Q6.6.41_6_1</t>
  </si>
  <si>
    <t>Q6.6.41_6_2</t>
  </si>
  <si>
    <t>Q6.6.41_6_3</t>
  </si>
  <si>
    <t>Q6.6.41_6_4</t>
  </si>
  <si>
    <t>Q6.6.41_7_1</t>
  </si>
  <si>
    <t>Q6.6.41_7_2</t>
  </si>
  <si>
    <t>Q6.6.41_7_3</t>
  </si>
  <si>
    <t>Q6.6.41_7_4</t>
  </si>
  <si>
    <t>Q6.6.42_1_1</t>
  </si>
  <si>
    <t>Q6.6.42_2_1</t>
  </si>
  <si>
    <t>Q6.6.42_3_1</t>
  </si>
  <si>
    <t>Q6.6.42_4_1</t>
  </si>
  <si>
    <t>Q6.6.42_5_1</t>
  </si>
  <si>
    <t>Q6.6.42_6_1</t>
  </si>
  <si>
    <t>Q6.6.42_7_1</t>
  </si>
  <si>
    <t>Q6.6.43_1_1</t>
  </si>
  <si>
    <t>Q6.6.43_1_2</t>
  </si>
  <si>
    <t>Q6.6.43_2_1</t>
  </si>
  <si>
    <t>Q6.6.43_2_2</t>
  </si>
  <si>
    <t>Q6.6.43_3_1</t>
  </si>
  <si>
    <t>Q6.6.43_3_2</t>
  </si>
  <si>
    <t>Q6.6.43_4_1</t>
  </si>
  <si>
    <t>Q6.6.43_4_2</t>
  </si>
  <si>
    <t>Q6.6.43_5_1</t>
  </si>
  <si>
    <t>Q6.6.43_5_2</t>
  </si>
  <si>
    <t>Q6.6.43_6_1</t>
  </si>
  <si>
    <t>Q6.6.43_6_2</t>
  </si>
  <si>
    <t>Q6.6.43_7_1</t>
  </si>
  <si>
    <t>Q6.6.43_7_2</t>
  </si>
  <si>
    <t>Q6.6.44_1_1</t>
  </si>
  <si>
    <t>Q6.6.44_2_1</t>
  </si>
  <si>
    <t>Q6.6.44_3_1</t>
  </si>
  <si>
    <t>Q6.6.44_4_1</t>
  </si>
  <si>
    <t>Q6.6.44_5_1</t>
  </si>
  <si>
    <t>Q6.6.44_6_1</t>
  </si>
  <si>
    <t>Q6.6.44_7_1</t>
  </si>
  <si>
    <t>Q6.6.45_1_1</t>
  </si>
  <si>
    <t>Q6.6.45_1_2</t>
  </si>
  <si>
    <t>Q6.6.45_2_1</t>
  </si>
  <si>
    <t>Q6.6.45_2_2</t>
  </si>
  <si>
    <t>Q6.6.45_3_1</t>
  </si>
  <si>
    <t>Q6.6.45_3_2</t>
  </si>
  <si>
    <t>Q6.6.45_4_1</t>
  </si>
  <si>
    <t>Q6.6.45_4_2</t>
  </si>
  <si>
    <t>Q6.6.45_5_1</t>
  </si>
  <si>
    <t>Q6.6.45_5_2</t>
  </si>
  <si>
    <t>Q6.6.45_6_1</t>
  </si>
  <si>
    <t>Q6.6.45_6_2</t>
  </si>
  <si>
    <t>Q6.6.45_7_1</t>
  </si>
  <si>
    <t>Q6.6.45_7_2</t>
  </si>
  <si>
    <t>Q6.6.46_1_1</t>
  </si>
  <si>
    <t>Q6.6.46_2_1</t>
  </si>
  <si>
    <t>Q6.6.46_3_1</t>
  </si>
  <si>
    <t>Q6.6.46_4_1</t>
  </si>
  <si>
    <t>Q6.6.46_5_1</t>
  </si>
  <si>
    <t>Q6.6.46_6_1</t>
  </si>
  <si>
    <t>Q6.6.46_7_1</t>
  </si>
  <si>
    <t>Q6.6.47_1_1</t>
  </si>
  <si>
    <t>Q6.6.47_1_2</t>
  </si>
  <si>
    <t>Q6.6.47_2_1</t>
  </si>
  <si>
    <t>Q6.6.47_2_2</t>
  </si>
  <si>
    <t>Q6.6.47_3_1</t>
  </si>
  <si>
    <t>Q6.6.47_3_2</t>
  </si>
  <si>
    <t>Q6.6.47_4_1</t>
  </si>
  <si>
    <t>Q6.6.47_4_2</t>
  </si>
  <si>
    <t>Q6.6.47_5_1</t>
  </si>
  <si>
    <t>Q6.6.47_5_2</t>
  </si>
  <si>
    <t>Q6.6.47_6_1</t>
  </si>
  <si>
    <t>Q6.6.47_6_2</t>
  </si>
  <si>
    <t>Q6.6.47_7_1</t>
  </si>
  <si>
    <t>Q6.6.47_7_2</t>
  </si>
  <si>
    <t>Q6.6.48_1_1</t>
  </si>
  <si>
    <t>Q6.6.48_2_1</t>
  </si>
  <si>
    <t>Q6.6.48_3_1</t>
  </si>
  <si>
    <t>Q6.6.48_4_1</t>
  </si>
  <si>
    <t>Q6.6.48_5_1</t>
  </si>
  <si>
    <t>Q6.6.48_6_1</t>
  </si>
  <si>
    <t>Q6.6.48_7_1</t>
  </si>
  <si>
    <t>Q6.6.49_1_1</t>
  </si>
  <si>
    <t>Q6.6.49_1_2</t>
  </si>
  <si>
    <t>Q6.6.49_2_1</t>
  </si>
  <si>
    <t>Q6.6.49_2_2</t>
  </si>
  <si>
    <t>Q6.6.49_3_1</t>
  </si>
  <si>
    <t>Q6.6.49_3_2</t>
  </si>
  <si>
    <t>Q6.6.49_4_1</t>
  </si>
  <si>
    <t>Q6.6.49_4_2</t>
  </si>
  <si>
    <t>Q6.6.49_5_1</t>
  </si>
  <si>
    <t>Q6.6.49_5_2</t>
  </si>
  <si>
    <t>Q6.6.49_6_1</t>
  </si>
  <si>
    <t>Q6.6.49_6_2</t>
  </si>
  <si>
    <t>Q6.6.49_7_1</t>
  </si>
  <si>
    <t>Q6.6.49_7_2</t>
  </si>
  <si>
    <t>Q6.6.50</t>
  </si>
  <si>
    <t>Q6.6.51</t>
  </si>
  <si>
    <t>Q6.6.52</t>
  </si>
  <si>
    <t>Q6.7.2</t>
  </si>
  <si>
    <t>Q6.7.5</t>
  </si>
  <si>
    <t>Q6.7.6</t>
  </si>
  <si>
    <t>Q6.7.7_1</t>
  </si>
  <si>
    <t>Q6.7.7_2</t>
  </si>
  <si>
    <t>Q6.7.7_3</t>
  </si>
  <si>
    <t>Q6.7.7_4</t>
  </si>
  <si>
    <t>Q6.7.7_5</t>
  </si>
  <si>
    <t>Q6.7.7_6</t>
  </si>
  <si>
    <t>Q6.7.8</t>
  </si>
  <si>
    <t>Q6.7.9_1</t>
  </si>
  <si>
    <t>Q6.7.9_2</t>
  </si>
  <si>
    <t>Q6.7.9_3</t>
  </si>
  <si>
    <t>Q6.7.9_4</t>
  </si>
  <si>
    <t>Q6.7.10_1</t>
  </si>
  <si>
    <t>Q6.7.10_2</t>
  </si>
  <si>
    <t>Q6.7.10_3</t>
  </si>
  <si>
    <t>Q6.7.10_4</t>
  </si>
  <si>
    <t>Q6.7.10_5</t>
  </si>
  <si>
    <t>Q6.7.10_6</t>
  </si>
  <si>
    <t>Q6.7.10_7</t>
  </si>
  <si>
    <t>Q6.7.10_8</t>
  </si>
  <si>
    <t>Q6.7.10_9</t>
  </si>
  <si>
    <t>Q6.7.10_10</t>
  </si>
  <si>
    <t>Q6.7.10_11</t>
  </si>
  <si>
    <t>Q6.7.10_12</t>
  </si>
  <si>
    <t>Q6.7.10_13</t>
  </si>
  <si>
    <t>Q6.7.11_1</t>
  </si>
  <si>
    <t>Q6.7.11_2</t>
  </si>
  <si>
    <t>Q6.7.11_3</t>
  </si>
  <si>
    <t>Q6.7.11_4</t>
  </si>
  <si>
    <t>Q6.7.11_5</t>
  </si>
  <si>
    <t>Q6.7.11_6</t>
  </si>
  <si>
    <t>Q6.7.11_7</t>
  </si>
  <si>
    <t>Q6.7.11_8</t>
  </si>
  <si>
    <t>Q6.7.11_9</t>
  </si>
  <si>
    <t>Q6.7.11_10</t>
  </si>
  <si>
    <t>Q6.7.11_11</t>
  </si>
  <si>
    <t>Q6.7.11_12</t>
  </si>
  <si>
    <t>Q6.7.11_13</t>
  </si>
  <si>
    <t>Q6.7.12_1</t>
  </si>
  <si>
    <t>Q6.7.12_5</t>
  </si>
  <si>
    <t>Q6.7.12_6</t>
  </si>
  <si>
    <t>Q6.7.12_7</t>
  </si>
  <si>
    <t>Q6.7.12_8</t>
  </si>
  <si>
    <t>Q6.7.12_9</t>
  </si>
  <si>
    <t>Q6.7.12_10</t>
  </si>
  <si>
    <t>Q6.7.12_11</t>
  </si>
  <si>
    <t>Q6.7.12_12</t>
  </si>
  <si>
    <t>Q6.7.12_13</t>
  </si>
  <si>
    <t>Q6.7.12_14</t>
  </si>
  <si>
    <t>Q6.7.12_15</t>
  </si>
  <si>
    <t>Q6.7.12_16</t>
  </si>
  <si>
    <t>Q6.7.13_1</t>
  </si>
  <si>
    <t>Q6.7.13_5</t>
  </si>
  <si>
    <t>Q6.7.13_6</t>
  </si>
  <si>
    <t>Q6.7.13_7</t>
  </si>
  <si>
    <t>Q6.7.13_8</t>
  </si>
  <si>
    <t>Q6.7.13_9</t>
  </si>
  <si>
    <t>Q6.7.13_10</t>
  </si>
  <si>
    <t>Q6.7.13_11</t>
  </si>
  <si>
    <t>Q6.7.13_12</t>
  </si>
  <si>
    <t>Q6.7.13_13</t>
  </si>
  <si>
    <t>Q6.7.13_14</t>
  </si>
  <si>
    <t>Q6.7.13_15</t>
  </si>
  <si>
    <t>Q6.7.13_16</t>
  </si>
  <si>
    <t>Q6.7.14_1</t>
  </si>
  <si>
    <t>Q6.7.14_5</t>
  </si>
  <si>
    <t>Q6.7.14_6</t>
  </si>
  <si>
    <t>Q6.7.14_7</t>
  </si>
  <si>
    <t>Q6.7.14_8</t>
  </si>
  <si>
    <t>Q6.7.14_9</t>
  </si>
  <si>
    <t>Q6.7.14_10</t>
  </si>
  <si>
    <t>Q6.7.14_11</t>
  </si>
  <si>
    <t>Q6.7.14_12</t>
  </si>
  <si>
    <t>Q6.7.14_13</t>
  </si>
  <si>
    <t>Q6.7.14_14</t>
  </si>
  <si>
    <t>Q6.7.14_15</t>
  </si>
  <si>
    <t>Q6.7.14_16</t>
  </si>
  <si>
    <t>Q6.7.15_1</t>
  </si>
  <si>
    <t>Q6.7.15_5</t>
  </si>
  <si>
    <t>Q6.7.15_6</t>
  </si>
  <si>
    <t>Q6.7.15_7</t>
  </si>
  <si>
    <t>Q6.7.15_8</t>
  </si>
  <si>
    <t>Q6.7.15_9</t>
  </si>
  <si>
    <t>Q6.7.15_10</t>
  </si>
  <si>
    <t>Q6.7.15_11</t>
  </si>
  <si>
    <t>Q6.7.15_12</t>
  </si>
  <si>
    <t>Q6.7.15_13</t>
  </si>
  <si>
    <t>Q6.7.15_14</t>
  </si>
  <si>
    <t>Q6.7.15_15</t>
  </si>
  <si>
    <t>Q6.7.15_16</t>
  </si>
  <si>
    <t>Q6.7.16</t>
  </si>
  <si>
    <t>Q6.7.18</t>
  </si>
  <si>
    <t>Q6.7.19</t>
  </si>
  <si>
    <t>Q6.7.20</t>
  </si>
  <si>
    <t>Q6.7.21</t>
  </si>
  <si>
    <t>Q6.7.22</t>
  </si>
  <si>
    <t>Q6.7.23</t>
  </si>
  <si>
    <t>Q6.7.24_1</t>
  </si>
  <si>
    <t>Q6.7.24_2</t>
  </si>
  <si>
    <t>Q6.7.24_3</t>
  </si>
  <si>
    <t>Q6.7.24_4</t>
  </si>
  <si>
    <t>Q6.7.24_5</t>
  </si>
  <si>
    <t>Q6.7.24_7</t>
  </si>
  <si>
    <t>Q6.7.24_6</t>
  </si>
  <si>
    <t>Q6.7.25_1</t>
  </si>
  <si>
    <t>Q6.7.25_2</t>
  </si>
  <si>
    <t>Q6.7.25_3</t>
  </si>
  <si>
    <t>Q6.7.25_4</t>
  </si>
  <si>
    <t>Q6.7.25_5</t>
  </si>
  <si>
    <t>Q6.7.25_7</t>
  </si>
  <si>
    <t>Q6.7.25_6</t>
  </si>
  <si>
    <t>Q6.7.26_1</t>
  </si>
  <si>
    <t>Q6.7.26_2</t>
  </si>
  <si>
    <t>Q6.7.26_3</t>
  </si>
  <si>
    <t>Q6.7.26_4</t>
  </si>
  <si>
    <t>Q6.7.26_5</t>
  </si>
  <si>
    <t>Q6.7.26_7</t>
  </si>
  <si>
    <t>Q6.7.26_6</t>
  </si>
  <si>
    <t>Q6.7.27_1</t>
  </si>
  <si>
    <t>Q6.7.27_2</t>
  </si>
  <si>
    <t>Q6.7.27_3</t>
  </si>
  <si>
    <t>Q6.7.27_4</t>
  </si>
  <si>
    <t>Q6.7.27_5</t>
  </si>
  <si>
    <t>Q6.7.27_7</t>
  </si>
  <si>
    <t>Q6.7.27_6</t>
  </si>
  <si>
    <t>Q6.7.28_1</t>
  </si>
  <si>
    <t>Q6.7.28_2</t>
  </si>
  <si>
    <t>Q6.7.28_3</t>
  </si>
  <si>
    <t>Q6.7.28_4</t>
  </si>
  <si>
    <t>Q6.7.28_5</t>
  </si>
  <si>
    <t>Q6.7.28_6</t>
  </si>
  <si>
    <t>Q6.7.28_7</t>
  </si>
  <si>
    <t>Q6.7.29_1</t>
  </si>
  <si>
    <t>Q6.7.29_2</t>
  </si>
  <si>
    <t>Q6.7.29_3</t>
  </si>
  <si>
    <t>Q6.7.29_4</t>
  </si>
  <si>
    <t>Q6.7.29_5</t>
  </si>
  <si>
    <t>Q6.7.29_6</t>
  </si>
  <si>
    <t>Q6.7.29_7</t>
  </si>
  <si>
    <t>Q6.7.31_1</t>
  </si>
  <si>
    <t>Q6.7.31_2</t>
  </si>
  <si>
    <t>Q6.7.31_3</t>
  </si>
  <si>
    <t>Q6.7.31_4</t>
  </si>
  <si>
    <t>Q6.7.31_5</t>
  </si>
  <si>
    <t>Q6.7.31_6</t>
  </si>
  <si>
    <t>Q6.7.31_7</t>
  </si>
  <si>
    <t>Q6.7.31_8</t>
  </si>
  <si>
    <t>Q6.7.31_9</t>
  </si>
  <si>
    <t>Q6.7.31_10</t>
  </si>
  <si>
    <t>Q6.7.32</t>
  </si>
  <si>
    <t>Q6.7.33</t>
  </si>
  <si>
    <t>Q6.7.34</t>
  </si>
  <si>
    <t>Q6.7.35</t>
  </si>
  <si>
    <t>Q6.7.36</t>
  </si>
  <si>
    <t>Q6.7.37</t>
  </si>
  <si>
    <t>Q6.7.38</t>
  </si>
  <si>
    <t>Q6.7.39</t>
  </si>
  <si>
    <t>Q6.7.40</t>
  </si>
  <si>
    <t>Q6.7.41_1_1</t>
  </si>
  <si>
    <t>Q6.7.41_1_2</t>
  </si>
  <si>
    <t>Q6.7.41_1_3</t>
  </si>
  <si>
    <t>Q6.7.41_1_4</t>
  </si>
  <si>
    <t>Q6.7.41_2_1</t>
  </si>
  <si>
    <t>Q6.7.41_2_2</t>
  </si>
  <si>
    <t>Q6.7.41_2_3</t>
  </si>
  <si>
    <t>Q6.7.41_2_4</t>
  </si>
  <si>
    <t>Q6.7.41_3_1</t>
  </si>
  <si>
    <t>Q6.7.41_3_2</t>
  </si>
  <si>
    <t>Q6.7.41_3_3</t>
  </si>
  <si>
    <t>Q6.7.41_3_4</t>
  </si>
  <si>
    <t>Q6.7.41_4_1</t>
  </si>
  <si>
    <t>Q6.7.41_4_2</t>
  </si>
  <si>
    <t>Q6.7.41_4_3</t>
  </si>
  <si>
    <t>Q6.7.41_4_4</t>
  </si>
  <si>
    <t>Q6.7.41_5_1</t>
  </si>
  <si>
    <t>Q6.7.41_5_2</t>
  </si>
  <si>
    <t>Q6.7.41_5_3</t>
  </si>
  <si>
    <t>Q6.7.41_5_4</t>
  </si>
  <si>
    <t>Q6.7.41_6_1</t>
  </si>
  <si>
    <t>Q6.7.41_6_2</t>
  </si>
  <si>
    <t>Q6.7.41_6_3</t>
  </si>
  <si>
    <t>Q6.7.41_6_4</t>
  </si>
  <si>
    <t>Q6.7.41_7_1</t>
  </si>
  <si>
    <t>Q6.7.41_7_2</t>
  </si>
  <si>
    <t>Q6.7.41_7_3</t>
  </si>
  <si>
    <t>Q6.7.41_7_4</t>
  </si>
  <si>
    <t>Q6.7.42_1_1</t>
  </si>
  <si>
    <t>Q6.7.42_2_1</t>
  </si>
  <si>
    <t>Q6.7.42_3_1</t>
  </si>
  <si>
    <t>Q6.7.42_4_1</t>
  </si>
  <si>
    <t>Q6.7.42_5_1</t>
  </si>
  <si>
    <t>Q6.7.42_6_1</t>
  </si>
  <si>
    <t>Q6.7.42_7_1</t>
  </si>
  <si>
    <t>Q6.7.43_1_1</t>
  </si>
  <si>
    <t>Q6.7.43_1_2</t>
  </si>
  <si>
    <t>Q6.7.43_2_1</t>
  </si>
  <si>
    <t>Q6.7.43_2_2</t>
  </si>
  <si>
    <t>Q6.7.43_3_1</t>
  </si>
  <si>
    <t>Q6.7.43_3_2</t>
  </si>
  <si>
    <t>Q6.7.43_4_1</t>
  </si>
  <si>
    <t>Q6.7.43_4_2</t>
  </si>
  <si>
    <t>Q6.7.43_5_1</t>
  </si>
  <si>
    <t>Q6.7.43_5_2</t>
  </si>
  <si>
    <t>Q6.7.43_6_1</t>
  </si>
  <si>
    <t>Q6.7.43_6_2</t>
  </si>
  <si>
    <t>Q6.7.43_7_1</t>
  </si>
  <si>
    <t>Q6.7.43_7_2</t>
  </si>
  <si>
    <t>Q6.7.44_1_1</t>
  </si>
  <si>
    <t>Q6.7.44_2_1</t>
  </si>
  <si>
    <t>Q6.7.44_3_1</t>
  </si>
  <si>
    <t>Q6.7.44_4_1</t>
  </si>
  <si>
    <t>Q6.7.44_5_1</t>
  </si>
  <si>
    <t>Q6.7.44_6_1</t>
  </si>
  <si>
    <t>Q6.7.44_7_1</t>
  </si>
  <si>
    <t>Q6.7.45_1_1</t>
  </si>
  <si>
    <t>Q6.7.45_1_2</t>
  </si>
  <si>
    <t>Q6.7.45_2_1</t>
  </si>
  <si>
    <t>Q6.7.45_2_2</t>
  </si>
  <si>
    <t>Q6.7.45_3_1</t>
  </si>
  <si>
    <t>Q6.7.45_3_2</t>
  </si>
  <si>
    <t>Q6.7.45_4_1</t>
  </si>
  <si>
    <t>Q6.7.45_4_2</t>
  </si>
  <si>
    <t>Q6.7.45_5_1</t>
  </si>
  <si>
    <t>Q6.7.45_5_2</t>
  </si>
  <si>
    <t>Q6.7.45_6_1</t>
  </si>
  <si>
    <t>Q6.7.45_6_2</t>
  </si>
  <si>
    <t>Q6.7.45_7_1</t>
  </si>
  <si>
    <t>Q6.7.45_7_2</t>
  </si>
  <si>
    <t>Q6.7.46_1_1</t>
  </si>
  <si>
    <t>Q6.7.46_2_1</t>
  </si>
  <si>
    <t>Q6.7.46_3_1</t>
  </si>
  <si>
    <t>Q6.7.46_4_1</t>
  </si>
  <si>
    <t>Q6.7.46_5_1</t>
  </si>
  <si>
    <t>Q6.7.46_6_1</t>
  </si>
  <si>
    <t>Q6.7.46_7_1</t>
  </si>
  <si>
    <t>Q6.7.47_1_1</t>
  </si>
  <si>
    <t>Q6.7.47_1_2</t>
  </si>
  <si>
    <t>Q6.7.47_2_1</t>
  </si>
  <si>
    <t>Q6.7.47_2_2</t>
  </si>
  <si>
    <t>Q6.7.47_3_1</t>
  </si>
  <si>
    <t>Q6.7.47_3_2</t>
  </si>
  <si>
    <t>Q6.7.47_4_1</t>
  </si>
  <si>
    <t>Q6.7.47_4_2</t>
  </si>
  <si>
    <t>Q6.7.47_5_1</t>
  </si>
  <si>
    <t>Q6.7.47_5_2</t>
  </si>
  <si>
    <t>Q6.7.47_6_1</t>
  </si>
  <si>
    <t>Q6.7.47_6_2</t>
  </si>
  <si>
    <t>Q6.7.47_7_1</t>
  </si>
  <si>
    <t>Q6.7.47_7_2</t>
  </si>
  <si>
    <t>Q6.7.48_1_1</t>
  </si>
  <si>
    <t>Q6.7.48_2_1</t>
  </si>
  <si>
    <t>Q6.7.48_3_1</t>
  </si>
  <si>
    <t>Q6.7.48_4_1</t>
  </si>
  <si>
    <t>Q6.7.48_5_1</t>
  </si>
  <si>
    <t>Q6.7.48_6_1</t>
  </si>
  <si>
    <t>Q6.7.48_7_1</t>
  </si>
  <si>
    <t>Q6.7.49_1_1</t>
  </si>
  <si>
    <t>Q6.7.49_1_2</t>
  </si>
  <si>
    <t>Q6.7.49_2_1</t>
  </si>
  <si>
    <t>Q6.7.49_2_2</t>
  </si>
  <si>
    <t>Q6.7.49_3_1</t>
  </si>
  <si>
    <t>Q6.7.49_3_2</t>
  </si>
  <si>
    <t>Q6.7.49_4_1</t>
  </si>
  <si>
    <t>Q6.7.49_4_2</t>
  </si>
  <si>
    <t>Q6.7.49_5_1</t>
  </si>
  <si>
    <t>Q6.7.49_5_2</t>
  </si>
  <si>
    <t>Q6.7.49_6_1</t>
  </si>
  <si>
    <t>Q6.7.49_6_2</t>
  </si>
  <si>
    <t>Q6.7.49_7_1</t>
  </si>
  <si>
    <t>Q6.7.49_7_2</t>
  </si>
  <si>
    <t>Q6.7.50</t>
  </si>
  <si>
    <t>Q6.7.51</t>
  </si>
  <si>
    <t>Q6.7.52</t>
  </si>
  <si>
    <t>Q6.8.2</t>
  </si>
  <si>
    <t>Q6.8.5</t>
  </si>
  <si>
    <t>Q6.8.6</t>
  </si>
  <si>
    <t>Q6.8.7_1</t>
  </si>
  <si>
    <t>Q6.8.7_2</t>
  </si>
  <si>
    <t>Q6.8.7_3</t>
  </si>
  <si>
    <t>Q6.8.7_4</t>
  </si>
  <si>
    <t>Q6.8.7_5</t>
  </si>
  <si>
    <t>Q6.8.7_6</t>
  </si>
  <si>
    <t>Q6.8.8</t>
  </si>
  <si>
    <t>Q6.8.9_1</t>
  </si>
  <si>
    <t>Q6.8.9_2</t>
  </si>
  <si>
    <t>Q6.8.9_3</t>
  </si>
  <si>
    <t>Q6.8.9_4</t>
  </si>
  <si>
    <t>Q6.8.10_1</t>
  </si>
  <si>
    <t>Q6.8.10_2</t>
  </si>
  <si>
    <t>Q6.8.10_3</t>
  </si>
  <si>
    <t>Q6.8.10_4</t>
  </si>
  <si>
    <t>Q6.8.10_5</t>
  </si>
  <si>
    <t>Q6.8.10_6</t>
  </si>
  <si>
    <t>Q6.8.10_7</t>
  </si>
  <si>
    <t>Q6.8.10_8</t>
  </si>
  <si>
    <t>Q6.8.10_9</t>
  </si>
  <si>
    <t>Q6.8.10_10</t>
  </si>
  <si>
    <t>Q6.8.10_11</t>
  </si>
  <si>
    <t>Q6.8.10_12</t>
  </si>
  <si>
    <t>Q6.8.10_13</t>
  </si>
  <si>
    <t>Q6.8.11_1</t>
  </si>
  <si>
    <t>Q6.8.11_2</t>
  </si>
  <si>
    <t>Q6.8.11_3</t>
  </si>
  <si>
    <t>Q6.8.11_4</t>
  </si>
  <si>
    <t>Q6.8.11_5</t>
  </si>
  <si>
    <t>Q6.8.11_6</t>
  </si>
  <si>
    <t>Q6.8.11_7</t>
  </si>
  <si>
    <t>Q6.8.11_8</t>
  </si>
  <si>
    <t>Q6.8.11_9</t>
  </si>
  <si>
    <t>Q6.8.11_10</t>
  </si>
  <si>
    <t>Q6.8.11_11</t>
  </si>
  <si>
    <t>Q6.8.11_12</t>
  </si>
  <si>
    <t>Q6.8.11_13</t>
  </si>
  <si>
    <t>Q6.8.12_1</t>
  </si>
  <si>
    <t>Q6.8.12_5</t>
  </si>
  <si>
    <t>Q6.8.12_6</t>
  </si>
  <si>
    <t>Q6.8.12_7</t>
  </si>
  <si>
    <t>Q6.8.12_8</t>
  </si>
  <si>
    <t>Q6.8.12_9</t>
  </si>
  <si>
    <t>Q6.8.12_10</t>
  </si>
  <si>
    <t>Q6.8.12_11</t>
  </si>
  <si>
    <t>Q6.8.12_12</t>
  </si>
  <si>
    <t>Q6.8.12_13</t>
  </si>
  <si>
    <t>Q6.8.12_14</t>
  </si>
  <si>
    <t>Q6.8.12_15</t>
  </si>
  <si>
    <t>Q6.8.12_16</t>
  </si>
  <si>
    <t>Q6.8.13_1</t>
  </si>
  <si>
    <t>Q6.8.13_5</t>
  </si>
  <si>
    <t>Q6.8.13_6</t>
  </si>
  <si>
    <t>Q6.8.13_7</t>
  </si>
  <si>
    <t>Q6.8.13_8</t>
  </si>
  <si>
    <t>Q6.8.13_9</t>
  </si>
  <si>
    <t>Q6.8.13_10</t>
  </si>
  <si>
    <t>Q6.8.13_11</t>
  </si>
  <si>
    <t>Q6.8.13_12</t>
  </si>
  <si>
    <t>Q6.8.13_13</t>
  </si>
  <si>
    <t>Q6.8.13_14</t>
  </si>
  <si>
    <t>Q6.8.13_15</t>
  </si>
  <si>
    <t>Q6.8.13_16</t>
  </si>
  <si>
    <t>Q6.8.14_1</t>
  </si>
  <si>
    <t>Q6.8.14_5</t>
  </si>
  <si>
    <t>Q6.8.14_6</t>
  </si>
  <si>
    <t>Q6.8.14_7</t>
  </si>
  <si>
    <t>Q6.8.14_8</t>
  </si>
  <si>
    <t>Q6.8.14_9</t>
  </si>
  <si>
    <t>Q6.8.14_10</t>
  </si>
  <si>
    <t>Q6.8.14_11</t>
  </si>
  <si>
    <t>Q6.8.14_12</t>
  </si>
  <si>
    <t>Q6.8.14_13</t>
  </si>
  <si>
    <t>Q6.8.14_14</t>
  </si>
  <si>
    <t>Q6.8.14_15</t>
  </si>
  <si>
    <t>Q6.8.14_16</t>
  </si>
  <si>
    <t>Q6.8.15_1</t>
  </si>
  <si>
    <t>Q6.8.15_5</t>
  </si>
  <si>
    <t>Q6.8.15_6</t>
  </si>
  <si>
    <t>Q6.8.15_7</t>
  </si>
  <si>
    <t>Q6.8.15_8</t>
  </si>
  <si>
    <t>Q6.8.15_9</t>
  </si>
  <si>
    <t>Q6.8.15_10</t>
  </si>
  <si>
    <t>Q6.8.15_11</t>
  </si>
  <si>
    <t>Q6.8.15_12</t>
  </si>
  <si>
    <t>Q6.8.15_13</t>
  </si>
  <si>
    <t>Q6.8.15_14</t>
  </si>
  <si>
    <t>Q6.8.15_15</t>
  </si>
  <si>
    <t>Q6.8.15_16</t>
  </si>
  <si>
    <t>Q6.8.16</t>
  </si>
  <si>
    <t>Q6.8.18</t>
  </si>
  <si>
    <t>Q6.8.19</t>
  </si>
  <si>
    <t>Q6.8.20</t>
  </si>
  <si>
    <t>Q6.8.21</t>
  </si>
  <si>
    <t>Q6.8.22</t>
  </si>
  <si>
    <t>Q6.8.23</t>
  </si>
  <si>
    <t>Q6.8.24_1</t>
  </si>
  <si>
    <t>Q6.8.24_2</t>
  </si>
  <si>
    <t>Q6.8.24_3</t>
  </si>
  <si>
    <t>Q6.8.24_4</t>
  </si>
  <si>
    <t>Q6.8.24_5</t>
  </si>
  <si>
    <t>Q6.8.24_7</t>
  </si>
  <si>
    <t>Q6.8.24_6</t>
  </si>
  <si>
    <t>Q6.8.25_1</t>
  </si>
  <si>
    <t>Q6.8.25_2</t>
  </si>
  <si>
    <t>Q6.8.25_3</t>
  </si>
  <si>
    <t>Q6.8.25_4</t>
  </si>
  <si>
    <t>Q6.8.25_5</t>
  </si>
  <si>
    <t>Q6.8.25_7</t>
  </si>
  <si>
    <t>Q6.8.25_6</t>
  </si>
  <si>
    <t>Q6.8.26_1</t>
  </si>
  <si>
    <t>Q6.8.26_2</t>
  </si>
  <si>
    <t>Q6.8.26_3</t>
  </si>
  <si>
    <t>Q6.8.26_4</t>
  </si>
  <si>
    <t>Q6.8.26_5</t>
  </si>
  <si>
    <t>Q6.8.26_7</t>
  </si>
  <si>
    <t>Q6.8.26_6</t>
  </si>
  <si>
    <t>Q6.8.27_1</t>
  </si>
  <si>
    <t>Q6.8.27_2</t>
  </si>
  <si>
    <t>Q6.8.27_3</t>
  </si>
  <si>
    <t>Q6.8.27_4</t>
  </si>
  <si>
    <t>Q6.8.27_5</t>
  </si>
  <si>
    <t>Q6.8.27_7</t>
  </si>
  <si>
    <t>Q6.8.27_6</t>
  </si>
  <si>
    <t>Q6.8.28_1</t>
  </si>
  <si>
    <t>Q6.8.28_2</t>
  </si>
  <si>
    <t>Q6.8.28_3</t>
  </si>
  <si>
    <t>Q6.8.28_4</t>
  </si>
  <si>
    <t>Q6.8.28_5</t>
  </si>
  <si>
    <t>Q6.8.28_6</t>
  </si>
  <si>
    <t>Q6.8.28_7</t>
  </si>
  <si>
    <t>Q6.8.29_1</t>
  </si>
  <si>
    <t>Q6.8.29_2</t>
  </si>
  <si>
    <t>Q6.8.29_3</t>
  </si>
  <si>
    <t>Q6.8.29_4</t>
  </si>
  <si>
    <t>Q6.8.29_5</t>
  </si>
  <si>
    <t>Q6.8.29_6</t>
  </si>
  <si>
    <t>Q6.8.29_7</t>
  </si>
  <si>
    <t>Q6.8.31_1</t>
  </si>
  <si>
    <t>Q6.8.31_2</t>
  </si>
  <si>
    <t>Q6.8.31_3</t>
  </si>
  <si>
    <t>Q6.8.31_4</t>
  </si>
  <si>
    <t>Q6.8.31_5</t>
  </si>
  <si>
    <t>Q6.8.31_6</t>
  </si>
  <si>
    <t>Q6.8.31_7</t>
  </si>
  <si>
    <t>Q6.8.31_8</t>
  </si>
  <si>
    <t>Q6.8.31_9</t>
  </si>
  <si>
    <t>Q6.8.31_10</t>
  </si>
  <si>
    <t>Q6.8.32</t>
  </si>
  <si>
    <t>Q6.8.33</t>
  </si>
  <si>
    <t>Q6.8.34</t>
  </si>
  <si>
    <t>Q6.8.35</t>
  </si>
  <si>
    <t>Q6.8.36</t>
  </si>
  <si>
    <t>Q6.8.37</t>
  </si>
  <si>
    <t>Q6.8.38</t>
  </si>
  <si>
    <t>Q6.8.39</t>
  </si>
  <si>
    <t>Q6.8.40</t>
  </si>
  <si>
    <t>Q6.8.41_1_1</t>
  </si>
  <si>
    <t>Q6.8.41_1_2</t>
  </si>
  <si>
    <t>Q6.8.41_1_3</t>
  </si>
  <si>
    <t>Q6.8.41_1_4</t>
  </si>
  <si>
    <t>Q6.8.41_2_1</t>
  </si>
  <si>
    <t>Q6.8.41_2_2</t>
  </si>
  <si>
    <t>Q6.8.41_2_3</t>
  </si>
  <si>
    <t>Q6.8.41_2_4</t>
  </si>
  <si>
    <t>Q6.8.41_3_1</t>
  </si>
  <si>
    <t>Q6.8.41_3_2</t>
  </si>
  <si>
    <t>Q6.8.41_3_3</t>
  </si>
  <si>
    <t>Q6.8.41_3_4</t>
  </si>
  <si>
    <t>Q6.8.41_4_1</t>
  </si>
  <si>
    <t>Q6.8.41_4_2</t>
  </si>
  <si>
    <t>Q6.8.41_4_3</t>
  </si>
  <si>
    <t>Q6.8.41_4_4</t>
  </si>
  <si>
    <t>Q6.8.41_5_1</t>
  </si>
  <si>
    <t>Q6.8.41_5_2</t>
  </si>
  <si>
    <t>Q6.8.41_5_3</t>
  </si>
  <si>
    <t>Q6.8.41_5_4</t>
  </si>
  <si>
    <t>Q6.8.41_6_1</t>
  </si>
  <si>
    <t>Q6.8.41_6_2</t>
  </si>
  <si>
    <t>Q6.8.41_6_3</t>
  </si>
  <si>
    <t>Q6.8.41_6_4</t>
  </si>
  <si>
    <t>Q6.8.41_7_1</t>
  </si>
  <si>
    <t>Q6.8.41_7_2</t>
  </si>
  <si>
    <t>Q6.8.41_7_3</t>
  </si>
  <si>
    <t>Q6.8.41_7_4</t>
  </si>
  <si>
    <t>Q6.8.42_1_1</t>
  </si>
  <si>
    <t>Q6.8.42_2_1</t>
  </si>
  <si>
    <t>Q6.8.42_3_1</t>
  </si>
  <si>
    <t>Q6.8.42_4_1</t>
  </si>
  <si>
    <t>Q6.8.42_5_1</t>
  </si>
  <si>
    <t>Q6.8.42_6_1</t>
  </si>
  <si>
    <t>Q6.8.42_7_1</t>
  </si>
  <si>
    <t>Q6.8.43_1_1</t>
  </si>
  <si>
    <t>Q6.8.43_1_2</t>
  </si>
  <si>
    <t>Q6.8.43_2_1</t>
  </si>
  <si>
    <t>Q6.8.43_2_2</t>
  </si>
  <si>
    <t>Q6.8.43_3_1</t>
  </si>
  <si>
    <t>Q6.8.43_3_2</t>
  </si>
  <si>
    <t>Q6.8.43_4_1</t>
  </si>
  <si>
    <t>Q6.8.43_4_2</t>
  </si>
  <si>
    <t>Q6.8.43_5_1</t>
  </si>
  <si>
    <t>Q6.8.43_5_2</t>
  </si>
  <si>
    <t>Q6.8.43_6_1</t>
  </si>
  <si>
    <t>Q6.8.43_6_2</t>
  </si>
  <si>
    <t>Q6.8.43_7_1</t>
  </si>
  <si>
    <t>Q6.8.43_7_2</t>
  </si>
  <si>
    <t>Q6.8.44_1_1</t>
  </si>
  <si>
    <t>Q6.8.44_2_1</t>
  </si>
  <si>
    <t>Q6.8.44_3_1</t>
  </si>
  <si>
    <t>Q6.8.44_4_1</t>
  </si>
  <si>
    <t>Q6.8.44_5_1</t>
  </si>
  <si>
    <t>Q6.8.44_6_1</t>
  </si>
  <si>
    <t>Q6.8.44_7_1</t>
  </si>
  <si>
    <t>Q6.8.45_1_1</t>
  </si>
  <si>
    <t>Q6.8.45_1_2</t>
  </si>
  <si>
    <t>Q6.8.45_2_1</t>
  </si>
  <si>
    <t>Q6.8.45_2_2</t>
  </si>
  <si>
    <t>Q6.8.45_3_1</t>
  </si>
  <si>
    <t>Q6.8.45_3_2</t>
  </si>
  <si>
    <t>Q6.8.45_4_1</t>
  </si>
  <si>
    <t>Q6.8.45_4_2</t>
  </si>
  <si>
    <t>Q6.8.45_5_1</t>
  </si>
  <si>
    <t>Q6.8.45_5_2</t>
  </si>
  <si>
    <t>Q6.8.45_6_1</t>
  </si>
  <si>
    <t>Q6.8.45_6_2</t>
  </si>
  <si>
    <t>Q6.8.45_7_1</t>
  </si>
  <si>
    <t>Q6.8.45_7_2</t>
  </si>
  <si>
    <t>Q6.8.46_1_1</t>
  </si>
  <si>
    <t>Q6.8.46_2_1</t>
  </si>
  <si>
    <t>Q6.8.46_3_1</t>
  </si>
  <si>
    <t>Q6.8.46_4_1</t>
  </si>
  <si>
    <t>Q6.8.46_5_1</t>
  </si>
  <si>
    <t>Q6.8.46_6_1</t>
  </si>
  <si>
    <t>Q6.8.46_7_1</t>
  </si>
  <si>
    <t>Q6.8.47_1_1</t>
  </si>
  <si>
    <t>Q6.8.47_1_2</t>
  </si>
  <si>
    <t>Q6.8.47_2_1</t>
  </si>
  <si>
    <t>Q6.8.47_2_2</t>
  </si>
  <si>
    <t>Q6.8.47_3_1</t>
  </si>
  <si>
    <t>Q6.8.47_3_2</t>
  </si>
  <si>
    <t>Q6.8.47_4_1</t>
  </si>
  <si>
    <t>Q6.8.47_4_2</t>
  </si>
  <si>
    <t>Q6.8.47_5_1</t>
  </si>
  <si>
    <t>Q6.8.47_5_2</t>
  </si>
  <si>
    <t>Q6.8.47_6_1</t>
  </si>
  <si>
    <t>Q6.8.47_6_2</t>
  </si>
  <si>
    <t>Q6.8.47_7_1</t>
  </si>
  <si>
    <t>Q6.8.47_7_2</t>
  </si>
  <si>
    <t>Q6.8.48_1_1</t>
  </si>
  <si>
    <t>Q6.8.48_2_1</t>
  </si>
  <si>
    <t>Q6.8.48_3_1</t>
  </si>
  <si>
    <t>Q6.8.48_4_1</t>
  </si>
  <si>
    <t>Q6.8.48_5_1</t>
  </si>
  <si>
    <t>Q6.8.48_6_1</t>
  </si>
  <si>
    <t>Q6.8.48_7_1</t>
  </si>
  <si>
    <t>Q6.8.49_1_1</t>
  </si>
  <si>
    <t>Q6.8.49_1_2</t>
  </si>
  <si>
    <t>Q6.8.49_2_1</t>
  </si>
  <si>
    <t>Q6.8.49_2_2</t>
  </si>
  <si>
    <t>Q6.8.49_3_1</t>
  </si>
  <si>
    <t>Q6.8.49_3_2</t>
  </si>
  <si>
    <t>Q6.8.49_4_1</t>
  </si>
  <si>
    <t>Q6.8.49_4_2</t>
  </si>
  <si>
    <t>Q6.8.49_5_1</t>
  </si>
  <si>
    <t>Q6.8.49_5_2</t>
  </si>
  <si>
    <t>Q6.8.49_6_1</t>
  </si>
  <si>
    <t>Q6.8.49_6_2</t>
  </si>
  <si>
    <t>Q6.8.49_7_1</t>
  </si>
  <si>
    <t>Q6.8.49_7_2</t>
  </si>
  <si>
    <t>Q6.8.50</t>
  </si>
  <si>
    <t>Q6.8.51</t>
  </si>
  <si>
    <t>Q6.8.52</t>
  </si>
  <si>
    <t>Q6.9.2</t>
  </si>
  <si>
    <t>Q6.9.3</t>
  </si>
  <si>
    <t>Q6.9.4</t>
  </si>
  <si>
    <t>Q6.9.5</t>
  </si>
  <si>
    <t>Q6.9.6</t>
  </si>
  <si>
    <t>Q6.10.2</t>
  </si>
  <si>
    <t>Q6.10.3</t>
  </si>
  <si>
    <t>Q6.10.4</t>
  </si>
  <si>
    <t>Q6.10.5</t>
  </si>
  <si>
    <t>Q6.10.6</t>
  </si>
  <si>
    <t>Q6.10.7</t>
  </si>
  <si>
    <t>Q6.10.8</t>
  </si>
  <si>
    <t>Q6.10.9</t>
  </si>
  <si>
    <t>Q6.10.10</t>
  </si>
  <si>
    <t>Q6.10.11</t>
  </si>
  <si>
    <t>Q6.10.12</t>
  </si>
  <si>
    <t>Q6.10.13</t>
  </si>
  <si>
    <t>Q6.10.14</t>
  </si>
  <si>
    <t>Q6.10.15</t>
  </si>
  <si>
    <t>Q6.10.16</t>
  </si>
  <si>
    <t>Q6.10.17</t>
  </si>
  <si>
    <t>Q6.10.19</t>
  </si>
  <si>
    <t>Q6.10.20</t>
  </si>
  <si>
    <t>Q6.10.21</t>
  </si>
  <si>
    <t>Q6.10.22</t>
  </si>
  <si>
    <t>Q6.10.23</t>
  </si>
  <si>
    <t>Q6.10.24</t>
  </si>
  <si>
    <t>Q6.10.26</t>
  </si>
  <si>
    <t>Q6.10.27</t>
  </si>
  <si>
    <t>Q6.10.28</t>
  </si>
  <si>
    <t>Q6.10.29</t>
  </si>
  <si>
    <t>Q6.10.30</t>
  </si>
  <si>
    <t>Q6.10.31</t>
  </si>
  <si>
    <t>Q6.11.2</t>
  </si>
  <si>
    <t>Q6.11.3</t>
  </si>
  <si>
    <t>Q6.11.4</t>
  </si>
  <si>
    <t>Q6.11.5</t>
  </si>
  <si>
    <t>Q6.11.6</t>
  </si>
  <si>
    <t>Q6.11.7_1</t>
  </si>
  <si>
    <t>Q6.11.7_2</t>
  </si>
  <si>
    <t>Q6.11.7_3</t>
  </si>
  <si>
    <t>Q6.11.7_4</t>
  </si>
  <si>
    <t>Q6.11.7_5</t>
  </si>
  <si>
    <t>Q6.11.8</t>
  </si>
  <si>
    <t>Q6.11.9</t>
  </si>
  <si>
    <t>Q6.11.10</t>
  </si>
  <si>
    <t>Q6.11.11_1</t>
  </si>
  <si>
    <t>Q6.11.11_2</t>
  </si>
  <si>
    <t>Q6.11.11_3</t>
  </si>
  <si>
    <t>Q6.11.11_4</t>
  </si>
  <si>
    <t>Q6.11.11_5</t>
  </si>
  <si>
    <t>Q6.11.11_6</t>
  </si>
  <si>
    <t>Q6.11.12</t>
  </si>
  <si>
    <t>Q6.12.2</t>
  </si>
  <si>
    <t>Q6.12.3</t>
  </si>
  <si>
    <t>Q6.12.4</t>
  </si>
  <si>
    <t>Q6.12.5</t>
  </si>
  <si>
    <t>Q6.12.6</t>
  </si>
  <si>
    <t>Q6.12.7</t>
  </si>
  <si>
    <t>Q6.12.8</t>
  </si>
  <si>
    <t>Q6.12.9</t>
  </si>
  <si>
    <t>Q6.12.10</t>
  </si>
  <si>
    <t>Q6.12.11</t>
  </si>
  <si>
    <t>Q6.12.12</t>
  </si>
  <si>
    <t>Q6.12.13</t>
  </si>
  <si>
    <t>Q6.12.14</t>
  </si>
  <si>
    <t>Q6.12.15</t>
  </si>
  <si>
    <t>Q6.13.2</t>
  </si>
  <si>
    <t>Q6.13.3</t>
  </si>
  <si>
    <t>Q6.13.4</t>
  </si>
  <si>
    <t>Q6.13.5</t>
  </si>
  <si>
    <t>Q6.13.6</t>
  </si>
  <si>
    <t>Q6.13.7</t>
  </si>
  <si>
    <t>Q6.13.8</t>
  </si>
  <si>
    <t>Q6.13.9</t>
  </si>
  <si>
    <t>Q6.13.10</t>
  </si>
  <si>
    <t>Q6.13.11</t>
  </si>
  <si>
    <t>Q6.13.12</t>
  </si>
  <si>
    <t>Q6.13.13</t>
  </si>
  <si>
    <t>Q6.13.14</t>
  </si>
  <si>
    <t>Q6.13.15</t>
  </si>
  <si>
    <t>Q6.13.16</t>
  </si>
  <si>
    <t>Q6.13.17</t>
  </si>
  <si>
    <t>Q6.13.18_1</t>
  </si>
  <si>
    <t>Q6.13.18_2</t>
  </si>
  <si>
    <t>Q6.13.19</t>
  </si>
  <si>
    <t>Q6.13.20</t>
  </si>
  <si>
    <t>Q6.13.21</t>
  </si>
  <si>
    <t>Q6.13.22</t>
  </si>
  <si>
    <t>Q6.13.23</t>
  </si>
  <si>
    <t>Q6.13.24</t>
  </si>
  <si>
    <t>Q6.13.25</t>
  </si>
  <si>
    <t>Q6.13.26</t>
  </si>
  <si>
    <t>Q6.13.27</t>
  </si>
  <si>
    <t>Q6.13.28</t>
  </si>
  <si>
    <t>Q6.13.29</t>
  </si>
  <si>
    <t>Q6.13.30</t>
  </si>
  <si>
    <t>Q6.13.31</t>
  </si>
  <si>
    <t>Q6.13.32</t>
  </si>
  <si>
    <t>Q6.13.33</t>
  </si>
  <si>
    <t>Q6.13.34</t>
  </si>
  <si>
    <t>Q6.13.36</t>
  </si>
  <si>
    <t>Q6.13.37</t>
  </si>
  <si>
    <t>Q6.13.38</t>
  </si>
  <si>
    <t>Q6.14.2</t>
  </si>
  <si>
    <t>Q6.14.3</t>
  </si>
  <si>
    <t>Q6.14.4</t>
  </si>
  <si>
    <t>Q6.14.5</t>
  </si>
  <si>
    <t>Q6.14.6</t>
  </si>
  <si>
    <t>Q6.15.2_1</t>
  </si>
  <si>
    <t>Q6.15.2_2</t>
  </si>
  <si>
    <t>Q6.15.2_3</t>
  </si>
  <si>
    <t>Q6.15.2_4</t>
  </si>
  <si>
    <t>Q6.15.2_5</t>
  </si>
  <si>
    <t>Q6.15.2_6</t>
  </si>
  <si>
    <t>Q6.15.2_7</t>
  </si>
  <si>
    <t>Q6.15.2_8</t>
  </si>
  <si>
    <t>Q6.15.2_9</t>
  </si>
  <si>
    <t>Q6.15.2_10</t>
  </si>
  <si>
    <t>Q6.15.3</t>
  </si>
  <si>
    <t>Q6.15.4</t>
  </si>
  <si>
    <t>Q6.15.5</t>
  </si>
  <si>
    <t>Q6.15.6</t>
  </si>
  <si>
    <t>Q6.16.2</t>
  </si>
  <si>
    <t>Q6.16.3</t>
  </si>
  <si>
    <t>Q6.16.4</t>
  </si>
  <si>
    <t>Q6.16.5</t>
  </si>
  <si>
    <t>Q6.16.6</t>
  </si>
  <si>
    <t>Q6.16.7</t>
  </si>
  <si>
    <t>Q6.17.2_1</t>
  </si>
  <si>
    <t>Q6.17.2_2</t>
  </si>
  <si>
    <t>Q6.17.2_3</t>
  </si>
  <si>
    <t>Q6.17.4_1</t>
  </si>
  <si>
    <t>Q6.17.4_2</t>
  </si>
  <si>
    <t>Q6.17.4_3</t>
  </si>
  <si>
    <t>Q6.17.4_4</t>
  </si>
  <si>
    <t>Q6.17.4_5</t>
  </si>
  <si>
    <t>Q6.17.4_6</t>
  </si>
  <si>
    <t>Q6.17.4_7</t>
  </si>
  <si>
    <t>Q6.17.4_8</t>
  </si>
  <si>
    <t>Q6.17.5_1</t>
  </si>
  <si>
    <t>Q6.17.5_2</t>
  </si>
  <si>
    <t>Q6.17.5_3</t>
  </si>
  <si>
    <t>Q6.17.5_4</t>
  </si>
  <si>
    <t>Q6.17.5_5</t>
  </si>
  <si>
    <t>Q6.17.5_6</t>
  </si>
  <si>
    <t>Q6.17.5_7</t>
  </si>
  <si>
    <t>Q6.17.5_8</t>
  </si>
  <si>
    <t>Q6.17.6</t>
  </si>
  <si>
    <t>Q6.17.7</t>
  </si>
  <si>
    <t>Q6.17.8</t>
  </si>
  <si>
    <t>Q6.17.9</t>
  </si>
  <si>
    <t>Q6.17.10_1</t>
  </si>
  <si>
    <t>Q6.17.10_2</t>
  </si>
  <si>
    <t>Q6.17.10_3</t>
  </si>
  <si>
    <t>Q6.17.10_4</t>
  </si>
  <si>
    <t>Q6.17.10_5</t>
  </si>
  <si>
    <t>Q6.17.10_6</t>
  </si>
  <si>
    <t>Q6.17.10_7</t>
  </si>
  <si>
    <t>Q6.17.10_8</t>
  </si>
  <si>
    <t>Q6.17.10_9</t>
  </si>
  <si>
    <t>Q6.17.10_10</t>
  </si>
  <si>
    <t>Q6.17.10_11</t>
  </si>
  <si>
    <t>Q6.17.10_12</t>
  </si>
  <si>
    <t>Q6.17.10_13</t>
  </si>
  <si>
    <t>Q6.17.10_14</t>
  </si>
  <si>
    <t>Q6.17.10_15</t>
  </si>
  <si>
    <t>Q6.17.10_16</t>
  </si>
  <si>
    <t>Q6.17.10_17</t>
  </si>
  <si>
    <t>Q6.17.10_18</t>
  </si>
  <si>
    <t>Q6.17.10_19</t>
  </si>
  <si>
    <t>Q6.17.10_20</t>
  </si>
  <si>
    <t>Q6.17.10_21</t>
  </si>
  <si>
    <t>Q6.17.10_22</t>
  </si>
  <si>
    <t>Q6.17.10_23</t>
  </si>
  <si>
    <t>Q6.17.10_24</t>
  </si>
  <si>
    <t>Q6.17.10_25</t>
  </si>
  <si>
    <t>Q6.17.10_26</t>
  </si>
  <si>
    <t>Q6.17.10_27</t>
  </si>
  <si>
    <t>Q6.17.11_1</t>
  </si>
  <si>
    <t>Q6.17.11_2</t>
  </si>
  <si>
    <t>Q6.17.11_3</t>
  </si>
  <si>
    <t>Q6.17.11_4</t>
  </si>
  <si>
    <t>Q6.17.11_5</t>
  </si>
  <si>
    <t>Q6.17.11_6</t>
  </si>
  <si>
    <t>Q6.17.11_7</t>
  </si>
  <si>
    <t>Q6.17.11_8</t>
  </si>
  <si>
    <t>Q6.17.11_9</t>
  </si>
  <si>
    <t>Q6.17.11_10</t>
  </si>
  <si>
    <t>Q6.17.11_11</t>
  </si>
  <si>
    <t>Q6.17.11_12</t>
  </si>
  <si>
    <t>Q6.17.11_13</t>
  </si>
  <si>
    <t>Q6.17.11_14</t>
  </si>
  <si>
    <t>Q6.17.11_15</t>
  </si>
  <si>
    <t>Q6.17.11_16</t>
  </si>
  <si>
    <t>Q6.17.11_17</t>
  </si>
  <si>
    <t>Q6.17.11_18</t>
  </si>
  <si>
    <t>Q6.17.11_19</t>
  </si>
  <si>
    <t>Q6.17.11_20</t>
  </si>
  <si>
    <t>Q6.17.11_21</t>
  </si>
  <si>
    <t>Q6.17.11_22</t>
  </si>
  <si>
    <t>Q6.17.11_23</t>
  </si>
  <si>
    <t>Q6.17.11_24</t>
  </si>
  <si>
    <t>Q6.17.11_25</t>
  </si>
  <si>
    <t>Q6.17.11_26</t>
  </si>
  <si>
    <t>Q6.17.11_27</t>
  </si>
  <si>
    <t>Q6.17.12_1</t>
  </si>
  <si>
    <t>Q6.17.12_2</t>
  </si>
  <si>
    <t>Q6.17.12_3</t>
  </si>
  <si>
    <t>Q6.17.12_4</t>
  </si>
  <si>
    <t>Q6.17.12_5</t>
  </si>
  <si>
    <t>Q6.17.12_6</t>
  </si>
  <si>
    <t>Q6.17.12_7</t>
  </si>
  <si>
    <t>Q6.17.12_8</t>
  </si>
  <si>
    <t>Q6.17.12_9</t>
  </si>
  <si>
    <t>Q6.17.12_10</t>
  </si>
  <si>
    <t>Q6.17.12_11</t>
  </si>
  <si>
    <t>Q6.17.12_12</t>
  </si>
  <si>
    <t>Q6.17.12_13</t>
  </si>
  <si>
    <t>Q6.17.12_14</t>
  </si>
  <si>
    <t>Q6.17.12_15</t>
  </si>
  <si>
    <t>Q6.17.12_16</t>
  </si>
  <si>
    <t>Q6.17.12_17</t>
  </si>
  <si>
    <t>Q6.17.12_18</t>
  </si>
  <si>
    <t>Q6.17.12_19</t>
  </si>
  <si>
    <t>Q6.17.12_20</t>
  </si>
  <si>
    <t>Q6.17.12_21</t>
  </si>
  <si>
    <t>Q6.17.12_22</t>
  </si>
  <si>
    <t>Q6.17.12_23</t>
  </si>
  <si>
    <t>Q6.17.12_24</t>
  </si>
  <si>
    <t>Q6.17.12_25</t>
  </si>
  <si>
    <t>Q6.17.12_26</t>
  </si>
  <si>
    <t>Q6.17.12_27</t>
  </si>
  <si>
    <t>Q6.17.13_1</t>
  </si>
  <si>
    <t>Q6.17.13_2</t>
  </si>
  <si>
    <t>Q6.17.13_3</t>
  </si>
  <si>
    <t>Q6.17.13_4</t>
  </si>
  <si>
    <t>Q6.17.13_5</t>
  </si>
  <si>
    <t>Q6.17.13_6</t>
  </si>
  <si>
    <t>Q6.17.13_7</t>
  </si>
  <si>
    <t>Q6.17.13_8</t>
  </si>
  <si>
    <t>Q6.17.13_9</t>
  </si>
  <si>
    <t>Q6.17.13_10</t>
  </si>
  <si>
    <t>Q6.17.13_11</t>
  </si>
  <si>
    <t>Q6.17.13_12</t>
  </si>
  <si>
    <t>Q6.17.13_13</t>
  </si>
  <si>
    <t>Q6.17.13_14</t>
  </si>
  <si>
    <t>Q6.17.13_15</t>
  </si>
  <si>
    <t>Q6.17.13_16</t>
  </si>
  <si>
    <t>Q6.17.13_17</t>
  </si>
  <si>
    <t>Q6.17.13_18</t>
  </si>
  <si>
    <t>Q6.17.13_19</t>
  </si>
  <si>
    <t>Q6.17.13_20</t>
  </si>
  <si>
    <t>Q6.17.13_21</t>
  </si>
  <si>
    <t>Q6.17.13_22</t>
  </si>
  <si>
    <t>Q6.17.13_23</t>
  </si>
  <si>
    <t>Q6.17.13_24</t>
  </si>
  <si>
    <t>Q6.17.13_25</t>
  </si>
  <si>
    <t>Q6.17.13_26</t>
  </si>
  <si>
    <t>Q6.17.13_27</t>
  </si>
  <si>
    <t>Q6.17.15_1</t>
  </si>
  <si>
    <t>Q6.17.15_2</t>
  </si>
  <si>
    <t>Q6.17.15_3</t>
  </si>
  <si>
    <t>Q6.17.15_4</t>
  </si>
  <si>
    <t>Q6.17.15_5</t>
  </si>
  <si>
    <t>Q6.17.15_6</t>
  </si>
  <si>
    <t>Q6.17.15_7</t>
  </si>
  <si>
    <t>Q6.17.15_8</t>
  </si>
  <si>
    <t>Q6.17.16_1</t>
  </si>
  <si>
    <t>Q6.17.16_2</t>
  </si>
  <si>
    <t>Q6.17.16_3</t>
  </si>
  <si>
    <t>Q6.17.16_4</t>
  </si>
  <si>
    <t>Q6.17.16_5</t>
  </si>
  <si>
    <t>Q6.17.16_6</t>
  </si>
  <si>
    <t>Q6.17.16_7</t>
  </si>
  <si>
    <t>Q6.17.16_8</t>
  </si>
  <si>
    <t>Q6.17.17</t>
  </si>
  <si>
    <t>Q6.17.18</t>
  </si>
  <si>
    <t>Q6.17.19</t>
  </si>
  <si>
    <t>Q6.17.20_1</t>
  </si>
  <si>
    <t>Q6.17.20_2</t>
  </si>
  <si>
    <t>Q6.17.20_3</t>
  </si>
  <si>
    <t>Q6.17.20_4</t>
  </si>
  <si>
    <t>Q6.17.20_5</t>
  </si>
  <si>
    <t>Q6.17.20_6</t>
  </si>
  <si>
    <t>Q6.17.20_7</t>
  </si>
  <si>
    <t>Q6.17.20_8</t>
  </si>
  <si>
    <t>Q6.17.20_9</t>
  </si>
  <si>
    <t>Q6.17.20_10</t>
  </si>
  <si>
    <t>Q6.17.20_11</t>
  </si>
  <si>
    <t>Q6.17.20_12</t>
  </si>
  <si>
    <t>Q6.17.20_13</t>
  </si>
  <si>
    <t>Q6.17.20_14</t>
  </si>
  <si>
    <t>Q6.17.20_15</t>
  </si>
  <si>
    <t>Q6.17.20_16</t>
  </si>
  <si>
    <t>Q6.17.20_17</t>
  </si>
  <si>
    <t>Q6.17.20_18</t>
  </si>
  <si>
    <t>Q6.17.20_19</t>
  </si>
  <si>
    <t>Q6.17.20_20</t>
  </si>
  <si>
    <t>Q6.17.20_21</t>
  </si>
  <si>
    <t>Q6.17.20_22</t>
  </si>
  <si>
    <t>Q6.17.20_23</t>
  </si>
  <si>
    <t>Q6.17.20_24</t>
  </si>
  <si>
    <t>Q6.17.20_25</t>
  </si>
  <si>
    <t>Q6.17.20_26</t>
  </si>
  <si>
    <t>Q6.17.20_27</t>
  </si>
  <si>
    <t>Q6.17.21_1</t>
  </si>
  <si>
    <t>Q6.17.21_2</t>
  </si>
  <si>
    <t>Q6.17.21_3</t>
  </si>
  <si>
    <t>Q6.17.21_4</t>
  </si>
  <si>
    <t>Q6.17.21_5</t>
  </si>
  <si>
    <t>Q6.17.21_6</t>
  </si>
  <si>
    <t>Q6.17.21_7</t>
  </si>
  <si>
    <t>Q6.17.21_8</t>
  </si>
  <si>
    <t>Q6.17.21_9</t>
  </si>
  <si>
    <t>Q6.17.21_10</t>
  </si>
  <si>
    <t>Q6.17.21_11</t>
  </si>
  <si>
    <t>Q6.17.21_12</t>
  </si>
  <si>
    <t>Q6.17.21_13</t>
  </si>
  <si>
    <t>Q6.17.21_14</t>
  </si>
  <si>
    <t>Q6.17.21_15</t>
  </si>
  <si>
    <t>Q6.17.21_16</t>
  </si>
  <si>
    <t>Q6.17.21_17</t>
  </si>
  <si>
    <t>Q6.17.21_18</t>
  </si>
  <si>
    <t>Q6.17.21_19</t>
  </si>
  <si>
    <t>Q6.17.21_20</t>
  </si>
  <si>
    <t>Q6.17.21_21</t>
  </si>
  <si>
    <t>Q6.17.21_22</t>
  </si>
  <si>
    <t>Q6.17.21_23</t>
  </si>
  <si>
    <t>Q6.17.21_24</t>
  </si>
  <si>
    <t>Q6.17.21_25</t>
  </si>
  <si>
    <t>Q6.17.21_26</t>
  </si>
  <si>
    <t>Q6.17.21_27</t>
  </si>
  <si>
    <t>Q6.17.22_1</t>
  </si>
  <si>
    <t>Q6.17.22_2</t>
  </si>
  <si>
    <t>Q6.17.22_3</t>
  </si>
  <si>
    <t>Q6.17.22_4</t>
  </si>
  <si>
    <t>Q6.17.22_5</t>
  </si>
  <si>
    <t>Q6.17.22_6</t>
  </si>
  <si>
    <t>Q6.17.22_7</t>
  </si>
  <si>
    <t>Q6.17.22_8</t>
  </si>
  <si>
    <t>Q6.17.22_9</t>
  </si>
  <si>
    <t>Q6.17.22_10</t>
  </si>
  <si>
    <t>Q6.17.22_11</t>
  </si>
  <si>
    <t>Q6.17.22_12</t>
  </si>
  <si>
    <t>Q6.17.22_13</t>
  </si>
  <si>
    <t>Q6.17.22_14</t>
  </si>
  <si>
    <t>Q6.17.22_15</t>
  </si>
  <si>
    <t>Q6.17.22_16</t>
  </si>
  <si>
    <t>Q6.17.22_17</t>
  </si>
  <si>
    <t>Q6.17.22_18</t>
  </si>
  <si>
    <t>Q6.17.22_19</t>
  </si>
  <si>
    <t>Q6.17.22_20</t>
  </si>
  <si>
    <t>Q6.17.22_21</t>
  </si>
  <si>
    <t>Q6.17.22_22</t>
  </si>
  <si>
    <t>Q6.17.22_23</t>
  </si>
  <si>
    <t>Q6.17.22_24</t>
  </si>
  <si>
    <t>Q6.17.22_25</t>
  </si>
  <si>
    <t>Q6.17.22_26</t>
  </si>
  <si>
    <t>Q6.17.22_27</t>
  </si>
  <si>
    <t>Q6.17.23_1</t>
  </si>
  <si>
    <t>Q6.17.23_2</t>
  </si>
  <si>
    <t>Q6.17.23_3</t>
  </si>
  <si>
    <t>Q6.17.23_4</t>
  </si>
  <si>
    <t>Q6.17.23_5</t>
  </si>
  <si>
    <t>Q6.17.23_6</t>
  </si>
  <si>
    <t>Q6.17.23_7</t>
  </si>
  <si>
    <t>Q6.17.23_8</t>
  </si>
  <si>
    <t>Q6.17.23_9</t>
  </si>
  <si>
    <t>Q6.17.23_10</t>
  </si>
  <si>
    <t>Q6.17.23_11</t>
  </si>
  <si>
    <t>Q6.17.23_12</t>
  </si>
  <si>
    <t>Q6.17.23_13</t>
  </si>
  <si>
    <t>Q6.17.23_14</t>
  </si>
  <si>
    <t>Q6.17.23_15</t>
  </si>
  <si>
    <t>Q6.17.23_16</t>
  </si>
  <si>
    <t>Q6.17.23_17</t>
  </si>
  <si>
    <t>Q6.17.23_18</t>
  </si>
  <si>
    <t>Q6.17.23_19</t>
  </si>
  <si>
    <t>Q6.17.23_20</t>
  </si>
  <si>
    <t>Q6.17.23_21</t>
  </si>
  <si>
    <t>Q6.17.23_22</t>
  </si>
  <si>
    <t>Q6.17.23_23</t>
  </si>
  <si>
    <t>Q6.17.23_24</t>
  </si>
  <si>
    <t>Q6.17.23_25</t>
  </si>
  <si>
    <t>Q6.17.23_26</t>
  </si>
  <si>
    <t>Q6.17.23_27</t>
  </si>
  <si>
    <t>Q6.17.25_1</t>
  </si>
  <si>
    <t>Q6.17.25_2</t>
  </si>
  <si>
    <t>Q6.17.25_3</t>
  </si>
  <si>
    <t>Q6.17.25_4</t>
  </si>
  <si>
    <t>Q6.17.25_5</t>
  </si>
  <si>
    <t>Q6.17.25_6</t>
  </si>
  <si>
    <t>Q6.17.25_7</t>
  </si>
  <si>
    <t>Q6.17.25_8</t>
  </si>
  <si>
    <t>Q6.17.26_1</t>
  </si>
  <si>
    <t>Q6.17.26_2</t>
  </si>
  <si>
    <t>Q6.17.26_3</t>
  </si>
  <si>
    <t>Q6.17.26_4</t>
  </si>
  <si>
    <t>Q6.17.26_5</t>
  </si>
  <si>
    <t>Q6.17.26_6</t>
  </si>
  <si>
    <t>Q6.17.26_7</t>
  </si>
  <si>
    <t>Q6.17.26_8</t>
  </si>
  <si>
    <t>Q6.17.27</t>
  </si>
  <si>
    <t>Q6.17.28</t>
  </si>
  <si>
    <t>Q6.17.29</t>
  </si>
  <si>
    <t>Q6.17.30_1</t>
  </si>
  <si>
    <t>Q6.17.30_2</t>
  </si>
  <si>
    <t>Q6.17.30_3</t>
  </si>
  <si>
    <t>Q6.17.30_4</t>
  </si>
  <si>
    <t>Q6.17.30_5</t>
  </si>
  <si>
    <t>Q6.17.30_6</t>
  </si>
  <si>
    <t>Q6.17.30_7</t>
  </si>
  <si>
    <t>Q6.17.30_8</t>
  </si>
  <si>
    <t>Q6.17.30_9</t>
  </si>
  <si>
    <t>Q6.17.30_10</t>
  </si>
  <si>
    <t>Q6.17.30_11</t>
  </si>
  <si>
    <t>Q6.17.30_12</t>
  </si>
  <si>
    <t>Q6.17.30_13</t>
  </si>
  <si>
    <t>Q6.17.30_14</t>
  </si>
  <si>
    <t>Q6.17.30_15</t>
  </si>
  <si>
    <t>Q6.17.30_16</t>
  </si>
  <si>
    <t>Q6.17.30_17</t>
  </si>
  <si>
    <t>Q6.17.30_18</t>
  </si>
  <si>
    <t>Q6.17.30_19</t>
  </si>
  <si>
    <t>Q6.17.30_20</t>
  </si>
  <si>
    <t>Q6.17.30_21</t>
  </si>
  <si>
    <t>Q6.17.30_22</t>
  </si>
  <si>
    <t>Q6.17.30_23</t>
  </si>
  <si>
    <t>Q6.17.30_24</t>
  </si>
  <si>
    <t>Q6.17.30_25</t>
  </si>
  <si>
    <t>Q6.17.30_26</t>
  </si>
  <si>
    <t>Q6.17.30_27</t>
  </si>
  <si>
    <t>Q6.17.31_1</t>
  </si>
  <si>
    <t>Q6.17.31_2</t>
  </si>
  <si>
    <t>Q6.17.31_3</t>
  </si>
  <si>
    <t>Q6.17.31_4</t>
  </si>
  <si>
    <t>Q6.17.31_5</t>
  </si>
  <si>
    <t>Q6.17.31_6</t>
  </si>
  <si>
    <t>Q6.17.31_7</t>
  </si>
  <si>
    <t>Q6.17.31_8</t>
  </si>
  <si>
    <t>Q6.17.31_9</t>
  </si>
  <si>
    <t>Q6.17.31_10</t>
  </si>
  <si>
    <t>Q6.17.31_11</t>
  </si>
  <si>
    <t>Q6.17.31_12</t>
  </si>
  <si>
    <t>Q6.17.31_13</t>
  </si>
  <si>
    <t>Q6.17.31_14</t>
  </si>
  <si>
    <t>Q6.17.31_15</t>
  </si>
  <si>
    <t>Q6.17.31_16</t>
  </si>
  <si>
    <t>Q6.17.31_17</t>
  </si>
  <si>
    <t>Q6.17.31_18</t>
  </si>
  <si>
    <t>Q6.17.31_19</t>
  </si>
  <si>
    <t>Q6.17.31_20</t>
  </si>
  <si>
    <t>Q6.17.31_21</t>
  </si>
  <si>
    <t>Q6.17.31_22</t>
  </si>
  <si>
    <t>Q6.17.31_23</t>
  </si>
  <si>
    <t>Q6.17.31_24</t>
  </si>
  <si>
    <t>Q6.17.31_25</t>
  </si>
  <si>
    <t>Q6.17.31_26</t>
  </si>
  <si>
    <t>Q6.17.31_27</t>
  </si>
  <si>
    <t>Q6.17.32_1</t>
  </si>
  <si>
    <t>Q6.17.32_2</t>
  </si>
  <si>
    <t>Q6.17.32_3</t>
  </si>
  <si>
    <t>Q6.17.32_4</t>
  </si>
  <si>
    <t>Q6.17.32_5</t>
  </si>
  <si>
    <t>Q6.17.32_6</t>
  </si>
  <si>
    <t>Q6.17.32_7</t>
  </si>
  <si>
    <t>Q6.17.32_8</t>
  </si>
  <si>
    <t>Q6.17.32_9</t>
  </si>
  <si>
    <t>Q6.17.32_10</t>
  </si>
  <si>
    <t>Q6.17.32_11</t>
  </si>
  <si>
    <t>Q6.17.32_12</t>
  </si>
  <si>
    <t>Q6.17.32_13</t>
  </si>
  <si>
    <t>Q6.17.32_14</t>
  </si>
  <si>
    <t>Q6.17.32_15</t>
  </si>
  <si>
    <t>Q6.17.32_16</t>
  </si>
  <si>
    <t>Q6.17.32_17</t>
  </si>
  <si>
    <t>Q6.17.32_18</t>
  </si>
  <si>
    <t>Q6.17.32_19</t>
  </si>
  <si>
    <t>Q6.17.32_20</t>
  </si>
  <si>
    <t>Q6.17.32_21</t>
  </si>
  <si>
    <t>Q6.17.32_22</t>
  </si>
  <si>
    <t>Q6.17.32_23</t>
  </si>
  <si>
    <t>Q6.17.32_24</t>
  </si>
  <si>
    <t>Q6.17.32_25</t>
  </si>
  <si>
    <t>Q6.17.32_26</t>
  </si>
  <si>
    <t>Q6.17.32_27</t>
  </si>
  <si>
    <t>Q6.17.33_1</t>
  </si>
  <si>
    <t>Q6.17.33_2</t>
  </si>
  <si>
    <t>Q6.17.33_3</t>
  </si>
  <si>
    <t>Q6.17.33_4</t>
  </si>
  <si>
    <t>Q6.17.33_5</t>
  </si>
  <si>
    <t>Q6.17.33_6</t>
  </si>
  <si>
    <t>Q6.17.33_7</t>
  </si>
  <si>
    <t>Q6.17.33_8</t>
  </si>
  <si>
    <t>Q6.17.33_9</t>
  </si>
  <si>
    <t>Q6.17.33_10</t>
  </si>
  <si>
    <t>Q6.17.33_11</t>
  </si>
  <si>
    <t>Q6.17.33_12</t>
  </si>
  <si>
    <t>Q6.17.33_13</t>
  </si>
  <si>
    <t>Q6.17.33_14</t>
  </si>
  <si>
    <t>Q6.17.33_15</t>
  </si>
  <si>
    <t>Q6.17.33_16</t>
  </si>
  <si>
    <t>Q6.17.33_17</t>
  </si>
  <si>
    <t>Q6.17.33_18</t>
  </si>
  <si>
    <t>Q6.17.33_19</t>
  </si>
  <si>
    <t>Q6.17.33_20</t>
  </si>
  <si>
    <t>Q6.17.33_21</t>
  </si>
  <si>
    <t>Q6.17.33_22</t>
  </si>
  <si>
    <t>Q6.17.33_23</t>
  </si>
  <si>
    <t>Q6.17.33_24</t>
  </si>
  <si>
    <t>Q6.17.33_25</t>
  </si>
  <si>
    <t>Q6.17.33_26</t>
  </si>
  <si>
    <t>Q6.17.33_27</t>
  </si>
  <si>
    <t>Q6.18.2</t>
  </si>
  <si>
    <t>Q6.18.4</t>
  </si>
  <si>
    <t>Q6.18.5</t>
  </si>
  <si>
    <t>Q6.18.6</t>
  </si>
  <si>
    <t>Q6.18.7</t>
  </si>
  <si>
    <t>Q6.18.8_1</t>
  </si>
  <si>
    <t>Q6.18.8_2</t>
  </si>
  <si>
    <t>Q6.18.8_3</t>
  </si>
  <si>
    <t>Q6.18.8_4</t>
  </si>
  <si>
    <t>Q6.18.8_5</t>
  </si>
  <si>
    <t>Q6.18.9_1</t>
  </si>
  <si>
    <t>Q6.18.9_2</t>
  </si>
  <si>
    <t>Q6.18.9_3</t>
  </si>
  <si>
    <t>Q6.18.9_4</t>
  </si>
  <si>
    <t>Q6.18.9_5</t>
  </si>
  <si>
    <t>Q6.18.10</t>
  </si>
  <si>
    <t>Q6.18.11</t>
  </si>
  <si>
    <t>Q6.18.12</t>
  </si>
  <si>
    <t>Q6.18.13</t>
  </si>
  <si>
    <t>Q6.18.14</t>
  </si>
  <si>
    <t>Q6.19.2</t>
  </si>
  <si>
    <t>Q6.19.3</t>
  </si>
  <si>
    <t>Q6.19.4</t>
  </si>
  <si>
    <t>Q6.19.6_1</t>
  </si>
  <si>
    <t>Q6.19.6_2</t>
  </si>
  <si>
    <t>Q6.19.6_3</t>
  </si>
  <si>
    <t>Q6.19.6_4</t>
  </si>
  <si>
    <t>Q6.19.6_5</t>
  </si>
  <si>
    <t>Q6.19.6_6</t>
  </si>
  <si>
    <t>Q6.19.6_7</t>
  </si>
  <si>
    <t>Q6.19.6_8</t>
  </si>
  <si>
    <t>Q6.19.6_9</t>
  </si>
  <si>
    <t>Q6.19.6_10</t>
  </si>
  <si>
    <t>Q6.19.6_11</t>
  </si>
  <si>
    <t>Q6.19.6_12</t>
  </si>
  <si>
    <t>HealthSave</t>
  </si>
  <si>
    <t>HealthSave Basic</t>
  </si>
  <si>
    <t>Balanced billed amounts (not covered by plan),Penalties (e.g., non-notification penalties),Premiums</t>
  </si>
  <si>
    <t>Non-embedded</t>
  </si>
  <si>
    <t>In-network per person,In-network per family</t>
  </si>
  <si>
    <t>Out-of-network per person,Out-of-network per family</t>
  </si>
  <si>
    <t>Neither</t>
  </si>
  <si>
    <t>Retail/pharmacy (non-mail order),Mail order</t>
  </si>
  <si>
    <t>Retail/pharmacy (non-mail order)</t>
  </si>
  <si>
    <t>Not applicable - no feature required</t>
  </si>
  <si>
    <t>Step therapy,Medical review/prior authorization,Quantity limits,Specialty medication program</t>
  </si>
  <si>
    <t>Carved in</t>
  </si>
  <si>
    <t xml:space="preserve">None other than what is required by law (ACA) </t>
  </si>
  <si>
    <t>Financial penalty applied - when preferred care site is not used</t>
  </si>
  <si>
    <t>Kaiser Permanente Northern California</t>
  </si>
  <si>
    <t>Kaiser SoCal   Kaiser Washington   HMSA - Hawaii</t>
  </si>
  <si>
    <t>Out-of-network payments,Balanced billed amounts (not covered by plan),Penalties (e.g., non-notification penalties),Premiums</t>
  </si>
  <si>
    <t>Waived</t>
  </si>
  <si>
    <t>Medical review/prior authorization</t>
  </si>
  <si>
    <t>No cost or waived</t>
  </si>
  <si>
    <t>Out of Area HealthSave Plan</t>
  </si>
  <si>
    <t>Biliopancreatic bypass,Duodenal switch,Gastric bypass,Gastric sleeve procedure,Lap adjustable gastric bands,Vertical banded gastroplasty</t>
  </si>
  <si>
    <t>Biliopancreatic bypass,Duodenal switch,Gastric bypass,Gastric Sleeve Procedure,Lap Adjustable Gastric Bands,Vertical banded gastroplasty</t>
  </si>
  <si>
    <t xml:space="preserve">After a designated period of time (e.g., every 3 years) </t>
  </si>
  <si>
    <t xml:space="preserve">Always covered - no medical review required,Covered for medical condition treatment (e.g., back pain),Covered for medical condition maintenance  </t>
  </si>
  <si>
    <t>Always covered - no medical review required,Covered for medical condition treatment and maintenance (e.g., pain management),Not covered after specified number of treatments</t>
  </si>
  <si>
    <t>Medical review or prior authorization required</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</si>
  <si>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ZIFT),Ovulation Induction,Controlled  Ovarian Stimulation,Preimplantation Genetic Diagnosis (PGD),Preimplantation Genetic Screening (PGS)</t>
  </si>
  <si>
    <t xml:space="preserve">Covered under prescription drug service and subject to pharmacy related guidelines, exclusions, limits, etc. </t>
  </si>
  <si>
    <t>Currently Considering</t>
  </si>
  <si>
    <t>Not Covered or Considering</t>
  </si>
  <si>
    <t>Female member’s ovary stimulation and retrieval of eggs,Male member retrieval of sperm</t>
  </si>
  <si>
    <t>Already aligned</t>
  </si>
  <si>
    <t>None of these services are covered</t>
  </si>
  <si>
    <t>Providers who have met established qualifications (e.g., certified ABA provider)</t>
  </si>
  <si>
    <t>Employer</t>
  </si>
  <si>
    <t>Employee's HDHP medical plan coverage election level (e.g., employee only, employee + family),Plan entry date</t>
  </si>
  <si>
    <t>Company provides HSA funding to eligible employees enrolled in the Aetna HealthSave plan. Deposited if you activate your account with HealthEquity. If you join the plan or increase coverage mid-year, the funding is prorated.</t>
  </si>
  <si>
    <t>Beginning of the year (front loaded)</t>
  </si>
  <si>
    <t xml:space="preserve">Mutual funds </t>
  </si>
  <si>
    <t>Yes, some are the same</t>
  </si>
  <si>
    <t>At open enrollment and again later in the year</t>
  </si>
  <si>
    <t>Emails,Flyers,Webinars</t>
  </si>
  <si>
    <t xml:space="preserve">Contribution limits,Understanding the tax benefits of the HSA,Investing HSA assets,Medicare impact on HSA contributions </t>
  </si>
  <si>
    <t>Expatriate is provided opportunity to make special mid-year enrollment change (for individual and dependents) if currently enrolled in a plan that provides in-network coverage only (e.g., EPO or HMO)</t>
  </si>
  <si>
    <t>Covered by separate medical plan offered exclusively to expatriates/inpatriates</t>
  </si>
  <si>
    <t>Currently offered</t>
  </si>
  <si>
    <t>Family practice or general physician,Specialist,Mental health,Nutritional counseling</t>
  </si>
  <si>
    <t>Added virtual primary care</t>
  </si>
  <si>
    <t>Basic,Major</t>
  </si>
  <si>
    <t>Children to age 26,Adults</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</si>
  <si>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t>
  </si>
  <si>
    <t>Basic</t>
  </si>
  <si>
    <t>Major</t>
  </si>
  <si>
    <t>Preventive</t>
  </si>
  <si>
    <t>Implants</t>
  </si>
  <si>
    <t>Orthodontia</t>
  </si>
  <si>
    <t>Once Every 5 Years</t>
  </si>
  <si>
    <t>2 Per Year</t>
  </si>
  <si>
    <t>Once Every Year</t>
  </si>
  <si>
    <t>Lifetime Limit</t>
  </si>
  <si>
    <t>Once Every 2 Years</t>
  </si>
  <si>
    <t>Once Every 3 Years</t>
  </si>
  <si>
    <t>1 every 12 months</t>
  </si>
  <si>
    <t>In lieu of eyeglass frame and lens allowances</t>
  </si>
  <si>
    <t>No - discount program offered</t>
  </si>
  <si>
    <t>Managing data requirements related to Form 1095 requirements.</t>
  </si>
  <si>
    <t>Anything that effects the financial or design of our plans.</t>
  </si>
  <si>
    <t>Non-EHB</t>
  </si>
  <si>
    <t>EHB</t>
  </si>
  <si>
    <t>Not Covered</t>
  </si>
  <si>
    <t>High Deductible Health Plan Option 1</t>
  </si>
  <si>
    <t>High Deductible Health Plan Option 2</t>
  </si>
  <si>
    <t>Mail order,90 Day supply</t>
  </si>
  <si>
    <t>Step therapy,Medical review/prior authorization,Mail order,90 Day supply</t>
  </si>
  <si>
    <t>Step therapy,Mail order,90 Day supply</t>
  </si>
  <si>
    <t>Step therapy,Medical review/prior authorization,Quantity limits</t>
  </si>
  <si>
    <t>No cost difference based on site of care</t>
  </si>
  <si>
    <t>Kaiser California</t>
  </si>
  <si>
    <t>Kaiser CO; Kaiser HI; Kaiser WA; Aetna and Humana of Puerto Rico</t>
  </si>
  <si>
    <t>Not applicableservice not covered</t>
  </si>
  <si>
    <t>Quantity limits</t>
  </si>
  <si>
    <t>Gastric bypass,Gastric sleeve procedure,Lap adjustable gastric bands</t>
  </si>
  <si>
    <t>Gastric bypass,Gastric Sleeve Procedure,Lap Adjustable Gastric Bands</t>
  </si>
  <si>
    <t xml:space="preserve">Covered for medical condition treatment (e.g., back pain),Covered for medical condition maintenance  </t>
  </si>
  <si>
    <t>Covered for medical condition treatment and maintenance (e.g., pain management),Medical necessity - approval required</t>
  </si>
  <si>
    <t>Individual must participate in your company's health plan administrator's (e.g., UHC, Aetna, Cigna) infertility or reproductive care management program</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</si>
  <si>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t>
  </si>
  <si>
    <t xml:space="preserve">Covered under infertility service and subject to infertility related guidelines, exclusions, limits, etc. </t>
  </si>
  <si>
    <t>Yes, if medically necessary</t>
  </si>
  <si>
    <t>Employee's HDHP medical plan coverage election level (e.g., employee only, employee + family),Employee's income</t>
  </si>
  <si>
    <t>Please NOTE:  HSA is not a plan.  The language we include in our New Hire Benefit Guide is:  Employees with an annual target salary of $80,000 , will be eligible for a Company Health Savings Account employer contribution.  To qualify employees must:  1) enroll in the Company High Deductible Health Plan (HDHP) Option 1 or Option 2; and 2) elect and open a Fidelity HSA during Annual Enrollment.  You can elect $0 to contribute to the HSA and still receive the Company contribution.</t>
  </si>
  <si>
    <t xml:space="preserve">Self-directed brokerage </t>
  </si>
  <si>
    <t>Primarily at open enrollment</t>
  </si>
  <si>
    <t xml:space="preserve">Understanding the tax benefits of the HSA,Medicare impact on HSA contributions </t>
  </si>
  <si>
    <t>Family practice or general physician,Mental health</t>
  </si>
  <si>
    <t>HMO &amp; PPO option(s) with subsidy</t>
  </si>
  <si>
    <t>No, the same plans are offered to retirees, regardless of Medicare eligibility</t>
  </si>
  <si>
    <t>Minimum years of service and minimum age</t>
  </si>
  <si>
    <t>Amalgam Fillings,Anesthesia/Sedation,Bridgework,Cleanings (Prophylaxis),Composite Fillings (White Fillings),Crowns,Denture Repair,Dentures (Relines &amp; Rebases),Dentures (Removable &amp; Partial),Examinations (non-routine),Examinations (routine),Fluoride Treatments,Implants,Inlays &amp; Onlays,Oral Surgery,Orthodontia,Periodontal Scaling &amp; Root Planing,Periodontal Surgery,Root Canals,Space Maintainers,Tooth Extractions,Tooth Sealants,Topical Fluoride Treatments,X-Rays - Bitewings,X-Rays - Full-Mouth, Panorex,X-Rays - Periapical</t>
  </si>
  <si>
    <t>1 every 24 months</t>
  </si>
  <si>
    <t>Not in lieu of any allowance</t>
  </si>
  <si>
    <t>Uncertainty</t>
  </si>
  <si>
    <t>Cadillac Tax</t>
  </si>
  <si>
    <t>Anthem PPO</t>
  </si>
  <si>
    <t>Balanced billed amounts (not covered by plan),Premiums</t>
  </si>
  <si>
    <t>Embedded</t>
  </si>
  <si>
    <t>90 Day supply</t>
  </si>
  <si>
    <t>Carved out</t>
  </si>
  <si>
    <t>Anthem HSP</t>
  </si>
  <si>
    <t>Kaiser HMO California</t>
  </si>
  <si>
    <t>Kaiser HMO Oregon</t>
  </si>
  <si>
    <t>Out-of-network payments,Balanced billed amounts (not covered by plan),Premiums</t>
  </si>
  <si>
    <t>Not covered - minimum age is 18</t>
  </si>
  <si>
    <t>Always covered - no medical review required</t>
  </si>
  <si>
    <t>Medical review required after specified number of treatments</t>
  </si>
  <si>
    <t>Individual must participate in your company's external vendor partner infertility or reproductive care management program</t>
  </si>
  <si>
    <t>Currently Covered</t>
  </si>
  <si>
    <t>Female member’s ovary stimulation and retrieval of eggs,Male member retrieval of sperm,Implantation of eggs or oocytes or donor sperm into a host uterus,Fees for the use of a gestational carrier/surrogate</t>
  </si>
  <si>
    <t>Providers who have met established qualifications (e.g., certified ABA provider),Providers who perform services in consultation with certified providers (e.g., therapy assistants),Clinically licensed professionals, such as select Doctorate and Master‘s prepared providers,If a certified provider is not available, the plan may cover services performed by a non-certified provider under the supervision of a certified provider</t>
  </si>
  <si>
    <t>How much does Company contribute? -Employee only coverage: $1,250 -Employee + family coverage: $2,500 When you enroll as a new hire or during a life event, the money is pro-rated by the number of pay period remaining in the year</t>
  </si>
  <si>
    <t>Follow-up communication,Re-solicit for midyear enrollment</t>
  </si>
  <si>
    <t>No, and this is not a goal</t>
  </si>
  <si>
    <t>HSA “how-to” Guide</t>
  </si>
  <si>
    <t>Contribution limits,Understanding the tax benefits of the HSA</t>
  </si>
  <si>
    <t>Preventive,Basic,Major</t>
  </si>
  <si>
    <t>Children to age 18 ,Children to age 26,Adults</t>
  </si>
  <si>
    <t>3 Per Year</t>
  </si>
  <si>
    <t>1 every calendar year</t>
  </si>
  <si>
    <t>Reporting</t>
  </si>
  <si>
    <t>Updates to the policy given the new administration</t>
  </si>
  <si>
    <t>Cigna OAP</t>
  </si>
  <si>
    <t>Co-payments,Deductibles,Out-of-network payments,Non-emergency ER charges</t>
  </si>
  <si>
    <t>Cigna OAP-in</t>
  </si>
  <si>
    <t>intern insurance coverage</t>
  </si>
  <si>
    <t>PPO</t>
  </si>
  <si>
    <t>Specialty medication program</t>
  </si>
  <si>
    <t>Preventive,Maintenance</t>
  </si>
  <si>
    <t>HDHP with HSA</t>
  </si>
  <si>
    <t>Quantity limits,Specialty medication program</t>
  </si>
  <si>
    <t>Kaiser Permanente HMO</t>
  </si>
  <si>
    <t>Inpatient: $500 copay per admission Outpatient: $20 copay or $10 copay for group therapy</t>
  </si>
  <si>
    <t>Medical review/prior authorization,Quantity limits</t>
  </si>
  <si>
    <t>Covered for medical condition treatment (e.g., back pain)</t>
  </si>
  <si>
    <t>Covered for medical condition treatment and maintenance (e.g., pain management)</t>
  </si>
  <si>
    <t>Procedure must performed by a designated center of excellence (COE),Individual must participate in your company's health plan administrator's (e.g., UHC, Aetna, Cigna) infertility or reproductive care management program,Medical review or prior authorization required</t>
  </si>
  <si>
    <t>Employee's HDHP medical plan coverage election level (e.g., employee only, employee + family),Plan entry date,Employee's personal contribution amount</t>
  </si>
  <si>
    <t>EFTs, stocks, bonds, and options</t>
  </si>
  <si>
    <t>No minimum required</t>
  </si>
  <si>
    <t>None – we do not have a specific HSA education program</t>
  </si>
  <si>
    <t>Platform change &amp; included behavioral health &amp; psychiatry</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</si>
  <si>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guards,Oral Surgery,Orthodontia,Periodontal Scaling &amp; Root Planing,Root Canals,Space Maintainers,Tooth Extractions,Tooth Sealants,Topical Fluoride Treatments,X-Rays - Bitewings,X-Rays - Full-Mouth, Panorex,X-Rays - Periapical</t>
  </si>
  <si>
    <t>Custom Progressive Lenses,Premium Progressive Lenses,Standard Progressive Lenses</t>
  </si>
  <si>
    <t>In lieu of eyeglass frame allowance</t>
  </si>
  <si>
    <t>ACA reporting</t>
  </si>
  <si>
    <t>ACA and state laws and regulations</t>
  </si>
  <si>
    <t>Plus PPO</t>
  </si>
  <si>
    <t>Saver PPO</t>
  </si>
  <si>
    <t>Quantity limits,Auto-refill,90 Day supply</t>
  </si>
  <si>
    <t>Out-of-network payments,Premiums,Non-emergency ER charges</t>
  </si>
  <si>
    <t>ER</t>
  </si>
  <si>
    <t>When deemed medically necessary - pre-authorization is required,After a designated period of time (e.g., every 3 years) ,Due to usual wear and tear ,If a device is lost or damaged (not caused by usual wear and tear)</t>
  </si>
  <si>
    <t>Female member’s ovary stimulation and retrieval of eggs,Male member retrieval of sperm,Implantation of eggs or oocytes or donor sperm into a host uterus,Cost of donor eggs/donor sperm used for surrogate parenting</t>
  </si>
  <si>
    <t>Providers who have met established qualifications (e.g., certified ABA provider),Clinically licensed professionals, such as select Doctorate and Master‘s prepared providers</t>
  </si>
  <si>
    <t>Employee's HDHP medical plan coverage election level (e.g., employee only, employee + family)</t>
  </si>
  <si>
    <t>The information is in a table and not able to be displayed in this survey format.</t>
  </si>
  <si>
    <t>Follow-up communication</t>
  </si>
  <si>
    <t>Videos,Webinars</t>
  </si>
  <si>
    <t>Family practice or general physician,Mental health,Nutritional counseling</t>
  </si>
  <si>
    <t>No cost share for PPO members or after deductible is met for HDHP when using telehealth visits for GP or mental health.</t>
  </si>
  <si>
    <t>PPO option(s) access only</t>
  </si>
  <si>
    <t>Years of service plus age must reach threshold</t>
  </si>
  <si>
    <t>5 years of service and 55 at time of retirement or if you turn 55 while continuing through company COBRA.</t>
  </si>
  <si>
    <t>Basic,Major,Orthodontia,Out-of-Network charges exceeding UCR</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</si>
  <si>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Panorex,X-Rays - Periapical</t>
  </si>
  <si>
    <t>Once Every 3 Months</t>
  </si>
  <si>
    <t>Once Every 6 Months</t>
  </si>
  <si>
    <t>4 Per Year</t>
  </si>
  <si>
    <t>Complying with the latest transparency rules under ACA provisions and the CAA requirements.</t>
  </si>
  <si>
    <t>shifting more cost to employers and price transparency for pharmacy</t>
  </si>
  <si>
    <t>Mail order</t>
  </si>
  <si>
    <t>Step therapy,Medical review/prior authorization,Quantity limits,Mail order,90 Day supply</t>
  </si>
  <si>
    <t>Step therapy,Medical review/prior authorization,Quantity limits,Specialty medication program,Mail order</t>
  </si>
  <si>
    <t>Step therapy,Medical review/prior authorization,Quantity limits,Mail order</t>
  </si>
  <si>
    <t>HDHP2</t>
  </si>
  <si>
    <t>HDHP1, Kaiser HDHP CA, Kaiser HDHP NW</t>
  </si>
  <si>
    <t>Kaiser DHMO CA</t>
  </si>
  <si>
    <t>Kaiser DHMO NW</t>
  </si>
  <si>
    <t>ER,Urgent office visit</t>
  </si>
  <si>
    <t>When deemed medically necessary - pre-authorization is required</t>
  </si>
  <si>
    <t>Individual must participate in your company's health plan administrator's (e.g., UHC, Aetna, Cigna) infertility or reproductive care management program,Medical review or prior authorization required</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</si>
  <si>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ZIFT),Ovulation Induction</t>
  </si>
  <si>
    <t>Pregnancy services for a gestational carrier or surrogate who is not covered by the plan</t>
  </si>
  <si>
    <t>Vision therapy</t>
  </si>
  <si>
    <t>Not applicable - no account maintenance fee charged</t>
  </si>
  <si>
    <t>At weekly New Hire Orientation, Open Enrollment, and as needed</t>
  </si>
  <si>
    <t>Implemented Crossover's virtual care</t>
  </si>
  <si>
    <t>Yes, different plans are offered to Medicare and non-Medicare eligible retirees</t>
  </si>
  <si>
    <t>Children to age 26</t>
  </si>
  <si>
    <t>Custom Progressive Lenses,Retinal Screening (Diabetic),Retinal Screening (Non-Diabetic),Standard Progressive Lenses</t>
  </si>
  <si>
    <t>UHC Choice Plus PPO</t>
  </si>
  <si>
    <t>UHC Choice Plus High Deductible PPO Plan</t>
  </si>
  <si>
    <t>UHC EPO Plan</t>
  </si>
  <si>
    <t>Balanced billed amounts (not covered by plan),Premiums,Non-emergency ER charges</t>
  </si>
  <si>
    <t>Kaiser CA</t>
  </si>
  <si>
    <t>Kaiser NW; Kaiser CA HSAO</t>
  </si>
  <si>
    <t>UHC Out of Area Plan</t>
  </si>
  <si>
    <t>Step therapy,Mail order</t>
  </si>
  <si>
    <t>Female member’s ovary stimulation and retrieval of eggs,Male member retrieval of sperm,Implantation of eggs or oocytes or donor sperm into a host uterus,Fees for the use of a gestational carrier/surrogate,Cost of donor eggs/donor sperm used for surrogate parenting</t>
  </si>
  <si>
    <t xml:space="preserve">Services and therapies associated with learning and activities such as art, dance, music, swimming, etc. </t>
  </si>
  <si>
    <t>Providers who have met established qualifications (e.g., certified ABA provider),Clinically licensed professionals, such as select Doctorate and Master‘s prepared providers,If a certified provider is not available, the plan may cover services performed by a non-certified provider under the supervision of a certified provider</t>
  </si>
  <si>
    <t>Family practice or general physician,Specialist,Mental health</t>
  </si>
  <si>
    <t>HMO &amp; PPO option(s) access only</t>
  </si>
  <si>
    <t>extra time necessary to do the reporting (both the 1095s, 1094; but also the internal tax memos we need to do)</t>
  </si>
  <si>
    <t>UHC Choice Plus</t>
  </si>
  <si>
    <t>UHC HSA Advantage Plan</t>
  </si>
  <si>
    <t>Kaiser Northern California</t>
  </si>
  <si>
    <t>Kaiser Southern California Tufts in MA</t>
  </si>
  <si>
    <t>Mental Health - Outpatient group copay is $10 Substance Abuse -  Outpatient group copay is $5</t>
  </si>
  <si>
    <t>Procedure must performed by a designated center of excellence (COE),Individual must participate in your company's health plan administrator's (e.g., UHC, Aetna, Cigna) infertility or reproductive care management program,Individual must participate in your company's external vendor partner infertility or reproductive care management program</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</si>
  <si>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ZIFT),Preimplantation Genetic Screening (PGS)</t>
  </si>
  <si>
    <t>Female member’s ovary stimulation and retrieval of eggs,Male member retrieval of sperm,Implantation of eggs or oocytes or donor sperm into a host uterus</t>
  </si>
  <si>
    <t>Providers who have met established qualifications (e.g., certified ABA provider),Providers who perform services in consultation with certified providers (e.g., therapy assistants),If a certified provider is not available, the plan may cover services performed by a non-certified provider under the supervision of a certified provider</t>
  </si>
  <si>
    <t>Website:  How do I get the employer contribution? When you enroll in the UHC HSA Advantage Plan, an OptumBank Health Savings Account will be set up for you. Company will automatically contribute to your HSA each January. Your contributions will be added and accrue over the course of the year. In 2021, Company will deposit up to $1,000 annually for individual coverage and up to $2,000 annually for family coverage. Company contributions to the HSA are pro-rated based on your effective date on the HSA. ******* Benefits User Guide:  Company contributes to your Health Savings Account, depositing the full annual amount the first pay period of the year - is yours to save or use right away for eligible healthcare expenses (never forfeited): -- $1,000 (individual coverage) or $2,000 (employee + one or more)</t>
  </si>
  <si>
    <t>Many times throughout the year</t>
  </si>
  <si>
    <t>Understanding the tax benefits of the HSA,Investing HSA assets</t>
  </si>
  <si>
    <t>Offering soon</t>
  </si>
  <si>
    <t>Continuation of active plan access only</t>
  </si>
  <si>
    <t>At this time health care reform is not a major issue for our company.</t>
  </si>
  <si>
    <t>We're interested in understanding where things stand with health care reform.</t>
  </si>
  <si>
    <t>Traditional PPO</t>
  </si>
  <si>
    <t>Optimal Plan</t>
  </si>
  <si>
    <t>Smart Saver Plan</t>
  </si>
  <si>
    <t>New carve out for 2022</t>
  </si>
  <si>
    <t>Kaiser HMO Plan</t>
  </si>
  <si>
    <t>Kaiser HMO HSA Compatible</t>
  </si>
  <si>
    <t>Duodenal switch,Gastric bypass,Gastric Sleeve Procedure,Lap Adjustable Gastric Bands,Vertical banded gastroplasty</t>
  </si>
  <si>
    <t xml:space="preserve">When deemed medically necessary - pre-authorization is required,After a designated period of time (e.g., every 3 years) </t>
  </si>
  <si>
    <t>Clinically licensed professionals, such as select Doctorate and Master‘s prepared providers</t>
  </si>
  <si>
    <t>Emails,Flyers,Videos,Webinars</t>
  </si>
  <si>
    <t>Contribution limits,Understanding the tax benefits of the HSA,Investing HSA assets</t>
  </si>
  <si>
    <t>Current medical plan coverage continues during ex-pat assignment</t>
  </si>
  <si>
    <t>Step therapy,Medical review/prior authorization,Quantity limits,90 Day supply</t>
  </si>
  <si>
    <t>Quantity limits,90 Day supply</t>
  </si>
  <si>
    <t>UHC Out-of-Area</t>
  </si>
  <si>
    <t>age 50 plus 5 years of service</t>
  </si>
  <si>
    <t>Cigna PPO</t>
  </si>
  <si>
    <t>Step therapy,Medical review/prior authorization,Specialty medication program,Mail order</t>
  </si>
  <si>
    <t>Cigna Consumer Choice HDHP w/ HSA</t>
  </si>
  <si>
    <t>Step therapy,Medical review/prior authorization,Specialty medication program</t>
  </si>
  <si>
    <t>Cigna Exclusive Access Plan</t>
  </si>
  <si>
    <t>Gastric bypass</t>
  </si>
  <si>
    <t>After a designated period of time (e.g., every 3 years) ,Due to usual wear and tear ,If a device is lost or damaged (not caused by usual wear and tear)</t>
  </si>
  <si>
    <t>Not covered after specified number of treatments</t>
  </si>
  <si>
    <t>Procedure must performed by a designated center of excellence (COE)</t>
  </si>
  <si>
    <t>Implantation of eggs or oocytes or donor sperm into a host uterus</t>
  </si>
  <si>
    <t>$1000 for employee only enrollment and $1700 for family enrollment. Contributions will be pro-rated for benefits effective February 1st or later.</t>
  </si>
  <si>
    <t>HSA “how-to” Guide,Presentations</t>
  </si>
  <si>
    <t>Amalgam Fillings,Anesthesia/Sedation,Bridgework,Cleanings (Prophylaxis),Composite Fillings (White Fillings),Crowns,Denture Repair,Dentures (Relines &amp; Rebases),Dentures (Removable &amp; Partial),Examinations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Panorex,X-Rays - Periapical</t>
  </si>
  <si>
    <t>Reporting (1095/1094) on the federal and individual state level as more and more states require it</t>
  </si>
  <si>
    <t>Coverage Mandates</t>
  </si>
  <si>
    <t>PPO Plan</t>
  </si>
  <si>
    <t>Quantity limits,Mail order,90 Day supply,Custom formulary (e.g., "no waste")</t>
  </si>
  <si>
    <t>Quantity limits,Mail order,90 Day supply</t>
  </si>
  <si>
    <t>Reduced cost</t>
  </si>
  <si>
    <t>Health Fund</t>
  </si>
  <si>
    <t>Step therapy,Medical review/prior authorization,Quantity limits,Specialty medication program,Custom formulary (e.g., "no waste")</t>
  </si>
  <si>
    <t>Indemnity Plan</t>
  </si>
  <si>
    <t xml:space="preserve">Due to usual wear and tear ,If a device is lost or damaged (not caused by usual wear and tear),When current model is replaced </t>
  </si>
  <si>
    <t>Social skills classes and groups,Floor time,RDI,PECs</t>
  </si>
  <si>
    <t>Services checked above are only coverd if it's a component of an overall ABA plan that met medical necessity and rendered by an approved provider.</t>
  </si>
  <si>
    <t>Providers who have met established qualifications (e.g., certified ABA provider),Providers who perform services in consultation with certified providers (e.g., therapy assistants),Clinically licensed professionals, such as select Doctorate and Master‘s prepared providers</t>
  </si>
  <si>
    <t>Company HSA Contribution: You only: $750 You + dependents: $1,500 Good to know: You'll receive your HSA contributions in two payments   $500 in January and $250 in February if you cover yourself only, or $1,000 in January and $500 in February if you cover yourself and dependents. Note: If you are newly hired and have enrolled in the Health Fund medical plan, Company's contribution to your HSA will be available in your  account within the first week of the month after your HSA enrollment is effective. Company's contributions are prorated based on date of hire. So, if you started June 1, you'd get half of the contribution.</t>
  </si>
  <si>
    <t>Emails,Presentations,Videos,Group presentations</t>
  </si>
  <si>
    <t>Family practice or general physician,Mental health,Other</t>
  </si>
  <si>
    <t>Dermatology and Global Care (access to US doctor when traveling internationally).</t>
  </si>
  <si>
    <t>Allowed coverage for virtual visits through traditional providers (in addition to our telemedicine provider) and temporary waived cost share for visits through our telemedicine partner.</t>
  </si>
  <si>
    <t>Grandfathered access only (plan enrollment ended 12/31/17) - 5 years + age 50</t>
  </si>
  <si>
    <t>Preventive,Basic,Major,Orthodontia</t>
  </si>
  <si>
    <t>1 every other calendar year</t>
  </si>
  <si>
    <t>The administration and cost of the employer requirements, i.e. tax forms and reporting.</t>
  </si>
  <si>
    <t>Changes in employer requirements.</t>
  </si>
  <si>
    <t>Aetna Choice POS II</t>
  </si>
  <si>
    <t>Reduced</t>
  </si>
  <si>
    <t>Aetna HDHP</t>
  </si>
  <si>
    <t>Kaiser WA</t>
  </si>
  <si>
    <t>Autism/applied behavioral analysis (ABA),ER,Urgent office visit</t>
  </si>
  <si>
    <t>Gastric bypass,Gastric sleeve procedure,Lap adjustable gastric bands,Vertical banded gastroplasty</t>
  </si>
  <si>
    <t>Gastric bypass,Gastric Sleeve Procedure,Lap Adjustable Gastric Bands,Vertical banded gastroplasty</t>
  </si>
  <si>
    <t>Medical Review/Prior Authorization Required</t>
  </si>
  <si>
    <t>Diagnosis of underlying cause of the infertility,Insemination procedures (e.g., Artificial insemination (AI), Intra Uterine Insemination (IUI)),Ovulation Induction</t>
  </si>
  <si>
    <t>Company will contribute up to $750 to your HSA if you enroll in the Aetna HDHP as an individual. If you enroll you and your dependent(s) in the Aetna HDHP, Company will contribute up to $1,500 into your HSA. </t>
  </si>
  <si>
    <t>Contribution limits,Spending down the FSA before the HSA,Understanding the tax benefits of the HSA</t>
  </si>
  <si>
    <t>Preventive,Basic,Major,Out-of-Network charges exceeding UCR</t>
  </si>
  <si>
    <t>Amalgam Fillings,Anesthesia/Sedation,Bridgework,Cleanings (Prophylaxis),Crowns,Denture Repair,Dentures (Relines &amp; Rebases),Dentures (Removable &amp; Partial),Examinations (non-routine),Examinations (routine),Fluoride Treatments,Implants,Inlays &amp; Onlays,Oral Surgery,Orthodontia,Periodontal Scaling &amp; Root Planing,Periodontal Surgery,Root Canals,Space Maintainers,Tooth Extractions,Tooth Sealants,Topical Fluoride Treatments,X-Rays - Bitewings,X-Rays - Full-Mouth, Panorex,X-Rays - Periapical</t>
  </si>
  <si>
    <t>Changing requirements, reporting</t>
  </si>
  <si>
    <t>Updated requirements</t>
  </si>
  <si>
    <t>Company PPO Plan</t>
  </si>
  <si>
    <t>Chronic condition(s) or illness</t>
  </si>
  <si>
    <t>Company PPO with Health Savings Account (HSA)</t>
  </si>
  <si>
    <t>Kaiser Southern California, Select Health</t>
  </si>
  <si>
    <t>Cigna International Plan</t>
  </si>
  <si>
    <t>To help you meet the higher deductible in the Company PPO with HSA, Company contributes $550 for individual coverage or $1,100 for family coverage into a Health Savings Account (HSA) on your behalf. Your HSA is administered by Health Equity.  You can use the HSA to pay for qualified medical expenses, including deductibles and copays. You can also keep it for future expenses, even into retirement.  Your contributions to the HSA are tax-free. Company's contributions are made at the beginning of each plan year; or, if you are newly enrolled, at the next one or two pay periods after your enrollment. For 2020, the maximum total annual contribution that can be made to your HSA (your contributions and Company's combined) is $3,550 for employee-only coverage and $7,100 if you cover dependents. If you will be age 55 or older in 2020, you can make an additional "catch-up" contribution of $1,000. You earn tax-free interest or investment returns on your HSA balance. Any money in your HSA that you don't spend stays in your account to help you save for future medical and retiree health care expenses. Your HSA belongs to you. You take it with you if you leave the plan, leave the company or retire.</t>
  </si>
  <si>
    <t>Emails,Presentations,Videos,Webinars</t>
  </si>
  <si>
    <t>Understanding the tax benefits of the HSA,Investing HSA assets,High Deducible Healthcare Plan “Shoeboxing” – paying expenses out-of-pocket and saving receipts for reimbursement later</t>
  </si>
  <si>
    <t>Covered carrier-specific virtual care visits at 100% before deductible for both PPO and HDHP (ex. Anthem's LHO visits were covered at 100%)</t>
  </si>
  <si>
    <t>Amalgam Fillings,Anesthesia/Sedation,Bridgework,Cleanings (Prophylaxis),Composite Fillings (White Fillings),Crowns,Denture Repair,Dentures (Relines &amp; Rebases),Dentures (Removable &amp; Partial),Examinations (routine),Fluoride Treatments,Implants,Inlays &amp; Onlays,Oral Surgery,Orthodontia,Periodontal Scaling &amp; Root Planing,Periodontal Surgery,Root Canals,Space Maintainers,Tooth Extractions,Tooth Sealants,Topical Fluoride Treatments,X-Rays - Bitewings,X-Rays - Full-Mouth, Panorex,X-Rays - Periapical</t>
  </si>
  <si>
    <t>Retinal Screening (Diabetic)</t>
  </si>
  <si>
    <t>Reporting and disclosure tasks such as 1094 and SBC's.  Also, tracking the impact of the Cadillac tax which has now been repealed.</t>
  </si>
  <si>
    <t>Any changes to reporting and disclosure requirements.</t>
  </si>
  <si>
    <t>Out-of-network per family</t>
  </si>
  <si>
    <t>Cigna HSA</t>
  </si>
  <si>
    <t xml:space="preserve">When deemed medically necessary - pre-authorization is required,After a designated period of time (e.g., every 3 years) ,Due to usual wear and tear </t>
  </si>
  <si>
    <t>Covered for medical condition treatment (e.g., back pain),Covered for medical condition maintenance  ,Medical review required after specified number of treatments</t>
  </si>
  <si>
    <t>Covered for medical condition treatment and maintenance (e.g., pain management),Medical review required after specified number of treatments</t>
  </si>
  <si>
    <t>Our vendor is not the best with their ACA system</t>
  </si>
  <si>
    <t>New ACA vendors</t>
  </si>
  <si>
    <t>PPO (In and out of network)</t>
  </si>
  <si>
    <t>HDHP</t>
  </si>
  <si>
    <t>EPO (In-network Only)</t>
  </si>
  <si>
    <t>Kaiser NorCal HMO</t>
  </si>
  <si>
    <t>Kaiser SoCal HMO, Kaiser WA HMO, HMSA</t>
  </si>
  <si>
    <t>Always covered - no medical review required,Not covered after specified number of treatments</t>
  </si>
  <si>
    <t>Female member’s ovary stimulation and retrieval of eggs,Male member retrieval of sperm,Cost of donor eggs/donor sperm used for surrogate parenting</t>
  </si>
  <si>
    <t>Services and therapies associated with learning and activities such as art, dance, music, swimming, etc. ,Floor time,Aqua therapy</t>
  </si>
  <si>
    <t>Contribution limits,Choosing between contributing to the HSA vs. the 401(k) plan,Spending down the FSA before the HSA,Understanding the tax benefits of the HSA,Investing HSA assets,High Deducible Healthcare Plan “Shoeboxing” – paying expenses out-of-pocket and saving receipts for reimbursement later</t>
  </si>
  <si>
    <t>Family practice or general physician,Specialist,Mental health,Nutritional counseling,Other</t>
  </si>
  <si>
    <t>Our Lyra benefit offers virtual therapy visits, some onsite services are offered virtually for existing patients including mental health, psychiatry and health coaching.  Fitness team offers virtual dietitian appointments for existing participants.</t>
  </si>
  <si>
    <t>We already had Teladoc in place and Plushcare available through Accolade. We also piloted a virtual care model with Crossover in Austin and New York in 2021.</t>
  </si>
  <si>
    <t>Basic,Major,Orthodontia</t>
  </si>
  <si>
    <t>Yes - allowance offered (for both eyes)</t>
  </si>
  <si>
    <t>Ongoing uncertainty with things such as drug price transparency and governance</t>
  </si>
  <si>
    <t>PBM management - drug price transparency</t>
  </si>
  <si>
    <t>Balanced billed amounts (not covered by plan),Penalties (e.g., non-notification penalties)</t>
  </si>
  <si>
    <t>Mail order,Auto-refill,90 Day supply,Custom formulary (e.g., "no waste")</t>
  </si>
  <si>
    <t>Specialty medication program,Mail order,Auto-refill,Custom formulary (e.g., "no waste")</t>
  </si>
  <si>
    <t>Anthem gHIP</t>
  </si>
  <si>
    <t>Anthem EPO</t>
  </si>
  <si>
    <t>Mail order,Auto-refill,Custom formulary (e.g., "no waste")</t>
  </si>
  <si>
    <t>Kaiser Hawaii</t>
  </si>
  <si>
    <t>Mail order,Auto-refill,90 Day supply</t>
  </si>
  <si>
    <t>Medical review/prior authorization,Quantity limits,Mail order,Auto-refill,90 Day supply</t>
  </si>
  <si>
    <t>Covered - preventive</t>
  </si>
  <si>
    <t>Prevention</t>
  </si>
  <si>
    <t>You can save your tax-advantage funds from year to year and decide when you want to use them for your qualified medical expenses with a Health Savings Accounts (HSA).  For those enrolled in an eligible health plan, EMPLOYER contributes to your HSA each calendar year. EMPLOYER's contribution isn't prorated depending on your plan enrollment start date.  You can also make contributions from your paycheck, and save pre-tax dollars for your healthcare needs of today or tomorrow, even into retirement. To schedule or make changes to HSA contributions throughout the year, simply log on to (HSA PAGE LINK).</t>
  </si>
  <si>
    <t>Emails,Presentations,Other</t>
  </si>
  <si>
    <t>We offer a third party financial coaching program which includes HSA as part of their education.</t>
  </si>
  <si>
    <t>Reporting and disclosures</t>
  </si>
  <si>
    <t>Easing the reporting and disclosure requirements</t>
  </si>
  <si>
    <t>PPO $750</t>
  </si>
  <si>
    <t>MyBind Health</t>
  </si>
  <si>
    <t>Step therapy,Medical review/prior authorization</t>
  </si>
  <si>
    <t>$2,000 HDHP + HSA</t>
  </si>
  <si>
    <t>11+</t>
  </si>
  <si>
    <t>Kaiser Foundation HP of N.CA</t>
  </si>
  <si>
    <t>Kaiser Foundation HP of GA, Tufts Associated Health Plans, Kaiser Foundation HP of S.CA, Harvard Pilgrim Health Care, Kaiser Fndtn HP/Mid-Atlantic, Kaiser Fndtn of WA, Kaiser Permanente-Hawaii, Kaiser Permanente-NW Region, Kaiser Foundation HP of CO,</t>
  </si>
  <si>
    <t>Penalties (e.g., non-notification penalties),Premiums</t>
  </si>
  <si>
    <t>If you participate in the HDHP + HSA option, the plan includes a Health Savings Account (HSA) that is funded by Company and available to help pay your out of pocket expenses during the year. Company funds your HSA with $500 per year if you have coverage for you only, or $1,000 per year if you re also covering family members. You can also earn an additional $100 in your HSA if you complete an eligible cancer screening during the year. If you don t use all of your HSA by year end, the remaining balance will roll over to your account for the next year.  The HSA account is owned by you and is never forfeited.</t>
  </si>
  <si>
    <t>Family practice or general physician,Specialist,Mental health,Other</t>
  </si>
  <si>
    <t>dermatology</t>
  </si>
  <si>
    <t>Mental health coaching</t>
  </si>
  <si>
    <t>55 and 10 years of service</t>
  </si>
  <si>
    <t>Cost containment</t>
  </si>
  <si>
    <t>Anthem Silver CDHP</t>
  </si>
  <si>
    <t>Anthem Bronze CDHP</t>
  </si>
  <si>
    <t xml:space="preserve">When deemed medically necessary - pre-authorization is required,Due to usual wear and tear </t>
  </si>
  <si>
    <t>Diagnosis of underlying cause of the infertility,Medical/Surgical procedures to correct the underlying cause of infertility (e.g., treat pelvic mass, thyroid disease, etc.)</t>
  </si>
  <si>
    <t>Oral prescriptions not covered</t>
  </si>
  <si>
    <t>Covers the Denver Model, ABA</t>
  </si>
  <si>
    <t>The maximum contribution for 2021 is $3,600 Single or $7,200 Family. Company will contribute to your HSA regardless of the plan you choose. Company will deposit half of that contribution to your HSA in January and the remaining half in July of 2021 for all employees enrolled as of January 1, 2021.</t>
  </si>
  <si>
    <t>Continuation of active plan with subsidy</t>
  </si>
  <si>
    <t>Once Every 4 Years</t>
  </si>
  <si>
    <t>Challenges with ACA Vendor processing data necessary for the reporting that is still required.</t>
  </si>
  <si>
    <t>Anthem BCBS Value PPO</t>
  </si>
  <si>
    <t>Aetna Value PPO Aetna Premium PPO BCBS Premium PPO Cigna Value PPO  Cigna Premium PPO  HMSA PPO  Note: Company offers 2 different PPO plan designs, but across different carriers, which is why we have indicated the # to be 6 (consistent with 2019 response format)</t>
  </si>
  <si>
    <t>Step therapy,Medical review/prior authorization,Quantity limits,Mail order,Auto-refill,90 Day supply</t>
  </si>
  <si>
    <t>Step therapy,Medical review/prior authorization,Quantity limits,Specialty medication program,Mail order,Auto-refill,90 Day supply</t>
  </si>
  <si>
    <t>Anthem BCBS HDHP w/HSA</t>
  </si>
  <si>
    <t>Aetna HDHP w/ HSA Cigna HDHP w/HSA  Note: Company offers 1 HDHP plan designs, but across different carriers, which is why we have indicated the # to be 3 (consistent with 2020 response format)</t>
  </si>
  <si>
    <t>Step therapy,Medical review/prior authorization,Mail order,Auto-refill,90 Day supply</t>
  </si>
  <si>
    <t>Aetna EPO</t>
  </si>
  <si>
    <t>Anthem BCBS EPO CIGNA EPO  Note: Company offers 1 EPO plan designs, but across different carriers, which is why we have indicated the # to be 3 (consistent with 2019 response format)</t>
  </si>
  <si>
    <t>Blue Essentials HMO Kaiser HMO (Mid-Atlantic) Kaiser HMO (Colorado) Kaiser HMO (Georgia) Kaiser HMO (Northern California) Kaiser HMO (Southern California) Kaiser HMO (Hawaii) Kaiser HMO (Northwest) Tufts HMO</t>
  </si>
  <si>
    <t>Quantity limits,Mail order,Auto-refill,90 Day supply</t>
  </si>
  <si>
    <t>Anthem BCBS Premium CMP</t>
  </si>
  <si>
    <t>Gastric bypass,Gastric sleeve procedure</t>
  </si>
  <si>
    <t>Never - replacement devices are not covered</t>
  </si>
  <si>
    <t>The HSA, is a personal account that allows you to set aside tax-free* money, on top of your employer s contributions, to pay for qualified health care expenses now, or at any time in the future  even in retirement. You decide how much money you want to save in your HSA, and you can change your contributions at any time. Even if you choose not to contribute, your employer still contributes to your HSA monthly, up to $500 per year if you re covering only yourself or $1,000 if you re covering any dependents.</t>
  </si>
  <si>
    <t>Offered Telemedine to employees through Grand Rounds by Included Health</t>
  </si>
  <si>
    <t>Setting a strategy to mitigate possible excise tax given legislative uncertainty.</t>
  </si>
  <si>
    <t>Excise tax, reporting requirements</t>
  </si>
  <si>
    <t>Connected Care Providence Primary Care Plus (OR)</t>
  </si>
  <si>
    <t>Connected Care ACN PCP (AZ) Connected Care Co-Pay OR Kaiser  Connected Care Co-Pay New Mexico</t>
  </si>
  <si>
    <t>Step therapy</t>
  </si>
  <si>
    <t>Anthem HDHP</t>
  </si>
  <si>
    <t>Cigna HDHP Plus we have 4 regionally based ACO HDHP - Connected Care Oregon HDHP, Connected Care Arizona HDHP, Connected Care New Mexico HDHP, and Connected Care California HDHP.</t>
  </si>
  <si>
    <t>Aetna AZ, Presbyterian NM</t>
  </si>
  <si>
    <t>Female member’s ovary stimulation and retrieval of eggs,Male member retrieval of sperm,Fees for the use of a gestational carrier/surrogate,Cost of donor eggs/donor sperm used for surrogate parenting</t>
  </si>
  <si>
    <t>Waived Cost Share</t>
  </si>
  <si>
    <t>Adapting to changing legislation.</t>
  </si>
  <si>
    <t>Surprise Billing, Prescription Drug Cost and Price Transparency Legislation.</t>
  </si>
  <si>
    <t>CIGNA Select PPO</t>
  </si>
  <si>
    <t>CIGNA HSA Plan</t>
  </si>
  <si>
    <t>Cigna Managed Network Plan</t>
  </si>
  <si>
    <t>Always covered - no medical review required,Covered for medical condition treatment and maintenance (e.g., pain management),Prevention,Medical review required after specified number of treatments,Not covered after specified number of treatments</t>
  </si>
  <si>
    <t>$0 cost share for mental health</t>
  </si>
  <si>
    <t>None - Plan pays 50%, up to 24-month lifetime maximum for comprehensive treatment and maintenance</t>
  </si>
  <si>
    <t>$50 reimbursement</t>
  </si>
  <si>
    <t>the administration related to tracking hours for the measurement period for our seasonal, intern and co-op population</t>
  </si>
  <si>
    <t>Company PPO</t>
  </si>
  <si>
    <t>Company HDHP</t>
  </si>
  <si>
    <t>Company EPO</t>
  </si>
  <si>
    <t>Company MA EPO</t>
  </si>
  <si>
    <t>Kaiser of California</t>
  </si>
  <si>
    <t>Kaiser Mid Atlantic States (Maryland, Virginia)</t>
  </si>
  <si>
    <t>Biliopancreatic bypass,Duodenal switch,Gastric bypass,Gastric sleeve procedure,Lap adjustable gastric bands</t>
  </si>
  <si>
    <t>Biliopancreatic bypass,Duodenal switch,Gastric bypass,Gastric Sleeve Procedure,Lap Adjustable Gastric Bands</t>
  </si>
  <si>
    <t>Company Contribution:  If as of January 1st, 2022 you are covering yourself only, Company contributes $1000 to your Health Savings Account. If you are covering one or more dependents, Company contributes $2000. The contribution is pro-rated ($83.33/$166.66 per month) for mid-year enrollments. Example: If you enroll with a July 2021 effective date, the contributions would be $500 or $1000, depending on the coverage tier elected.  Company's contribution counts toward the IRS annual maximum and, in some states, is taxable. Company funds employer contributions in one lump sum once a month at the end of each month. You do not have to contribute to the HSA to receive Company s contribution, but you do need to verify that you re eligible to contribute.</t>
  </si>
  <si>
    <t xml:space="preserve">Contribution limits,Choosing between contributing to the HSA vs. the 401(k) plan,Understanding the tax benefits of the HSA,Medicare impact on HSA contributions </t>
  </si>
  <si>
    <t>Family practice or general physician</t>
  </si>
  <si>
    <t>Added BH/MH to telemedicine Services</t>
  </si>
  <si>
    <t>In lieu of eyeglass lens allowance</t>
  </si>
  <si>
    <t>Document filings</t>
  </si>
  <si>
    <t>HDHP Option 2</t>
  </si>
  <si>
    <t>HDHP Option 1</t>
  </si>
  <si>
    <t>Kaiser Colorado, Kaiser Hawaii, Kaiser Washington</t>
  </si>
  <si>
    <t>Out-of-network per person</t>
  </si>
  <si>
    <t>Kaiser California HDHP Kaiser Colorado Kaiser Colorado HDHP Kaiser Hawaii Kaiser Washington  Kaiser Washington HDHP</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</si>
  <si>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ZIFT),Ovulation Induction,Controlled  Ovarian Stimulation,Preimplantation Genetic Diagnosis (PGD)</t>
  </si>
  <si>
    <t>Health Savings Accounts (HSAs) help you save for future qualified medical and retiree health expenses on a tax-free basis. You must be enrolled in Company High Deductible Health Plan (HDHP) to contribute.</t>
  </si>
  <si>
    <t>Not currently, but this is a goal</t>
  </si>
  <si>
    <t xml:space="preserve">Contribution limits,Medicare impact on HSA contributions </t>
  </si>
  <si>
    <t>Family practice or general physician,Specialist</t>
  </si>
  <si>
    <t>COVID related telehealth services are covered at no member cost share.</t>
  </si>
  <si>
    <t>Amalgam Fillings,Anesthesia/Sedation,Bridgework,Cleanings (Prophylaxis),Composite Fillings (White Fillings),Crowns,Denture Repair,Dentures (Relines &amp; Rebases),Dentures (Removable &amp; Partial),Examinations (non-routine),Examinations (routine),Fluoride Treatments,Implants,Inlays &amp; Onlays,Oral Surgery,Orthodontia,Periodontal Scaling &amp; Root Planing,Periodontal Surgery,Root Canals,Space Maintainers,Tooth Extractions,Tooth Sealants,Topical Fluoride Treatments,X-Rays - Bitewings,X-Rays - Full-Mouth, Panorex</t>
  </si>
  <si>
    <t>UnitedHealthCare Choice Plus 40</t>
  </si>
  <si>
    <t>UnitedHealthCare Choice Plus 20 HDHP</t>
  </si>
  <si>
    <t>UnitedHealthCare Choice Plus 10 HDHP</t>
  </si>
  <si>
    <t>Northern CA Kaiser HMO</t>
  </si>
  <si>
    <t xml:space="preserve">Medical necessity - approval required </t>
  </si>
  <si>
    <t>Prevention,Medical necessity - approval required</t>
  </si>
  <si>
    <t>Procedure must performed by a designated center of excellence (COE),Individual must participate in your company's external vendor partner infertility or reproductive care management program</t>
  </si>
  <si>
    <t>If you are eligible for an HSA and you open your Fidelity HSA within 60 days of your date of hire or eligibility date (for newly eligible employees), or on or before the stated deadline during the annual Open Enrollment period, Company will make a 2022 contribution into your HSA.</t>
  </si>
  <si>
    <t>Keeping up with the ever changing legislative.</t>
  </si>
  <si>
    <t>Changes to cost structure, employer responsibilities</t>
  </si>
  <si>
    <t>Anthem Base Plan</t>
  </si>
  <si>
    <t>Premiums</t>
  </si>
  <si>
    <t>Anthem CDHP</t>
  </si>
  <si>
    <t>Kaiser CDHP</t>
  </si>
  <si>
    <t>Kaiser CA HMO</t>
  </si>
  <si>
    <t>Kaiser NW HMO</t>
  </si>
  <si>
    <t>Company contribution to HSA: $1,300/individual; $2,600/family.</t>
  </si>
  <si>
    <t>Understanding the tax benefits of the HSA,Other</t>
  </si>
  <si>
    <t>Saving for retirement</t>
  </si>
  <si>
    <t>Amalgam Fillings,Anesthesia/Sedation,Bridgework,Cleanings (Prophylaxis),Composite Fillings (White Fillings),Crowns,Denture Repair,Dentures (Relines &amp; Rebases),Dentures (Removable &amp; Partial),Examinations (non-routine),Examinations (routine),Implants,Inlays &amp; Onlays,Night guards,Oral Surgery,Orthodontia,Periodontal Scaling &amp; Root Planing,Periodontal Surgery,Root Canals,Space Maintainers,Tooth Extractions,Tooth Sealants,Topical Fluoride Treatments,X-Rays - Bitewings,X-Rays - Full-Mouth, Panorex,X-Rays - Periapical</t>
  </si>
  <si>
    <t>The 1095 reporting.</t>
  </si>
  <si>
    <t>The Cadillac Tax.</t>
  </si>
  <si>
    <t>Medical review/prior authorization,Specialty medication program</t>
  </si>
  <si>
    <t>Health Saver</t>
  </si>
  <si>
    <t>Kaiser Southern California</t>
  </si>
  <si>
    <t xml:space="preserve">Covered for medical condition treatment (e.g., back pain),Medical necessity - approval required </t>
  </si>
  <si>
    <t>Covered for medical condition treatment and maintenance (e.g., pain management),Not covered after specified number of treatments</t>
  </si>
  <si>
    <t>Social skills classes and groups</t>
  </si>
  <si>
    <t>Company makes a pretax contribution to your HSA at the beginning of each year (or once you ve activated the HSA). The company contribution is $750 for single coverage and $1,500 if you cover dependents.</t>
  </si>
  <si>
    <t>Reporting and data maintenance</t>
  </si>
  <si>
    <t>Legislative updates.  Best practice for individual state mandates</t>
  </si>
  <si>
    <t>Kaiser HI</t>
  </si>
  <si>
    <t>Always covered - no medical review required,Covered for medical condition treatment (e.g., back pain),Covered for medical condition maintenance  ,Not covered after specified number of treatments</t>
  </si>
  <si>
    <t>Telemedicine is covered under all medical plans at the same copay as primary care provider visits.</t>
  </si>
  <si>
    <t>Any legislative changes.</t>
  </si>
  <si>
    <t>Anthem PPO 400/1200</t>
  </si>
  <si>
    <t>THE HEALTH SAVINGS ACCOUNT The Health Savings Account (HSA) is used in conjunction with the  Anthem High Deductible HSA plans and the Kaiser-Permanente  HSA Qualified Deductible HMO plan to allow you to pay for  out-of-pocket health care expenses with tax-free dollars. This  includes deductibles, coinsurances, copayments, prescription  drugs, dental and vision expenses. To participate, you must be  enrolled in the Anthem Blue Cross High Deductible HSA plan, the  Anthem Low 3000 HDHP plan, the Anthem Mid 1500 HDHP plan  or the Kaiser-Permanente HSA Qualified Deductible HMO plan  and cannot be covered by any other plan that is not a High  Deductible plan, with certain exceptions. Additionally, you cannot  be enrolled in Medicare, be a dependent on someone else’s tax  return, or have received Veteran’s Affairs (VA) benefits in the  past three months. Must enroll in Health Savings Account and set  your annual contributions every year.</t>
  </si>
  <si>
    <t>ALEX - Jellyvision</t>
  </si>
  <si>
    <t>Amalgam Fillings,Anesthesia/Sedation,Bridgework,Cleanings (Prophylaxis),Composite Fillings (White Fillings),Crowns,Dentures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Panorex,X-Rays - Periapical</t>
  </si>
  <si>
    <t>Anthem Preferred</t>
  </si>
  <si>
    <t>Anthem Exclusive</t>
  </si>
  <si>
    <t>Kaiser HMO (CA)</t>
  </si>
  <si>
    <t>Tufts HMO (MA)</t>
  </si>
  <si>
    <t>Company contributes to your HSA on an annual basis in the amount of $500 for Employee-only coverage and $1,000 for Family coverage, funded as an upfront contribution to your HSA in January, or for new hires, within a few weeks of your when you finalize your benefit elections.  You can contribute up to the max combined amount with the employer funding of $3,550 for Employee-only coverage and $7,100 for Family coverage.  Age 55 or older catch-up contribution is an additional $1,000 per year.</t>
  </si>
  <si>
    <t>Presentations,Webinars,Other</t>
  </si>
  <si>
    <t>information on our benefits website</t>
  </si>
  <si>
    <t>Contribution limits</t>
  </si>
  <si>
    <t>Allergy, Pediatrics</t>
  </si>
  <si>
    <t>We don't have any challenges compiling with current laws</t>
  </si>
  <si>
    <t>This is a non issue for us</t>
  </si>
  <si>
    <t>The PPO Plan</t>
  </si>
  <si>
    <t>Value PPO Plan Utah TRAD PPO Plan</t>
  </si>
  <si>
    <t>Value High Deductible Health Plan</t>
  </si>
  <si>
    <t>Consumer Directed High Deductible Plan</t>
  </si>
  <si>
    <t>In-network per family</t>
  </si>
  <si>
    <t>St. Luke's Coordinated Care Plan</t>
  </si>
  <si>
    <t>Saint Alphonsus Coordinated Care Plan</t>
  </si>
  <si>
    <t>Kaiser Northern CA</t>
  </si>
  <si>
    <t>Kaiser Mid Atlantic</t>
  </si>
  <si>
    <t>Team Member coverage  $250 Seed Plus $1 for $1match up to an additional $350.   If you cover dependents $500 Seed Plus $1 for $1 match up to additional $700.</t>
  </si>
  <si>
    <t>Understanding the tax benefits of the HSA</t>
  </si>
  <si>
    <t>Hassle tracking and reporting months of coverage for unique employment scenarios;  Permanent transfer to an international entity, transfer from on location to another.</t>
  </si>
  <si>
    <t>Health Savings Plan</t>
  </si>
  <si>
    <t>Kaiser Foundation Health Plan of Washington</t>
  </si>
  <si>
    <t>Kaiser Permanente (California)</t>
  </si>
  <si>
    <t>Employee's HDHP medical plan coverage election level (e.g., employee only, employee + family),Employee's job classification (e.g., exempt/non-exempt, executives/individual contributor)</t>
  </si>
  <si>
    <t>Company will make a pre-tax contribution to your Health Savings Account (HSA), for active employees only, based on your coverage level, as outlined in the table below. The Company contribution is deposited in two equal installments in January and July. If you are enrolled in the HSA for only part of the year, Company contributions are prorated on a per pay period basis.    Company  contribution  Employee maximum contribution  Maximum annual limit  Employee only  $1,000  $2,500  $3,500  Employee + 1  $2,000  $5,000  $7,000  Employee + 2 or more  $2,500  $4,500  $7,000  Over age 55 catch-up contribution  $0  Maximum contribution plus $1,000  Maximum contribution plus $1,000</t>
  </si>
  <si>
    <t>Waived the cost share due to COVID.</t>
  </si>
  <si>
    <t>Medical review/prior authorization,Quantity limits,Mail order,Auto-refill</t>
  </si>
  <si>
    <t>Health Savings Plan (HSP)</t>
  </si>
  <si>
    <t>Kaiser HMO</t>
  </si>
  <si>
    <t>Deductibles,Balanced billed amounts (not covered by plan),Penalties (e.g., non-notification penalties),Premiums</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</si>
  <si>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ZIFT),Ovulation Induction,Controlled  Ovarian Stimulation</t>
  </si>
  <si>
    <t>Follow-up communication,Follow-up education</t>
  </si>
  <si>
    <t>HSA Education site</t>
  </si>
  <si>
    <t>Paid 100% of INN cost share for our members under our Anthem medical plans</t>
  </si>
  <si>
    <t>We have people we consider part of our Alternative Workforce who work through Managed Service Providers.  We've never counted these individuals in our ACA calcs, as they are not our employees.  Now we're learning that the contract language for these is not ACA-specific enough and we may have some potential liability.</t>
  </si>
  <si>
    <t>PPO 1</t>
  </si>
  <si>
    <t>PPO 2</t>
  </si>
  <si>
    <t>INN Inpatient: 10% after deductible INN outpatient office visit: $25 copay INN outpatient facility: 0% after deductible</t>
  </si>
  <si>
    <t>Collective Health + Anthem High Deductible Plan with HSA</t>
  </si>
  <si>
    <t>Out-of-network ABA telemedicine will be reimbursed at billed charges</t>
  </si>
  <si>
    <t>Basic,Major,Out-of-Network charges exceeding UCR</t>
  </si>
  <si>
    <t>Admin burden of 1095 form review and issuance (including individual state mandates). Hours tracking for eligibility of part-time employees.</t>
  </si>
  <si>
    <t>ACA reform, ACA third-party reporting companies</t>
  </si>
  <si>
    <t>Cigna OAP Plan</t>
  </si>
  <si>
    <t>Cigna OAP 500 (regional)</t>
  </si>
  <si>
    <t>Cigna HSA Plan</t>
  </si>
  <si>
    <t>Kaiser - CA</t>
  </si>
  <si>
    <t>When you enroll in the Anthem Health Savings Account (HSA) Plan, Company contributes $500-$1,500 to your HSA, depending on your level of coverage</t>
  </si>
  <si>
    <t>HSA “how-to” Guide,Emails,Group presentations</t>
  </si>
  <si>
    <t>Pediatric (Primary Care)</t>
  </si>
  <si>
    <t>$25.00 combined exam and materials copay</t>
  </si>
  <si>
    <t>No - coverage or discount program not available</t>
  </si>
  <si>
    <t>Compliance with health care reform</t>
  </si>
  <si>
    <t>United Healthcare PPO Plan (Hawaii Only)</t>
  </si>
  <si>
    <t>United Healthcare High Deductible Health Plan</t>
  </si>
  <si>
    <t>Balanced billed amounts (not covered by plan)</t>
  </si>
  <si>
    <t>United Healthcare Select Plus</t>
  </si>
  <si>
    <t>United Healthcare Choice Plus</t>
  </si>
  <si>
    <t>Lap Adjustable Gastric Bands</t>
  </si>
  <si>
    <t>Medical necessity - approval required</t>
  </si>
  <si>
    <t>Amalgam Fillings,Bridgework,Cleanings (Prophylaxis),Composite Fillings (White Fillings),Crowns,Dentures (Relines &amp; Rebases),Dentures (Removable &amp; Partial),Examinations (non-routine),Examinations (routine),Fluoride Treatments,Implants,Inlays &amp; Onlays,Oral Surgery,Orthodontia,Periodontal Scaling &amp; Root Planing,Periodontal Surgery,Root Canals,Tooth Extractions,Tooth Sealants,Topical Fluoride Treatments,X-Rays - Bitewings,X-Rays - Full-Mouth, Panorex,X-Rays - Periapical</t>
  </si>
  <si>
    <t>COBRA cost vs. Health Care Reform</t>
  </si>
  <si>
    <t>COVID-19</t>
  </si>
  <si>
    <t>Co-payments,Balanced billed amounts (not covered by plan),Penalties (e.g., non-notification penalties),Premiums</t>
  </si>
  <si>
    <t>Quantity limits,Specialty medication program,Custom formulary (e.g., "no waste")</t>
  </si>
  <si>
    <t>Company HSA Plus Plan</t>
  </si>
  <si>
    <t>Company HSA Plan   Kaiser HSA Plan</t>
  </si>
  <si>
    <t>Quantity limits,Custom formulary (e.g., "no waste")</t>
  </si>
  <si>
    <t>Out-of-network payments,Balanced billed amounts (not covered by plan),Premiums,Non-emergency ER charges</t>
  </si>
  <si>
    <t>Medical review required after specified number of treatments,Not covered after specified number of treatments</t>
  </si>
  <si>
    <t>Covered for medical condition treatment and maintenance (e.g., pain management),Medical review required after specified number of treatments,Not covered after specified number of treatments</t>
  </si>
  <si>
    <t>Female member’s ovary stimulation and retrieval of eggs,Male member retrieval of sperm,Implantation of eggs or oocytes or donor sperm into a host uterus,Fees for the use of a gestational carrier/surrogate,Cost of donor eggs/donor sperm used for surrogate parenting,Pregnancy services for a gestational carrier or surrogate who is not covered by the plan</t>
  </si>
  <si>
    <t>None currently</t>
  </si>
  <si>
    <t>Future of healthcare marketplaces</t>
  </si>
  <si>
    <t>Choice Plan</t>
  </si>
  <si>
    <t>Medical Savings Plan</t>
  </si>
  <si>
    <t>Choice Plus</t>
  </si>
  <si>
    <t>Gastric bypass,Lap adjustable gastric bands,Vertical banded gastroplasty</t>
  </si>
  <si>
    <t>Gastric bypass,Lap Adjustable Gastric Bands,Vertical banded gastroplasty</t>
  </si>
  <si>
    <t>Hyperbaric chambers</t>
  </si>
  <si>
    <t>Company Contributions  Each year that you are enrolled in the Medical Savings Plan with HSA, Company makes a contribution to your HSA. For 2022, Company s annual contribution is:   $500 if you have individual (employee only) coverage; or   $1,000 if you have family (yourself and one or more dependents) coverage.  Contributions for new hires after the first of the plan year are pro rated.  Company s contribution to your HSA is not taxable income to you.  Company makes a lump sum contribution to your HSA at the beginning of the year or within one month of your enrollment date if you enroll during the year. Federal regulations do not allow contributions to an HSA and/or Limited Use Health Care Flexible Spending Account and a standard Health Care Flexible Spending Account during the same year. If you enroll in the High Deductible Health Plan, such as Company Medical Plan 1, at any time other than during annual enrollment or when you are first eligible (such as changing from Medical Plan 2 to Medical Plan 1 due to moving), no contribution will be made to your account if you were contributing to a Health Care Flexible Spending Account.</t>
  </si>
  <si>
    <t>stocks, bonds, EFTs and Treasuries</t>
  </si>
  <si>
    <t>75= combined years of service plus age as of 12/7/2007</t>
  </si>
  <si>
    <t>Preventive,Basic,Major,Orthodontia,Out-of-Network charges exceeding UCR</t>
  </si>
  <si>
    <t>Providing the best quality of care while controlling cost.  Some example of how the Health care reform impacted Company are:  annual and/or lifetime limits on were eliminated, coverage offered to dependents through age 26.</t>
  </si>
  <si>
    <t>As our employees decide to retiree, we need to understand Medicare and any impacts Health Care reform may have on post retirement plans.</t>
  </si>
  <si>
    <t>Medium PPO</t>
  </si>
  <si>
    <t>Premium PPO</t>
  </si>
  <si>
    <t>HSA Medical Plan</t>
  </si>
  <si>
    <t>EPO Choice</t>
  </si>
  <si>
    <t>Kaiser - Northern California</t>
  </si>
  <si>
    <t>Kaiser Southern CA Kaiser Atlanta Kaiser Mid Atlantic Kaiser Colorado Kaiser Washington Kaiser NW Harvard Pilgrim</t>
  </si>
  <si>
    <t>Covered for medical condition treatment (e.g., back pain),Medical necessity - approval required ,Medical review required after specified number of treatments</t>
  </si>
  <si>
    <t>Providers who have met established qualifications (e.g., certified ABA provider),Providers who perform services in consultation with certified providers (e.g., therapy assistants)</t>
  </si>
  <si>
    <t>When You enroll in the HSA Medical Plan for the first time, you will need to establish a personal account in Your name with Company s Health Savings Account administrator, Optum Bank. Once You have opened Your HSA and your new hire enrollment window closes (i.e., 31 days following Your new hire date), Company will contribute to Your HSA. If you first participate in the HSA Medical Plan on November 15 or later, you will not receive an Company HSA contribution for that year. Thereafter, at the beginning of each Plan Year, Company will contribute to Your HSA so long as you are enrolled in the HSA Medical Plan. The amount You receive is based upon Your medical plan coverage tier (e.g.,  Employee Only ,  Family ) and Your Annual Benefits Compensation. Mid-year enrollees receive a pro-rated contribution based on Your Plan entry date. In addition, an increase to Your coverage tier (e.g., Change from  Employee Only  to  Employee + Children ), following a Qualified Family Status Change, will result in an additional pro-rated contribution. All Company contributions are 100% vested. For more information about Company s HSA contributions, please refer to the HSA Medical Plan Resource Center.</t>
  </si>
  <si>
    <t>Lactation consulting</t>
  </si>
  <si>
    <t>ACA reporting - Collecting data for  population groups such as scheduled less than 30 but actual work = 130+hrs/month. Accounting for acquired companies. Identifying all non-eligible workers such as contractors and interns</t>
  </si>
  <si>
    <t>Any updates to the ACA proposed by a new Administration</t>
  </si>
  <si>
    <t>Blue Shield PPO Platinum</t>
  </si>
  <si>
    <t>Blue Shield PPO Platinum Savings</t>
  </si>
  <si>
    <t>Blue Shield PPO Silver Savings, Kaiser Savings</t>
  </si>
  <si>
    <t>Medical Review/Prior Authorization Required,Psychosocial-behavioral evaluation to screen &amp; identify potential risk factors that may contribute to poor clinical outcomes</t>
  </si>
  <si>
    <t>Covered for medical condition treatment (e.g., back pain),Medical review required after specified number of treatments,Not covered after specified number of treatments</t>
  </si>
  <si>
    <t>Fees for the use of a gestational carrier/surrogate</t>
  </si>
  <si>
    <t>Company makes contributions to your HSA every pay period, up to a total of $750 per year for  individual coverage and up to $1,500 per year for employees covering any dependents. For new hires, these contributions  are prorated based on their hire date.</t>
  </si>
  <si>
    <t>expanded mental health telehealth options - via Modern Health and Teladoc's platform (thru Blue Shield plans)</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</si>
  <si>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t>
  </si>
  <si>
    <t>Reforms related to COVID relief changes and additional legislative flexibility around plans, requirements, administration</t>
  </si>
  <si>
    <t>UnitedHealthcare $300 Deductible</t>
  </si>
  <si>
    <t>Maintenance</t>
  </si>
  <si>
    <t>UnitedHealthcare CDHP with HSA</t>
  </si>
  <si>
    <t>Kaiser Permanente of California</t>
  </si>
  <si>
    <t>Procedure must performed by a designated center of excellence (COE),Individual must participate in your company's health plan administrator's (e.g., UHC, Aetna, Cigna) infertility or reproductive care management program,Individual must participate in your company's external vendor partner infertility or reproductive care management program,Medical review or prior authorization required</t>
  </si>
  <si>
    <t>The company makes an annual contribution to the HSA ($500 for individuals/$1,000 for family) that you can use now or in the future.</t>
  </si>
  <si>
    <t>Talk Space, covering mental health telemedicine</t>
  </si>
  <si>
    <t>Customized communications/notifications</t>
  </si>
  <si>
    <t>Any compliance related regulations that will impact administration.</t>
  </si>
  <si>
    <t>Blue Shield of California PPO Network</t>
  </si>
  <si>
    <t>Kaiser Washington</t>
  </si>
  <si>
    <t>Individual must participate in your company's health plan administrator's (e.g., UHC, Aetna, Cigna) infertility or reproductive care management program,Individual must participate in your company's external vendor partner infertility or reproductive care management program</t>
  </si>
  <si>
    <t>Emails,Other</t>
  </si>
  <si>
    <t>Website</t>
  </si>
  <si>
    <t>High Deductible Health Plan with HSA</t>
  </si>
  <si>
    <t>Health Savings Account 2021 Annual Contributions*  Once your HSA is successfully opened, you'll receive a contribution from Company by the first paycheck of each quarter of $375 (annual total of $1,500) if you elect individual coverage, and $750 (annual total of $3,000) for all other coverages.  The contribution limit for your HSA is set by the IRS.  The annual limits for 2021 are: Individual: $3,600 All other coverages: $7,200 Note: Company s contribution counts toward this limit. It is funded by the first paycheck of the calendar quarter in January, April, July, and October. If you are a new hire, you will receive your first contribution from Company by the first paycheck of the month following your hire date as long as you have successfully opened your HSA. If you are age 55 through 65, you are eligible to make  catch up  contributions up to an additional $1,000 annually.</t>
  </si>
  <si>
    <t>Accuracy and correct coding for 1095-Cs</t>
  </si>
  <si>
    <t>Changes to employer reporting requirements Changes to employer and individual mandates</t>
  </si>
  <si>
    <t>Premier PPO Plan</t>
  </si>
  <si>
    <t>United Healthcare Broad QDHP</t>
  </si>
  <si>
    <t>Procedure must performed by a designated center of excellence (COE),Individual must participate in your company's health plan administrator's (e.g., UHC, Aetna, Cigna) infertility or reproductive care management program</t>
  </si>
  <si>
    <t>Employees enrolled in the Premier QDHP receive $1,000 for single coverage and $2,000 for dependent/family coverage.  Employees enrolled in the UHC QDHP receive $500 for single coverage and $1,000 for dependent/family coverage.  Eligible participants enrolled in a Qualified Deductible Health Plans (QDHPs) will receive their HSA seed in quarterly installments. A table is then included which reflects the timing of the quarterly installment payments, including how new hire seed contributions are funded.</t>
  </si>
  <si>
    <t>Required reporting</t>
  </si>
  <si>
    <t>Supreme Court Case</t>
  </si>
  <si>
    <t>Aetna PPO</t>
  </si>
  <si>
    <t>UHC PPO</t>
  </si>
  <si>
    <t>Specialty medication program,Mail order</t>
  </si>
  <si>
    <t>Aetna HDHP Premium</t>
  </si>
  <si>
    <t>Aetna HDHP Standard   UHC HDHP Standard   UHC HDHP Premium</t>
  </si>
  <si>
    <t>UHC EPO</t>
  </si>
  <si>
    <t>Kaiser Foundation Health Plan of the Northwest (Oregon), Kaiser Foundation Health Plan of Washington, Kaiser Foundation Health Plan of Georgia, Kaiser Foundation Health Plan (Southern California)</t>
  </si>
  <si>
    <t>Aetna Indemnity (Traditional Choice)</t>
  </si>
  <si>
    <t>Cost management</t>
  </si>
  <si>
    <t>Buy Up</t>
  </si>
  <si>
    <t>Base</t>
  </si>
  <si>
    <t>Cigna Open Access Plus (PPO)</t>
  </si>
  <si>
    <t>Cigna High Deductible Health Plan (With HSA)</t>
  </si>
  <si>
    <t>When deemed medically necessary - pre-authorization is required,Due to usual wear and tear ,If a device is lost or damaged (not caused by usual wear and tear)</t>
  </si>
  <si>
    <t xml:space="preserve">Covered for medical condition treatment (e.g., back pain),Covered for medical condition maintenance  ,Covered - preventive,Medical necessity - approval required </t>
  </si>
  <si>
    <t>Covered for medical condition treatment and maintenance (e.g., pain management),Prevention</t>
  </si>
  <si>
    <t>Procedure must performed by a designated center of excellence (COE),Individual must participate in your company's external vendor partner infertility or reproductive care management program,Medical review or prior authorization required</t>
  </si>
  <si>
    <t>enhanced ComPsych for adults</t>
  </si>
  <si>
    <t>Some of the well intentioned reform such as no maximums prevent the "good employers" from offering creative benefits like for autism and others.</t>
  </si>
  <si>
    <t>New reporting requirements</t>
  </si>
  <si>
    <t>Anthem HDHP1</t>
  </si>
  <si>
    <t>Anthem HDHP2</t>
  </si>
  <si>
    <t>Company Contributions HDHP 1: $700   Employee Only $1,400   Employee with Dependents  HDHP 2: $350 - Employee Only $700 - Employee with Dependents</t>
  </si>
  <si>
    <t>Videos,Webinars,Other</t>
  </si>
  <si>
    <t>Dedicated HSA page on benefits website</t>
  </si>
  <si>
    <t>None really.</t>
  </si>
  <si>
    <t>Nothing that I can think of.</t>
  </si>
  <si>
    <t>UnitedHealthcare Choice Plus PPO</t>
  </si>
  <si>
    <t>UnitedHealthcare Choice Plus HDHP with HSA</t>
  </si>
  <si>
    <t>Mail order,Auto-refill</t>
  </si>
  <si>
    <t>Traditional Kaiser HMO - Northern California</t>
  </si>
  <si>
    <t>Southern California</t>
  </si>
  <si>
    <t>Company gets your HSA started with a contribution of up to $1,000 (for individuals) or $2,000 (for you and your dependents) each year. This amount is prorated for employees hired after January 1.</t>
  </si>
  <si>
    <t>HSA “how-to” Guide,Flyers,Videos</t>
  </si>
  <si>
    <t>Telehealth through UHC</t>
  </si>
  <si>
    <t>Children to age 18 ,Adults</t>
  </si>
  <si>
    <t>Premium Progressive Lenses</t>
  </si>
  <si>
    <t>1095/1094 reporting</t>
  </si>
  <si>
    <t>Ongoing reporting requirements at both employee and employer level</t>
  </si>
  <si>
    <t>Company Consumer Choice Plan</t>
  </si>
  <si>
    <t>Fees for the use of a gestational carrier/surrogate,Cost of donor eggs/donor sperm used for surrogate parenting</t>
  </si>
  <si>
    <t>If hired prior to 7/1: $750 for EE only coverage $1500 for family coverage   If hired on or after 7/1: $375 for EE only coverage $750 for family coverage If hired after 11/15:  No HSA contribution.</t>
  </si>
  <si>
    <t>Emails,Webinars</t>
  </si>
  <si>
    <t>Uncertainty of future of it and the Cadillac tax -1095 forms</t>
  </si>
  <si>
    <t>Transparency regulations</t>
  </si>
  <si>
    <t>Unitedhealthcare PPO</t>
  </si>
  <si>
    <t>Step therapy,Medical review/prior authorization,Quantity limits,Specialty medication program,90 Day supply</t>
  </si>
  <si>
    <t>Unitedhealthcare High Deductible Health Plan (HDHP)</t>
  </si>
  <si>
    <t>OON outpatient mental health is covered at the in-network cost share.</t>
  </si>
  <si>
    <t>Kaiser HMO N. California</t>
  </si>
  <si>
    <t>Kaiser HMO S. California, Kaiser HMO Colorado, Kaiser HMO Washington, Kaiser HMO Mid-Atlantic</t>
  </si>
  <si>
    <t>Covered for medical condition treatment (e.g., back pain),Covered for medical condition maintenance  ,Covered - preventive,Not covered after specified number of treatments</t>
  </si>
  <si>
    <t>Covered for medical condition treatment and maintenance (e.g., pain management),Prevention,Not covered after specified number of treatments</t>
  </si>
  <si>
    <t>Female member’s ovary stimulation and retrieval of eggs,Male member retrieval of sperm,Fees for the use of a gestational carrier/surrogate,Cost of donor eggs/donor sperm used for surrogate parenting,Pregnancy services for a gestational carrier or surrogate who is not covered by the plan</t>
  </si>
  <si>
    <t>4.7 HEALTH SAVINGS ACCOUNT BENEFIT Each Participant may elect to have a portion of his Salary Redirections contributed to a Health Savings Account, as defined in Code Section 223. The amounts contributed shall be subject to the terms of the Health Savings Account as established.  (l) Health Savings Account changes. With regard to the Health Savings Account Benefit specified in Section 4.7, a Participant who has elected to make elective contributions under such arrangement may modify or revoke the election prospectively, provided such change is consistent with Code Section 223 and the Treasury regulations thereunder.</t>
  </si>
  <si>
    <t>Emails,Presentations,Mobile technology</t>
  </si>
  <si>
    <t>Contribution limits,Understanding the tax benefits of the HSA,Other</t>
  </si>
  <si>
    <t>Eligibility</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</si>
  <si>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guards,Periodontal Scaling &amp; Root Planing,Periodontal Surgery,Root Canals,Space Maintainers,Tooth Extractions,Tooth Sealants,Topical Fluoride Treatments,X-Rays - Bitewings,X-Rays - Full-Mouth, Panorex,X-Rays - Periapical</t>
  </si>
  <si>
    <t>Tracking state-mandated reporting</t>
  </si>
  <si>
    <t>Employer mandates</t>
  </si>
  <si>
    <t>Kaiser HMO Hawaii  Kaiser HMO Northwest Kaiser HMO Washington</t>
  </si>
  <si>
    <t>Aetna POS</t>
  </si>
  <si>
    <t>We contribute funds to your account each month that you can use to pay for eligible expenses, including medical or prescription costs and dental or vision claims. Your contributions to your HSA will be pro-rated and funded monthly.</t>
  </si>
  <si>
    <t>Currently no challenges as all of our  FT and PT employees are offered benefits.</t>
  </si>
  <si>
    <t>Cigna Open Access Plus</t>
  </si>
  <si>
    <t>Gastric bypass,Gastric Sleeve Procedure</t>
  </si>
  <si>
    <t>Individual must meet Class III Obesity (40+BMI)</t>
  </si>
  <si>
    <t>No Limit</t>
  </si>
  <si>
    <t>No Maximum</t>
  </si>
  <si>
    <t>Emails,Presentations,Group presentations</t>
  </si>
  <si>
    <t>Bridgework,Cleanings (Prophylaxis),Crowns,Denture Repair,Examinations (routine),Fluoride Treatments,Inlays &amp; Onlays,Periodontal Scaling &amp; Root Planing,Periodontal Surgery,Tooth Extractions,Topical Fluoride Treatments</t>
  </si>
  <si>
    <t>Kaiser Foundation Health Plan of Northern California</t>
  </si>
  <si>
    <t>Kaiser Foundation Health Plan of the Northwest  Kaiser Foundation Health Plan of Southern California</t>
  </si>
  <si>
    <t>Gastric bypass,Lap adjustable gastric bands</t>
  </si>
  <si>
    <t>Company will cover your account fees as long as you re an active employee. Company makes no contributions to the HS Basic Plan. It s designed for employees looking to maximize their own tax savings. If you're in the HS Standard Plan, Company will contribute up to $500 if you have employee-only coverage, and up to $1,000 if you cover dependents. (The prorated amount is automatically deposited into your HSA each pay period.) Or, if you're in the HS Premium Plan, Company will contribute up to $750 if you have employee-only coverage, and up to $1,500 if you cover dependents. (The prorated amount is also automatically deposited into your HSA each pay period.)</t>
  </si>
  <si>
    <t>Providing data to our TPA for reporting.</t>
  </si>
  <si>
    <t>General updates to employer requirements.</t>
  </si>
  <si>
    <t>Aetna HMO</t>
  </si>
  <si>
    <t>Aetna Managed Choice POS</t>
  </si>
  <si>
    <t>Aetna POS II Plus Plan</t>
  </si>
  <si>
    <t>Aetna POS II BasePlan</t>
  </si>
  <si>
    <t>UnitedHealth Care HSA</t>
  </si>
  <si>
    <t>Kaiser Permanente HSA Base</t>
  </si>
  <si>
    <t>Step therapy,Quantity limits</t>
  </si>
  <si>
    <t>Kaiser CA Plus Plan HMO</t>
  </si>
  <si>
    <t>The Health Savings Account is a great way to save tax-free money for current and future health care expenses. You can contribute, up to a certain amount each year, and Company will contribute up to $1,500 too, based on the plan you choose.</t>
  </si>
  <si>
    <t>HSA “how-to” Guide,Mobile technology,Videos,Other</t>
  </si>
  <si>
    <t>Live chats during Annual Enrollment</t>
  </si>
  <si>
    <t>Spending down the FSA before the HSA,Understanding the tax benefits of the HSA,High Deducible Healthcare Plan “Shoeboxing” – paying expenses out-of-pocket and saving receipts for reimbursement later</t>
  </si>
  <si>
    <t>1095 reporting is a consistent challenge; ensuring hourly populations are offered benefits when appropriate, as well as accurate reporting.  While Company stands to be affected by the excise tax, it likely would not substantially change our benefits plan design - having to compete with tech and collectively bargained benefits.</t>
  </si>
  <si>
    <t>Cigna OAP-PPO</t>
  </si>
  <si>
    <t>Quantity limits,Specialty medication program,Mail order</t>
  </si>
  <si>
    <t>Cigna OAP-HSA</t>
  </si>
  <si>
    <t>High Deductible Health Plan (HDHP) with Health Savings Account (HSA)Your HDHP is offered with a compatible tax-advantaged Health Savings Account.  The HDHP is a PPO plan where you have the flexibility to see any provider you like (including specialists) without a referral.  Remember that your out-of-pocket costs will be lower and the amount covered by the plan will be greater with In-Network providers/facilities (that is, a physician that Cigna has a contract with).  Most network providers will file your claims for you, however, when using non-network provider, you may have to pay for your healthcare services up front and submit a claim form to the insurance carrier for reimbursement.  You may incur additional unknown costs by seeing an out-of-network provider.  Company contributes $500 per year ($1,000 for family coverage) to your HSA on a bi-weekly basis.</t>
  </si>
  <si>
    <t xml:space="preserve">Enrolled in one of the current medical plans available to US employees (employee selected) </t>
  </si>
  <si>
    <t>Adults</t>
  </si>
  <si>
    <t>Amalgam Fillings,Anesthesia/Sedation,Bridgework,Cleanings (Prophylaxis),Composite Fillings (White Fillings),Crowns,Denture Repair,Dentures (Relines &amp; Rebases),Dentures (Removable &amp; Partial),Examinations (routine),Fluoride Treatments,Implants,Inlays &amp; Onlays,Oral Surgery,Periodontal Scaling &amp; Root Planing,Periodontal Surgery,Root Canals,Space Maintainers,Tooth Extractions,Tooth Sealants,Topical Fluoride Treatments,X-Rays - Bitewings,X-Rays - Full-Mouth, Panorex,X-Rays - Periapical</t>
  </si>
  <si>
    <t>Legislative updates</t>
  </si>
  <si>
    <t>Step therapy,Quantity limits,Mail order</t>
  </si>
  <si>
    <t>Anthem HSA</t>
  </si>
  <si>
    <t>Quantity limits,Mail order</t>
  </si>
  <si>
    <t>Step therapy,Specialty medication program</t>
  </si>
  <si>
    <t>Urgent office visit</t>
  </si>
  <si>
    <t>Duodenal switch,Gastric bypass,Gastric sleeve procedure,Lap adjustable gastric bands</t>
  </si>
  <si>
    <t>Annual Company Contributions: Employee $1,100 Employee + Spouse $1,800 Employee + Child(ren) $1,800 Employee + Family $2,550. The company contributes money to your HSA in equal installments each pay period.</t>
  </si>
  <si>
    <t>Emails,Presentations,Webinars</t>
  </si>
  <si>
    <t>Amalgam Fillings,Anesthesia/Sedation,Bridgework,Cleanings (Prophylaxis),Composite Fillings (White Fillings),Crowns,Denture Repair,Dentures (Relines &amp; Rebases),Dentures (Removable &amp; Partial),Examinations (non-routine),Examinations (routine),Fluoride Treatments,Implants,Inlays &amp; Onlays,Night guards,Oral Surgery,Periodontal Scaling &amp; Root Planing,Periodontal Surgery,Root Canals,Space Maintainers,Tooth Extractions,Tooth Sealants,Topical Fluoride Treatments,X-Rays - Bitewings,X-Rays - Full-Mouth, Panorex,X-Rays - Periapical</t>
  </si>
  <si>
    <t>Allowance varies: Lenses - single vision: $30 bifocals: $50 trifocals: $65 lenticular: $100. Frames allowance $70. Contact lenses reimbursed up to $105</t>
  </si>
  <si>
    <t>Computer Glasses,Retinal Screening (Non-Diabetic)</t>
  </si>
  <si>
    <t>Ensuring vendor provides accurate 1095 forms to participants</t>
  </si>
  <si>
    <t>Cigna Utah PPO</t>
  </si>
  <si>
    <t>Cigna Choice Fund</t>
  </si>
  <si>
    <t>Cigna Utah Choice Fund</t>
  </si>
  <si>
    <t>Kaiser Northern California HMO</t>
  </si>
  <si>
    <t>Kaiser Southern California HMO, Kaiser Colorado HMO, Kaiser Mid-Atlantic States HMO, Kaiser Hawaii, Kaiser Washington HMO</t>
  </si>
  <si>
    <t>Cigna POS</t>
  </si>
  <si>
    <t>No - none of these are covered</t>
  </si>
  <si>
    <t>HSA “how-to” Guide,Flyers</t>
  </si>
  <si>
    <t>Ensure excise tax (aka "Cadillac tax") mitigation/mitigation of the annual cost increases.</t>
  </si>
  <si>
    <t>How alternative health care delivery opportunities (onsite centers, ACOs, value based pricing, etc) impact costs and health plans.</t>
  </si>
  <si>
    <t>UHC Traditional PPO</t>
  </si>
  <si>
    <t>UHC HSA PPO</t>
  </si>
  <si>
    <t>Kaiser HMO Hawaii</t>
  </si>
  <si>
    <t>Eligible services are covered as long as diagnosis and treatment prescribed by physician or behavioral health provider</t>
  </si>
  <si>
    <t>Telehealth services were covered at 100% through 12/31/2021</t>
  </si>
  <si>
    <t>Mandatory reporting and ensuring all data is captured accurately.</t>
  </si>
  <si>
    <t>Healthcare reform due to global pandemic.</t>
  </si>
  <si>
    <t>Anthem CDHP HSA</t>
  </si>
  <si>
    <t>Anthem CDHP HSA II    Kaiser CDHP HSA   Kaiser CDHP HSA II</t>
  </si>
  <si>
    <t>Co-insurance payments,Out-of-network payments</t>
  </si>
  <si>
    <t>Medical review/prior authorization,Quantity limits,Mail order</t>
  </si>
  <si>
    <t>Kaiser CDHP HSA</t>
  </si>
  <si>
    <t>Kaiser CDHP HSA II</t>
  </si>
  <si>
    <t>Procedure must performed by a designated Center of Excellence (COE),Medical Review/Prior Authorization Required</t>
  </si>
  <si>
    <t>Always covered - no medical review required,Covered for medical condition treatment (e.g., back pain)</t>
  </si>
  <si>
    <t>Diagnosis of underlying cause of the infertility</t>
  </si>
  <si>
    <t>HSA bank accounts were created by the federal government as a way to save for healthcare expenses on a tax-advantaged basis using pre-tax dollars (State taxes apply in CA and NJ). You can use the money in your HSA bank account for qualified medical, dental, vision and prescription expenses, such as deductibles, copays, coinsurance and other qualified out-of-pocket.  You can contribute pre-tax dollars to your HSA bank account and change the contribution amount at any time during the calendar year by logging in to Workday. If you are age 55 or older, you may contribute an additional $1,000 to your HSA bank account.  HealthEquity is our HSA banking partner. As part of enrolling in your benefit plans, you will want to open your HealthEquity HSA bank account. Opening an HSA bank account requires an identity verification process. You may be asked to provide additional information and/or documentation before your HSA bank account can be established.  If you do not open a HealthEquity HSA bank account, you will forfeit company contributions and any earned wellness incentives. You will also not be able to make pre-tax payroll contributions. For more information about HealthEquity and how HSA bank accounts work, go to Connect.</t>
  </si>
  <si>
    <t>Health Coaching, Physical Therapy</t>
  </si>
  <si>
    <t>Preventive,Basic,Major,Orthodontia,Out-of-network charges exceeding UCR</t>
  </si>
  <si>
    <t>The new 1095 State requirements for filing</t>
  </si>
  <si>
    <t>Cigna Traditional 90/70</t>
  </si>
  <si>
    <t>Cigna Smart Plan</t>
  </si>
  <si>
    <t>Kaiser HMO (California)</t>
  </si>
  <si>
    <t>Co-payments,Premiums</t>
  </si>
  <si>
    <t>Contribution limits,Choosing between contributing to the HSA vs. the 401(k) plan,Understanding the tax benefits of the HSA,Investing HSA assets</t>
  </si>
  <si>
    <t>specialized Covid support and testing</t>
  </si>
  <si>
    <t>Preparation of 1095-C tax forms and incorporating acquisitions.</t>
  </si>
  <si>
    <t>Best practices for preparing for 1095-Cs.</t>
  </si>
  <si>
    <t>Blue Cross PPO</t>
  </si>
  <si>
    <t>Blue Shield HSP</t>
  </si>
  <si>
    <t>Blue Shield HSP, Kaiser HSP</t>
  </si>
  <si>
    <t>Blue Shield HMO</t>
  </si>
  <si>
    <t>Out-of-network payments,Penalties (e.g., non-notification penalties),Premiums</t>
  </si>
  <si>
    <t xml:space="preserve">Covered for medical condition maintenance  </t>
  </si>
  <si>
    <t>Diagnosis, care and treatment for adults and children with autism spectrum disorders, including applied behavioral analysis and, physical, occupational, and speech therapies.</t>
  </si>
  <si>
    <t>Contribution limits,Understanding the tax benefits of the HSA,Investing HSA assets,High Deducible Healthcare Plan “Shoeboxing” – paying expenses out-of-pocket and saving receipts for reimbursement later</t>
  </si>
  <si>
    <t>added out-of-network coverage and employees could see any provider</t>
  </si>
  <si>
    <t>we do not have a threshold</t>
  </si>
  <si>
    <t>Cleanings (Prophylaxis),Composite Fillings (White Fillings),Crowns,Denture Repair,Dentures (Relines &amp; Rebases),Dentures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Panorex,X-Rays - Periapical</t>
  </si>
  <si>
    <t>Increase in costs each year</t>
  </si>
  <si>
    <t>what types of increases are others seeing year over year</t>
  </si>
  <si>
    <t>Q7.1.2_1</t>
  </si>
  <si>
    <t>Q7.1.2_2</t>
  </si>
  <si>
    <t>Q7.1.2_3</t>
  </si>
  <si>
    <t>Q7.1.2_4</t>
  </si>
  <si>
    <t>Q7.1.2_5</t>
  </si>
  <si>
    <t>Q7.1.2_6</t>
  </si>
  <si>
    <t>Q7.2.3</t>
  </si>
  <si>
    <t>Q7.2.4</t>
  </si>
  <si>
    <t>Q7.2.5</t>
  </si>
  <si>
    <t>Q7.2.6</t>
  </si>
  <si>
    <t>Q7.2.7</t>
  </si>
  <si>
    <t>Q7.2.8</t>
  </si>
  <si>
    <t>Q7.2.9_1</t>
  </si>
  <si>
    <t>Q7.2.9_2</t>
  </si>
  <si>
    <t>Q7.2.9_3</t>
  </si>
  <si>
    <t>Q7.2.9_4</t>
  </si>
  <si>
    <t>Q7.2.9_5</t>
  </si>
  <si>
    <t>Q7.2.9_6</t>
  </si>
  <si>
    <t>Q7.2.9_7</t>
  </si>
  <si>
    <t>Q7.2.9_8</t>
  </si>
  <si>
    <t>Q7.2.9_9</t>
  </si>
  <si>
    <t>Q7.2.9_10</t>
  </si>
  <si>
    <t>Q7.2.9_11</t>
  </si>
  <si>
    <t>Q7.2.9_12</t>
  </si>
  <si>
    <t>Q7.2.9_13</t>
  </si>
  <si>
    <t>Q7.2.10</t>
  </si>
  <si>
    <t>Q7.3.2</t>
  </si>
  <si>
    <t>Q7.3.3</t>
  </si>
  <si>
    <t>Q7.3.4</t>
  </si>
  <si>
    <t>Q7.3.5</t>
  </si>
  <si>
    <t>Q7.4.2</t>
  </si>
  <si>
    <t>Q7.4.3</t>
  </si>
  <si>
    <t>Q7.4.4</t>
  </si>
  <si>
    <t>Q7.5.2</t>
  </si>
  <si>
    <t>Q7.5.3</t>
  </si>
  <si>
    <t>Q7.5.4</t>
  </si>
  <si>
    <t>Q7.5.5</t>
  </si>
  <si>
    <t>Q7.5.6</t>
  </si>
  <si>
    <t>Q7.5.7</t>
  </si>
  <si>
    <t>Q7.5.8</t>
  </si>
  <si>
    <t>Q7.5.9</t>
  </si>
  <si>
    <t>Q7.5.10</t>
  </si>
  <si>
    <t>Q7.5.11</t>
  </si>
  <si>
    <t>Q7.5.12</t>
  </si>
  <si>
    <t>Q7.5.12_5_TEXT</t>
  </si>
  <si>
    <t>Q7.5.13</t>
  </si>
  <si>
    <t>Q7.5.15</t>
  </si>
  <si>
    <t>Q7.5.16</t>
  </si>
  <si>
    <t>Q7.5.18</t>
  </si>
  <si>
    <t>Q7.5.19</t>
  </si>
  <si>
    <t>Q7.5.20</t>
  </si>
  <si>
    <t>Q7.5.21</t>
  </si>
  <si>
    <t>Q7.5.22</t>
  </si>
  <si>
    <t>Q7.5.23</t>
  </si>
  <si>
    <t>Q7.5.24</t>
  </si>
  <si>
    <t>Q7.5.25</t>
  </si>
  <si>
    <t>Q7.5.26</t>
  </si>
  <si>
    <t>Q7.5.27</t>
  </si>
  <si>
    <t>Q7.5.28</t>
  </si>
  <si>
    <t>Q7.5.29</t>
  </si>
  <si>
    <t>Q7.5.30</t>
  </si>
  <si>
    <t>Q7.5.31_1</t>
  </si>
  <si>
    <t>Q7.5.31_2</t>
  </si>
  <si>
    <t>Q7.5.31_3</t>
  </si>
  <si>
    <t>Q7.5.31_4</t>
  </si>
  <si>
    <t>Q7.5.31_5</t>
  </si>
  <si>
    <t>Q7.5.32_1</t>
  </si>
  <si>
    <t>Q7.5.32_2</t>
  </si>
  <si>
    <t>Q7.5.32_3</t>
  </si>
  <si>
    <t>Q7.5.32_4</t>
  </si>
  <si>
    <t>Q7.5.32_5</t>
  </si>
  <si>
    <t>Q7.5.34</t>
  </si>
  <si>
    <t>Q7.5.35</t>
  </si>
  <si>
    <t>Q7.5.36</t>
  </si>
  <si>
    <t>Q7.6.2</t>
  </si>
  <si>
    <t>Q7.6.3</t>
  </si>
  <si>
    <t>Q7.6.4</t>
  </si>
  <si>
    <t>Q7.7.2</t>
  </si>
  <si>
    <t>Q7.7.3</t>
  </si>
  <si>
    <t>Q7.8.2</t>
  </si>
  <si>
    <t>Q7.8.3</t>
  </si>
  <si>
    <t>Q7.8.4</t>
  </si>
  <si>
    <t>Q7.8.5</t>
  </si>
  <si>
    <t>Q7.8.6</t>
  </si>
  <si>
    <t>Q7.8.7</t>
  </si>
  <si>
    <t>Q7.8.8</t>
  </si>
  <si>
    <t>Q7.8.9</t>
  </si>
  <si>
    <t>Offered without incentive</t>
  </si>
  <si>
    <t>Offered with participation-only incentive</t>
  </si>
  <si>
    <t>Yes - data is self-reported by the employee/dependent</t>
  </si>
  <si>
    <t>0% (free)</t>
  </si>
  <si>
    <t>Health fairs</t>
  </si>
  <si>
    <t>On-site (non-medical clinic),Online, electronically, virtual</t>
  </si>
  <si>
    <t>All campuses tobacco free</t>
  </si>
  <si>
    <t>All campuses smokeless tobacco free</t>
  </si>
  <si>
    <t>Full-time employees,Part-time employees,Spouse,Child(ren)</t>
  </si>
  <si>
    <t>Yes, on some campuses</t>
  </si>
  <si>
    <t>Full-time employees,Part-time employees,Interns,Agency temp workers,Contractors</t>
  </si>
  <si>
    <t>Every 2 Years</t>
  </si>
  <si>
    <t>Massage, activities for dependent children, musical instruments or lessons, hobby and craft supplies</t>
  </si>
  <si>
    <t>Main benefits website,Dedicated health &amp; wellbeing website or webpage,Links to non-company website (e.g., vendor sites, WebMD, etc.),Recurring electronic news (newsletter/email),Online video library,Other</t>
  </si>
  <si>
    <t>Non-monetary incentives</t>
  </si>
  <si>
    <t>Active living (e.g., fitness center, classes, walking, run/walk event (marathon), etc.),Company sponsored activity or challenge,Social wellbeing (e.g., community giving, volunteering),Environmental wellbeing (e.g., recycle, alternative transportation),Wellbeing apps (e.g., Sleepio, Happify)</t>
  </si>
  <si>
    <t>Entry into prize drawing</t>
  </si>
  <si>
    <t>Account not offered</t>
  </si>
  <si>
    <t>Resiliency,Meditation or mindfulness,Better/improved sleep,Stress and burnout,Financial wellbeing,Environmental and social wellbeing,Caregivers - respite</t>
  </si>
  <si>
    <t>Virtual (e.g., live webcast, telephonic coaching, text chat, tele-health),Self-paced (e.g., website or mobile app)</t>
  </si>
  <si>
    <t>Some, not all are integrated</t>
  </si>
  <si>
    <t>Virtual (e.g., live webcast, telephonic coaching, text chat,  telehealth),Self-paced (e.g., website or mobile app)</t>
  </si>
  <si>
    <t>Recycling,Electronic waste recycling,Bicycles,On-site gardens,Cafeteria food sourcing - local growers,Shuttle services,Electric car charging stations</t>
  </si>
  <si>
    <t>Cancer,Depression,Infertility,Pregnancy</t>
  </si>
  <si>
    <t>Infertility,Transplants,Other</t>
  </si>
  <si>
    <t>Institutes of Quality (IOQ) — Inpatient Behavioral Health</t>
  </si>
  <si>
    <t>Do not offer</t>
  </si>
  <si>
    <t>No - data is not captured</t>
  </si>
  <si>
    <t>Main benefits website,Links to non-company website (e.g., vendor sites, WebMD, etc.)</t>
  </si>
  <si>
    <t>Monetary incentives</t>
  </si>
  <si>
    <t>Active living (e.g., fitness center, classes, walking, run/walk event (marathon), etc.)</t>
  </si>
  <si>
    <t>Financial wellbeing</t>
  </si>
  <si>
    <t>Virtual (e.g., live webcast, telephonic coaching, text chat, tele-health),In-person</t>
  </si>
  <si>
    <t>None are integrated</t>
  </si>
  <si>
    <t>Virtual (e.g., live webcast, telephonic coaching, text chat,  telehealth),In-person</t>
  </si>
  <si>
    <t>Cancer,Diabetes,Pregnancy</t>
  </si>
  <si>
    <t xml:space="preserve">No incentives offered </t>
  </si>
  <si>
    <t>Meditation or mindfulness,Financial wellbeing</t>
  </si>
  <si>
    <t>Self-paced (e.g., website or mobile app)</t>
  </si>
  <si>
    <t>Asthma,COPD,Coronary artery disease,Depression,Diabetes</t>
  </si>
  <si>
    <t>5 or more</t>
  </si>
  <si>
    <t>SLA(s) being considered - might be added in next 12 months</t>
  </si>
  <si>
    <t>Transplants,Other</t>
  </si>
  <si>
    <t>organ transplants and bariatric surgeries are only covered if services are rendered at a “Blue Distinction Center for Transplant” center</t>
  </si>
  <si>
    <t>Offered with outcome-based incentive</t>
  </si>
  <si>
    <t>Yes - data is populated by both vendor and employee/dependent</t>
  </si>
  <si>
    <t>Health fairs,Laboratory - voucher available,Home kit - voucher available</t>
  </si>
  <si>
    <t>Full-time employees,Part-time employees,Spouse,Domestic partner,Interns</t>
  </si>
  <si>
    <t>Some campuses tobacco free</t>
  </si>
  <si>
    <t>Some campuses smokeless tobacco free</t>
  </si>
  <si>
    <t>Full-time employees,Part-time employees,Spouse,Interns,Agency temp workers,Contractors</t>
  </si>
  <si>
    <t xml:space="preserve">Do not offer fitness tracking devices </t>
  </si>
  <si>
    <t>Monetary incentives,Non-monetary incentives</t>
  </si>
  <si>
    <t>Discount on benefits premium,Cash gift card,Entry into prize drawing,Recognition - company newsletter or website,Points (internal points system)</t>
  </si>
  <si>
    <t>Recognition - company newsletter or website</t>
  </si>
  <si>
    <t>Resiliency,Meditation or mindfulness,Better/improved sleep,Stress and burnout,Financial wellbeing,Caregivers - respite</t>
  </si>
  <si>
    <t>Virtual (e.g., live webcast, telephonic coaching, text chat,  telehealth),In-person,Self-paced (e.g., website or mobile app)</t>
  </si>
  <si>
    <t>Cancer,Diabetes,Infertility,Pregnancy</t>
  </si>
  <si>
    <t>Cancer,Infertility</t>
  </si>
  <si>
    <t>Full-time employees,Part-time employees,Spouse,Domestic partner,Child(ren),Other family member (e.g., parents, siblings, in-laws),Inpatriates,Interns,Other</t>
  </si>
  <si>
    <t>25% (employee pays very small amount)</t>
  </si>
  <si>
    <t>Full-time employees,Part-time employees,Spouse,Domestic partner,Child(ren),Inpatriates,Interns</t>
  </si>
  <si>
    <t>Only employees at a location without a company sponsored on-site fitness center</t>
  </si>
  <si>
    <t>Main benefits website,Dedicated health &amp; wellbeing website or webpage,Links to non-company website (e.g., vendor sites, WebMD, etc.),Recurring electronic news (newsletter/email)</t>
  </si>
  <si>
    <t>Internal/Company affinity groups, blogs, wikis, online communities</t>
  </si>
  <si>
    <t>Resiliency,Meditation or mindfulness,Better/improved sleep,Stress and burnout,Financial wellbeing</t>
  </si>
  <si>
    <t>Virtual (e.g., live webcast, telephonic coaching, text chat, tele-health),In-person,Self-paced (e.g., website or mobile app)</t>
  </si>
  <si>
    <t>Asthma,Depression,Diabetes</t>
  </si>
  <si>
    <t>Cancer,Infertility,Pregnancy,Transplants</t>
  </si>
  <si>
    <t>SLA(s) currently in place</t>
  </si>
  <si>
    <t>Bariatric</t>
  </si>
  <si>
    <t>On-site medical clinic(s),Laboratory - voucher available,Physician office - voucher available</t>
  </si>
  <si>
    <t>On-site medical clinic(s),Online, electronically, virtual,Telehealth or telemedicine</t>
  </si>
  <si>
    <t>Full-time employees,Part-time employees,Spouse,Domestic partner,Child(ren),Interns</t>
  </si>
  <si>
    <t>No tobacco free campuses but tobacco free buildings</t>
  </si>
  <si>
    <t>Main benefits website,Dedicated health &amp; wellbeing website or webpage,Links to non-company website (e.g., vendor sites, WebMD, etc.),Recurring electronic news (newsletter/email),Online video library</t>
  </si>
  <si>
    <t>Resiliency,Meditation or mindfulness,Better/improved sleep,Stress and burnout,Financial wellbeing,Environmental and social wellbeing</t>
  </si>
  <si>
    <t>Carpool parking,Recycling,Shuttle services,Electric car charging stations</t>
  </si>
  <si>
    <t>Diabetes,Pregnancy</t>
  </si>
  <si>
    <t>No smokeless tobacco free campuses but tobacco free buildings</t>
  </si>
  <si>
    <t>Full-time employees,Part-time employees,Inpatriates,Interns</t>
  </si>
  <si>
    <t>Main benefits website</t>
  </si>
  <si>
    <t>Virtual (e.g., live webcast, telephonic coaching, text chat,  telehealth)</t>
  </si>
  <si>
    <t>Recycling,Electronic waste recycling,Bicycles,Electric car charging stations</t>
  </si>
  <si>
    <t>Asthma,COPD,Coronary artery disease,Diabetes</t>
  </si>
  <si>
    <t xml:space="preserve">SLA(s) not being considered </t>
  </si>
  <si>
    <t>Infertility</t>
  </si>
  <si>
    <t>100% (employee pays entire amount)</t>
  </si>
  <si>
    <t>Active living (e.g., fitness center, classes, walking, run/walk event (marathon), etc.),Company sponsored activity or challenge</t>
  </si>
  <si>
    <t>Discount on benefits premium</t>
  </si>
  <si>
    <t>Discount on benefits premium,Cash gift card</t>
  </si>
  <si>
    <t>Asthma,Cancer,Coronary artery disease,Depression,Diabetes</t>
  </si>
  <si>
    <t>Cancer,Infertility,Pregnancy</t>
  </si>
  <si>
    <t>Main benefits website,Dedicated health &amp; wellbeing website or webpage</t>
  </si>
  <si>
    <t>Health Risk Assessment (HRA),Company sponsored activity or challenge</t>
  </si>
  <si>
    <t>Points (internal points system)</t>
  </si>
  <si>
    <t>Cash gift card,Entry into prize drawing,Recognition - company newsletter or website,Points (internal points system)</t>
  </si>
  <si>
    <t>Diabetes</t>
  </si>
  <si>
    <t>Online, electronically, virtual</t>
  </si>
  <si>
    <t>Full-time employees,Part-time employees,Spouse,Domestic partner,Other</t>
  </si>
  <si>
    <t>Main benefits website,Dedicated health &amp; wellbeing website or webpage,Links to non-company website (e.g., vendor sites, WebMD, etc.)</t>
  </si>
  <si>
    <t>Asthma,Cancer,COPD,Coronary artery disease,Diabetes,Infertility</t>
  </si>
  <si>
    <t>50% (employee/employer split cost)</t>
  </si>
  <si>
    <t>Resiliency,Meditation or mindfulness,Stress and burnout,Financial wellbeing,Environmental and social wellbeing</t>
  </si>
  <si>
    <t>Coronary artery disease,Diabetes</t>
  </si>
  <si>
    <t>Transplants</t>
  </si>
  <si>
    <t>On-site medical clinic(s),Laboratory - voucher available,Physician office - voucher available,Other</t>
  </si>
  <si>
    <t>NA - Onsite biometric screenings were not done in 2021. Will resume in 2022.</t>
  </si>
  <si>
    <t>Full-time employees,Part-time employees,Spouse,Domestic partner</t>
  </si>
  <si>
    <t>Cash gift card</t>
  </si>
  <si>
    <t>Cash gift card,Entry into prize drawing</t>
  </si>
  <si>
    <t>Cash gift card,Entry into prize drawing,Merchandise,Other</t>
  </si>
  <si>
    <t>Cash gift card,Recognition - company newsletter or website,Merchandise</t>
  </si>
  <si>
    <t>Cash gift card,Recognition - company newsletter or website,Other</t>
  </si>
  <si>
    <t>Recycling,Bicycles,On-site gardens,Cafeteria food sourcing - local growers,Shuttle services,Electric car charging stations,Other</t>
  </si>
  <si>
    <t>Infertility,Transplants</t>
  </si>
  <si>
    <t>Full-time employees,Part-time employees,Spouse,Domestic partner,Child(ren)</t>
  </si>
  <si>
    <t>External/Non-Company Online Communities (e.g., MyHealthTeam, Patients Like Me)</t>
  </si>
  <si>
    <t>Full-time employees,Part-time employees,Spouse,Domestic partner,Interns,Agency temp workers,Contractors</t>
  </si>
  <si>
    <t>Main benefits website,Links to non-company website (e.g., vendor sites, WebMD, etc.),Other</t>
  </si>
  <si>
    <t>On-site (non-medical clinic),On-site medical clinic(s),Near-site medical clinic(s),Online, electronically, virtual,Telehealth or telemedicine</t>
  </si>
  <si>
    <t>SLA(s) in progress - will be added in next 12 months</t>
  </si>
  <si>
    <t>Tobacco cessation program,Company sponsored activity or challenge,Social wellbeing (e.g., community giving, volunteering)</t>
  </si>
  <si>
    <t>Recycling,Electronic waste recycling,Electric car charging stations</t>
  </si>
  <si>
    <t>Yes - data is populated by the vendor</t>
  </si>
  <si>
    <t>External location(s),Online, electronically, virtual</t>
  </si>
  <si>
    <t>Main benefits website,Links to non-company website (e.g., vendor sites, WebMD, etc.),Recurring electronic news (newsletter/email),Online video library</t>
  </si>
  <si>
    <t>Weight management program,Tobacco cessation program,Active living (e.g., fitness center, classes, walking, run/walk event (marathon), etc.),Company sponsored activity or challenge</t>
  </si>
  <si>
    <t>Asthma,Cancer,COPD,Coronary artery disease,Diabetes,Transplants</t>
  </si>
  <si>
    <t>No current policy but planning tobacco free campuses</t>
  </si>
  <si>
    <t>No smokeless tobacco free environments offered</t>
  </si>
  <si>
    <t>Do not replace or reissue devices</t>
  </si>
  <si>
    <t>Health Risk Assessment (HRA),Biometric screening,Tobacco cessation program,Active living (e.g., fitness center, classes, walking, run/walk event (marathon), etc.),Company sponsored activity or challenge,Social wellbeing (e.g., community giving, volunteering),Environmental wellbeing (e.g., recycle, alternative transportation),Wellbeing apps (e.g., Sleepio, Happify)</t>
  </si>
  <si>
    <t>Cash gift card,Points (internal points system)</t>
  </si>
  <si>
    <t>Asthma,Cancer,COPD,Diabetes</t>
  </si>
  <si>
    <t>Health fairs,On-site medical clinic(s)</t>
  </si>
  <si>
    <t>Full-time employees,Part-time employees,Spouse,Domestic partner,Child(ren),Other family member (e.g., parents, siblings, in-laws),Inpatriates,Expatriates,Interns,Other</t>
  </si>
  <si>
    <t>Full-time employees,Part-time employees,Contractors</t>
  </si>
  <si>
    <t>Cash gift card,Merchandise</t>
  </si>
  <si>
    <t>Meditation or mindfulness,Better/improved sleep,Stress and burnout,Financial wellbeing,Caregivers - respite</t>
  </si>
  <si>
    <t>No current policy but planning smokeless tobacco free campuses</t>
  </si>
  <si>
    <t>Full-time employees,Part-time employees,Spouse,Domestic partner,Child(ren),Other family member (e.g., parents, siblings, in-laws),Inpatriates,Interns,Agency temp workers,Other</t>
  </si>
  <si>
    <t>Main benefits website,Recurring electronic news (newsletter/email)</t>
  </si>
  <si>
    <t>Carpool parking,Recycling,Electronic waste recycling,On-site gardens,Cafeteria food sourcing - local growers,Shuttle services,Electric car charging stations</t>
  </si>
  <si>
    <t>Full-time employees,Part-time employees,Expatriates,Interns</t>
  </si>
  <si>
    <t>Links to non-company website (e.g., vendor sites, WebMD, etc.)</t>
  </si>
  <si>
    <t>Health fairs,On-site medical clinic(s),Laboratory - voucher available,Physician office - voucher available</t>
  </si>
  <si>
    <t>As needed</t>
  </si>
  <si>
    <t>Fitness classes (e.g., yoga, pilates, spin)</t>
  </si>
  <si>
    <t>Health Risk Assessment (HRA),Biometric screening,Health coaching,Weight management program,Tobacco cessation program,Active living (e.g., fitness center, classes, walking, run/walk event (marathon), etc.),Company sponsored activity or challenge,Online tools/education/courses</t>
  </si>
  <si>
    <t>Kidney, Neonatal and Bariatric</t>
  </si>
  <si>
    <t>Health fairs,Laboratory - voucher available</t>
  </si>
  <si>
    <t>Health Risk Assessment (HRA),Biometric screening,Health coaching,Active living (e.g., fitness center, classes, walking, run/walk event (marathon), etc.),Company sponsored activity or challenge,Online tools/education/courses</t>
  </si>
  <si>
    <t>Merchandise,Points (internal points system)</t>
  </si>
  <si>
    <t>Recycling,Electronic waste recycling,Bicycles,Shuttle services,Electric car charging stations</t>
  </si>
  <si>
    <t>Team building/bonding,Clubs,Diversity and inclusion events and initiatives,Volunteering,Mentoring,Disaster relief support</t>
  </si>
  <si>
    <t>Health fairs,On-site medical clinic(s),Home kit - voucher available</t>
  </si>
  <si>
    <t>Yes, on all campuses</t>
  </si>
  <si>
    <t>Full-time employees,Part-time employees,Interns,Contractors</t>
  </si>
  <si>
    <t>Carpool parking,Recycling,Bicycles,Cafeteria food sourcing - local growers,Shuttle services,Electric car charging stations,Other</t>
  </si>
  <si>
    <t>Entry into prize drawing,Points (internal points system)</t>
  </si>
  <si>
    <t>Yes, all are integrated</t>
  </si>
  <si>
    <t>Main benefits website,Dedicated health &amp; wellbeing website or webpage,Recurring electronic news (newsletter/email)</t>
  </si>
  <si>
    <t>Recognition - company newsletter or website,Merchandise,Points (internal points system)</t>
  </si>
  <si>
    <t>Entry into prize drawing,Points (internal points system),Other</t>
  </si>
  <si>
    <t>Entry into prize drawing,Merchandise,Points (internal points system),Other</t>
  </si>
  <si>
    <t>Virtual (e.g., live webcast, telephonic coaching, text chat, tele-health)</t>
  </si>
  <si>
    <t>Recycling</t>
  </si>
  <si>
    <t>Near-site medical clinic(s),On-site medical clinic(s),Laboratory - voucher available,Physician office - voucher available,Home kit - voucher available,Other</t>
  </si>
  <si>
    <t>Full-time employees,Part-time employees,Spouse,Interns</t>
  </si>
  <si>
    <t>Main benefits website,Dedicated health &amp; wellbeing website or webpage,Links to non-company website (e.g., vendor sites, WebMD, etc.),Online video library</t>
  </si>
  <si>
    <t>Asthma,Cancer,COPD,Coronary artery disease,Diabetes</t>
  </si>
  <si>
    <t>Main benefits website,Links to non-company website (e.g., vendor sites, WebMD, etc.),Recurring electronic news (newsletter/email)</t>
  </si>
  <si>
    <t>Biometric screening,Weight management program,Active living (e.g., fitness center, classes, walking, run/walk event (marathon), etc.),Company sponsored activity or challenge,Online tools/education/courses,Wellbeing apps (e.g., Sleepio, Happify)</t>
  </si>
  <si>
    <t>Depression,Diabetes</t>
  </si>
  <si>
    <t>Resiliency,Meditation or mindfulness,Better/improved sleep,Stress and burnout</t>
  </si>
  <si>
    <t>Meditation or mindfulness</t>
  </si>
  <si>
    <t>Company sponsored activity or challenge</t>
  </si>
  <si>
    <t>Cash gift card,Other</t>
  </si>
  <si>
    <t>Team building/bonding,Clubs,Diversity and inclusion events and initiatives,Campus events (such as BBQs),Volunteering,Company party and/or celebrations,Disaster relief support</t>
  </si>
  <si>
    <t>Meditation or mindfulness,Stress and burnout,Financial wellbeing,Environmental and social wellbeing</t>
  </si>
  <si>
    <t>Health Risk Assessment (HRA),Biometric screening,Tobacco cessation program,Active living (e.g., fitness center, classes, walking, run/walk event (marathon), etc.),Company sponsored activity or challenge</t>
  </si>
  <si>
    <t>Cash gift card,Entry into prize drawing,Recognition - company newsletter or website,Merchandise</t>
  </si>
  <si>
    <t>Asthma,Cancer,COPD,Transplants,Other</t>
  </si>
  <si>
    <t>Heart Disease, Bariatric Services, Kidney Disease</t>
  </si>
  <si>
    <t>Gaming apps (e.g., Rally)</t>
  </si>
  <si>
    <t>Meditation or mindfulness,Stress and burnout</t>
  </si>
  <si>
    <t>Full-time employees,Part-time employees,Expatriates,Inpatriates</t>
  </si>
  <si>
    <t>Health coaching,Active living (e.g., fitness center, classes, walking, run/walk event (marathon), etc.),Company sponsored activity or challenge,Social wellbeing (e.g., community giving, volunteering),Environmental wellbeing (e.g., recycle, alternative transportation),Wellbeing apps (e.g., Sleepio, Happify)</t>
  </si>
  <si>
    <t>Entry into prize drawing,Merchandise</t>
  </si>
  <si>
    <t>Carpool parking,Recycling,Bicycles,On-site gardens,Shuttle services,Electric car charging stations</t>
  </si>
  <si>
    <t>Cancer,COPD,Infertility,Pregnancy</t>
  </si>
  <si>
    <t>Main benefits website,Links to non-company website (e.g., vendor sites, WebMD, etc.),Online video library,Other</t>
  </si>
  <si>
    <t>Recycling,Electronic waste recycling,Bicycles,Cafeteria food sourcing - local growers</t>
  </si>
  <si>
    <t>Gaming apps (e.g., Rally),External/Non-Company Online Communities (e.g., MyHealthTeam, Patients Like Me)</t>
  </si>
  <si>
    <t>Asthma,Cancer,COPD,Coronary artery disease,Depression,Diabetes,Pregnancy</t>
  </si>
  <si>
    <t>Health fairs,On-site medical clinic(s),Laboratory - voucher available,Physician office - voucher available,Home kit - voucher available</t>
  </si>
  <si>
    <t>Full-time employees,Part-time employees,Spouse,Domestic partner,Expatriates,Interns</t>
  </si>
  <si>
    <t>Full-time employees,Part-time employees,Spouse,Domestic partner,Child(ren),Other family member (e.g., parents, siblings, in-laws),Expatriates,Interns,Other</t>
  </si>
  <si>
    <t>Fitness classes (e.g., yoga, pilates, spin),Services for well-being programs</t>
  </si>
  <si>
    <t>Contribution to FSA, HSA, HRA, 401(k)</t>
  </si>
  <si>
    <t>Cash gift card,Entry into prize drawing,Merchandise</t>
  </si>
  <si>
    <t>Full-time employees,Part-time employees,Expatriates</t>
  </si>
  <si>
    <t>Health Risk Assessment (HRA),Weight management program,Online tools/education/courses</t>
  </si>
  <si>
    <t>External location(s),Online, electronically, virtual,Telehealth or telemedicine</t>
  </si>
  <si>
    <t>Full-time employees,Part-time employees,Spouse,Domestic partner,Child(ren),Other family member (e.g., parents, siblings, in-laws)</t>
  </si>
  <si>
    <t>Cash gift card,Entry into prize drawing,Merchandise,Points (internal points system)</t>
  </si>
  <si>
    <t>Cafeteria food sourcing - local growers,Electric car charging stations</t>
  </si>
  <si>
    <t>Dedicated health &amp; wellbeing website or webpage</t>
  </si>
  <si>
    <t>Social network (e.g., Facebook)</t>
  </si>
  <si>
    <t>Full-time employees,Part-time employees,Inpatriates</t>
  </si>
  <si>
    <t>Sports equipment; mental health/meditation apps; sports lessons, etc.</t>
  </si>
  <si>
    <t>Main benefits website,Links to non-company website (e.g., vendor sites, WebMD, etc.),Recurring electronic news (newsletter/email),Other</t>
  </si>
  <si>
    <t>Fitness &amp; Health, Family Support, Financial Wellness, Nutrition, Legal Support, Petcare. Professional Development, Transportation</t>
  </si>
  <si>
    <t>Cancer,Transplants,Other</t>
  </si>
  <si>
    <t>Congenital Heart Disease, Comprehensive Kidney Disease, Bariatric Surgery</t>
  </si>
  <si>
    <t>Meditation or mindfulness,Caregivers - respite</t>
  </si>
  <si>
    <t>Pregnancy</t>
  </si>
  <si>
    <t>On-site screenings</t>
  </si>
  <si>
    <t>Main benefits website,Dedicated health &amp; wellbeing website or webpage,Online video library</t>
  </si>
  <si>
    <t>Health Risk Assessment (HRA),Biometric screening,Health coaching,Weight management program,Active living (e.g., fitness center, classes, walking, run/walk event (marathon), etc.),Company sponsored activity or challenge,Social wellbeing (e.g., community giving, volunteering),Wellbeing apps (e.g., Sleepio, Happify)</t>
  </si>
  <si>
    <t>Asthma,Diabetes,Pregnancy,Transplants</t>
  </si>
  <si>
    <t>Cancer,Infertility,Transplants</t>
  </si>
  <si>
    <t>Health Risk Assessment (HRA),Health coaching,Weight management program,Tobacco cessation program,Online tools/education/courses</t>
  </si>
  <si>
    <t>Cafeteria food sourcing - local growers,Shuttle services</t>
  </si>
  <si>
    <t>Recycling,Electronic waste recycling,Bicycles,On-site gardens,Other</t>
  </si>
  <si>
    <t>Athletic leagues,Team building/bonding,Diversity and inclusion events and initiatives,Volunteering,Mentoring,Disaster relief support,Other</t>
  </si>
  <si>
    <t>Cancer,Coronary artery disease,Depression,Diabetes,Pregnancy,Musculoskeletal</t>
  </si>
  <si>
    <t>Dedicated health &amp; wellbeing website or webpage,Links to non-company website (e.g., vendor sites, WebMD, etc.),Recurring electronic news (newsletter/email),Other</t>
  </si>
  <si>
    <t>Active living (e.g., fitness center, classes, walking, run/walk event (marathon), etc.),Company sponsored activity or challenge,Social wellbeing (e.g., community giving, volunteering),Environmental wellbeing (e.g., recycle, alternative transportation)</t>
  </si>
  <si>
    <t>On-site medical clinic(s),Online, electronically, virtual</t>
  </si>
  <si>
    <t>Cash gift card,Merchandise,Points (internal points system)</t>
  </si>
  <si>
    <t>Main benefits website,Dedicated health &amp; wellbeing website or webpage,Links to non-company website (e.g., vendor sites, WebMD, etc.),Recurring electronic news (newsletter/email),Other</t>
  </si>
  <si>
    <t>Carpool parking,Recycling,Electric car charging stations</t>
  </si>
  <si>
    <t>7 - 9</t>
  </si>
  <si>
    <t>10 - 14</t>
  </si>
  <si>
    <t>15 - 19</t>
  </si>
  <si>
    <t>4 - 6</t>
  </si>
  <si>
    <t>1 - 3</t>
  </si>
  <si>
    <t>Co-payments,Deductibles</t>
  </si>
  <si>
    <t xml:space="preserve">Cigna Open Access Plus HDHP </t>
  </si>
  <si>
    <t xml:space="preserve">Kaiser Washington </t>
  </si>
  <si>
    <t xml:space="preserve"> </t>
  </si>
  <si>
    <t>Health Plus Savings Plan</t>
  </si>
  <si>
    <t>LifeConnections Plus Savings Plan</t>
  </si>
  <si>
    <t>Female memberâ€™s ovary stimulation and retrieval of eggs,Male member retrieval of sperm,Implantation of eggs or oocytes or donor sperm into a host uterus</t>
  </si>
  <si>
    <t>Providers who have met established qualifications (e.g., certified ABA provider),Providers who perform services in consultation with certified providers (e.g., therapy assistants),Clinically licensed professionals, such as select Doctorate and Masterâ€˜s prepared providers,If a certified provider is not available, the plan may cover services performed by a non-certified provider under the supervision of a certified provider</t>
  </si>
  <si>
    <t xml:space="preserve">If you enroll in the HPSP, Company will deposit $600 for individual coverage or $900 for family coverage into your account in January 2021 (from National OE Guide)  Company contribution:  Individual: $600  Employee with dependents: $900 (from SPD)
</t>
  </si>
  <si>
    <t>Average age of benefits eligible employees</t>
  </si>
  <si>
    <t>Percentage of benefits eligible workforce: Male</t>
  </si>
  <si>
    <t>Percentage of benefits eligible workforce: Female</t>
  </si>
  <si>
    <t>Percentage of benefits eligible workforce: Nonbinary</t>
  </si>
  <si>
    <t>Percentage of benefits eligible workforce: Did not disclose</t>
  </si>
  <si>
    <t>Percentage of benefits eligible workforce: Exempt</t>
  </si>
  <si>
    <t>Percentage of benefits eligible workforce: Non-exempt (hourly/overtime eligible)</t>
  </si>
  <si>
    <t>Percentage of benefits eligible workforce: Millennials</t>
  </si>
  <si>
    <t>Percentage of benefits eligible workforce: Engineers</t>
  </si>
  <si>
    <t>Recognitions or certifications received in 2021</t>
  </si>
  <si>
    <t>Recognitions or certifications received in 2021: Other</t>
  </si>
  <si>
    <t>Audits: major accomplishments in 2021</t>
  </si>
  <si>
    <t>Communications: Major accomplishments in 2021</t>
  </si>
  <si>
    <t>Compliance: Major accomplishments in 2021</t>
  </si>
  <si>
    <t>Cost: Major accomplishments in 2021</t>
  </si>
  <si>
    <t>Disability: Major accomplishments in 2021</t>
  </si>
  <si>
    <t>Employee experience: Major accomplishments in 2021</t>
  </si>
  <si>
    <t>Health and welfare plans: Major accomplishments in 2021</t>
  </si>
  <si>
    <t>Leave of absence: Major accomplishments in 2021</t>
  </si>
  <si>
    <t>Mental health: Major accomplishments in 2021</t>
  </si>
  <si>
    <t>Mergers and acquisitions: Major accomplishments in 2021</t>
  </si>
  <si>
    <t>Perks and convenience services: Major accomplishments in 2021</t>
  </si>
  <si>
    <t>Pilots: Major accomplishments in 2021</t>
  </si>
  <si>
    <t>Request for proposal and information: Major accomplishments in 2021</t>
  </si>
  <si>
    <t>Retirement and savings: Major accomplishments in 2021</t>
  </si>
  <si>
    <t>Systems and tools: Major accomplishments in 2021</t>
  </si>
  <si>
    <t>Vacation and holidays: Major accomplishments in 2021</t>
  </si>
  <si>
    <t>Vendors and outsourcing services: Major accomplishments in 2021</t>
  </si>
  <si>
    <t>Voluntary benefits: Major accomplishments in 2021</t>
  </si>
  <si>
    <t>Global benefits function organizational hierarchy</t>
  </si>
  <si>
    <t>401(k) savings: Managed by U.S. benefits department</t>
  </si>
  <si>
    <t>Non-qualified deferred compensation: Managed by U.S. benefits department</t>
  </si>
  <si>
    <t>Company stock: Managed by U.S. benefits department</t>
  </si>
  <si>
    <t>Student loan debt program: Managed by U.S. benefits department</t>
  </si>
  <si>
    <t>Tuition assistance: Managed by U.S. benefits department</t>
  </si>
  <si>
    <t>Adoption assistance: Managed by U.S. benefits department</t>
  </si>
  <si>
    <t>Surrogacy assistance: Managed by U.S. benefits department</t>
  </si>
  <si>
    <t>Flexible savings accounts: Managed by U.S. benefits department</t>
  </si>
  <si>
    <t>Health savings accounts: Managed by U.S. benefits department</t>
  </si>
  <si>
    <t>Health reimbursement accounts: Managed by U.S. benefits department</t>
  </si>
  <si>
    <t>Pre-tax commuter: Managed by U.S. benefits department</t>
  </si>
  <si>
    <t>Disability: Managed by U.S. benefits department</t>
  </si>
  <si>
    <t>Worker's compensation: Managed by U.S. benefits department</t>
  </si>
  <si>
    <t>Return to work and workplace accommodations: Managed by U.S. benefits department</t>
  </si>
  <si>
    <t>Parental leaves (maternity, paternity): Managed by U.S. benefits department</t>
  </si>
  <si>
    <t>State and federal mandates (FMLA, sick leave): Managed by U.S. benefits department</t>
  </si>
  <si>
    <t>Holidays: Managed by U.S. benefits department</t>
  </si>
  <si>
    <t>Vacation: Managed by U.S. benefits department</t>
  </si>
  <si>
    <t>Sabbaticals: Managed by U.S. benefits department</t>
  </si>
  <si>
    <t>Medical: Managed by U.S. benefits department</t>
  </si>
  <si>
    <t>Dental: Managed by U.S. benefits department</t>
  </si>
  <si>
    <t>Vision: Managed by U.S. benefits department</t>
  </si>
  <si>
    <t>Short and long term disability: Managed by U.S. benefits department</t>
  </si>
  <si>
    <t>On-site fitness center: Managed by U.S. benefits department</t>
  </si>
  <si>
    <t>On-site health center: Managed by U.S. benefits department</t>
  </si>
  <si>
    <t>Mobile health vehicles: Managed by U.S. benefits department</t>
  </si>
  <si>
    <t>Near-site health center: Managed by U.S. benefits department</t>
  </si>
  <si>
    <t>Voluntary plans - legal insurance: Managed by U.S. benefits department</t>
  </si>
  <si>
    <t>Voluntary plans - financial planning: Managed by U.S. benefits department</t>
  </si>
  <si>
    <t>Voluntary plans - pet insurance: Managed by U.S. benefits department</t>
  </si>
  <si>
    <t>Voluntary plans - long term care: Managed by U.S. benefits department</t>
  </si>
  <si>
    <t>Company perks and discounts: Managed by U.S. benefits department</t>
  </si>
  <si>
    <t>On-site convenience services: Managed by U.S. benefits department</t>
  </si>
  <si>
    <t>Caregiving resources (childcare centers, back-up care): Managed by U.S. benefits department</t>
  </si>
  <si>
    <t>Mobility relocation immigration: Managed by U.S. benefits department</t>
  </si>
  <si>
    <t>Expat and inpat: Managed by U.S. benefits department</t>
  </si>
  <si>
    <t>Mergers and acquisitions: Managed by U.S. benefits department</t>
  </si>
  <si>
    <t>Service awards: Managed by U.S. benefits department</t>
  </si>
  <si>
    <t>Executive benefits: Managed by U.S. benefits department</t>
  </si>
  <si>
    <t>Corporate matching gifts and philanthropy: Managed by U.S. benefits department</t>
  </si>
  <si>
    <t>Medical conditions with highest claims prevalence</t>
  </si>
  <si>
    <t>Other medical conditions with highest claims prevalence</t>
  </si>
  <si>
    <t>Medical conditions with highest claims cost</t>
  </si>
  <si>
    <t>Other medical conditions with highest claims cost</t>
  </si>
  <si>
    <t>Mental health conditions with highest claims prevalence</t>
  </si>
  <si>
    <t>Other mental health conditions with highest claims prevalence</t>
  </si>
  <si>
    <t>Mental health conditions with highest claims cost</t>
  </si>
  <si>
    <t>Other mental health conditions with highest claims cost</t>
  </si>
  <si>
    <t>Key priorities and goals for current year</t>
  </si>
  <si>
    <t>Communication goal for current year: First</t>
  </si>
  <si>
    <t>Communication goal for current year: Second</t>
  </si>
  <si>
    <t>Communication goal for current year: Third</t>
  </si>
  <si>
    <t>Compliance goal for current year: First</t>
  </si>
  <si>
    <t>Compliance goal for current year: Second</t>
  </si>
  <si>
    <t>Compliance goal for current year: Third</t>
  </si>
  <si>
    <t>Cost containment goal for current year: First</t>
  </si>
  <si>
    <t>Cost containment goal for current year: Second</t>
  </si>
  <si>
    <t>Cost containment goal for current year: Third</t>
  </si>
  <si>
    <t>Wellness goal for current year: First</t>
  </si>
  <si>
    <t>Wellness goal for current year: Second</t>
  </si>
  <si>
    <t>Wellness goal for current year: Third</t>
  </si>
  <si>
    <t>Other goal for current year: First</t>
  </si>
  <si>
    <t>Other goal for current year: Second</t>
  </si>
  <si>
    <t>Other goal for current year: Third</t>
  </si>
  <si>
    <t>Workers eligible for medical plan coverage</t>
  </si>
  <si>
    <t>Workers eligible for medical plan coverage - other</t>
  </si>
  <si>
    <t>Different eligibility rules based on job type/function</t>
  </si>
  <si>
    <t>Waiting period for medical plan coverage for non-regular part-time and full-time employee types</t>
  </si>
  <si>
    <t>Other waiting period for medical plan coverage for non-regular part-time and full-time employee types</t>
  </si>
  <si>
    <t>Minimum weekly hour eligibility requirement for full-time employees</t>
  </si>
  <si>
    <t>Minimum weekly hour eligibility requirement for part-time employees</t>
  </si>
  <si>
    <t>Maximum weekly hour eligibility requirement for part-time employees</t>
  </si>
  <si>
    <t>Employee automatically enrolled in medical coverage if not waived</t>
  </si>
  <si>
    <t>Default medical plan: Full-time employees</t>
  </si>
  <si>
    <t>Default medical plan: Part-time employees</t>
  </si>
  <si>
    <t>Default medical plan: Interns and students</t>
  </si>
  <si>
    <t>Default medical plan: Contractors</t>
  </si>
  <si>
    <t>Default medical plan: Agency temporary workers</t>
  </si>
  <si>
    <t>Default medical plan: Seasonal workers</t>
  </si>
  <si>
    <t>Medical plan enrollment tiers</t>
  </si>
  <si>
    <t>Percentage of total medical plan enrollment: Waive or opt out</t>
  </si>
  <si>
    <t>Percentage of total medical plan enrollment: Employee only</t>
  </si>
  <si>
    <t>Percentage of total medical plan enrollment: Employee + spouse/DP</t>
  </si>
  <si>
    <t>Percentage of total medical plan enrollment: Employee + spouse/DP or child(ren)</t>
  </si>
  <si>
    <t>Percentage of total medical plan enrollment: Employee + any child(ren)</t>
  </si>
  <si>
    <t>Percentage of total medical plan enrollment: Employee + 1 child</t>
  </si>
  <si>
    <t>Percentage of total medical plan enrollment: Employee + 2 children</t>
  </si>
  <si>
    <t>Percentage of total medical plan enrollment: Employee + 3 children</t>
  </si>
  <si>
    <t>Percentage of total medical plan enrollment: Employee + 4 children</t>
  </si>
  <si>
    <t>Percentage of total medical plan enrollment: Employee + 5 children</t>
  </si>
  <si>
    <t>Percentage of total medical plan enrollment: Family (employee + spouse/DP + dependent) with any child(ren)</t>
  </si>
  <si>
    <t>Percentage of total medical plan enrollment: Family (employee + spouse/DP + dependent) with 1 child</t>
  </si>
  <si>
    <t>Percentage of total medical plan enrollment: Family (employee + spouse/DP + dependent) with 2 children</t>
  </si>
  <si>
    <t>Percentage of total medical plan enrollment: Family (employee + spouse/DP + dependent) with 3 child(ren)</t>
  </si>
  <si>
    <t>Percentage of total medical plan enrollment: Family (employee + spouse/DP + dependent) with 4 child(ren)</t>
  </si>
  <si>
    <t>Percentage of total medical plan enrollment: Family (employee + spouse/DP + dependent) with 5 child(ren)</t>
  </si>
  <si>
    <t>Average family size (including employee and dependents) enrolled in medical plans</t>
  </si>
  <si>
    <t>Medical cost trend before planned design changes: Medical (self-insured)</t>
  </si>
  <si>
    <t>Medical cost trend before planned design changes: Pharmacy (includes specialty)</t>
  </si>
  <si>
    <t>Medical cost trend before planned design changes: Pharmacy (specialty only)</t>
  </si>
  <si>
    <t>Medical cost trend before planned design changes: Behavioral health</t>
  </si>
  <si>
    <t>Medical cost trend before planned design changes: Medical (fully insured)</t>
  </si>
  <si>
    <t>Medical cost trend after planned design changes: Medical (self-insured)</t>
  </si>
  <si>
    <t>Medical cost trend after planned design changes: Pharmacy (includes specialty)</t>
  </si>
  <si>
    <t>Medical cost trend after planned design changes: Pharmacy (specialty only)</t>
  </si>
  <si>
    <t>Medical cost trend after planned design changes: Behavioral health</t>
  </si>
  <si>
    <t>Medical cost trend after planned design changes: Medical (fully insured)</t>
  </si>
  <si>
    <t>Average percentage of overall employee costs paid for full-time employees: Medical plan</t>
  </si>
  <si>
    <t>Average percentage of overall employee costs paid for part-time employees: Medical plan</t>
  </si>
  <si>
    <t>Average percentage of overall employee costs paid for full-time employees: Dental plan</t>
  </si>
  <si>
    <t>Average percentage of overall employee costs paid for part-time employees: Dental plan</t>
  </si>
  <si>
    <t>Average percentage of overall employee costs paid for full-time employees: Vision plan</t>
  </si>
  <si>
    <t>Average percentage of overall employee costs paid for part-time employees: Vision plan</t>
  </si>
  <si>
    <t>Average percentage of overall dependent costs paid for full-time employees: Medical plan</t>
  </si>
  <si>
    <t>Average percentage of overall dependent costs paid for part-time employees: Medical plan</t>
  </si>
  <si>
    <t>Average percentage of overall dependent costs paid for full-time employees: Dental plan</t>
  </si>
  <si>
    <t>Average percentage of overall dependent costs paid for part-time employees: Dental plan</t>
  </si>
  <si>
    <t>Average percentage of overall dependent costs paid for full-time employees: Vision plan</t>
  </si>
  <si>
    <t>Average percentage of overall dependent costs paid for part-time employees: Vision plan</t>
  </si>
  <si>
    <t>Salary based health plan premium program in place</t>
  </si>
  <si>
    <t>Employees who opt out of medical plan coverage receive cash waive credit</t>
  </si>
  <si>
    <t>Maximum amount of monthly waive medical plan coverage credit</t>
  </si>
  <si>
    <t>Employees who opt out of dental plan coverage receive cash waive credit</t>
  </si>
  <si>
    <t>Maximum amount of monthly waive dental plan coverage credit</t>
  </si>
  <si>
    <t>Employees who opt out of vision plan coverage receive cash waive credit</t>
  </si>
  <si>
    <t>Maximum amount of monthly waive vision plan coverage credit</t>
  </si>
  <si>
    <t>Employees required to pay medical premium surcharge for unhealthy behaviors (i.e., smoking)</t>
  </si>
  <si>
    <t>Amount of annual medical plan premium surcharge for unhealthy behaviors (i.e., smoking)</t>
  </si>
  <si>
    <t>Employees required to pay medical premium surcharge for covering dependents who have access to alternate coverage</t>
  </si>
  <si>
    <t>Amount of annual medical plan premium surcharge for covering dependents who have access to alternate coverage</t>
  </si>
  <si>
    <t>Type of medical plans offered</t>
  </si>
  <si>
    <t>Total monthly premium for PPO medical plan with highest enrollment: Waive or opt out</t>
  </si>
  <si>
    <t>Total monthly premium for PPO medical plan with highest enrollment: Employee only</t>
  </si>
  <si>
    <t>Total monthly premium for PPO medical plan with highest enrollment: Employee + spouse/DP</t>
  </si>
  <si>
    <t>Total monthly premium for PPO medical plan with highest enrollment: Employee + spouse/DP or child(ren)</t>
  </si>
  <si>
    <t>Total monthly premium for PPO medical plan with highest enrollment: Employee + any child(ren)</t>
  </si>
  <si>
    <t>Total monthly premium for PPO medical plan with highest enrollment: Employee + 1 child</t>
  </si>
  <si>
    <t>Total monthly premium for PPO medical plan with highest enrollment: Employee + 2 children</t>
  </si>
  <si>
    <t>Total monthly premium for PPO medical plan with highest enrollment: Employee + 3 children</t>
  </si>
  <si>
    <t>Total monthly premium for PPO medical plan with highest enrollment: Employee + 4 children</t>
  </si>
  <si>
    <t>Total monthly premium for PPO medical plan with highest enrollment: Employee + 5 children</t>
  </si>
  <si>
    <t>Total monthly premium for PPO medical plan with highest enrollment: Family (employee + spouse/DP + dependent) with any child(ren)</t>
  </si>
  <si>
    <t>Total monthly premium for PPO medical plan with highest enrollment: Family (employee + spouse/DP + dependent) with 1 child</t>
  </si>
  <si>
    <t>Total monthly premium for PPO medical plan with highest enrollment: Family (employee + spouse/DP + dependent) with 2 child(ren)</t>
  </si>
  <si>
    <t>Total monthly premium for PPO medical plan with highest enrollment: Family (employee + spouse/DP + dependent) with 3 child(ren)</t>
  </si>
  <si>
    <t>Total monthly premium for PPO medical plan with highest enrollment: Family (employee + spouse/DP + dependent) with 4 child(ren)</t>
  </si>
  <si>
    <t>Total monthly premium for PPO medical plan with highest enrollment: Family (employee + spouse/DP + dependent) with 5 child(ren)</t>
  </si>
  <si>
    <t>Percentage of PPO medical plan premium paid by company</t>
  </si>
  <si>
    <t>Total monthly premium for EPO medical plan with highest enrollment: Waive or opt out</t>
  </si>
  <si>
    <t>Total monthly premium for EPO medical plan with highest enrollment: Employee only</t>
  </si>
  <si>
    <t>Total monthly premium for EPO medical plan with highest enrollment: Employee + spouse/DP</t>
  </si>
  <si>
    <t>Total monthly premium for EPO medical plan with highest enrollment: Employee + spouse/DP or child(ren)</t>
  </si>
  <si>
    <t>Total monthly premium for EPO medical plan with highest enrollment: Employee + any child(ren)</t>
  </si>
  <si>
    <t>Total monthly premium for EPO medical plan with highest enrollment: Employee + 1 child</t>
  </si>
  <si>
    <t>Total monthly premium for EPO medical plan with highest enrollment: Employee + 2 children</t>
  </si>
  <si>
    <t>Total monthly premium for EPO medical plan with highest enrollment: Employee + 3 children</t>
  </si>
  <si>
    <t>Total monthly premium for EPO medical plan with highest enrollment: Employee + 4 children</t>
  </si>
  <si>
    <t>Total monthly premium for EPO medical plan with highest enrollment: Employee + 5 children</t>
  </si>
  <si>
    <t>Total monthly premium for EPO medical plan with highest enrollment: Family (employee + spouse/DP + dependent) with any child(ren)</t>
  </si>
  <si>
    <t>Total monthly premium for EPO medical plan with highest enrollment: Family (employee + spouse/DP + dependent) with 1 child</t>
  </si>
  <si>
    <t>Total monthly premium for EPO medical plan with highest enrollment: Family (employee + spouse/DP + dependent) with 2 child(ren)</t>
  </si>
  <si>
    <t>Total monthly premium for EPO medical plan with highest enrollment: Family (employee + spouse/DP + dependent) with 3 child(ren)</t>
  </si>
  <si>
    <t>Total monthly premium for EPO medical plan with highest enrollment: Family (employee + spouse/DP + dependent) with 4 child(ren)</t>
  </si>
  <si>
    <t>Total monthly premium for EPO medical plan with highest enrollment: Family (employee + spouse/DP + dependent) with 5 child(ren)</t>
  </si>
  <si>
    <t>Percentage of EPO medical plan premium paid by company</t>
  </si>
  <si>
    <t>Total monthly premium for HDHP/HSA medical plan with highest enrollment: Waive or opt out</t>
  </si>
  <si>
    <t>Total monthly premium for HDHP/HSA medical plan with highest enrollment: Employee only</t>
  </si>
  <si>
    <t>Total monthly premium for HDHP/HSA medical plan with highest enrollment: Employee + spouse/DP</t>
  </si>
  <si>
    <t>Total monthly premium for HDHP/HSA medical plan with highest enrollment: Employee + spouse/DP or child(ren)</t>
  </si>
  <si>
    <t>Total monthly premium for HDHP/HSA medical plan with highest enrollment: Employee + any child(ren)</t>
  </si>
  <si>
    <t>Total monthly premium for HDHP/HSA medical plan with highest enrollment: Employee + 1 child</t>
  </si>
  <si>
    <t>Total monthly premium for HDHP/HSA medical plan with highest enrollment: Employee + 2 children</t>
  </si>
  <si>
    <t>Total monthly premium for HDHP/HSA medical plan with highest enrollment: Employee + 3 children</t>
  </si>
  <si>
    <t>Total monthly premium for HDHP/HSA medical plan with highest enrollment: Employee + 4 children</t>
  </si>
  <si>
    <t>Total monthly premium for HDHP/HSA medical plan with highest enrollment: Employee + 5 children</t>
  </si>
  <si>
    <t>Total monthly premium for HDHP/HSA medical plan with highest enrollment: Family (employee + spouse/DP + dependent) with any child(ren)</t>
  </si>
  <si>
    <t>Total monthly premium for HDHP/HSA medical plan with highest enrollment: Family (employee + spouse/DP + dependent) with 1 child</t>
  </si>
  <si>
    <t>Total monthly premium for HDHP/HSA medical plan with highest enrollment: Family (employee + spouse/DP + dependent) with 2 child(ren)</t>
  </si>
  <si>
    <t>Total monthly premium for HDHP/HSA medical plan with highest enrollment: Family (employee + spouse/DP + dependent) with 3 child(ren)</t>
  </si>
  <si>
    <t>Total monthly premium for HDHP/HSA medical plan with highest enrollment: Family (employee + spouse/DP + dependent) with 4 child(ren)</t>
  </si>
  <si>
    <t>Total monthly premium for HDHP/HSA medical plan with highest enrollment: Family (employee + spouse/DP + dependent) with 5 child(ren)</t>
  </si>
  <si>
    <t>Percentage of HDHP/HSA medical plan premium paid by company</t>
  </si>
  <si>
    <t>Total monthly premium for HMO medical plan with highest enrollment: Waive or opt out</t>
  </si>
  <si>
    <t>Total monthly premium for HMO medical plan with highest enrollment: Employee only</t>
  </si>
  <si>
    <t>Total monthly premium for HMO medical plan with highest enrollment: Employee + spouse/DP</t>
  </si>
  <si>
    <t>Total monthly premium for HMO medical plan with highest enrollment: Employee + spouse/DP or child(ren)</t>
  </si>
  <si>
    <t>Total monthly premium for HMO medical plan with highest enrollment: Employee + any child(ren)</t>
  </si>
  <si>
    <t>Total monthly premium for HMO medical plan with highest enrollment: Employee + 1 child</t>
  </si>
  <si>
    <t>Total monthly premium for HMO medical plan with highest enrollment: Employee + 2 children</t>
  </si>
  <si>
    <t>Total monthly premium for HMO medical plan with highest enrollment: Employee + 3 children</t>
  </si>
  <si>
    <t>Total monthly premium for HMO medical plan with highest enrollment: Employee + 4 children</t>
  </si>
  <si>
    <t>Total monthly premium for HMO medical plan with highest enrollment: Employee + 5 children</t>
  </si>
  <si>
    <t>Total monthly premium for HMO medical plan with highest enrollment: Family (employee + spouse/DP + dependent) with any child(ren)</t>
  </si>
  <si>
    <t>Total monthly premium for HMO medical plan with highest enrollment: Family (employee + spouse/DP + dependent) with 1 child</t>
  </si>
  <si>
    <t>Total monthly premium for HMO medical plan with highest enrollment: Family (employee + spouse/DP + dependent) with 2 child(ren)</t>
  </si>
  <si>
    <t>Total monthly premium for HMO medical plan with highest enrollment: Family (employee + spouse/DP + dependent) with 3 child(ren)</t>
  </si>
  <si>
    <t>Total monthly premium for HMO medical plan with highest enrollment: Family (employee + spouse/DP + dependent) with 4 child(ren)</t>
  </si>
  <si>
    <t>Total monthly premium for HMO medical plan with highest enrollment: Family (employee + spouse/DP + dependent) with 5 child(ren)</t>
  </si>
  <si>
    <t>Percentage of HMO medical plan premium paid by company</t>
  </si>
  <si>
    <t>Total monthly premium for POS medical plan with highest enrollment: Waive or opt out</t>
  </si>
  <si>
    <t>Total monthly premium for POS medical plan with highest enrollment: Employee only</t>
  </si>
  <si>
    <t>Total monthly premium for POS medical plan with highest enrollment: Employee + spouse/DP</t>
  </si>
  <si>
    <t>Total monthly premium for POS medical plan with highest enrollment: Employee + spouse/DP or child(ren)</t>
  </si>
  <si>
    <t>Total monthly premium for POS medical plan with highest enrollment: Employee + any child(ren)</t>
  </si>
  <si>
    <t>Total monthly premium for POS medical plan with highest enrollment: Employee + 1 child</t>
  </si>
  <si>
    <t>Total monthly premium for POS medical plan with highest enrollment: Employee + 2 children</t>
  </si>
  <si>
    <t>Total monthly premium for POS medical plan with highest enrollment: Employee + 3 children</t>
  </si>
  <si>
    <t>Total monthly premium for POS medical plan with highest enrollment: Employee + 4 children</t>
  </si>
  <si>
    <t>Total monthly premium for POS medical plan with highest enrollment: Employee + 5 children</t>
  </si>
  <si>
    <t>Total monthly premium for POS medical plan with highest enrollment: Family (employee + spouse/DP + dependent) with any child(ren)</t>
  </si>
  <si>
    <t>Total monthly premium for POS medical plan with highest enrollment: Family (employee + spouse/DP + dependent) with 1 child</t>
  </si>
  <si>
    <t>Total monthly premium for POS medical plan with highest enrollment: Family (employee + spouse/DP + dependent) with 2 child(ren)</t>
  </si>
  <si>
    <t>Total monthly premium for POS medical plan with highest enrollment: Family (employee + spouse/DP + dependent) with 3 child(ren)</t>
  </si>
  <si>
    <t>Total monthly premium for POS medical plan with highest enrollment: Family (employee + spouse/DP + dependent) with 4 child(ren)</t>
  </si>
  <si>
    <t>Total monthly premium for POS medical plan with highest enrollment: Family (employee + spouse/DP + dependent) with 5 child(ren)</t>
  </si>
  <si>
    <t>Percentage of POS medical plan premium paid by company</t>
  </si>
  <si>
    <t>Total monthly premium for CDHP/HRA medical plan with highest enrollment: Waive or opt out</t>
  </si>
  <si>
    <t>Total monthly premium for CDHP/HRA medical plan with highest enrollment: Employee only</t>
  </si>
  <si>
    <t>Total monthly premium for CDHP/HRA medical plan with highest enrollment: Employee + spouse/DP</t>
  </si>
  <si>
    <t>Total monthly premium for CDHP/HRA medical plan with highest enrollment: Employee + spouse/DP or child(ren)</t>
  </si>
  <si>
    <t>Total monthly premium for CDHP/HRA medical plan with highest enrollment: Employee + any child(ren)</t>
  </si>
  <si>
    <t>Total monthly premium for CDHP/HRA medical plan with highest enrollment: Employee + 1 child</t>
  </si>
  <si>
    <t>Total monthly premium for CDHP/HRA medical plan with highest enrollment: Employee + 2 children</t>
  </si>
  <si>
    <t>Total monthly premium for CDHP/HRA medical plan with highest enrollment: Employee + 3 children</t>
  </si>
  <si>
    <t>Total monthly premium for CDHP/HRA medical plan with highest enrollment: Employee + 4 children</t>
  </si>
  <si>
    <t>Total monthly premium for CDHP/HRA medical plan with highest enrollment: Employee + 5 children</t>
  </si>
  <si>
    <t>Total monthly premium for CDHP/HRA medical plan with highest enrollment: Family (employee + spouse/DP + dependent) with any child(ren)</t>
  </si>
  <si>
    <t>Total monthly premium for CDHP/HRA medical plan with highest enrollment: Family (employee + spouse/DP + dependent) with 1 child</t>
  </si>
  <si>
    <t>Total monthly premium for CDHP/HRA medical plan with highest enrollment: Family (employee + spouse/DP + dependent) with 2 child(ren)</t>
  </si>
  <si>
    <t>Total monthly premium for CDHP/HRA medical plan with highest enrollment: Family (employee + spouse/DP + dependent) with 3 child(ren)</t>
  </si>
  <si>
    <t>Total monthly premium for CDHP/HRA medical plan with highest enrollment: Family (employee + spouse/DP + dependent) with 4 child(ren)</t>
  </si>
  <si>
    <t>Total monthly premium for CDHP/HRA medical plan with highest enrollment: Family (employee + spouse/DP + dependent) with 5 child(ren)</t>
  </si>
  <si>
    <t>Percentage of CDHP/HRA medical plan premium paid by company</t>
  </si>
  <si>
    <t>Total monthly premium for indemnity - out of area medical plan with highest enrollment: Waive or opt out</t>
  </si>
  <si>
    <t>Total monthly premium for indemnity - out of area medical plan with highest enrollment: Employee only</t>
  </si>
  <si>
    <t>Total monthly premium for indemnity - out of area medical plan with highest enrollment: Employee + spouse/DP</t>
  </si>
  <si>
    <t>Total monthly premium for indemnity - out of area medical plan with highest enrollment: Employee + spouse/DP or child(ren)</t>
  </si>
  <si>
    <t>Total monthly premium for indemnity - out of area medical plan with highest enrollment: Employee + any child(ren)</t>
  </si>
  <si>
    <t>Total monthly premium for indemnity - out of area medical plan with highest enrollment: Employee + 1 child</t>
  </si>
  <si>
    <t>Total monthly premium for indemnity - out of area medical plan with highest enrollment: Employee + 2 children</t>
  </si>
  <si>
    <t>Total monthly premium for indemnity - out of area medical plan with highest enrollment: Employee + 3 children</t>
  </si>
  <si>
    <t>Total monthly premium for indemnity - out of area medical plan with highest enrollment: Employee + 4 children</t>
  </si>
  <si>
    <t>Total monthly premium for indemnity - out of area medical plan with highest enrollment: Employee + 5 children</t>
  </si>
  <si>
    <t>Total monthly premium for indemnity - out of area medical plan with highest enrollment: Family (employee + spouse/DP + dependent) with any child(ren)</t>
  </si>
  <si>
    <t>Total monthly premium for indemnity - out of area medical plan with highest enrollment: Family (employee + spouse/DP + dependent) with 1 child</t>
  </si>
  <si>
    <t>Total monthly premium for indemnity - out of area medical plan with highest enrollment: Family (employee + spouse/DP + dependent) with 2 child(ren)</t>
  </si>
  <si>
    <t>Total monthly premium for indemnity - out of area medical plan with highest enrollment: Family (employee + spouse/DP + dependent) with 3 child(ren)</t>
  </si>
  <si>
    <t>Total monthly premium for indemnity - out of area medical plan with highest enrollment: Family (employee + spouse/DP + dependent) with 4 child(ren)</t>
  </si>
  <si>
    <t>Total monthly premium for indemnity - out of area medical plan with highest enrollment: Family (employee + spouse/DP + dependent) with 5 child(ren)</t>
  </si>
  <si>
    <t>Percentage of indemnity - out of area medical plan premium paid by company</t>
  </si>
  <si>
    <t>Number of dental plans offered</t>
  </si>
  <si>
    <t>Dental plan with highest enrollment</t>
  </si>
  <si>
    <t>Total monthly premium for dental plan with highest enrollment: Waive or opt out</t>
  </si>
  <si>
    <t>Total monthly premium for dental plan with highest enrollment: Employee only</t>
  </si>
  <si>
    <t>Total monthly premium for dental plan with highest enrollment: Employee + spouse/DP</t>
  </si>
  <si>
    <t>Total monthly premium for dental plan with highest enrollment: Employee + spouse/DP or child(ren)</t>
  </si>
  <si>
    <t>Total monthly premium for dental plan with highest enrollment: Employee + any child(ren)</t>
  </si>
  <si>
    <t>Total monthly premium for dental plan with highest enrollment: Employee + 1 child</t>
  </si>
  <si>
    <t>Total monthly premium for dental plan with highest enrollment: Employee + 2 children</t>
  </si>
  <si>
    <t>Total monthly premium for dental plan with highest enrollment: Employee + 3 children</t>
  </si>
  <si>
    <t>Total monthly premium for dental plan with highest enrollment: Employee + 4 children</t>
  </si>
  <si>
    <t>Total monthly premium for dental plan with highest enrollment: Employee + 5 children</t>
  </si>
  <si>
    <t>Total monthly premium for dental plan with highest enrollment: Family (employee + spouse/DP + dependent) with any child(ren)</t>
  </si>
  <si>
    <t>Total monthly premium for dental plan with highest enrollment: Family (employee + spouse/DP + dependent) with 1 child</t>
  </si>
  <si>
    <t>Total monthly premium for dental plan with highest enrollment: Family (employee + spouse/DP + dependent) with 2 child(ren)</t>
  </si>
  <si>
    <t>Total monthly premium for dental plan with highest enrollment: Family (employee + spouse/DP + dependent) with 3 child(ren)</t>
  </si>
  <si>
    <t>Total monthly premium for dental plan with highest enrollment: Family (employee + spouse/DP + dependent) with 4 child(ren)</t>
  </si>
  <si>
    <t>Total monthly premium for dental plan with highest enrollment: Family (employee + spouse/DP + dependent) with 5 child(ren)</t>
  </si>
  <si>
    <t>Percentage of dental plan premium paid by company</t>
  </si>
  <si>
    <t>Number of vision plans offered</t>
  </si>
  <si>
    <t>Total monthly premium for vision plan with highest enrollment: Waive or opt out</t>
  </si>
  <si>
    <t>Total monthly premium for vision plan with highest enrollment: Employee only</t>
  </si>
  <si>
    <t>Total monthly premium for vision plan with highest enrollment: Employee + spouse/DP</t>
  </si>
  <si>
    <t>Total monthly premium for vision plan with highest enrollment: Employee + spouse/DP or child(ren)</t>
  </si>
  <si>
    <t>Total monthly premium for vision plan with highest enrollment: Employee + any child(ren)</t>
  </si>
  <si>
    <t>Total monthly premium for vision plan with highest enrollment: Employee + 1 child</t>
  </si>
  <si>
    <t>Total monthly premium for vision plan with highest enrollment: Employee + 2 children</t>
  </si>
  <si>
    <t>Total monthly premium for vision plan with highest enrollment: Employee + 3 children</t>
  </si>
  <si>
    <t>Total monthly premium for vision plan with highest enrollment: Employee + 4 children</t>
  </si>
  <si>
    <t>Total monthly premium for vision plan with highest enrollment: Employee + 5 children</t>
  </si>
  <si>
    <t>Total monthly premium for vision plan with highest enrollment: Family (employee + spouse/DP + dependent) with any child(ren)</t>
  </si>
  <si>
    <t>Total monthly premium for vision plan with highest enrollment: Family (employee + spouse/DP + dependent) with 1 child</t>
  </si>
  <si>
    <t>Total monthly premium for vision plan with highest enrollment: Family (employee + spouse/DP + dependent) with 2 child(ren)</t>
  </si>
  <si>
    <t>Total monthly premium for vision plan with highest enrollment: Family (employee + spouse/DP + dependent) with 3 child(ren)</t>
  </si>
  <si>
    <t>Total monthly premium for vision plan with highest enrollment: Family (employee + spouse/DP + dependent) with 4 child(ren)</t>
  </si>
  <si>
    <t>Total monthly premium for vision plan with highest enrollment: Family (employee + spouse/DP + dependent) with 5 child(ren)</t>
  </si>
  <si>
    <t>Percentage of vision plan premium paid by company</t>
  </si>
  <si>
    <t>Stop loss used to mitigate financial risk of self-insured medical plans</t>
  </si>
  <si>
    <t>Specific stop loss deductible</t>
  </si>
  <si>
    <t>Aggregate stop loss attachment point amount</t>
  </si>
  <si>
    <t>Stop loss maximum reimbursement amount</t>
  </si>
  <si>
    <t>Pooling, captives, or other arrangements in place to mitigate financial risk</t>
  </si>
  <si>
    <t>When medical benefits end for terminated full-time employees</t>
  </si>
  <si>
    <t>When medical benefits end for terminated part-time employees</t>
  </si>
  <si>
    <t>When medical benefits end for terminated interns/students, contractors, agency temporary workers, seasonal workers</t>
  </si>
  <si>
    <t>COBRA coverage extended beyond 18 month requirement</t>
  </si>
  <si>
    <t>How long COBRA coverage is extended beyond 18 month requirement</t>
  </si>
  <si>
    <t>Benefits provided to full-time employees</t>
  </si>
  <si>
    <t>Benefits provided to part-time employees</t>
  </si>
  <si>
    <t>Benefits provided to interns or students</t>
  </si>
  <si>
    <t>Benefits provided to contractors</t>
  </si>
  <si>
    <t>Benefits provided to agency temporary workers</t>
  </si>
  <si>
    <t>Benefits provided to seasonal workers</t>
  </si>
  <si>
    <t>Length of time employee has to notify company of qualified change of status events</t>
  </si>
  <si>
    <t>Other length of time employee has to notify company of qualified change of status events</t>
  </si>
  <si>
    <t>Extended enrollment period beyond 30 days</t>
  </si>
  <si>
    <t>Length of time employee has to notify company of newborn</t>
  </si>
  <si>
    <t>Other length of time employee has to notify company of newborn</t>
  </si>
  <si>
    <t>Medical plan automatically enrolls newborn</t>
  </si>
  <si>
    <t>Coverage criteria: Stepchildren</t>
  </si>
  <si>
    <t>Coverage criteria: Adopted children</t>
  </si>
  <si>
    <t>Coverage criteria: Foster children</t>
  </si>
  <si>
    <t>Coverage criteria: Grandchildren</t>
  </si>
  <si>
    <t>Coverage criteria: Niece/nephew</t>
  </si>
  <si>
    <t>Coverage criteria: Children of eligible domestic partner (enrolled)</t>
  </si>
  <si>
    <t>Coverage criteria: Children of eligible domestic partner (not enrolled)</t>
  </si>
  <si>
    <t>When benefits end for qualified change of status events where coverage is terminated</t>
  </si>
  <si>
    <t>Other date when benefits end for qualified change of status events where coverage is terminated</t>
  </si>
  <si>
    <t>Definition of domestic partner written in summary plan description</t>
  </si>
  <si>
    <t>Domestic partners eligible for medical benefits</t>
  </si>
  <si>
    <t>Benefits offered to domestic partners: Opposite-sex</t>
  </si>
  <si>
    <t>Basis used to impute income for domestic partners</t>
  </si>
  <si>
    <t>Groups that are 'grossed up' to reimburse for taxes paid</t>
  </si>
  <si>
    <t>Policy for state taxes for domestic partners</t>
  </si>
  <si>
    <t>Mobile optimized tools provided</t>
  </si>
  <si>
    <t>Actions available through the mobile optimized website</t>
  </si>
  <si>
    <t>Benefits information compatible with voice command technology (i.e., Alexa, Siri, etc.)</t>
  </si>
  <si>
    <t>Online benefits administration tools offered to employees</t>
  </si>
  <si>
    <t>Most recent year programs or offerings were audited: Medical plan</t>
  </si>
  <si>
    <t>Most recent year programs or offerings were audited: Prescription drug coverage</t>
  </si>
  <si>
    <t>Most recent year programs or offerings were audited: Dental plan</t>
  </si>
  <si>
    <t>Most recent year programs or offerings were audited: Vision plan</t>
  </si>
  <si>
    <t>Most recent year programs or offerings were audited: Disease/care management</t>
  </si>
  <si>
    <t>Most recent year programs or offerings were audited: Benefits administration</t>
  </si>
  <si>
    <t>Most recent year programs or offerings were audited: COBRA</t>
  </si>
  <si>
    <t>Most recent year programs or offerings were audited: Dependent coverage</t>
  </si>
  <si>
    <t>Most recent year programs or offerings were audited: Eligibility requirements</t>
  </si>
  <si>
    <t>Most recent year programs or offerings were audited: Expense/claim recovery (i.e., stop loss, subrogation)</t>
  </si>
  <si>
    <t>Have audits planned for 2022</t>
  </si>
  <si>
    <t>Type of audits planned for 2022</t>
  </si>
  <si>
    <t>Other type of audits planned for 2022</t>
  </si>
  <si>
    <t>Medical or prescription drug administrative services only (ASO) contract includes funding to conduct audits</t>
  </si>
  <si>
    <t>Have and maintain a data warehouse</t>
  </si>
  <si>
    <t>Type of data stored in the data warehouse</t>
  </si>
  <si>
    <t>Other type of data stored in the data warehouse</t>
  </si>
  <si>
    <t>Frequency of use for the data in the data warehouse</t>
  </si>
  <si>
    <t>Partner with a third-party subrogation claim recovery vendor (separate vendor from subrogation services offered by medical plan administrator)</t>
  </si>
  <si>
    <t>Group that develops benefit communications</t>
  </si>
  <si>
    <t>Status of communication methods: Mobile apps</t>
  </si>
  <si>
    <t>Status of communication methods: Benefits enrollment decision tools</t>
  </si>
  <si>
    <t>Status of communication methods: Leave of absence planning tools</t>
  </si>
  <si>
    <t>Status of communication methods: Benefits website</t>
  </si>
  <si>
    <t>Status of communication methods: Benefits enrollment system (website)</t>
  </si>
  <si>
    <t>Status of communication methods: Benefits enrollment system (mobile phone)</t>
  </si>
  <si>
    <t>Status of communication methods: Home mailings</t>
  </si>
  <si>
    <t>Status of communication methods: Emails</t>
  </si>
  <si>
    <t>Status of communication methods: Newsletters</t>
  </si>
  <si>
    <t>Status of communication methods: Standard printed collateral (posters, flyers, etc.)</t>
  </si>
  <si>
    <t>Status of communication methods: Marquees - display monitors</t>
  </si>
  <si>
    <t>Status of communication methods: Webinars</t>
  </si>
  <si>
    <t>Status of communication methods: Audio only (dial-in) information sessions</t>
  </si>
  <si>
    <t>Status of communication methods: Videos - YouTube</t>
  </si>
  <si>
    <t>Status of communication methods: In-person meetings</t>
  </si>
  <si>
    <t>Status of communication methods: Campus health fairs or special events</t>
  </si>
  <si>
    <t>Status of communication methods: Push Text Messages</t>
  </si>
  <si>
    <t>Status of communication methods: Facebook (or equivalent)</t>
  </si>
  <si>
    <t>Status of communication methods: Twitter (or equivalent)</t>
  </si>
  <si>
    <t>Status of communication methods: Blogs</t>
  </si>
  <si>
    <t>Status of communication methods: Wikis</t>
  </si>
  <si>
    <t>Status of communication methods: Slack</t>
  </si>
  <si>
    <t>Frequency of benefit communications: Mobile apps</t>
  </si>
  <si>
    <t>Frequency of benefit communications: Benefits enrollment decision tools</t>
  </si>
  <si>
    <t>Frequency of benefit communications: Leave of absence planning tools</t>
  </si>
  <si>
    <t>Frequency of benefit communications: Benefits website</t>
  </si>
  <si>
    <t>Frequency of benefit communications: Benefits enrollment system (website)</t>
  </si>
  <si>
    <t>Frequency of benefit communications: Benefits enrollment system (mobile phone)</t>
  </si>
  <si>
    <t>Frequency of benefit communications: Home mailings</t>
  </si>
  <si>
    <t>Frequency of benefit communications: Emails</t>
  </si>
  <si>
    <t>Frequency of benefit communications: Newsletters</t>
  </si>
  <si>
    <t>Frequency of benefit communications: Standard printed collateral (posters, flyers,  table tents, paycheck stuffers, etc.)</t>
  </si>
  <si>
    <t>Frequency of benefit communications: Marquees - display monitors</t>
  </si>
  <si>
    <t>Frequency of benefit communications: Webinars</t>
  </si>
  <si>
    <t>Frequency of benefit communications: Audio only (dial-in) information sessions</t>
  </si>
  <si>
    <t>Frequency of benefit communications: Videos - YouTube</t>
  </si>
  <si>
    <t>Frequency of benefit communications: In-person meetings</t>
  </si>
  <si>
    <t>Frequency of benefit communications: Campus health fairs or special events</t>
  </si>
  <si>
    <t>Frequency of benefit communications: Push Text Messages</t>
  </si>
  <si>
    <t>Frequency of benefit communications: Facebook (or equivalent)</t>
  </si>
  <si>
    <t>Frequency of benefit communications: Twitter (or equivalent)</t>
  </si>
  <si>
    <t>Frequency of benefit communications: Blogs</t>
  </si>
  <si>
    <t>Frequency of benefit communications: Wikis</t>
  </si>
  <si>
    <t>Frequency of benefit communications: Slack</t>
  </si>
  <si>
    <t>Send benefits-related messages targeted to specific groups: Multi-generations</t>
  </si>
  <si>
    <t>Send benefits-related messages targeted to specific groups: Culture</t>
  </si>
  <si>
    <t>Send benefits-related messages targeted to specific groups: Locations or regions</t>
  </si>
  <si>
    <t>Send benefits-related messages targeted to specific groups: New hires</t>
  </si>
  <si>
    <t>Send benefits-related messages targeted to specific groups: Acquired employees (M&amp;A)</t>
  </si>
  <si>
    <t>Send benefits-related messages targeted to specific groups: Employee type (e.g., expats, interns,  contractors, part-time)</t>
  </si>
  <si>
    <t>Send benefits-related messages targeted to specific groups: Remote workers</t>
  </si>
  <si>
    <t>Send benefits-related messages targeted to specific groups: Employee resource groups</t>
  </si>
  <si>
    <t>Send benefits-related messages targeted to specific groups: Preparing for retirement</t>
  </si>
  <si>
    <t>Send benefits-related messages targeted to specific groups: Life events (e.g., birth, marriage,  change in hours, etc.)</t>
  </si>
  <si>
    <t>Send benefits-related messages targeted to specific groups: Other</t>
  </si>
  <si>
    <t>Other targeted group</t>
  </si>
  <si>
    <t>Have a single website where employees can find all benefits information</t>
  </si>
  <si>
    <t>Benefits website includes links to all benefit vendors</t>
  </si>
  <si>
    <t>Benefits website (intranet) is accessible outside of company firewall</t>
  </si>
  <si>
    <t>Have a benefits program brand in place that distinguishes it from other company information</t>
  </si>
  <si>
    <t>Biggest communication challenge</t>
  </si>
  <si>
    <t>Benefits or services offered: Executive-specific benefits</t>
  </si>
  <si>
    <t>Exclusive executive benefits: Special medical/dental/vision plan options</t>
  </si>
  <si>
    <t>Exclusive executive benefits: Additional vacation time</t>
  </si>
  <si>
    <t>Exclusive executive benefits: Annual physical</t>
  </si>
  <si>
    <t>Exclusive executive benefits: Car allowance</t>
  </si>
  <si>
    <t>Exclusive executive benefits: Company plane</t>
  </si>
  <si>
    <t>Exclusive executive benefits: Country club membership</t>
  </si>
  <si>
    <t>Exclusive executive benefits: Estate planning</t>
  </si>
  <si>
    <t>Exclusive executive benefits: Financial planning</t>
  </si>
  <si>
    <t>Exclusive executive benefits: Income tax preparation</t>
  </si>
  <si>
    <t>Exclusive executive benefits: First class air travel</t>
  </si>
  <si>
    <t>Exclusive executive benefits: Health club</t>
  </si>
  <si>
    <t>Increased benefit maximum for executives: Life</t>
  </si>
  <si>
    <t>Increased benefit maximum for executives: AD&amp;D</t>
  </si>
  <si>
    <t>Increased benefit maximum for executives: BTA</t>
  </si>
  <si>
    <t>Increased benefit maximum for executives: LTD</t>
  </si>
  <si>
    <t>Cash allowance given in lieu of executive perks</t>
  </si>
  <si>
    <t>Type of adoption assistance provided to employees</t>
  </si>
  <si>
    <t>Existence of maximum dollar amount of financial assistance provided per child</t>
  </si>
  <si>
    <t>Maximum dollar amount of financial assistance provided per child</t>
  </si>
  <si>
    <t>Tax status of adoption assistance reimbursement</t>
  </si>
  <si>
    <t>Other tax status of adoption assistance reimbursement</t>
  </si>
  <si>
    <t>Maximum reimbursement for adoption related expenses: Dollars per adoption maximum</t>
  </si>
  <si>
    <t>Maximum reimbursement for adoption related expenses: Dollars during lifetime maximum</t>
  </si>
  <si>
    <t>Maximum reimbursement for adoption related expenses: Number during lifetime maximum</t>
  </si>
  <si>
    <t>Adoption assistance reimbursement eligibility</t>
  </si>
  <si>
    <t>Adoption assistance reimbursement eligibility: Other</t>
  </si>
  <si>
    <t>Requirements to be eligible for adoption assistance reimbursement</t>
  </si>
  <si>
    <t>Requirements to be eligible for adoption assistance reimbursement: Other</t>
  </si>
  <si>
    <t>Adoption assistance expenses eligible for reimbursement</t>
  </si>
  <si>
    <t>Other expenses eligible for adoption assistance reimbursement</t>
  </si>
  <si>
    <t>Where company-sponsored childcare is offered</t>
  </si>
  <si>
    <t>Childcare subsidy or reimbursement offered to employees</t>
  </si>
  <si>
    <t>Maximum annual dollar amount of childcare subsidy or reimbursement</t>
  </si>
  <si>
    <t>Back-up childcare provided</t>
  </si>
  <si>
    <t>Subsidy or reimbursement offered for back-up childcare</t>
  </si>
  <si>
    <t>Maximum annual dollar amount of back-up childcare subsidy or reimbursement</t>
  </si>
  <si>
    <t>Other benefits provided through eldercare benefit</t>
  </si>
  <si>
    <t>Embryonic cryopreservation benefits offered</t>
  </si>
  <si>
    <t>Embryonic cryopreservation benefits have different deductible, co-pay, or co-insurance amount</t>
  </si>
  <si>
    <t>Length of company provided medically necessary freezing and storage of embryos</t>
  </si>
  <si>
    <t>Length of elective freezing and storage of embryos</t>
  </si>
  <si>
    <t>Lifetime maximum benefit for embryonic cryopreservation benefits in place</t>
  </si>
  <si>
    <t xml:space="preserve">Lifetime maximum benefit for embryonic cryopreservation benefits </t>
  </si>
  <si>
    <t>Embryonic cryopreservation coverage status by health plan: PPO</t>
  </si>
  <si>
    <t>Embryonic cryopreservation coverage status by health plan: POS</t>
  </si>
  <si>
    <t>Embryonic cryopreservation coverage status by health plan: HDHP w/HRA</t>
  </si>
  <si>
    <t>Embryonic cryopreservation coverage status by health plan: HDHP w/HSA</t>
  </si>
  <si>
    <t>Embryonic cryopreservation coverage status by health plan: HMO</t>
  </si>
  <si>
    <t>Embryonic cryopreservation coverage status by health plan: EPO</t>
  </si>
  <si>
    <t>Egg freezing and storage benefits have different deductible, co-pay, or co-insurance amount</t>
  </si>
  <si>
    <t>Length of company provided medically necessary freezing and storage of eggs</t>
  </si>
  <si>
    <t>Length of elective freezing and storage of eggs</t>
  </si>
  <si>
    <t>Lifetime maximum benefit for egg freezing and storage benefits in place</t>
  </si>
  <si>
    <t>Lifetime maximum benefit for egg freezing and storage benefits</t>
  </si>
  <si>
    <t>Egg freezing and storage coverage status by health plan: PPO</t>
  </si>
  <si>
    <t>Egg freezing and storage coverage status by health plan: POS</t>
  </si>
  <si>
    <t>Egg freezing and storage coverage status by health plan: HDHP w/HRA</t>
  </si>
  <si>
    <t>Egg freezing and storage coverage status by health plan: HDHP w/HSA</t>
  </si>
  <si>
    <t>Egg freezing and storage coverage status by health plan: HMO</t>
  </si>
  <si>
    <t>Egg freezing and storage coverage status by health plan: EPO</t>
  </si>
  <si>
    <t>Offer umbilical cord blood storage/banking</t>
  </si>
  <si>
    <t>Gifts/benefits provided to new parents</t>
  </si>
  <si>
    <t>Pet benefits offered</t>
  </si>
  <si>
    <t>Payer of pet insurance</t>
  </si>
  <si>
    <t>Other pet benefits offered</t>
  </si>
  <si>
    <t>Support provided to parents with disabled children</t>
  </si>
  <si>
    <t>Surrogacy related expenses are reimbursed to employees by company</t>
  </si>
  <si>
    <t>Tax status of surrogacy assistance reimbursement</t>
  </si>
  <si>
    <t>Tax status of surrogacy assistance reimbursement: Other</t>
  </si>
  <si>
    <t>Maximum reimbursement for surrogacy related expenses: Dollars per surrogacy maximum</t>
  </si>
  <si>
    <t>Maximum reimbursement for surrogacy related expenses: Dollars during lifetime maximum</t>
  </si>
  <si>
    <t>Maximum reimbursement for surrogacy related expenses: Number during lifetime maximum</t>
  </si>
  <si>
    <t>Surrogacy assistance reimbursement eligibility: Other</t>
  </si>
  <si>
    <t>Requirements to be eligible for surrogacy assistance reimbursement</t>
  </si>
  <si>
    <t>Requirements to be eligible for surrogacy assistance reimbursement: Other</t>
  </si>
  <si>
    <t xml:space="preserve">Surrogacy non-medical related expenses eligible for reimbursement </t>
  </si>
  <si>
    <t>Surrogacy non-medical related expenses eligible for reimbursement: Other</t>
  </si>
  <si>
    <t>Surrogacy-related medical expenses part of fertility/medical plan eligible for reimbursement</t>
  </si>
  <si>
    <t>Surrogacy-related medical expenses part of fertility/medical plan eligible for reimbursement: Other</t>
  </si>
  <si>
    <t>Tax treatment of surrogacy-related medical expenses</t>
  </si>
  <si>
    <t>Types of survivor support provided</t>
  </si>
  <si>
    <t>Other types of survivor support provided</t>
  </si>
  <si>
    <t>Types of lump-sum payments provided</t>
  </si>
  <si>
    <t>Method for determining the flat amount of lump-sum payments</t>
  </si>
  <si>
    <t>Other criteria used to determine flat amount</t>
  </si>
  <si>
    <t xml:space="preserve">Other type of lump-sum payment </t>
  </si>
  <si>
    <t>Additional details regarding the flat amount payout</t>
  </si>
  <si>
    <t>Amount of employee's bonus paid to survivors</t>
  </si>
  <si>
    <t>Other amount of employee's bonus paid to survivors</t>
  </si>
  <si>
    <t>Amount of additional salary paid to survivors</t>
  </si>
  <si>
    <t>Length of time financial advisory services are provided</t>
  </si>
  <si>
    <t>Types of financial advisory support provided</t>
  </si>
  <si>
    <t>Other types of financial advisory support provided</t>
  </si>
  <si>
    <t>Payer of the financial advisory services</t>
  </si>
  <si>
    <t>Types of services beyond EAP provided</t>
  </si>
  <si>
    <t>Other services provided</t>
  </si>
  <si>
    <t>Length additional services provided</t>
  </si>
  <si>
    <t>Other duration additional services provided</t>
  </si>
  <si>
    <t>Services provided at no cost</t>
  </si>
  <si>
    <t>Type of funeral/burial payment provided</t>
  </si>
  <si>
    <t>Other type of funeral/burial payment provided</t>
  </si>
  <si>
    <t>Amount of lump-sum payment</t>
  </si>
  <si>
    <t>Period of time on which the benefit is based</t>
  </si>
  <si>
    <t>Percentage of pay provided</t>
  </si>
  <si>
    <t>Family can choose the non-profit or charity that receives the donation</t>
  </si>
  <si>
    <t>Amount of donation payment</t>
  </si>
  <si>
    <t>Non-profit/charity must meet eligibility requirements</t>
  </si>
  <si>
    <t>Family can choose the scholarship or college fund</t>
  </si>
  <si>
    <t>Scholarship/college fund payment amount</t>
  </si>
  <si>
    <t>Scholarship/college fund must meet eligibility requirements</t>
  </si>
  <si>
    <t>Benefits accelerated</t>
  </si>
  <si>
    <t>Other benefits accelerated</t>
  </si>
  <si>
    <t>Subsidize COBRA coverage for surviving dependents</t>
  </si>
  <si>
    <t>Amount contributed towards COBRA coverage for surviving dependents</t>
  </si>
  <si>
    <t>Length of time COBRA coverage is subsidized for surviving dependents</t>
  </si>
  <si>
    <t>Other duration COBRA coverage subsidized</t>
  </si>
  <si>
    <t>Have a third-party vendor coordinate and communicate the survivor support provided</t>
  </si>
  <si>
    <t>Benefits vendor coordinates and/or communicates</t>
  </si>
  <si>
    <t>Provide funds to grassroots efforts (e.g., GoFundMe or family fundraisers)</t>
  </si>
  <si>
    <t>Grassroots efforts company provides funds for</t>
  </si>
  <si>
    <t>Additional survivor support provided</t>
  </si>
  <si>
    <t>Made any changes to survivor support as a result of COVID-19</t>
  </si>
  <si>
    <t>Changes made to survivor support</t>
  </si>
  <si>
    <t>Financial benefits offered</t>
  </si>
  <si>
    <t>Type of health care flexible spending account offered: Traditional FSA</t>
  </si>
  <si>
    <t>Employer contributions offered: Traditional FSA</t>
  </si>
  <si>
    <t>Employer contributions offered: Limited purpose FSA</t>
  </si>
  <si>
    <t>Employer contributions offered: Dependent care FSA</t>
  </si>
  <si>
    <t>Employer contribution limit: Traditional FSA</t>
  </si>
  <si>
    <t>Employer contribution limit: Limited purpose FSA</t>
  </si>
  <si>
    <t>Employer contribution limit: Dependent care FSA</t>
  </si>
  <si>
    <t>FSA plan offers two and a half month grace period</t>
  </si>
  <si>
    <t>FSA plan offers carry over provision</t>
  </si>
  <si>
    <t xml:space="preserve">Course and approval requirements for tuition assistance </t>
  </si>
  <si>
    <t>Other course and approval requirements for tuition assistance</t>
  </si>
  <si>
    <t>Tuition assistance offer for part-time employees</t>
  </si>
  <si>
    <t>Tuition assistance: Minimum hours of work required for part-time employees</t>
  </si>
  <si>
    <t>Tuition assistance eligibility wait period</t>
  </si>
  <si>
    <t>Tuition assistance wait period duration</t>
  </si>
  <si>
    <t>Tuition assistance: Reimbursement based on course grade</t>
  </si>
  <si>
    <t>Tuition assistance: Minimum grade required for reimbursement</t>
  </si>
  <si>
    <t>Tuition assistance reimbursement maximum: Undergraduate annual</t>
  </si>
  <si>
    <t>Tuition assistance reimbursement maximum: Undergraduate total</t>
  </si>
  <si>
    <t>Tuition assistance reimbursement maximum: Graduate annual</t>
  </si>
  <si>
    <t>Tuition assistance reimbursement maximum: Graduate total</t>
  </si>
  <si>
    <t>Tuition assistance plan: U.S. law compliance</t>
  </si>
  <si>
    <t>Annual maximum working remotely stipend/reimbursement amount</t>
  </si>
  <si>
    <t xml:space="preserve">Costs eligible for remote work stipend/reimbursement </t>
  </si>
  <si>
    <t xml:space="preserve">Other costs eligible for remote work stipend/reimbursement </t>
  </si>
  <si>
    <t>Charitable match eligibility for part-time employees</t>
  </si>
  <si>
    <t>Charitable match: Hours worked requirements for part-time employees</t>
  </si>
  <si>
    <t>Charitable match: Annual maximum</t>
  </si>
  <si>
    <t>Number of volunteer days subsidized per year</t>
  </si>
  <si>
    <t>Commuter benefits cost share model: Parking benefit or allowance</t>
  </si>
  <si>
    <t>Commuter benefits cost share model: Public transportation benefit or allowance</t>
  </si>
  <si>
    <t>Commuter benefits cost share model: Transit</t>
  </si>
  <si>
    <t>Commuter benefits cost share model: Shuttles to/from office</t>
  </si>
  <si>
    <t>Commuter benefits cost share model: Shuttles between campus locations</t>
  </si>
  <si>
    <t>Commuter benefits cost share model: Bicycling support</t>
  </si>
  <si>
    <t>Commuter benefits cost share model: Carpooling/vanpooling</t>
  </si>
  <si>
    <t>Commuter benefits: Managing group/ownership</t>
  </si>
  <si>
    <t>Commuter benefits: Maximum monthly amount</t>
  </si>
  <si>
    <t>Company issued devices: Standard policy</t>
  </si>
  <si>
    <t>Company issued devices: Eligibility criteria</t>
  </si>
  <si>
    <t>Company issued devices:  Company cost share/subsidy</t>
  </si>
  <si>
    <t>Standard company issued sit/stand desks</t>
  </si>
  <si>
    <t>Company endorsed/encouraged: Mugs or glasses to reduce paper waste</t>
  </si>
  <si>
    <t>Company endorsed/encouraged: Carpooling</t>
  </si>
  <si>
    <t>Company endorsed/encouraged: Electric car charging stations</t>
  </si>
  <si>
    <t>Company endorsed/encouraged: Preferred parking for hybrid/electric cars</t>
  </si>
  <si>
    <t>Company endorsed/encouraged: Hybrid/electric company shuttles</t>
  </si>
  <si>
    <t>Company endorsed/encouraged: "Green" communication campaigns</t>
  </si>
  <si>
    <t>Company endorsed/encouraged: Employment of a "green" officer</t>
  </si>
  <si>
    <t>Company endorsed/encouraged: Maintenance of "executive sustainability" or "green" committee</t>
  </si>
  <si>
    <t>Company endorsed/encouraged: Employee discounts for solar energy</t>
  </si>
  <si>
    <t>Convenience benefits offered:  Beverage (e.g., standard coffee, tea, juice, soft drink, etc.)</t>
  </si>
  <si>
    <t>Convenience benefits offered:  Gourmet coffee</t>
  </si>
  <si>
    <t>Convenience benefits offered:  Breakfast</t>
  </si>
  <si>
    <t>Convenience benefits offered:  Lunch</t>
  </si>
  <si>
    <t>Convenience benefits offered:  Dinner</t>
  </si>
  <si>
    <t>Convenience benefits offered:  Take home meals</t>
  </si>
  <si>
    <t>Convenience benefits offered:  Fresh produce delivery</t>
  </si>
  <si>
    <t>Convenience benefits offered:  Car wash</t>
  </si>
  <si>
    <t>Convenience benefits offered:  Oil changes</t>
  </si>
  <si>
    <t>Convenience benefits offered:  Bike repair</t>
  </si>
  <si>
    <t>Convenience benefits offered:  Dry cleaning</t>
  </si>
  <si>
    <t>Convenience benefits offered:  Banking services/credit union</t>
  </si>
  <si>
    <t>Convenience benefits offered:  ATM</t>
  </si>
  <si>
    <t>Convenience benefits offered:  Personal travel services</t>
  </si>
  <si>
    <t>Convenience benefits offered:  Identity theft protection</t>
  </si>
  <si>
    <t>Convenience benefits offered:  Hair salon</t>
  </si>
  <si>
    <t>Convenience benefits offered:  Personal property insurance (e.g., home, auto, etc.)</t>
  </si>
  <si>
    <t>Convenience benefits offered:  Postal service</t>
  </si>
  <si>
    <t>Convenience benefits offered:  Notary</t>
  </si>
  <si>
    <t>Convenience benefits offered:  Employee discounts for company products/merchandise</t>
  </si>
  <si>
    <t>Convenience benefits offered:  Company store</t>
  </si>
  <si>
    <t>Convenience benefits offered:  Convenience shopping (e.g., grocery, toiletries, etc.)</t>
  </si>
  <si>
    <t>Convenience benefits offered:  Community discounts (e.g., movies, museums, etc.)</t>
  </si>
  <si>
    <t xml:space="preserve">Service awards: Years of work increments </t>
  </si>
  <si>
    <t>Method of service milestone recognition</t>
  </si>
  <si>
    <t>Amount of cash provided for each milestone</t>
  </si>
  <si>
    <t>Amount of additional time off provided for each milestone</t>
  </si>
  <si>
    <t>Gifts/experiences provided for each milestone</t>
  </si>
  <si>
    <t>Workplace flexibility determination</t>
  </si>
  <si>
    <t>Severance benefits offered</t>
  </si>
  <si>
    <t xml:space="preserve">Employment criteria used to determine severance benefits </t>
  </si>
  <si>
    <t>Benefits included with severance: Job search time</t>
  </si>
  <si>
    <t>Benefits included with severance: Outplacement services</t>
  </si>
  <si>
    <t>Benefits included with severance: Other employee benefits</t>
  </si>
  <si>
    <t>Voluntary retirement severance benefits</t>
  </si>
  <si>
    <t>Separate severance offer for executives</t>
  </si>
  <si>
    <t>Eligibility criteria for executive severance</t>
  </si>
  <si>
    <t>Repayment of severance upon rehire</t>
  </si>
  <si>
    <t>Severance offers containing RSU preservation</t>
  </si>
  <si>
    <t>Severance and vesting impact to RSUs</t>
  </si>
  <si>
    <t>Voluntary benefits offered</t>
  </si>
  <si>
    <t>Dependents eligible for accident insurance program</t>
  </si>
  <si>
    <t>Percentage of accident insurance premium paid by employee</t>
  </si>
  <si>
    <t>Percentage of employees enrolled in accident insurance program</t>
  </si>
  <si>
    <t>Dependents eligible for critical illness insurance program</t>
  </si>
  <si>
    <t>Percentage of critical illness insurance premium paid by employee</t>
  </si>
  <si>
    <t>Percentage of employees enrolled in critical illness insurance program</t>
  </si>
  <si>
    <t>Conditions covered by critical illness insurance program</t>
  </si>
  <si>
    <t>Financial benefits offered with critical illness insurance program: Lump-sum pay-out</t>
  </si>
  <si>
    <t>Financial benefits offered with critical illness insurance program: Out-of-pocket medical expense coverage/reimbursement</t>
  </si>
  <si>
    <t>Financial benefits offered with critical illness insurance program: Supplemental disability payments</t>
  </si>
  <si>
    <t>Financial benefits offered with critical illness insurance program: Life change expense coverage/reimbursement</t>
  </si>
  <si>
    <t>Dependents eligible for hospital indemnity insurance program</t>
  </si>
  <si>
    <t>Percentage of hospital indemnity insurance premium paid by employee</t>
  </si>
  <si>
    <t>Percentage of employees enrolled in hospital indemnity insurance program</t>
  </si>
  <si>
    <t>Legal assistance benefits provided to employees: Referral through employee assistance program</t>
  </si>
  <si>
    <t>Legal assistance benefits eligibility</t>
  </si>
  <si>
    <t>Wellbeing benefits offered</t>
  </si>
  <si>
    <t>Number of free counseling sessions or assessments in emotional wellbeing program</t>
  </si>
  <si>
    <t>Number of initial free counseling sessions or assessments in employee assistance program (EAP)</t>
  </si>
  <si>
    <t>Services covered under EAP: Alcohol/substance abuse</t>
  </si>
  <si>
    <t>Services covered under EAP: Mental health</t>
  </si>
  <si>
    <t>Services covered under EAP: Legal assistance</t>
  </si>
  <si>
    <t>Services covered under EAP: Financial assistance</t>
  </si>
  <si>
    <t>Benefits provided through EAP</t>
  </si>
  <si>
    <t>EAP delivery method(s)</t>
  </si>
  <si>
    <t>Full time active eligible employees medical enrollment: PPO</t>
  </si>
  <si>
    <t>Full time active eligible employees medical enrollment: EPO</t>
  </si>
  <si>
    <t>Full time active eligible employees medical enrollment: HMO</t>
  </si>
  <si>
    <t>Full time active eligible employees medical enrollment: HDHP with HSA</t>
  </si>
  <si>
    <t>Full time active eligible employees medical enrollment: HDHP with HRA</t>
  </si>
  <si>
    <t>Full time active eligible employees medical enrollment: PPO with HRA</t>
  </si>
  <si>
    <t>Full time active eligible employees medical enrollment: EPO with HRA</t>
  </si>
  <si>
    <t>Full time active eligible employees medical enrollment: POS with HRA</t>
  </si>
  <si>
    <t>Full time active eligible employees medical enrollment: POS</t>
  </si>
  <si>
    <t>Full time active eligible employees medical enrollment: Indemnity</t>
  </si>
  <si>
    <t>Full time active eligible employees medical enrollment: Other</t>
  </si>
  <si>
    <t>Full time active eligible employees medical enrollment: Opt-out</t>
  </si>
  <si>
    <t>Part time active eligible employees medical enrollment: PPO</t>
  </si>
  <si>
    <t>Part time active eligible employees medical enrollment: EPO</t>
  </si>
  <si>
    <t>Part time active eligible employees medical enrollment: HMO</t>
  </si>
  <si>
    <t>Part time active eligible employees medical enrollment: HDHP with HSA</t>
  </si>
  <si>
    <t>Part time active eligible employees medical enrollment: HDHP with HRA</t>
  </si>
  <si>
    <t>Part time active eligible employees medical enrollment: PPO with HRA</t>
  </si>
  <si>
    <t>Part time active eligible employees medical enrollment: EPO with HRA</t>
  </si>
  <si>
    <t>Part time active eligible employees medical enrollment: POS with HRA</t>
  </si>
  <si>
    <t>Part time active eligible employees medical enrollment: POS</t>
  </si>
  <si>
    <t>Part time active eligible employees medical enrollment: Indemnity</t>
  </si>
  <si>
    <t>Part time active eligible employees medical enrollment: Other</t>
  </si>
  <si>
    <t>Part time active eligible employees medical enrollment: Opt-out</t>
  </si>
  <si>
    <t>Total number of preferred provider organization (PPO) medical plans offered</t>
  </si>
  <si>
    <t>PPO medical plan with highest enrollment (Primary)</t>
  </si>
  <si>
    <t>Other PPO plans offered</t>
  </si>
  <si>
    <t>Primary PPO medical plan: Network out-of-pocket limit per person</t>
  </si>
  <si>
    <t>Primary PPO medical plan: Network out-of-pocket limit family</t>
  </si>
  <si>
    <t>Primary PPO medical plan: Out-of-network out-of-pocket limit per person</t>
  </si>
  <si>
    <t>Primary PPO medical plan: Out-of-network out-of-pocket limit family</t>
  </si>
  <si>
    <t>Primary PPO medical plan: Out-of-pocket limit - Cross apply</t>
  </si>
  <si>
    <t>Primary PPO medical plan: Out-of-pocket limit - Aggregated</t>
  </si>
  <si>
    <t>Primary PPO medical plan: Embedded or non-embedded deductible</t>
  </si>
  <si>
    <t>Primary PPO medical plan in-network services with separate deductibles: Not applicable - no separate deductibles</t>
  </si>
  <si>
    <t>Primary PPO medical plan in-network services with separate deductibles per person: Acupuncture</t>
  </si>
  <si>
    <t>Primary PPO medical plan in-network services with separate deductibles: Chiropractic</t>
  </si>
  <si>
    <t>Primary PPO medical plan in-network services with separate deductibles: Emergency room (true emergency)</t>
  </si>
  <si>
    <t>Primary PPO medical plan in-network services with separate deductibles: Emergency room (non-emergency)</t>
  </si>
  <si>
    <t>Primary PPO medical plan in-network services with separate deductibles: Emergency room (with hospital admittance)</t>
  </si>
  <si>
    <t>Primary PPO medical plan in-network services with separate deductibles: Inpatient hospital</t>
  </si>
  <si>
    <t>Primary PPO medical plan in-network services with separate deductibles: Mental health/substance abuse</t>
  </si>
  <si>
    <t>Primary PPO medical plan in-network services with separate deductibles: Outpatient surgical center</t>
  </si>
  <si>
    <t>Primary PPO medical plan in-network services with separate deductibles: Prescription drugs (preventive)</t>
  </si>
  <si>
    <t>Primary PPO medical plan in-network services with separate deductibles: Prescription drugs (non-preventive)</t>
  </si>
  <si>
    <t>Primary PPO medical plan out-of-network services with separate deductibles: Not applicable - no separate deductibles</t>
  </si>
  <si>
    <t>Primary PPO medical plan out-of-network services with separate deductibles: Acupuncture</t>
  </si>
  <si>
    <t>Primary PPO medical plan out-of-network services with separate deductibles: Chiropractic</t>
  </si>
  <si>
    <t>Primary PPO medical plan out-of-network services with separate deductibles: Emergency room (true emergency)</t>
  </si>
  <si>
    <t>Primary PPO medical plan out-of-network services with separate deductibles: Emergency room (non-emergency)</t>
  </si>
  <si>
    <t>Primary PPO medical plan out-of-network services with separate deductibles: Emergency room (with hospital admittance)</t>
  </si>
  <si>
    <t>Primary PPO medical plan out-of-network services with separate deductibles: Inpatient hospital</t>
  </si>
  <si>
    <t>Primary PPO medical plan out-of-network services with separate deductibles: Mental health/substance abuse</t>
  </si>
  <si>
    <t>Primary PPO medical plan out-of-network services with separate deductibles: Outpatient surgical center</t>
  </si>
  <si>
    <t>Primary PPO medical plan out-of-network services with separate deductibles: Prescription drugs (preventive)</t>
  </si>
  <si>
    <t>Primary PPO medical plan out-of-network services with separate deductibles: Prescription drugs (non-preventive)</t>
  </si>
  <si>
    <t>Primary PPO medical plan out-of-network services with separate deductibles: Other</t>
  </si>
  <si>
    <t>Primary PPO medical plan in-network deductible per person: Not applicable - no separate deductibles</t>
  </si>
  <si>
    <t>Primary PPO medical plan in-network deductible per person: Acupuncture</t>
  </si>
  <si>
    <t>Primary PPO medical plan in-network deductible per person: Chiropractic</t>
  </si>
  <si>
    <t>Primary PPO medical plan in-network deductible per person: Emergency room (true emergency)</t>
  </si>
  <si>
    <t>Primary PPO medical plan in-network deductible per person: Emergency room (non-emergency)</t>
  </si>
  <si>
    <t>Primary PPO medical plan in-network deductible per person: Emergency room (with hospital admittance)</t>
  </si>
  <si>
    <t>Primary PPO medical plan in-network deductible per person: In-patient hospital</t>
  </si>
  <si>
    <t>Primary PPO medical plan in-network deductible per person: Mental health/substance abuse</t>
  </si>
  <si>
    <t>Primary PPO medical plan in-network deductible per person: Out-patient surgical center</t>
  </si>
  <si>
    <t>Primary PPO medical plan in-network deductible per person: Prescription drugs (preventive)</t>
  </si>
  <si>
    <t>Primary PPO medical plan in-network deductible per person: Prescription drugs (non-preventive)</t>
  </si>
  <si>
    <t>Primary PPO medical plan in-network deductible per person: Other</t>
  </si>
  <si>
    <t>Primary PPO medical plan in-network deductible per family: Not applicable - no separate deductibles</t>
  </si>
  <si>
    <t>Primary PPO medical plan in-network deductible per family: Acupuncture</t>
  </si>
  <si>
    <t>Primary PPO medical plan in-network deductible per family: Chiropractic</t>
  </si>
  <si>
    <t>Primary PPO medical plan in-network deductible per family: Emergency room (true emergency)</t>
  </si>
  <si>
    <t>Primary PPO medical plan in-network deductible per family: Emergency room (non-emergency)</t>
  </si>
  <si>
    <t>Primary PPO medical plan in-network deductible per family: Emergency room (with hospital admittance)</t>
  </si>
  <si>
    <t>Primary PPO medical plan in-network deductible per family: In-patient hospital</t>
  </si>
  <si>
    <t>Primary PPO medical plan in-network deductible per family: Mental health/substance abuse</t>
  </si>
  <si>
    <t>Primary PPO medical plan in-network deductible per family: Out-patient surgical center</t>
  </si>
  <si>
    <t>Primary PPO medical plan in-network deductible per family: Prescription drugs (preventive)</t>
  </si>
  <si>
    <t>Primary PPO medical plan in-network deductible per family: Prescription drugs (non-preventive)</t>
  </si>
  <si>
    <t>Primary PPO medical plan in-network deductible per family: Other</t>
  </si>
  <si>
    <t>Primary PPO medical plan out-of-network deductible per person: Not applicable - no separate deductibles</t>
  </si>
  <si>
    <t>Primary PPO medical plan out-of-network deductible per person: Acupuncture</t>
  </si>
  <si>
    <t>Primary PPO medical plan out-of-network deductible per person: Chiropractic</t>
  </si>
  <si>
    <t>Primary PPO medical plan out-of-network deductible per person: Emergency room (true emergency)</t>
  </si>
  <si>
    <t>Primary PPO medical plan out-of-network deductible per person: Emergency room (non-emergency)</t>
  </si>
  <si>
    <t>Primary PPO medical plan out-of-network deductible per person: Emergency room (with hospital admittance)</t>
  </si>
  <si>
    <t>Primary PPO medical plan out-of-network deductible per person: In-patient hospital</t>
  </si>
  <si>
    <t>Primary PPO medical plan out-of-network deductible per person: Mental health/substance abuse</t>
  </si>
  <si>
    <t>Primary PPO medical plan out-of-network deductible per person: Out-patient surgical center</t>
  </si>
  <si>
    <t>Primary PPO medical plan out-of-network deductible per person: Prescription drugs (preventive)</t>
  </si>
  <si>
    <t>Primary PPO medical plan out-of-network deductible per person: Prescription drugs (non-preventive)</t>
  </si>
  <si>
    <t>Primary PPO medical plan out-of-network deductible per person: Other</t>
  </si>
  <si>
    <t>Primary PPO medical plan out-of-network deductible per family: Not applicable - no separate deductibles</t>
  </si>
  <si>
    <t>Primary PPO medical plan out-of-network deductible per family: Acupuncture</t>
  </si>
  <si>
    <t>Primary PPO medical plan out-of-network deductible per family: Chiropractic</t>
  </si>
  <si>
    <t>Primary PPO medical plan out-of-network deductible per family: Emergency room (true emergency)</t>
  </si>
  <si>
    <t>Primary PPO medical plan out-of-network deductible per family: Emergency room (non-emergency)</t>
  </si>
  <si>
    <t>Primary PPO medical plan out-of-network deductible per family: Emergency room (with hospital admittance)</t>
  </si>
  <si>
    <t>Primary PPO medical plan out-of-network deductible per family: In-patient hospital</t>
  </si>
  <si>
    <t>Primary PPO medical plan out-of-network deductible per family: Mental health/substance abuse</t>
  </si>
  <si>
    <t>Primary PPO medical plan out-of-network deductible per family: Out-patient surgical center</t>
  </si>
  <si>
    <t>Primary PPO medical plan out-of-network deductible per family: Prescription drugs (preventive)</t>
  </si>
  <si>
    <t>Primary PPO medical plan out-of-network deductible per family: Prescription drugs (non-preventive)</t>
  </si>
  <si>
    <t>Primary PPO medical plan out-of-network deductible per family: Other</t>
  </si>
  <si>
    <t>Primary PPO  medical plan: Annual plan limit</t>
  </si>
  <si>
    <t>Primary PPO medical plan: Covers emergency services for non-emergencies</t>
  </si>
  <si>
    <t>Primary PPO medical plan: Covers emergency services for non-emergencies at reduced amount</t>
  </si>
  <si>
    <t>Primary PPO medical plan: Covers mental health and substance abuse emergencies differently</t>
  </si>
  <si>
    <t>Primary PPO medical plan: Coverage for mental health and substance abuse emergencies</t>
  </si>
  <si>
    <t>Primary PPO medical plan non-acute care services in-network coverage</t>
  </si>
  <si>
    <t>Primary PPO medical plan in-network copayment: General/Primary care office visit</t>
  </si>
  <si>
    <t>Primary PPO medical plan in-network copayment: Specialist office visit</t>
  </si>
  <si>
    <t>Primary PPO medical plan in-network copayment: Emergency room</t>
  </si>
  <si>
    <t>Primary PPO medical plan in-network copayment: Urgent office visit</t>
  </si>
  <si>
    <t>Primary PPO medical plan in-network copayment: Telehealth</t>
  </si>
  <si>
    <t>Primary PPO medical plan in-network coinsurance: General/Primary care office visit</t>
  </si>
  <si>
    <t>Primary PPO medical plan out-of-network copayment: General/Primary care office visit</t>
  </si>
  <si>
    <t>Primary PPO medical plan out-of-network copayment: Specialist office visit</t>
  </si>
  <si>
    <t>Primary PPO medical plan out-of-network copayment: Emergency room</t>
  </si>
  <si>
    <t>Primary PPO medical plan out-of-network copayment: Urgent office visit</t>
  </si>
  <si>
    <t>Primary PPO medical plan out-of-network copayment: Telehealth</t>
  </si>
  <si>
    <t>Primary PPO medical plan out-of-network coinsurance: General/Primary care office visit</t>
  </si>
  <si>
    <t>Primary PPO medical plan out-of-network coinsurance: Telehealth</t>
  </si>
  <si>
    <t>Primary PPO medical plan out-of-pocket cost share waived or reduced: General/Primary care office visit</t>
  </si>
  <si>
    <t>Primary PPO medical plan out-of-pocket cost share waived or reduced: Specialist office visit</t>
  </si>
  <si>
    <t>Primary PPO medical plan out-of-pocket cost share waived or reduced: Emergency room</t>
  </si>
  <si>
    <t>Primary PPO medical plan out-of-pocket cost share waived or reduced: Urgent office visit</t>
  </si>
  <si>
    <t>Primary PPO medical plan out-of-pocket cost share waived or reduced: Telehealth</t>
  </si>
  <si>
    <t>Primary PPO medical plan out-of-pocket cost share waived or reduced: Other</t>
  </si>
  <si>
    <t>Primary PPO medical plan non-authorization/notification/not qualified services penalties applied: General/Primary care office visit</t>
  </si>
  <si>
    <t>Primary PPO medical plan non-authorization/notification/not qualified services penalties applied: Specialist office visit</t>
  </si>
  <si>
    <t>Primary PPO medical plan non-authorization/notification/not qualified services penalties applied: Emergency room</t>
  </si>
  <si>
    <t>Primary PPO medical plan non-authorization/notification/not qualified services penalties applied: Urgent office visit</t>
  </si>
  <si>
    <t>Primary PPO medical plan non-authorization/notification/not qualified services penalties applied: Telehealth</t>
  </si>
  <si>
    <t>Primary PPO medical plan non-authorization/notification/not qualified services penalties applied: Other</t>
  </si>
  <si>
    <t>Primary PPO medical plan covered drug type: Preventive</t>
  </si>
  <si>
    <t>Primary PPO medical plan covered drug type: Maintenance</t>
  </si>
  <si>
    <t>Primary PPO medical plan covered drug type: Generic</t>
  </si>
  <si>
    <t>Primary PPO medical plan covered drug type: Specialty (includes injectables)</t>
  </si>
  <si>
    <t>Primary PPO medical plan covered drug type: Lifestyle</t>
  </si>
  <si>
    <t>Primary PPO medical plan covered drug type: Compounds</t>
  </si>
  <si>
    <t>Primary PPO medical plan covered drug type: Biosimilars</t>
  </si>
  <si>
    <t>Primary PPO medical plan covered drug type: Over the counter (OTC) - prescribed</t>
  </si>
  <si>
    <t xml:space="preserve">Primary PPO medical plan covered drug type: Over the counter (OTC) - non-prescribed </t>
  </si>
  <si>
    <t xml:space="preserve">Primary PPO medical plan covered drug type: Other </t>
  </si>
  <si>
    <t>Primary PPO medical plan drug limits, exclusions, or required care management features: Preventive</t>
  </si>
  <si>
    <t>Primary PPO medical plan drug limits, exclusions, or required care management features: Maintenance</t>
  </si>
  <si>
    <t>Primary PPO medical plan drug limits, exclusions, or required care management features: Generic</t>
  </si>
  <si>
    <t>Primary PPO medical plan drug limits, exclusions, or required care management features: Specialty and injectables</t>
  </si>
  <si>
    <t>Primary PPO medical plan drug limits, exclusions, or required care management features: Lifestyle</t>
  </si>
  <si>
    <t>Primary PPO medical plan drug limits, exclusions, or required care management features: Compounds</t>
  </si>
  <si>
    <t>Primary PPO medical plan drug limits, exclusions, or required care management features: Biosimilars</t>
  </si>
  <si>
    <t>Primary PPO medical plan drug limits, exclusions, or required care management features: Over the counter - prescribed</t>
  </si>
  <si>
    <t>Primary PPO medical plan drug limits, exclusions, or required care management features: Over the counter - non-prescribed</t>
  </si>
  <si>
    <t>Primary PPO medical plan - tier #1 copayment: Retail/pharmacy in-network</t>
  </si>
  <si>
    <t>Primary PPO medical plan - tier #1 copayment: Retail/pharmacy out-of-network</t>
  </si>
  <si>
    <t>Primary PPO medical plan - tier #1 copayment: Mail order  in-network</t>
  </si>
  <si>
    <t>Primary PPO medical plan - tier #1 copayment: Mail order out-of-network</t>
  </si>
  <si>
    <t>Primary PPO medical plan - tier #2 copayment: Retail/pharmacy in-network</t>
  </si>
  <si>
    <t>Primary PPO medical plan - tier #2 copayment: Retail/pharmacy out-of-network</t>
  </si>
  <si>
    <t>Primary PPO medical plan - tier #2 copayment: Mail order  in-network</t>
  </si>
  <si>
    <t>Primary PPO medical plan - tier #2 copayment: Mail order out-of-network</t>
  </si>
  <si>
    <t>Primary PPO medical plan - tier #3 copayment: Retail/pharmacy in-network</t>
  </si>
  <si>
    <t>Primary PPO medical plan - tier #3 copayment: Retail/pharmacy out-of-network</t>
  </si>
  <si>
    <t>Primary PPO medical plan - tier #3 copayment: Mail order  in-network</t>
  </si>
  <si>
    <t>Primary PPO medical plan - tier #3 copayment: Mail order out-of-network</t>
  </si>
  <si>
    <t>Primary PPO medical plan - tier #4 copayment: Retail/pharmacy in-network</t>
  </si>
  <si>
    <t>Primary PPO medical plan - tier #4 copayment: Retail/pharmacy out-of-network</t>
  </si>
  <si>
    <t>Primary PPO medical plan - tier #4 copayment: Mail order  in-network</t>
  </si>
  <si>
    <t>Primary PPO medical plan - tier #4 copayment: Mail order out-of-network</t>
  </si>
  <si>
    <t>Primary PPO medical plan - tier #5 copayment: Retail/pharmacy in-network</t>
  </si>
  <si>
    <t>Primary PPO medical plan - tier #5 copayment: Retail/pharmacy out-of-network</t>
  </si>
  <si>
    <t>Primary PPO medical plan - tier #5 copayment: Mail order  in-network</t>
  </si>
  <si>
    <t>Primary PPO medical plan - tier #5 copayment: Mail order out-of-network</t>
  </si>
  <si>
    <t>Primary PPO medical plan - specialty copayment: Retail/pharmacy in-network</t>
  </si>
  <si>
    <t>Primary PPO medical plan - specialty copayment: Retail/pharmacy out-of-network</t>
  </si>
  <si>
    <t>Primary PPO medical plan - specialty copayment: Mail order  in-network</t>
  </si>
  <si>
    <t>Primary PPO medical plan - specialty copayment: Mail order out-of-network</t>
  </si>
  <si>
    <t>Primary PPO medical plan - Other copayment: Retail/pharmacy in-network</t>
  </si>
  <si>
    <t>Primary PPO medical plan - Other copayment: Retail/pharmacy out-of-network</t>
  </si>
  <si>
    <t>Primary PPO medical plan - Other copayment: Mail order  in-network</t>
  </si>
  <si>
    <t>Primary PPO medical plan - Other copayment: Mail order out-of-network</t>
  </si>
  <si>
    <t>Primary PPO medical plan tier 1 coinsurance: Retail/pharmacy - in-network</t>
  </si>
  <si>
    <t>Primary PPO medical plan tier 2 coinsurance: Retail/pharmacy - in-network</t>
  </si>
  <si>
    <t>Primary PPO medical plan tier 3 coinsurance: Retail/pharmacy - in-network</t>
  </si>
  <si>
    <t>Primary PPO medical plan tier 4 coinsurance: Retail/pharmacy - in-network</t>
  </si>
  <si>
    <t>Primary PPO medical plan tier 5 coinsurance: Retail/pharmacy - in-network</t>
  </si>
  <si>
    <t>Primary PPO medical plan specialty coinsurance: Retail/pharmacy - in-network</t>
  </si>
  <si>
    <t>Primary PPO medical plan Other coinsurance: Retail/pharmacy - in-network</t>
  </si>
  <si>
    <t>Primary PPO medical plan tier 1 coinsurance minimum: Retail/pharmacy - in-network</t>
  </si>
  <si>
    <t>Primary PPO medical plan tier 1 coinsurance maximum: Retail/pharmacy - in-network</t>
  </si>
  <si>
    <t>Primary PPO medical plan tier 2 coinsurance minimum: Retail/pharmacy - in-network</t>
  </si>
  <si>
    <t>Primary PPO medical plan tier 2 coinsurance maximum: Retail/pharmacy - in-network</t>
  </si>
  <si>
    <t>Primary PPO medical plan tier 3 coinsurance minimum: Retail/pharmacy - in-network</t>
  </si>
  <si>
    <t>Primary PPO medical plan tier 3 coinsurance maximum: Retail/pharmacy - in-network</t>
  </si>
  <si>
    <t>Primary PPO medical plan tier 4 coinsurance minimum: Retail/pharmacy - in-network</t>
  </si>
  <si>
    <t>Primary PPO medical plan tier 4 coinsurance maximum: Retail/pharmacy - in-network</t>
  </si>
  <si>
    <t>Primary PPO medical plan tier 5 coinsurance minimum: Retail/pharmacy - in-network</t>
  </si>
  <si>
    <t>Primary PPO medical plan tier 5 coinsurance maximum: Retail/pharmacy - in-network</t>
  </si>
  <si>
    <t>Primary PPO medical plan specialty coinsurance minimum: Retail/pharmacy - in-network</t>
  </si>
  <si>
    <t>Primary PPO medical plan specialty coinsurance maximum: Retail/pharmacy - in-network</t>
  </si>
  <si>
    <t>Primary PPO medical plan Other coinsurance minimum: Retail/pharmacy - in-network</t>
  </si>
  <si>
    <t>Primary PPO medical plan Other coinsurance maximum: Retail/pharmacy - in-network</t>
  </si>
  <si>
    <t>Primary PPO medical plan tier 1 coinsurance: Retail/pharmacy - out-of-network</t>
  </si>
  <si>
    <t>Primary PPO medical plan tier 2 coinsurance: Retail/pharmacy - out-of-network</t>
  </si>
  <si>
    <t>Primary PPO medical plan tier 3 coinsurance: Retail/pharmacy - out-of-network</t>
  </si>
  <si>
    <t>Primary PPO medical plan tier 4 coinsurance: Retail/pharmacy - out-of-network</t>
  </si>
  <si>
    <t>Primary PPO medical plan tier 5 coinsurance: Retail/pharmacy - out-of-network</t>
  </si>
  <si>
    <t>Primary PPO medical plan specialty coinsurance: Retail/pharmacy - out-of-network</t>
  </si>
  <si>
    <t>Primary PPO medical plan Other coinsurance: Retail/pharmacy - out-of-network</t>
  </si>
  <si>
    <t>Primary PPO medical plan tier 1 coinsurance minimum: Retail/pharmacy - out-of-network</t>
  </si>
  <si>
    <t>Primary PPO medical plan tier 1 coinsurance maximum: Retail/pharmacy - out-of-network</t>
  </si>
  <si>
    <t>Primary PPO medical plan tier 2 coinsurance minimum: Retail/pharmacy - out-of-network</t>
  </si>
  <si>
    <t>Primary PPO medical plan tier 2 coinsurance maximum: Retail/pharmacy - out-of-network</t>
  </si>
  <si>
    <t>Primary PPO medical plan tier 3 coinsurance minimum: Retail/pharmacy - out-of-network</t>
  </si>
  <si>
    <t>Primary PPO medical plan tier 3 coinsurance maximum: Retail/pharmacy - out-of-network</t>
  </si>
  <si>
    <t>Primary PPO medical plan tier 4 coinsurance minimum: Retail/pharmacy - out-of-network</t>
  </si>
  <si>
    <t>Primary PPO medical plan tier 4 coinsurance maximum: Retail/pharmacy - out-of-network</t>
  </si>
  <si>
    <t>Primary PPO medical plan tier 5 coinsurance minimum: Retail/pharmacy - out-of-network</t>
  </si>
  <si>
    <t>Primary PPO medical plan tier 5 coinsurance maximum: Retail/pharmacy - out-of-network</t>
  </si>
  <si>
    <t>Primary PPO medical plan specialty coinsurance minimum: Retail/pharmacy - out-of-network</t>
  </si>
  <si>
    <t>Primary PPO medical plan specialty coinsurance maximum: Retail/pharmacy - out-of-network</t>
  </si>
  <si>
    <t>Primary PPO medical plan Other coinsurance minimum: Retail/pharmacy - out-of-network</t>
  </si>
  <si>
    <t>Primary PPO medical plan Other coinsurance maximum: Retail/pharmacy - out-of-network</t>
  </si>
  <si>
    <t>Primary PPO medical plan tier 1 coinsurance: Mail order - in-network</t>
  </si>
  <si>
    <t>Primary PPO medical plan tier 2 coinsurance: Mail order - in-network</t>
  </si>
  <si>
    <t>Primary PPO medical plan tier 3 coinsurance: Mail order - in-network</t>
  </si>
  <si>
    <t>Primary PPO medical plan tier 4 coinsurance: Mail order - in-network</t>
  </si>
  <si>
    <t>Primary PPO medical plan tier 5 coinsurance: Mail order - in-network</t>
  </si>
  <si>
    <t>Primary PPO medical plan specialty coinsurance: Mail order - in-network</t>
  </si>
  <si>
    <t>Primary PPO medical plan Other coinsurance: Mail order - in-network</t>
  </si>
  <si>
    <t>Primary PPO medical plan tier 1 coinsurance minimum: Mail order - in-network</t>
  </si>
  <si>
    <t>Primary PPO medical plan tier 1 coinsurance maximum: Mail order - in-network</t>
  </si>
  <si>
    <t>Primary PPO medical plan tier 2 coinsurance minimum: Mail order - in-network</t>
  </si>
  <si>
    <t>Primary PPO medical plan tier 2 coinsurance maximum: Mail order - in-network</t>
  </si>
  <si>
    <t>Primary PPO medical plan tier 3 coinsurance minimum: Mail order - in-network</t>
  </si>
  <si>
    <t>Primary PPO medical plan tier 3 coinsurance maximum: Mail order - in-network</t>
  </si>
  <si>
    <t>Primary PPO medical plan tier 4 coinsurance minimum: Mail order - in-network</t>
  </si>
  <si>
    <t>Primary PPO medical plan tier 4 coinsurance maximum: Mail order - in-network</t>
  </si>
  <si>
    <t>Primary PPO medical plan tier 5 coinsurance minimum: Mail order - in-network</t>
  </si>
  <si>
    <t>Primary PPO medical plan tier 5 coinsurance maximum: Mail order - in-network</t>
  </si>
  <si>
    <t>Primary PPO medical plan specialty coinsurance minimum: Mail order - in-network</t>
  </si>
  <si>
    <t>Primary PPO medical plan specialty coinsurance maximum: Mail order - in-network</t>
  </si>
  <si>
    <t>Primary PPO medical plan Other coinsurance minimum: Mail order - in-network</t>
  </si>
  <si>
    <t>Primary PPO medical plan Other coinsurance maximum: Mail order - in-network</t>
  </si>
  <si>
    <t>Primary PPO medical plan tier 1 coinsurance: Mail order - out-of-network</t>
  </si>
  <si>
    <t>Primary PPO medical plan tier 2 coinsurance: Mail order - out-of-network</t>
  </si>
  <si>
    <t>Primary PPO medical plan tier 3 coinsurance: Mail order - out-of-network</t>
  </si>
  <si>
    <t>Primary PPO medical plan tier 4 coinsurance: Mail order - out-of-network</t>
  </si>
  <si>
    <t>Primary PPO medical plan tier 5 coinsurance: Mail order - out-of-network</t>
  </si>
  <si>
    <t>Primary PPO medical plan specialty coinsurance: Mail order - out-of-network</t>
  </si>
  <si>
    <t>Primary PPO medical plan Other coinsurance: Mail order - out-of-network</t>
  </si>
  <si>
    <t>Primary PPO medical plan tier 1 coinsurance minimum: Mail order - out-of-network</t>
  </si>
  <si>
    <t>Primary PPO medical plan tier 1 coinsurance maximum: Mail order - out-of-network</t>
  </si>
  <si>
    <t>Primary PPO medical plan tier 2 coinsurance minimum: Mail order - out-of-network</t>
  </si>
  <si>
    <t>Primary PPO medical plan tier 2 coinsurance maximum: Mail order - out-of-network</t>
  </si>
  <si>
    <t>Primary PPO medical plan tier 3 coinsurance minimum: Mail order - out-of-network</t>
  </si>
  <si>
    <t>Primary PPO medical plan tier 3 coinsurance maximum: Mail order - out-of-network</t>
  </si>
  <si>
    <t>Primary PPO medical plan tier 4 coinsurance minimum: Mail order - out-of-network</t>
  </si>
  <si>
    <t>Primary PPO medical plan tier 4 coinsurance maximum: Mail order - out-of-network</t>
  </si>
  <si>
    <t>Primary PPO medical plan tier 5 coinsurance minimum: Mail order - out-of-network</t>
  </si>
  <si>
    <t>Primary PPO medical plan tier 5 coinsurance maximum: Mail order - out-of-network</t>
  </si>
  <si>
    <t>Primary PPO medical plan specialty coinsurance minimum: Mail order - out-of-network</t>
  </si>
  <si>
    <t>Primary PPO medical plan specialty coinsurance maximum: Mail order - out-of-network</t>
  </si>
  <si>
    <t>Primary PPO medical plan Other coinsurance minimum: Mail order - out-of-network</t>
  </si>
  <si>
    <t>Primary PPO medical plan Other coinsurance maximum: Mail order - out-of-network</t>
  </si>
  <si>
    <t>Primary PPO medical plan: Pharmacy benefit manager carved in/out</t>
  </si>
  <si>
    <t>Primary PPO medical plan: Drug classes with zero cost share to members (in addition to ACA law requirements)</t>
  </si>
  <si>
    <t>Primary PPO medical plan: Cost share for individuals who receive infused/injectable medications at preferred care sites</t>
  </si>
  <si>
    <t>Total number of high deductible health plans (HDHP) medical plans offered</t>
  </si>
  <si>
    <t>HDHP medical plan with highest enrollment (Primary)</t>
  </si>
  <si>
    <t>Other HDHP plans offered</t>
  </si>
  <si>
    <t>Primary HDHP medical plan: Network out-of-pocket limit per person</t>
  </si>
  <si>
    <t>Primary HDHP medical plan: Network out-of-pocket limit family</t>
  </si>
  <si>
    <t>Primary HDHP medical plan: Out-of-network out-of-pocket limit per person</t>
  </si>
  <si>
    <t>Primary HDHP medical plan: Out-of-network out-of-pocket limit family</t>
  </si>
  <si>
    <t>Primary HDHP medical plan: Out-of-pocket limit - cross apply</t>
  </si>
  <si>
    <t>Primary HDHP medical plan: Out-of-pocket limit - aggregated</t>
  </si>
  <si>
    <t>Primary HDHP medical plan: Expenses excluded from out-of-pocket limit</t>
  </si>
  <si>
    <t>Primary HDHP medical plan: Embedded or non-embedded deductible</t>
  </si>
  <si>
    <t>Primary HDHP medical plan in-network services with separate deductibles: Not applicable - no separate deductibles</t>
  </si>
  <si>
    <t>Primary HDHP medical plan in-network services with separate deductibles: Acupuncture</t>
  </si>
  <si>
    <t>Primary HDHP medical plan in-network services with separate deductibles: Chiropractic</t>
  </si>
  <si>
    <t>Primary HDHP medical plan in-network services with separate deductibles: Emergency room (true emergency)</t>
  </si>
  <si>
    <t>Primary HDHP medical plan in-network services with separate deductibles: Emergency room (non-emergency)</t>
  </si>
  <si>
    <t>Primary HDHP medical plan in-network services with separate deductibles: Emergency room (with hospital admittance)</t>
  </si>
  <si>
    <t>Primary HDHP medical plan in-network services with separate deductibles: Inpatient hospital</t>
  </si>
  <si>
    <t>Primary HDHP medical plan in-network services with separate deductibles: Mental health/substance abuse</t>
  </si>
  <si>
    <t>Primary HDHP medical plan in-network services with separate deductibles: Outpatient surgical center</t>
  </si>
  <si>
    <t>Primary HDHP medical plan in-network services with separate deductibles: Prescription drugs (preventive)</t>
  </si>
  <si>
    <t>Primary HDHP medical plan in-network services with separate deductibles: Prescription drugs (non-preventive)</t>
  </si>
  <si>
    <t>Primary HDHP medical plan in-network services with separate deductibles: Other</t>
  </si>
  <si>
    <t>Primary HDHP medical plan out-of-network services with separate deductibles: Not applicable - no separate deductibles</t>
  </si>
  <si>
    <t>Primary HDHP medical plan out-of-network services with separate deductibles: Acupuncture</t>
  </si>
  <si>
    <t>Primary HDHP medical plan out-of-network services with separate deductibles: Emergency room (non-emergency)</t>
  </si>
  <si>
    <t>Primary HDHP medical plan out-of-network services with separate deductibles: Emergency room (with hospital admittance)</t>
  </si>
  <si>
    <t>Primary HDHP medical plan out-of-network services with separate deductibles: Inpatient hospital</t>
  </si>
  <si>
    <t>Primary HDHP medical plan out-of-network services with separate deductibles: Mental health/substance abuse</t>
  </si>
  <si>
    <t>Primary HDHP medical plan out-of-network services with separate deductibles: Prescription drugs (preventive)</t>
  </si>
  <si>
    <t>Primary HDHP medical plan out-of-network services with separate deductibles: Prescription drugs (non-preventive)</t>
  </si>
  <si>
    <t>Primary HDHP medical plan out-of-network services with separate deductibles: Other</t>
  </si>
  <si>
    <t>Primary HDHP medical plan in-network deductible per person: Not applicable no separate deductibles</t>
  </si>
  <si>
    <t>Primary HDHP medical plan in-network deductible per person: Acupuncture</t>
  </si>
  <si>
    <t>Primary HDHP medical plan in-network deductible per person: Chiropractic</t>
  </si>
  <si>
    <t>Primary HDHP medical plan in-network deductible per person: Emergency room (true emergency)</t>
  </si>
  <si>
    <t>Primary HDHP medical plan in-network deductible per person: Emergency room (non-emergency)</t>
  </si>
  <si>
    <t>Primary HDHP medical plan in-network deductible per person: Emergency room (with hospital admittance)</t>
  </si>
  <si>
    <t>Primary HDHP medical plan in-network deductible per person: In-patient hospital</t>
  </si>
  <si>
    <t>Primary HDHP medical plan in-network deductible per person: Mental health/substance abuse</t>
  </si>
  <si>
    <t>Primary HDHP medical plan in-network deductible per person: Out-patient surgical center</t>
  </si>
  <si>
    <t>Primary HDHP medical plan in-network deductible per person: Prescription drugs (preventive)</t>
  </si>
  <si>
    <t>Primary HDHP medical plan in-network deductible per person: Prescription drugs (non-preventive)</t>
  </si>
  <si>
    <t>Primary HDHP medical plan in-network deductible per person: Other</t>
  </si>
  <si>
    <t>Primary HDHP medical plan in-network deductible per family: Not applicable - no separate deductibles</t>
  </si>
  <si>
    <t>Primary HDHP medical plan in-network deductible per family: Acupuncture</t>
  </si>
  <si>
    <t>Primary HDHP medical plan in-network deductible per family: Chiropractic</t>
  </si>
  <si>
    <t>Primary HDHP medical plan in-network deductible per family: Emergency room (true emergency)</t>
  </si>
  <si>
    <t>Primary HDHP medical plan in-network deductible per family: Emergency room (non-emergency)</t>
  </si>
  <si>
    <t>Primary HDHP medical plan in-network deductible per family: Emergency room (with hospital admittance)</t>
  </si>
  <si>
    <t>Primary HDHP medical plan in-network deductible per family: In-patient hospital</t>
  </si>
  <si>
    <t>Primary HDHP medical plan in-network deductible per family: Mental health/substance abuse</t>
  </si>
  <si>
    <t>Primary HDHP medical plan in-network deductible per family: Out-patient surgical center</t>
  </si>
  <si>
    <t>Primary HDHP medical plan in-network deductible per family: Prescription drugs (preventive)</t>
  </si>
  <si>
    <t>Primary HDHP medical plan in-network deductible per family: Prescription drugs (non-preventive)</t>
  </si>
  <si>
    <t>Primary HDHP medical plan in-network deductible per family: Other</t>
  </si>
  <si>
    <t>Primary HDHP medical plan out-of-network deductible per person: Not applicable - no separate deductibles</t>
  </si>
  <si>
    <t>Primary HDHP medical plan out-of-network deductible per person: Acupuncture</t>
  </si>
  <si>
    <t>Primary HDHP medical plan out-of-network deductible per person: Chiropractic</t>
  </si>
  <si>
    <t>Primary HDHP medical plan out-of-network deductible per person: Emergency room (true emergency)</t>
  </si>
  <si>
    <t>Primary HDHP medical plan out-of-network deductible per person: Emergency room (non-emergency)</t>
  </si>
  <si>
    <t>Primary HDHP medical plan out-of-network deductible per person: Emergency room (with hospital admittance)</t>
  </si>
  <si>
    <t>Primary HDHP medical plan out-of-network deductible per person: In-patient hospital</t>
  </si>
  <si>
    <t>Primary HDHP medical plan out-of-network deductible per person: Mental health/substance abuse</t>
  </si>
  <si>
    <t>Primary HDHP medical plan out-of-network deductible per person: Out-patient surgical center</t>
  </si>
  <si>
    <t>Primary HDHP medical plan out-of-network deductible per person: Prescription drugs (preventive)</t>
  </si>
  <si>
    <t>Primary HDHP medical plan out-of-network deductible per person: Prescription drugs (non-preventive)</t>
  </si>
  <si>
    <t>Primary HDHP medical plan out-of-network deductible per person: Other</t>
  </si>
  <si>
    <t>Primary HDHP medical plan out-of-network deductible per family: Not applicable - no separate deductibles</t>
  </si>
  <si>
    <t>Primary HDHP medical plan out-of-network deductible per family: Acupuncture</t>
  </si>
  <si>
    <t>Primary HDHP medical plan out-of-network deductible per family: Chiropractic</t>
  </si>
  <si>
    <t>Primary HDHP medical plan out-of-network deductible per family: Emergency room (true emergency)</t>
  </si>
  <si>
    <t>Primary HDHP medical plan out-of-network deductible per family: Emergency room (non-emergency)</t>
  </si>
  <si>
    <t>Primary HDHP medical plan out-of-network deductible per family: Emergency room (with hospital admittance)</t>
  </si>
  <si>
    <t>Primary HDHP medical plan out-of-network deductible per family: In-patient hospital</t>
  </si>
  <si>
    <t>Primary HDHP medical plan out-of-network deductible per family: Mental health/substance abuse</t>
  </si>
  <si>
    <t>Primary HDHP medical plan out-of-network deductible per family: Out-patient surgical center</t>
  </si>
  <si>
    <t>Primary HDHP medical plan out-of-network deductible per family: Prescription drugs (preventive)</t>
  </si>
  <si>
    <t>Primary HDHP medical plan out-of-network deductible per family: Prescription drugs (non-preventive)</t>
  </si>
  <si>
    <t>Primary HDHP medical plan out-of-network deductible per family: Other</t>
  </si>
  <si>
    <t>Primary HDHP  medical plan: Annual plan limit</t>
  </si>
  <si>
    <t>Primary HDHP medical plan: Covers emergency services for non-emergencies</t>
  </si>
  <si>
    <t>Primary HDHP medical plan: Covers emergency services for non-emergencies at reduced amount</t>
  </si>
  <si>
    <t>Primary HDHP medical plan: Covers mental health and substance abuse emergencies differently</t>
  </si>
  <si>
    <t>Primary HDHP medical plan: Coverage for mental health and substance abuse emergencies</t>
  </si>
  <si>
    <t>Primary HDHP medical plan non-acute care services in-network coverage</t>
  </si>
  <si>
    <t>Primary HDHP medical plan non-acute care services out-of-network coverage</t>
  </si>
  <si>
    <t>Primary HDHP medical plan in-network copayment: General/Primary care office visit</t>
  </si>
  <si>
    <t>Primary HDHP medical plan in-network copayment: Specialist office visit</t>
  </si>
  <si>
    <t>Primary HDHP medical plan in-network copayment: Emergency room</t>
  </si>
  <si>
    <t>Primary HDHP medical plan in-network copayment: Urgent office visit</t>
  </si>
  <si>
    <t>Primary HDHP medical plan in-network copayment: Telehealth</t>
  </si>
  <si>
    <t>Primary HDHP medical plan in-network coinsurance: General/Primary care office visit</t>
  </si>
  <si>
    <t>Primary HDHP medical plan out-of-network copayment: General/Primary care office visit</t>
  </si>
  <si>
    <t>Primary HDHP medical plan out-of-network copayment: Specialist office visit</t>
  </si>
  <si>
    <t>Primary HDHP medical plan out-of-network copayment: Emergency room</t>
  </si>
  <si>
    <t>Primary HDHP medical plan out-of-network copayment: Urgent office visit</t>
  </si>
  <si>
    <t>Primary HDHP medical plan out-of-network copayment: Telehealth</t>
  </si>
  <si>
    <t>Primary HDHP medical plan out-of-network coinsurance: General/Primary care office visit</t>
  </si>
  <si>
    <t>Primary HDHP medical plan out-of-network coinsurance: Telehealth</t>
  </si>
  <si>
    <t>Primary HDHP medical plan out-of-pocket cost share waived or reduced: General/Primary care office visit</t>
  </si>
  <si>
    <t>Primary HDHP medical plan out-of-pocket cost share waived or reduced: Specialist office visit</t>
  </si>
  <si>
    <t>Primary HDHP medical plan out-of-pocket cost share waived or reduced: Emergency room</t>
  </si>
  <si>
    <t>Primary HDHP medical plan out-of-pocket cost share waived or reduced: Urgent office visit</t>
  </si>
  <si>
    <t>Primary HDHP medical plan out-of-pocket cost share waived or reduced: Telehealth</t>
  </si>
  <si>
    <t>Primary HDHP medical plan out-of-pocket cost share waived or reduced: Other</t>
  </si>
  <si>
    <t>Primary HDHP medical plan non-authorization/notification/not qualified services penalties applied: General/Primary care office visit</t>
  </si>
  <si>
    <t>Primary HDHP medical plan non-authorization/notification/not qualified services penalties applied: Specialist office visit</t>
  </si>
  <si>
    <t>Primary HDHP medical plan non-authorization/notification/not qualified services penalties applied: Emergency room</t>
  </si>
  <si>
    <t>Primary HDHP medical plan non-authorization/notification/not qualified services penalties applied: Urgent office visit</t>
  </si>
  <si>
    <t>Primary HDHP medical plan non-authorization/notification/not qualified services penalties applied: Telehealth</t>
  </si>
  <si>
    <t>Primary HDHP medical plan non-authorization/notification/not qualified services penalties applied: Other</t>
  </si>
  <si>
    <t xml:space="preserve">Primary HDHP medical plan covered drug type: Preventive </t>
  </si>
  <si>
    <t xml:space="preserve">Primary HDHP medical plan covered drug type: Maintenance </t>
  </si>
  <si>
    <t>Primary HDHP medical plan covered drug type: Generic</t>
  </si>
  <si>
    <t>Primary HDHP medical plan covered drug type: Specialty (includes injectables)</t>
  </si>
  <si>
    <t xml:space="preserve">Primary HDHP medical plan covered drug type: Lifestyle </t>
  </si>
  <si>
    <t xml:space="preserve">Primary HDHP medical plan covered drug type: Compounds </t>
  </si>
  <si>
    <t xml:space="preserve">Primary HDHP medical plan covered drug type: Biosimilars </t>
  </si>
  <si>
    <t>Primary HDHP medical plan covered drug type: Over the counter (OTC) - prescribed</t>
  </si>
  <si>
    <t xml:space="preserve">Primary HDHP medical plan covered drug type: Over the counter (OTC) - non-prescribed </t>
  </si>
  <si>
    <t>Primary HDHP medical plan covered drug type: Other</t>
  </si>
  <si>
    <t xml:space="preserve">Primary HDHP medical plan drug limits, exclusions, or required care management features: Preventive </t>
  </si>
  <si>
    <t xml:space="preserve">Primary HDHP medical plan drug limits, exclusions, or required care management features: Maintenance </t>
  </si>
  <si>
    <t xml:space="preserve">Primary HDHP medical plan drug limits, exclusions, or required care management features: Generic </t>
  </si>
  <si>
    <t>Primary HDHP medical plan drug limits, exclusions, or required care management features: Specialty and injectables</t>
  </si>
  <si>
    <t xml:space="preserve">Primary HDHP medical plan drug limits, exclusions, or required care management features: Lifestyle </t>
  </si>
  <si>
    <t>Primary HDHP medical plan drug limits, exclusions, or required care management features: Compounds</t>
  </si>
  <si>
    <t>Primary HDHP medical plan drug limits, exclusions, or required care management features: Biosimilars</t>
  </si>
  <si>
    <t xml:space="preserve">Primary HDHP medical plan drug limits, exclusions, or required care management features: Over the counter - prescribed </t>
  </si>
  <si>
    <t xml:space="preserve">Primary HDHP medical plan drug limits, exclusions, or required care management features: Over the counter - non-prescribed </t>
  </si>
  <si>
    <t>Primary HDHP medical plan - tier #1 copayment: Retail/pharmacy in-network</t>
  </si>
  <si>
    <t>Primary HDHP medical plan - tier #1 copayment: Retail/pharmacy out-of-network</t>
  </si>
  <si>
    <t>Primary HDHP medical plan - tier #1 copayment: Mail order  in-network</t>
  </si>
  <si>
    <t>Primary HDHP medical plan - tier #1 copayment: Mail order out-of-network</t>
  </si>
  <si>
    <t>Primary HDHP medical plan - tier #2 copayment: Retail/pharmacy in-network</t>
  </si>
  <si>
    <t>Primary HDHP medical plan - tier #2 copayment: Retail/pharmacy out-of-network</t>
  </si>
  <si>
    <t>Primary HDHP medical plan - tier #2 copayment: Mail order  in-network</t>
  </si>
  <si>
    <t>Primary HDHP medical plan - tier #2 copayment: Mail order out-of-network</t>
  </si>
  <si>
    <t>Primary HDHP medical plan - tier #3 copayment: Retail/pharmacy in-network</t>
  </si>
  <si>
    <t>Primary HDHP medical plan - tier #3 copayment: Retail/pharmacy out-of-network</t>
  </si>
  <si>
    <t>Primary HDHP medical plan - tier #3 copayment: Mail order  in-network</t>
  </si>
  <si>
    <t>Primary HDHP medical plan - tier #3 copayment: Mail order out-of-network</t>
  </si>
  <si>
    <t>Primary HDHP medical plan - tier #4 copayment: Retail/pharmacy in-network</t>
  </si>
  <si>
    <t>Primary HDHP medical plan - tier #4 copayment: Retail/pharmacy out-of-network</t>
  </si>
  <si>
    <t>Primary HDHP medical plan - tier #4 copayment: Mail order  in-network</t>
  </si>
  <si>
    <t>Primary HDHP medical plan - tier #4 copayment: Mail order out-of-network</t>
  </si>
  <si>
    <t>Primary HDHP medical plan - tier #5 copayment: Retail/pharmacy in-network</t>
  </si>
  <si>
    <t>Primary HDHP medical plan - tier #5 copayment: Retail/pharmacy out-of-network</t>
  </si>
  <si>
    <t>Primary HDHP medical plan - tier #5 copayment: Mail order  in-network</t>
  </si>
  <si>
    <t>Primary HDHP medical plan - tier #5 copayment: Mail order out-of-network</t>
  </si>
  <si>
    <t>Primary HDHP medical plan - specialty copayment: Retail/pharmacy in-network</t>
  </si>
  <si>
    <t>Primary HDHP medical plan - specialty copayment: Retail/pharmacy out-of-network</t>
  </si>
  <si>
    <t>Primary HDHP medical plan - specialty copayment: Mail order  in-network</t>
  </si>
  <si>
    <t>Primary HDHP medical plan - specialty copayment: Mail order out-of-network</t>
  </si>
  <si>
    <t>Primary HDHP medical plan - Other copayment: Retail/pharmacy in-network</t>
  </si>
  <si>
    <t>Primary HDHP medical plan - Other copayment: Retail/pharmacy out-of-network</t>
  </si>
  <si>
    <t>Primary HDHP medical plan - Other copayment: Mail order  in-network</t>
  </si>
  <si>
    <t>Primary HDHP medical plan - Other copayment: Mail order out-of-network</t>
  </si>
  <si>
    <t>Primary HDHP medical plan tier 1 coinsurance: Retail/pharmacy - in-network</t>
  </si>
  <si>
    <t>Primary HDHP medical plan tier 2 coinsurance: Retail/pharmacy - in-network</t>
  </si>
  <si>
    <t>Primary HDHP medical plan tier 3 coinsurance: Retail/pharmacy - in-network</t>
  </si>
  <si>
    <t>Primary HDHP medical plan tier 4 coinsurance: Retail/pharmacy - in-network</t>
  </si>
  <si>
    <t>Primary HDHP medical plan tier 5 coinsurance: Retail/pharmacy - in-network</t>
  </si>
  <si>
    <t>Primary HDHP medical plan specialty coinsurance: Retail/pharmacy - in-network</t>
  </si>
  <si>
    <t>Primary HDHP medical plan Other coinsurance: Retail/pharmacy - in-network</t>
  </si>
  <si>
    <t>Primary HDHP medical plan tier 1 coinsurance minimum: Retail/pharmacy - in-network</t>
  </si>
  <si>
    <t>Primary HDHP medical plan tier 1 coinsurance maximum: Retail/pharmacy - in-network</t>
  </si>
  <si>
    <t>Primary HDHP medical plan tier 2 coinsurance minimum: Retail/pharmacy - in-network</t>
  </si>
  <si>
    <t>Primary HDHP medical plan tier 2 coinsurance maximum: Retail/pharmacy - in-network</t>
  </si>
  <si>
    <t>Primary HDHP medical plan tier 3 coinsurance minimum: Retail/pharmacy - in-network</t>
  </si>
  <si>
    <t>Primary HDHP medical plan tier 3 coinsurance maximum: Retail/pharmacy - in-network</t>
  </si>
  <si>
    <t>Primary HDHP medical plan tier 4 coinsurance minimum: Retail/pharmacy - in-network</t>
  </si>
  <si>
    <t>Primary HDHP medical plan tier 4 coinsurance maximum: Retail/pharmacy - in-network</t>
  </si>
  <si>
    <t>Primary HDHP medical plan tier 5 coinsurance minimum: Retail/pharmacy - in-network</t>
  </si>
  <si>
    <t>Primary HDHP medical plan tier 5 coinsurance maximum: Retail/pharmacy - in-network</t>
  </si>
  <si>
    <t>Primary HDHP medical plan specialty coinsurance minimum: Retail/pharmacy - in-network</t>
  </si>
  <si>
    <t>Primary HDHP medical plan specialty coinsurance maximum: Retail/pharmacy - in-network</t>
  </si>
  <si>
    <t>Primary HDHP medical plan Other coinsurance minimum: Retail/pharmacy - in-network</t>
  </si>
  <si>
    <t>Primary HDHP medical plan Other coinsurance maximum: Retail/pharmacy - in-network</t>
  </si>
  <si>
    <t>Primary HDHP medical plan tier 1 coinsurance: Retail/pharmacy - out-of-network</t>
  </si>
  <si>
    <t>Primary HDHP medical plan tier 2 coinsurance: Retail/pharmacy - out-of-network</t>
  </si>
  <si>
    <t>Primary HDHP medical plan tier 3 coinsurance: Retail/pharmacy - out-of-network</t>
  </si>
  <si>
    <t>Primary HDHP medical plan tier 4 coinsurance: Retail/pharmacy - out-of-network</t>
  </si>
  <si>
    <t>Primary HDHP medical plan tier 5 coinsurance: Retail/pharmacy - out-of-network</t>
  </si>
  <si>
    <t>Primary HDHP medical plan specialty coinsurance: Retail/pharmacy - out-of-network</t>
  </si>
  <si>
    <t>Primary HDHP medical plan Other coinsurance: Retail/pharmacy - out-of-network</t>
  </si>
  <si>
    <t>Primary HDHP medical plan tier 1 coinsurance minimum: Retail/pharmacy - out-of-network</t>
  </si>
  <si>
    <t>Primary HDHP medical plan tier 1 coinsurance maximum: Retail/pharmacy - out-of-network</t>
  </si>
  <si>
    <t>Primary HDHP medical plan tier 2 coinsurance minimum: Retail/pharmacy - out-of-network</t>
  </si>
  <si>
    <t>Primary HDHP medical plan tier 2 coinsurance maximum: Retail/pharmacy - out-of-network</t>
  </si>
  <si>
    <t>Primary HDHP medical plan tier 3 coinsurance minimum: Retail/pharmacy - out-of-network</t>
  </si>
  <si>
    <t>Primary HDHP medical plan tier 3 coinsurance maximum: Retail/pharmacy - out-of-network</t>
  </si>
  <si>
    <t>Primary HDHP medical plan tier 4 coinsurance minimum: Retail/pharmacy - out-of-network</t>
  </si>
  <si>
    <t>Primary HDHP medical plan tier 4 coinsurance maximum: Retail/pharmacy - out-of-network</t>
  </si>
  <si>
    <t>Primary HDHP medical plan tier 5 coinsurance minimum: Retail/pharmacy - out-of-network</t>
  </si>
  <si>
    <t>Primary HDHP medical plan tier 5 coinsurance maximum: Retail/pharmacy - out-of-network</t>
  </si>
  <si>
    <t>Primary HDHP medical plan specialty coinsurance minimum: Retail/pharmacy - out-of-network</t>
  </si>
  <si>
    <t>Primary HDHP medical plan specialty coinsurance maximum: Retail/pharmacy - out-of-network</t>
  </si>
  <si>
    <t>Primary HDHP medical plan Other coinsurance minimum: Retail/pharmacy - out-of-network</t>
  </si>
  <si>
    <t>Primary HDHP medical plan Other coinsurance maximum: Retail/pharmacy - out-of-network</t>
  </si>
  <si>
    <t>Primary HDHP medical plan tier 1 coinsurance: Mail order - in-network</t>
  </si>
  <si>
    <t>Primary HDHP medical plan tier 2 coinsurance: Mail order - in-network</t>
  </si>
  <si>
    <t>Primary HDHP medical plan tier 3 coinsurance: Mail order - in-network</t>
  </si>
  <si>
    <t>Primary HDHP medical plan tier 4 coinsurance: Mail order - in-network</t>
  </si>
  <si>
    <t>Primary HDHP medical plan tier 5 coinsurance: Mail order - in-network</t>
  </si>
  <si>
    <t>Primary HDHP medical plan specialty coinsurance: Mail order - in-network</t>
  </si>
  <si>
    <t>Primary HDHP medical plan Other coinsurance: Mail order - in-network</t>
  </si>
  <si>
    <t>Primary HDHP medical plan tier 1 coinsurance minimum: Mail order - in-network</t>
  </si>
  <si>
    <t>Primary HDHP medical plan tier 1 coinsurance maximum: Mail order - in-network</t>
  </si>
  <si>
    <t>Primary HDHP medical plan tier 2 coinsurance minimum: Mail order - in-network</t>
  </si>
  <si>
    <t>Primary HDHP medical plan tier 2 coinsurance maximum: Mail order - in-network</t>
  </si>
  <si>
    <t>Primary HDHP medical plan tier 3 coinsurance minimum: Mail order - in-network</t>
  </si>
  <si>
    <t>Primary HDHP medical plan tier 3 coinsurance maximum: Mail order - in-network</t>
  </si>
  <si>
    <t>Primary HDHP medical plan tier 4 coinsurance minimum: Mail order - in-network</t>
  </si>
  <si>
    <t>Primary HDHP medical plan tier 4 coinsurance maximum: Mail order - in-network</t>
  </si>
  <si>
    <t>Primary HDHP medical plan tier 5 coinsurance minimum: Mail order - in-network</t>
  </si>
  <si>
    <t>Primary HDHP medical plan tier 5 coinsurance maximum: Mail order - in-network</t>
  </si>
  <si>
    <t>Primary HDHP medical plan specialty coinsurance minimum: Mail order - in-network</t>
  </si>
  <si>
    <t>Primary HDHP medical plan specialty coinsurance maximum: Mail order - in-network</t>
  </si>
  <si>
    <t>Primary HDHP medical plan Other coinsurance minimum: Mail order - in-network</t>
  </si>
  <si>
    <t>Primary HDHP medical plan Other coinsurance maximum: Mail order - in-network</t>
  </si>
  <si>
    <t>Primary HDHP medical plan tier 1 coinsurance: Mail order - out-of-network</t>
  </si>
  <si>
    <t>Primary HDHP medical plan tier 2 coinsurance: Mail order - out-of-network</t>
  </si>
  <si>
    <t>Primary HDHP medical plan tier 3 coinsurance: Mail order - out-of-network</t>
  </si>
  <si>
    <t>Primary HDHP medical plan tier 4 coinsurance: Mail order - out-of-network</t>
  </si>
  <si>
    <t>Primary HDHP medical plan tier 5 coinsurance: Mail order - out-of-network</t>
  </si>
  <si>
    <t>Primary HDHP medical plan specialty coinsurance: Mail order - out-of-network</t>
  </si>
  <si>
    <t>Primary HDHP medical plan Other coinsurance: Mail order - out-of-network</t>
  </si>
  <si>
    <t>Primary HDHP medical plan tier 1 coinsurance minimum: Mail order - out-of-network</t>
  </si>
  <si>
    <t>Primary HDHP medical plan tier 1 coinsurance maximum: Mail order - out-of-network</t>
  </si>
  <si>
    <t>Primary HDHP medical plan tier 2 coinsurance minimum: Mail order - out-of-network</t>
  </si>
  <si>
    <t>Primary HDHP medical plan tier 2 coinsurance maximum: Mail order - out-of-network</t>
  </si>
  <si>
    <t>Primary HDHP medical plan tier 3 coinsurance minimum: Mail order - out-of-network</t>
  </si>
  <si>
    <t>Primary HDHP medical plan tier 3 coinsurance maximum: Mail order - out-of-network</t>
  </si>
  <si>
    <t>Primary HDHP medical plan tier 4 coinsurance minimum: Mail order - out-of-network</t>
  </si>
  <si>
    <t>Primary HDHP medical plan tier 4 coinsurance maximum: Mail order - out-of-network</t>
  </si>
  <si>
    <t>Primary HDHP medical plan tier 5 coinsurance minimum: Mail order - out-of-network</t>
  </si>
  <si>
    <t>Primary HDHP medical plan tier 5 coinsurance maximum: Mail order - out-of-network</t>
  </si>
  <si>
    <t>Primary HDHP medical plan specialty coinsurance minimum: Mail order - out-of-network</t>
  </si>
  <si>
    <t>Primary HDHP medical plan specialty coinsurance maximum: Mail order - out-of-network</t>
  </si>
  <si>
    <t>Primary HDHP medical plan Other coinsurance minimum: Mail order - out-of-network</t>
  </si>
  <si>
    <t>Primary HDHP medical plan Other coinsurance maximum: Mail order - out-of-network</t>
  </si>
  <si>
    <t>Primary HDHP medical plan: Pharmacy benefit manager carved in/out</t>
  </si>
  <si>
    <t>Primary HDHP medical plan: Drug classes with zero cost share to members (in addition to ACA law requirements)</t>
  </si>
  <si>
    <t>Primary HDHP medical plan: Cost share for individuals who receive infused/injectable medications at preferred care sites</t>
  </si>
  <si>
    <t>Total number of exclusive provider organization (EPO) medical plans offered</t>
  </si>
  <si>
    <t>EPO medical plan with highest enrollment (Primary)</t>
  </si>
  <si>
    <t>Other EPO plans offered</t>
  </si>
  <si>
    <t>Primary EPO medical plan: Network out-of-pocket limit per person</t>
  </si>
  <si>
    <t>Primary EPO medical plan: Network out-of-pocket limit family</t>
  </si>
  <si>
    <t>Primary EPO medical plan: Out-of-network out-of-pocket limit per person</t>
  </si>
  <si>
    <t>Primary EPO medical plan: Out-of-network out-of-pocket limit family</t>
  </si>
  <si>
    <t>Primary EPO medical plan: Out-of-pocket limit - cross apply</t>
  </si>
  <si>
    <t>Primary EPO medical plan: Out-of-pocket limit - aggregated</t>
  </si>
  <si>
    <t xml:space="preserve">Primary EPO medical plan: Expenses excluded from out-of-pocket limit </t>
  </si>
  <si>
    <t>Primary EPO medical plan in-network services with separate deductibles: Not applicable - no separate deductibles</t>
  </si>
  <si>
    <t>Primary EPO medical plan in-network services with separate deductibles: Acupuncture</t>
  </si>
  <si>
    <t>Primary EPO medical plan in-network services with separate deductibles: Chiropractic</t>
  </si>
  <si>
    <t>Primary EPO medical plan in-network services with separate deductibles: Emergency room (true emergency)</t>
  </si>
  <si>
    <t>Primary EPO medical plan in-network services with separate deductibles: Emergency room (non-emergency)</t>
  </si>
  <si>
    <t>Primary EPO medical plan in-network services with separate deductibles: Emergency room (with hospital admittance)</t>
  </si>
  <si>
    <t>Primary EPO medical plan in-network services with separate deductibles: Inpatient hospital</t>
  </si>
  <si>
    <t>Primary EPO medical plan in-network services with separate deductibles: Mental health/substance abuse</t>
  </si>
  <si>
    <t>Primary EPO medical plan in-network services with separate deductibles: Outpatient surgical center</t>
  </si>
  <si>
    <t>Primary EPO medical plan in-network services with separate deductibles: Prescription drugs (preventive)</t>
  </si>
  <si>
    <t>Primary EPO medical plan in-network services with separate deductibles: Prescription drugs (non-preventive)</t>
  </si>
  <si>
    <t>Primary EPO medical plan in-network services with separate deductibles: Other</t>
  </si>
  <si>
    <t>Primary EPO medical plan out-of-network services with separate deductibles: Not applicable - no separate deductibles</t>
  </si>
  <si>
    <t>Primary EPO medical plan out-of-network services with separate deductibles: Acupuncture</t>
  </si>
  <si>
    <t>Primary EPO medical plan out-of-network services with separate deductibles: Chiropractic</t>
  </si>
  <si>
    <t>Primary EPO medical plan out-of-network services with separate deductibles: Emergency room (true emergency)</t>
  </si>
  <si>
    <t>Primary EPO medical plan out-of-network services with separate deductibles: Emergency room (non-emergency)</t>
  </si>
  <si>
    <t>Primary EPO medical plan out-of-network services with separate deductibles: Emergency room (with hospital admittance)</t>
  </si>
  <si>
    <t>Primary EPO medical plan out-of-network services with separate deductibles: Inpatient hospital</t>
  </si>
  <si>
    <t>Primary EPO medical plan out-of-network services with separate deductibles: Mental health/substance abuse</t>
  </si>
  <si>
    <t>Primary EPO medical plan out-of-network services with separate deductibles: Outpatient surgical center</t>
  </si>
  <si>
    <t>Primary EPO medical plan out-of-network services with separate deductibles: Prescription drugs (preventive)</t>
  </si>
  <si>
    <t>Primary EPO medical plan out-of-network services with separate deductibles: Prescription drugs (non-preventive)</t>
  </si>
  <si>
    <t>Primary EPO medical plan out-of-network services with separate deductibles: Other</t>
  </si>
  <si>
    <t>Primary EPO medical plan in-network deductible per person: Not applicable - no separate deductibles</t>
  </si>
  <si>
    <t>Primary EPO medical plan in-network deductible per person: Acupuncture</t>
  </si>
  <si>
    <t>Primary EPO medical plan in-network deductible per person: Chiropractic</t>
  </si>
  <si>
    <t>Primary EPO medical plan in-network deductible per person: Emergency room (true emergency)</t>
  </si>
  <si>
    <t>Primary EPO medical plan in-network deductible per person: Emergency room (non-emergency)</t>
  </si>
  <si>
    <t>Primary EPO medical plan in-network deductible per person: Emergency room (with hospital admittance)</t>
  </si>
  <si>
    <t>Primary EPO medical plan in-network deductible per person: In-patient hospital</t>
  </si>
  <si>
    <t>Primary EPO medical plan in-network deductible per person: Mental health/substance abuse</t>
  </si>
  <si>
    <t>Primary EPO medical plan in-network deductible per person: Out-patient surgical center</t>
  </si>
  <si>
    <t>Primary EPO medical plan in-network deductible per person: Prescription drugs (preventive)</t>
  </si>
  <si>
    <t>Primary EPO medical plan in-network deductible per person: Prescription drugs (non-preventive)</t>
  </si>
  <si>
    <t>Primary EPO medical plan in-network deductible per person: Other</t>
  </si>
  <si>
    <t>Primary EPO medical plan in-network deductible per family: Not applicable - no separate deductibles</t>
  </si>
  <si>
    <t>Primary EPO medical plan in-network deductible per family: Acupuncture</t>
  </si>
  <si>
    <t>Primary EPO medical plan in-network deductible per family: Chiropractic</t>
  </si>
  <si>
    <t>Primary EPO medical plan in-network deductible per family: Emergency room (true emergency)</t>
  </si>
  <si>
    <t>Primary EPO medical plan in-network deductible per family: Emergency room (non-emergency)</t>
  </si>
  <si>
    <t>Primary EPO medical plan in-network deductible per family: Emergency room (with hospital admittance)</t>
  </si>
  <si>
    <t>Primary EPO medical plan in-network deductible per family: In-patient hospital</t>
  </si>
  <si>
    <t>Primary EPO medical plan in-network deductible per family: Mental health/substance abuse</t>
  </si>
  <si>
    <t>Primary EPO medical plan in-network deductible per family: Out-patient surgical center</t>
  </si>
  <si>
    <t>Primary EPO medical plan in-network deductible per family: Prescription drugs (preventive)</t>
  </si>
  <si>
    <t>Primary EPO medical plan in-network deductible per family: Prescription drugs (non-preventive)</t>
  </si>
  <si>
    <t>Primary EPO medical plan in-network deductible per family: Other</t>
  </si>
  <si>
    <t>Primary EPO medical plan out-of-network deductible per person: Not applicable - no separate deductibles</t>
  </si>
  <si>
    <t>Primary EPO medical plan out-of-network deductible per person: Acupuncture</t>
  </si>
  <si>
    <t>Primary EPO medical plan out-of-network deductible per person: Chiropractic</t>
  </si>
  <si>
    <t>Primary EPO medical plan out-of-network deductible per person: Emergency room (true emergency)</t>
  </si>
  <si>
    <t>Primary EPO medical plan out-of-network deductible per person: Emergency room (non-emergency)</t>
  </si>
  <si>
    <t>Primary EPO medical plan out-of-network deductible per person: Emergency room (with hospital admittance)</t>
  </si>
  <si>
    <t>Primary EPO medical plan out-of-network deductible per person: In-patient hospital</t>
  </si>
  <si>
    <t>Primary EPO medical plan out-of-network deductible per person: Mental health/substance abuse</t>
  </si>
  <si>
    <t>Primary EPO medical plan out-of-network deductible per person: Out-patient surgical center</t>
  </si>
  <si>
    <t>Primary EPO medical plan out-of-network deductible per person: Prescription drugs (preventive)</t>
  </si>
  <si>
    <t>Primary EPO medical plan out-of-network deductible per person: Prescription drugs (non-preventive)</t>
  </si>
  <si>
    <t>Primary EPO medical plan out-of-network deductible per person: Other</t>
  </si>
  <si>
    <t>Primary EPO medical plan out-of-network deductible per family: Not applicable - no separate deductibles</t>
  </si>
  <si>
    <t>Primary EPO medical plan out-of-network deductible per family: Acupuncture</t>
  </si>
  <si>
    <t>Primary EPO medical plan out-of-network deductible per family: Chiropractic</t>
  </si>
  <si>
    <t>Primary EPO medical plan out-of-network deductible per family: Emergency room (true emergency)</t>
  </si>
  <si>
    <t>Primary EPO medical plan out-of-network deductible per family: Emergency room (non-emergency)</t>
  </si>
  <si>
    <t>Primary EPO medical plan out-of-network deductible per family: Emergency room (with hospital admittance)</t>
  </si>
  <si>
    <t>Primary EPO medical plan out-of-network deductible per family: In-patient hospital</t>
  </si>
  <si>
    <t>Primary EPO medical plan out-of-network deductible per family: Mental health/substance abuse</t>
  </si>
  <si>
    <t>Primary EPO medical plan out-of-network deductible per family: Out-patient surgical center</t>
  </si>
  <si>
    <t>Primary EPO medical plan out-of-network deductible per family: Prescription drugs (preventive)</t>
  </si>
  <si>
    <t>Primary EPO medical plan out-of-network deductible per family: Prescription drugs (non-preventive)</t>
  </si>
  <si>
    <t>Primary EPO medical plan out-of-network deductible per family: Other</t>
  </si>
  <si>
    <t>Primary EPO  medical plan: Annual plan limit</t>
  </si>
  <si>
    <t>Primary EPO medical plan: Covers emergency services for non-emergencies</t>
  </si>
  <si>
    <t>Primary EPO medical plan: Covers emergency services for non-emergencies at reduced amount</t>
  </si>
  <si>
    <t>Primary EPO medical plan: Covers mental health and substance abuse emergencies differently</t>
  </si>
  <si>
    <t>Primary EPO medical plan: Coverage for mental health and substance abuse emergencies</t>
  </si>
  <si>
    <t xml:space="preserve">Primary EPO medical plan non-acute care services in-network coverage </t>
  </si>
  <si>
    <t>Primary EPO medical plan non-acute care services out-of-network coverage</t>
  </si>
  <si>
    <t>Primary EPO medical plan in-network copayment: General/Primary care office visit</t>
  </si>
  <si>
    <t>Primary EPO medical plan in-network copayment: Specialist office visit</t>
  </si>
  <si>
    <t>Primary EPO medical plan in-network copayment: Emergency room</t>
  </si>
  <si>
    <t>Primary EPO medical plan in-network copayment: Urgent office visit</t>
  </si>
  <si>
    <t>Primary EPO medical plan in-network copayment: Telehealth</t>
  </si>
  <si>
    <t>Primary EPO medical plan in-network coinsurance: General/Primary care office visit</t>
  </si>
  <si>
    <t>Primary EPO medical plan out-of-network copayment: General/Primary care office visit</t>
  </si>
  <si>
    <t>Primary EPO medical plan out-of-network copayment: Specialist office visit</t>
  </si>
  <si>
    <t>Primary EPO medical plan out-of-network copayment: Emergency room</t>
  </si>
  <si>
    <t>Primary EPO medical plan out-of-network copayment: Urgent office visit</t>
  </si>
  <si>
    <t>Primary EPO medical plan out-of-network copayment: Telehealth</t>
  </si>
  <si>
    <t>Primary EPO medical plan out-of-network coinsurance: General/Primary care office visit</t>
  </si>
  <si>
    <t>Primary EPO medical plan out-of-network coinsurance: Telehealth</t>
  </si>
  <si>
    <t>Primary EPO medical plan out-of-pocket cost share waived or reduced: General/Primary care office visit</t>
  </si>
  <si>
    <t>Primary EPO medical plan out-of-pocket cost share waived or reduced: Specialist office visit</t>
  </si>
  <si>
    <t>Primary EPO medical plan out-of-pocket cost share waived or reduced: Emergency room</t>
  </si>
  <si>
    <t>Primary EPO medical plan out-of-pocket cost share waived or reduced: Urgent office visit</t>
  </si>
  <si>
    <t>Primary EPO medical plan out-of-pocket cost share waived or reduced: Telehealth</t>
  </si>
  <si>
    <t>Primary EPO medical plan out-of-pocket cost share waived or reduced: Other</t>
  </si>
  <si>
    <t>Primary EPO medical plan non-authorization/notification/not qualified services penalties applied: General/Primary care office visit</t>
  </si>
  <si>
    <t>Primary EPO medical plan non-authorization/notification/not qualified services penalties applied: Specialist office visit</t>
  </si>
  <si>
    <t>Primary EPO medical plan non-authorization/notification/not qualified services penalties applied: Emergency room</t>
  </si>
  <si>
    <t>Primary EPO medical plan non-authorization/notification/not qualified services penalties applied: Urgent office visit</t>
  </si>
  <si>
    <t>Primary EPO medical plan non-authorization/notification/not qualified services penalties applied: Telehealth</t>
  </si>
  <si>
    <t>Primary EPO medical plan non-authorization/notification/not qualified services penalties applied: Other</t>
  </si>
  <si>
    <t>Primary EPO medical plan covered drug type: Preventive</t>
  </si>
  <si>
    <t>Primary EPO medical plan covered drug type: Maintenance</t>
  </si>
  <si>
    <t>Primary EPO medical plan covered drug type: Generic</t>
  </si>
  <si>
    <t>Primary EPO medical plan covered drug type: Specialty (includes injectables)</t>
  </si>
  <si>
    <t>Primary EPO medical plan covered drug type: Lifestyle</t>
  </si>
  <si>
    <t>Primary EPO medical plan covered drug type: Compounds</t>
  </si>
  <si>
    <t>Primary EPO medical plan covered drug type: Biosimilars</t>
  </si>
  <si>
    <t>Primary EPO medical plan covered drug type: Over the counter (OTC) - prescribed</t>
  </si>
  <si>
    <t>Primary EPO medical plan covered drug type: Over the counter (OTC) - non-prescribed</t>
  </si>
  <si>
    <t>Primary EPO medical plan covered drug type: Other</t>
  </si>
  <si>
    <t>Primary EPO medical plan drug limits, exclusions, or required care management features: Preventive</t>
  </si>
  <si>
    <t>Primary EPO medical plan drug limits, exclusions, or required care management features: Maintenance</t>
  </si>
  <si>
    <t>Primary EPO medical plan drug limits, exclusions, or required care management features: Generic</t>
  </si>
  <si>
    <t>Primary EPO medical plan drug limits, exclusions, or required care management features: Specialty and injectables</t>
  </si>
  <si>
    <t>Primary EPO medical plan drug limits, exclusions, or required care management features: Lifestyle</t>
  </si>
  <si>
    <t>Primary EPO medical plan drug limits, exclusions, or required care management features: Compounds</t>
  </si>
  <si>
    <t>Primary EPO medical plan drug limits, exclusions, or required care management features: Biosimilars</t>
  </si>
  <si>
    <t>Primary EPO medical plan drug limits, exclusions, or required care management features: Over the counter - prescribed</t>
  </si>
  <si>
    <t>Primary EPO medical plan drug limits, exclusions, or required care management features: Over the counter - non-prescribed</t>
  </si>
  <si>
    <t>Primary EPO medical plan - tier #1 copayment: Retail/pharmacy in-network</t>
  </si>
  <si>
    <t>Primary EPO medical plan - tier #1 copayment: Retail/pharmacy out-of-network</t>
  </si>
  <si>
    <t>Primary EPO medical plan - tier #1 copayment: Mail order  in-network</t>
  </si>
  <si>
    <t>Primary EPO medical plan - tier #1 copayment: Mail order out-of-network</t>
  </si>
  <si>
    <t>Primary EPO medical plan - tier #2 copayment: Retail/pharmacy in-network</t>
  </si>
  <si>
    <t>Primary EPO medical plan - tier #2 copayment: Retail/pharmacy out-of-network</t>
  </si>
  <si>
    <t>Primary EPO medical plan - tier #2 copayment: Mail order  in-network</t>
  </si>
  <si>
    <t>Primary EPO medical plan - tier #2 copayment: Mail order out-of-network</t>
  </si>
  <si>
    <t>Primary EPO medical plan - tier #3 copayment: Retail/pharmacy in-network</t>
  </si>
  <si>
    <t>Primary EPO medical plan - tier #3 copayment: Retail/pharmacy out-of-network</t>
  </si>
  <si>
    <t>Primary EPO medical plan - tier #3 copayment: Mail order  in-network</t>
  </si>
  <si>
    <t>Primary EPO medical plan - tier #3 copayment: Mail order out-of-network</t>
  </si>
  <si>
    <t>Primary EPO medical plan - tier #4 copayment: Retail/pharmacy in-network</t>
  </si>
  <si>
    <t>Primary EPO medical plan - tier #4 copayment: Retail/pharmacy out-of-network</t>
  </si>
  <si>
    <t>Primary EPO medical plan - tier #4 copayment: Mail order  in-network</t>
  </si>
  <si>
    <t>Primary EPO medical plan - tier #4 copayment: Mail order out-of-network</t>
  </si>
  <si>
    <t>Primary EPO medical plan - tier #5 copayment: Retail/pharmacy in-network</t>
  </si>
  <si>
    <t>Primary EPO medical plan - tier #5 copayment: Retail/pharmacy out-of-network</t>
  </si>
  <si>
    <t>Primary EPO medical plan - tier #5 copayment: Mail order  in-network</t>
  </si>
  <si>
    <t>Primary EPO medical plan - tier #5 copayment: Mail order out-of-network</t>
  </si>
  <si>
    <t>Primary EPO medical plan - specialty copayment: Retail/pharmacy in-network</t>
  </si>
  <si>
    <t>Primary EPO medical plan - specialty copayment: Retail/pharmacy out-of-network</t>
  </si>
  <si>
    <t>Primary EPO medical plan - specialty copayment: Mail order  in-network</t>
  </si>
  <si>
    <t>Primary EPO medical plan - specialty copayment: Mail order out-of-network</t>
  </si>
  <si>
    <t>Primary EPO medical plan - Other copayment: Retail/pharmacy in-network</t>
  </si>
  <si>
    <t>Primary EPO medical plan - Other copayment: Retail/pharmacy out-of-network</t>
  </si>
  <si>
    <t>Primary EPO medical plan - Other copayment: Mail order  in-network</t>
  </si>
  <si>
    <t>Primary EPO medical plan - Other copayment: Mail order out-of-network</t>
  </si>
  <si>
    <t>Primary EPO medical plan tier 1 coinsurance: Retail/pharmacy - in-network</t>
  </si>
  <si>
    <t>Primary EPO medical plan tier 2 coinsurance: Retail/pharmacy - in-network</t>
  </si>
  <si>
    <t>Primary EPO medical plan tier 3 coinsurance: Retail/pharmacy - in-network</t>
  </si>
  <si>
    <t>Primary EPO medical plan tier 4 coinsurance: Retail/pharmacy - in-network</t>
  </si>
  <si>
    <t>Primary EPO medical plan tier 5 coinsurance: Retail/pharmacy - in-network</t>
  </si>
  <si>
    <t>Primary EPO medical plan specialty coinsurance: Retail/pharmacy - in-network</t>
  </si>
  <si>
    <t>Primary EPO medical plan Other coinsurance: Retail/pharmacy - in-network</t>
  </si>
  <si>
    <t>Primary EPO medical plan tier 1 coinsurance minimum: Retail/pharmacy - in-network</t>
  </si>
  <si>
    <t>Primary EPO medical plan tier 1 coinsurance maximum: Retail/pharmacy - in-network</t>
  </si>
  <si>
    <t>Primary EPO medical plan tier 2 coinsurance minimum: Retail/pharmacy - in-network</t>
  </si>
  <si>
    <t>Primary EPO medical plan tier 2 coinsurance maximum: Retail/pharmacy - in-network</t>
  </si>
  <si>
    <t>Primary EPO medical plan tier 3 coinsurance minimum: Retail/pharmacy - in-network</t>
  </si>
  <si>
    <t>Primary EPO medical plan tier 3 coinsurance maximum: Retail/pharmacy - in-network</t>
  </si>
  <si>
    <t>Primary EPO medical plan tier 4 coinsurance minimum: Retail/pharmacy - in-network</t>
  </si>
  <si>
    <t>Primary EPO medical plan tier 4 coinsurance maximum: Retail/pharmacy - in-network</t>
  </si>
  <si>
    <t>Primary EPO medical plan tier 5 coinsurance minimum: Retail/pharmacy - in-network</t>
  </si>
  <si>
    <t>Primary EPO medical plan tier 5 coinsurance maximum: Retail/pharmacy - in-network</t>
  </si>
  <si>
    <t>Primary EPO medical plan specialty coinsurance minimum: Retail/pharmacy - in-network</t>
  </si>
  <si>
    <t>Primary EPO medical plan specialty coinsurance maximum: Retail/pharmacy - in-network</t>
  </si>
  <si>
    <t>Primary EPO medical plan Other coinsurance minimum: Retail/pharmacy - in-network</t>
  </si>
  <si>
    <t>Primary EPO medical plan Other coinsurance maximum: Retail/pharmacy - in-network</t>
  </si>
  <si>
    <t>Primary EPO medical plan tier 1 coinsurance: Retail/pharmacy - out-of-network</t>
  </si>
  <si>
    <t>Primary EPO medical plan tier 2 coinsurance: Retail/pharmacy - out-of-network</t>
  </si>
  <si>
    <t>Primary EPO medical plan tier 3 coinsurance: Retail/pharmacy - out-of-network</t>
  </si>
  <si>
    <t>Primary EPO medical plan tier 4 coinsurance: Retail/pharmacy - out-of-network</t>
  </si>
  <si>
    <t>Primary EPO medical plan tier 5 coinsurance: Retail/pharmacy - out-of-network</t>
  </si>
  <si>
    <t>Primary EPO medical plan specialty coinsurance: Retail/pharmacy - out-of-network</t>
  </si>
  <si>
    <t>Primary EPO medical plan Other coinsurance: Retail/pharmacy - out-of-network</t>
  </si>
  <si>
    <t>Primary EPO medical plan tier 1 coinsurance minimum: Retail/pharmacy - out-of-network</t>
  </si>
  <si>
    <t>Primary EPO medical plan tier 1 coinsurance maximum: Retail/pharmacy - out-of-network</t>
  </si>
  <si>
    <t>Primary EPO medical plan tier 2 coinsurance minimum: Retail/pharmacy - out-of-network</t>
  </si>
  <si>
    <t>Primary EPO medical plan tier 2 coinsurance maximum: Retail/pharmacy - out-of-network</t>
  </si>
  <si>
    <t>Primary EPO medical plan tier 3 coinsurance minimum: Retail/pharmacy - out-of-network</t>
  </si>
  <si>
    <t>Primary EPO medical plan tier 3 coinsurance maximum: Retail/pharmacy - out-of-network</t>
  </si>
  <si>
    <t>Primary EPO medical plan tier 4 coinsurance minimum: Retail/pharmacy - out-of-network</t>
  </si>
  <si>
    <t>Primary EPO medical plan tier 4 coinsurance maximum: Retail/pharmacy - out-of-network</t>
  </si>
  <si>
    <t>Primary EPO medical plan tier 5 coinsurance minimum: Retail/pharmacy - out-of-network</t>
  </si>
  <si>
    <t>Primary EPO medical plan tier 5 coinsurance maximum: Retail/pharmacy - out-of-network</t>
  </si>
  <si>
    <t>Primary EPO medical plan specialty coinsurance minimum: Retail/pharmacy - out-of-network</t>
  </si>
  <si>
    <t>Primary EPO medical plan specialty coinsurance maximum: Retail/pharmacy - out-of-network</t>
  </si>
  <si>
    <t>Primary EPO medical plan Other coinsurance minimum: Retail/pharmacy - out-of-network</t>
  </si>
  <si>
    <t>Primary EPO medical plan Other coinsurance maximum: Retail/pharmacy - out-of-network</t>
  </si>
  <si>
    <t>Primary EPO medical plan tier 1 coinsurance: Mail order - in-network</t>
  </si>
  <si>
    <t>Primary EPO medical plan tier 2 coinsurance: Mail order - in-network</t>
  </si>
  <si>
    <t>Primary EPO medical plan tier 3 coinsurance: Mail order - in-network</t>
  </si>
  <si>
    <t>Primary EPO medical plan tier 4 coinsurance: Mail order - in-network</t>
  </si>
  <si>
    <t>Primary EPO medical plan tier 5 coinsurance: Mail order - in-network</t>
  </si>
  <si>
    <t>Primary EPO medical plan specialty coinsurance: Mail order - in-network</t>
  </si>
  <si>
    <t>Primary EPO medical plan Other coinsurance: Mail order - in-network</t>
  </si>
  <si>
    <t>Primary EPO medical plan tier 1 coinsurance minimum: Mail order - in-network</t>
  </si>
  <si>
    <t>Primary EPO medical plan tier 1 coinsurance maximum: Mail order - in-network</t>
  </si>
  <si>
    <t>Primary EPO medical plan tier 2 coinsurance minimum: Mail order - in-network</t>
  </si>
  <si>
    <t>Primary EPO medical plan tier 2 coinsurance maximum: Mail order - in-network</t>
  </si>
  <si>
    <t>Primary EPO medical plan tier 3 coinsurance minimum: Mail order - in-network</t>
  </si>
  <si>
    <t>Primary EPO medical plan tier 3 coinsurance maximum: Mail order - in-network</t>
  </si>
  <si>
    <t>Primary EPO medical plan tier 4 coinsurance minimum: Mail order - in-network</t>
  </si>
  <si>
    <t>Primary EPO medical plan tier 4 coinsurance maximum: Mail order - in-network</t>
  </si>
  <si>
    <t>Primary EPO medical plan tier 5 coinsurance minimum: Mail order - in-network</t>
  </si>
  <si>
    <t>Primary EPO medical plan tier 5 coinsurance maximum: Mail order - in-network</t>
  </si>
  <si>
    <t>Primary EPO medical plan specialty coinsurance minimum: Mail order - in-network</t>
  </si>
  <si>
    <t>Primary EPO medical plan specialty coinsurance maximum: Mail order - in-network</t>
  </si>
  <si>
    <t>Primary EPO medical plan Other coinsurance minimum: Mail order - in-network</t>
  </si>
  <si>
    <t>Primary EPO medical plan Other coinsurance maximum: Mail order - in-network</t>
  </si>
  <si>
    <t>Primary EPO medical plan tier 1 coinsurance: Mail order - out-of-network</t>
  </si>
  <si>
    <t>Primary EPO medical plan tier 2 coinsurance: Mail order - out-of-network</t>
  </si>
  <si>
    <t>Primary EPO medical plan tier 3 coinsurance: Mail order - out-of-network</t>
  </si>
  <si>
    <t>Primary EPO medical plan tier 4 coinsurance: Mail order - out-of-network</t>
  </si>
  <si>
    <t>Primary EPO medical plan tier 5 coinsurance: Mail order - out-of-network</t>
  </si>
  <si>
    <t>Primary EPO medical plan specialty coinsurance: Mail order - out-of-network</t>
  </si>
  <si>
    <t>Primary EPO medical plan Other coinsurance: Mail order - out-of-network</t>
  </si>
  <si>
    <t>Primary EPO medical plan tier 1 coinsurance minimum: Mail order - out-of-network</t>
  </si>
  <si>
    <t>Primary EPO medical plan tier 1 coinsurance maximum: Mail order - out-of-network</t>
  </si>
  <si>
    <t>Primary EPO medical plan tier 2 coinsurance minimum: Mail order - out-of-network</t>
  </si>
  <si>
    <t>Primary EPO medical plan tier 2 coinsurance maximum: Mail order - out-of-network</t>
  </si>
  <si>
    <t>Primary EPO medical plan tier 3 coinsurance minimum: Mail order - out-of-network</t>
  </si>
  <si>
    <t>Primary EPO medical plan tier 3 coinsurance maximum: Mail order - out-of-network</t>
  </si>
  <si>
    <t>Primary EPO medical plan tier 4 coinsurance minimum: Mail order - out-of-network</t>
  </si>
  <si>
    <t>Primary EPO medical plan tier 4 coinsurance maximum: Mail order - out-of-network</t>
  </si>
  <si>
    <t>Primary EPO medical plan tier 5 coinsurance minimum: Mail order - out-of-network</t>
  </si>
  <si>
    <t>Primary EPO medical plan tier 5 coinsurance maximum: Mail order - out-of-network</t>
  </si>
  <si>
    <t>Primary EPO medical plan specialty coinsurance minimum: Mail order - out-of-network</t>
  </si>
  <si>
    <t>Primary EPO medical plan specialty coinsurance maximum: Mail order - out-of-network</t>
  </si>
  <si>
    <t>Primary EPO medical plan Other coinsurance minimum: Mail order - out-of-network</t>
  </si>
  <si>
    <t>Primary EPO medical plan Other coinsurance maximum: Mail order - out-of-network</t>
  </si>
  <si>
    <t>Primary EPO medical plan: Pharmacy benefit manager carved in/out</t>
  </si>
  <si>
    <t>Primary EPO medical plan: Drug classes with zero cost share to members (in addition to ACA law requirements)</t>
  </si>
  <si>
    <t>Primary EPO medical plan: Cost share for individuals who receive infused/injectable medications at preferred care sites</t>
  </si>
  <si>
    <t>Total number of national health maintenance organization (national HMO) medical plans offered</t>
  </si>
  <si>
    <t>National HMO medical plan with highest enrollment (Primary)</t>
  </si>
  <si>
    <t>Other national HMO plans offered</t>
  </si>
  <si>
    <t>Primary national HMO medical plan: Network out-of-pocket limit per person</t>
  </si>
  <si>
    <t>Primary national HMO medical plan: Network out-of-pocket limit family</t>
  </si>
  <si>
    <t>Primary national HMO medical plan: Out-of-network out-of-pocket limit per person</t>
  </si>
  <si>
    <t>Primary national HMO medical plan: Out-of-network out-of-pocket limit family</t>
  </si>
  <si>
    <t>Primary national HMO medical plan: Out-of-pocket limit - cross apply</t>
  </si>
  <si>
    <t>Primary national HMO medical plan: Out-of-pocket limit - aggregated</t>
  </si>
  <si>
    <t>Primary national HMO medical plan: Expenses excluded from out-of-pocket limit</t>
  </si>
  <si>
    <t>Primary national HMO medical plan in-network services with separate deductibles: Not applicable - no separate deductibles</t>
  </si>
  <si>
    <t>Primary national HMO medical plan in-network services with separate deductibles: Acupuncture</t>
  </si>
  <si>
    <t>Primary national HMO medical plan in-network services with separate deductibles: Chiropractic</t>
  </si>
  <si>
    <t>Primary national HMO medical plan in-network services with separate deductibles: Emergency room (true emergency)</t>
  </si>
  <si>
    <t>Primary national HMO medical plan in-network services with separate deductibles: Emergency room (non-emergency)</t>
  </si>
  <si>
    <t>Primary national HMO medical plan in-network services with separate deductibles: Emergency room (with hospital admittance)</t>
  </si>
  <si>
    <t>Primary national HMO medical plan in-network services with separate deductibles: Inpatient hospital</t>
  </si>
  <si>
    <t>Primary national HMO medical plan in-network services with separate deductibles: Mental health/substance abuse</t>
  </si>
  <si>
    <t>Primary national HMO medical plan in-network services with separate deductibles: Outpatient surgical center</t>
  </si>
  <si>
    <t>Primary national HMO medical plan in-network services with separate deductibles: Prescription drugs (preventive)</t>
  </si>
  <si>
    <t>Primary national HMO medical plan in-network services with separate deductibles: Prescription drugs (non-preventive)</t>
  </si>
  <si>
    <t>Primary national HMO medical plan in-network services with separate deductibles: Other</t>
  </si>
  <si>
    <t>Primary national HMO medical plan out-of-network services with separate deductibles: Not applicable - no separate deductibles</t>
  </si>
  <si>
    <t>Primary national HMO medical plan out-of-network services with separate deductibles: Acupuncture</t>
  </si>
  <si>
    <t>Primary national HMO medical plan out-of-network services with separate deductibles: Chiropractic</t>
  </si>
  <si>
    <t>Primary national HMO medical plan out-of-network services with separate deductibles: Emergency room (true emergency)</t>
  </si>
  <si>
    <t>Primary national HMO medical plan out-of-network services with separate deductibles: Emergency room (non-emergency)</t>
  </si>
  <si>
    <t>Primary national HMO medical plan out-of-network services with separate deductibles: Emergency room (with hospital admittance)</t>
  </si>
  <si>
    <t>Primary national HMO medical plan out-of-network services with separate deductibles: Inpatient hospital</t>
  </si>
  <si>
    <t>Primary national HMO medical plan out-of-network services with separate deductibles: Mental health/substance abuse</t>
  </si>
  <si>
    <t>Primary national HMO medical plan out-of-network services with separate deductibles: Outpatient surgical center</t>
  </si>
  <si>
    <t>Primary national HMO medical plan out-of-network services with separate deductibles: Prescription drugs (preventive)</t>
  </si>
  <si>
    <t>Primary national HMO medical plan out-of-network services with separate deductibles: Prescription drugs (non-preventive)</t>
  </si>
  <si>
    <t>Primary national HMO medical plan out-of-network services with separate deductibles: Other</t>
  </si>
  <si>
    <t>Primary national HMO medical plan in-network deductible per person: Not applicable - no separate deductibles</t>
  </si>
  <si>
    <t>Primary national HMO medical plan in-network deductible per person: Acupuncture</t>
  </si>
  <si>
    <t>Primary national HMO medical plan in-network deductible per person: Chiropractic</t>
  </si>
  <si>
    <t>Primary national HMO medical plan in-network deductible per person: Emergency room (true emergency)</t>
  </si>
  <si>
    <t>Primary national HMO medical plan in-network deductible per person: Emergency room (non-emergency)</t>
  </si>
  <si>
    <t>Primary national HMO medical plan in-network deductible per person: Emergency room (with hospital admittance)</t>
  </si>
  <si>
    <t>Primary national HMO medical plan in-network deductible per person: In-patient hospital</t>
  </si>
  <si>
    <t>Primary national HMO medical plan in-network deductible per person: Mental health/substance abuse</t>
  </si>
  <si>
    <t>Primary national HMO medical plan in-network deductible per person: Out-patient surgical center</t>
  </si>
  <si>
    <t>Primary national HMO medical plan in-network deductible per person: Prescription drugs (preventive)</t>
  </si>
  <si>
    <t>Primary national HMO medical plan in-network deductible per person: Prescription drugs (non-preventive)</t>
  </si>
  <si>
    <t>Primary national HMO medical plan in-network deductible per person: Other</t>
  </si>
  <si>
    <t>Primary national HMO medical plan in-network deductible per family: Not applicable - no separate deductibles</t>
  </si>
  <si>
    <t>Primary national HMO medical plan in-network deductible per family: Acupuncture</t>
  </si>
  <si>
    <t>Primary national HMO medical plan in-network deductible per family: Chiropractic</t>
  </si>
  <si>
    <t>Primary national HMO medical plan in-network deductible per family: Emergency room (true emergency)</t>
  </si>
  <si>
    <t>Primary national HMO medical plan in-network deductible per family: Emergency room (non-emergency)</t>
  </si>
  <si>
    <t>Primary national HMO medical plan in-network deductible per family: Emergency room (with hospital admittance)</t>
  </si>
  <si>
    <t>Primary national HMO medical plan in-network deductible per family: In-patient hospital</t>
  </si>
  <si>
    <t>Primary national HMO medical plan in-network deductible per family: Mental health/substance abuse</t>
  </si>
  <si>
    <t>Primary national HMO medical plan in-network deductible per family: Out-patient surgical center</t>
  </si>
  <si>
    <t>Primary national HMO medical plan in-network deductible per family: Prescription drugs (preventive)</t>
  </si>
  <si>
    <t>Primary national HMO medical plan in-network deductible per family: Prescription drugs (non-preventive)</t>
  </si>
  <si>
    <t>Primary national HMO medical plan in-network deductible per family: Other</t>
  </si>
  <si>
    <t>Primary national HMO medical plan out-of-network deductible per person: Not applicable - no separate deductibles</t>
  </si>
  <si>
    <t>Primary national HMO medical plan out-of-network deductible per person: Acupuncture</t>
  </si>
  <si>
    <t>Primary national HMO medical plan out-of-network deductible per person: Chiropractic</t>
  </si>
  <si>
    <t>Primary national HMO medical plan out-of-network deductible per person: Emergency room (true emergency)</t>
  </si>
  <si>
    <t>Primary national HMO medical plan out-of-network deductible per person: Emergency room (non-emergency)</t>
  </si>
  <si>
    <t>Primary national HMO medical plan out-of-network deductible per person: Emergency room (with hospital admittance)</t>
  </si>
  <si>
    <t>Primary national HMO medical plan out-of-network deductible per person: In-patient hospital</t>
  </si>
  <si>
    <t>Primary national HMO medical plan out-of-network deductible per person: Mental health/substance abuse</t>
  </si>
  <si>
    <t>Primary national HMO medical plan out-of-network deductible per person: Out-patient surgical center</t>
  </si>
  <si>
    <t>Primary national HMO medical plan out-of-network deductible per person: Prescription drugs (preventive)</t>
  </si>
  <si>
    <t>Primary national HMO medical plan out-of-network deductible per person: Prescription drugs (non-preventive)</t>
  </si>
  <si>
    <t>Primary national HMO medical plan out-of-network deductible per person: Other</t>
  </si>
  <si>
    <t>Primary national HMO medical plan out-of-network deductible per family: Not applicable - no separate deductibles</t>
  </si>
  <si>
    <t>Primary national HMO medical plan out-of-network deductible per family: Acupuncture</t>
  </si>
  <si>
    <t>Primary national HMO medical plan out-of-network deductible per family: Chiropractic</t>
  </si>
  <si>
    <t>Primary national HMO medical plan out-of-network deductible per family: Emergency room (true emergency)</t>
  </si>
  <si>
    <t>Primary national HMO medical plan out-of-network deductible per family: Emergency room (non-emergency)</t>
  </si>
  <si>
    <t>Primary national HMO medical plan out-of-network deductible per family: Emergency room (with hospital admittance)</t>
  </si>
  <si>
    <t>Primary national HMO medical plan out-of-network deductible per family: In-patient hospital</t>
  </si>
  <si>
    <t>Primary national HMO medical plan out-of-network deductible per family: Mental health/substance abuse</t>
  </si>
  <si>
    <t>Primary national HMO medical plan out-of-network deductible per family: Out-patient surgical center</t>
  </si>
  <si>
    <t>Primary national HMO medical plan out-of-network deductible per family: Prescription drugs (preventive)</t>
  </si>
  <si>
    <t>Primary national HMO medical plan out-of-network deductible per family: Prescription drugs (non-preventive)</t>
  </si>
  <si>
    <t>Primary national HMO medical plan out-of-network deductible per family: Other</t>
  </si>
  <si>
    <t>Primary national HMO  medical plan: Annual plan limit</t>
  </si>
  <si>
    <t>Primary national HMO medical plan: Covers emergency services for non-emergencies</t>
  </si>
  <si>
    <t>Primary national HMO medical plan: Covers emergency services for non-emergencies at reduced amount</t>
  </si>
  <si>
    <t>Primary national HMO medical plan: Covers mental health and substance abuse emergencies differently</t>
  </si>
  <si>
    <t>Primary national HMO medical plan: Coverage for mental health and substance abuse emergencies</t>
  </si>
  <si>
    <t>Primary national HMO medical plan non-acute care services in-network coverage</t>
  </si>
  <si>
    <t>Primary national HMO medical plan non-acute care services out-of-network coverage -</t>
  </si>
  <si>
    <t>Primary national HMO medical plan in-network copayment: General/Primary care office visit</t>
  </si>
  <si>
    <t>Primary national HMO medical plan in-network copayment: Specialist office visit</t>
  </si>
  <si>
    <t>Primary national HMO medical plan in-network copayment: Emergency room</t>
  </si>
  <si>
    <t>Primary national HMO medical plan in-network copayment: Urgent office visit</t>
  </si>
  <si>
    <t>Primary national HMO medical plan in-network copayment: Telehealth</t>
  </si>
  <si>
    <t>Primary national HMO medical plan in-network coinsurance: General/Primary care office visit</t>
  </si>
  <si>
    <t>Primary national HMO medical plan out-of-network copayment: General/Primary care office visit</t>
  </si>
  <si>
    <t>Primary national HMO medical plan out-of-network copayment: Specialist office visit</t>
  </si>
  <si>
    <t>Primary national HMO medical plan out-of-network copayment: Emergency room</t>
  </si>
  <si>
    <t>Primary national HMO medical plan out-of-network copayment: Urgent office visit</t>
  </si>
  <si>
    <t>Primary national HMO medical plan out-of-network copayment: Telehealth</t>
  </si>
  <si>
    <t>Primary national HMO medical plan out-of-network coinsurance: General/Primary care office visit</t>
  </si>
  <si>
    <t>Primary national HMO medical plan out-of-network coinsurance: Telehealth</t>
  </si>
  <si>
    <t>Primary national HMO medical plan out-of-pocket cost share waived or reduced: General/Primary care office visit</t>
  </si>
  <si>
    <t>Primary national HMO medical plan out-of-pocket cost share waived or reduced: Specialist office visit</t>
  </si>
  <si>
    <t>Primary national HMO medical plan out-of-pocket cost share waived or reduced: Emergency room</t>
  </si>
  <si>
    <t>Primary national HMO medical plan out-of-pocket cost share waived or reduced: Urgent office visit</t>
  </si>
  <si>
    <t>Primary national HMO medical plan out-of-pocket cost share waived or reduced: Telehealth</t>
  </si>
  <si>
    <t>Primary national HMO medical plan out-of-pocket cost share waived or reduced: Other</t>
  </si>
  <si>
    <t>Primary national HMO medical plan non-authorization/notification/not qualified services penalties applied: General/Primary care office visit</t>
  </si>
  <si>
    <t>Primary national HMO medical plan non-authorization/notification/not qualified services penalties applied: Specialist office visit</t>
  </si>
  <si>
    <t>Primary national HMO medical plan non-authorization/notification/not qualified services penalties applied: Emergency room</t>
  </si>
  <si>
    <t>Primary national HMO medical plan non-authorization/notification/not qualified services penalties applied: Urgent office visit</t>
  </si>
  <si>
    <t>Primary national HMO medical plan non-authorization/notification/not qualified services penalties applied: Telehealth</t>
  </si>
  <si>
    <t>Primary national HMO medical plan non-authorization/notification/not qualified services penalties applied: Other</t>
  </si>
  <si>
    <t>Primary national HMO medical plan covered drug type: Preventive</t>
  </si>
  <si>
    <t>Primary national HMO medical plan covered drug type: Maintenance</t>
  </si>
  <si>
    <t>Primary national HMO medical plan covered drug type: Generic</t>
  </si>
  <si>
    <t>Primary national HMO medical plan covered drug type: Specialty (includes injectables)</t>
  </si>
  <si>
    <t>Primary national HMO medical plan covered drug type: Lifestyle</t>
  </si>
  <si>
    <t>Primary national HMO medical plan covered drug type: Compounds</t>
  </si>
  <si>
    <t>Primary national HMO medical plan covered drug type: Biosimilars</t>
  </si>
  <si>
    <t>Primary national HMO medical plan covered drug type: Over the counter (OTC) - prescribed</t>
  </si>
  <si>
    <t>Primary national HMO medical plan covered drug type: Over the counter (OTC) - non-prescribed</t>
  </si>
  <si>
    <t>Primary national HMO medical plan covered drug type: Other</t>
  </si>
  <si>
    <t>Primary national HMO medical plan drug limits, exclusions, or required care management features: Preventive</t>
  </si>
  <si>
    <t>Primary national HMO medical plan drug limits, exclusions, or required care management features: Maintenance</t>
  </si>
  <si>
    <t>Primary national HMO medical plan drug limits, exclusions, or required care management features: Generic</t>
  </si>
  <si>
    <t>Primary national HMO medical plan drug limits, exclusions, or required care management features: Specialty and injectables</t>
  </si>
  <si>
    <t>Primary national HMO medical plan drug limits, exclusions, or required care management features: Lifestyle</t>
  </si>
  <si>
    <t>Primary national HMO medical plan drug limits, exclusions, or required care management features: Compounds</t>
  </si>
  <si>
    <t>Primary national HMO medical plan drug limits, exclusions, or required care management features: Biosimilars</t>
  </si>
  <si>
    <t>Primary national HMO medical plan drug limits, exclusions, or required care management features: Over the counter - prescribed</t>
  </si>
  <si>
    <t>Primary national HMO medical plan drug limits, exclusions, or required care management features: Over the counter - non-prescribed</t>
  </si>
  <si>
    <t>Primary national HMO medical plan - tier #1 copayment: Retail/pharmacy in-network</t>
  </si>
  <si>
    <t>Primary national HMO medical plan - tier #1 copayment: Retail/pharmacy out-of-network</t>
  </si>
  <si>
    <t>Primary national HMO medical plan - tier #1 copayment: Mail order  in-network</t>
  </si>
  <si>
    <t>Primary national HMO medical plan - tier #1 copayment: Mail order out-of-network</t>
  </si>
  <si>
    <t>Primary national HMO medical plan - tier #2 copayment: Retail/pharmacy in-network</t>
  </si>
  <si>
    <t>Primary national HMO medical plan - tier #2 copayment: Retail/pharmacy out-of-network</t>
  </si>
  <si>
    <t>Primary national HMO medical plan - tier #2 copayment: Mail order  in-network</t>
  </si>
  <si>
    <t>Primary national HMO medical plan - tier #2 copayment: Mail order out-of-network</t>
  </si>
  <si>
    <t>Primary national HMO medical plan - tier #3 copayment: Retail/pharmacy in-network</t>
  </si>
  <si>
    <t>Primary national HMO medical plan - tier #3 copayment: Retail/pharmacy out-of-network</t>
  </si>
  <si>
    <t>Primary national HMO medical plan - tier #3 copayment: Mail order  in-network</t>
  </si>
  <si>
    <t>Primary national HMO medical plan - tier #3 copayment: Mail order out-of-network</t>
  </si>
  <si>
    <t>Primary national HMO medical plan - tier #4 copayment: Retail/pharmacy in-network</t>
  </si>
  <si>
    <t>Primary national HMO medical plan - tier #4 copayment: Retail/pharmacy out-of-network</t>
  </si>
  <si>
    <t>Primary national HMO medical plan - tier #4 copayment: Mail order  in-network</t>
  </si>
  <si>
    <t>Primary national HMO medical plan - tier #4 copayment: Mail order out-of-network</t>
  </si>
  <si>
    <t>Primary national HMO medical plan - tier #5 copayment: Retail/pharmacy in-network</t>
  </si>
  <si>
    <t>Primary national HMO medical plan - tier #5 copayment: Retail/pharmacy out-of-network</t>
  </si>
  <si>
    <t>Primary national HMO medical plan - tier #5 copayment: Mail order  in-network</t>
  </si>
  <si>
    <t>Primary national HMO medical plan - tier #5 copayment: Mail order out-of-network</t>
  </si>
  <si>
    <t>Primary national HMO medical plan - specialty copayment: Retail/pharmacy in-network</t>
  </si>
  <si>
    <t>Primary national HMO medical plan - specialty copayment: Retail/pharmacy out-of-network</t>
  </si>
  <si>
    <t>Primary national HMO medical plan - specialty copayment: Mail order  in-network</t>
  </si>
  <si>
    <t>Primary national HMO medical plan - specialty copayment: Mail order out-of-network</t>
  </si>
  <si>
    <t>Primary national HMO medical plan - Other copayment: Retail/pharmacy in-network</t>
  </si>
  <si>
    <t>Primary national HMO medical plan - Other copayment: Retail/pharmacy out-of-network</t>
  </si>
  <si>
    <t>Primary national HMO medical plan - Other copayment: Mail order  in-network</t>
  </si>
  <si>
    <t>Primary national HMO medical plan - Other copayment: Mail order out-of-network</t>
  </si>
  <si>
    <t>Primary national HMO medical plan tier 1 coinsurance: Retail/pharmacy - in-network</t>
  </si>
  <si>
    <t>Primary national HMO medical plan tier 2 coinsurance: Retail/pharmacy - in-network</t>
  </si>
  <si>
    <t>Primary national HMO medical plan tier 3 coinsurance: Retail/pharmacy - in-network</t>
  </si>
  <si>
    <t>Primary national HMO medical plan tier 4 coinsurance: Retail/pharmacy - in-network</t>
  </si>
  <si>
    <t>Primary national HMO medical plan tier 5 coinsurance: Retail/pharmacy - in-network</t>
  </si>
  <si>
    <t>Primary national HMO medical plan specialty coinsurance: Retail/pharmacy - in-network</t>
  </si>
  <si>
    <t>Primary national HMO medical plan Other coinsurance: Retail/pharmacy - in-network</t>
  </si>
  <si>
    <t>Primary national HMO medical plan tier 1 coinsurance minimum: Retail/pharmacy - in-network</t>
  </si>
  <si>
    <t>Primary national HMO medical plan tier 1 coinsurance maximum: Retail/pharmacy - in-network</t>
  </si>
  <si>
    <t>Primary national HMO medical plan tier 2 coinsurance minimum: Retail/pharmacy - in-network</t>
  </si>
  <si>
    <t>Primary national HMO medical plan tier 2 coinsurance maximum: Retail/pharmacy - in-network</t>
  </si>
  <si>
    <t>Primary national HMO medical plan tier 3 coinsurance minimum: Retail/pharmacy - in-network</t>
  </si>
  <si>
    <t>Primary national HMO medical plan tier 3 coinsurance maximum: Retail/pharmacy - in-network</t>
  </si>
  <si>
    <t>Primary national HMO medical plan tier 4 coinsurance minimum: Retail/pharmacy - in-network</t>
  </si>
  <si>
    <t>Primary national HMO medical plan tier 4 coinsurance maximum: Retail/pharmacy - in-network</t>
  </si>
  <si>
    <t>Primary national HMO medical plan tier 5 coinsurance minimum: Retail/pharmacy - in-network</t>
  </si>
  <si>
    <t>Primary national HMO medical plan tier 5 coinsurance maximum: Retail/pharmacy - in-network</t>
  </si>
  <si>
    <t>Primary national HMO medical plan specialty coinsurance minimum: Retail/pharmacy - in-network</t>
  </si>
  <si>
    <t>Primary national HMO medical plan specialty coinsurance maximum: Retail/pharmacy - in-network</t>
  </si>
  <si>
    <t>Primary national HMO medical plan Other coinsurance minimum: Retail/pharmacy - in-network</t>
  </si>
  <si>
    <t>Primary national HMO medical plan Other coinsurance maximum: Retail/pharmacy - in-network</t>
  </si>
  <si>
    <t>Primary national HMO medical plan tier 1 coinsurance: Retail/pharmacy - out-of-network</t>
  </si>
  <si>
    <t>Primary national HMO medical plan tier 2 coinsurance: Retail/pharmacy - out-of-network</t>
  </si>
  <si>
    <t>Primary national HMO medical plan tier 3 coinsurance: Retail/pharmacy - out-of-network</t>
  </si>
  <si>
    <t>Primary national HMO medical plan tier 4 coinsurance: Retail/pharmacy - out-of-network</t>
  </si>
  <si>
    <t>Primary national HMO medical plan tier 5 coinsurance: Retail/pharmacy - out-of-network</t>
  </si>
  <si>
    <t>Primary national HMO medical plan specialty coinsurance: Retail/pharmacy - out-of-network</t>
  </si>
  <si>
    <t>Primary national HMO medical plan Other coinsurance: Retail/pharmacy - out-of-network</t>
  </si>
  <si>
    <t>Primary national HMO medical plan tier 1 coinsurance minimum: Retail/pharmacy - out-of-network</t>
  </si>
  <si>
    <t>Primary national HMO medical plan tier 1 coinsurance maximum: Retail/pharmacy - out-of-network</t>
  </si>
  <si>
    <t>Primary national HMO medical plan tier 2 coinsurance minimum: Retail/pharmacy - out-of-network</t>
  </si>
  <si>
    <t>Primary national HMO medical plan tier 2 coinsurance maximum: Retail/pharmacy - out-of-network</t>
  </si>
  <si>
    <t>Primary national HMO medical plan tier 3 coinsurance minimum: Retail/pharmacy - out-of-network</t>
  </si>
  <si>
    <t>Primary national HMO medical plan tier 3 coinsurance maximum: Retail/pharmacy - out-of-network</t>
  </si>
  <si>
    <t>Primary national HMO medical plan tier 4 coinsurance minimum: Retail/pharmacy - out-of-network</t>
  </si>
  <si>
    <t>Primary national HMO medical plan tier 4 coinsurance maximum: Retail/pharmacy - out-of-network</t>
  </si>
  <si>
    <t>Primary national HMO medical plan tier 5 coinsurance minimum: Retail/pharmacy - out-of-network</t>
  </si>
  <si>
    <t>Primary national HMO medical plan tier 5 coinsurance maximum: Retail/pharmacy - out-of-network</t>
  </si>
  <si>
    <t>Primary national HMO medical plan specialty coinsurance minimum: Retail/pharmacy - out-of-network</t>
  </si>
  <si>
    <t>Primary national HMO medical plan specialty coinsurance maximum: Retail/pharmacy - out-of-network</t>
  </si>
  <si>
    <t>Primary national HMO medical plan Other coinsurance minimum: Retail/pharmacy - out-of-network</t>
  </si>
  <si>
    <t>Primary national HMO medical plan Other coinsurance maximum: Retail/pharmacy - out-of-network</t>
  </si>
  <si>
    <t>Primary national HMO medical plan tier 1 coinsurance: Mail order - in-network</t>
  </si>
  <si>
    <t>Primary national HMO medical plan tier 2 coinsurance: Mail order - in-network</t>
  </si>
  <si>
    <t>Primary national HMO medical plan tier 3 coinsurance: Mail order - in-network</t>
  </si>
  <si>
    <t>Primary national HMO medical plan tier 4 coinsurance: Mail order - in-network</t>
  </si>
  <si>
    <t>Primary national HMO medical plan tier 5 coinsurance: Mail order - in-network</t>
  </si>
  <si>
    <t>Primary national HMO medical plan specialty coinsurance: Mail order - in-network</t>
  </si>
  <si>
    <t>Primary national HMO medical plan Other coinsurance: Mail order - in-network</t>
  </si>
  <si>
    <t>Primary national HMO medical plan tier 1 coinsurance minimum: Mail order - in-network</t>
  </si>
  <si>
    <t>Primary national HMO medical plan tier 1 coinsurance maximum: Mail order - in-network</t>
  </si>
  <si>
    <t>Primary national HMO medical plan tier 2 coinsurance minimum: Mail order - in-network</t>
  </si>
  <si>
    <t>Primary national HMO medical plan tier 2 coinsurance maximum: Mail order - in-network</t>
  </si>
  <si>
    <t>Primary national HMO medical plan tier 3 coinsurance minimum: Mail order - in-network</t>
  </si>
  <si>
    <t>Primary national HMO medical plan tier 3 coinsurance maximum: Mail order - in-network</t>
  </si>
  <si>
    <t>Primary national HMO medical plan tier 4 coinsurance minimum: Mail order - in-network</t>
  </si>
  <si>
    <t>Primary national HMO medical plan tier 4 coinsurance maximum: Mail order - in-network</t>
  </si>
  <si>
    <t>Primary national HMO medical plan tier 5 coinsurance minimum: Mail order - in-network</t>
  </si>
  <si>
    <t>Primary national HMO medical plan tier 5 coinsurance maximum: Mail order - in-network</t>
  </si>
  <si>
    <t>Primary national HMO medical plan specialty coinsurance minimum: Mail order - in-network</t>
  </si>
  <si>
    <t>Primary national HMO medical plan specialty coinsurance maximum: Mail order - in-network</t>
  </si>
  <si>
    <t>Primary national HMO medical plan Other coinsurance minimum: Mail order - in-network</t>
  </si>
  <si>
    <t>Primary national HMO medical plan Other coinsurance maximum: Mail order - in-network</t>
  </si>
  <si>
    <t>Primary national HMO medical plan tier 1 coinsurance: Mail order - out-of-network</t>
  </si>
  <si>
    <t>Primary national HMO medical plan tier 2 coinsurance: Mail order - out-of-network</t>
  </si>
  <si>
    <t>Primary national HMO medical plan tier 3 coinsurance: Mail order - out-of-network</t>
  </si>
  <si>
    <t>Primary national HMO medical plan tier 4 coinsurance: Mail order - out-of-network</t>
  </si>
  <si>
    <t>Primary national HMO medical plan tier 5 coinsurance: Mail order - out-of-network</t>
  </si>
  <si>
    <t>Primary national HMO medical plan specialty coinsurance: Mail order - out-of-network</t>
  </si>
  <si>
    <t>Primary national HMO medical plan Other coinsurance: Mail order - out-of-network</t>
  </si>
  <si>
    <t>Primary national HMO medical plan tier 1 coinsurance minimum: Mail order - out-of-network</t>
  </si>
  <si>
    <t>Primary national HMO medical plan tier 1 coinsurance maximum: Mail order - out-of-network</t>
  </si>
  <si>
    <t>Primary national HMO medical plan tier 2 coinsurance minimum: Mail order - out-of-network</t>
  </si>
  <si>
    <t>Primary national HMO medical plan tier 2 coinsurance maximum: Mail order - out-of-network</t>
  </si>
  <si>
    <t>Primary national HMO medical plan tier 3 coinsurance minimum: Mail order - out-of-network</t>
  </si>
  <si>
    <t>Primary national HMO medical plan tier 3 coinsurance maximum: Mail order - out-of-network</t>
  </si>
  <si>
    <t>Primary national HMO medical plan tier 4 coinsurance minimum: Mail order - out-of-network</t>
  </si>
  <si>
    <t>Primary national HMO medical plan tier 4 coinsurance maximum: Mail order - out-of-network</t>
  </si>
  <si>
    <t>Primary national HMO medical plan tier 5 coinsurance minimum: Mail order - out-of-network</t>
  </si>
  <si>
    <t>Primary national HMO medical plan tier 5 coinsurance maximum: Mail order - out-of-network</t>
  </si>
  <si>
    <t>Primary national HMO medical plan specialty coinsurance minimum: Mail order - out-of-network</t>
  </si>
  <si>
    <t>Primary national HMO medical plan specialty coinsurance maximum: Mail order - out-of-network</t>
  </si>
  <si>
    <t>Primary national HMO medical plan Other coinsurance minimum: Mail order - out-of-network</t>
  </si>
  <si>
    <t>Primary national HMO medical plan Other coinsurance maximum: Mail order - out-of-network</t>
  </si>
  <si>
    <t>Primary national HMO medical plan: Pharmacy benefit manager carved in/out</t>
  </si>
  <si>
    <t>Primary national HMO medical plan: Drug classes with zero cost share to members (in addition to ACA law requirements)</t>
  </si>
  <si>
    <t>Primary national HMO medical plan: Cost share for individuals who receive infused/injectable medications at preferred care sites</t>
  </si>
  <si>
    <t>Total number of regional health maintenance organization (regional HMO) medical plans offered</t>
  </si>
  <si>
    <t>Regional HMO medical plan with highest enrollment (Primary)</t>
  </si>
  <si>
    <t>Other regional HMO plans offered</t>
  </si>
  <si>
    <t>Primary regional HMO medical plan: Network out-of-pocket limit per person</t>
  </si>
  <si>
    <t>Primary regional HMO medical plan: Network out-of-pocket limit family</t>
  </si>
  <si>
    <t>Primary regional HMO medical plan: Out-of-network out-of-pocket limit per person</t>
  </si>
  <si>
    <t>Primary regional HMO medical plan: Out-of-network out-of-pocket limit family</t>
  </si>
  <si>
    <t>Primary regional HMO medical plan: Out-of-pocket limit - cross apply</t>
  </si>
  <si>
    <t>Primary regional HMO medical plan: Out-of-pocket limit - aggregated</t>
  </si>
  <si>
    <t>Primary regional HMO medical plan in-network services with separate deductibles: Not applicable - no separate deductibles</t>
  </si>
  <si>
    <t>Primary regional HMO medical plan in-network services with separate deductibles: Acupuncture</t>
  </si>
  <si>
    <t>Primary regional HMO medical plan in-network services with separate deductibles: Chiropractic</t>
  </si>
  <si>
    <t>Primary regional HMO medical plan in-network services with separate deductibles: Emergency room (true emergency)</t>
  </si>
  <si>
    <t>Primary regional HMO medical plan in-network services with separate deductibles: Emergency room (non-emergency)</t>
  </si>
  <si>
    <t>Primary regional HMO medical plan in-network services with separate deductibles: Emergency room (with hospital admittance)</t>
  </si>
  <si>
    <t>Primary regional HMO medical plan in-network services with separate deductibles: Inpatient hospital</t>
  </si>
  <si>
    <t>Primary regional HMO medical plan in-network services with separate deductibles: Mental health/substance abuse</t>
  </si>
  <si>
    <t>Primary regional HMO medical plan in-network services with separate deductibles: Outpatient surgical center</t>
  </si>
  <si>
    <t>Primary regional HMO medical plan in-network services with separate deductibles: Prescription drugs (preventive)</t>
  </si>
  <si>
    <t>Primary regional HMO medical plan in-network services with separate deductibles: Prescription drugs (non-preventive)</t>
  </si>
  <si>
    <t>Primary regional HMO medical plan in-network services with separate deductibles: Other</t>
  </si>
  <si>
    <t>Primary regional HMO medical plan out-of-network services with separate deductibles: Not applicable - no separate deductibles</t>
  </si>
  <si>
    <t>Primary regional HMO medical plan out-of-network services with separate deductibles: Acupuncture</t>
  </si>
  <si>
    <t>Primary regional HMO medical plan out-of-network services with separate deductibles: Chiropractic</t>
  </si>
  <si>
    <t>Primary regional HMO medical plan out-of-network services with separate deductibles: Emergency room (true emergency)</t>
  </si>
  <si>
    <t>Primary regional HMO medical plan out-of-network services with separate deductibles: Emergency room (non-emergency)</t>
  </si>
  <si>
    <t>Primary regional HMO medical plan out-of-network services with separate deductibles: Emergency room (with hospital admittance)</t>
  </si>
  <si>
    <t>Primary regional HMO medical plan out-of-network services with separate deductibles: Inpatient hospital</t>
  </si>
  <si>
    <t>Primary regional HMO medical plan out-of-network services with separate deductibles: Mental health/substance abuse</t>
  </si>
  <si>
    <t>Primary regional HMO medical plan out-of-network services with separate deductibles: Outpatient surgical center</t>
  </si>
  <si>
    <t>Primary regional HMO medical plan out-of-network services with separate deductibles: Prescription drugs (preventive)</t>
  </si>
  <si>
    <t>Primary regional HMO medical plan out-of-network services with separate deductibles: Prescription drugs (non-preventive)</t>
  </si>
  <si>
    <t>Primary regional HMO medical plan out-of-network services with separate deductibles: Other</t>
  </si>
  <si>
    <t>Primary regional HMO medical plan in-network deductible per person: Not applicable - no separate deductibles</t>
  </si>
  <si>
    <t>Primary regional HMO medical plan in-network deductible per person: Acupuncture</t>
  </si>
  <si>
    <t>Primary regional HMO medical plan in-network deductible per person: Chiropractic</t>
  </si>
  <si>
    <t>Primary regional HMO medical plan in-network deductible per person: Emergency room (true emergency)</t>
  </si>
  <si>
    <t>Primary regional HMO medical plan in-network deductible per person: Emergency room (non-emergency)</t>
  </si>
  <si>
    <t>Primary regional HMO medical plan in-network deductible per person: Emergency room (with hospital admittance)</t>
  </si>
  <si>
    <t>Primary regional HMO medical plan in-network deductible per person: In-patient hospital</t>
  </si>
  <si>
    <t>Primary regional HMO medical plan in-network deductible per person: Mental health/substance abuse</t>
  </si>
  <si>
    <t>Primary regional HMO medical plan in-network deductible per person: Out-patient surgical center</t>
  </si>
  <si>
    <t>Primary regional HMO medical plan in-network deductible per person: Prescription drugs (preventive)</t>
  </si>
  <si>
    <t>Primary regional HMO medical plan in-network deductible per person: Prescription drugs (non-preventive)</t>
  </si>
  <si>
    <t>Primary regional HMO medical plan in-network deductible per person: Other</t>
  </si>
  <si>
    <t>Primary regional HMO medical plan in-network deductible per family: Not applicable - no separate deductibles</t>
  </si>
  <si>
    <t>Primary regional HMO medical plan in-network deductible per family: Acupuncture</t>
  </si>
  <si>
    <t>Primary regional HMO medical plan in-network deductible per family: Chiropractic</t>
  </si>
  <si>
    <t>Primary regional HMO medical plan in-network deductible per family: Emergency room (true emergency)</t>
  </si>
  <si>
    <t>Primary regional HMO medical plan in-network deductible per family: Emergency room (non-emergency)</t>
  </si>
  <si>
    <t>Primary regional HMO medical plan in-network deductible per family: Emergency room (with hospital admittance)</t>
  </si>
  <si>
    <t>Primary regional HMO medical plan in-network deductible per family: In-patient hospital</t>
  </si>
  <si>
    <t>Primary regional HMO medical plan in-network deductible per family: Mental health/substance abuse</t>
  </si>
  <si>
    <t>Primary regional HMO medical plan in-network deductible per family: Out-patient surgical center</t>
  </si>
  <si>
    <t>Primary regional HMO medical plan in-network deductible per family: Prescription drugs (preventive)</t>
  </si>
  <si>
    <t>Primary regional HMO medical plan in-network deductible per family: Prescription drugs (non-preventive)</t>
  </si>
  <si>
    <t>Primary regional HMO medical plan in-network deductible per family: Other</t>
  </si>
  <si>
    <t>Primary regional HMO medical plan out-of-network deductible per person: Not applicable - no separate deductibles</t>
  </si>
  <si>
    <t>Primary regional HMO medical plan out-of-network deductible per person: Acupuncture</t>
  </si>
  <si>
    <t>Primary regional HMO medical plan out-of-network deductible per person: Chiropractic</t>
  </si>
  <si>
    <t>Primary regional HMO medical plan out-of-network deductible per person: Emergency room (true emergency)</t>
  </si>
  <si>
    <t>Primary regional HMO medical plan out-of-network deductible per person: Emergency room (non-emergency)</t>
  </si>
  <si>
    <t>Primary regional HMO medical plan out-of-network deductible per person: Emergency room (with hospital admittance)</t>
  </si>
  <si>
    <t>Primary regional HMO medical plan out-of-network deductible per person: In-patient hospital</t>
  </si>
  <si>
    <t>Primary regional HMO medical plan out-of-network deductible per person: Mental health/substance abuse</t>
  </si>
  <si>
    <t>Primary regional HMO medical plan out-of-network deductible per person: Out-patient surgical center</t>
  </si>
  <si>
    <t>Primary regional HMO medical plan out-of-network deductible per person: Prescription drugs (preventive)</t>
  </si>
  <si>
    <t>Primary regional HMO medical plan out-of-network deductible per person: Prescription drugs (non-preventive)</t>
  </si>
  <si>
    <t>Primary regional HMO medical plan out-of-network deductible per person: Other</t>
  </si>
  <si>
    <t>Primary regional HMO medical plan out-of-network deductible per family: Not applicable - no separate deductibles</t>
  </si>
  <si>
    <t>Primary regional HMO medical plan out-of-network deductible per family: Acupuncture</t>
  </si>
  <si>
    <t>Primary regional HMO medical plan out-of-network deductible per family: Chiropractic</t>
  </si>
  <si>
    <t>Primary regional HMO medical plan out-of-network deductible per family: Emergency room (true emergency)</t>
  </si>
  <si>
    <t>Primary regional HMO medical plan out-of-network deductible per family: Emergency room (non-emergency)</t>
  </si>
  <si>
    <t>Primary regional HMO medical plan out-of-network deductible per family: Emergency room (with hospital admittance)</t>
  </si>
  <si>
    <t>Primary regional HMO medical plan out-of-network deductible per family: In-patient hospital</t>
  </si>
  <si>
    <t>Primary regional HMO medical plan out-of-network deductible per family: Mental health/substance abuse</t>
  </si>
  <si>
    <t>Primary regional HMO medical plan out-of-network deductible per family: Out-patient surgical center</t>
  </si>
  <si>
    <t>Primary regional HMO medical plan out-of-network deductible per family: Prescription drugs (preventive)</t>
  </si>
  <si>
    <t>Primary regional HMO medical plan out-of-network deductible per family: Prescription drugs (non-preventive)</t>
  </si>
  <si>
    <t>Primary regional HMO medical plan out-of-network deductible per family: Other</t>
  </si>
  <si>
    <t>Primary regional HMO  medical plan: Annual plan limit</t>
  </si>
  <si>
    <t>Primary regional HMO medical plan: Covers emergency services for non-emergencies</t>
  </si>
  <si>
    <t>Primary regional HMO medical plan: Covers emergency services for non-emergencies at reduced amount</t>
  </si>
  <si>
    <t>Primary regional HMO medical plan: Covers mental health and substance abuse emergencies differently</t>
  </si>
  <si>
    <t>Primary regional HMO medical plan: Coverage for mental health and substance abuse emergencies</t>
  </si>
  <si>
    <t>Primary regional HMO medical plan non-acute care services in-network coverage</t>
  </si>
  <si>
    <t>Primary regional HMO medical plan non-acute care services out-of-network coverage</t>
  </si>
  <si>
    <t>Primary regional HMO medical plan in-network copayment: General/Primary care office visit</t>
  </si>
  <si>
    <t>Primary regional HMO medical plan in-network copayment: Specialist office visit</t>
  </si>
  <si>
    <t>Primary regional HMO medical plan in-network copayment: Emergency room</t>
  </si>
  <si>
    <t>Primary regional HMO medical plan in-network copayment: Urgent office visit</t>
  </si>
  <si>
    <t>Primary regional HMO medical plan in-network copayment: Telehealth</t>
  </si>
  <si>
    <t>Primary regional HMO medical plan in-network coinsurance: General/Primary care office visit</t>
  </si>
  <si>
    <t>Primary regional HMO medical plan out-of-network copayment: General/Primary care office visit</t>
  </si>
  <si>
    <t>Primary regional HMO medical plan out-of-network copayment: Specialist office visit</t>
  </si>
  <si>
    <t>Primary regional HMO medical plan out-of-network copayment: Emergency room</t>
  </si>
  <si>
    <t>Primary regional HMO medical plan out-of-network copayment: Urgent office visit</t>
  </si>
  <si>
    <t>Primary regional HMO medical plan out-of-network copayment: Telehealth</t>
  </si>
  <si>
    <t>Primary regional HMO medical plan out-of-network coinsurance: General/Primary care office visit</t>
  </si>
  <si>
    <t>Primary regional HMO medical plan out-of-network coinsurance: Telehealth</t>
  </si>
  <si>
    <t>Primary regional HMO medical plan out-of-pocket cost share waived or reduced: General/Primary care office visit</t>
  </si>
  <si>
    <t>Primary regional HMO medical plan out-of-pocket cost share waived or reduced: Specialist office visit</t>
  </si>
  <si>
    <t>Primary regional HMO medical plan out-of-pocket cost share waived or reduced: Emergency room</t>
  </si>
  <si>
    <t>Primary regional HMO medical plan out-of-pocket cost share waived or reduced: Urgent office visit</t>
  </si>
  <si>
    <t>Primary regional HMO medical plan out-of-pocket cost share waived or reduced: Telehealth</t>
  </si>
  <si>
    <t>Primary regional HMO medical plan out-of-pocket cost share waived or reduced: Other</t>
  </si>
  <si>
    <t>Primary regional HMO medical plan non-authorization/notification/not qualified services penalties applied: General/Primary care office visit</t>
  </si>
  <si>
    <t>Primary regional HMO medical plan non-authorization/notification/not qualified services penalties applied: Specialist office visit</t>
  </si>
  <si>
    <t>Primary regional HMO medical plan non-authorization/notification/not qualified services penalties applied: Emergency room</t>
  </si>
  <si>
    <t>Primary regional HMO medical plan non-authorization/notification/not qualified services penalties applied: Urgent office visit</t>
  </si>
  <si>
    <t>Primary regional HMO medical plan non-authorization/notification/not qualified services penalties applied: Telehealth</t>
  </si>
  <si>
    <t>Primary regional HMO medical plan non-authorization/notification/not qualified services penalties applied: Other</t>
  </si>
  <si>
    <t>Primary regional HMO medical plan covered drug type: Preventive</t>
  </si>
  <si>
    <t>Primary regional HMO medical plan covered drug type: Maintenance</t>
  </si>
  <si>
    <t>Primary regional HMO medical plan covered drug type: Generic</t>
  </si>
  <si>
    <t>Primary regional HMO medical plan covered drug type: Specialty (includes injectables)</t>
  </si>
  <si>
    <t>Primary regional HMO medical plan covered drug type: Lifestyle</t>
  </si>
  <si>
    <t>Primary regional HMO medical plan covered drug type: Compounds</t>
  </si>
  <si>
    <t>Primary regional HMO medical plan covered drug type: Biosimilars</t>
  </si>
  <si>
    <t>Primary regional HMO medical plan covered drug type: Over the counter (OTC) - prescribed</t>
  </si>
  <si>
    <t>Primary regional HMO medical plan covered drug type: Over the counter (OTC) - non-prescribed</t>
  </si>
  <si>
    <t>Primary regional HMO medical plan covered drug type: Other</t>
  </si>
  <si>
    <t>Primary regional HMO medical plan drug limits, exclusions, or required care management features: Preventive</t>
  </si>
  <si>
    <t>Primary regional HMO medical plan drug limits, exclusions, or required care management features: Maintenance</t>
  </si>
  <si>
    <t>Primary regional HMO medical plan drug limits, exclusions, or required care management features: Generic</t>
  </si>
  <si>
    <t>Primary regional HMO medical plan drug limits, exclusions, or required care management features: Specialty and injectables</t>
  </si>
  <si>
    <t>Primary regional HMO medical plan drug limits, exclusions, or required care management features: Lifestyle</t>
  </si>
  <si>
    <t>Primary regional HMO medical plan drug limits, exclusions, or required care management features: Compounds</t>
  </si>
  <si>
    <t>Primary regional HMO medical plan drug limits, exclusions, or required care management features: Biosimilars</t>
  </si>
  <si>
    <t>Primary regional HMO medical plan drug limits, exclusions, or required care management features: Over the counter - prescribed</t>
  </si>
  <si>
    <t>Primary regional HMO medical plan drug limits, exclusions, or required care management features: Over the counter - non-prescribed</t>
  </si>
  <si>
    <t>Primary regional HMO medical plan - tier #1 copayment: Retail/pharmacy in-network</t>
  </si>
  <si>
    <t>Primary regional HMO medical plan - tier #1 copayment: Retail/pharmacy out-of-network</t>
  </si>
  <si>
    <t>Primary regional HMO medical plan - tier #1 copayment: Mail order  in-network</t>
  </si>
  <si>
    <t>Primary regional HMO medical plan - tier #1 copayment: Mail order out-of-network</t>
  </si>
  <si>
    <t>Primary regional HMO medical plan - tier #2 copayment: Retail/pharmacy in-network</t>
  </si>
  <si>
    <t>Primary regional HMO medical plan - tier #2 copayment: Retail/pharmacy out-of-network</t>
  </si>
  <si>
    <t>Primary regional HMO medical plan - tier #2 copayment: Mail order  in-network</t>
  </si>
  <si>
    <t>Primary regional HMO medical plan - tier #2 copayment: Mail order out-of-network</t>
  </si>
  <si>
    <t>Primary regional HMO medical plan - tier #3 copayment: Retail/pharmacy in-network</t>
  </si>
  <si>
    <t>Primary regional HMO medical plan - tier #3 copayment: Retail/pharmacy out-of-network</t>
  </si>
  <si>
    <t>Primary regional HMO medical plan - tier #3 copayment: Mail order  in-network</t>
  </si>
  <si>
    <t>Primary regional HMO medical plan - tier #3 copayment: Mail order out-of-network</t>
  </si>
  <si>
    <t>Primary regional HMO medical plan - tier #4 copayment: Retail/pharmacy in-network</t>
  </si>
  <si>
    <t>Primary regional HMO medical plan - tier #4 copayment: Retail/pharmacy out-of-network</t>
  </si>
  <si>
    <t>Primary regional HMO medical plan - tier #4 copayment: Mail order  in-network</t>
  </si>
  <si>
    <t>Primary regional HMO medical plan - tier #4 copayment: Mail order out-of-network</t>
  </si>
  <si>
    <t>Primary regional HMO medical plan - tier #5 copayment: Retail/pharmacy in-network</t>
  </si>
  <si>
    <t>Primary regional HMO medical plan - tier #5 copayment: Retail/pharmacy out-of-network</t>
  </si>
  <si>
    <t>Primary regional HMO medical plan - tier #5 copayment: Mail order  in-network</t>
  </si>
  <si>
    <t>Primary regional HMO medical plan - tier #5 copayment: Mail order out-of-network</t>
  </si>
  <si>
    <t>Primary regional HMO medical plan - specialty copayment: Retail/pharmacy in-network</t>
  </si>
  <si>
    <t>Primary regional HMO medical plan - specialty copayment: Retail/pharmacy out-of-network</t>
  </si>
  <si>
    <t>Primary regional HMO medical plan - specialty copayment: Mail order  in-network</t>
  </si>
  <si>
    <t>Primary regional HMO medical plan - specialty copayment: Mail order out-of-network</t>
  </si>
  <si>
    <t>Primary regional HMO medical plan - Other copayment: Retail/pharmacy in-network</t>
  </si>
  <si>
    <t>Primary regional HMO medical plan - Other copayment: Retail/pharmacy out-of-network</t>
  </si>
  <si>
    <t>Primary regional HMO medical plan - Other copayment: Mail order  in-network</t>
  </si>
  <si>
    <t>Primary regional HMO medical plan - Other copayment: Mail order out-of-network</t>
  </si>
  <si>
    <t>Primary regional HMO medical plan tier 1 coinsurance: Retail/pharmacy - in-network</t>
  </si>
  <si>
    <t>Primary regional HMO medical plan tier 2 coinsurance: Retail/pharmacy - in-network</t>
  </si>
  <si>
    <t>Primary regional HMO medical plan tier 3 coinsurance: Retail/pharmacy - in-network</t>
  </si>
  <si>
    <t>Primary regional HMO medical plan tier 4 coinsurance: Retail/pharmacy - in-network</t>
  </si>
  <si>
    <t>Primary regional HMO medical plan tier 5 coinsurance: Retail/pharmacy - in-network</t>
  </si>
  <si>
    <t>Primary regional HMO medical plan specialty coinsurance: Retail/pharmacy - in-network</t>
  </si>
  <si>
    <t>Primary regional HMO medical plan Other coinsurance: Retail/pharmacy - in-network</t>
  </si>
  <si>
    <t>Primary regional HMO medical plan tier 1 coinsurance minimum: Retail/pharmacy - in-network</t>
  </si>
  <si>
    <t>Primary regional HMO medical plan tier 1 coinsurance maximum: Retail/pharmacy - in-network</t>
  </si>
  <si>
    <t>Primary regional HMO medical plan tier 2 coinsurance minimum: Retail/pharmacy - in-network</t>
  </si>
  <si>
    <t>Primary regional HMO medical plan tier 2 coinsurance maximum: Retail/pharmacy - in-network</t>
  </si>
  <si>
    <t>Primary regional HMO medical plan tier 3 coinsurance minimum: Retail/pharmacy - in-network</t>
  </si>
  <si>
    <t>Primary regional HMO medical plan tier 3 coinsurance maximum: Retail/pharmacy - in-network</t>
  </si>
  <si>
    <t>Primary regional HMO medical plan tier 4 coinsurance minimum: Retail/pharmacy - in-network</t>
  </si>
  <si>
    <t>Primary regional HMO medical plan tier 4 coinsurance maximum: Retail/pharmacy - in-network</t>
  </si>
  <si>
    <t>Primary regional HMO medical plan tier 5 coinsurance minimum: Retail/pharmacy - in-network</t>
  </si>
  <si>
    <t>Primary regional HMO medical plan tier 5 coinsurance maximum: Retail/pharmacy - in-network</t>
  </si>
  <si>
    <t>Primary regional HMO medical plan specialty coinsurance minimum: Retail/pharmacy - in-network</t>
  </si>
  <si>
    <t>Primary regional HMO medical plan specialty coinsurance maximum: Retail/pharmacy - in-network</t>
  </si>
  <si>
    <t>Primary regional HMO medical plan Other coinsurance minimum: Retail/pharmacy - in-network</t>
  </si>
  <si>
    <t>Primary regional HMO medical plan Other coinsurance maximum: Retail/pharmacy - in-network</t>
  </si>
  <si>
    <t>Primary regional HMO medical plan tier 1 coinsurance: Retail/pharmacy - out-of-network</t>
  </si>
  <si>
    <t>Primary regional HMO medical plan tier 2 coinsurance: Retail/pharmacy - out-of-network</t>
  </si>
  <si>
    <t>Primary regional HMO medical plan tier 3 coinsurance: Retail/pharmacy - out-of-network</t>
  </si>
  <si>
    <t>Primary regional HMO medical plan tier 4 coinsurance: Retail/pharmacy - out-of-network</t>
  </si>
  <si>
    <t>Primary regional HMO medical plan tier 5 coinsurance: Retail/pharmacy - out-of-network</t>
  </si>
  <si>
    <t>Primary regional HMO medical plan specialty coinsurance: Retail/pharmacy - out-of-network</t>
  </si>
  <si>
    <t>Primary regional HMO medical plan Other coinsurance: Retail/pharmacy - out-of-network</t>
  </si>
  <si>
    <t>Primary regional HMO medical plan tier 1 coinsurance minimum: Retail/pharmacy - out-of-network</t>
  </si>
  <si>
    <t>Primary regional HMO medical plan tier 1 coinsurance maximum: Retail/pharmacy - out-of-network</t>
  </si>
  <si>
    <t>Primary regional HMO medical plan tier 2 coinsurance minimum: Retail/pharmacy - out-of-network</t>
  </si>
  <si>
    <t>Primary regional HMO medical plan tier 2 coinsurance maximum: Retail/pharmacy - out-of-network</t>
  </si>
  <si>
    <t>Primary regional HMO medical plan tier 3 coinsurance minimum: Retail/pharmacy - out-of-network</t>
  </si>
  <si>
    <t>Primary regional HMO medical plan tier 3 coinsurance maximum: Retail/pharmacy - out-of-network</t>
  </si>
  <si>
    <t>Primary regional HMO medical plan tier 4 coinsurance minimum: Retail/pharmacy - out-of-network</t>
  </si>
  <si>
    <t>Primary regional HMO medical plan tier 4 coinsurance maximum: Retail/pharmacy - out-of-network</t>
  </si>
  <si>
    <t>Primary regional HMO medical plan tier 5 coinsurance minimum: Retail/pharmacy - out-of-network</t>
  </si>
  <si>
    <t>Primary regional HMO medical plan tier 5 coinsurance maximum: Retail/pharmacy - out-of-network</t>
  </si>
  <si>
    <t>Primary regional HMO medical plan specialty coinsurance minimum: Retail/pharmacy - out-of-network</t>
  </si>
  <si>
    <t>Primary regional HMO medical plan specialty coinsurance maximum: Retail/pharmacy - out-of-network</t>
  </si>
  <si>
    <t>Primary regional HMO medical plan Other coinsurance minimum: Retail/pharmacy - out-of-network</t>
  </si>
  <si>
    <t>Primary regional HMO medical plan Other coinsurance maximum: Retail/pharmacy - out-of-network</t>
  </si>
  <si>
    <t>Primary regional HMO medical plan tier 1 coinsurance: Mail order - in-network</t>
  </si>
  <si>
    <t>Primary regional HMO medical plan tier 2 coinsurance: Mail order - in-network</t>
  </si>
  <si>
    <t>Primary regional HMO medical plan tier 3 coinsurance: Mail order - in-network</t>
  </si>
  <si>
    <t>Primary regional HMO medical plan tier 4 coinsurance: Mail order - in-network</t>
  </si>
  <si>
    <t>Primary regional HMO medical plan tier 5 coinsurance: Mail order - in-network</t>
  </si>
  <si>
    <t>Primary regional HMO medical plan specialty coinsurance: Mail order - in-network</t>
  </si>
  <si>
    <t>Primary regional HMO medical plan Other coinsurance: Mail order - in-network</t>
  </si>
  <si>
    <t>Primary regional HMO medical plan tier 1 coinsurance minimum: Mail order - in-network</t>
  </si>
  <si>
    <t>Primary regional HMO medical plan tier 1 coinsurance maximum: Mail order - in-network</t>
  </si>
  <si>
    <t>Primary regional HMO medical plan tier 2 coinsurance minimum: Mail order - in-network</t>
  </si>
  <si>
    <t>Primary regional HMO medical plan tier 2 coinsurance maximum: Mail order - in-network</t>
  </si>
  <si>
    <t>Primary regional HMO medical plan tier 3 coinsurance minimum: Mail order - in-network</t>
  </si>
  <si>
    <t>Primary regional HMO medical plan tier 3 coinsurance maximum: Mail order - in-network</t>
  </si>
  <si>
    <t>Primary regional HMO medical plan tier 4 coinsurance minimum: Mail order - in-network</t>
  </si>
  <si>
    <t>Primary regional HMO medical plan tier 4 coinsurance maximum: Mail order - in-network</t>
  </si>
  <si>
    <t>Primary regional HMO medical plan tier 5 coinsurance minimum: Mail order - in-network</t>
  </si>
  <si>
    <t>Primary regional HMO medical plan tier 5 coinsurance maximum: Mail order - in-network</t>
  </si>
  <si>
    <t>Primary regional HMO medical plan specialty coinsurance minimum: Mail order - in-network</t>
  </si>
  <si>
    <t>Primary regional HMO medical plan specialty coinsurance maximum: Mail order - in-network</t>
  </si>
  <si>
    <t>Primary regional HMO medical plan Other coinsurance minimum: Mail order - in-network</t>
  </si>
  <si>
    <t>Primary regional HMO medical plan Other coinsurance maximum: Mail order - in-network</t>
  </si>
  <si>
    <t>Primary regional HMO medical plan tier 1 coinsurance: Mail order - out-of-network</t>
  </si>
  <si>
    <t>Primary regional HMO medical plan tier 2 coinsurance: Mail order - out-of-network</t>
  </si>
  <si>
    <t>Primary regional HMO medical plan tier 3 coinsurance: Mail order - out-of-network</t>
  </si>
  <si>
    <t>Primary regional HMO medical plan tier 4 coinsurance: Mail order - out-of-network</t>
  </si>
  <si>
    <t>Primary regional HMO medical plan tier 5 coinsurance: Mail order - out-of-network</t>
  </si>
  <si>
    <t>Primary regional HMO medical plan specialty coinsurance: Mail order - out-of-network</t>
  </si>
  <si>
    <t>Primary regional HMO medical plan Other coinsurance: Mail order - out-of-network</t>
  </si>
  <si>
    <t>Primary regional HMO medical plan tier 1 coinsurance minimum: Mail order - out-of-network</t>
  </si>
  <si>
    <t>Primary regional HMO medical plan tier 1 coinsurance maximum: Mail order - out-of-network</t>
  </si>
  <si>
    <t>Primary regional HMO medical plan tier 2 coinsurance minimum: Mail order - out-of-network</t>
  </si>
  <si>
    <t>Primary regional HMO medical plan tier 2 coinsurance maximum: Mail order - out-of-network</t>
  </si>
  <si>
    <t>Primary regional HMO medical plan tier 3 coinsurance minimum: Mail order - out-of-network</t>
  </si>
  <si>
    <t>Primary regional HMO medical plan tier 3 coinsurance maximum: Mail order - out-of-network</t>
  </si>
  <si>
    <t>Primary regional HMO medical plan tier 4 coinsurance minimum: Mail order - out-of-network</t>
  </si>
  <si>
    <t>Primary regional HMO medical plan tier 4 coinsurance maximum: Mail order - out-of-network</t>
  </si>
  <si>
    <t>Primary regional HMO medical plan tier 5 coinsurance minimum: Mail order - out-of-network</t>
  </si>
  <si>
    <t>Primary regional HMO medical plan tier 5 coinsurance maximum: Mail order - out-of-network</t>
  </si>
  <si>
    <t>Primary regional HMO medical plan specialty coinsurance minimum: Mail order - out-of-network</t>
  </si>
  <si>
    <t>Primary regional HMO medical plan specialty coinsurance maximum: Mail order - out-of-network</t>
  </si>
  <si>
    <t>Primary regional HMO medical plan Other coinsurance minimum: Mail order - out-of-network</t>
  </si>
  <si>
    <t>Primary regional HMO medical plan Other coinsurance maximum: Mail order - out-of-network</t>
  </si>
  <si>
    <t>Primary regional HMO medical plan: Pharmacy benefit manager carved in/out</t>
  </si>
  <si>
    <t>Primary regional HMO medical plan: Drug classes with zero cost share to members (in addition to ACA law requirements)</t>
  </si>
  <si>
    <t>Primary regional HMO medical plan: Cost share for individuals who receive infused/injectable medications at preferred care sites</t>
  </si>
  <si>
    <t>Total number of national point of service (POS) medical plans offered</t>
  </si>
  <si>
    <t>POS medical plan with highest enrollment (Primary)</t>
  </si>
  <si>
    <t>Other POS plans offered</t>
  </si>
  <si>
    <t>Primary POS medical plan: Network out-of-pocket limit per person</t>
  </si>
  <si>
    <t>Primary POS medical plan: Network out-of-pocket limit family</t>
  </si>
  <si>
    <t>Primary POS medical plan: Out-of-network out-of-pocket limit per person</t>
  </si>
  <si>
    <t>Primary POS medical plan: Out-of-network out-of-pocket limit family</t>
  </si>
  <si>
    <t>Primary POS medical plan: Out-of-pocket limit - cross apply</t>
  </si>
  <si>
    <t>Primary POS medical plan: Out-of-pocket limit - aggregated</t>
  </si>
  <si>
    <t xml:space="preserve">Primary POS medical plan: Expenses excluded from out-of-pocket limit </t>
  </si>
  <si>
    <t>Primary POS medical plan in-network services with separate deductibles: Not applicable - no separate deductibles</t>
  </si>
  <si>
    <t>Primary POS medical plan in-network services with separate deductibles: Acupuncture</t>
  </si>
  <si>
    <t>Primary POS medical plan in-network services with separate deductibles: Chiropractic</t>
  </si>
  <si>
    <t>Primary POS medical plan in-network services with separate deductibles: Emergency room (true emergency)</t>
  </si>
  <si>
    <t>Primary POS medical plan in-network services with separate deductibles: Emergency room (non-emergency)</t>
  </si>
  <si>
    <t>Primary POS medical plan in-network services with separate deductibles: Emergency room (with hospital admittance)</t>
  </si>
  <si>
    <t>Primary POS medical plan in-network services with separate deductibles: Inpatient hospital</t>
  </si>
  <si>
    <t>Primary POS medical plan in-network services with separate deductibles: Mental health/substance abuse</t>
  </si>
  <si>
    <t>Primary POS medical plan in-network services with separate deductibles: Outpatient surgical center</t>
  </si>
  <si>
    <t>Primary POS medical plan in-network services with separate deductibles: Prescription drugs (preventive)</t>
  </si>
  <si>
    <t>Primary POS medical plan in-network services with separate deductibles: Prescription drugs (non-preventive)</t>
  </si>
  <si>
    <t>Primary POS medical plan in-network services with separate deductibles: Other</t>
  </si>
  <si>
    <t>Primary POS medical plan out-of-network services with separate deductibles: Not applicable - no separate deductibles</t>
  </si>
  <si>
    <t>Primary POS medical plan out-of-network services with separate deductibles: Acupuncture</t>
  </si>
  <si>
    <t>Primary POS medical plan out-of-network services with separate deductibles: Chiropractic</t>
  </si>
  <si>
    <t>Primary POS medical plan out-of-network services with separate deductibles: Emergency room (true emergency)</t>
  </si>
  <si>
    <t>Primary POS medical plan out-of-network services with separate deductibles: Emergency room (non-emergency)</t>
  </si>
  <si>
    <t>Primary POS medical plan out-of-network services with separate deductibles: Emergency room (with hospital admittance)</t>
  </si>
  <si>
    <t>Primary POS medical plan out-of-network services with separate deductibles: Inpatient hospital</t>
  </si>
  <si>
    <t>Primary POS medical plan out-of-network services with separate deductibles: Mental health/substance abuse</t>
  </si>
  <si>
    <t>Primary POS medical plan out-of-network services with separate deductibles: Outpatient surgical center</t>
  </si>
  <si>
    <t>Primary POS medical plan out-of-network services with separate deductibles: Prescription drugs (preventive)</t>
  </si>
  <si>
    <t>Primary POS medical plan out-of-network services with separate deductibles: Prescription drugs (non-preventive)</t>
  </si>
  <si>
    <t>Primary POS medical plan out-of-network services with separate deductibles: Other</t>
  </si>
  <si>
    <t>Primary POS medical plan in-network deductible per person: Not applicable - no separate deductibles</t>
  </si>
  <si>
    <t>Primary POS medical plan in-network deductible per person: Acupuncture</t>
  </si>
  <si>
    <t>Primary POS medical plan in-network deductible per person: Chiropractic</t>
  </si>
  <si>
    <t>Primary POS medical plan in-network deductible per person: Emergency room (true emergency)</t>
  </si>
  <si>
    <t>Primary POS medical plan in-network deductible per person: Emergency room (non-emergency)</t>
  </si>
  <si>
    <t>Primary POS medical plan in-network deductible per person: Emergency room (with hospital admittance)</t>
  </si>
  <si>
    <t>Primary POS medical plan in-network deductible per person: In-patient hospital</t>
  </si>
  <si>
    <t>Primary POS medical plan in-network deductible per person: Mental health/substance abuse</t>
  </si>
  <si>
    <t>Primary POS medical plan in-network deductible per person: Out-patient surgical center</t>
  </si>
  <si>
    <t>Primary POS medical plan in-network deductible per person: Prescription drugs (preventive)</t>
  </si>
  <si>
    <t>Primary POS medical plan in-network deductible per person: Prescription drugs (non-preventive)</t>
  </si>
  <si>
    <t>Primary POS medical plan in-network deductible per person: Other</t>
  </si>
  <si>
    <t>Primary POS medical plan in-network deductible per family: Not applicable - no separate deductibles</t>
  </si>
  <si>
    <t>Primary POS medical plan in-network deductible per family: Acupuncture</t>
  </si>
  <si>
    <t>Primary POS medical plan in-network deductible per family: Chiropractic</t>
  </si>
  <si>
    <t>Primary POS medical plan in-network deductible per family: Emergency room (true emergency)</t>
  </si>
  <si>
    <t>Primary POS medical plan in-network deductible per family: Emergency room (non-emergency)</t>
  </si>
  <si>
    <t>Primary POS medical plan in-network deductible per family: Emergency room (with hospital admittance)</t>
  </si>
  <si>
    <t>Primary POS medical plan in-network deductible per family: In-patient hospital</t>
  </si>
  <si>
    <t>Primary POS medical plan in-network deductible per family: Mental health/substance abuse</t>
  </si>
  <si>
    <t>Primary POS medical plan in-network deductible per family: Out-patient surgical center</t>
  </si>
  <si>
    <t>Primary POS medical plan in-network deductible per family: Prescription drugs (preventive)</t>
  </si>
  <si>
    <t>Primary POS medical plan in-network deductible per family: Prescription drugs (non-preventive)</t>
  </si>
  <si>
    <t>Primary POS medical plan in-network deductible per family: Other</t>
  </si>
  <si>
    <t>Primary POS medical plan out-of-network deductible per person: Not applicable - no separate deductibles</t>
  </si>
  <si>
    <t>Primary POS medical plan out-of-network deductible per person: Acupuncture</t>
  </si>
  <si>
    <t>Primary POS medical plan out-of-network deductible per person: Chiropractic</t>
  </si>
  <si>
    <t>Primary POS medical plan out-of-network deductible per person: Emergency room (true emergency)</t>
  </si>
  <si>
    <t>Primary POS medical plan out-of-network deductible per person: Emergency room (non-emergency)</t>
  </si>
  <si>
    <t>Primary POS medical plan out-of-network deductible per person: Emergency room (with hospital admittance)</t>
  </si>
  <si>
    <t>Primary POS medical plan out-of-network deductible per person: In-patient hospital</t>
  </si>
  <si>
    <t>Primary POS medical plan out-of-network deductible per person: Mental health/substance abuse</t>
  </si>
  <si>
    <t>Primary POS medical plan out-of-network deductible per person: Out-patient surgical center</t>
  </si>
  <si>
    <t>Primary POS medical plan out-of-network deductible per person: Prescription drugs (preventive)</t>
  </si>
  <si>
    <t>Primary POS medical plan out-of-network deductible per person: Prescription drugs (non-preventive)</t>
  </si>
  <si>
    <t>Primary POS medical plan out-of-network deductible per person: Other</t>
  </si>
  <si>
    <t>Primary POS medical plan out-of-network deductible per family: Not applicable - no separate deductibles</t>
  </si>
  <si>
    <t>Primary POS medical plan out-of-network deductible per family: Acupuncture</t>
  </si>
  <si>
    <t>Primary POS medical plan out-of-network deductible per family: Chiropractic</t>
  </si>
  <si>
    <t>Primary POS medical plan out-of-network deductible per family: Emergency room (true emergency)</t>
  </si>
  <si>
    <t>Primary POS medical plan out-of-network deductible per family: Emergency room (non-emergency)</t>
  </si>
  <si>
    <t>Primary POS medical plan out-of-network deductible per family: Emergency room (with hospital admittance)</t>
  </si>
  <si>
    <t>Primary POS medical plan out-of-network deductible per family: In-patient hospital</t>
  </si>
  <si>
    <t>Primary POS medical plan out-of-network deductible per family: Mental health/substance abuse</t>
  </si>
  <si>
    <t>Primary POS medical plan out-of-network deductible per family: Out-patient surgical center</t>
  </si>
  <si>
    <t>Primary POS medical plan out-of-network deductible per family: Prescription drugs (preventive)</t>
  </si>
  <si>
    <t>Primary POS medical plan out-of-network deductible per family: Prescription drugs (non-preventive)</t>
  </si>
  <si>
    <t>Primary POS medical plan out-of-network deductible per family: Other</t>
  </si>
  <si>
    <t>Primary POS  medical plan: Annual plan limit</t>
  </si>
  <si>
    <t>Primary POS medical plan: Covers emergency services for non-emergencies</t>
  </si>
  <si>
    <t>Primary POS medical plan: Covers emergency services for non-emergencies at reduced amount</t>
  </si>
  <si>
    <t>Primary POS medical plan: Covers mental health and substance abuse emergencies differently</t>
  </si>
  <si>
    <t>Primary POS medical plan: Coverage for mental health and substance abuse emergencies</t>
  </si>
  <si>
    <t>Primary POS medical plan non-acute care services in-network coverage</t>
  </si>
  <si>
    <t>Primary POS medical plan non-acute care services out-of-network coverage</t>
  </si>
  <si>
    <t>Primary POS medical plan in-network copayment: General/Primary care office visit</t>
  </si>
  <si>
    <t>Primary POS medical plan in-network copayment: Specialist office visit</t>
  </si>
  <si>
    <t>Primary POS medical plan in-network copayment: Emergency room</t>
  </si>
  <si>
    <t>Primary POS medical plan in-network copayment: Urgent office visit</t>
  </si>
  <si>
    <t>Primary POS medical plan in-network copayment: Telehealth</t>
  </si>
  <si>
    <t>Primary POS medical plan in-network coinsurance: General/Primary care office visit</t>
  </si>
  <si>
    <t>Primary POS medical plan out-of-network copayment: General/Primary care office visit</t>
  </si>
  <si>
    <t>Primary POS medical plan out-of-network copayment: Specialist office visit</t>
  </si>
  <si>
    <t>Primary POS medical plan out-of-network copayment: Emergency room</t>
  </si>
  <si>
    <t>Primary POS medical plan out-of-network copayment: Urgent office visit</t>
  </si>
  <si>
    <t>Primary POS medical plan out-of-network copayment: Telehealth</t>
  </si>
  <si>
    <t>Primary POS medical plan out-of-network coinsurance: General/Primary care office visit</t>
  </si>
  <si>
    <t>Primary POS medical plan out-of-network coinsurance: Telehealth</t>
  </si>
  <si>
    <t>Primary POS medical plan out-of-pocket cost share waived or reduced: General/Primary care office visit</t>
  </si>
  <si>
    <t>Primary POS medical plan out-of-pocket cost share waived or reduced: Specialist office visit</t>
  </si>
  <si>
    <t>Primary POS medical plan out-of-pocket cost share waived or reduced: Emergency room</t>
  </si>
  <si>
    <t>Primary POS medical plan out-of-pocket cost share waived or reduced: Urgent office visit</t>
  </si>
  <si>
    <t>Primary POS medical plan out-of-pocket cost share waived or reduced: Telehealth</t>
  </si>
  <si>
    <t>Primary POS medical plan out-of-pocket cost share waived or reduced: Other</t>
  </si>
  <si>
    <t>Primary POS medical plan non-authorization/notification/not qualified services penalties applied: General/Primary care office visit</t>
  </si>
  <si>
    <t>Primary POS medical plan non-authorization/notification/not qualified services penalties applied: Specialist office visit</t>
  </si>
  <si>
    <t>Primary POS medical plan non-authorization/notification/not qualified services penalties applied: Emergency room</t>
  </si>
  <si>
    <t>Primary POS medical plan non-authorization/notification/not qualified services penalties applied: Urgent office visit</t>
  </si>
  <si>
    <t>Primary POS medical plan non-authorization/notification/not qualified services penalties applied: Telehealth</t>
  </si>
  <si>
    <t>Primary POS medical plan non-authorization/notification/not qualified services penalties applied: Other</t>
  </si>
  <si>
    <t>Primary POS medical plan covered drug type: Preventive</t>
  </si>
  <si>
    <t>Primary POS medical plan covered drug type: Maintenance</t>
  </si>
  <si>
    <t>Primary POS medical plan covered drug type: Generic</t>
  </si>
  <si>
    <t>Primary POS medical plan covered drug type: Specialty (includes injectables)</t>
  </si>
  <si>
    <t>Primary POS medical plan covered drug type: Lifestyle</t>
  </si>
  <si>
    <t>Primary POS medical plan covered drug type: Compounds</t>
  </si>
  <si>
    <t>Primary POS medical plan covered drug type: Biosimilars</t>
  </si>
  <si>
    <t>Primary POS medical plan covered drug type: Over the counter (OTC) - prescribed</t>
  </si>
  <si>
    <t>Primary POS medical plan covered drug type: Over the counter (OTC) - non-prescribed</t>
  </si>
  <si>
    <t>Primary POS medical plan covered drug type: Other</t>
  </si>
  <si>
    <t>Primary POS medical plan drug limits, exclusions, or required care management features: Preventive</t>
  </si>
  <si>
    <t>Primary POS medical plan drug limits, exclusions, or required care management features: Maintenance</t>
  </si>
  <si>
    <t>Primary POS medical plan drug limits, exclusions, or required care management features: Generic</t>
  </si>
  <si>
    <t>Primary POS medical plan drug limits, exclusions, or required care management features: Specialty and injectables</t>
  </si>
  <si>
    <t>Primary POS medical plan drug limits, exclusions, or required care management features: Lifestyle</t>
  </si>
  <si>
    <t>Primary POS medical plan drug limits, exclusions, or required care management features: Compounds</t>
  </si>
  <si>
    <t>Primary POS medical plan drug limits, exclusions, or required care management features: Biosimilars</t>
  </si>
  <si>
    <t>Primary POS medical plan drug limits, exclusions, or required care management features: Over the counter - prescribed</t>
  </si>
  <si>
    <t>Primary POS medical plan drug limits, exclusions, or required care management features: Over the counter - non-prescribed</t>
  </si>
  <si>
    <t>Primary POS medical plan - tier #1 copayment: Retail/pharmacy in-network</t>
  </si>
  <si>
    <t>Primary POS medical plan - tier #1 copayment: Retail/pharmacy out-of-network</t>
  </si>
  <si>
    <t>Primary POS medical plan - tier #1 copayment: Mail order  in-network</t>
  </si>
  <si>
    <t>Primary POS medical plan - tier #1 copayment: Mail order out-of-network</t>
  </si>
  <si>
    <t>Primary POS medical plan - tier #2 copayment: Retail/pharmacy in-network</t>
  </si>
  <si>
    <t>Primary POS medical plan - tier #2 copayment: Retail/pharmacy out-of-network</t>
  </si>
  <si>
    <t>Primary POS medical plan - tier #2 copayment: Mail order  in-network</t>
  </si>
  <si>
    <t>Primary POS medical plan - tier #2 copayment: Mail order out-of-network</t>
  </si>
  <si>
    <t>Primary POS medical plan - tier #3 copayment: Retail/pharmacy in-network</t>
  </si>
  <si>
    <t>Primary POS medical plan - tier #3 copayment: Retail/pharmacy out-of-network</t>
  </si>
  <si>
    <t>Primary POS medical plan - tier #3 copayment: Mail order  in-network</t>
  </si>
  <si>
    <t>Primary POS medical plan - tier #3 copayment: Mail order out-of-network</t>
  </si>
  <si>
    <t>Primary POS medical plan - tier #4 copayment: Retail/pharmacy in-network</t>
  </si>
  <si>
    <t>Primary POS medical plan - tier #4 copayment: Retail/pharmacy out-of-network</t>
  </si>
  <si>
    <t>Primary POS medical plan - tier #4 copayment: Mail order  in-network</t>
  </si>
  <si>
    <t>Primary POS medical plan - tier #4 copayment: Mail order out-of-network</t>
  </si>
  <si>
    <t>Primary POS medical plan - tier #5 copayment: Retail/pharmacy in-network</t>
  </si>
  <si>
    <t>Primary POS medical plan - tier #5 copayment: Retail/pharmacy out-of-network</t>
  </si>
  <si>
    <t>Primary POS medical plan - tier #5 copayment: Mail order  in-network</t>
  </si>
  <si>
    <t>Primary POS medical plan - tier #5 copayment: Mail order out-of-network</t>
  </si>
  <si>
    <t>Primary POS medical plan - specialty copayment: Retail/pharmacy in-network</t>
  </si>
  <si>
    <t>Primary POS medical plan - specialty copayment: Retail/pharmacy out-of-network</t>
  </si>
  <si>
    <t>Primary POS medical plan - specialty copayment: Mail order  in-network</t>
  </si>
  <si>
    <t>Primary POS medical plan - specialty copayment: Mail order out-of-network</t>
  </si>
  <si>
    <t>Primary POS medical plan - Other copayment: Retail/pharmacy in-network</t>
  </si>
  <si>
    <t>Primary POS medical plan - Other copayment: Retail/pharmacy out-of-network</t>
  </si>
  <si>
    <t>Primary POS medical plan - Other copayment: Mail order  in-network</t>
  </si>
  <si>
    <t>Primary POS medical plan - Other copayment: Mail order out-of-network</t>
  </si>
  <si>
    <t>Primary POS medical plan tier 1 coinsurance: Retail/pharmacy - in-network</t>
  </si>
  <si>
    <t>Primary POS medical plan tier 2 coinsurance: Retail/pharmacy - in-network</t>
  </si>
  <si>
    <t>Primary POS medical plan tier 3 coinsurance: Retail/pharmacy - in-network</t>
  </si>
  <si>
    <t>Primary POS medical plan tier 4 coinsurance: Retail/pharmacy - in-network</t>
  </si>
  <si>
    <t>Primary POS medical plan tier 5 coinsurance: Retail/pharmacy - in-network</t>
  </si>
  <si>
    <t>Primary POS medical plan specialty coinsurance: Retail/pharmacy - in-network</t>
  </si>
  <si>
    <t>Primary POS medical plan Other coinsurance: Retail/pharmacy - in-network</t>
  </si>
  <si>
    <t>Primary POS medical plan tier 1 coinsurance minimum: Retail/pharmacy - in-network</t>
  </si>
  <si>
    <t>Primary POS medical plan tier 1 coinsurance maximum: Retail/pharmacy - in-network</t>
  </si>
  <si>
    <t>Primary POS medical plan tier 2 coinsurance minimum: Retail/pharmacy - in-network</t>
  </si>
  <si>
    <t>Primary POS medical plan tier 2 coinsurance maximum: Retail/pharmacy - in-network</t>
  </si>
  <si>
    <t>Primary POS medical plan tier 3 coinsurance minimum: Retail/pharmacy - in-network</t>
  </si>
  <si>
    <t>Primary POS medical plan tier 3 coinsurance maximum: Retail/pharmacy - in-network</t>
  </si>
  <si>
    <t>Primary POS medical plan tier 4 coinsurance minimum: Retail/pharmacy - in-network</t>
  </si>
  <si>
    <t>Primary POS medical plan tier 4 coinsurance maximum: Retail/pharmacy - in-network</t>
  </si>
  <si>
    <t>Primary POS medical plan tier 5 coinsurance minimum: Retail/pharmacy - in-network</t>
  </si>
  <si>
    <t>Primary POS medical plan tier 5 coinsurance maximum: Retail/pharmacy - in-network</t>
  </si>
  <si>
    <t>Primary POS medical plan specialty coinsurance minimum: Retail/pharmacy - in-network</t>
  </si>
  <si>
    <t>Primary POS medical plan specialty coinsurance maximum: Retail/pharmacy - in-network</t>
  </si>
  <si>
    <t>Primary POS medical plan Other coinsurance minimum: Retail/pharmacy - in-network</t>
  </si>
  <si>
    <t>Primary POS medical plan Other coinsurance maximum: Retail/pharmacy - in-network</t>
  </si>
  <si>
    <t>Primary POS medical plan tier 1 coinsurance: Retail/pharmacy - out-of-network</t>
  </si>
  <si>
    <t>Primary POS medical plan tier 2 coinsurance: Retail/pharmacy - out-of-network</t>
  </si>
  <si>
    <t>Primary POS medical plan tier 3 coinsurance: Retail/pharmacy - out-of-network</t>
  </si>
  <si>
    <t>Primary POS medical plan tier 4 coinsurance: Retail/pharmacy - out-of-network</t>
  </si>
  <si>
    <t>Primary POS medical plan tier 5 coinsurance: Retail/pharmacy - out-of-network</t>
  </si>
  <si>
    <t>Primary POS medical plan specialty coinsurance: Retail/pharmacy - out-of-network</t>
  </si>
  <si>
    <t>Primary POS medical plan Other coinsurance: Retail/pharmacy - out-of-network</t>
  </si>
  <si>
    <t>Primary POS medical plan tier 1 coinsurance minimum: Retail/pharmacy - out-of-network</t>
  </si>
  <si>
    <t>Primary POS medical plan tier 1 coinsurance maximum: Retail/pharmacy - out-of-network</t>
  </si>
  <si>
    <t>Primary POS medical plan tier 2 coinsurance minimum: Retail/pharmacy - out-of-network</t>
  </si>
  <si>
    <t>Primary POS medical plan tier 2 coinsurance maximum: Retail/pharmacy - out-of-network</t>
  </si>
  <si>
    <t>Primary POS medical plan tier 3 coinsurance minimum: Retail/pharmacy - out-of-network</t>
  </si>
  <si>
    <t>Primary POS medical plan tier 3 coinsurance maximum: Retail/pharmacy - out-of-network</t>
  </si>
  <si>
    <t>Primary POS medical plan tier 4 coinsurance minimum: Retail/pharmacy - out-of-network</t>
  </si>
  <si>
    <t>Primary POS medical plan tier 4 coinsurance maximum: Retail/pharmacy - out-of-network</t>
  </si>
  <si>
    <t>Primary POS medical plan tier 5 coinsurance minimum: Retail/pharmacy - out-of-network</t>
  </si>
  <si>
    <t>Primary POS medical plan tier 5 coinsurance maximum: Retail/pharmacy - out-of-network</t>
  </si>
  <si>
    <t>Primary POS medical plan specialty coinsurance minimum: Retail/pharmacy - out-of-network</t>
  </si>
  <si>
    <t>Primary POS medical plan specialty coinsurance maximum: Retail/pharmacy - out-of-network</t>
  </si>
  <si>
    <t>Primary POS medical plan Other coinsurance minimum: Retail/pharmacy - out-of-network</t>
  </si>
  <si>
    <t>Primary POS medical plan Other coinsurance maximum: Retail/pharmacy - out-of-network</t>
  </si>
  <si>
    <t>Primary POS medical plan tier 1 coinsurance: Mail order - in-network</t>
  </si>
  <si>
    <t>Primary POS medical plan tier 2 coinsurance: Mail order - in-network</t>
  </si>
  <si>
    <t>Primary POS medical plan tier 3 coinsurance: Mail order - in-network</t>
  </si>
  <si>
    <t>Primary POS medical plan tier 4 coinsurance: Mail order - in-network</t>
  </si>
  <si>
    <t>Primary POS medical plan tier 5 coinsurance: Mail order - in-network</t>
  </si>
  <si>
    <t>Primary POS medical plan specialty coinsurance: Mail order - in-network</t>
  </si>
  <si>
    <t>Primary POS medical plan Other coinsurance: Mail order - in-network</t>
  </si>
  <si>
    <t>Primary POS medical plan tier 1 coinsurance minimum: Mail order - in-network</t>
  </si>
  <si>
    <t>Primary POS medical plan tier 1 coinsurance maximum: Mail order - in-network</t>
  </si>
  <si>
    <t>Primary POS medical plan tier 2 coinsurance minimum: Mail order - in-network</t>
  </si>
  <si>
    <t>Primary POS medical plan tier 2 coinsurance maximum: Mail order - in-network</t>
  </si>
  <si>
    <t>Primary POS medical plan tier 3 coinsurance minimum: Mail order - in-network</t>
  </si>
  <si>
    <t>Primary POS medical plan tier 3 coinsurance maximum: Mail order - in-network</t>
  </si>
  <si>
    <t>Primary POS medical plan tier 4 coinsurance minimum: Mail order - in-network</t>
  </si>
  <si>
    <t>Primary POS medical plan tier 4 coinsurance maximum: Mail order - in-network</t>
  </si>
  <si>
    <t>Primary POS medical plan tier 5 coinsurance minimum: Mail order - in-network</t>
  </si>
  <si>
    <t>Primary POS medical plan tier 5 coinsurance maximum: Mail order - in-network</t>
  </si>
  <si>
    <t>Primary POS medical plan specialty coinsurance minimum: Mail order - in-network</t>
  </si>
  <si>
    <t>Primary POS medical plan specialty coinsurance maximum: Mail order - in-network</t>
  </si>
  <si>
    <t>Primary POS medical plan Other coinsurance minimum: Mail order - in-network</t>
  </si>
  <si>
    <t>Primary POS medical plan Other coinsurance maximum: Mail order - in-network</t>
  </si>
  <si>
    <t>Primary POS medical plan tier 1 coinsurance: Mail order - out-of-network</t>
  </si>
  <si>
    <t>Primary POS medical plan tier 2 coinsurance: Mail order - out-of-network</t>
  </si>
  <si>
    <t>Primary POS medical plan tier 3 coinsurance: Mail order - out-of-network</t>
  </si>
  <si>
    <t>Primary POS medical plan tier 4 coinsurance: Mail order - out-of-network</t>
  </si>
  <si>
    <t>Primary POS medical plan tier 5 coinsurance: Mail order - out-of-network</t>
  </si>
  <si>
    <t>Primary POS medical plan specialty coinsurance: Mail order - out-of-network</t>
  </si>
  <si>
    <t>Primary POS medical plan Other coinsurance: Mail order - out-of-network</t>
  </si>
  <si>
    <t>Primary POS medical plan tier 1 coinsurance minimum: Mail order - out-of-network</t>
  </si>
  <si>
    <t>Primary POS medical plan tier 1 coinsurance maximum: Mail order - out-of-network</t>
  </si>
  <si>
    <t>Primary POS medical plan tier 2 coinsurance minimum: Mail order - out-of-network</t>
  </si>
  <si>
    <t>Primary POS medical plan tier 2 coinsurance maximum: Mail order - out-of-network</t>
  </si>
  <si>
    <t>Primary POS medical plan tier 3 coinsurance minimum: Mail order - out-of-network</t>
  </si>
  <si>
    <t>Primary POS medical plan tier 3 coinsurance maximum: Mail order - out-of-network</t>
  </si>
  <si>
    <t>Primary POS medical plan tier 4 coinsurance minimum: Mail order - out-of-network</t>
  </si>
  <si>
    <t>Primary POS medical plan tier 4 coinsurance maximum: Mail order - out-of-network</t>
  </si>
  <si>
    <t>Primary POS medical plan tier 5 coinsurance minimum: Mail order - out-of-network</t>
  </si>
  <si>
    <t>Primary POS medical plan tier 5 coinsurance maximum: Mail order - out-of-network</t>
  </si>
  <si>
    <t>Primary POS medical plan specialty coinsurance minimum: Mail order - out-of-network</t>
  </si>
  <si>
    <t>Primary POS medical plan specialty coinsurance maximum: Mail order - out-of-network</t>
  </si>
  <si>
    <t>Primary POS medical plan Other coinsurance minimum: Mail order - out-of-network</t>
  </si>
  <si>
    <t>Primary POS medical plan Other coinsurance maximum: Mail order - out-of-network</t>
  </si>
  <si>
    <t>Primary POS medical plan: Pharmacy benefit manager carved in/out</t>
  </si>
  <si>
    <t>Primary POS medical plan: Drug classes with zero cost share to members (in addition to ACA law requirements)</t>
  </si>
  <si>
    <t>Primary POS medical plan: Cost share for individuals who receive infused/injectable medications at preferred care sites</t>
  </si>
  <si>
    <t>Total number of Indemnity (fee for service or out of area) medical plans offered</t>
  </si>
  <si>
    <t>Indemnity medical plan with highest enrollment (Primary)</t>
  </si>
  <si>
    <t>Other indemnity plans offered</t>
  </si>
  <si>
    <t>Primary indemnity medical plan: Network out-of-pocket limit per person</t>
  </si>
  <si>
    <t>Primary indemnity medical plan: Network out-of-pocket limit family</t>
  </si>
  <si>
    <t>Primary indemnity medical plan: Out-of-network out-of-pocket limit per person</t>
  </si>
  <si>
    <t>Primary indemnity medical plan: Out-of-network out-of-pocket limit family</t>
  </si>
  <si>
    <t>Primary indemnity medical plan: Out-of-pocket limit - cross apply</t>
  </si>
  <si>
    <t>Primary indemnity medical plan: Out-of-pocket limit - aggregated</t>
  </si>
  <si>
    <t xml:space="preserve">Primary indemnity medical plan: Expenses excluded from out-of-pocket limit </t>
  </si>
  <si>
    <t>Primary indemnity medical plan in-network services with separate deductibles: Not applicable - no separate deductibles</t>
  </si>
  <si>
    <t>Primary indemnity medical plan in-network services with separate deductibles: Acupuncture</t>
  </si>
  <si>
    <t>Primary indemnity medical plan in-network services with separate deductibles: Chiropractic</t>
  </si>
  <si>
    <t>Primary indemnity medical plan in-network services with separate deductibles: Emergency room (true emergency)</t>
  </si>
  <si>
    <t>Primary indemnity medical plan in-network services with separate deductibles: Emergency room (non-emergency)</t>
  </si>
  <si>
    <t>Primary indemnity medical plan in-network services with separate deductibles: Emergency room (with hospital admittance)</t>
  </si>
  <si>
    <t>Primary indemnity medical plan in-network services with separate deductibles: Inpatient hospital</t>
  </si>
  <si>
    <t>Primary indemnity medical plan in-network services with separate deductibles: Mental health/substance abuse</t>
  </si>
  <si>
    <t>Primary indemnity medical plan in-network services with separate deductibles: Outpatient surgical center</t>
  </si>
  <si>
    <t>Primary indemnity medical plan in-network services with separate deductibles: Prescription drugs (preventive)</t>
  </si>
  <si>
    <t>Primary indemnity medical plan in-network services with separate deductibles: Prescription drugs (non-preventive)</t>
  </si>
  <si>
    <t>Primary indemnity medical plan in-network services with separate deductibles: Other</t>
  </si>
  <si>
    <t>Primary indemnity medical plan out-of-network services with separate deductibles: Not applicable - no separate deductibles</t>
  </si>
  <si>
    <t>Primary indemnity medical plan out-of-network services with separate deductibles: Acupuncture</t>
  </si>
  <si>
    <t>Primary indemnity medical plan out-of-network services with separate deductibles: Chiropractic</t>
  </si>
  <si>
    <t>Primary indemnity medical plan out-of-network services with separate deductibles: Emergency room (true emergency)</t>
  </si>
  <si>
    <t>Primary indemnity medical plan out-of-network services with separate deductibles: Emergency room (non-emergency)</t>
  </si>
  <si>
    <t>Primary indemnity medical plan out-of-network services with separate deductibles: Emergency room (with hospital admittance)</t>
  </si>
  <si>
    <t>Primary indemnity medical plan out-of-network services with separate deductibles: Inpatient hospital</t>
  </si>
  <si>
    <t>Primary indemnity medical plan out-of-network services with separate deductibles: Mental health/substance abuse</t>
  </si>
  <si>
    <t>Primary indemnity medical plan out-of-network services with separate deductibles: Outpatient surgical center</t>
  </si>
  <si>
    <t>Primary indemnity medical plan out-of-network services with separate deductibles: Prescription drugs (preventive)</t>
  </si>
  <si>
    <t>Primary indemnity medical plan out-of-network services with separate deductibles: Prescription drugs (non-preventive)</t>
  </si>
  <si>
    <t>Primary indemnity medical plan out-of-network services with separate deductibles: Other</t>
  </si>
  <si>
    <t>Primary indemnity medical plan in-network deductible per person: Not applicable - no separate deductibles</t>
  </si>
  <si>
    <t>Primary indemnity medical plan in-network deductible per person: Acupuncture</t>
  </si>
  <si>
    <t>Primary indemnity medical plan in-network deductible per person: Chiropractic</t>
  </si>
  <si>
    <t>Primary indemnity medical plan in-network deductible per person: Emergency room (true emergency)</t>
  </si>
  <si>
    <t>Primary indemnity medical plan in-network deductible per person: Emergency room (non-emergency)</t>
  </si>
  <si>
    <t>Primary indemnity medical plan in-network deductible per person: Emergency room (with hospital admittance)</t>
  </si>
  <si>
    <t>Primary indemnity medical plan in-network deductible per person: In-patient hospital</t>
  </si>
  <si>
    <t>Primary indemnity medical plan in-network deductible per person: Mental health/substance abuse</t>
  </si>
  <si>
    <t>Primary indemnity medical plan in-network deductible per person: Out-patient surgical center</t>
  </si>
  <si>
    <t>Primary indemnity medical plan in-network deductible per person: Prescription drugs (preventive)</t>
  </si>
  <si>
    <t>Primary indemnity medical plan in-network deductible per person: Prescription drugs (non-preventive)</t>
  </si>
  <si>
    <t>Primary indemnity medical plan in-network deductible per person: Other</t>
  </si>
  <si>
    <t>Primary indemnity medical plan in-network deductible per family: Not applicable - no separate deductibles</t>
  </si>
  <si>
    <t>Primary indemnity medical plan in-network deductible per family: Acupuncture</t>
  </si>
  <si>
    <t>Primary indemnity medical plan in-network deductible per family: Chiropractic</t>
  </si>
  <si>
    <t>Primary indemnity medical plan in-network deductible per family: Emergency room (true emergency)</t>
  </si>
  <si>
    <t>Primary indemnity medical plan in-network deductible per family: Emergency room (non-emergency)</t>
  </si>
  <si>
    <t>Primary indemnity medical plan in-network deductible per family: Emergency room (with hospital admittance)</t>
  </si>
  <si>
    <t>Primary indemnity medical plan in-network deductible per family: In-patient hospital</t>
  </si>
  <si>
    <t>Primary indemnity medical plan in-network deductible per family: Mental health/substance abuse</t>
  </si>
  <si>
    <t>Primary indemnity medical plan in-network deductible per family: Out-patient surgical center</t>
  </si>
  <si>
    <t>Primary indemnity medical plan in-network deductible per family: Prescription drugs (preventive)</t>
  </si>
  <si>
    <t>Primary indemnity medical plan in-network deductible per family: Prescription drugs (non-preventive)</t>
  </si>
  <si>
    <t>Primary indemnity medical plan in-network deductible per family: Other</t>
  </si>
  <si>
    <t>Primary indemnity medical plan out-of-network deductible per person: Not applicable - no separate deductibles</t>
  </si>
  <si>
    <t>Primary indemnity medical plan out-of-network deductible per person: Acupuncture</t>
  </si>
  <si>
    <t>Primary indemnity medical plan out-of-network deductible per person: Chiropractic</t>
  </si>
  <si>
    <t>Primary indemnity medical plan out-of-network deductible per person: Emergency room (true emergency)</t>
  </si>
  <si>
    <t>Primary indemnity medical plan out-of-network deductible per person: Emergency room (non-emergency)</t>
  </si>
  <si>
    <t>Primary indemnity medical plan out-of-network deductible per person: Emergency room (with hospital admittance)</t>
  </si>
  <si>
    <t>Primary indemnity medical plan out-of-network deductible per person: In-patient hospital</t>
  </si>
  <si>
    <t>Primary indemnity medical plan out-of-network deductible per person: Mental health/substance abuse</t>
  </si>
  <si>
    <t>Primary indemnity medical plan out-of-network deductible per person: Out-patient surgical center</t>
  </si>
  <si>
    <t>Primary indemnity medical plan out-of-network deductible per person: Prescription drugs (preventive)</t>
  </si>
  <si>
    <t>Primary indemnity medical plan out-of-network deductible per person: Prescription drugs (non-preventive)</t>
  </si>
  <si>
    <t>Primary indemnity medical plan out-of-network deductible per person: Other</t>
  </si>
  <si>
    <t>Primary indemnity medical plan out-of-network deductible per family: Not applicable - no separate deductibles</t>
  </si>
  <si>
    <t>Primary indemnity medical plan out-of-network deductible per family: Acupuncture</t>
  </si>
  <si>
    <t>Primary indemnity medical plan out-of-network deductible per family: Chiropractic</t>
  </si>
  <si>
    <t>Primary indemnity medical plan out-of-network deductible per family: Emergency room (true emergency)</t>
  </si>
  <si>
    <t>Primary indemnity medical plan out-of-network deductible per family: Emergency room (non-emergency)</t>
  </si>
  <si>
    <t>Primary indemnity medical plan out-of-network deductible per family: Emergency room (with hospital admittance)</t>
  </si>
  <si>
    <t>Primary indemnity medical plan out-of-network deductible per family: In-patient hospital</t>
  </si>
  <si>
    <t>Primary indemnity medical plan out-of-network deductible per family: Mental health/substance abuse</t>
  </si>
  <si>
    <t>Primary indemnity medical plan out-of-network deductible per family: Out-patient surgical center</t>
  </si>
  <si>
    <t>Primary indemnity medical plan out-of-network deductible per family: Prescription drugs (preventive)</t>
  </si>
  <si>
    <t>Primary indemnity medical plan out-of-network deductible per family: Prescription drugs (non-preventive)</t>
  </si>
  <si>
    <t>Primary indemnity medical plan out-of-network deductible per family: Other</t>
  </si>
  <si>
    <t>Primary indemnity medical plan: Annual plan limit</t>
  </si>
  <si>
    <t>Primary indemnity medical plan: Covers emergency services for non-emergencies</t>
  </si>
  <si>
    <t>Primary indemnity medical plan: Covers emergency services for non-emergencies at reduced amount</t>
  </si>
  <si>
    <t>Primary indemnity medical plan: Covers mental health and substance abuse emergencies differently</t>
  </si>
  <si>
    <t>Primary indemnity medical plan: Coverage for mental health and substance abuse emergencies</t>
  </si>
  <si>
    <t>Primary indemnity medical plan non-acute care services in-network coverage</t>
  </si>
  <si>
    <t>Primary indemnity medical plan non-acute care services out-of-network coverage</t>
  </si>
  <si>
    <t>Primary indemnity medical plan in-network copayment: General/Primary care office visit</t>
  </si>
  <si>
    <t>Primary indemnity medical plan in-network copayment: Specialist office visit</t>
  </si>
  <si>
    <t>Primary indemnity medical plan in-network copayment: Emergency room</t>
  </si>
  <si>
    <t>Primary indemnity medical plan in-network copayment: Urgent office visit</t>
  </si>
  <si>
    <t>Primary indemnity medical plan in-network copayment: Telehealth</t>
  </si>
  <si>
    <t>Primary indemnity medical plan in-network coinsurance: General/Primary care office visit</t>
  </si>
  <si>
    <t>Primary indemnity medical plan out-of-network copayment: General/Primary care office visit</t>
  </si>
  <si>
    <t>Primary indemnity medical plan out-of-network copayment: Specialist office visit</t>
  </si>
  <si>
    <t>Primary indemnity medical plan out-of-network copayment: Emergency room</t>
  </si>
  <si>
    <t>Primary indemnity medical plan out-of-network copayment: Urgent office visit</t>
  </si>
  <si>
    <t>Primary indemnity medical plan out-of-network copayment: Telehealth</t>
  </si>
  <si>
    <t>Primary indemnity medical plan out-of-network coinsurance: General/Primary care office visit</t>
  </si>
  <si>
    <t>Primary indemnity medical plan out-of-network coinsurance: Telehealth</t>
  </si>
  <si>
    <t>Primary indemnity medical plan out-of-pocket cost share waived or reduced: General/Primary care office visit</t>
  </si>
  <si>
    <t>Primary indemnity medical plan out-of-pocket cost share waived or reduced: Specialist office visit</t>
  </si>
  <si>
    <t>Primary indemnity medical plan out-of-pocket cost share waived or reduced: Emergency room</t>
  </si>
  <si>
    <t>Primary indemnity medical plan out-of-pocket cost share waived or reduced: Urgent office visit</t>
  </si>
  <si>
    <t>Primary indemnity medical plan out-of-pocket cost share waived or reduced: Telehealth</t>
  </si>
  <si>
    <t>Primary indemnity medical plan out-of-pocket cost share waived or reduced: Other</t>
  </si>
  <si>
    <t xml:space="preserve">Primary indemnity medical plan covered drug type: Preventive </t>
  </si>
  <si>
    <t xml:space="preserve">Primary indemnity medical plan covered drug type: Maintenance </t>
  </si>
  <si>
    <t xml:space="preserve">Primary indemnity medical plan covered drug type: Generic </t>
  </si>
  <si>
    <t xml:space="preserve">Primary indemnity medical plan covered drug type: Specialty (includes injectables) </t>
  </si>
  <si>
    <t xml:space="preserve">Primary indemnity medical plan covered drug type: Lifestyle </t>
  </si>
  <si>
    <t xml:space="preserve">Primary indemnity medical plan covered drug type: Compounds </t>
  </si>
  <si>
    <t xml:space="preserve">Primary indemnity medical plan covered drug type: Biosimilars </t>
  </si>
  <si>
    <t xml:space="preserve">Primary indemnity medical plan covered drug type: Over the counter (OTC)  prescribed </t>
  </si>
  <si>
    <t xml:space="preserve">Primary indemnity medical plan covered drug type: Over the counter (OTC)  nonprescribed </t>
  </si>
  <si>
    <t xml:space="preserve">Primary indemnity medical plan covered drug type: Other </t>
  </si>
  <si>
    <t xml:space="preserve">Primary indemnity medical plan drug limits, exclusions, or required care management features: Preventive </t>
  </si>
  <si>
    <t xml:space="preserve">Primary indemnity medical plan drug limits, exclusions, or required care management features: Maintenance </t>
  </si>
  <si>
    <t xml:space="preserve">Primary indemnity medical plan drug limits, exclusions, or required care management features: Generic </t>
  </si>
  <si>
    <t xml:space="preserve">Primary indemnity medical plan drug limits, exclusions, or required care management features: Specialty and injectables </t>
  </si>
  <si>
    <t xml:space="preserve">Primary indemnity medical plan drug limits, exclusions, or required care management features: Lifestyle </t>
  </si>
  <si>
    <t xml:space="preserve">Primary indemnity medical plan drug limits, exclusions, or required care management features: Compounds </t>
  </si>
  <si>
    <t xml:space="preserve">Primary indemnity medical plan drug limits, exclusions, or required care management features: Biosimilars </t>
  </si>
  <si>
    <t xml:space="preserve">Primary indemnity medical plan drug limits, exclusions, or required care management features: Over the counter - prescribed </t>
  </si>
  <si>
    <t xml:space="preserve">Primary indemnity medical plan drug limits, exclusions, or required care management features: Over the counter - non-prescribed </t>
  </si>
  <si>
    <t>Primary indemnity medical plan - tier #1 copayment: Retail/pharmacy in-network</t>
  </si>
  <si>
    <t>Primary indemnity medical plan - tier #1 copayment: Retail/pharmacy out-of-network</t>
  </si>
  <si>
    <t>Primary indemnity medical plan - tier #1 copayment: Mail order  in-network</t>
  </si>
  <si>
    <t>Primary indemnity medical plan - tier #1 copayment: Mail order out-of-network</t>
  </si>
  <si>
    <t>Primary indemnity medical plan - tier #2 copayment: Retail/pharmacy in-network</t>
  </si>
  <si>
    <t>Primary indemnity medical plan - tier #2 copayment: Retail/pharmacy out-of-network</t>
  </si>
  <si>
    <t>Primary indemnity medical plan - tier #2 copayment: Mail order  in-network</t>
  </si>
  <si>
    <t>Primary indemnity medical plan - tier #2 copayment: Mail order out-of-network</t>
  </si>
  <si>
    <t>Primary indemnity medical plan - tier #3 copayment: Retail/pharmacy in-network</t>
  </si>
  <si>
    <t>Primary indemnity medical plan - tier #3 copayment: Retail/pharmacy out-of-network</t>
  </si>
  <si>
    <t>Primary indemnity medical plan - tier #3 copayment: Mail order  in-network</t>
  </si>
  <si>
    <t>Primary indemnity medical plan - tier #3 copayment: Mail order out-of-network</t>
  </si>
  <si>
    <t>Primary indemnity medical plan - tier #4 copayment: Retail/pharmacy in-network</t>
  </si>
  <si>
    <t>Primary indemnity medical plan - tier #4 copayment: Retail/pharmacy out-of-network</t>
  </si>
  <si>
    <t>Primary indemnity medical plan - tier #4 copayment: Mail order  in-network</t>
  </si>
  <si>
    <t>Primary indemnity medical plan - tier #4 copayment: Mail order out-of-network</t>
  </si>
  <si>
    <t>Primary indemnity medical plan - tier #5 copayment: Retail/pharmacy in-network</t>
  </si>
  <si>
    <t>Primary indemnity medical plan - tier #5 copayment: Retail/pharmacy out-of-network</t>
  </si>
  <si>
    <t>Primary indemnity medical plan - tier #5 copayment: Mail order  in-network</t>
  </si>
  <si>
    <t>Primary indemnity medical plan - tier #5 copayment: Mail order out-of-network</t>
  </si>
  <si>
    <t>Primary indemnity medical plan - specialty copayment: Retail/pharmacy in-network</t>
  </si>
  <si>
    <t>Primary indemnity medical plan - specialty copayment: Retail/pharmacy out-of-network</t>
  </si>
  <si>
    <t>Primary indemnity medical plan - specialty copayment: Mail order  in-network</t>
  </si>
  <si>
    <t>Primary indemnity medical plan - specialty copayment: Mail order out-of-network</t>
  </si>
  <si>
    <t>Primary indemnity medical plan - Other copayment: Retail/pharmacy in-network</t>
  </si>
  <si>
    <t>Primary indemnity medical plan - Other copayment: Retail/pharmacy out-of-network</t>
  </si>
  <si>
    <t>Primary indemnity medical plan - Other copayment: Mail order  in-network</t>
  </si>
  <si>
    <t>Primary indemnity medical plan - Other copayment: Mail order out-of-network</t>
  </si>
  <si>
    <t>Primary indemnity medical plan tier 1 coinsurance: Retail/pharmacy - in-network</t>
  </si>
  <si>
    <t>Primary indemnity medical plan tier 2 coinsurance: Retail/pharmacy - in-network</t>
  </si>
  <si>
    <t>Primary indemnity medical plan tier 3 coinsurance: Retail/pharmacy - in-network</t>
  </si>
  <si>
    <t>Primary indemnity medical plan tier 4 coinsurance: Retail/pharmacy - in-network</t>
  </si>
  <si>
    <t>Primary indemnity medical plan tier 5 coinsurance: Retail/pharmacy - in-network</t>
  </si>
  <si>
    <t>Primary indemnity medical plan specialty coinsurance: Retail/pharmacy - in-network</t>
  </si>
  <si>
    <t>Primary indemnity medical plan Other coinsurance: Retail/pharmacy - in-network</t>
  </si>
  <si>
    <t>Primary indemnity medical plan tier 1 coinsurance minimum: Retail/pharmacy - in-network</t>
  </si>
  <si>
    <t>Primary indemnity medical plan tier 1 coinsurance maximum: Retail/pharmacy - in-network</t>
  </si>
  <si>
    <t>Primary indemnity medical plan tier 2 coinsurance minimum: Retail/pharmacy - in-network</t>
  </si>
  <si>
    <t>Primary indemnity medical plan tier 2 coinsurance maximum: Retail/pharmacy - in-network</t>
  </si>
  <si>
    <t>Primary indemnity medical plan tier 3 coinsurance minimum: Retail/pharmacy - in-network</t>
  </si>
  <si>
    <t>Primary indemnity medical plan tier 3 coinsurance maximum: Retail/pharmacy - in-network</t>
  </si>
  <si>
    <t>Primary indemnity medical plan tier 4 coinsurance minimum: Retail/pharmacy - in-network</t>
  </si>
  <si>
    <t>Primary indemnity medical plan tier 4 coinsurance maximum: Retail/pharmacy - in-network</t>
  </si>
  <si>
    <t>Primary indemnity medical plan tier 5 coinsurance minimum: Retail/pharmacy - in-network</t>
  </si>
  <si>
    <t>Primary indemnity medical plan tier 5 coinsurance maximum: Retail/pharmacy - in-network</t>
  </si>
  <si>
    <t>Primary indemnity medical plan specialty coinsurance minimum: Retail/pharmacy - in-network</t>
  </si>
  <si>
    <t>Primary indemnity medical plan specialty coinsurance maximum: Retail/pharmacy - in-network</t>
  </si>
  <si>
    <t>Primary indemnity medical plan Other coinsurance minimum: Retail/pharmacy - in-network</t>
  </si>
  <si>
    <t>Primary indemnity medical plan Other coinsurance maximum: Retail/pharmacy - in-network</t>
  </si>
  <si>
    <t>Primary indemnity medical plan tier 1 coinsurance: Retail/pharmacy - out-of-network</t>
  </si>
  <si>
    <t>Primary indemnity medical plan tier 2 coinsurance: Retail/pharmacy - out-of-network</t>
  </si>
  <si>
    <t>Primary indemnity medical plan tier 3 coinsurance: Retail/pharmacy - out-of-network</t>
  </si>
  <si>
    <t>Primary indemnity medical plan tier 4 coinsurance: Retail/pharmacy - out-of-network</t>
  </si>
  <si>
    <t>Primary indemnity medical plan tier 5 coinsurance: Retail/pharmacy - out-of-network</t>
  </si>
  <si>
    <t>Primary indemnity medical plan specialty coinsurance: Retail/pharmacy - out-of-network</t>
  </si>
  <si>
    <t>Primary indemnity medical plan Other coinsurance: Retail/pharmacy - out-of-network</t>
  </si>
  <si>
    <t>Primary indemnity medical plan tier 1 coinsurance minimum: Retail/pharmacy - out-of-network</t>
  </si>
  <si>
    <t>Primary indemnity medical plan tier 1 coinsurance maximum: Retail/pharmacy - out-of-network</t>
  </si>
  <si>
    <t>Primary indemnity medical plan tier 2 coinsurance minimum: Retail/pharmacy - out-of-network</t>
  </si>
  <si>
    <t>Primary indemnity medical plan tier 2 coinsurance maximum: Retail/pharmacy - out-of-network</t>
  </si>
  <si>
    <t>Primary indemnity medical plan tier 3 coinsurance minimum: Retail/pharmacy - out-of-network</t>
  </si>
  <si>
    <t>Primary indemnity medical plan tier 3 coinsurance maximum: Retail/pharmacy - out-of-network</t>
  </si>
  <si>
    <t>Primary indemnity medical plan tier 4 coinsurance minimum: Retail/pharmacy - out-of-network</t>
  </si>
  <si>
    <t>Primary indemnity medical plan tier 4 coinsurance maximum: Retail/pharmacy - out-of-network</t>
  </si>
  <si>
    <t>Primary indemnity medical plan tier 5 coinsurance minimum: Retail/pharmacy - out-of-network</t>
  </si>
  <si>
    <t>Primary indemnity medical plan tier 5 coinsurance maximum: Retail/pharmacy - out-of-network</t>
  </si>
  <si>
    <t>Primary indemnity medical plan specialty coinsurance minimum: Retail/pharmacy - out-of-network</t>
  </si>
  <si>
    <t>Primary indemnity medical plan specialty coinsurance maximum: Retail/pharmacy - out-of-network</t>
  </si>
  <si>
    <t>Primary indemnity medical plan Other coinsurance minimum: Retail/pharmacy - out-of-network</t>
  </si>
  <si>
    <t>Primary indemnity medical plan Other coinsurance maximum: Retail/pharmacy - out-of-network</t>
  </si>
  <si>
    <t>Primary indemnity medical plan tier 1 coinsurance: Mail order - in-network</t>
  </si>
  <si>
    <t>Primary indemnity medical plan tier 2 coinsurance: Mail order - in-network</t>
  </si>
  <si>
    <t>Primary indemnity medical plan tier 3 coinsurance: Mail order - in-network</t>
  </si>
  <si>
    <t>Primary indemnity medical plan tier 4 coinsurance: Mail order - in-network</t>
  </si>
  <si>
    <t>Primary indemnity medical plan tier 5 coinsurance: Mail order - in-network</t>
  </si>
  <si>
    <t>Primary indemnity medical plan specialty coinsurance: Mail order - in-network</t>
  </si>
  <si>
    <t>Primary indemnity medical plan Other coinsurance: Mail order - in-network</t>
  </si>
  <si>
    <t>Primary indemnity medical plan tier 1 coinsurance minimum: Mail order - in-network</t>
  </si>
  <si>
    <t>Primary indemnity medical plan tier 1 coinsurance maximum: Mail order - in-network</t>
  </si>
  <si>
    <t>Primary indemnity medical plan tier 2 coinsurance minimum: Mail order - in-network</t>
  </si>
  <si>
    <t>Primary indemnity medical plan tier 2 coinsurance maximum: Mail order - in-network</t>
  </si>
  <si>
    <t>Primary indemnity medical plan tier 3 coinsurance minimum: Mail order - in-network</t>
  </si>
  <si>
    <t>Primary indemnity medical plan tier 3 coinsurance maximum: Mail order - in-network</t>
  </si>
  <si>
    <t>Primary indemnity medical plan tier 4 coinsurance minimum: Mail order - in-network</t>
  </si>
  <si>
    <t>Primary indemnity medical plan tier 4 coinsurance maximum: Mail order - in-network</t>
  </si>
  <si>
    <t>Primary indemnity medical plan tier 5 coinsurance minimum: Mail order - in-network</t>
  </si>
  <si>
    <t>Primary indemnity medical plan tier 5 coinsurance maximum: Mail order - in-network</t>
  </si>
  <si>
    <t>Primary indemnity medical plan specialty coinsurance minimum: Mail order - in-network</t>
  </si>
  <si>
    <t>Primary indemnity medical plan specialty coinsurance maximum: Mail order - in-network</t>
  </si>
  <si>
    <t>Primary indemnity medical plan Other coinsurance minimum: Mail order - in-network</t>
  </si>
  <si>
    <t>Primary indemnity medical plan Other coinsurance maximum: Mail order - in-network</t>
  </si>
  <si>
    <t>Primary indemnity medical plan tier 1 coinsurance: Mail order - out-of-network</t>
  </si>
  <si>
    <t>Primary indemnity medical plan tier 2 coinsurance: Mail order - out-of-network</t>
  </si>
  <si>
    <t>Primary indemnity medical plan tier 3 coinsurance: Mail order - out-of-network</t>
  </si>
  <si>
    <t>Primary indemnity medical plan tier 4 coinsurance: Mail order - out-of-network</t>
  </si>
  <si>
    <t>Primary indemnity medical plan tier 5 coinsurance: Mail order - out-of-network</t>
  </si>
  <si>
    <t>Primary indemnity medical plan specialty coinsurance: Mail order - out-of-network</t>
  </si>
  <si>
    <t>Primary indemnity medical plan Other coinsurance: Mail order - out-of-network</t>
  </si>
  <si>
    <t>Primary indemnity medical plan tier 1 coinsurance minimum: Mail order - out-of-network</t>
  </si>
  <si>
    <t>Primary indemnity medical plan tier 1 coinsurance maximum: Mail order - out-of-network</t>
  </si>
  <si>
    <t>Primary indemnity medical plan tier 2 coinsurance minimum: Mail order - out-of-network</t>
  </si>
  <si>
    <t>Primary indemnity medical plan tier 2 coinsurance maximum: Mail order - out-of-network</t>
  </si>
  <si>
    <t>Primary indemnity medical plan tier 3 coinsurance minimum: Mail order - out-of-network</t>
  </si>
  <si>
    <t>Primary indemnity medical plan tier 3 coinsurance maximum: Mail order - out-of-network</t>
  </si>
  <si>
    <t>Primary indemnity medical plan tier 4 coinsurance minimum: Mail order - out-of-network</t>
  </si>
  <si>
    <t>Primary indemnity medical plan tier 4 coinsurance maximum: Mail order - out-of-network</t>
  </si>
  <si>
    <t>Primary indemnity medical plan tier 5 coinsurance minimum: Mail order - out-of-network</t>
  </si>
  <si>
    <t>Primary indemnity medical plan tier 5 coinsurance maximum: Mail order - out-of-network</t>
  </si>
  <si>
    <t>Primary indemnity medical plan specialty coinsurance minimum: Mail order - out-of-network</t>
  </si>
  <si>
    <t>Primary indemnity medical plan specialty coinsurance maximum: Mail order - out-of-network</t>
  </si>
  <si>
    <t>Primary indemnity medical plan Other coinsurance minimum: Mail order - out-of-network</t>
  </si>
  <si>
    <t>Primary indemnity medical plan Other coinsurance maximum: Mail order - out-of-network</t>
  </si>
  <si>
    <t>Primary indemnity medical plan: Pharmacy benefit manager carved in/out</t>
  </si>
  <si>
    <t>Primary indemnity medical plan: Drug classes with zero cost share to members (in addition to ACA law requirements)</t>
  </si>
  <si>
    <t>Primary indemnity medical plan: Cost share for individuals who receive infused/injectable medications at preferred care sites</t>
  </si>
  <si>
    <t>Primary self-insured medical plan weight loss surgery coverage</t>
  </si>
  <si>
    <t>Primary self-insured medical plan weight loss surgery coverage: Adults (age 18+)</t>
  </si>
  <si>
    <t>Primary self-insured medical plan weight loss surgery coverage: Adolescents (under age 18)</t>
  </si>
  <si>
    <t>Primary self-insured medical plan weight loss/bariatric surgery eligibility criteria</t>
  </si>
  <si>
    <t>Primary self-insured medical plan: Additional procedures covered if initial weight loss surgery is unsuccessful</t>
  </si>
  <si>
    <t>Primary self-insured medical plan hearing aid coverage for adults</t>
  </si>
  <si>
    <t>Primary self-insured medical plan hearing aid coverage for children</t>
  </si>
  <si>
    <t>Primary self-insured medical plan: Hearing aid replacement allowances</t>
  </si>
  <si>
    <t>Primary self-insured medical plan: Per hearing device dollar maximum applied</t>
  </si>
  <si>
    <t>Primary self-insured medical plan: Per hearing device dollar maximum</t>
  </si>
  <si>
    <t>Primary self-insured medical plan: Hearing aid annual dollar maximum applied</t>
  </si>
  <si>
    <t>Primary self-insured medical plan: Hearing aid annual dollar maximum</t>
  </si>
  <si>
    <t>Primary self-insured medical plan: Hearing aid lifetime dollar maximum applied</t>
  </si>
  <si>
    <t>Primary self-insured medical plan: Hearing aid lifetime dollar maximum</t>
  </si>
  <si>
    <t>Primary self-insured medical plan: Cochlear implant coverage</t>
  </si>
  <si>
    <t>Primary self-insured medical plan: Cochlear implant per device dollar maximum applied</t>
  </si>
  <si>
    <t>Primary self-insured medical plan: Cochlear implant/per device dollar maximum dollar amount</t>
  </si>
  <si>
    <t>Primary self-insured medical plan: Cochlear implant annual maximum applied</t>
  </si>
  <si>
    <t>Primary self-insured medical plan: Cochlear implant coverage annual maximum dollar amount</t>
  </si>
  <si>
    <t>Primary self-insured medical plan: Cochlear implant lifetime maximum applied</t>
  </si>
  <si>
    <t>Primary self-insured medical plan: Cochlear implant lifetime maximum dollar amount</t>
  </si>
  <si>
    <t>Primary self-insured medical plan: Acupuncture coverage</t>
  </si>
  <si>
    <t>Primary self-insured medical plan: Acupuncture coverage eligibility</t>
  </si>
  <si>
    <t>Primary self-insured medical plan: Acupuncture maximum annual visit limit without medical review</t>
  </si>
  <si>
    <t>Primary self-insured medical plan: Acupuncture maximum visit limit without medical review</t>
  </si>
  <si>
    <t>Primary self-insured medical plan: Acupuncture maximum annual visit limit with medical review</t>
  </si>
  <si>
    <t>Primary self-insured medical plan: Acupuncture maximum visit limit with medical review</t>
  </si>
  <si>
    <t>Primary self-insured medical plan: Chiropractic coverage</t>
  </si>
  <si>
    <t>Primary self-insured medical plan: Chiropractic coverage eligibility</t>
  </si>
  <si>
    <t>Primary self-insured medical plan: Chiropractic maximum annual visit limit without medical review</t>
  </si>
  <si>
    <t>Primary self-insured medical plan: Chiropractic maximum visit limit without medical review</t>
  </si>
  <si>
    <t>Primary self-insured medical plan: Chiropractic maximum annual visit limit with medical review</t>
  </si>
  <si>
    <t>Primary self-insured medical plan: Chiropractic maximum visit limit with medical review</t>
  </si>
  <si>
    <t>Primary self-insured medical plan: Infertility services coverage</t>
  </si>
  <si>
    <t xml:space="preserve">Primary self-insured medical plan: Infertility coverage requirements </t>
  </si>
  <si>
    <t>Primary self-insured medical plan: Infertility services covered by plan</t>
  </si>
  <si>
    <t>Primary self-insured medical plan: Reversal of elective vasectomy or tubal ligation coverage</t>
  </si>
  <si>
    <t>Primary self-insured medical plan: Infertility from previous elective vasectomy/tubal ligation coverage</t>
  </si>
  <si>
    <t>Primary self-insured medical plan: Inoculation of women with husband’s white cells coverage</t>
  </si>
  <si>
    <t>Primary self-insured medical plan: Zona microdissection/sperm microinjection coverage</t>
  </si>
  <si>
    <t>Primary self-insured medical plan: Services for post-menopausal women coverage</t>
  </si>
  <si>
    <t>Primary self-insured medical plan: Infertility services coverage for surrogate/gestational carriers</t>
  </si>
  <si>
    <t>Primary self-insured medical plan: Protocols in place before moving forward with surrogate or gestational carrier</t>
  </si>
  <si>
    <t>Primary self-insured medical plan: Additional information regarding protocols for surrogates and gestational carriers</t>
  </si>
  <si>
    <t>Primary self-insured medical plan: Infertility lifetime dollar limit (medical services)</t>
  </si>
  <si>
    <t>Primary self-insured medical plan: Infertility lifetime dollar limit (pharmacy)</t>
  </si>
  <si>
    <t>Primary self-insured medical plan: Infertility lifetime dollar limit (gestational carrier/surrogacy)</t>
  </si>
  <si>
    <t>Primary self-insured medical plan: Infertility per cycle dollar limit (medical services)</t>
  </si>
  <si>
    <t>Primary self-insured medical plan: Infertility per cycle dollar limit (pharmacy)</t>
  </si>
  <si>
    <t>Primary self-insured medical plan: Infertility per cycle dollar limit (gestational carrier/surrogacy)</t>
  </si>
  <si>
    <t xml:space="preserve">Primary self-insured medical plan: Autism spectrum disorder non-evidence based treatments and services coverage </t>
  </si>
  <si>
    <t>Primary self-insured medical plan: Additional autism spectrum disorder services covered</t>
  </si>
  <si>
    <t>Primary self-insured medical plan: Autism spectrum disorder qualified providers</t>
  </si>
  <si>
    <t>Primary self-insured medical plan: Autism spectrum disorder annual coverage limit</t>
  </si>
  <si>
    <t>Primary self-insured medical plan: Autism spectrum disorder lifetime coverage limit</t>
  </si>
  <si>
    <t>Primary self-insured medical plan: Speech therapy applicable for developmental delays</t>
  </si>
  <si>
    <t>Primary self-insured medical plan: Speech therapy annual limit of visits related to injury/recuperation</t>
  </si>
  <si>
    <t>Primary self-insured medical plan: Speech therapy: annual maximum number of speech therapy visits related to injury/recuperation</t>
  </si>
  <si>
    <t>Primary self-insured medical plan: Speech therapy annual limit of visits related to developmental delays</t>
  </si>
  <si>
    <t>Primary self-insured medical plan: Speech therapy: annual maximum number of speech therapy visits related to developmental delays</t>
  </si>
  <si>
    <t>Primary self-insured medical plan: Speech, occupational therapy, physical therapy combined visit limit</t>
  </si>
  <si>
    <t>Primary self-insured medical plan: Speech, occupational therapy, physical therapy combined visit maximum</t>
  </si>
  <si>
    <t>Health savings account maintenance fee payment responsibility for terminated employees who keep their HSA open</t>
  </si>
  <si>
    <t>Employer contributes to employee's HSA</t>
  </si>
  <si>
    <t>Employer contribution amount to employee's HSA for employee only coverage</t>
  </si>
  <si>
    <t>Employer contribution amount to employee's HSA for family coverage</t>
  </si>
  <si>
    <t xml:space="preserve">Criteria used to calculate contribution to employee's HSA </t>
  </si>
  <si>
    <t>Company HSA contribution language communicated to employees</t>
  </si>
  <si>
    <t>Company HSA contribution frequency</t>
  </si>
  <si>
    <t>Annual HSA company contribution timing</t>
  </si>
  <si>
    <t>Company contribution to HSA for mid-year new hires</t>
  </si>
  <si>
    <t>Company contribution prorated for mid-year new hires</t>
  </si>
  <si>
    <t>Company contribution prorated for mid-year qualified change of status events</t>
  </si>
  <si>
    <t>Default or suggested contribution amount used during annual enrollment</t>
  </si>
  <si>
    <t>Default or suggested amount - Single Coverage</t>
  </si>
  <si>
    <t>Default or suggested amount - Family Coverage</t>
  </si>
  <si>
    <t>Additional action taken if employee does not contribute or only contributes a nominal amount</t>
  </si>
  <si>
    <t>Additional actions taken</t>
  </si>
  <si>
    <t>Other actions taken</t>
  </si>
  <si>
    <t>Investment options, other than cash-equivalent or a checking account, offered</t>
  </si>
  <si>
    <t>Investment options offered</t>
  </si>
  <si>
    <t>Other investment options offered</t>
  </si>
  <si>
    <t>HSA investments mirrored to 401(k) investment lineup</t>
  </si>
  <si>
    <t>Minimum HSA balance required before and employee can invest their HAS</t>
  </si>
  <si>
    <t>Position the HSA as part of an employee's retirement savings strategy</t>
  </si>
  <si>
    <t>Solicit rollovers from HSAs for newly hired participants</t>
  </si>
  <si>
    <t>Frequency of educating employees about the HSA</t>
  </si>
  <si>
    <t>Frequency of educating employees about the HSA - Other</t>
  </si>
  <si>
    <t>Resources/communication options used to educate employees about the HSA</t>
  </si>
  <si>
    <t>Other resources/communication options used to educate employees about the HSA</t>
  </si>
  <si>
    <t>Topics targeted in HSA education outreach</t>
  </si>
  <si>
    <t>Other topics targeted in HSA education outreach</t>
  </si>
  <si>
    <t>Company contribution to health reimbursement account</t>
  </si>
  <si>
    <t>Company HRA contribution frequency</t>
  </si>
  <si>
    <t>Company contribution to HRA prorated for mid-year new hires</t>
  </si>
  <si>
    <t>Foreign medical tourism support</t>
  </si>
  <si>
    <t>Alternative models of health care access offered or considered: Primary care mobile health vehicle - other</t>
  </si>
  <si>
    <t>Alternative models of health care access offered or considered: Pharmacy (not affiliated with on-site health clinic)</t>
  </si>
  <si>
    <t>Alternative models of health care access offered or considered: Mobile mammography services</t>
  </si>
  <si>
    <t>Alternative models of health care access offered or considered: Telemedicine (telehealth)</t>
  </si>
  <si>
    <t>Alternative models of health care access offered or considered: Mobile or on-site dental services</t>
  </si>
  <si>
    <t>Alternative models of health care access offered or considered: On-site employee assistance program</t>
  </si>
  <si>
    <t>Alternative models of health care access offered or considered: Other</t>
  </si>
  <si>
    <t>Telemedicine (telehealth) service offerings</t>
  </si>
  <si>
    <t>Other telemedicine (telehealth) service offerings</t>
  </si>
  <si>
    <t>Enhancements to telemedicine (telehealth) services offered in 2021</t>
  </si>
  <si>
    <t>Telemedicine (telehealth) enhancements made</t>
  </si>
  <si>
    <t>Retiree medical offering</t>
  </si>
  <si>
    <t>Eligibility to qualify for medical coverage for those retiring before age 65</t>
  </si>
  <si>
    <t>Minimum years of service to be eligible for retirement</t>
  </si>
  <si>
    <t>Minimum age to be eligible for retirement</t>
  </si>
  <si>
    <t>Threshold that must be met for employees to be eligible for retirement</t>
  </si>
  <si>
    <t>Total number of national self-insured dental plans offered: Preferred provider organization (PPO)</t>
  </si>
  <si>
    <t>Total number of national self-insured dental plans offered: Dental health maintenance organization (DHMO)</t>
  </si>
  <si>
    <t>Total number of national self-insured dental plans offered: Indemnity</t>
  </si>
  <si>
    <t xml:space="preserve">Primary PPO dental plan: Services that apply to maximum annual/calendar year limit </t>
  </si>
  <si>
    <t>Primary PPO dental plan: Age limit applies: Amalgam fillings</t>
  </si>
  <si>
    <t>Primary PPO dental plan: Age limit applies: Anesthesia/sedation</t>
  </si>
  <si>
    <t>Primary PPO dental plan: Age limit applies: Bridgework</t>
  </si>
  <si>
    <t>Primary PPO dental plan: Age limit applies: Cleanings (prophylaxis)</t>
  </si>
  <si>
    <t>Primary PPO dental plan: Age limit applies: Composite fillings (white fillings)</t>
  </si>
  <si>
    <t>Primary PPO dental plan: Age limit applies: Crowns</t>
  </si>
  <si>
    <t>Primary PPO dental plan: Age limit applies: Denture repair</t>
  </si>
  <si>
    <t>Primary PPO dental plan: Age limit applies: Dentures (relines &amp; rebases)</t>
  </si>
  <si>
    <t>Primary PPO dental plan: Age limit applies: Dentures (removable &amp; Partial)</t>
  </si>
  <si>
    <t>Primary PPO dental plan: Age limit applies: Examinations (non-routine)</t>
  </si>
  <si>
    <t>Primary PPO dental plan: Age limit applies: Examinations (routine)</t>
  </si>
  <si>
    <t>Primary PPO dental plan: Age limit applies: Fluoride treatments</t>
  </si>
  <si>
    <t>Primary PPO dental plan: Age limit applies: Implants</t>
  </si>
  <si>
    <t>Primary PPO dental plan: Age limit applies: Inlays &amp; onlays</t>
  </si>
  <si>
    <t>Primary PPO dental plan: Age limit applies: Night guards</t>
  </si>
  <si>
    <t>Primary PPO dental plan: Age limit applies: Oral surgery</t>
  </si>
  <si>
    <t>Primary PPO dental plan: Age limit applies: Orthodontia</t>
  </si>
  <si>
    <t>Primary PPO dental plan: Age limit applies: Periodontal scaling &amp; root planing</t>
  </si>
  <si>
    <t>Primary PPO dental plan: Age limit applies: Periodontal surgery</t>
  </si>
  <si>
    <t>Primary PPO dental plan: Age limit applies: Root canals</t>
  </si>
  <si>
    <t>Primary PPO dental plan: Age limit applies: Space maintainers</t>
  </si>
  <si>
    <t>Primary PPO dental plan: Age limit applies: Tooth extractions</t>
  </si>
  <si>
    <t>Primary PPO dental plan: Age limit applies: Tooth sealants</t>
  </si>
  <si>
    <t>Primary PPO dental plan: Age limit applies: Topical fluoride treatments</t>
  </si>
  <si>
    <t>Primary PPO dental plan: Age limit applies: X-rays - bitewings</t>
  </si>
  <si>
    <t>Primary PPO dental plan: Age limit applies: X-rays - Full-mouth, panorex</t>
  </si>
  <si>
    <t>Primary PPO dental plan: Age limit applies: X-rays - periapical</t>
  </si>
  <si>
    <t>Primary DMHO  plan: In-network individual deductible</t>
  </si>
  <si>
    <t>Primary DMHO  plan: In-network family deductible</t>
  </si>
  <si>
    <t>Primary DMHO  plan: Out-of-network individual deductible</t>
  </si>
  <si>
    <t>Primary DMHO  plan: Out-of-network family deductible</t>
  </si>
  <si>
    <t>Primary DMHO  plan: Maximum annual/calendar year limit (individual - excludes ortho)</t>
  </si>
  <si>
    <t>Primary DMHO  plan: Maximum annual/calendar year limit (family)</t>
  </si>
  <si>
    <t>Primary DMHO  plan: Maximum lifetime orthodontia limit (individual)</t>
  </si>
  <si>
    <t>Primary DMHO  plan: Maximum lifetime orthodontia limit (family)</t>
  </si>
  <si>
    <t>Primary DMHO plan: In-network preventive services coinsurance</t>
  </si>
  <si>
    <t>Primary DMHO plan: Out-of-network preventive services coinsurance</t>
  </si>
  <si>
    <t>Primary DMHO plan: In-network basic services coinsurance</t>
  </si>
  <si>
    <t>Primary DMHO plan: Out-of-network basic services coinsurance</t>
  </si>
  <si>
    <t>Primary DMHO plan: In-network major services coinsurance</t>
  </si>
  <si>
    <t>Primary DMHO plan: Out-of-network major services coinsurance</t>
  </si>
  <si>
    <t>Primary DMHO plan: In-network orthodontia coinsurance</t>
  </si>
  <si>
    <t>Primary DMHO plan: Out-of-network orthodontia coinsurance</t>
  </si>
  <si>
    <t>Primary DMHO plan: dental services applied to maximum annual/calendar year limit</t>
  </si>
  <si>
    <t xml:space="preserve">Primary DMHO plan: Orthodontia coverage eligibility </t>
  </si>
  <si>
    <t>Primary DMHO plan: Services covered under dental plan</t>
  </si>
  <si>
    <t>Primary DHMO plan: Age limit applies: Amalgam fillings</t>
  </si>
  <si>
    <t>Primary DHMO plan: Age limit applies: Anesthesia/sedation</t>
  </si>
  <si>
    <t>Primary DHMO plan: Age limit applies: Bridgework</t>
  </si>
  <si>
    <t>Primary DHMO plan: Age limit applies: Cleanings (prophylaxis)</t>
  </si>
  <si>
    <t>Primary DHMO plan: Age limit applies: Composite fillings (white fillings)</t>
  </si>
  <si>
    <t>Primary DHMO plan: Age limit applies: Crowns</t>
  </si>
  <si>
    <t>Primary DHMO plan: Age limit applies: Denture repair</t>
  </si>
  <si>
    <t>Primary DHMO plan: Age limit applies: Dentures (relines &amp; rebases)</t>
  </si>
  <si>
    <t>Primary DHMO plan: Age limit applies: Dentures (removable &amp; Partial)</t>
  </si>
  <si>
    <t>Primary DHMO plan: Age limit applies: Examinations (non-routine)</t>
  </si>
  <si>
    <t>Primary DHMO plan: Age limit applies: Examinations (routine)</t>
  </si>
  <si>
    <t>Primary DHMO plan: Age limit applies: Fluoride treatments</t>
  </si>
  <si>
    <t>Primary DHMO plan: Age limit applies: Implants</t>
  </si>
  <si>
    <t>Primary DHMO plan: Age limit applies: Inlays &amp; onlays</t>
  </si>
  <si>
    <t>Primary DHMO plan: Age limit applies: Night guards</t>
  </si>
  <si>
    <t>Primary DHMO plan: Age limit applies: Oral surgery</t>
  </si>
  <si>
    <t>Primary DHMO plan: Age limit applies: Orthodontia</t>
  </si>
  <si>
    <t>Primary DHMO plan: Age limit applies: Periodontal scaling &amp; root planing</t>
  </si>
  <si>
    <t>Primary DHMO plan: Age limit applies: Periodontal surgery</t>
  </si>
  <si>
    <t>Primary DHMO plan: Age limit applies: Root canals</t>
  </si>
  <si>
    <t>Primary DHMO plan: Age limit applies: Space maintainers</t>
  </si>
  <si>
    <t>Primary DHMO plan: Age limit applies: Tooth extractions</t>
  </si>
  <si>
    <t>Primary DHMO plan: Age limit applies: Tooth sealants</t>
  </si>
  <si>
    <t>Primary DHMO plan: Age limit applies: Topical fluoride treatments</t>
  </si>
  <si>
    <t>Primary DHMO plan: Age limit applies: X-rays - bitewings</t>
  </si>
  <si>
    <t>Primary DHMO plan: Age limit applies: X-rays - Full-mouth, panorex</t>
  </si>
  <si>
    <t>Primary DHMO plan: Age limit applies: X-rays - periapical</t>
  </si>
  <si>
    <t>Primary indemnity dental plan: In-network individual deductible</t>
  </si>
  <si>
    <t>Primary indemnity dental plan: In-network family deductible</t>
  </si>
  <si>
    <t>Primary indemnity dental plan: Out-of-network individual deductible</t>
  </si>
  <si>
    <t>Primary indemnity dental plan: Out-of-network family deductible</t>
  </si>
  <si>
    <t>Primary indemnity dental plan: Maximum annual/calendar year limit (individual - excludes ortho)</t>
  </si>
  <si>
    <t>Primary indemnity dental plan: Maximum annual/calendar year limit (family)</t>
  </si>
  <si>
    <t>Primary indemnity dental plan: Maximum lifetime orthodontia limit (individual)</t>
  </si>
  <si>
    <t>Primary indemnity dental plan: Maximum lifetime orthodontia limit (family)</t>
  </si>
  <si>
    <t>Primary indemnity dental plan: In-network preventive services - coinsurance</t>
  </si>
  <si>
    <t>Primary indemnity dental plan: Out-of-network preventive services - coinsurance</t>
  </si>
  <si>
    <t>Primary indemnity dental plan: In-network basic services - coinsurance</t>
  </si>
  <si>
    <t>Primary indemnity dental plan: Out-of-network basic services - coinsurance</t>
  </si>
  <si>
    <t>Primary indemnity dental plan: In-network major services - coinsurance</t>
  </si>
  <si>
    <t>Primary indemnity dental plan: Out-of-network major services - coinsurance</t>
  </si>
  <si>
    <t>Primary indemnity dental plan: In-network orthodontia - coinsurance</t>
  </si>
  <si>
    <t>Primary indemnity dental plan: Out-of-network orthodontia - coinsurance</t>
  </si>
  <si>
    <t>Primary indemnity dental plan: dental services applied to maximum annual/calendar year limit</t>
  </si>
  <si>
    <t>Primary indemnity dental plan: Orthodontia coverage eligibility</t>
  </si>
  <si>
    <t>Primary indemnity dental plan: Services covered under dental plan</t>
  </si>
  <si>
    <t>Primary indemnity dental plan: Service category: Amalgam fillings</t>
  </si>
  <si>
    <t>Primary indemnity dental plan: Service category: Anesthesia/sedation</t>
  </si>
  <si>
    <t>Primary indemnity dental plan: Service category: Bridgework</t>
  </si>
  <si>
    <t>Primary indemnity dental plan: Service category: Cleanings (prophylaxis)</t>
  </si>
  <si>
    <t>Primary indemnity dental plan: Service category: Composite fillings (white fillings)</t>
  </si>
  <si>
    <t>Primary indemnity dental plan: Service category: Crowns</t>
  </si>
  <si>
    <t>Primary indemnity dental plan: Service category: Denture repair</t>
  </si>
  <si>
    <t>Primary indemnity dental plan: Service category: Dentures (relines &amp; rebases)</t>
  </si>
  <si>
    <t>Primary indemnity dental plan: Service category: Dentures (removable &amp; Partial)</t>
  </si>
  <si>
    <t>Primary indemnity dental plan: Service category: Examinations (non-routine)</t>
  </si>
  <si>
    <t>Primary indemnity dental plan: Service category: Examinations (routine)</t>
  </si>
  <si>
    <t>Primary indemnity dental plan: Service category: Fluoride treatments</t>
  </si>
  <si>
    <t>Primary indemnity dental plan: Service category: Implants</t>
  </si>
  <si>
    <t>Primary indemnity dental plan: Service category: Inlays &amp; onlays</t>
  </si>
  <si>
    <t>Primary indemnity dental plan: Service category: Night guards</t>
  </si>
  <si>
    <t>Primary indemnity dental plan: Service category: Oral surgery</t>
  </si>
  <si>
    <t>Primary indemnity dental plan: Service category: Orthodontia</t>
  </si>
  <si>
    <t>Primary indemnity dental plan: Service category: Periodontal scaling &amp; root planing</t>
  </si>
  <si>
    <t>Primary indemnity dental plan: Service category: Periodontal surgery</t>
  </si>
  <si>
    <t>Primary indemnity dental plan: Service category: Root canals</t>
  </si>
  <si>
    <t>Primary indemnity dental plan: Service category: Space maintainers</t>
  </si>
  <si>
    <t>Primary indemnity dental plan: Service category: Tooth extractions</t>
  </si>
  <si>
    <t>Primary indemnity dental plan: Service category: Tooth sealants</t>
  </si>
  <si>
    <t>Primary indemnity dental plan: Service category: Topical fluoride treatments</t>
  </si>
  <si>
    <t>Primary indemnity dental plan: Service category: X-rays - bitewings</t>
  </si>
  <si>
    <t>Primary indemnity dental plan: Service category: X-rays - full-mouth, panorex</t>
  </si>
  <si>
    <t>Primary indemnity dental plan: Service category: X-rays - periapical</t>
  </si>
  <si>
    <t>Primary indemnity dental plan: Applies to annual limit: Amalgam fillings</t>
  </si>
  <si>
    <t>Primary indemnity dental plan: Applies to annual limit: Anesthesia/sedation</t>
  </si>
  <si>
    <t>Primary indemnity dental plan: Applies to annual limit: Bridgework</t>
  </si>
  <si>
    <t>Primary indemnity dental plan: Applies to annual limit: Cleanings (prophylaxis)</t>
  </si>
  <si>
    <t>Primary indemnity dental plan: Applies to annual limit: Composite fillings (white fillings)</t>
  </si>
  <si>
    <t>Primary indemnity dental plan: Applies to annual limit: Crowns</t>
  </si>
  <si>
    <t>Primary indemnity dental plan: Applies to annual limit: Denture repair</t>
  </si>
  <si>
    <t>Primary indemnity dental plan: Applies to annual limit: Dentures (relines &amp; rebases)</t>
  </si>
  <si>
    <t>Primary indemnity dental plan: Applies to annual limit: Dentures (removable &amp; Partial)</t>
  </si>
  <si>
    <t>Primary indemnity dental plan: Applies to annual limit: Examinations (non-routine)</t>
  </si>
  <si>
    <t>Primary indemnity dental plan: Applies to annual limit: Examinations (routine)</t>
  </si>
  <si>
    <t>Primary indemnity dental plan: Applies to annual limit: Fluoride treatments</t>
  </si>
  <si>
    <t>Primary indemnity dental plan: Applies to annual limit: Implants</t>
  </si>
  <si>
    <t>Primary indemnity dental plan: Applies to annual limit: Inlays &amp; onlays</t>
  </si>
  <si>
    <t>Primary indemnity dental plan: Applies to annual limit: Night guards</t>
  </si>
  <si>
    <t>Primary indemnity dental plan: Applies to annual limit: Oral surgery</t>
  </si>
  <si>
    <t>Primary indemnity dental plan: Applies to annual limit: Orthodontia</t>
  </si>
  <si>
    <t>Primary indemnity dental plan: Applies to annual limit: Periodontal scaling &amp; root planing</t>
  </si>
  <si>
    <t>Primary indemnity dental plan: Applies to annual limit: Periodontal surgery</t>
  </si>
  <si>
    <t>Primary indemnity dental plan: Applies to annual limit: Root canals</t>
  </si>
  <si>
    <t>Primary indemnity dental plan: Applies to annual limit: Space maintainers</t>
  </si>
  <si>
    <t>Primary indemnity dental plan: Applies to annual limit: Tooth extractions</t>
  </si>
  <si>
    <t>Primary indemnity dental plan: Applies to annual limit: Tooth sealants</t>
  </si>
  <si>
    <t>Primary indemnity dental plan: Applies to annual limit: Topical fluoride treatments</t>
  </si>
  <si>
    <t>Primary indemnity dental plan: Applies to annual limit: X-rays - bitewings</t>
  </si>
  <si>
    <t>Primary indemnity dental plan: Applies to annual limit: X-rays - full-mouth, panorex</t>
  </si>
  <si>
    <t>Primary indemnity dental plan: Applies to annual limit: X-rays - periapical</t>
  </si>
  <si>
    <t>Primary indemnity dental plan: Service frequency limit: Amalgam fillings</t>
  </si>
  <si>
    <t>Primary indemnity dental plan: Service frequency limit: Anesthesia/sedation</t>
  </si>
  <si>
    <t>Primary indemnity dental plan: Service frequency limit: Bridgework</t>
  </si>
  <si>
    <t>Primary indemnity dental plan: Service frequency limit: Cleanings (prophylaxis)</t>
  </si>
  <si>
    <t>Primary indemnity dental plan: Service frequency limit: Composite fillings (white fillings)</t>
  </si>
  <si>
    <t>Primary indemnity dental plan: Service frequency limit: Crowns</t>
  </si>
  <si>
    <t>Primary indemnity dental plan: Service frequency limit: Denture repair</t>
  </si>
  <si>
    <t>Primary indemnity dental plan: Service frequency limit: Dentures (relines &amp; rebases)</t>
  </si>
  <si>
    <t>Primary indemnity dental plan: Service frequency limit: Dentures (removable &amp; Partial)</t>
  </si>
  <si>
    <t>Primary indemnity dental plan: Service frequency limit: Examinations (non-routine)</t>
  </si>
  <si>
    <t>Primary indemnity dental plan: Service frequency limit: Examinations (routine)</t>
  </si>
  <si>
    <t>Primary indemnity dental plan: Service frequency limit: Fluoride treatments</t>
  </si>
  <si>
    <t>Primary indemnity dental plan: Service frequency limit: Implants</t>
  </si>
  <si>
    <t>Primary indemnity dental plan: Service frequency limit: Inlays &amp; onlays</t>
  </si>
  <si>
    <t>Primary indemnity dental plan: Service frequency limit: Night guards</t>
  </si>
  <si>
    <t>Primary indemnity dental plan: Service frequency limit: Oral surgery</t>
  </si>
  <si>
    <t>Primary indemnity dental plan: Service frequency limit: Orthodontia</t>
  </si>
  <si>
    <t>Primary indemnity dental plan: Service frequency limit: Periodontal scaling &amp; root planing</t>
  </si>
  <si>
    <t>Primary indemnity dental plan: Service frequency limit: Periodontal surgery</t>
  </si>
  <si>
    <t>Primary indemnity dental plan: Service frequency limit: Root canals</t>
  </si>
  <si>
    <t>Primary indemnity dental plan: Service frequency limit: Space maintainers</t>
  </si>
  <si>
    <t>Primary indemnity dental plan: Service frequency limit: Tooth extractions</t>
  </si>
  <si>
    <t>Primary indemnity dental plan: Service frequency limit: Tooth sealants</t>
  </si>
  <si>
    <t>Primary indemnity dental plan: Service frequency limit: Topical fluoride treatments</t>
  </si>
  <si>
    <t>Primary indemnity dental plan: Service frequency limit: X-rays - bitewings</t>
  </si>
  <si>
    <t>Primary indemnity dental plan: Service frequency limit: X-rays - full-mouth, panorex</t>
  </si>
  <si>
    <t>Primary indemnity dental plan: Service frequency limit: X-rays - periapical</t>
  </si>
  <si>
    <t>Primary indemnity dental plan: Age limit applies: Amalgam fillings</t>
  </si>
  <si>
    <t>Primary indemnity dental plan: Age limit applies: Anesthesia/sedation</t>
  </si>
  <si>
    <t>Primary indemnity dental plan: Age limit applies: Bridgework</t>
  </si>
  <si>
    <t>Primary indemnity dental plan: Age limit applies: Cleanings (prophylaxis)</t>
  </si>
  <si>
    <t>Primary indemnity dental plan: Age limit applies: Composite fillings (white fillings)</t>
  </si>
  <si>
    <t>Primary indemnity dental plan: Age limit applies: Crowns</t>
  </si>
  <si>
    <t>Primary indemnity dental plan: Age limit applies: Denture repair</t>
  </si>
  <si>
    <t>Primary indemnity dental plan: Age limit applies: Dentures (relines &amp; rebases)</t>
  </si>
  <si>
    <t>Primary indemnity dental plan: Age limit applies: Dentures (removable &amp; Partial)</t>
  </si>
  <si>
    <t>Primary indemnity dental plan: Age limit applies: Examinations (non-routine)</t>
  </si>
  <si>
    <t>Primary indemnity dental plan: Age limit applies: Examinations (routine)</t>
  </si>
  <si>
    <t>Primary indemnity dental plan: Age limit applies: Fluoride treatments</t>
  </si>
  <si>
    <t>Primary indemnity dental plan: Age limit applies: Implants</t>
  </si>
  <si>
    <t>Primary indemnity dental plan: Age limit applies: Inlays &amp; onlays</t>
  </si>
  <si>
    <t>Primary indemnity dental plan: Age limit applies: Night guards</t>
  </si>
  <si>
    <t>Primary indemnity dental plan: Age limit applies: Oral surgery</t>
  </si>
  <si>
    <t>Primary indemnity dental plan: Age limit applies: Orthodontia</t>
  </si>
  <si>
    <t>Primary indemnity dental plan: Age limit applies: Periodontal scaling &amp; root planing</t>
  </si>
  <si>
    <t>Primary indemnity dental plan: Age limit applies: Periodontal surgery</t>
  </si>
  <si>
    <t>Primary indemnity dental plan: Age limit applies: Root canals</t>
  </si>
  <si>
    <t>Primary indemnity dental plan: Age limit applies: Space maintainers</t>
  </si>
  <si>
    <t>Primary indemnity dental plan: Age limit applies: Tooth extractions</t>
  </si>
  <si>
    <t>Primary indemnity dental plan: Age limit applies: Tooth sealants</t>
  </si>
  <si>
    <t>Primary indemnity dental plan: Age limit applies: Topical fluoride treatments</t>
  </si>
  <si>
    <t>Primary indemnity dental plan: Age limit applies: X-rays - bitewings</t>
  </si>
  <si>
    <t>Primary indemnity dental plan: Age limit applies: X-rays - Full-mouth, panorex</t>
  </si>
  <si>
    <t>Primary indemnity dental plan: Age limit applies: X-rays - periapical</t>
  </si>
  <si>
    <t>Total number of national self-insured vision plans offered</t>
  </si>
  <si>
    <t>Primary vision plan: In-network exam copay</t>
  </si>
  <si>
    <t>Primary vision plan: In-network exam coinsurance</t>
  </si>
  <si>
    <t>Primary vision plan: Out-of-network materials copay</t>
  </si>
  <si>
    <t>Primary vision plan: Out-of-network materials coinsurance</t>
  </si>
  <si>
    <t>Primary vision plan: Frequency limit: Vision exam</t>
  </si>
  <si>
    <t>Primary vision plan: Frequency limit: Eyeglass lenses</t>
  </si>
  <si>
    <t>Primary vision plan: Frequency limit: Eyeglass frame</t>
  </si>
  <si>
    <t>Primary vision plan: Frequency limit: Contact lenses (elective)</t>
  </si>
  <si>
    <t>Primary vision plan: In-network maximum dollar allowance: Vision exam</t>
  </si>
  <si>
    <t>Primary vision plan: In-network maximum dollar allowance: Eyeglass lenses</t>
  </si>
  <si>
    <t>Primary vision plan: In-network maximum dollar allowance: Eyeglass frame</t>
  </si>
  <si>
    <t>Primary vision plan: In-network maximum dollar allowance: Contact lenses (elective)</t>
  </si>
  <si>
    <t>Primary vision plan: In-network maximum dollar allowance: Contact lenses (medically</t>
  </si>
  <si>
    <t>Primary vision plan: Plan coverage</t>
  </si>
  <si>
    <t>Primary vision plan: Non-medically necessary contact lenses in lieu of another vision allowance</t>
  </si>
  <si>
    <t>Primary vision plan: Contact lens professional fitting included in allowance</t>
  </si>
  <si>
    <t>Primary vision plan: Lasik surgery coverage</t>
  </si>
  <si>
    <t>Primary vision plan: Lasik surgery coverage allowance</t>
  </si>
  <si>
    <t>Healthcare reform: Member companies - Top challenge(s)</t>
  </si>
  <si>
    <t>Healthcare reform: Member companies - Topic(s) of interest</t>
  </si>
  <si>
    <t>Healthcare reform: Member companies - Expanded eligibility of covered individuals</t>
  </si>
  <si>
    <t>Primary medical plan: Benefit status: Accidental dental</t>
  </si>
  <si>
    <t>Primary medical plan: Benefit status: Acupuncture</t>
  </si>
  <si>
    <t>Primary medical plan: Benefit status: Autism</t>
  </si>
  <si>
    <t>Primary medical plan: Benefit status: Chiropractor</t>
  </si>
  <si>
    <t>Primary medical plan: Benefit status: Gender reassignment</t>
  </si>
  <si>
    <t>Primary medical plan: Benefit status: Hearing aids</t>
  </si>
  <si>
    <t>Primary medical plan: Benefit status: Infertility</t>
  </si>
  <si>
    <t>Primary medical plan: Benefit status: Medicinal marijuana</t>
  </si>
  <si>
    <t>Primary medical plan: Benefit status: Naturopathy</t>
  </si>
  <si>
    <t>Primary medical plan: Benefit status: Palliative care</t>
  </si>
  <si>
    <t>Primary medical plan: Benefit status: Private duty nursing</t>
  </si>
  <si>
    <t>Employees offered health risk assessment and biometric screening</t>
  </si>
  <si>
    <t>Employees offered health coaching</t>
  </si>
  <si>
    <t>Employees offered weight management program</t>
  </si>
  <si>
    <t>Employees offered tobacco cessation programs</t>
  </si>
  <si>
    <t>Employees offered fitness centers or activity programs</t>
  </si>
  <si>
    <t>Employees offered tools/websites/mobile apps</t>
  </si>
  <si>
    <t>Health risk assessment results used to engage participants in wellness activities/behavior change</t>
  </si>
  <si>
    <t>Biometric screenings captured in health risk assessment</t>
  </si>
  <si>
    <t>Company sponsors biometric screening services</t>
  </si>
  <si>
    <t>Percentage paid by employees for biometric screenings</t>
  </si>
  <si>
    <t xml:space="preserve">Biometric screening services availability </t>
  </si>
  <si>
    <t>Other biometric screening services availability</t>
  </si>
  <si>
    <t>Company sponsored biometric screening services: Body mass index</t>
  </si>
  <si>
    <t>Company sponsored biometric screening services: Blood pressure</t>
  </si>
  <si>
    <t>Company sponsored biometric screening services: Height, weight, waist circumference</t>
  </si>
  <si>
    <t>Company sponsored biometric screening services: Cholesterol testing</t>
  </si>
  <si>
    <t>Company sponsored biometric screening services: Glucose testing</t>
  </si>
  <si>
    <t>Company sponsored biometric screening services: Body fat percentage</t>
  </si>
  <si>
    <t>Company sponsored biometric screening services: Skin cancer screening</t>
  </si>
  <si>
    <t>Company sponsored biometric screening services: Bone mass</t>
  </si>
  <si>
    <t>Company sponsored biometric screening services: Fasting option available</t>
  </si>
  <si>
    <t>Company sponsored biometric screening services: Ergonomic assessment</t>
  </si>
  <si>
    <t>Company sponsored biometric screening services: Face to face consultation</t>
  </si>
  <si>
    <t>Company sponsored biometric screening services: Individual receives results report</t>
  </si>
  <si>
    <t>Company sponsored biometric screening services: Company receives aggregate summary report</t>
  </si>
  <si>
    <t>Company sponsored biometric screening services eligibility</t>
  </si>
  <si>
    <t>Weight management program/service company sponsored</t>
  </si>
  <si>
    <t>Percentage paid by employee for company sponsored weight management program/services</t>
  </si>
  <si>
    <t xml:space="preserve">Company sponsored weight management program/services availability </t>
  </si>
  <si>
    <t xml:space="preserve">Company sponsored weight management program/services eligibility </t>
  </si>
  <si>
    <t>Traditional tobacco product policy at primary campus locations</t>
  </si>
  <si>
    <t>Smokeless tobacco product policy at primary campus locations</t>
  </si>
  <si>
    <t>Company sponsored smoking cessation program/services eligibility</t>
  </si>
  <si>
    <t>Where on-site fitness centers are offered</t>
  </si>
  <si>
    <t>Percentage paid by employees for on-site fitness centers</t>
  </si>
  <si>
    <t xml:space="preserve">Company on-site fitness center eligibility </t>
  </si>
  <si>
    <t>Activity/fitness tracking devices company sponsored</t>
  </si>
  <si>
    <t>Activity/fitness tracking device upgrade/replacement frequency after employee receives initial device</t>
  </si>
  <si>
    <t>Company sponsored activity/fitness tracking device eligibility</t>
  </si>
  <si>
    <t>Non-company off-site fitness center membership cost subsidized by company</t>
  </si>
  <si>
    <t>Non-company off-site fitness center memberships subsidy eligibility</t>
  </si>
  <si>
    <t>Non-company off-site fitness center membership annual subsidy maximum</t>
  </si>
  <si>
    <t>Other well-being reimbursement offered outside of an off-site fitness center subsidy</t>
  </si>
  <si>
    <t xml:space="preserve">Types of well-being programs or services eligible for reimbursement </t>
  </si>
  <si>
    <t>Well-being reimbursement annual maximum</t>
  </si>
  <si>
    <t>Online health and well-being resources location</t>
  </si>
  <si>
    <t xml:space="preserve">Social media/gaming tools used to promote and support health and well-being </t>
  </si>
  <si>
    <t>Incentives offered to promote and encourage healthy behavior and lifestyle changes</t>
  </si>
  <si>
    <t>Wellness related activities incentives are offered for</t>
  </si>
  <si>
    <t>Wellness incentive offered by company: Health risk assessment</t>
  </si>
  <si>
    <t>Wellness incentive offered by company: Biometric screening</t>
  </si>
  <si>
    <t xml:space="preserve">Wellness incentive offered by company: Health coaching </t>
  </si>
  <si>
    <t xml:space="preserve">Wellness incentive offered by company: Weight management </t>
  </si>
  <si>
    <t>Wellness incentive offered by company: Tobacco cessation</t>
  </si>
  <si>
    <t xml:space="preserve">Wellness incentive offered by company: Active living </t>
  </si>
  <si>
    <t>Wellness incentive offered by company: Company-sponsored activity</t>
  </si>
  <si>
    <t xml:space="preserve">Wellness incentive offered by company: Online tools </t>
  </si>
  <si>
    <t>Wellness incentive offered by company: Social well-being</t>
  </si>
  <si>
    <t>Wellness incentive offered by company: Environmental well-being</t>
  </si>
  <si>
    <t xml:space="preserve">Wellness incentive offered by company: Well-being apps </t>
  </si>
  <si>
    <t>Company wellness incentive contribution: Health reimbursement account</t>
  </si>
  <si>
    <t>Company wellness incentive contribution: Health savings account</t>
  </si>
  <si>
    <t>Company wellness incentive contribution: Flexible spending account</t>
  </si>
  <si>
    <t>Company wellness incentive contribution: 401(k)</t>
  </si>
  <si>
    <t>Company wellness incentive contribution: Student loan debt payment</t>
  </si>
  <si>
    <t>Annual maximum incentive contribution: Health reimbursement accounts</t>
  </si>
  <si>
    <t>Annual maximum incentive contribution: Health savings account</t>
  </si>
  <si>
    <t>Annual maximum incentive contribution: Flexible spending account</t>
  </si>
  <si>
    <t>Annual maximum incentive contribution: 401(k)</t>
  </si>
  <si>
    <t>Annual maximum incentive contribution: Student loan debt payment</t>
  </si>
  <si>
    <t>Supplemental well-being services offered by company</t>
  </si>
  <si>
    <t>Supplemental well-being program delivery channel</t>
  </si>
  <si>
    <t>Supplemental well-being programs integrated with employee assistance program services</t>
  </si>
  <si>
    <t xml:space="preserve">Financial well-being program delivery channel </t>
  </si>
  <si>
    <t>Financial well-being program integrated with employee assistance program services</t>
  </si>
  <si>
    <t>Ability to correlate employee financial well-being to their physical and/or emotional well-being</t>
  </si>
  <si>
    <t>Environmental well-being programs or services offered by company</t>
  </si>
  <si>
    <t>Social well-being programs/services offered by company - athletic leagues</t>
  </si>
  <si>
    <t>Non-buy up disease management programs included in medical plan's standard service offerings</t>
  </si>
  <si>
    <t xml:space="preserve">Non-buy up disease management programs offered </t>
  </si>
  <si>
    <t>Buy-up disease management programs available</t>
  </si>
  <si>
    <t>Number of buy-up disease management programs offered</t>
  </si>
  <si>
    <t>Buy-up disease management programs offered to employees</t>
  </si>
  <si>
    <t>Company negotiated outcome based service level agreements in place</t>
  </si>
  <si>
    <t>On-site health clinic service status</t>
  </si>
  <si>
    <t>On-site health clinic service offerings</t>
  </si>
  <si>
    <t>On-site health clinic service covered by health care plan with highest enrollment: Primary care</t>
  </si>
  <si>
    <t>On-site health clinic service covered by health care plan with highest enrollment: Specialty care</t>
  </si>
  <si>
    <t>On-site health clinic service covered by health care plan with highest enrollment: Mental well-being services</t>
  </si>
  <si>
    <t>On-site health clinic service covered by health care plan with highest enrollment: Biometric screenings</t>
  </si>
  <si>
    <t>On-site health clinic service covered by health care plan with highest enrollment: Workplace injury services</t>
  </si>
  <si>
    <t>On-site health clinic service covered by health care plan with highest enrollment: Laboratory and/or radiology services</t>
  </si>
  <si>
    <t>On-site health clinic service covered by health care plan with highest enrollment: Full service pharmacy</t>
  </si>
  <si>
    <t>On-site health clinic service covered by health care plan with highest enrollment: Alternative access to prescriptions</t>
  </si>
  <si>
    <t>On-site health clinic service covered by health care plan with highest enrollment: Wellness coaching</t>
  </si>
  <si>
    <t>On-site health clinic service covered by health care plan with highest enrollment: Acupuncture</t>
  </si>
  <si>
    <t>On-site health clinic service covered by health care plan with highest enrollment: Chiropractic</t>
  </si>
  <si>
    <t>On-site health clinic service covered by health care plan with highest enrollment: Massage therapy</t>
  </si>
  <si>
    <t>On-site health clinic service covered by health care plan with highest enrollment: Occupational therapy</t>
  </si>
  <si>
    <t>On-site health clinic service covered by health care plan with highest enrollment: Physical therapy</t>
  </si>
  <si>
    <t>On-site health clinic service covered by health care plan with highest enrollment: Speech therapy</t>
  </si>
  <si>
    <t>On-site health clinic service covered by health care plan with highest enrollment: Homeopathic remedies</t>
  </si>
  <si>
    <t>On-site health clinic service covered by health care plan with highest enrollment: Dentistry</t>
  </si>
  <si>
    <t>On-site health clinic service covered by health care plan with highest enrollment: Eye care</t>
  </si>
  <si>
    <t>On-site health clinic service covered by health care plan with highest enrollment: Health and wellness education offerings</t>
  </si>
  <si>
    <t>On-site health clinic service covered by health care plan with highest enrollment: Virtual medical services</t>
  </si>
  <si>
    <t>On-site health clinic service covered by health care plan with highest enrollment: Virtual mental health services</t>
  </si>
  <si>
    <t>Funding for administration of on-site health clinic services</t>
  </si>
  <si>
    <t>Groups allowed access to on-site health clinics</t>
  </si>
  <si>
    <t>Other groups allowed access to on-site health clinics</t>
  </si>
  <si>
    <t>Near-site health clinic service status</t>
  </si>
  <si>
    <t>Near-site health clinic service offerings</t>
  </si>
  <si>
    <t>Funding for administration of near-site health clinic services</t>
  </si>
  <si>
    <t>Near-site health clinic services eligibility</t>
  </si>
  <si>
    <t>Other groups eligible for near-site health clinic services</t>
  </si>
  <si>
    <t>Transgender benefits offered</t>
  </si>
  <si>
    <t>WPATH standards of care followed</t>
  </si>
  <si>
    <t>Terms used when communicating transgender benefits to employees</t>
  </si>
  <si>
    <t>Other terms used when communicating transgender benefits to employees</t>
  </si>
  <si>
    <t>Different deductible, co-pay, or co-insurance amount for transgender benefits</t>
  </si>
  <si>
    <t>Lifetime maximum benefit for transgender benefits</t>
  </si>
  <si>
    <t>Lifetime maximum benefit amount for transgender benefits</t>
  </si>
  <si>
    <t>Transgender benefit offerings</t>
  </si>
  <si>
    <t>Transgender surgery requirements</t>
  </si>
  <si>
    <t>Status of transgender benefit coverage for most prevalent PPO</t>
  </si>
  <si>
    <t>Status of transgender benefit coverage for most prevalent POS</t>
  </si>
  <si>
    <t>Status of transgender benefit coverage for most prevalent CDHP/HDHP with health reimbursement account</t>
  </si>
  <si>
    <t>Status of transgender benefit coverage for most prevalent CDHP/HDHP with health savings account</t>
  </si>
  <si>
    <t>Status of transgender benefit coverage for most prevalent HMO</t>
  </si>
  <si>
    <t>Status of transgender benefit coverage for most prevalent EPO</t>
  </si>
  <si>
    <t>Naturopath benefits offered</t>
  </si>
  <si>
    <t>Different deductible, co-pay, or co-insurance amount for naturopath benefits</t>
  </si>
  <si>
    <t>Lifetime maximum benefit for naturopath benefits</t>
  </si>
  <si>
    <t>Lifetime maximum benefit amount for naturopath benefits</t>
  </si>
  <si>
    <t>Status of naturopath benefit coverage for most prevalent PPO</t>
  </si>
  <si>
    <t>Status of naturopath benefit coverage for most prevalent POS</t>
  </si>
  <si>
    <t>Status of naturopath benefit coverage for most prevalent CDHP/HDHP with health reimbursement account</t>
  </si>
  <si>
    <t>Status of naturopath benefit coverage for most prevalent CDHP/HDHP with health savings account</t>
  </si>
  <si>
    <t>Status of naturopath benefit coverage for most prevalent HMO</t>
  </si>
  <si>
    <t>Status of naturopath benefit coverage for most prevalent EPO</t>
  </si>
  <si>
    <t>Palliative care benefits offered</t>
  </si>
  <si>
    <t>Palliative care plan definition</t>
  </si>
  <si>
    <t>Different deductible, co-pay, or co-insurance amount for palliative care benefits</t>
  </si>
  <si>
    <t>Lifetime maximum benefit for palliative care benefits</t>
  </si>
  <si>
    <t>Lifetime maximum benefit amount for palliative care benefits</t>
  </si>
  <si>
    <t>Status of palliative care coverage: PPO</t>
  </si>
  <si>
    <t>Status of palliative care coverage: POS</t>
  </si>
  <si>
    <t>Status of palliative care coverage: CDHP/HDHP with health reimbursement account</t>
  </si>
  <si>
    <t>Status of palliative care coverage: CDHP/HDHP with health savings account</t>
  </si>
  <si>
    <t>Status of palliative care coverage: HMO</t>
  </si>
  <si>
    <t>Status of palliative care coverage: EPO</t>
  </si>
  <si>
    <t>Medical marijuana benefits offered</t>
  </si>
  <si>
    <t>Different deductible, co-pay, or co-insurance amount for medical marijuana benefits</t>
  </si>
  <si>
    <t>Lifetime maximum benefit for medical marijuana benefits</t>
  </si>
  <si>
    <t>Lifetime maximum benefit amount for medical marijuana benefits</t>
  </si>
  <si>
    <t>Status of medical marijuana coverage: PPO</t>
  </si>
  <si>
    <t>Status of medical marijuana coverage: POS</t>
  </si>
  <si>
    <t>Status of medical marijuana coverage: CDHP/HDHP with health reimbursement account</t>
  </si>
  <si>
    <t>Status of medical marijuana coverage: CDHP/HDHP with health savings account</t>
  </si>
  <si>
    <t>Status of medical marijuana coverage: HMO</t>
  </si>
  <si>
    <t>Status of medical marijuana coverage: EPO</t>
  </si>
  <si>
    <t>Changing medical marijuana benefits/coverage where recreational use has been legalized</t>
  </si>
  <si>
    <t>Recreational marijuana use policies established at campus locations in states that have legalized usage</t>
  </si>
  <si>
    <t>Autism treatments covered as benefits</t>
  </si>
  <si>
    <t>Health plan covered services/support for autism supplemented with other ancillary services</t>
  </si>
  <si>
    <t>Implementation of training for managers or recruitment/hiring initiatives for those with autism</t>
  </si>
  <si>
    <t>Status of autism benefit coverage: PPO</t>
  </si>
  <si>
    <t>Status of autism benefit coverage: POS</t>
  </si>
  <si>
    <t>Status of autism benefit coverage: CDHP/HDHP with health reimbursement account</t>
  </si>
  <si>
    <t>Status of autism benefit coverage: CDHP/HDHP with health savings account</t>
  </si>
  <si>
    <t>Status of autism benefit coverage: HMO</t>
  </si>
  <si>
    <t>Status of autism benefit coverage: EPO</t>
  </si>
  <si>
    <t>Midwife services covered by health plan</t>
  </si>
  <si>
    <t>Types of midwife services covered</t>
  </si>
  <si>
    <t>Doulas covered by health plan</t>
  </si>
  <si>
    <t>Stand alone birth centers covered by health plan</t>
  </si>
  <si>
    <t>Stand alone birth centers accreditation requirement</t>
  </si>
  <si>
    <t>Changes and/or enhancements considered for midwife, doula, or birth center coverage</t>
  </si>
  <si>
    <t>New emerging coverages or services being considered as offerings</t>
  </si>
  <si>
    <t>Income protection plans with salary included in earnings definition</t>
  </si>
  <si>
    <t>Income protection plans with overtime included in earnings definition</t>
  </si>
  <si>
    <t>Income protection plans with performance bonus included in earnings definition</t>
  </si>
  <si>
    <t>Income protection plans with discretionary bonus included in earnings definition</t>
  </si>
  <si>
    <t>Income protection plans with projected sales commission included in earnings definition</t>
  </si>
  <si>
    <t>Income protection plans with actual sales commission included in earnings definition</t>
  </si>
  <si>
    <t>Income protection plans with shift differential included in earnings definition</t>
  </si>
  <si>
    <t>Income protection plans with severance pay included in earnings definition</t>
  </si>
  <si>
    <t>Income protection plans with tips included in earnings definition</t>
  </si>
  <si>
    <t>Income protection plans with non-qualified plan distributions included in earnings definition</t>
  </si>
  <si>
    <t>Income protection plans with patent awards included in earnings definition</t>
  </si>
  <si>
    <t>Income protection plans with vacation included in earnings definition</t>
  </si>
  <si>
    <t>Income protection plans with other earnings/pay types included in earnings definition</t>
  </si>
  <si>
    <t>Other benefit plans with salary included in earnings definition</t>
  </si>
  <si>
    <t>Other benefit plans with overtime included in earnings definition</t>
  </si>
  <si>
    <t>Other benefit plans with performance bonus included in earnings definition</t>
  </si>
  <si>
    <t>Other benefit plans with discretionary bonus included in earnings definition</t>
  </si>
  <si>
    <t>Other benefit plans with projected sales commission included in earnings definition</t>
  </si>
  <si>
    <t>Other benefit plans with actual sales commission included in earnings definition</t>
  </si>
  <si>
    <t>Other benefit plans with shift differential included in earnings definition</t>
  </si>
  <si>
    <t>Other benefit plans with severance pay included in earnings definition</t>
  </si>
  <si>
    <t>Other benefit plans with tips included in earnings definition</t>
  </si>
  <si>
    <t>Other benefit plans with stock income included in earnings definition</t>
  </si>
  <si>
    <t>Other benefit plans with non-qualified plan distributions included in earnings definition</t>
  </si>
  <si>
    <t>Other benefit plans with patent awards included in earnings definition</t>
  </si>
  <si>
    <t>Other benefit plans with vacation included in earnings definition</t>
  </si>
  <si>
    <t>Other benefit plans with Other earnings/pay types included in earnings definition</t>
  </si>
  <si>
    <t>Other income protection benefits offered</t>
  </si>
  <si>
    <t>Other income protection plan with salary included in earnings definition</t>
  </si>
  <si>
    <t>Other income protection plan with overtime included in earnings definition</t>
  </si>
  <si>
    <t>Other income protection plan with bonus (performance) included in earnings definition</t>
  </si>
  <si>
    <t>Other income protection plan with bonus (discretionary) included in earnings definition</t>
  </si>
  <si>
    <t>Other income protection plan with sales commission (projected) included in earnings definition</t>
  </si>
  <si>
    <t>Other income protection plan with sales commission (actual) included in earnings definition</t>
  </si>
  <si>
    <t>Other income protection plan with shift differential included in earnings definition</t>
  </si>
  <si>
    <t>Other income protection plan with severance pay included in earnings definition</t>
  </si>
  <si>
    <t>Other income protection plan with tips included in earnings definition</t>
  </si>
  <si>
    <t>Other income protection plan with stock income included in earnings definition</t>
  </si>
  <si>
    <t>Other income protection plan with non-qualified plan distributions included in earnings definition</t>
  </si>
  <si>
    <t>Other income protection plan with patent awards included in earnings definition</t>
  </si>
  <si>
    <t>Other income protection plan with vacation included in earnings definition</t>
  </si>
  <si>
    <t>Other income protection benefit plans with a specific salary type definition</t>
  </si>
  <si>
    <t>Plan name of other income protection benefit plans with a specific salary type definition</t>
  </si>
  <si>
    <t>Earnings/pay types included in earnings definition of other income protection benefit plans</t>
  </si>
  <si>
    <t>Other earnings/pay types included in other income protection benefits offerings</t>
  </si>
  <si>
    <t>Process to ensure accuracy between plan definition and operations/administration</t>
  </si>
  <si>
    <t>Type of basic/employer paid life insurance coverage offered</t>
  </si>
  <si>
    <t>Multiplier used to determine basic/employer paid life insurance coverage</t>
  </si>
  <si>
    <t>Basic/employer paid life insurance maximum benefit amount</t>
  </si>
  <si>
    <t>Buy up/supplemental life insurance coverage offered</t>
  </si>
  <si>
    <t>Tax basis for employee payment of buy up/supplemental life insurance premiums</t>
  </si>
  <si>
    <t>Type of buy up/supplemental life insurance coverage offered</t>
  </si>
  <si>
    <t>Buy up/supplemental life insurance coverage levels offered</t>
  </si>
  <si>
    <t>Other buy up/supplemental life insurance coverage levels offered</t>
  </si>
  <si>
    <t>Buy up/supplemental life insurance maximum benefit amount</t>
  </si>
  <si>
    <t>Other buy up/supplemental life insurance coverage maximum benefit amount</t>
  </si>
  <si>
    <t>Events allowing employees to elect or increase life insurance without medical review (guarantee issue)</t>
  </si>
  <si>
    <t>Child life insurance eligibility rules aligned with other health plan coverage</t>
  </si>
  <si>
    <t>Dependents eligible for life insurance coverage</t>
  </si>
  <si>
    <t>Spouse/domestic partner life insurance maximum benefit amount</t>
  </si>
  <si>
    <t>Child life insurance maximum benefit amount</t>
  </si>
  <si>
    <t>Type of basic/employer paid accidental death and dismemberment coverage offered</t>
  </si>
  <si>
    <t>Multiplier used to determine basic/employer paid accidental death and dismemberment coverage</t>
  </si>
  <si>
    <t>Basic/employer paid accidental death and dismemberment maximum benefit amount</t>
  </si>
  <si>
    <t>Buy up/supplemental accidental death and dismemberment coverage offered</t>
  </si>
  <si>
    <t>Tax basis for employee payment of buy up/supplemental accidental death and dismemberment premiums</t>
  </si>
  <si>
    <t>Type of buy up/supplemental accidental death and dismemberment coverage offered</t>
  </si>
  <si>
    <t>Multiplier used to determine buy up/supplemental accidental death and dismemberment coverage</t>
  </si>
  <si>
    <t>Buy up/supplemental accidental death and dismemberment maximum benefit amount</t>
  </si>
  <si>
    <t>Events allowing employees to elect or increase accidental death and dismemberment coverage without medical review (guarantee issue)</t>
  </si>
  <si>
    <t>Dependents eligible for accidental death and dismemberment coverage</t>
  </si>
  <si>
    <t>Spouse/domestic partner accidental death and dismemberment maximum benefit amount</t>
  </si>
  <si>
    <t>Child accidental death and dismemberment maximum benefit amount</t>
  </si>
  <si>
    <t>Type of basic/employer paid business travel accident coverage offered</t>
  </si>
  <si>
    <t>Multiplier used to determine basic/employer paid business travel accident coverage</t>
  </si>
  <si>
    <t>Basic/employer paid business travel accident maximum benefit amount</t>
  </si>
  <si>
    <t>Business travel accident policy includes aggregate limit provision</t>
  </si>
  <si>
    <t>Business travel accident aggregate maximum/limit</t>
  </si>
  <si>
    <t>Number of sojourn/personal deviation days included and eligible for business travel accident benefits</t>
  </si>
  <si>
    <t>Spouse or domestic partner dependents eligible for business travel accident coverage if they accompany employee on an approved business travel trip</t>
  </si>
  <si>
    <t>Maximum number of days a spouse or domestic partner dependent can travel with employee outside of his/her home country and be covered by company's business travel accident policy</t>
  </si>
  <si>
    <t>Child dependents eligible for business travel accident coverage if they accompany employee on an approved business travel trip</t>
  </si>
  <si>
    <t>Maximum number of days a child dependent can travel with employee outside of his/her home country and be covered by company's business travel accident policy</t>
  </si>
  <si>
    <t>Other individuals eligible for business travel accident coverage if they accompany employee on an approved business travel trip</t>
  </si>
  <si>
    <t>Full-time employee minimum weekly hour eligibility requirement for life insurance/accidental death and dismemberment</t>
  </si>
  <si>
    <t>Full-time employee minimum weekly hour eligibility requirement for Short-term disability</t>
  </si>
  <si>
    <t>Full-time employee minimum weekly hour eligibility requirement for long term disability</t>
  </si>
  <si>
    <t>Full-time employee minimum weekly hour eligibility requirement for business travel accident</t>
  </si>
  <si>
    <t>Part-time employee minimum weekly hour eligibility requirement for life insurance/accidental death and dismemberment</t>
  </si>
  <si>
    <t>Part-time employee minimum weekly hour eligibility requirement for Short-term disability</t>
  </si>
  <si>
    <t>Part-time employee minimum weekly hour eligibility requirement for long term disability</t>
  </si>
  <si>
    <t>Part-time employee minimum weekly hour eligibility requirement for business travel accident</t>
  </si>
  <si>
    <t>Percentage of salary paid to employees for Short-term disability elimination period (sick pay)</t>
  </si>
  <si>
    <t>Percentage of salary paid to employees for Short-term disability</t>
  </si>
  <si>
    <t>Percentage of salary paid to employees for long term disability - basic/employer paid</t>
  </si>
  <si>
    <t>Disability benefit payments clarification</t>
  </si>
  <si>
    <t>Short-term disability elimination period (sick pay) duration (number of days)</t>
  </si>
  <si>
    <t>Short-term disability duration (number of days)</t>
  </si>
  <si>
    <t>Long-term disability elimination period duration (number of days)</t>
  </si>
  <si>
    <t>Short-term disability elimination period (sick pay) monthly benefit maximum</t>
  </si>
  <si>
    <t>Short-term disability monthly benefit maximum</t>
  </si>
  <si>
    <t>Basic/employer paid long term disability monthly benefit maximum</t>
  </si>
  <si>
    <t>Buy up/supplemental long term disability monthly benefit maximum</t>
  </si>
  <si>
    <t>Additional buy up/supplemental long term disability (if more than one applies) monthly benefit maximum</t>
  </si>
  <si>
    <t>Short-term disability premium payment structure</t>
  </si>
  <si>
    <t>Long-term disability - basic/employer paid premium payment structure</t>
  </si>
  <si>
    <t>Long-term disability - buy up/supplemental premium payment structure</t>
  </si>
  <si>
    <t>Long-term disability plan insurance type</t>
  </si>
  <si>
    <t>Long-term disability plan elimination period</t>
  </si>
  <si>
    <t>Basic/employer paid long term disability coverage percentage</t>
  </si>
  <si>
    <t>Supplemental/buy up long term disability coverage percentage: Option 1</t>
  </si>
  <si>
    <t>Supplemental/buy up long term disability coverage percentage: Option 2</t>
  </si>
  <si>
    <t>Supplemental/buy up long term disability coverage percentage: Option 3</t>
  </si>
  <si>
    <t>Supplemental/buy up long term disability coverage percentage: Option 4</t>
  </si>
  <si>
    <t>Supplemental/buy up long term disability coverage percentage: Option 5</t>
  </si>
  <si>
    <t>Maximum duration of long term disability benefits if benefits begin under age 60</t>
  </si>
  <si>
    <t>Maximum duration of long term disability benefits if benefits begin at age 60</t>
  </si>
  <si>
    <t>Maximum duration of long term disability benefits if benefits begin at age 61</t>
  </si>
  <si>
    <t>Maximum duration of long term disability benefits if benefits begin at age 62</t>
  </si>
  <si>
    <t>Maximum duration of long term disability benefits if benefits begin at age 63</t>
  </si>
  <si>
    <t>Maximum duration of long term disability benefits if benefits begin at age 64</t>
  </si>
  <si>
    <t>Maximum duration of long term disability benefits if benefits begin at age 65</t>
  </si>
  <si>
    <t>Maximum duration of long term disability benefits if benefits begin at age 66</t>
  </si>
  <si>
    <t>Maximum duration of long term disability benefits if benefits begin at age 67</t>
  </si>
  <si>
    <t>Maximum duration of long term disability benefits if benefits begin at age 68</t>
  </si>
  <si>
    <t>Maximum duration of long term disability benefits if benefits begin at age 69</t>
  </si>
  <si>
    <t>Maximum duration of long term disability benefits if benefits begin at age 70 or older</t>
  </si>
  <si>
    <t>Months until basic any occupation definition applies</t>
  </si>
  <si>
    <t>Months until basic own occupation definition applies</t>
  </si>
  <si>
    <t>Length of time employee can be on long term disability before employment termination</t>
  </si>
  <si>
    <t>Long-term disability plan cost of living adjustment offered</t>
  </si>
  <si>
    <t>Long-term care benefits offered</t>
  </si>
  <si>
    <t>Long-term care eligibility</t>
  </si>
  <si>
    <t>Long-term care offerings</t>
  </si>
  <si>
    <t>Long-term care monthly benefit maximum: nursing home care</t>
  </si>
  <si>
    <t>Long-term care monthly benefit maximum: home health care</t>
  </si>
  <si>
    <t>Long-term care monthly benefit maximum: assisted-living care</t>
  </si>
  <si>
    <t>Long-term care monthly benefit maximum: adult day care</t>
  </si>
  <si>
    <t>Long-term care monthly benefit maximum: respite care</t>
  </si>
  <si>
    <t>Long-term care monthly benefit maximum: hospice care</t>
  </si>
  <si>
    <t>Long-term care monthly benefit maximum: other</t>
  </si>
  <si>
    <t>Long-term care elimination period</t>
  </si>
  <si>
    <t>Long-term care maximum duration of benefit payments</t>
  </si>
  <si>
    <t>Long-term care cost of living adjustment offered</t>
  </si>
  <si>
    <t>Offer non-qualified deferred compensation (NQDC) plan</t>
  </si>
  <si>
    <t>NQDC: Plan type</t>
  </si>
  <si>
    <t>NQDC: Additional offerings</t>
  </si>
  <si>
    <t>NQDC: Eligibility criteria</t>
  </si>
  <si>
    <t>NQDC: Eligibility criteria/minimum salary requirement</t>
  </si>
  <si>
    <t>NQDC: Eligibility criteria/board of directors offering</t>
  </si>
  <si>
    <t>NQDC: Eligibility criteria/job titles</t>
  </si>
  <si>
    <t>NQDC: Considering/planning/changes to existing plan/status</t>
  </si>
  <si>
    <t>NQDC: Plan change types</t>
  </si>
  <si>
    <t>NQDC: Distribution election changes available</t>
  </si>
  <si>
    <t>NQDC: Eligibility criteria/initial eligibility period</t>
  </si>
  <si>
    <t>NQDC maximum contribution amount: Salary</t>
  </si>
  <si>
    <t>NQDC maximum contribution amount: Bonus (performance)</t>
  </si>
  <si>
    <t>NQDC maximum contribution amount: Bonus (discretionary)</t>
  </si>
  <si>
    <t>NQDC maximum contribution amount: Bonus (sign-on)</t>
  </si>
  <si>
    <t>NQDC maximum contribution amount: Sales commission (projected)</t>
  </si>
  <si>
    <t>NQDC maximum contribution amount: Sales commission (actual)</t>
  </si>
  <si>
    <t>NQDC maximum contribution amount: Stock income</t>
  </si>
  <si>
    <t>NQDC maximum contribution amount: Severance pay</t>
  </si>
  <si>
    <t>NQDC maximum contribution amount: NQDC distributions</t>
  </si>
  <si>
    <t>NQDC maximum contribution amount: Patent awards</t>
  </si>
  <si>
    <t>NQDC maximum contribution amount: Vacation</t>
  </si>
  <si>
    <t>NQDC maximum contribution amount: Other</t>
  </si>
  <si>
    <t>NQDC: Company contribution made to employee plan account</t>
  </si>
  <si>
    <t>NQDC: How company contributions are made to plan</t>
  </si>
  <si>
    <t>NQDC: Additional ways company contributions are made to plan</t>
  </si>
  <si>
    <t>NQDC: Company contribution/calculation formula</t>
  </si>
  <si>
    <t>NQDC: Company contribution/frequency</t>
  </si>
  <si>
    <t>NQDC: Plan funding mechanism(s)</t>
  </si>
  <si>
    <t>NQDC: Assets held in rabbi trust</t>
  </si>
  <si>
    <t>NQDC: Number of mutual fund investments available</t>
  </si>
  <si>
    <t>NQDC: Participant investment fund election changes/frequency</t>
  </si>
  <si>
    <t>NQDC distribution options for life events: Disability</t>
  </si>
  <si>
    <t>NQDC distribution options for life events: Change in control</t>
  </si>
  <si>
    <t>NQDC distribution options for life events: Termination</t>
  </si>
  <si>
    <t>NQDC distribution options for life events: Retirement</t>
  </si>
  <si>
    <t>NQDC distributions: Maximum installment payments (years)</t>
  </si>
  <si>
    <t>NQDC distribution: Minimum age</t>
  </si>
  <si>
    <t>NQDC distribution: Normal retirement age</t>
  </si>
  <si>
    <t>NQDC plan: Other milestones that define normal retirement age</t>
  </si>
  <si>
    <t>NQDC plan: Normal retirement age</t>
  </si>
  <si>
    <t>NQDC plan: Years of service that define normal retirement</t>
  </si>
  <si>
    <t>NQDC plan: Preferred practice with acquired company's plan</t>
  </si>
  <si>
    <t>Student loan assistance offered for outstanding college loan debt</t>
  </si>
  <si>
    <t>Student loan assistance for outstanding college loan debt - company funded/subsidized loan payments</t>
  </si>
  <si>
    <t>Student loan assistance for outstanding college loan debt - connection with future employment</t>
  </si>
  <si>
    <t>Student loan assistance includes refinancing opportunities</t>
  </si>
  <si>
    <t>Financial subsidies for non-employment/relocation services: Credit card debt</t>
  </si>
  <si>
    <t>Financial subsidies for non-employment/relocation services: Mortgage payments</t>
  </si>
  <si>
    <t>Financial subsidies for non-employment/relocation services: Rental payments</t>
  </si>
  <si>
    <t>Financial assistance offered following natural disasters</t>
  </si>
  <si>
    <t>Type of assistance offered following natural disasters</t>
  </si>
  <si>
    <t>Type of assistance offered following natural disasters: Other</t>
  </si>
  <si>
    <t>Stand-alone app or other personalized financial, budget, debt management tools available</t>
  </si>
  <si>
    <t>Stand-alone app or other tool offered</t>
  </si>
  <si>
    <t>Bridge of service policy in place</t>
  </si>
  <si>
    <t>Bridge of service policy requirements</t>
  </si>
  <si>
    <t>Individuals eligible for bridge of service benefits</t>
  </si>
  <si>
    <t>Hire/rehire time period eligible for bridge of service benefits</t>
  </si>
  <si>
    <t>Minimum length of service for bridge of service eligibility</t>
  </si>
  <si>
    <t>Bridge of service impact: Accrual - Paid time off (PTO)</t>
  </si>
  <si>
    <t>Bridge of service impact: Accrual - Sick time</t>
  </si>
  <si>
    <t>Bridge of service impact: Accrual - Vacation</t>
  </si>
  <si>
    <t>Bridge of service impact: College loan assistance repayment</t>
  </si>
  <si>
    <t>Bridge of service impact: Leave of absence - Non-FMLA medical</t>
  </si>
  <si>
    <t>Bridge of service impact: Leave of absence - Parental (non-maternity/disability)</t>
  </si>
  <si>
    <t>Bridge of service impact: Leave of absence - Personal</t>
  </si>
  <si>
    <t>Bridge of service impact: Leave of absence - Sabbaticals</t>
  </si>
  <si>
    <t>Bridge of service impact: Service awards</t>
  </si>
  <si>
    <t>Bridge of service impact: Severance pay</t>
  </si>
  <si>
    <t>Bridge of service impact: Tuition/education reimbursement repayment</t>
  </si>
  <si>
    <t>Bridge of service impact: Vesting - 401(k) company contribution/match</t>
  </si>
  <si>
    <t>Bridge of service impact: Vesting - Company stock</t>
  </si>
  <si>
    <t>Bridge of service impact: Vesting - Retiree benefits</t>
  </si>
  <si>
    <t>Service continuity policy in place</t>
  </si>
  <si>
    <t>Maximum break in service allowing individual to maintain original service date</t>
  </si>
  <si>
    <t>Time off programs offered</t>
  </si>
  <si>
    <t>Minimum scheduled weekly work hours for vacation benefits eligibility</t>
  </si>
  <si>
    <t>Vacation hours accrued per calendar year: 1 year of service</t>
  </si>
  <si>
    <t>Vacation hours accrued per calendar year: 2 years of service</t>
  </si>
  <si>
    <t>Vacation hours accrued per calendar year: 3 years of service</t>
  </si>
  <si>
    <t>Vacation hours accrued per calendar year: 4 years of service</t>
  </si>
  <si>
    <t>Vacation hours accrued per calendar year: 5 years of service</t>
  </si>
  <si>
    <t>Vacation hours accrued per calendar year: 6 years of service</t>
  </si>
  <si>
    <t>Vacation hours accrued per calendar year: 7 years of service</t>
  </si>
  <si>
    <t>Vacation hours accrued per calendar year: 8 years of service</t>
  </si>
  <si>
    <t>Vacation hours accrued per calendar year: 9 years of service</t>
  </si>
  <si>
    <t>Vacation hours accrued per calendar year: 10 years of service</t>
  </si>
  <si>
    <t>Vacation hours accrued per calendar year: 15 years of service</t>
  </si>
  <si>
    <t>Vacation hours accrued per calendar year: 20 years of service</t>
  </si>
  <si>
    <t>Vacation hours accrued per calendar year: 25+ years of service</t>
  </si>
  <si>
    <t>Use it or lose it rule enforced for accrued vacation hours (if allowed by law)</t>
  </si>
  <si>
    <t>Vacation hour accrual maximum</t>
  </si>
  <si>
    <t>Vacation accrual maximum formula</t>
  </si>
  <si>
    <t>Borrow against future vacation accrual allowed</t>
  </si>
  <si>
    <t>Maximum number of vacation hours employees can borrow</t>
  </si>
  <si>
    <t>Minimum scheduled weekly work hours for paid time off eligibility</t>
  </si>
  <si>
    <t>Number of paid time off hours accrued per year: less than 1 year of service</t>
  </si>
  <si>
    <t>Number of paid time off hours accrued per year: 1 years of service</t>
  </si>
  <si>
    <t>Number of paid time off hours accrued per year: 2 years of service</t>
  </si>
  <si>
    <t>Number of paid time off hours accrued per year: 3 years of service</t>
  </si>
  <si>
    <t>Number of paid time off hours accrued per year: 4 years of service</t>
  </si>
  <si>
    <t>Number of paid time off hours accrued per year: 5 years of service</t>
  </si>
  <si>
    <t>Number of paid time off hours accrued per year: 6 years of service</t>
  </si>
  <si>
    <t>Number of paid time off hours accrued per year: 7 years of service</t>
  </si>
  <si>
    <t>Number of paid time off hours accrued per year: 8 years of service</t>
  </si>
  <si>
    <t>Number of paid time off hours accrued per year: 9 years of service</t>
  </si>
  <si>
    <t>Number of paid time off hours accrued per year: 10 years of service</t>
  </si>
  <si>
    <t>Number of paid time off hours accrued per year: 15 years of service</t>
  </si>
  <si>
    <t>Number of paid time off hours accrued per year: 20 years of service</t>
  </si>
  <si>
    <t>Number of paid time off hours accrued per year: 25+ years of service</t>
  </si>
  <si>
    <t>Use it or lose it rule enforced for accrued paid time off hours (if allowed by law)</t>
  </si>
  <si>
    <t>Paid time off hour accrual maximum</t>
  </si>
  <si>
    <t>Paid time off accrual maximum formula</t>
  </si>
  <si>
    <t>Borrow against future paid time off accrual allowed</t>
  </si>
  <si>
    <t>Maximum number of paid time off hours employees can borrow</t>
  </si>
  <si>
    <t>Minimum scheduled weekly work hours for sick time benefit eligibility</t>
  </si>
  <si>
    <t>Sick time frontloaded, accrued or unlimited</t>
  </si>
  <si>
    <t>Sick time hours accrual maximum per year</t>
  </si>
  <si>
    <t>Sick time hours accrual maximum total</t>
  </si>
  <si>
    <t>Accrued, unused vacation or paid time off hours can be cashed out for compensation</t>
  </si>
  <si>
    <t>Accrued, unused vacation or paid time off hours can be donated to another employee in need</t>
  </si>
  <si>
    <t>Accrued, unused vacation or paid time off hours can be cashed out and donated to another employee in need</t>
  </si>
  <si>
    <t>Accrued, unused vacation or paid time off hours can be cashed out and donated to charity</t>
  </si>
  <si>
    <t>Workforce levels eligible to cash out accrued vacation or paid time off</t>
  </si>
  <si>
    <t>Company covers taxes (if any) associated with vacation of paid time off given to employees and/or charities</t>
  </si>
  <si>
    <t>Employee vacation of paid time off donations are eligible for company's charitable giving program</t>
  </si>
  <si>
    <t>Paid time off/vacation time accrued and reported: Presidents and vice presidents</t>
  </si>
  <si>
    <t>Paid time off/vacation time accrued and reported: Directors</t>
  </si>
  <si>
    <t>Paid time off/vacation time accrued and reported: Managers</t>
  </si>
  <si>
    <t>Paid time off/vacation time accrued and reported: Supervisors</t>
  </si>
  <si>
    <t>Paid time off/vacation time accrued and reported: Salaried (non-overtime eligible employees)</t>
  </si>
  <si>
    <t>Paid time off/vacation time accrued and reported: Hourly (overtime eligible employees)</t>
  </si>
  <si>
    <t>Considering non-accrued (unlimited) paid time off/vacation policy: Presidents and vice presidents</t>
  </si>
  <si>
    <t>Considering non-accrued (unlimited) paid time off/vacation policy: Directors</t>
  </si>
  <si>
    <t>Considering non-accrued (unlimited) paid time off/vacation policy: Managers</t>
  </si>
  <si>
    <t>Considering non-accrued (unlimited) paid time off/vacation policy: Supervisors</t>
  </si>
  <si>
    <t>Considering non-accrued (unlimited) paid time off/vacation policy: Salaried (non-overtime eligible employees)</t>
  </si>
  <si>
    <t>Considering non-accrued (unlimited) paid time off/vacation policy: Hourly (overtime eligible employees)</t>
  </si>
  <si>
    <t>Sick time accrued and reported: Presidents and vice presidents</t>
  </si>
  <si>
    <t>Sick time accrued and reported: Directors</t>
  </si>
  <si>
    <t>Sick time accrued and reported: Managers</t>
  </si>
  <si>
    <t>Sick time accrued and reported: Supervisors</t>
  </si>
  <si>
    <t>Sick time accrued and reported: Salaried (non-overtime eligible employees)</t>
  </si>
  <si>
    <t>Sick time accrued and reported: Hourly (overtime eligible employees)</t>
  </si>
  <si>
    <t>Presidents and vice-presidents: Required to report paid time off/vacation</t>
  </si>
  <si>
    <t>Directors: Required to report paid time off/vacation</t>
  </si>
  <si>
    <t>Managers: Required to report paid time off/vacation</t>
  </si>
  <si>
    <t>Supervisors: Required to report paid time off/vacation</t>
  </si>
  <si>
    <t>Salaried (non-overtime eligible employees): Required to report paid time off/vacation</t>
  </si>
  <si>
    <t>Hourly (overtime eligible employees): Required to report paid time off/vacation</t>
  </si>
  <si>
    <t>Parental leave policy in place</t>
  </si>
  <si>
    <t>Parental leave paid or unpaid</t>
  </si>
  <si>
    <t>Care types covered by company's parental leave policy</t>
  </si>
  <si>
    <t>Weeks offered for parental leave (primary caretaker) following any maternity disability related time off: Newborn</t>
  </si>
  <si>
    <t>Weeks offered for parental leave (primary caretaker) following any maternity disability related time off: Adoption</t>
  </si>
  <si>
    <t>Weeks offered for parental leave (primary caretaker) following any maternity disability related time off: Foster child</t>
  </si>
  <si>
    <t>Weeks offered for parental leave (primary caretaker) following any maternity disability related time off: Surrogacy</t>
  </si>
  <si>
    <t>Weeks offered for parental leave (primary caretaker) following any maternity disability related time off: New pets</t>
  </si>
  <si>
    <t>Weeks offered for parental leave (secondary caretaker): Newborn</t>
  </si>
  <si>
    <t>Weeks offered for parental leave (secondary caretaker): Adoption</t>
  </si>
  <si>
    <t>Weeks offered for parental leave (secondary caretaker): Foster child</t>
  </si>
  <si>
    <t>Weeks offered for parental leave (secondary caretaker): Surrogacy</t>
  </si>
  <si>
    <t>Weeks offered for parental leave (secondary caretaker): New pets</t>
  </si>
  <si>
    <t>Number of weeks of fully paid time off provided after birth moms are cleared to return to work</t>
  </si>
  <si>
    <t>Description of fully paid time off provided to birth moms.</t>
  </si>
  <si>
    <t>Number of weeks of fully paid time off provided to non-birth moms</t>
  </si>
  <si>
    <t>Employee's job is protected while on approved parental leave beyond what is required by law</t>
  </si>
  <si>
    <t>Number of weeks until employee loses job protection while on parental leave</t>
  </si>
  <si>
    <t>Non-birth parent leave policy in place, separate from parental leave policy</t>
  </si>
  <si>
    <t>Non-birth parent leave paid or unpaid</t>
  </si>
  <si>
    <t>Weeks offered for non-birth parent leave</t>
  </si>
  <si>
    <t>Non-birth parent leave runs concurrently with FMLA leave</t>
  </si>
  <si>
    <t>Care types covered by company's non-birth parent leave policy</t>
  </si>
  <si>
    <t>Employee's job is protected while on approved non-birth parent leave beyond what is required by law</t>
  </si>
  <si>
    <t>Number of weeks until employee loses job protection while on non-birth parent leave</t>
  </si>
  <si>
    <t>Caregiver leave policy in place</t>
  </si>
  <si>
    <t>Caregiver leave paid or unpaid</t>
  </si>
  <si>
    <t>Weeks offered for caregiver leave</t>
  </si>
  <si>
    <t>Relationships covered by company's caregiver leave policy</t>
  </si>
  <si>
    <t>Employee's job is protected while on approved caregiver leave beyond what is required by law</t>
  </si>
  <si>
    <t>Number of weeks until employee loses job protection while on caregiver leave</t>
  </si>
  <si>
    <t>Caregiving benefits offered by your company</t>
  </si>
  <si>
    <t>Other caregiving benefits offered by your company</t>
  </si>
  <si>
    <t>Workplace accommodations offered to caregivers</t>
  </si>
  <si>
    <t>Other workplace accommodations offered to caregivers</t>
  </si>
  <si>
    <t>Caregiving support provided through a vendor/concierge service implemented or under consideration</t>
  </si>
  <si>
    <t>Percentage of the caregiving support premium paid by employee</t>
  </si>
  <si>
    <t>Pandemic leave policy in place</t>
  </si>
  <si>
    <t>Pandemic leave paid or unpaid</t>
  </si>
  <si>
    <t>Pandemic leave wage replacement</t>
  </si>
  <si>
    <t>Other pandemic leave wage replacement</t>
  </si>
  <si>
    <t>Weeks offered for pandemic leave</t>
  </si>
  <si>
    <t>Time period when employees are provided a new bank of pandemic leave days</t>
  </si>
  <si>
    <t>Other time period when employees are provided a new bank of pandemic leave days</t>
  </si>
  <si>
    <t>Pandemic leave eligibility</t>
  </si>
  <si>
    <t>Employee's job is protected while on approved pandemic leave beyond what is required by law</t>
  </si>
  <si>
    <t>Number of weeks until employee loses job protection while on pandemic leave</t>
  </si>
  <si>
    <t>Bereavement leave policy in place, separate from vacation/paid time off policy</t>
  </si>
  <si>
    <t>Relationship types that qualify for bereavement leave</t>
  </si>
  <si>
    <t>Other relationship types that qualify for bereavement leave</t>
  </si>
  <si>
    <t>Maximum paid bereavement period is the same for all relationship types</t>
  </si>
  <si>
    <t>Maximum number of paid bereavement leave days available to employees</t>
  </si>
  <si>
    <t>Maximum bereavement period: Spouse</t>
  </si>
  <si>
    <t>Maximum bereavement period: Domestic partner</t>
  </si>
  <si>
    <t>Maximum bereavement period: Child(ren)</t>
  </si>
  <si>
    <t>Maximum bereavement period: Step children</t>
  </si>
  <si>
    <t>Maximum bereavement period: Foster children</t>
  </si>
  <si>
    <t>Maximum bereavement period: Miscarriage</t>
  </si>
  <si>
    <t>Maximum bereavement period: Grandchildren</t>
  </si>
  <si>
    <t>Maximum bereavement period: Parent</t>
  </si>
  <si>
    <t>Maximum bereavement period: Parent in-law</t>
  </si>
  <si>
    <t>Maximum bereavement period: Grandparent-in-law</t>
  </si>
  <si>
    <t>Maximum bereavement period: Brother/sister</t>
  </si>
  <si>
    <t>Maximum bereavement period: Brother/sister in-law</t>
  </si>
  <si>
    <t>Maximum bereavement period: Niece/nephew</t>
  </si>
  <si>
    <t>Maximum bereavement period: Uncle/aunt</t>
  </si>
  <si>
    <t>Maximum bereavement period: Cousin</t>
  </si>
  <si>
    <t>Maximum bereavement period: Non-relative (other member of employee's household)</t>
  </si>
  <si>
    <t>Maximum bereavement period: Pet</t>
  </si>
  <si>
    <t>Maximum bereavement period: Other</t>
  </si>
  <si>
    <t>Additional time off offered if extensive travel is required</t>
  </si>
  <si>
    <t>Number of additional days offered if extensive travel is required</t>
  </si>
  <si>
    <t>Jury duty policy description</t>
  </si>
  <si>
    <t>Number of paid days for jury duty</t>
  </si>
  <si>
    <t>Other number of paid days for jury duty</t>
  </si>
  <si>
    <t>Organ/bone marrow donor leave policy in place (separate from existing leave types)</t>
  </si>
  <si>
    <t>Number of days offered for organ or bone marrow leave</t>
  </si>
  <si>
    <t>Community service and/or volunteer leave policy in place (separate from existing leave types)</t>
  </si>
  <si>
    <t>Number of days offered for community service and/or volunteer leave</t>
  </si>
  <si>
    <t>Number of months provided under paid military leave for active duty servicemen/servicewomen</t>
  </si>
  <si>
    <t>Number of months provided under paid military leave for active duty servicemen/servicewomen: Other</t>
  </si>
  <si>
    <t>Paid military leave benefits are integrated with government military leave earnings</t>
  </si>
  <si>
    <t>Military leave reserve training policy</t>
  </si>
  <si>
    <t>Personal leave of absence allowed</t>
  </si>
  <si>
    <t>Personal leave of absence is paid</t>
  </si>
  <si>
    <t>Personal leave of absence maximum allowable time without pay</t>
  </si>
  <si>
    <t>Employee's job is protected while on approved personal leave of absence</t>
  </si>
  <si>
    <t>Number of weeks until employee loses job protection while on personal leave of absence</t>
  </si>
  <si>
    <t>Twelve month period calculation for FMLA leave allowance</t>
  </si>
  <si>
    <t>Other types of leave offerings</t>
  </si>
  <si>
    <t>Holidays provided to employees as paid days off</t>
  </si>
  <si>
    <t>Number of floating holidays offered</t>
  </si>
  <si>
    <t>Annual unpaid shutdown in place</t>
  </si>
  <si>
    <t>Company had shutdown in 2021</t>
  </si>
  <si>
    <t>Company planned shutdown in 2022</t>
  </si>
  <si>
    <t>Number of company shutdown days in 2022</t>
  </si>
  <si>
    <t>Company shutdown type</t>
  </si>
  <si>
    <t>Employees allowed to borrow against vacation/paid time off accrual during company shutdown</t>
  </si>
  <si>
    <t>Paid sabbatical benefit in place</t>
  </si>
  <si>
    <t>Length of service requirement for employee's first sabbatical</t>
  </si>
  <si>
    <t>Maximum length of sabbatical</t>
  </si>
  <si>
    <t>Sabbatical benefit offering</t>
  </si>
  <si>
    <t>Employees on performance improvement plan sabbatical eligibility</t>
  </si>
  <si>
    <t>Flexible work schedule offered by company: Ongoing part-time schedule</t>
  </si>
  <si>
    <t>Flexible work schedule offered by company: Telecommuting</t>
  </si>
  <si>
    <t>Flexible work schedule offered by company: Flexible work hours</t>
  </si>
  <si>
    <t>Flexible work schedule offered by company: Job sharing</t>
  </si>
  <si>
    <t>Flexible work schedule offered by company: Compressed work schedules</t>
  </si>
  <si>
    <t>Flexible work schedules additional comments</t>
  </si>
  <si>
    <t>Degree to which organizational culture and work rules support flexible and virtual work schedules</t>
  </si>
  <si>
    <t>Request for proposal planned for medical in 2022</t>
  </si>
  <si>
    <t>Request for proposal planned for prescription in 2022</t>
  </si>
  <si>
    <t>Request for proposal planned for benefits outsourcing administration in 2022</t>
  </si>
  <si>
    <t>Request for proposal planned for dental in 2022</t>
  </si>
  <si>
    <t>Request for proposal planned for vision in 2022</t>
  </si>
  <si>
    <t>Request for proposal planned for mental/behavioral health in 2022</t>
  </si>
  <si>
    <t>Request for proposal planned for retirement in 2022</t>
  </si>
  <si>
    <t>Request for proposal planned for other in 2022</t>
  </si>
  <si>
    <t>Other request for proposal planned in 2022</t>
  </si>
  <si>
    <t>Consultant vendors employed: Domestic health &amp; welfare consultants</t>
  </si>
  <si>
    <t>Other consultant vendors employed: Domestic health &amp; welfare consultants</t>
  </si>
  <si>
    <t>Consultant vendors employed: U.S. domestic brokers</t>
  </si>
  <si>
    <t>Other consultant vendors employed: U.S. domestic brokers</t>
  </si>
  <si>
    <t>Consultant vendors employed: International consultants/brokers</t>
  </si>
  <si>
    <t>Other consultant vendors employed: International consultants/brokers</t>
  </si>
  <si>
    <t>Consultant vendors employed: 401(k) investment consultants</t>
  </si>
  <si>
    <t>Other consultant vendors employed: 401(k) investment consultants</t>
  </si>
  <si>
    <t>Consultant vendors employed: 401(k) design consultants</t>
  </si>
  <si>
    <t>Other consultant vendors employed: 401(k) design consultants</t>
  </si>
  <si>
    <t>Consultant vendors employed: Non-qualified deferred compensation investment</t>
  </si>
  <si>
    <t>Other consultant vendors employed: Non-qualified deferred compensation investment</t>
  </si>
  <si>
    <t>Consultant vendor(s) terminated in 2021</t>
  </si>
  <si>
    <t>Terminated consultant vendors: Domestic health &amp; welfare consultants</t>
  </si>
  <si>
    <t>Terminated consultant vendors: U.S. domestic brokers</t>
  </si>
  <si>
    <t>Terminated consultant vendors: International consultants/brokers</t>
  </si>
  <si>
    <t>Terminated consultant vendors: 401(k) investment consultants</t>
  </si>
  <si>
    <t>Terminated consultant vendors: 401(k) design consultants</t>
  </si>
  <si>
    <t>Terminated consultant vendors: Non-qualified deferred compensation investment</t>
  </si>
  <si>
    <t>Communications vendors employed: Benefit portal consultants</t>
  </si>
  <si>
    <t>Other communications vendors employed: Benefit portal consultants</t>
  </si>
  <si>
    <t>Communications vendors employed: Designers</t>
  </si>
  <si>
    <t>Other communications vendors employed: Designers</t>
  </si>
  <si>
    <t>Communications vendors employed: Benefit portal development</t>
  </si>
  <si>
    <t>Other communications vendors employed: Benefit portal development</t>
  </si>
  <si>
    <t>Communications vendors employed: Hosting</t>
  </si>
  <si>
    <t>Other communications vendors employed: Hosting</t>
  </si>
  <si>
    <t>Communications vendors employed: Materials</t>
  </si>
  <si>
    <t>Other communications vendors employed: Materials</t>
  </si>
  <si>
    <t>Communications vendors employed: Video developer</t>
  </si>
  <si>
    <t>Other communications vendors employed: Video developer</t>
  </si>
  <si>
    <t>Communications vendors employed: ACA communications</t>
  </si>
  <si>
    <t>Other communications vendors employed: ACA communications</t>
  </si>
  <si>
    <t>Communications vendors employed: Total rewards statements</t>
  </si>
  <si>
    <t>Other communications vendors employed: Total rewards statements</t>
  </si>
  <si>
    <t>Communications vendor(s) terminated in 2021</t>
  </si>
  <si>
    <t>Terminated communications vendors: Benefit portal consultants</t>
  </si>
  <si>
    <t>Terminated communications vendors: Designers</t>
  </si>
  <si>
    <t>Terminated communications vendors: Benefit portal development</t>
  </si>
  <si>
    <t>Terminated communications vendors: Hosting</t>
  </si>
  <si>
    <t>Terminated communications vendors: Materials</t>
  </si>
  <si>
    <t>Terminated communications vendors: Video developer</t>
  </si>
  <si>
    <t>Terminated communications vendors: ACA communications</t>
  </si>
  <si>
    <t>Terminated communications vendors: Total rewards statements</t>
  </si>
  <si>
    <t>Legal vendors employed: Health &amp; welfare</t>
  </si>
  <si>
    <t>Other legal vendors employed: Health &amp; welfare</t>
  </si>
  <si>
    <t>Legal vendors employed: ERISA</t>
  </si>
  <si>
    <t>Other legal vendors employed: ERISA</t>
  </si>
  <si>
    <t>Legal vendors employed: 401(k)</t>
  </si>
  <si>
    <t>Other legal vendors employed: 401(k)</t>
  </si>
  <si>
    <t>Legal vendors employed: Non-qualified deferred compensation plan</t>
  </si>
  <si>
    <t>Other legal vendors employed: Non-qualified deferred compensation plan</t>
  </si>
  <si>
    <t>Legal vendor(s) terminated in 2021</t>
  </si>
  <si>
    <t>Terminated legal vendors: Health &amp; welfare</t>
  </si>
  <si>
    <t>Terminated legal vendors: ERISA</t>
  </si>
  <si>
    <t>Terminated legal vendors: 401(k)</t>
  </si>
  <si>
    <t>Terminated legal vendors: Non-qualified deferred compensation plan</t>
  </si>
  <si>
    <t>Data/HRIS administration vendors employed: HRIS software (systems)</t>
  </si>
  <si>
    <t>Other data/HRIS administration vendors employed: HRIS software (systems)</t>
  </si>
  <si>
    <t>Data/HRIS administration vendors employed: Data warehouse</t>
  </si>
  <si>
    <t>Other data/HRIS administration vendors employed: Data warehouse</t>
  </si>
  <si>
    <t>Data/HRIS administration vendors employed: ACA reporting</t>
  </si>
  <si>
    <t>Other data/HRIS administration vendors employed: ACA reporting</t>
  </si>
  <si>
    <t>Data/HRIS administration vendor(s) terminated in 2021</t>
  </si>
  <si>
    <t>Terminated data/HRIS administration vendors: HRIS software (systems)</t>
  </si>
  <si>
    <t>Terminated data/HRIS administration vendors: Data warehouse</t>
  </si>
  <si>
    <t>Terminated data/HRIS administration vendors: ACA reporting</t>
  </si>
  <si>
    <t>Health care vendors employed: Medical</t>
  </si>
  <si>
    <t>Other health care vendors employed: Medical</t>
  </si>
  <si>
    <t>Health care vendors employed: Pharmacy</t>
  </si>
  <si>
    <t>Other health care vendors employed: Pharmacy</t>
  </si>
  <si>
    <t>Health care vendors employed: Mental/behavioral Health</t>
  </si>
  <si>
    <t>Other health care vendors employed: Mental/behavioral Health</t>
  </si>
  <si>
    <t>Health care vendors employed: Dental</t>
  </si>
  <si>
    <t>Other health care vendors employed: Dental</t>
  </si>
  <si>
    <t>Health care vendors employed: Vision</t>
  </si>
  <si>
    <t>Other health care vendors employed: Vision</t>
  </si>
  <si>
    <t>Health care vendors employed: Stop loss</t>
  </si>
  <si>
    <t>Other health care vendors employed: Stop loss</t>
  </si>
  <si>
    <t>Health care vendors employed: Cancer/genetic/genomic testing</t>
  </si>
  <si>
    <t>Other health care vendors employed: Cancer/genetic/genomic testing</t>
  </si>
  <si>
    <t>Health care vendor(s) terminated in 2021</t>
  </si>
  <si>
    <t>Terminated health care vendors: Medical</t>
  </si>
  <si>
    <t>Terminated health care vendors: Pharmacy</t>
  </si>
  <si>
    <t>Terminated health care vendors: Mental/behavioral Health</t>
  </si>
  <si>
    <t>Terminated health care vendors: Dental</t>
  </si>
  <si>
    <t>Terminated health care vendors: Vision</t>
  </si>
  <si>
    <t>Terminated health care vendors: Stop loss</t>
  </si>
  <si>
    <t>Miscellaneous health care vendors employed: Expert medical second opinion</t>
  </si>
  <si>
    <t>Other miscellaneous health care vendors employed: Expert medical second opinion</t>
  </si>
  <si>
    <t>Miscellaneous health care vendors employed: Employee advocate</t>
  </si>
  <si>
    <t>Other miscellaneous health care vendors employed: Employee advocate</t>
  </si>
  <si>
    <t>Miscellaneous health care vendors employed: Disease management</t>
  </si>
  <si>
    <t>Other miscellaneous health care vendors employed: Disease management</t>
  </si>
  <si>
    <t>Miscellaneous health care vendors employed: On-site mobile medical/health vehicles</t>
  </si>
  <si>
    <t>Other miscellaneous health care vendors employed: On-site mobile medical/health vehicles</t>
  </si>
  <si>
    <t>Miscellaneous health care vendors employed: On-site mobile dental vehicles</t>
  </si>
  <si>
    <t>Other miscellaneous health care vendors employed: On-site mobile dental vehicles</t>
  </si>
  <si>
    <t>Miscellaneous health care vendors employed: On-site medical/health clinic</t>
  </si>
  <si>
    <t>Other miscellaneous health care vendors employed: On-site medical/health clinic</t>
  </si>
  <si>
    <t>Miscellaneous health care vendors employed: Near-site medical/health clinic</t>
  </si>
  <si>
    <t>Other miscellaneous health care vendors employed: Near-site medical/health clinic</t>
  </si>
  <si>
    <t>Miscellaneous health care vendors employed: On-site pharmacy, dental or vision health clinic</t>
  </si>
  <si>
    <t>Other miscellaneous health care vendors employed: On-site pharmacy, dental or vision health clinic</t>
  </si>
  <si>
    <t>Miscellaneous health care vendors employed: Near-site pharmacy, dental or vision health clinic</t>
  </si>
  <si>
    <t>Other miscellaneous health care vendors employed: Near-site pharmacy, dental or vision health clinic</t>
  </si>
  <si>
    <t>Miscellaneous health care vendors employed: Telehealth/telemedicine</t>
  </si>
  <si>
    <t>Other miscellaneous health care vendors employed: Telehealth/telemedicine</t>
  </si>
  <si>
    <t>Miscellaneous health care vendors employed: Employee assistance program</t>
  </si>
  <si>
    <t>Other miscellaneous health care vendors employed: Employee assistance program</t>
  </si>
  <si>
    <t>Miscellaneous health care vendors employed: Stress, resiliency, mindfulness</t>
  </si>
  <si>
    <t>Other miscellaneous health care vendors employed: Stress, resiliency, mindfulness</t>
  </si>
  <si>
    <t>Miscellaneous health care vendors employed: Smoking cessation</t>
  </si>
  <si>
    <t>Other miscellaneous health care vendors employed: Smoking cessation</t>
  </si>
  <si>
    <t>Miscellaneous health care vendors employed: Weight management</t>
  </si>
  <si>
    <t>Other miscellaneous health care vendors employed: Weight management</t>
  </si>
  <si>
    <t>Miscellaneous health care vendors employed: Budget, debt and financial wellness services</t>
  </si>
  <si>
    <t>Other miscellaneous health care vendors employed: Budget, debt and financial wellness services</t>
  </si>
  <si>
    <t>Miscellaneous health care vendors employed: Flu shots</t>
  </si>
  <si>
    <t>Other miscellaneous health care vendors employed: Flu shots</t>
  </si>
  <si>
    <t>Miscellaneous health care vendor(s) terminated in 2021</t>
  </si>
  <si>
    <t>Terminated miscellaneous health care vendors: Expert medical second opinion</t>
  </si>
  <si>
    <t>Terminated miscellaneous health care vendors: Employee advocate</t>
  </si>
  <si>
    <t>Terminated miscellaneous health care vendors: Disease management</t>
  </si>
  <si>
    <t>Terminated miscellaneous health care vendors: On-site mobile medical/health vehicles</t>
  </si>
  <si>
    <t>Terminated miscellaneous health care vendors: On-site mobile dental vehicles</t>
  </si>
  <si>
    <t>Terminated miscellaneous health care vendors: On-site medical/health clinic</t>
  </si>
  <si>
    <t>Terminated miscellaneous health care vendors: Near-site medical/health clinic</t>
  </si>
  <si>
    <t>Terminated miscellaneous health care vendors: On-site pharmacy, dental or vision health clinic</t>
  </si>
  <si>
    <t>Terminated miscellaneous health care vendors: Near-site pharmacy, dental or vision health clinic</t>
  </si>
  <si>
    <t>Terminated miscellaneous health care vendors: Telehealth/telemedicine</t>
  </si>
  <si>
    <t>Terminated miscellaneous health care vendors: Employee assistance program</t>
  </si>
  <si>
    <t>Terminated miscellaneous health care vendors: Stress, resiliency, mindfulness</t>
  </si>
  <si>
    <t>Terminated miscellaneous health care vendors: Smoking cessation</t>
  </si>
  <si>
    <t>Terminated miscellaneous health care vendors: Weight management</t>
  </si>
  <si>
    <t>Terminated miscellaneous health care vendors: Budget, debt and financial wellness services</t>
  </si>
  <si>
    <t>Terminated miscellaneous health care vendors: Flu shots</t>
  </si>
  <si>
    <t>Wellness management vendors employed: Wellness portal</t>
  </si>
  <si>
    <t>Other wellness management vendors employed: Wellness portal</t>
  </si>
  <si>
    <t>Wellness management vendors employed: Wellness organized events or competitions</t>
  </si>
  <si>
    <t>Other wellness management vendors employed: Wellness organized events or competitions</t>
  </si>
  <si>
    <t>Wellness management vendors employed: Wellness incentive manager</t>
  </si>
  <si>
    <t>Other wellness management vendors employed: Wellness incentive manager</t>
  </si>
  <si>
    <t>Wellness management vendors employed: Fitness center</t>
  </si>
  <si>
    <t>Other wellness management vendors employed: Fitness center</t>
  </si>
  <si>
    <t>Wellness management vendors employed: Wellness coaching &amp; high risk coaching</t>
  </si>
  <si>
    <t>Other wellness management vendors employed: Wellness coaching &amp; high risk coaching</t>
  </si>
  <si>
    <t>Wellness management vendors employed: Biometric screening</t>
  </si>
  <si>
    <t>Other wellness management vendors employed: Biometric screening</t>
  </si>
  <si>
    <t>Wellness management vendors employed: Health risk assessment</t>
  </si>
  <si>
    <t>Other wellness management vendors employed: Health risk assessment</t>
  </si>
  <si>
    <t>Wellness management vendor(s) terminated in 2021</t>
  </si>
  <si>
    <t>Terminated wellness management vendors: Wellness portal</t>
  </si>
  <si>
    <t>Terminated wellness management vendors: Wellness organized events or competitions</t>
  </si>
  <si>
    <t>Terminated wellness management vendors: Wellness incentive manager</t>
  </si>
  <si>
    <t>Terminated wellness management vendors: Fitness center</t>
  </si>
  <si>
    <t>Terminated wellness management vendors: Wellness coaching &amp; high risk coaching</t>
  </si>
  <si>
    <t>Terminated wellness management vendors: Biometric screening</t>
  </si>
  <si>
    <t>Terminated wellness management vendors: Health risk assessment</t>
  </si>
  <si>
    <t>Have a tool/work with vendor to link financial and physical/emotional wellbeing</t>
  </si>
  <si>
    <t>Vendor used to link financial and physical/emotional wellbeing</t>
  </si>
  <si>
    <t>Care management vendors employed: Survivor support</t>
  </si>
  <si>
    <t>Other care management vendors employed: Survivor support</t>
  </si>
  <si>
    <t>Care management vendors employed: Long-term care</t>
  </si>
  <si>
    <t>Other care management vendors employed: Long-term care</t>
  </si>
  <si>
    <t>Care management vendors employed: Family support</t>
  </si>
  <si>
    <t>Other care management vendors employed: Family support</t>
  </si>
  <si>
    <t>Care management vendors employed: Eldercare</t>
  </si>
  <si>
    <t>Other care management vendors employed: Eldercare</t>
  </si>
  <si>
    <t>Care management vendors employed: Childcare</t>
  </si>
  <si>
    <t>Other care management vendors employed: Childcare</t>
  </si>
  <si>
    <t>Care management vendors employed: Back-up care</t>
  </si>
  <si>
    <t>Other care management vendors employed: Back-up care</t>
  </si>
  <si>
    <t>Care management vendors employed: Critical illness</t>
  </si>
  <si>
    <t>Other care management vendors employed: Critical illness</t>
  </si>
  <si>
    <t>Care management vendor(s) terminated in 2021</t>
  </si>
  <si>
    <t>Terminated care management vendors: Survivor support</t>
  </si>
  <si>
    <t>Terminated care management vendors: Long-term care</t>
  </si>
  <si>
    <t>Terminated care management vendors: Family support</t>
  </si>
  <si>
    <t>Terminated care management vendors: Eldercare</t>
  </si>
  <si>
    <t>Terminated care management vendors: Childcare</t>
  </si>
  <si>
    <t>Terminated care management vendors: Back-up care</t>
  </si>
  <si>
    <t>Terminated care management vendors: Critical illness</t>
  </si>
  <si>
    <t>Medical administration/support vendors employed: Enrollment administration</t>
  </si>
  <si>
    <t>Other medical administration/support vendors employed: Enrollment administration</t>
  </si>
  <si>
    <t>Medical administration/support vendors employed: Eligibility administration</t>
  </si>
  <si>
    <t>Other medical administration/support vendors employed: Eligibility administration</t>
  </si>
  <si>
    <t>Medical administration/support vendors employed: Premium payment reconciliation</t>
  </si>
  <si>
    <t>Other medical administration/support vendors employed: Premium payment reconciliation</t>
  </si>
  <si>
    <t>Medical administration/support vendors employed: Premium payment</t>
  </si>
  <si>
    <t>Other medical administration/support vendors employed: Premium payment</t>
  </si>
  <si>
    <t>Medical administration/support vendors employed: Benefit call center/member support</t>
  </si>
  <si>
    <t>Other medical administration/support vendors employed: Benefit call center/member support</t>
  </si>
  <si>
    <t>Medical administration/support vendor(s) terminated in 2021</t>
  </si>
  <si>
    <t>Terminated medical administration/support vendors: Enrollment administration</t>
  </si>
  <si>
    <t>Terminated medical administration/support vendors: Eligibility administration</t>
  </si>
  <si>
    <t>Terminated medical administration/support vendors: Premium payment reconciliation</t>
  </si>
  <si>
    <t>Terminated medical administration/support vendors: Premium payment</t>
  </si>
  <si>
    <t>Terminated medical administration/support vendors: Benefit call center/member support</t>
  </si>
  <si>
    <t>Administration &amp; auditing vendors employed: Health savings account (HSA) administration</t>
  </si>
  <si>
    <t>Other administration &amp; auditing vendors employed: Health savings account (HSA) administration</t>
  </si>
  <si>
    <t>Administration &amp; auditing vendors employed: Flexible spending account (FSA) administration</t>
  </si>
  <si>
    <t>Other administration &amp; auditing vendors employed: Flexible spending account (FSA) administration</t>
  </si>
  <si>
    <t>Administration &amp; auditing vendors employed: COBRA administration</t>
  </si>
  <si>
    <t>Other administration &amp; auditing vendors employed: COBRA administration</t>
  </si>
  <si>
    <t>Administration &amp; auditing vendors employed: Health plan auditors</t>
  </si>
  <si>
    <t>Other administration &amp; auditing vendors employed: Health plan auditors</t>
  </si>
  <si>
    <t>Administration &amp; auditing vendors employed: 401(k) plan auditors</t>
  </si>
  <si>
    <t>Other administration &amp; auditing vendors employed: 401(k) plan auditors</t>
  </si>
  <si>
    <t>Administration &amp; auditing vendors employed: Disability plan auditors</t>
  </si>
  <si>
    <t>Other administration &amp; auditing vendors employed: Disability plan auditors</t>
  </si>
  <si>
    <t>Administration &amp; auditing vendors employed: Pre-tax commuter/parking administration</t>
  </si>
  <si>
    <t>Other administration &amp; auditing vendors employed: Pre-tax commuter/parking administration</t>
  </si>
  <si>
    <t>Administration &amp; auditing vendors employed: COBRA and retiree enrollment assistance</t>
  </si>
  <si>
    <t>Other administration &amp; auditing vendors employed: COBRA and retiree enrollment assistance</t>
  </si>
  <si>
    <t>Administration &amp; auditing vendor(s) terminated in 2021</t>
  </si>
  <si>
    <t>Terminated administration &amp; auditing vendors: Health savings account (HSA) administration</t>
  </si>
  <si>
    <t>Terminated administration &amp; auditing vendors: Flexible spending account (FSA) administration</t>
  </si>
  <si>
    <t>Terminated administration &amp; auditing vendors: COBRA administration</t>
  </si>
  <si>
    <t>Terminated administration &amp; auditing vendors: Health plan auditors</t>
  </si>
  <si>
    <t>Terminated administration &amp; auditing vendors: 401(k) plan auditors</t>
  </si>
  <si>
    <t>Terminated administration &amp; auditing vendors: Disability plan auditors</t>
  </si>
  <si>
    <t>Terminated administration &amp; auditing vendors: Pre-tax commuter/parking administration</t>
  </si>
  <si>
    <t>Terminated administration &amp; auditing vendors: COBRA and retiree enrollment assistance</t>
  </si>
  <si>
    <t>Insurance/support vendors employed: Life/AD&amp;D</t>
  </si>
  <si>
    <t>Other insurance/support vendors employed: Life/AD&amp;D</t>
  </si>
  <si>
    <t>Insurance/support vendors employed: Business travel accident (BTA)</t>
  </si>
  <si>
    <t>Other insurance/support vendors employed: Business travel accident (BTA)</t>
  </si>
  <si>
    <t>Insurance/support vendors employed: Short-term disability (STD)</t>
  </si>
  <si>
    <t>Other insurance/support vendors employed: Short-term disability (STD)</t>
  </si>
  <si>
    <t>Insurance/support vendors employed: Disability claims administrator</t>
  </si>
  <si>
    <t>Other insurance/support vendors employed: Disability claims administrator</t>
  </si>
  <si>
    <t>Insurance/support vendors employed: Disability management (STD and LTD)</t>
  </si>
  <si>
    <t>Other insurance/support vendors employed: Disability management (STD and LTD)</t>
  </si>
  <si>
    <t>Insurance/support vendors employed: Long-term disability carrier/administrator</t>
  </si>
  <si>
    <t>Other insurance/support vendors employed: Long-term disability carrier/administrator</t>
  </si>
  <si>
    <t>Insurance/support vendors employed: Workers compensation</t>
  </si>
  <si>
    <t>Other insurance/support vendors employed: Workers compensation</t>
  </si>
  <si>
    <t>Insurance/support vendor(s) terminated in 2021</t>
  </si>
  <si>
    <t>Terminated insurance/support vendors: Life/AD&amp;D</t>
  </si>
  <si>
    <t>Terminated insurance/support vendors: Business travel accident (BTA)</t>
  </si>
  <si>
    <t>Terminated insurance/support vendors: Short-term disability (STD)</t>
  </si>
  <si>
    <t>Terminated insurance/support vendors: Disability claims administrator</t>
  </si>
  <si>
    <t>Terminated insurance/support vendors: Disability management (STD and LTD)</t>
  </si>
  <si>
    <t>Terminated insurance/support vendors: Long-term disability carrier/administrator</t>
  </si>
  <si>
    <t>Terminated insurance/support vendors: Workers compensation</t>
  </si>
  <si>
    <t>Retirement solutions vendors employed: 401(k) plan recordkeeper/administrator</t>
  </si>
  <si>
    <t>Other retirement solutions vendors employed: 401(k) plan recordkeeper/administrator</t>
  </si>
  <si>
    <t>Retirement solutions vendors employed: Non-qualified deferred compensation (NQDC) recordkeeper/administrator</t>
  </si>
  <si>
    <t>Other retirement solutions vendors employed: Non-qualified deferred compensation (NQDC) recordkeeper/administrator</t>
  </si>
  <si>
    <t>Retirement solutions vendors employed: Non-qualified deferred compensation (NQDC) trustee</t>
  </si>
  <si>
    <t>Other retirement solutions vendors employed: Non-qualified deferred compensation (NQDC) trustee</t>
  </si>
  <si>
    <t>Retirement solutions vendors employed: Online retirement education/calculator</t>
  </si>
  <si>
    <t>Other retirement solutions vendors employed: Online retirement education/calculator</t>
  </si>
  <si>
    <t>Retirement solutions vendors employed: Live group setting retirement education</t>
  </si>
  <si>
    <t>Other retirement solutions vendors employed: Live group setting retirement education</t>
  </si>
  <si>
    <t>Retirement solutions vendors employed: Personal retirement education</t>
  </si>
  <si>
    <t>Other retirement solutions vendors employed: Personal retirement education</t>
  </si>
  <si>
    <t>Retirement solutions vendors employed: Section 529 plan</t>
  </si>
  <si>
    <t>Other retirement solutions vendors employed: Section 529 plan</t>
  </si>
  <si>
    <t>Retirement solution vendor(s) terminated in 2021</t>
  </si>
  <si>
    <t>Terminated retirement solutions vendors: 401(k) plan recordkeeper/administrator</t>
  </si>
  <si>
    <t>Terminated retirement solutions vendors: Non-qualified deferred compensation (NQDC) recordkeeper/administrator</t>
  </si>
  <si>
    <t>Terminated retirement solutions vendors: Non-qualified deferred compensation (NQDC) trustee</t>
  </si>
  <si>
    <t>Terminated retirement solutions vendors: Online retirement education/calculator</t>
  </si>
  <si>
    <t>Terminated retirement solutions vendors: Live group setting retirement education</t>
  </si>
  <si>
    <t>Terminated retirement solutions vendors: Personal retirement education</t>
  </si>
  <si>
    <t>Terminated retirement solutions vendors: Section 529 plan</t>
  </si>
  <si>
    <t>Voluntary vendors employed: Group auto and home insurance</t>
  </si>
  <si>
    <t>Other voluntary vendors employed: Group auto and home insurance</t>
  </si>
  <si>
    <t>Voluntary vendors employed: Group legal insurance</t>
  </si>
  <si>
    <t>Other voluntary vendors employed: Group legal insurance</t>
  </si>
  <si>
    <t>Voluntary vendors employed: Pet insurance</t>
  </si>
  <si>
    <t>Other voluntary vendors employed: Pet insurance</t>
  </si>
  <si>
    <t>Voluntary vendors employed: Tuition reimbursement</t>
  </si>
  <si>
    <t>Other voluntary vendors employed: Tuition reimbursement</t>
  </si>
  <si>
    <t>Voluntary vendors employed: Student debt/loan repayment</t>
  </si>
  <si>
    <t>Other voluntary vendors employed: Student debt/loan repayment</t>
  </si>
  <si>
    <t>Voluntary vendors employed: Relocation services</t>
  </si>
  <si>
    <t>Other voluntary vendors employed: Relocation services</t>
  </si>
  <si>
    <t>Voluntary vendors employed: Service awards</t>
  </si>
  <si>
    <t>Other voluntary vendors employed: Service awards</t>
  </si>
  <si>
    <t>Voluntary vendors employed: Perks/discounts</t>
  </si>
  <si>
    <t>Other voluntary vendors employed: Perks/discounts</t>
  </si>
  <si>
    <t>Voluntary vendors employed: Matching gifts</t>
  </si>
  <si>
    <t>Other voluntary vendors employed: Matching gifts</t>
  </si>
  <si>
    <t>Voluntary vendor(s) terminated in 2021</t>
  </si>
  <si>
    <t>Terminated voluntary vendors: Group auto and home insurance</t>
  </si>
  <si>
    <t>Terminated voluntary vendors: Group legal insurance</t>
  </si>
  <si>
    <t>Terminated voluntary vendors: Pet insurance</t>
  </si>
  <si>
    <t>Terminated voluntary vendors: Tuition reimbursement</t>
  </si>
  <si>
    <t>Terminated voluntary vendors: Student debt/loan repayment</t>
  </si>
  <si>
    <t>Terminated voluntary vendors: Relocation services</t>
  </si>
  <si>
    <t>Terminated voluntary vendors: Service awards</t>
  </si>
  <si>
    <t>Terminated voluntary vendors: Perks/discounts</t>
  </si>
  <si>
    <t>Terminated voluntary vendors: Matching gifts</t>
  </si>
  <si>
    <t>On-site convenience service vendors employed: On-site ATM/credit union</t>
  </si>
  <si>
    <t>Other on-site convenience service vendors employed: On-site ATM/credit union</t>
  </si>
  <si>
    <t>On-site convenience service vendors employed: On-site car services</t>
  </si>
  <si>
    <t>Other on-site convenience service vendors employed: On-site car services</t>
  </si>
  <si>
    <t>On-site convenience service vendors employed: On-site dry cleaning</t>
  </si>
  <si>
    <t>Other on-site convenience service vendors employed: On-site dry cleaning</t>
  </si>
  <si>
    <t>On-site convenience service vendors employed: On-site chair massages</t>
  </si>
  <si>
    <t>Other on-site convenience service vendors employed: On-site chair massages</t>
  </si>
  <si>
    <t>On-site convenience service vendors employed: Cafeteria, food carts, fruits/veg</t>
  </si>
  <si>
    <t>Other on-site convenience service vendors employed: Cafeteria, food carts, fruits/veg</t>
  </si>
  <si>
    <t>On-site convenience service vendors employed: On-site mail/shipping service</t>
  </si>
  <si>
    <t>Other on-site convenience service vendors employed: On-site mail/shipping service</t>
  </si>
  <si>
    <t>On-site convenience service vendors employed: Concierge services/leisure travel</t>
  </si>
  <si>
    <t>Other on-site convenience service vendors employed: Concierge services/leisure travel</t>
  </si>
  <si>
    <t>On-site convenience service vendors employed: On-site hair salon</t>
  </si>
  <si>
    <t>Other on-site convenience service vendors employed: On-site hair salon</t>
  </si>
  <si>
    <t>On-site convenience service vendor(s) terminated in 2021</t>
  </si>
  <si>
    <t>Services going to bid in 2022</t>
  </si>
  <si>
    <t>401(k) minimum employment service duration eligibility requirement</t>
  </si>
  <si>
    <t>401(k) eligibility: Minimum employment service  requirements</t>
  </si>
  <si>
    <t>401(k) eligibility: Minimum age requirement</t>
  </si>
  <si>
    <t>401(k) eligibility: Minimum age in years</t>
  </si>
  <si>
    <t>401(k) eligibility: Individuals eligible to participate</t>
  </si>
  <si>
    <t>401(k): Plan's maximum pre-tax deferral percentage for catch-up ineligible employees</t>
  </si>
  <si>
    <t>401(k): Plan's maximum pre-tax deferral percentage for catch-up eligible employees</t>
  </si>
  <si>
    <t>401(k): HCE participation percentage</t>
  </si>
  <si>
    <t>401(k): NHCE participation percentage</t>
  </si>
  <si>
    <t>401(k): Combined HCE and NHCE participation percentage</t>
  </si>
  <si>
    <t>401(k): HCE deferral percentage</t>
  </si>
  <si>
    <t>401(k): NHCE deferral percentage</t>
  </si>
  <si>
    <t>401(k): Combined HCE and NHCE deferral percentage</t>
  </si>
  <si>
    <t>401(k): Roth after-tax deferrals/maximum percentage/HCE</t>
  </si>
  <si>
    <t>401(k): Roth after-tax deferrals/maximum percentage/non-HCE</t>
  </si>
  <si>
    <t>401(k): Auto-enrollment provision in plan</t>
  </si>
  <si>
    <t>401(k): Auto-enrollment provision/contribution percentage</t>
  </si>
  <si>
    <t>401(k): Auto-increase provision in plan</t>
  </si>
  <si>
    <t>401(k):  Auto-increase provision/increase percentage</t>
  </si>
  <si>
    <t>401(k): Maximum auto-increase percentage</t>
  </si>
  <si>
    <t>401(k): Company designated default investment</t>
  </si>
  <si>
    <t>401(k): Other company designated default investment</t>
  </si>
  <si>
    <t>401(k): Auto-investment rebalance provision in plan</t>
  </si>
  <si>
    <t>401(k): Preferred practice with acquired company's plan</t>
  </si>
  <si>
    <t>401(k): Termination of acquired company's plan/file form 5310 practice</t>
  </si>
  <si>
    <t>401(k): Discrimination test refunds or limits on deferrals/company activity</t>
  </si>
  <si>
    <t>401(k): Total market value</t>
  </si>
  <si>
    <t>401(k): Match offered in plan</t>
  </si>
  <si>
    <t>401(k): Changes to company match in 2021</t>
  </si>
  <si>
    <t>401(k): Company match changes made</t>
  </si>
  <si>
    <t>401(k): Company match contribution model</t>
  </si>
  <si>
    <t>401(k): Company match offering/contribution model based on years of service</t>
  </si>
  <si>
    <t>401(k): length of service required for match eligibility</t>
  </si>
  <si>
    <t>401(k) company match for employees who contribute to plan: Pre-tax</t>
  </si>
  <si>
    <t>401(k) company match for employees who contribute to plan: Pre-tax, catch-up</t>
  </si>
  <si>
    <t>401(k): Company match formula</t>
  </si>
  <si>
    <t>401(k) match: Maximum company contribution</t>
  </si>
  <si>
    <t>401(k) plan: Eligible employee compensation</t>
  </si>
  <si>
    <t>401(k): Company maximizes employee match via true up</t>
  </si>
  <si>
    <t>401(k): Company maximizes employee match via true up/frequency</t>
  </si>
  <si>
    <t>401(k): Company match vesting method</t>
  </si>
  <si>
    <t>401(k) plan: Performance based profit sharing contributions</t>
  </si>
  <si>
    <t>401(k) plan: Revenue share captured</t>
  </si>
  <si>
    <t>401(k) plan: Captured revenue share/utilization by company</t>
  </si>
  <si>
    <t>401(k) plan: Company's average expense ratio</t>
  </si>
  <si>
    <t>401(k) plan fees payment responsibility: Plan admin - active employees</t>
  </si>
  <si>
    <t>401(k) plan fees payment responsibility: Plan admin - terminated employees</t>
  </si>
  <si>
    <t>401(k) plan fees payment responsibility: Support costs (legal, audit, consulting)</t>
  </si>
  <si>
    <t>401(k) plan fees payment responsibility: Loans</t>
  </si>
  <si>
    <t>401(k) plan fees payment responsibility: Hardship withdrawals</t>
  </si>
  <si>
    <t>401(k) plan fees payment responsibility: QRDO fees</t>
  </si>
  <si>
    <t>401(k) plan fees payment responsibility: Managed accounts</t>
  </si>
  <si>
    <t>401(k) plan fees payment responsibility: Personal financial advice</t>
  </si>
  <si>
    <t>401(k) plan: Loan provision</t>
  </si>
  <si>
    <t>401(k) plan: Loan provision/number of outstanding loans allowed</t>
  </si>
  <si>
    <t>401(k) plan: Loan provision/loan payment continuation upon employment termination</t>
  </si>
  <si>
    <t>401(k) plan: Investment fund types available in plan</t>
  </si>
  <si>
    <t>401(k) plan: Additional investment fund types offered</t>
  </si>
  <si>
    <t>401(k) plan: Investments/number per fund type: Commingled</t>
  </si>
  <si>
    <t>401(k) plan: Investments/number per fund type: Separate accounts</t>
  </si>
  <si>
    <t>401(k) plan: Investments/number per fund type: Money market</t>
  </si>
  <si>
    <t>401(k) plan: Investments/number per fund type: Stable value</t>
  </si>
  <si>
    <t>401(k) plan: Investments/number per fund type: Fixed income: low duration</t>
  </si>
  <si>
    <t>401(k) plan: Investments/number per fund type: Fixed income: bond index</t>
  </si>
  <si>
    <t>401(k) plan: Investments/number per fund type: Fixed income: total return</t>
  </si>
  <si>
    <t>401(k) plan: Investments/number per fund type: Fixed income: high yield</t>
  </si>
  <si>
    <t>401(k) plan: Investments/number per fund type: Company stock</t>
  </si>
  <si>
    <t>401(k) plan: Investments/number per fund type: Inflation protected security</t>
  </si>
  <si>
    <t>401(k) plan: Investments/number per fund type: Commodities</t>
  </si>
  <si>
    <t>401(k) plan: Investments/number per fund type: Real estate</t>
  </si>
  <si>
    <t>401(k) plan: Investments/number per fund type: Energy</t>
  </si>
  <si>
    <t>401(k) plan: Investments/number per fund type: Hedge fund</t>
  </si>
  <si>
    <t>401(k) plan: Investments/number per fund type: Private equity</t>
  </si>
  <si>
    <t>401(k) plan: Investments/number per fund type: Large cap blend</t>
  </si>
  <si>
    <t>401(k) plan: Investments/number per fund type: Large cap index</t>
  </si>
  <si>
    <t>401(k) plan: Investments/number per fund type: Large cap value</t>
  </si>
  <si>
    <t>401(k) plan: Investments/number per fund type: Mid cap blend</t>
  </si>
  <si>
    <t>401(k) plan: Investments/number per fund type: Mid cap index</t>
  </si>
  <si>
    <t>401(k) plan: Investments/number per fund type: Mid cap value</t>
  </si>
  <si>
    <t>401(k) plan: Investments/number per fund type: Mid cap growth</t>
  </si>
  <si>
    <t>401(k) plan: Investments/number per fund type: Small cap blend</t>
  </si>
  <si>
    <t>401(k) plan: Investments/number per fund type: Small cap index</t>
  </si>
  <si>
    <t>401(k) plan: Investments/number per fund type: Small cap value</t>
  </si>
  <si>
    <t>401(k) plan: Investments/number per fund type: Small cap growth</t>
  </si>
  <si>
    <t>401(k) plan: Investments/number per fund type: International cap blend</t>
  </si>
  <si>
    <t>401(k) plan: Investments/number per fund type: International cap index</t>
  </si>
  <si>
    <t>401(k) plan: Investments/number per fund type: International cap value</t>
  </si>
  <si>
    <t>401(k) plan: Investments/number per fund type: International cap growth</t>
  </si>
  <si>
    <t>401(k) plan: Investments/number per fund type: International small cap</t>
  </si>
  <si>
    <t>401(k) plan: Investments/number per fund type: Emerging markets</t>
  </si>
  <si>
    <t>401(k) plan: Investments/number per fund type: Global</t>
  </si>
  <si>
    <t>401(k) plan: Investments/number per fund type: Balanced</t>
  </si>
  <si>
    <t>401(k) plan: Investments/number per fund type: Age based retirement funds</t>
  </si>
  <si>
    <t>401(k) plan: Investments/number per fund type: Target date retirement funds</t>
  </si>
  <si>
    <t>401(k) plan: Investments/number per fund type: Risk based asset allocation funds</t>
  </si>
  <si>
    <t>401(k) plan: Investments/number per fund type: Socially responsible</t>
  </si>
  <si>
    <t>401(k) plan: Investments/number per fund type: Cryptocurrencies</t>
  </si>
  <si>
    <t>401(k) plan: Investments/number per fund type: Other</t>
  </si>
  <si>
    <t>401(k) plan investment fund types: Separate accounts offering</t>
  </si>
  <si>
    <t>401(k) plan investment fund types: Self-directed account offering</t>
  </si>
  <si>
    <t>401(k) plan: Self-directed account investment restrictions: Commodities</t>
  </si>
  <si>
    <t>401(k) plan: Self-directed account investment restrictions: Company stock</t>
  </si>
  <si>
    <t>401(k) plan: Self-directed account investment restrictions: Futures</t>
  </si>
  <si>
    <t>401(k) plan: Self-directed account investment restrictions: Options</t>
  </si>
  <si>
    <t>401(k) plan: Self-directed account investment restrictions: Tax exempt securities</t>
  </si>
  <si>
    <t>401(k) plan: Self-directed account investment restrictions: Precious metals</t>
  </si>
  <si>
    <t>401(k) plan: Self-directed account investment restrictions: Limited partnerships</t>
  </si>
  <si>
    <t>401(k) plan: Self-directed account investment restrictions: Currency</t>
  </si>
  <si>
    <t>401(k) plan: Self-directed account investment restrictions: Caps</t>
  </si>
  <si>
    <t>401(k) plan: Self-directed account investment restrictions: Competitors stock</t>
  </si>
  <si>
    <t>401(k) plan: Self-directed account investment restrictions: Only mutual funds</t>
  </si>
  <si>
    <t>401(k) plan: Self-directed account investment restrictions: ETFs</t>
  </si>
  <si>
    <t>401(k) plan: Self-directed account investment restrictions: Cryptocurrencies</t>
  </si>
  <si>
    <t>401(k) plan: Self-directed account investment restrictions: Other</t>
  </si>
  <si>
    <t>401(k) plan: Investment fund types/self-directed account/additional investment offerings</t>
  </si>
  <si>
    <t>401(k) plan: Investment fund types/managed accounts offering</t>
  </si>
  <si>
    <t>401(k) plan: Personalized financial advice offering</t>
  </si>
  <si>
    <t>401(k) plan: Personalized retirement planning services: One on one counseling</t>
  </si>
  <si>
    <t>401(k) plan: Personalized retirement planning services: Group sessions</t>
  </si>
  <si>
    <t>401(k) plan: Personalized retirement planning services: Self-service/online education</t>
  </si>
  <si>
    <t>401(k) plan: Personalized retirement planning services: Online tools/calculators</t>
  </si>
  <si>
    <t>401(k) plan: Personalized retirement planning services: 401(k) plan deferral amount and investment advice</t>
  </si>
  <si>
    <t>401(k) plan: Personalized retirement planning services: Retirement/medical care options</t>
  </si>
  <si>
    <t>Offer student loan assistance payments in lieu of company 401(k) matching contributions</t>
  </si>
  <si>
    <t>Date period used to complete 401(k)</t>
  </si>
  <si>
    <t>Primary medical plan: Benefit status: Non-emergency care outside of the US</t>
  </si>
  <si>
    <t>1 - 35</t>
  </si>
  <si>
    <t>.</t>
  </si>
  <si>
    <t>Fortune's Best Place to Work, Working Mothers,Other</t>
  </si>
  <si>
    <t>Fortune's Best Place to Work, Corporate Equality Index of the Human Rights Campaign</t>
  </si>
  <si>
    <t>Fortune's Best Place to Work, Corporate Equality Index of the Human Rights Campaign,Other</t>
  </si>
  <si>
    <t>Fortune's Best Place to Work, Corporate Equality Index of the Human Rights Campaign,Working Mothers,Other</t>
  </si>
  <si>
    <t>Fortune's Best Place to Work, Working Mothers,Diversity Inc.</t>
  </si>
  <si>
    <t>Fortune's Best Place to Work, Corporate Equality Index of the Human Rights Campaign,Working Mothers,World's Most Ethical Company</t>
  </si>
  <si>
    <t>Fortune's Best Place to Work, Corporate Equality Index of the Human Rights Campaign,Working Mothers</t>
  </si>
  <si>
    <t>Fortune's Best Place to Work, Corporate Equality Index of the Human Rights Campaign,World's Most Ethical Company</t>
  </si>
  <si>
    <t>Diabetes,Heart disease, Musculoskeletal</t>
  </si>
  <si>
    <t>Cancer,Diabetes,Heart disease, Musculoskeletal</t>
  </si>
  <si>
    <t>Cancer,Diabetes,Heart disease, Pregnancy - high risk,Pregnancy - routine,Other</t>
  </si>
  <si>
    <t>Cancer,Diabetes,Musculoskeletal, Other</t>
  </si>
  <si>
    <t>Diabetes,Pregnancy - high risk, Pregnancy - routine,Other</t>
  </si>
  <si>
    <t>Cancer,Pregnancy - routine, Musculoskeletal</t>
  </si>
  <si>
    <t>Cancer,Heart disease,Pregnancy - high risk,Pregnancy - routine, Musculoskeletal,Other</t>
  </si>
  <si>
    <t>Heart disease,Musculoskeletal, Other</t>
  </si>
  <si>
    <t>Pregnancy - routine, Musculoskeletal,Other</t>
  </si>
  <si>
    <t>Cancer,Pregnancy - high risk, Pregnancy - routine</t>
  </si>
  <si>
    <t>Cancer,Pregnancy - high risk, Pregnancy - routine, Musculoskeletal</t>
  </si>
  <si>
    <t>Cancer,Diabetes,Heart disease, Pregnancy - high risk,Pregnancy - routine,Musculoskeletal,Obesity</t>
  </si>
  <si>
    <t>Cancer,Infertility,Pregnancy - high risk,Pregnancy - routine, Musculoskeletal,Other</t>
  </si>
  <si>
    <t>Diabetes,Pregnancy - routine, Musculoskeletal</t>
  </si>
  <si>
    <t>Cancer,Heart disease, Musculoskeletal,Other</t>
  </si>
  <si>
    <t>Cancer,Pregnancy - high risk,Pregnancy - routine, Musculoskeletal,Other</t>
  </si>
  <si>
    <t>Cancer,Pregnancy - high risk, Musculoskeletal,Other</t>
  </si>
  <si>
    <t>Arthritis,Autism,Cancer,Diabetes, Pregnancy - high risk,Pregnancy - routine,Musculoskeletal</t>
  </si>
  <si>
    <t>Cancer,Heart disease,Infertility, Pregnancy - routine, Musculoskeletal</t>
  </si>
  <si>
    <t>Diabetes,Heart disease, Pregnancy - high risk, Pregnancy - routine, Musculoskeletal</t>
  </si>
  <si>
    <t>Cancer,Diabetes,Heart disease, Pregnancy - high risk,Pregnancy - routine,Musculoskeletal</t>
  </si>
  <si>
    <t>Inflammatory Conditions (arthritis, colitis, Crohn's, etc.)</t>
  </si>
  <si>
    <t>Cancer,Pregnancy - high risk, Musculoskeletal</t>
  </si>
  <si>
    <t>Cancer,Infertility,Pregnancy - high risk,Pregnancy - routine, Musculoskeletal</t>
  </si>
  <si>
    <t>Cancer,Pregnancy - high risk, Pregnancy - routine, Musculoskeletal,Other</t>
  </si>
  <si>
    <t>Cancer,Diabetes,Heart disease, Pregnancy - routine, Musculoskeletal</t>
  </si>
  <si>
    <t>Arthritis,Diabetes,Heart disease, Musculoskeletal</t>
  </si>
  <si>
    <t>Cancer,Heart disease, Musculoskeletal</t>
  </si>
  <si>
    <t>Cancer,Pregnancy - high risk,Pregnancy - routine, Musculoskeletal</t>
  </si>
  <si>
    <t>Cancer,Diabetes,Pregnancy - high risk,Pregnancy - routine, Musculoskeletal,Obesity</t>
  </si>
  <si>
    <t>Autism,Cancer,Diabetes,Heart disease,Pregnancy - high risk,Pregnancy - routine, Musculoskeletal</t>
  </si>
  <si>
    <t>Cancer,Heart disease,Infertility, Pregnancy - high risk,Pregnancy - routine,Musculoskeletal</t>
  </si>
  <si>
    <t>Pregnancy - routine, Musculoskeletal</t>
  </si>
  <si>
    <t>Cancer,Diabetes,Heart disease, Musculoskeletal,Other</t>
  </si>
  <si>
    <t>Depression,Eating disorders, Substance abuse and addiction</t>
  </si>
  <si>
    <t>Anxiety and panic disorders, Depression,Other</t>
  </si>
  <si>
    <t>Anxiety and panic disorders, Depression,Substance abuse and addiction</t>
  </si>
  <si>
    <t>Anxiety and panic disorders, Depression</t>
  </si>
  <si>
    <t>Anxiety and panic disorders, Depression,Eating disorders, Substance abuse and addiction</t>
  </si>
  <si>
    <t>Anxiety and panic disorders, Substance abuse and addiction</t>
  </si>
  <si>
    <t>Anxiety and panic disorders, Depression,Eating disorders, Substance abuse and addiction,Other</t>
  </si>
  <si>
    <t>Anxiety and panic disorders, Depression,Eating disorders, Substance abuse and addiction, Other</t>
  </si>
  <si>
    <t>Anxiety and panic disorders, Depression,Substance abuse and addiction,Other</t>
  </si>
  <si>
    <t>Substance abuse and addiction, Other</t>
  </si>
  <si>
    <t>Anxiety and panic disorders, Depression,Eating disorders,Other</t>
  </si>
  <si>
    <t>Communications,Compliance, Wellness</t>
  </si>
  <si>
    <t>Communications,Compliance, Wellness,Other</t>
  </si>
  <si>
    <t>Full-time employees,Part-time employees,Interns or students, Other</t>
  </si>
  <si>
    <t>Waive or opt out,Employee only,Employee + spouse or domestic partner,Employee + 1 child,Employee + 2 children, Employee + 3 children,Family (employee + spouse or domestic partner + dependent) with 1 child, Family (employee + spouse or domestic partner + dependent) with 2 children,Family (employee + spouse or domestic partner + dependent) with 3 children</t>
  </si>
  <si>
    <t>Waive or opt out,Employee only,Employee + spouse or domestic partner,Employee + 1 child,Employee + 2 children, Employee + 3 children,Family (employee + spouse or domestic partner + dependent) with 1 child,Family (employee + spouse or domestic partner + dependent) with 2 children,Family (employee + spouse or domestic partner + dependent) with 3 children</t>
  </si>
  <si>
    <t>401(k),Basic (company-paid) short-term disability,Basic long-term disability,Company discount programs,Dependent medical coverage option,Emotional wellbeing program (separate from EAP), Employee assistance program (EAP),Employee recognition,Employee stock purchase plan (ESPP),Employer match to 401(k),Fitness center participation,Paid holidays,Paid jury duty,Paid military leave,Paid sick days,Patent awards,Seeded health savings account (HSA),Self-insured high deductible health plan (HDHP),Self-insured medical coverage,Service awards,Wellness incentives participation</t>
  </si>
  <si>
    <t>401(k),Basic long-term disability,Company discount programs,Dependent medical coverage option,Employee assistance program (EAP),Employee recognition,Employee stock purchase plan (ESPP),Employer match to 401(k),Fitness center participation,Fully insured medical coverage option, Laundry / dry cleaning services,Paid holidays,Paid jury duty,Paid military leave,Paid sick days,Patent awards,Seeded health savings account (HSA),Self-insured high deductible health plan (HDHP),Self-insured medical coverage,Service awards,Working remotely stipend</t>
  </si>
  <si>
    <t>401(k),Basic (company-paid) short-term disability,Basic long-term disability,Company discount programs, Dependent medical coverage option,Employee assistance program (EAP),Employee recognition,Employee stock purchase plan (ESPP),Employer match to 401(k),Fitness center participation,Free food,Fully insured medical coverage option,Paid holidays,Paid jury duty,Paid military leave,Paid sick days,Patent awards, Seeded health savings account (HSA),Self-insured high deductible health plan (HDHP),Self-insured medical coverage,Service awards,Wellness incentives participation,Working remotely stipend</t>
  </si>
  <si>
    <t>401(k),Basic (company-paid) short-term disability,Basic long-term disability,Company discount programs,Dependent medical coverage option,Emotional wellbeing program
(separate from EAP), Employee assistance program (EAP),Employee recognition,Employee stock purchase plan (ESPP),Employer match to 401(k),Fitness center participation,Fully insured medical coverage option,Paid holidays,Paid jury duty,Paid military leave,Paid sick days,Patent awards,Seeded health savings account (HSA),Self-insured high deductible health plan (HDHP),Self-insured medical coverage,Supplemental long-term disability,Wellness incentives participation,Working remotely stipend</t>
  </si>
  <si>
    <t>401(k),Basic (company-paid) short-term disability,Basic long-term disability,Company discount programs,Dependent medical coverage option,Emotional wellbeing program (separate from EAP), Employee assistance program (EAP),Employee recognition,Employee stock purchase plan (ESPP),Employer match to 401(k),Free food,Fully insured medical coverage option,Online therapy (e.g., Talkspace),Paid holidays,Paid jury duty,Paid military leave,Paid sick days,Seeded health savings account (HSA),Self-insured high deductible health plan (HDHP),Self-insured medical coverage,Service awards,Supplemental long-term disability,Supplemental short-term disability,Wellness incentives participation</t>
  </si>
  <si>
    <t>401(k),Basic long-term disability,Commuter shuttle services,Company discount programs,Dependent medical coverage option,Emotional wellbeing program (separate from EAP),Employee assistance program (EAP), Employee recognition,Employee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coverage,Supplemental short-term disability,Wellness incentives participation,Working remotely stipend</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</si>
  <si>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military leave,Paid sick days,Patent awards,Seeded health savings account (HSA),Self-insured high deductible health plan (HDHP),Self-insured medical coverage,Service awards,Supplemental long-term disability,Wellness incentives participation,Working remotely stipend</t>
  </si>
  <si>
    <t>401(k),Basic long-term disability,Company discount programs,Dependent medical coverage option, Employee assistance program (EAP),Employee recognition,Employer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awards,Supplemental long-term disability,Wellness incentives participation</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</si>
  <si>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option,Online therapy (e.g., Talkspace),Paid holidays,Paid jury duty,Paid military leave,Paid sick days,Patent awards,Seeded health savings account (HSA),Self-insured high deductible health plan (HDHP),Self-insured medical coverage,Wellness incentives participation</t>
  </si>
  <si>
    <t>401(k),Basic (company-paid) short-term disability,Basic long-term disability,Company discount programs,Dependent medical coverage option,Emotional wellbeing program (separate from EAP),Employee assistance program (EAP),Employee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coverage,Supplemental long-term disability,Wellness incentives participation,Working remotely stipend</t>
  </si>
  <si>
    <t>401(k),Basic (company-paid) short-term disability,Basic long-term disability,Company discount programs,Dependent medical coverage option,Emotional wellbeing program (separate from EAP),Employee assistance program (EAP),Employee recognition,Employee stock purchase plan (ESPP),Fitness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awards,Supplemental short-term disability,Working remotely stipend</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</si>
  <si>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coverage,Wellness incentives participation,Working remotely stipend</t>
  </si>
  <si>
    <t>401(k),Basic (company-paid) short-term disability,Basic long-term disability,Company discount programs,Dependent medical coverage option,Emotional wellbeing program (separate from EAP),Employee assistance program (EAP),Employee recognition,Employee stock purchase plan (ESPP),Employer match to 401(k),Paid holidays,Paid jury duty,Paid military leave,Paid sick days,Patent awards,Seeded health savings account (HSA),Self-insured high deductible health plan (HDHP),Self-insured medical coverage,Service awards,Supplemental short-term disability,Working remotely stipend</t>
  </si>
  <si>
    <t>401(k),Company discount programs,Dependent medical coverage option,Emotional wellbeing program (separate from EAP),Employee assistance program (EAP),Employee stock purchase plan (ESPP), Employer match to 401(k),Fitness center participation,Paid holidays,Paid jury duty,Paid military leave,Paid sick days,Seeded health savings account (HSA),Self-insured high deductible health plan (HDHP),Self-insured medical coverage,Wellness incentives participation</t>
  </si>
  <si>
    <t>401(k),Commuter shuttle services,Company discount programs,Dependent medical coverage option, Employee assistance program (EAP),Employee stock purchase plan (ESPP),Employer match to 401(k),Fitness center participation,Laundry / dry cleaning services,Online therapy (e.g., Talkspace),Paid holidays,Paid jury duty,Paid military leave,Paid sick days,Self-insured medical coverage,Service awards</t>
  </si>
  <si>
    <t>401(k),Basic (company-paid) short-term disability,Basic long-term disability,Commuter shuttle services, Company discount programs,Dependent medical coverage option,Emotional wellbeing program (separate from EAP),Employee assistance program (EAP),Employee recognition,Employer match to 401(k),Fitness center participation,Free food,Fully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awards,Supplemental long-term disability,Supplemental short-term disability</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</si>
  <si>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days,Patent awards,Self-insured high deductible health plan (HDHP),Self-insured medical coverage,Service awards</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</si>
  <si>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coverage,Service awards,Wellness incentives participation</t>
  </si>
  <si>
    <t>401(k),Basic (company-paid) short-term disability,Basic long-term disability,Commuter shuttle services, Company discount programs,Dependent medical coverage option,Employee assistance program (EAP),Employee recognition,Employee stock purchase plan (ESPP),Employer match to 401(k),Fitness center participation,Fully insured medical coverage option,Laundry / dry cleaning services,Paid holidays,Paid jury duty,Paid sick days,Seeded health savings account (HSA),Self-insured high deductible health plan (HDHP),Self-insured medical coverage,Service awards,Working remotely stipend</t>
  </si>
  <si>
    <t>401(k),Basic (company-paid) short-term disability,Basic long-term disability,Commuter shuttle services, Company discount programs,Dependent medical coverage option,Employee assistance program (EAP),Employee stock purchase plan (ESPP),Employer match to 401(k),Fitness center participation,Fully insured medical coverage option,Paid holidays,Paid jury duty,Paid military leave,Patent awards,Seeded health savings account (HSA),Self-insured high deductible health plan (HDHP)</t>
  </si>
  <si>
    <t>401(k),Basic (company-paid) short-term disability,Basic long-term disability,Company discount programs, Dependent medical coverage option,Employee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participation,Working remotely stipend</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</si>
  <si>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participation,Paid holidays,Paid jury duty,Paid military leave,Paid sick days,Seeded health savings account (HSA),Self-insured high deductible health plan (HDHP),Self-insured medical coverage,Service awards,Working remotely stipend</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</si>
  <si>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services,Paid holidays,Paid jury duty,Paid military leave,Paid sick days,Patent awards,Self-insured medical coverage,Wellness incentives participation,Working remotely stipend</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</si>
  <si>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military leave,Paid sick days,Patent awards, Seeded health savings account (HSA),Self-insured high deductible health plan (HDHP),Self-insured medical coverage,Service awards,Wellness incentives participation</t>
  </si>
  <si>
    <t>401(k),Basic (company-paid) short-term disability,Basic long-term disability,Company discount programs, Dependent medical coverage option,Emotional wellbeing program (separate from EAP),Employee assistance program (EAP),Employee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coverage,Wellness incentives participation,Working remotely stipend</t>
  </si>
  <si>
    <t>401(k),Basic (company-paid) short-term disability,Basic long-term disability,Company discount programs, Employee assistance program (EAP),Employee recognition,Employer match to 401(k),Fitness center participation,Fully insured medical coverage option,Laundry / dry cleaning services,Online therapy (e.g., Talkspace),Paid holidays,Paid jury duty,Paid military leave,Paid sick days,Self-insured high deductible health plan (HDHP),Self-insured medical coverage,Wellness incentives participation</t>
  </si>
  <si>
    <t>401(k),Basic (company-paid) short-term disability,Basic long-term disability,Commuter shuttle services, Company discount programs,Dependent medical coverage option,Emotional wellbeing program (separate from EAP),Employee assistance program (EAP),Employee stock purchase plan (ESPP),Employer match to 401(k),Fitness center participation,Fully insured medical coverage option,Laundry / dry cleaning services,Online therapy (e.g., Talkspace),Paid holidays,Paid jury duty,Paid military leave,Paid sick days,Patent awards,Seeded health savings account (HSA),Self-insured high deductible health plan (HDHP),Self-insured medical coverage</t>
  </si>
  <si>
    <t>401(k),Basic (company-paid) short-term disability,Basic long-term disability,Company discount programs, Dependent medical coverage option,Employee assistance program (EAP),Employee stock purchase plan (ESPP),Employer match to 401(k),Fitness center participation,Fully insured medical coverage option,Online therapy (e.g., Talkspace),Paid holidays,Paid jury duty,Paid military leave,Self-insured high deductible health plan (HDHP),Self-insured medical coverage,Service awards,Supplemental long-term disability,Supplemental short-term disability</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</si>
  <si>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coverage,Supplemental long-term disability,Supplemental short-term disability,Working remotely stipend</t>
  </si>
  <si>
    <t>401(k),Basic (company-paid) short-term disability,Basic long-term disability,Company discount programs, Dependent medical coverage option,Emotional wellbeing program (separate from EAP),Employee assistance program (EAP),Employee recognition,Employer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coverage,Supplemental long-term disability,Supplemental short-term disability,Working remotely stipend</t>
  </si>
  <si>
    <t>401(k),Basic (company-paid) short-term disability,Basic long-term disability,Company discount programs, Dependent medical coverage option,Emotional wellbeing program (separate from EAP),Employee assistance program (EAP),Employee stock purchase plan (ESPP),Employer match to 401(k),Free food,Fully insured medical coverage option,Online therapy (e.g., Talkspace),Paid holidays,Paid jury duty,Paid military leave,Paid sick days,Patent awards,Seeded health savings account (HSA),Self-insured high deductible health plan (HDHP),Self-insured medical coverage</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</si>
  <si>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participation,Laundry / dry cleaning services,Online therapy (e.g., Talkspace),Paid holidays,Paid jury duty,Paid military leave,Paid sick days,Patent awards,Seeded health savings account (HSA),Self-insured high deductible health plan (HDHP),Self-insured medical coverage,Service awards,Wellness incentives participation,Working remotely stipend</t>
  </si>
  <si>
    <t>401(k),Basic (company-paid) short-term disability,Basic long-term disability,Commuter shuttle services, Company discount programs,Dependent medical coverage option,Emotional wellbeing program (separate from EAP),Employee assistance program (EAP),Employee stock purchase plan (ESPP),Employer match to 401(k),Fitness center participation,Free food,Fully insured medical coverage option,Online therapy (e.g., Talkspace),Paid holidays,Paid jury duty,Paid military leave,Paid sick days,Seeded health savings account (HSA),Self-insured high deductible health plan (HDHP),Self-insured medical coverage,Service awards,Wellness incentives participation,Working remotely stipend</t>
  </si>
  <si>
    <t>401(k),Basic (company-paid) short-term disability,Basic long-term disability,Company discount programs, Dependent medical coverage option,Emotional wellbeing program (separate from EAP),Employee assistance program (EAP),Employee recognition,Employer match to 401(k),Fitness center participation,Free food,Paid holidays,Paid jury duty,Patent awards,Seeded health savings account (HSA),Self-insured high deductible health plan (HDHP),Self-insured medical coverage,Service awards,Wellness incentives participation</t>
  </si>
  <si>
    <t>401(k),Basic (company-paid) short-term disability,Basic long-term disability,Company discount programs, Dependent medical coverage option,Emotional wellbeing program (separate from EAP),Employee assistance program (EAP),Employee stock purchase plan (ESPP),Employer match to 401(k),Paid holidays,Paid jury duty,Paid military leave,Paid sick days,Patent awards,Seeded health savings account (HSA),Self-insured high deductible health plan (HDHP),Self-insured medical coverage,Service awards,Supplemental short-term disability,Working remotely stipend</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</si>
  <si>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services,Paid holidays,Paid jury duty,Paid sick days,Seeded health savings account (HSA),Self-insured high deductible health plan (HDHP),Self-insured medical coverage,Wellness incentives participation,Working remotely stipend</t>
  </si>
  <si>
    <t>401(k),Basic (company-paid) short-term disability,Basic long-term disability,Company discount programs, Dependent medical coverage option,Employee assistance program (EAP),Employee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awards,Wellness incentives participation,Working remotely stipend</t>
  </si>
  <si>
    <t>401(k),Basic (company-paid) short-term disability,Basic long-term disability,Commuter shuttle services, Company discount programs,Dependent medical coverage option,Emotional wellbeing program (separate from EAP),Employee assistance program (EAP),Employee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t>
  </si>
  <si>
    <t>401(k),Basic (company-paid) short-term disability,Basic long-term disability,Company discount programs, Dependent medical coverage option,Emotional wellbeing program (separate from EAP),Employee assistance program (EAP),Employee stock purchase plan (ESPP),Employer match to 401(k),Fitness center participation,Fully insured medical coverage option,Laundry / dry cleaning services,Online therapy (e.g., Talkspace),Paid holidays,Paid jury duty,Paid sick days,Seeded health savings account (HSA),Self-insured high deductible health plan (HDHP),Self-insured medical coverage,Working remotely stipend</t>
  </si>
  <si>
    <t>401(k),Basic (company-paid) short-term disability,Basic long-term disability,Company discount programs, Dependent medical coverage option,Employee assistance program (EAP),Employer match to 401(k),Paid holidays,Paid jury duty,Paid military leave,Paid sick days,Seeded health savings account (HSA),Self-insured high deductible health plan (HDHP),Self-insured medical coverage,Working remotely stipend</t>
  </si>
  <si>
    <t>401(k),Basic (company-paid) short-term disability,Basic long-term disability,Company discount programs, Dependent medical coverage option,Emotional wellbeing program (separate from EAP),Employee assistance program (EAP),Employee recognition,Employee stock purchase plan (ESPP),Employer match to 401(k),Fitness center participation,Fully insured medical coverage option,Laundry / dry cleaning services,Paid holidays,Paid jury duty,Paid military leave,Paid sick days,Patent awards,Seeded health savings account (HSA),Self-insured high deductible health plan (HDHP),Self-insured medical coverage,Service awards,Wellness incentives participation</t>
  </si>
  <si>
    <t>Employee assistance program (EAP),Paid holidays,Paid jury duty,Paid military leave,Paid sick days, Working remotely stipend</t>
  </si>
  <si>
    <t>401(k),Basic (company-paid) short-term disability,Basic long-term disability,Company discount programs, Dependent medical coverage option,Employee assistance program (EAP),Employee recognition,Employer match to 401(k),Fitness center participation,Fully insured medical coverage option,Online therapy (e.g., Talkspace),Paid holidays,Paid jury duty,Paid military leave,Paid sick days,Patent awards,Seeded health savings account (HSA),Self-insured high deductible health plan (HDHP),Self-insured medical coverage</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</si>
  <si>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participation,Fully insured medical coverage option,Laundry / dry cleaning services,Online therapy (e.g., Talkspace),Paid holidays,Paid jury duty,Paid military leave,Paid sick days,Seeded health savings account (HSA),Self-insured high deductible health plan (HDHP),Self-insured medical coverage,Service awards</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</si>
  <si>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participation,Fully insured medical coverage option,Online therapy (e.g., Talkspace),Paid holidays,Paid jury duty,Paid sick days,Seeded health savings account (HSA),Self-insured high deductible health plan (HDHP),Self-insured medical coverage,Service awards,Wellness incentives participation,Working remotely stipend</t>
  </si>
  <si>
    <t>401(k),Basic (company-paid) short-term disability,Basic long-term disability,Company discount programs, Employee assistance program (EAP),Employee stock purchase plan (ESPP),Employer match to 401(k),Fitness center participation,Free food,Paid holidays,Paid jury duty,Paid military leave,Paid sick days,Patent awards,Seeded health savings account (HSA),Self-insured high deductible health plan (HDHP),Self-insured medical coverage,Wellness incentives participation</t>
  </si>
  <si>
    <t>401(k),Basic (company-paid) short-term disability,Basic long-term disability,Company discount programs, 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services,Online therapy (e.g., Talkspace),Paid holidays,Paid jury duty,Paid military leave,Paid sick days,Seeded health savings account (HSA),Self-insured high deductible health plan (HDHP),Self-insured medical coverage,Service awards,Supplemental long-term disability,Supplemental short-term disability,Working remotely stipend</t>
  </si>
  <si>
    <t>401(k),Commuter shuttle services,Company discount programs,Dependent medical coverage option, Employee assistance program (EAP),Employee stock purchase plan (ESPP),Employer match to 401(k),Fitness center participation,Free food,Laundry / dry cleaning services,Paid holidays,Paid jury duty,Paid military leave,Paid sick days,Patent awards,Self-insured high deductible health plan (HDHP),Self-insured medical coverage</t>
  </si>
  <si>
    <t>Basic (company-paid) short-term disability,Basic long-term disability,Company discount programs, Dependent medical coverage option,Employee assistance program (EAP),Fitness center participation,Free food,Fully insured medical coverage option,Paid holidays,Paid jury duty,Paid military leave,Paid sick days,Patent awards,Seeded health savings account (HSA),Self-insured high deductible health plan (HDHP),Self-insured medical coverage</t>
  </si>
  <si>
    <t>Commuter shuttle services,Company discount programs,Dependent medical coverage option,Employee assistance program (EAP),Employee recognition,Fitness center participation,Fully insured medical coverage option,Laundry / dry cleaning services,Online therapy (e.g., Talkspace),Paid holidays,Paid sick days, Seeded health savings account (HSA),Self-insured high deductible health plan (HDHP),Self-insured medical coverage</t>
  </si>
  <si>
    <t>Company discount programs,Dependent medical coverage option,Employee assistance program (EAP), Fitness center participation,Free food,Fully insured medical coverage option,Laundry / dry cleaning services,Paid holidays,Paid sick days,Self-insured medical coverage</t>
  </si>
  <si>
    <t>401(k),Basic (company-paid) short-term disability,Basic long-term disability,Company discount programs, Dependent medical coverage option,Emotional wellbeing program (separate from EAP),Employee assistance program (EAP),Employee recognition,Employee stock purchase plan (ESPP),Employer match to 401(k),Free food,Fully insured medical coverage option,Online therapy (e.g., Talkspace),Paid holidays,Paid jury duty,Paid military leave,Paid sick days,Seeded health savings account (HSA),Self-insured high deductible health plan (HDHP),Self-insured medical coverage,Service awards,Supplemental long-term disability,Supplemental short-term disability,Wellness incentives participation</t>
  </si>
  <si>
    <t>401(k),Commuter shuttle services,Company discount programs,Dependent medical coverage option, Employee assistance program (EAP),Employee recognition,Employee stock purchase plan (ESPP),Employer match to 401(k),Fitness center participation,Fully insured medical coverage option,Laundry / dry cleaning services,Online therapy (e.g., Talkspace),Paid holidays,Paid sick days,Self-insured medical coverage,Working remotely stipend</t>
  </si>
  <si>
    <t>401(k),Basic (company-paid) short-term disability,Basic long-term disability,Commuter shuttle services, Company discount programs,Dependent medical coverage option,Employee assistance program (EAP),Employee recognition,Employer match to 401(k),Fitness center participation,Free food,Laundry / dry cleaning services,Paid holidays,Paid jury duty,Paid military leave,Paid sick days,Self-insured medical coverage,Service awards,Wellness incentives participation</t>
  </si>
  <si>
    <t>Basic (company-paid) short-term disability,Commuter shuttle services,Company discount programs, Dependent medical coverage option,Emotional wellbeing program (separate from EAP),Employee assistance program (EAP),Employee recognition,Fitness center participation,Free food,Laundry / dry cleaning services,Online therapy (e.g., Talkspace),Paid holidays,Paid jury duty,Paid military leave,Paid sick days,Self-insured medical coverage,Service awards</t>
  </si>
  <si>
    <t>Basic (company-paid) short-term disability,Commuter shuttle services,Company discount programs, Dependent medical coverage option,Emotional wellbeing program (separate from EAP),Employee assistance program (EAP),Employee recognition,Fitness center participation,Free food,Fully insured medical coverage option,Laundry / dry cleaning services,Online therapy (e.g., Talkspace),Paid holidays,Paid jury duty,Paid military leave,Paid sick days,Self-insured high deductible health plan (HDHP),Self-insured medical coverage</t>
  </si>
  <si>
    <t>Basic (company-paid) short-term disability,Commuter shuttle services,Company discount programs, Dependent medical coverage option,Employee assistance program (EAP),Fitness center participation,Paid holidays,Paid sick days,Self-insured high deductible health plan (HDHP)</t>
  </si>
  <si>
    <t>Basic (company-paid) short-term disability,Basic long-term disability,Company discount programs, Dependent medical coverage option,Emotional wellbeing program (separate from EAP),Employee assistance program (EAP),Employee stock purchase plan (ESPP),Fitness center participation,Fully insured medical coverage option,Laundry / dry cleaning services,Paid holidays,Paid sick days,Seeded health savings account (HSA),Self-insured high deductible health plan (HDHP),Self-insured medical coverage,Supplemental long-term disability,Wellness incentives participation,Working remotely stipend</t>
  </si>
  <si>
    <t>401(k),Commuter shuttle services,Company discount programs,Dependent medical coverage option, Emotional wellbeing program (separate from EAP),Employee assistance program (EAP),Employer match to 401(k),Fitness center participation,Online therapy (e.g., Talkspace),Paid holidays,Paid jury duty,Paid sick days,Self-insured high deductible health plan (HDHP),Self-insured medical coverage</t>
  </si>
  <si>
    <t>Basic (company-paid) short-term disability,Basic long-term disability,Commuter shuttle services,Company discount programs,Dependent medical coverage option,Emotional wellbeing program (separate from EAP), Employee assistance program (EAP),Employee stock purchase plan (ESPP),Fitness center participation,Fully insured medical coverage option,Laundry / dry cleaning services,Online therapy (e.g., Talkspace),Paid holidays,Paid sick days,Patent awards,Seeded health savings account (HSA),Self-insured high deductible health plan (HDHP),Self-insured medical coverage</t>
  </si>
  <si>
    <t>401(k),Basic (company-paid) short-term disability,Basic long-term disability,Commuter shuttle services, Company discount programs,Dependent medical coverage option,Employee assistance program (EAP),Employer match to 401(k),Fitness center participation,Online therapy (e.g., Talkspace),Paid holidays,Paid jury duty,Paid sick days,Patent awards,Seeded health savings account (HSA),Self-insured high deductible health plan (HDHP),Self-insured medical coverage,Supplemental short-term disability,Wellness incentives participation</t>
  </si>
  <si>
    <t>Basic (company-paid) short-term disability,Basic long-term disability,Company discount programs, Dependent medical coverage option,Emotional wellbeing program (separate from EAP),Employee assistance program (EAP),Employee recognition,Fitness center participation,Free food,Fully insured medical coverage option,Online therapy (e.g., Talkspace),Paid holidays,Paid jury duty,Paid military leave,Paid sick days,Seeded health savings account (HSA),Self-insured high deductible health plan (HDHP),Self-insured medical coverage,Supplemental long-term disability,Supplemental short-term disability,Working remotely stipend</t>
  </si>
  <si>
    <t>401(k),Basic (company-paid) short-term disability,Basic long-term disability,Commuter shuttle services, Company discount programs,Dependent medical coverage option,Emotional wellbeing program (separate from EAP),Employee assistance program (EAP),Employer match to 401(k),Fitness center participation,Laundry / dry cleaning services,Paid holidays,Paid sick days,Seeded health savings account (HSA),Self-insured high deductible health plan (HDHP),Self-insured medical coverage,Wellness incentives participation,Working remotely stipend</t>
  </si>
  <si>
    <t>401(k),Commuter shuttle services,Company discount programs,Dependent medical coverage option, Emotional wellbeing program (separate from EAP),Employee assistance program (EAP),Employer match to 401(k),Fitness center participation,Free food,Fully insured medical coverage option,Online therapy (e.g., Talkspace),Paid holidays,Paid jury duty,Paid sick days,Seeded health savings account (HSA),Self-insured high deductible health plan (HDHP),Self-insured medical coverage,Service awards,Wellness incentives participation,Working remotely stipend</t>
  </si>
  <si>
    <t>401(k),Basic (company-paid) short-term disability,Basic long-term disability,Commuter shuttle services, Company discount programs,Dependent medical coverage option,Emotional wellbeing program (separate from EAP),Employee assistance program (EAP),Employee recognition,Employee stock purchase plan (ESPP),Employer match to 401(k),Fitness center participation,Free food,Fully insured medical coverage option,Laundry / dry cleaning services,Paid holidays,Paid sick days,Seeded health savings account (HSA),Self-insured high deductible health plan (HDHP),Self-insured medical coverage,Wellness incentives participation,Working remotely stipend</t>
  </si>
  <si>
    <t>Basic (company-paid) short-term disability,Commuter shuttle services,Company discount programs, Dependent medical coverage option,Emotional wellbeing program (separate from EAP),Employee assistance program (EAP),Fitness center participation,Free food,Laundry / dry cleaning services,Online therapy (e.g., Talkspace),Paid holidays,Paid sick days,Self-insured high deductible health plan (HDHP),Self-insured medical coverage</t>
  </si>
  <si>
    <t>Company discount programs,Dependent medical coverage option,Employee assistance program (EAP), Fitness center participation,Laundry / dry cleaning services,Paid holidays,Paid sick days,Self-insured high deductible health plan (HDHP)</t>
  </si>
  <si>
    <t>401(k),Basic (company-paid) short-term disability,Basic long-term disability,Commuter shuttle services, Company discount programs,Dependent medical coverage option,Emotional wellbeing program (separate from EAP),Employee assistance program (EAP),Employee stock purchase plan (ESPP),Fully insured medical coverage option,Online therapy (e.g., Talkspace),Paid holidays,Paid jury duty,Paid military leave,Paid sick days,Seeded health savings account (HSA),Self-insured high deductible health plan (HDHP),Self-insured medical coverage</t>
  </si>
  <si>
    <t>Company discount programs,Dependent medical coverage option,Employee assistance program (EAP), Employee recognition,Employee stock purchase plan (ESPP),Fitness center participation,Free food,Fully insured medical coverage option,Laundry / dry cleaning services,Paid holidays,Paid sick days,Seeded health savings account (HSA),Self-insured high deductible health plan (HDHP),Self-insured medical coverage,Working remotely stipend</t>
  </si>
  <si>
    <t>401(k),Dependent medical coverage option,Employee assistance program (EAP),Employee recognition, Employee stock purchase plan (ESPP),Employer match to 401(k),Paid holidays,Paid jury duty,Paid military leave,Paid sick days,Seeded health savings account (HSA),Self-insured high deductible health plan (HDHP),Service awards,Working remotely stipend</t>
  </si>
  <si>
    <t>Commuter shuttle services, Employee recognition,Free food, Laundry / dry cleaning services, Working remotely stipend</t>
  </si>
  <si>
    <t>Fitness center participation, Laundry / dry cleaning services</t>
  </si>
  <si>
    <t>Company discount programs, Employee recognition,Free food,Online therapy (e.g., Talkspace),Working remotely stipend</t>
  </si>
  <si>
    <t>Commuter shuttle services, Employee assistance program (EAP),Fitness center participation,Free food</t>
  </si>
  <si>
    <t>Commuter shuttle services, Company discount programs, Fitness center participation,Paid holidays,Paid sick days,Patent awards</t>
  </si>
  <si>
    <t>Company discount programs, Fitness center participation,Free food,Laundry / dry cleaning services</t>
  </si>
  <si>
    <t>Commuter shuttle services, Employee recognition,Free food</t>
  </si>
  <si>
    <t>Company discount programs, Laundry / dry cleaning services</t>
  </si>
  <si>
    <t>401(k),Basic (company-paid) short-term disability,Basic long-term disability,Commuter shuttle services,Company discount programs, Dependent medical coverage option,Emotional wellbeing program (separate from EAP),Employee assistance program (EAP),Employer match to 401(k),Fitness center participation,Seeded health savings account (HSA),Self-insured high deductible health plan (HDHP),Self-insured medical coverage</t>
  </si>
  <si>
    <t>Opposite-sex domestic partner, Same-sex domestic partner</t>
  </si>
  <si>
    <t>Same sex domestic partners, Opposite sex domestic partners, Child(ren) of same sex domestic partner,Child(ren) of opposite sex domestic partner</t>
  </si>
  <si>
    <t>Medical,Pharmacy,Dental,Vision, Disability,Other</t>
  </si>
  <si>
    <t>Medical,Pharmacy,Dental,Vision, Disability</t>
  </si>
  <si>
    <t>Medical,Pharmacy,Dental,Vision, Disability,Life Insurance,Other</t>
  </si>
  <si>
    <t>Medical,Pharmacy,Dental,Vision, Disability,Life Insurance</t>
  </si>
  <si>
    <t>Company benefits department,Other company department (e.g., HR, comms, marketing), Outsourced to communications vendor,Utilize vendor's materials,Social media - employer and employee posts</t>
  </si>
  <si>
    <t>Company benefits department,Other company department (e.g., HR, comms, marketing), Utilize vendor's materials</t>
  </si>
  <si>
    <t>Company benefits department,Other company department (e.g., HR, comms, marketing), Outsourced to communications vendor,Utilize vendor's materials</t>
  </si>
  <si>
    <t>Company benefits department,Other company department (e.g., HR, comms, marketing), Outsourced to consultant,Utilize vendor's materials</t>
  </si>
  <si>
    <t>Company benefits department,Other company department (e.g., HR, comms, marketing), Outsourced to communications vendor</t>
  </si>
  <si>
    <t>Company benefits department,Other company department (e.g., HR, comms, marketing), Outsourced to communications vendor,Outsourced to consultant,Utilize vendor's materials</t>
  </si>
  <si>
    <t>Company benefits department,Other company department (e.g., HR, comms, marketing), Outsourced to communications vendor,Social media - employer and employee posts</t>
  </si>
  <si>
    <t>Company benefits department,Other company department (e.g., HR, comms, marketing), Outsourced to communications vendor, Outsourced to consultant,Utilize vendor's materials,Social media - employer and employee posts</t>
  </si>
  <si>
    <t>Company benefits department,Other company department (e.g., HR, comms, marketing), Outsourced to communications vendor, Outsourced to consultant,Utilize vendor's materials</t>
  </si>
  <si>
    <t>Adoption assistance,Childcare, Eldercare,Fertility assistance,New parent gifts/benefits,Pet benefit(s), Support for parents with disabled children,Surrogacy assistance, Survivor support</t>
  </si>
  <si>
    <t>Adoption assistance,Childcare, Eldercare,Fertility assistance,Pet benefit(s),Surrogacy assistance, Survivor support</t>
  </si>
  <si>
    <t>Adoption assistance,Childcare, Eldercare,Fertility assistance,Pet benefit(s),Survivor support</t>
  </si>
  <si>
    <t>Adoption assistance,Eldercare, Fertility assistance,Pet benefit(s), Surrogacy assistance</t>
  </si>
  <si>
    <t>Adoption assistance,Childcare, Eldercare,Fertility assistance,New parent gifts/benefits,Support for parents with disabled children, Surrogacy assistance,Survivor support</t>
  </si>
  <si>
    <t>Adoption assistance,Childcare, Eldercare,Fertility assistance,New parent gifts/benefits,Pet benefit(s), Support for parents with disabled children,Surrogacy assistance</t>
  </si>
  <si>
    <t>Childcare,Eldercare,Fertility assistance,New parent gifts/benefits,Pet benefit(s), Surrogacy assistance</t>
  </si>
  <si>
    <t>Adoption assistance,Childcare, Eldercare,Fertility assistance,New parent gifts/benefits,Pet benefit(s), Surrogacy assistance</t>
  </si>
  <si>
    <t>Adoption assistance,Childcare, Eldercare,Fertility assistance,New parent gifts/benefits,Surrogacy assistance,Survivor support</t>
  </si>
  <si>
    <t>Adoption assistance,Childcare, Eldercare,Pet benefit(s),Support for parents with disabled children</t>
  </si>
  <si>
    <t>Adoption assistance,Childcare, Eldercare,Fertility assistance,New parent gifts/benefits,Pet benefit(s), Support for parents with disabled children,Survivor support</t>
  </si>
  <si>
    <t>Adoption assistance,Childcare, Eldercare,Fertility assistance,Pet benefit(s),Support for parents with disabled children,Surrogacy assistance</t>
  </si>
  <si>
    <t>Adoption assistance,Childcare, Eldercare,Fertility assistance,Pet benefit(s),Support for parents with disabled children,Survivor support</t>
  </si>
  <si>
    <t>Adoption assistance,Childcare, Eldercare,Fertility assistance,New parent gifts/benefits,Pet benefit(s)</t>
  </si>
  <si>
    <t>Adoption assistance,Childcare, Eldercare,Fertility assistance,Pet benefit(s)</t>
  </si>
  <si>
    <t>Adoption assistance,Childcare,Eldercare,Fertility assistance,New parent gifts/benefits,Pet benefit(s),Support for parents with disabled children, Surrogacy assistance,Survivor support</t>
  </si>
  <si>
    <t>Adoption assistance,Childcare, Eldercare,New parent gifts/benefits,Pet benefit(s), Surrogacy assistance</t>
  </si>
  <si>
    <t>Adoption assistance,Childcare, Eldercare,Fertility assistance,New parent gifts/benefits,Survivor support</t>
  </si>
  <si>
    <t>Adoption assistance,Childcare, Eldercare,Pet benefit(s),Surrogacy assistance,Survivor support</t>
  </si>
  <si>
    <t>Adoption assistance,Childcare, Eldercare,Fertility assistance,Pet benefit(s),Surrogacy assistance</t>
  </si>
  <si>
    <t>Fertility assistance,Support for parents with disabled children, Survivor support</t>
  </si>
  <si>
    <t>Adoption assistance,Childcare, Eldercare,Fertility assistance,New parent gifts/benefits,Pet benefit(s), Surrogacy assistance,Survivor support</t>
  </si>
  <si>
    <t>Adoption assistance,Eldercare, Fertility assistance,New parent gifts/benefits,Support for parents with disabled children,Surrogacy assistance</t>
  </si>
  <si>
    <t>Adoption assistance,Childcare, Fertility assistance,New parent gifts/benefits,Pet benefit(s), Surrogacy assistance</t>
  </si>
  <si>
    <t>Adoption assistance,Childcare, Eldercare,Fertility assistance, Support for parents with disabled children,Surrogacy assistance, Survivor support</t>
  </si>
  <si>
    <t>Adoption assistance,Childcare, Fertility assistance,New parent gifts/benefits,Surrogacy assistance</t>
  </si>
  <si>
    <t>Adoption assistance,Childcare, Eldercare,Pet benefit(s),Support for parents with disabled children, Survivor support</t>
  </si>
  <si>
    <t>Adoption assistance,Childcare, Eldercare,Pet benefit(s),Surrogacy assistance</t>
  </si>
  <si>
    <t>Adoption assistance,Childcare, Eldercare,Fertility assistance,Pet benefit(s),Support for parents with disabled children,Surrogacy assistance,Survivor support</t>
  </si>
  <si>
    <t>Type of eldercare assistance provided by employee assistance program</t>
  </si>
  <si>
    <t>Elder Care: Help is also available if you are caring for an elderly loved one. Get free, personalized support with access to online care planning and communication tools, on-site care assessments, and an experienced Care Coach, who can connect you to resources and specialized providers at every caregiving stage.   Elder Care Backup Care: Whether your elderly loved one lives close or far, backup care is available should their regular caregiver become temporarily unavailable.</t>
  </si>
  <si>
    <t>EAP care kit</t>
  </si>
  <si>
    <t>Integrated into health plan plus special needs recources through Bright Horizons</t>
  </si>
  <si>
    <t>Work 20 hours or more a week, Other</t>
  </si>
  <si>
    <t>Work 20 hours or more a week, Must be actively at work at time of surrogacy</t>
  </si>
  <si>
    <t>Financial advisory services, Services beyond EAP,Donation to non-profit or charity,Acceleration of benefits</t>
  </si>
  <si>
    <t>Financial advisory services, Acceleration of benefits,Other, please specify:</t>
  </si>
  <si>
    <t>Lump-sum payment (unrelated to life insurance),Scholarship payment or college fund contribution, Acceleration of benefits,Other, please specify:</t>
  </si>
  <si>
    <t>Financial advisory services, Donation to non-profit or charity, Acceleration of benefits,Other, please specify:</t>
  </si>
  <si>
    <t>Financial advisory services, Acceleration of benefits</t>
  </si>
  <si>
    <t>Lump-sum payment (unrelated to life insurance),Financial advisory services,Services beyond EAP, Acceleration of benefits,Other, please specify:</t>
  </si>
  <si>
    <t>Home office set up (chair, desk, monitor, etc.),Office supplies, Internet</t>
  </si>
  <si>
    <t>Home office set up (chair, desk, monitor, etc.),Office supplies, Mobile phone,Internet,Electricity</t>
  </si>
  <si>
    <t>Home office set up (chair, desk, monitor, etc.),Office supplies, Mobile phone,Internet</t>
  </si>
  <si>
    <t>Home office set up (chair, desk, monitor, etc.),Office supplies, Internet,Electricity</t>
  </si>
  <si>
    <t>Home office set up (chair, desk, monitor, etc.),Office supplies, Mobile phone,Internet,Electricity, Perquisites and amenities provided to employees working onsite (e.g., dry cleaning, concierge, shipping services),Wellbeing equipment (e.g., home gym equipment),Other, please specify</t>
  </si>
  <si>
    <t>Home office set up (chair, desk, monitor, etc.),Office supplies, Mobile phone,Internet,Electricity, Perquisites and amenities provided to employees working onsite (e.g., dry cleaning, concierge, shipping services),Wellbeing equipment (e.g., home gym equipment)</t>
  </si>
  <si>
    <t>Charitable match,Commuter benefit(s),Company phone/laptop/tablet,Ergonomic/sit-stand workstations and desks,Green benefit(s),Onsite &amp; convenience benefits, Service award(s),Workplace flexibility</t>
  </si>
  <si>
    <t>Charitable match,Commuter benefit(s),Ergonomic/sit-stand workstations and desks,Green benefit(s),Service award(s), Workplace flexibility</t>
  </si>
  <si>
    <t>Charitable match,Commuter benefit(s),Company phone/laptop/tablet,Ergonomic/sit-stand workstations and desks,Onsite &amp; convenience benefits,Service award(s), Workplace flexibility</t>
  </si>
  <si>
    <t>Commuter benefit(s),Company phone/laptop/tablet, Ergonomic/sit-stand workstations and desks,Service award(s)</t>
  </si>
  <si>
    <t>Commuter benefit(s),Company phone/laptop/tablet, Ergonomic/sit-stand workstations and desks,Green benefit(s),Service award(s),Workplace flexibility</t>
  </si>
  <si>
    <t>Commuter benefit(s),Company phone/laptop/tablet, Ergonomic/sit-stand workstations and desks,Green benefit(s),Onsite &amp; convenience benefits,Service award(s), Workplace flexibility</t>
  </si>
  <si>
    <t>Charitable match,Company phone/laptop/tablet, Ergonomic/sit-stand workstations and desks,Green benefit(s),Onsite &amp; convenience benefits,Service award(s), Workplace flexibility</t>
  </si>
  <si>
    <t>Charitable match,Company phone/laptop/tablet, Ergonomic/sit-stand workstations and desks,Onsite &amp; convenience benefits,Service award(s)</t>
  </si>
  <si>
    <t>Charitable match,Commuter benefit(s),Ergonomic/sit-stand workstations and desks,Onsite &amp; convenience benefits, Service award(s),Workplace flexibility</t>
  </si>
  <si>
    <t>Charitable match,Commuter benefit(s),Company phone/laptop/tablet,Ergonomic/sit-stand workstations and desks,Green benefit(s),Onsite &amp; convenience benefits, Workplace flexibility</t>
  </si>
  <si>
    <t>Charitable match,Commuter benefit(s),Company phone/laptop/tablet,Onsite &amp; convenience benefits, Workplace flexibility</t>
  </si>
  <si>
    <t>Charitable match,Company phone/laptop/tablet, Ergonomic/sit-stand workstations and desks,Workplace flexibility</t>
  </si>
  <si>
    <t>Commuter benefit(s),Company phone/laptop/tablet, Ergonomic/sit-stand workstations and desks,Workplace flexibility</t>
  </si>
  <si>
    <t>Charitable match,Ergonomic/sit-stand workstations and desks,Onsite &amp; convenience benefits,Service award(s), Workplace flexibility</t>
  </si>
  <si>
    <t>Commuter benefit(s),Company phone/laptop/tablet, Ergonomic/sit-stand workstations and desks,Onsite &amp; convenience benefits,Service award(s)</t>
  </si>
  <si>
    <t>Commuter benefit(s),Company phone/laptop/tablet, Ergonomic/sit-stand workstations and desks,Onsite &amp; convenience benefits</t>
  </si>
  <si>
    <t>Commuter benefit(s),Company phone/laptop/tablet, Workplace flexibility</t>
  </si>
  <si>
    <t>Public transportation benefit or allowance,Shuttles to/from office,Bicycling support,EV charging capabilities, Carpooling/vanpooling</t>
  </si>
  <si>
    <t>Bicycling support,EV charging capabilities, Carpooling/vanpooling</t>
  </si>
  <si>
    <t>Parking benefit or allowance,Public transportation benefit or allowance,Shuttles to/from office,Shuttles between campus locations,Bicycling support,EV charging capabilities, Carpooling/vanpooling</t>
  </si>
  <si>
    <t>Parking benefit or allowance,Public transportation benefit or allowance,Transit,Shuttles to/from office,Shuttles between campus locations,EV charging capabilities, Carpooling/vanpooling</t>
  </si>
  <si>
    <t>Parking benefit or allowance,Public transportation benefit or allowance,Transit,Shuttles to/from office, Carpooling/vanpooling</t>
  </si>
  <si>
    <t>Parking benefit or allowance,Public transportation benefit or allowance,Transit,EV charging capabilities, Carpooling/vanpooling</t>
  </si>
  <si>
    <t>Public transportation benefit or allowance, Carpooling/vanpooling</t>
  </si>
  <si>
    <t>Job-based,Manager discretion, Employee preference</t>
  </si>
  <si>
    <t>Job-based,Title/Level based, Manager discretion,Employee preference,Certified accomodation-based</t>
  </si>
  <si>
    <t>Job-based,Manager discretion, Certified accomodation-based</t>
  </si>
  <si>
    <t>Job-based,Title/Level based,Manager discretion, Employee preference,Certified accomodation-based</t>
  </si>
  <si>
    <t>Job-based,Manager discretion, Employee preference,Certified accomodation-based</t>
  </si>
  <si>
    <t>Job-based,Title/Level based, Manager discretion,Employee preference</t>
  </si>
  <si>
    <t>Job-based,Title/Level based, Manager discretion</t>
  </si>
  <si>
    <t>Job-based,Title/Level based, Employee preference,Certified accomodation-based</t>
  </si>
  <si>
    <t>Acute cardiac incident,Alzheimer's, Cancer,Chronic conditions (e.g., COPD, diabetes, etc.),Kidney failure,Multiple sclerosis,Organ transplant,Terminal illness</t>
  </si>
  <si>
    <t>Acute cardiac incident,Alzheimer's, Cancer,Kidney failure,Multiple sclerosis,Organ transplant</t>
  </si>
  <si>
    <t>Acute cardiac incident,Alzheimer's, Blindness,Cancer,Deafness,Kidney failure,Multiple sclerosis,Organ transplant,Paralysis,Parkinson's Disease</t>
  </si>
  <si>
    <t>Acute cardiac incident,Alzheimer's, Cancer,Kidney failure,Multiple sclerosis,Parkinson's Disease</t>
  </si>
  <si>
    <t>Acute cardiac incident,Alzheimer's, Cancer,Kidney failure,Multiple sclerosis,Organ transplant, Parkinson's Disease</t>
  </si>
  <si>
    <t>Acute cardiac incident,Alzheimer's, Cancer,Chronic conditions (e.g., COPD, diabetes, etc.),Kidney failure,Multiple sclerosis,Organ transplant</t>
  </si>
  <si>
    <t>Acute cardiac incident,Cancer, Chronic conditions (e.g., COPD, diabetes, etc.),Kidney failure, Multiple sclerosis,Organ transplant,Terminal illness</t>
  </si>
  <si>
    <t>Acute cardiac incident,Alzheimer's, Blindness,Cancer,Chronic conditions (e.g., COPD, diabetes, etc.),Deafness,HIV/AIDS,Kidney failure,Multiple sclerosis,Organ transplant,Paralysis,Parkinson's Disease,Terminal illness</t>
  </si>
  <si>
    <t>Acute cardiac incident,Alzheimer's, Cancer,Chronic conditions (e.g., COPD, diabetes, etc.),Kidney failure,Multiple sclerosis,Organ transplant,Parkinson's Disease</t>
  </si>
  <si>
    <t>Acute cardiac incident,Cancer, Kidney failure,Organ transplant</t>
  </si>
  <si>
    <t>Acute cardiac incident,Alzheimer's, Cancer,Kidney failure,Multiple sclerosis,Organ transplant,Terminal illness</t>
  </si>
  <si>
    <t>Acute cardiac incident,Alzheimer's, Cancer,Chronic conditions (e.g., COPD, diabetes, etc.),Kidney failure,Multiple sclerosis,Organ transplant,Paralysis,Parkinson's Disease</t>
  </si>
  <si>
    <t>Acute cardiac incident,Alzheimer's, Blindness,Cancer,Chronic conditions (e.g., COPD, diabetes, etc.),Deafness,HIV/AIDS,Kidney failure,Parkinson's Disease</t>
  </si>
  <si>
    <t>Employee Assistance Program, Financial wellbeing program</t>
  </si>
  <si>
    <t>Employee Assistance Program, Physical wellbeing program</t>
  </si>
  <si>
    <t>Employee Assistance Program, Financial wellbeing program, Physical wellbeing program</t>
  </si>
  <si>
    <t>Balanced billed amounts (not covered by plan),Penalties (e.g., non-notification penalties), Premiums,Non-emergency ER charges</t>
  </si>
  <si>
    <t>Co-payments,Balanced billed amounts (not covered by plan), Penalties (e.g., non-notification penalties),Premiums</t>
  </si>
  <si>
    <t>Co-payments,Balanced billed amounts (not covered by plan), Premiums</t>
  </si>
  <si>
    <t>General/primary care office visit, Specialist office visit,Autism/applied behavioral analysis (ABA),ER,Urgent office visit,Telehealth,Other</t>
  </si>
  <si>
    <t>General/primary care office visit,Specialist office visit,ER, Urgent office visit</t>
  </si>
  <si>
    <t>General/primary care office visit,Specialist office visit, Autism/applied behavioral analysis (ABA),ER,Urgent office visit,Telehealth</t>
  </si>
  <si>
    <t>General/primary care office visit,Specialist office visit, Autism/applied behavioral analysis (ABA),ER,Urgent office visit, Telehealth</t>
  </si>
  <si>
    <t>General/primary care office visit,Specialist office visit, Autism/applied behavioral analysis (ABA)</t>
  </si>
  <si>
    <t>General/primary care office visit,Specialist office visit, Autism/applied behavioral analysis (ABA),Urgent office visit,Telehealth</t>
  </si>
  <si>
    <t>General/primary care office visit,Specialist office visit, Autism/applied behavioral analysis (ABA),ER,Urgent office visit</t>
  </si>
  <si>
    <t>General/primary care office visit,Specialist office visit, Autism/applied behavioral analysis (ABA),ER,Urgent office visit,Telehealth,Other</t>
  </si>
  <si>
    <t>General/primary care office visit, Autism/applied behavioral analysis (ABA),ER,Urgent office visit, Telehealth,Other</t>
  </si>
  <si>
    <t>General/primary care office visit,Specialist office visit, Autism/applied behavioral analysis (ABA),ER,Urgent office visit, Telehealth,Other</t>
  </si>
  <si>
    <t>General/primary care office visit, Specialist office visit,ER,Urgent office visit,Telehealth</t>
  </si>
  <si>
    <t>General/primary care office visit,Specialist office visit, Autism/applied behavioral analysis (ABA),ER,Urgent office visit,Other</t>
  </si>
  <si>
    <t>General/primary care office visit,Specialist office visit,ER, Urgent office visit,Telehealth</t>
  </si>
  <si>
    <t>Primary PPO medical plan out-of-network coinsurance: Specialist office visit</t>
  </si>
  <si>
    <t>Primary PPO medical plan out-of-network coinsurance: Emergency room</t>
  </si>
  <si>
    <t>Primary PPO medical plan out-of-network coinsurance: Urgent office visit</t>
  </si>
  <si>
    <t>Primary PPO medical plan out-of-network coinsurance: Other</t>
  </si>
  <si>
    <t>General/primary care office visit,Specialist office visit, ER,Urgent office visit,Telehealth</t>
  </si>
  <si>
    <t>General/primary care office visit,Specialist office visit, utism/applied behavioral analysis (ABA),ER,Urgent office visit,Telehealth,Other</t>
  </si>
  <si>
    <t>General/primary care office visit,Specialist office visit, Autism/applied behavioral analysis (ABA),Telehealth</t>
  </si>
  <si>
    <t>General/primary care office visit,Specialist office visit, ER,Urgent office visit</t>
  </si>
  <si>
    <t>Step therapy,Medical review/prior authorization,Quantity limits, Specialty medication program,Mail order,Auto-refill,90 Day supply</t>
  </si>
  <si>
    <t>Step therapy,Medical review/prior authorization,Quantity limits, Specialty medication program</t>
  </si>
  <si>
    <t>Medical review/prior authorization, Quantity limits,Auto-refill,90 Day supply</t>
  </si>
  <si>
    <t>Medical review/prior authorization, Quantity limits,Mail order,Auto-refill,90 Day supply</t>
  </si>
  <si>
    <t>Step therapy,Medical review/prior authorization,Quantity limits, Specialty medication program,90 Day supply,Custom formulary (e.g., "no waste")</t>
  </si>
  <si>
    <t>Medical review/prior authorization,Quantity limits, Specialty medication program,Mail order,90 Day supply</t>
  </si>
  <si>
    <t>Step therapy,Medical review/prior authorization,Quantity limits, Specialty medication program,90 Day supply</t>
  </si>
  <si>
    <t>Medical review/prior authorization, Quantity limits</t>
  </si>
  <si>
    <t>Medical review/prior authorization, Quantity limits,Custom formulary (e.g., "no waste")</t>
  </si>
  <si>
    <t>Medical review/prior authorization, Quantity limits,Specialty medication program,Mail order</t>
  </si>
  <si>
    <t>Medical review/prior authorization, Quantity limits,Mail order,Auto-refill</t>
  </si>
  <si>
    <t>Step therapy,Medical review/prior authorization,Quantity limits, Specialty medication program,Mail order,90 Day supply</t>
  </si>
  <si>
    <t>Medical review/prior authorization, Quantity limits,Specialty medication program</t>
  </si>
  <si>
    <t>Medical review/prior authorization, Quantity limits,Specialty medication program,Mail order,90 Day supply</t>
  </si>
  <si>
    <t>Step therapy,Medical review/prior authorization,Quantity limits, Specialty medication program,Mail order</t>
  </si>
  <si>
    <t>Medical review/prior authorization, Quantity limits,Specialty medication program,Mail order,Custom formulary (e.g., "no waste")</t>
  </si>
  <si>
    <t>Medical review/prior authorization, Specialty medication program,Mail order,Custom formulary (e.g., "no waste")</t>
  </si>
  <si>
    <t>Medical review/prior authorization, Specialty medication program,Mail order,Auto-refill,90 Day supply</t>
  </si>
  <si>
    <t>Medical review/prior authorization, Specialty medication program</t>
  </si>
  <si>
    <t>Medical review/prior authorization, Specialty medication program,Mail order</t>
  </si>
  <si>
    <t>Medical review/prior authorization, Mail order,Auto-refill,90 Day supply,Custom formulary (e.g., "no waste")</t>
  </si>
  <si>
    <t>Medical review/prior authorization, Mail order,Auto-refill,90 Day supply</t>
  </si>
  <si>
    <t>Medical review/prior authorization, Quantity limits,Specialty medication program,90 Day supply</t>
  </si>
  <si>
    <t>Step therapy,Medical review/prior authorization,Quantity limits, Specialty medication program,Custom formulary (e.g., "no waste")</t>
  </si>
  <si>
    <t>Medical review/prior authorization,Quantity limits, Specialty medication program</t>
  </si>
  <si>
    <t>Step therapy,Quantity limits, Specialty medication program</t>
  </si>
  <si>
    <t>Medical review/prior authorization, Quantity limits,90 Day supply</t>
  </si>
  <si>
    <t>Social network (e.g., Facebook), Internal/Company affinity groups, blogs, wikis, online communities, External/Non-Company Online Communities (e.g., MyHealthTeam, Patients Like Me)</t>
  </si>
  <si>
    <t>Gaming apps (e.g., Rally), Internal/Company affinity groups, blogs, wikis, online communities</t>
  </si>
  <si>
    <t>Gaming apps (e.g., Rally),Social network (e.g., Facebook), Internal/Company affinity groups, blogs, wikis, online communities</t>
  </si>
  <si>
    <t>Social network (e.g., Facebook),  Internal/Company affinity groups, blogs, wikis, online communities</t>
  </si>
  <si>
    <t>Social network (e.g., Facebook), Internal/Company affinity groups, blogs, wikis, online communities</t>
  </si>
  <si>
    <t>Internal/Company affinity groups, blogs, wikis, online communities, External/Non-Company Online Communities (e.g., MyHealthTeam, Patients Like Me)</t>
  </si>
  <si>
    <t>Entry into prize drawing, Recognition - company newsletter or website,Merchandise,Other</t>
  </si>
  <si>
    <t>Cash gift card,Entry into prize drawing,Recognition - company newsletter or website, Merchandise,Points (internal points system)</t>
  </si>
  <si>
    <t>Entry into prize drawing, Recognition - company newsletter or website</t>
  </si>
  <si>
    <t>Athletic leagues,Team building/bonding,Clubs,Diversity and inclusion events and initiatives,Campus events (such as BBQs),Volunteering, Mentoring,Company party and/or celebrations,Disaster relief support</t>
  </si>
  <si>
    <t>Team building/bonding,Clubs,Diversity and inclusion events and initiatives,Campus events (such as BBQs),Volunteering, Mentoring,Company party and/or celebrations,Disaster relief support</t>
  </si>
  <si>
    <t>Diversity and inclusion events and initiatives,Volunteering,Mentoring, Disaster relief support</t>
  </si>
  <si>
    <t>Team building/bonding,Clubs,Diversity and inclusion events and initiatives,Campus events (such as BBQs),Volunteering,Mentoring, Company party and/or celebrations,Disaster relief support,Other</t>
  </si>
  <si>
    <t>Athletic leagues,Team building/bonding,Clubs,Diversity and inclusion events and initiatives,Campus events (such as BBQs),Volunteering, Mentoring,Company party and/or celebrations,Disaster relief support,Other</t>
  </si>
  <si>
    <t>Team building/bonding,Clubs,Diversity and inclusion events and initiatives,Campus events (such as BBQs),Volunteering,Mentoring, Company party and/or celebrations,Disaster relief support</t>
  </si>
  <si>
    <t>Athletic leagues,Team building/bonding,Clubs,Diversity and inclusion events and initiatives,Campus events (such as BBQs),Volunteering, Company party and/or celebrations,Disaster relief support</t>
  </si>
  <si>
    <t>Athletic leagues,Team building/bonding,Clubs,Diversity and inclusion events and initiatives,Campus events (such as BBQs),Volunteering, Mentoring,Company party and/or celebrations</t>
  </si>
  <si>
    <t>Asthma,Cancer,COPD,Coronary artery disease,Depression,Diabetes,Infertility, Pregnancy,Musculoskeletal,Transplants</t>
  </si>
  <si>
    <t>Asthma,Cancer,COPD,Coronary artery disease,Diabetes,Infertility,Pregnancy, Musculoskeletal,Transplants</t>
  </si>
  <si>
    <t>Asthma,Cancer,COPD,Coronary artery disease,Diabetes,Infertility,Pregnancy, Transplants</t>
  </si>
  <si>
    <t>Asthma,Infertility,Pregnancy, Musculoskeletal</t>
  </si>
  <si>
    <t>Cancer,Coronary artery disease, Pregnancy,Transplants</t>
  </si>
  <si>
    <t>Cancer,Infertility,Pregnancy, Musculoskeletal</t>
  </si>
  <si>
    <t>Asthma,COPD,Coronary artery disease, Diabetes</t>
  </si>
  <si>
    <t>Cancer,COPD,Coronary artery disease,Depression,Diabetes,Infertility, Pregnancy,Musculoskeletal,Transplants</t>
  </si>
  <si>
    <t>Cancer,Infertility,Pregnancy, Transplants</t>
  </si>
  <si>
    <t>Asthma,Cancer,Coronary artery disease,Diabetes,Infertility, Pregnancy,Musculoskeletal</t>
  </si>
  <si>
    <t>Cancer,Diabetes,Infertility, Musculoskeletal</t>
  </si>
  <si>
    <t>Asthma,Cancer,COPD,Coronary artery disease,Diabetes, Musculoskeletal</t>
  </si>
  <si>
    <t>Cancer,COPD,Coronary Artery Disease,Depression,Diabetes, Pregnancy,Musculoskeletal, Physical therapy</t>
  </si>
  <si>
    <t>Asthma,Cancer,Depression, Diabetes,Pregnancy, Musculoskeletal</t>
  </si>
  <si>
    <t>COPD,Coronary Artery Disease, Musculoskeletal,Transplants</t>
  </si>
  <si>
    <t>Asthma,Cancer,COPD,Coronary Artery Disease,Pregnancy, Musculoskeletal,Transplants</t>
  </si>
  <si>
    <t>Cancer,Coronary Artery Disease, Pregnancy,Transplants,Other</t>
  </si>
  <si>
    <t>Cancer,COPD,Coronary Artery Disease,Diabetes,Infertility, Pregnancy,Transplants</t>
  </si>
  <si>
    <t>Asthma,Cancer,COPD,Coronary Artery Disease,Depression, Diabetes,Infertility,Pregnancy, Musculoskeletal,Physical therapy</t>
  </si>
  <si>
    <t>Cancer,Coronary Artery Disease, Infertility,Pregnancy, Musculoskeletal</t>
  </si>
  <si>
    <t>Primary care,Specialty care,Mental wellbeing services (therapy/counseling),Biometric screenings,Acupuncture,Chiropractic, Massage therapy,Physical therapy,Dentistry,Eye care (e.g., exams, contacts, etc.),Health and wellness education or course offerings</t>
  </si>
  <si>
    <t>Primary care,Mental wellbeing services (therapy/counseling),Biometric screenings,Workplace injury services,Laboratory and/or radiology services (including mammography),Alternative access to prescriptions (e.g., vending machine, small stock, kiosk, etc.),Acupuncture, Chiropractic,Physical therapy,Dentistry,Eye care (e.g., exams, contacts, etc.),Health and wellness education or course offerings</t>
  </si>
  <si>
    <t>Employees,Benefits eligible dependents,Interns</t>
  </si>
  <si>
    <t>Employees,Benefits eligible dependents,Interns,Contractors, Other</t>
  </si>
  <si>
    <t>Employees,Interns</t>
  </si>
  <si>
    <t>Employees,Benefits eligible dependents,Interns,Other</t>
  </si>
  <si>
    <t>Employees,Interns,Contractors, Agency temporary workers</t>
  </si>
  <si>
    <t>Employees,Contractors</t>
  </si>
  <si>
    <t>Employees,Benefits eligible dependents</t>
  </si>
  <si>
    <t>Primary care,Specialty care,Mental wellbeing services (therapy/counseling), Biometric screenings,Laboratory and/or radiology services (including mammography),Alternative access to prescriptions (e.g., vending machine, small stock, kiosk, etc.),Wellness coaching,Acupuncture,Chiropractic ,Massage therapy,Occupational therapy,Physical therapy,Speech therapy,Dentistry,Eye care (e.g., exams, contacts, etc.),Health and wellness education or courses offerings</t>
  </si>
  <si>
    <t>Primary care,Specialty care,Mental wellbeing services (therapy/counseling), Biometric screenings,Laboratory and/or radiology services (including mammography),Full service pharmacy,Wellness coaching,Acupuncture, Chiropractic,Massage therapy,Occupational therapy,Physical therapy,Eye care (e.g., exams, contacts, etc.),Health and wellness education or courses offerings</t>
  </si>
  <si>
    <t>Monthly subscription (PMPM), Usage based fee,Standard claim processing (network provider)</t>
  </si>
  <si>
    <t>Monthly subscription (PMPM), Usage based fee</t>
  </si>
  <si>
    <t>Monthly subscription (PMPM), Standard claim processing (network provider)</t>
  </si>
  <si>
    <t>Require the patient to be 18+ before surgery is approved,Offer the option of a waiver/release for individuals under 18 to receive the surgery, Require that the individual live as the "new gender" for a specific amount of time prior to approving surgery,Require that there be at least two physicians in agreement about the plan in order to move forward with the surgery,Allow for the reversal of previous gender dysphoria surgery services</t>
  </si>
  <si>
    <t>Require the patient to be 18+ before surgery is approved,Offer the option of a waiver/release for individuals under 18 to receive the surgery, Require that the individual live as the "new gender" for a specific amount of time prior to approving surgery,Require that there be at least two physicians in agreement about the plan in order to move forward with the surgery</t>
  </si>
  <si>
    <t>Require the patient to be 18+ before surgery is approved,Offer the option of a waiver/release for individuals under 18 to receive the surgery, Require that there be at least two physicians in agreement about the plan in order to move forward with the surgery,Allow for the reversal of previous gender dysphoria surgery services</t>
  </si>
  <si>
    <t>Pay administrative fees,Increase disability benefits,Reduce employee contributions, Enhance/add new programs/services</t>
  </si>
  <si>
    <t>Pay administrative fees,Increase disability benefits,Reduce employee contributions, Enhance/add new programs/services,Other, please specify:</t>
  </si>
  <si>
    <t>Reduce employee contributions, Enhance/add new programs/services</t>
  </si>
  <si>
    <t>Part-time employees,Full-time employees,Spouse, Domestic partner,Parents,Grandparents,In-law relatives (e.g., mother-in-law, grandfather-in-law, etc.),Children (until age 26)</t>
  </si>
  <si>
    <t>Part-time employees,Full-time employees,Spouse, Domestic partner,Parents,In-law relatives (e.g., mother-in-law, grandfather-in-law, etc.)</t>
  </si>
  <si>
    <t>Part-time employees,Full-time employees,Spouse, Domestic partner</t>
  </si>
  <si>
    <t>Full-time employees,Retirees,Spouse,Domestic partner, Parents,Grandparents,In-law relatives (e.g., mother-in-law, grandfather-in-law, etc.)</t>
  </si>
  <si>
    <t>Part-time employees,Full-time employees,Spouse, Domestic partner,Parents,Grandparents,In-law relatives (e.g., mother-in-law, grandfather-in-law, etc.)</t>
  </si>
  <si>
    <t>Part-time employees,Full-time employees,Spouse, Domestic partner,Children (until age 26)</t>
  </si>
  <si>
    <t>Full-time employees,Spouse,Domestic partner,Parents, Grandparents</t>
  </si>
  <si>
    <t>Full-time employees,Spouse,Domestic partner,Parents, Grandparents,In-law relatives (e.g., mother-in-law, grandfather-in-law, etc.)</t>
  </si>
  <si>
    <t>Chief Executive Officers (CEO, CFO, CTO, COO, etc.),President, Vice President,Senior Director, Director</t>
  </si>
  <si>
    <t>Chief Executive Officers (CEO, CFO, CTO, COO, etc.),President, Vice President,Senior Director</t>
  </si>
  <si>
    <t>Chief Executive Officers (CEO, CFO, CTO, COO, etc.),President, Vice President</t>
  </si>
  <si>
    <t>Chief Executive Officers (CEO, CFO, CTO, COO, etc.),President, Vice President,Senior Director, Director,Senior Manager</t>
  </si>
  <si>
    <t>Hired as a result of merger/acquisition, International to US employee transfer, Temporary worker hired as an employee, Contractor hired as an employee,Intern hired as an employee,Other contingent worker hired as an employee</t>
  </si>
  <si>
    <t>Hired as a result of merger/acquisition, International to US employee transfer,Intern hired as an employee</t>
  </si>
  <si>
    <t>Hired as a result of merger/acquisition, International to US employee transfer</t>
  </si>
  <si>
    <t>Hired as a result of merger/acquisition, International to US employee transfer, Contractor hired as an employee,Intern hired as an employee,Other contingent worker hired as an employee</t>
  </si>
  <si>
    <t>Vacation,Paid time off (PTO), Unlimited time off</t>
  </si>
  <si>
    <t>Spouse,Domestic partner,Child(ren),Step children,Foster children,Grandchildren,Parent,Parent-in-law,Grandparent, Brother/Sister,Uncle/Aunt</t>
  </si>
  <si>
    <t>Spouse,Domestic partner,Child(ren),Step children,Foster children,Grandchildren,Parent,Parent-in-law,Grandparent, Grandparent-in-law,Brother/Sister,Brother/Sister-in-law, Niece/Nephew,Uncle/Aunt,Cousin</t>
  </si>
  <si>
    <t>Spouse,Domestic partner,Child(ren),Step children,Foster children,Grandchildren,Parent,Parent-in-law,Grandparent, Grandparent-in-law,Brother/Sister,Brother/Sister-in-law</t>
  </si>
  <si>
    <t>Spouse,Domestic partner,Child(ren),Step children,Foster children,Grandchildren,Parent,Parent-in-law,Grandparent, Brother/Sister</t>
  </si>
  <si>
    <t>Spouse,Domestic partner,Child(ren),Step children,Foster children,Grandchildren,Parent,Parent-in-law,Grandparent, Brother/Sister,Brother/Sister-in-law</t>
  </si>
  <si>
    <t>Spouse,Domestic partner,Child(ren),Foster children, Grandchildren,Parent,Parent-in-law,Grandparent, Brother/Sister</t>
  </si>
  <si>
    <t>Housekeeping,Flexible schedule/change in work schedule, Elder care services,Child care services,Pet care</t>
  </si>
  <si>
    <t>Transportation to/from appointments, Elder care services,Child care services,Pet care</t>
  </si>
  <si>
    <t>Housekeeping,Elder care services, Child care services,Pet care</t>
  </si>
  <si>
    <t>Flexible schedule/change in work schedule,Transportation to/from appointments,Elder care services, Child care services,Pet care,Other</t>
  </si>
  <si>
    <t>Complex medical task support, Flexible schedule/change in work schedule,Elder care services,Child care services</t>
  </si>
  <si>
    <t>Housekeeping,Help with shopping, Elder care services,Child care services,Pet care</t>
  </si>
  <si>
    <t>Spouse,Domestic partner,Child(ren),Step children,Grandchildren, Parent,Parent-in-law,Grandparent,Brother/Sister,Brother/Sister-in-law</t>
  </si>
  <si>
    <t>Spouse,Domestic partner,Child(ren),Step children,Foster children, Miscarriage,Grandchildren,Parent,Parent-in-law,Grandparent, Brother/Sister,Brother/Sister-in-law</t>
  </si>
  <si>
    <t>Spouse,Domestic partner,Child(ren),Step children,Foster children, Grandchildren,Parent,Parent-in-law,Grandparent,Brother/Sister, Uncle/Aunt,Cousin</t>
  </si>
  <si>
    <t>Spouse,Domestic partner,Child(ren),Step children,Foster children, Grandchildren,Parent,Parent-in-law,Grandparent,Brother/Sister</t>
  </si>
  <si>
    <t>Spouse,Domestic partner,Child(ren),Step children,Foster children, Grandchildren,Parent,Parent-in-law,Grandparent,Grandparent-in-law, Brother/Sister,Brother/Sister-in-law,Niece/Nephew,Uncle/Aunt, Cousin,Non-relative - other member of employee's household,Pet</t>
  </si>
  <si>
    <t>Spouse,Domestic partner,Child(ren),Step children,Foster children, Miscarriage,Grandchildren,Parent,Parent-in-law,Grandparent, Grandparent-in-law,Brother/Sister,Brother/Sister-in-law,Pet</t>
  </si>
  <si>
    <t>Spouse,Domestic partner,Child(ren),Step children,Foster children, Parent,Parent-in-law,Grandparent,Grandparent-in-law,Brother/Sister, Brother/Sister-in-law</t>
  </si>
  <si>
    <t>Spouse,Domestic partner,Child(ren),Step children,Foster children, Miscarriage,Grandchildren,Parent,Parent-in-law,Grandparent, Brother/Sister,Brother/Sister-in-law,Niece/Nephew,Uncle/Aunt,Cousin</t>
  </si>
  <si>
    <t>Spouse,Domestic partner,Child(ren),Step children,Foster children, Grandchildren,Parent,Parent-in-law,Grandparent,Brother/Sister, Brother/Sister-in-law,Niece/Nephew,Uncle/Aunt,Cousin</t>
  </si>
  <si>
    <t>Spouse,Domestic partner,Child(ren),Step children,Foster children, Grandchildren,Parent,Parent-in-law,Grandparent,Brother/Sister, Brother/Sister-in-law,Niece/Nephew,Uncle/Aunt,Cousin,Non-relative - other member of employee's household</t>
  </si>
  <si>
    <t>Spouse,Domestic partner,Child(ren),Step children,Foster children, Miscarriage,Grandchildren,Parent,Parent-in-law,Grandparent, Grandparent-in-law,Brother/Sister,Brother/Sister-in-law</t>
  </si>
  <si>
    <t>Spouse,Domestic partner,Child(ren),Step children,Foster children, Grandchildren,Parent,Parent-in-law,Grandparent,Brother/Sister, Brother/Sister-in-law,Niece/Nephew,Uncle/Aunt,Cousin,Non-relative - other member of employee's household,Other</t>
  </si>
  <si>
    <t>Spouse,Domestic partner,Child(ren),Step children,Foster children, Miscarriage,Grandchildren,Parent,Parent-in-law,Grandparent, Brother/Sister,Brother/Sister-in-law,Niece/Nephew,Uncle/Aunt, Cousin,Non-relative - other member of employee's household</t>
  </si>
  <si>
    <t>Spouse,Domestic partner,Child(ren),Step children,Foster children, Grandchildren,Parent,Parent-in-law,Grandparent,Brother/Sister, Brother/Sister-in-law,Non-relative - other member of employee's household</t>
  </si>
  <si>
    <t>Spouse,Domestic partner,Child(ren),Step children,Foster children, Grandchildren,Parent,Parent-in-law,Grandparent,Brother/Sister, Brother/Sister-in-law,Pet</t>
  </si>
  <si>
    <t>Spouse,Domestic partner,Child(ren),Step children,Foster children, Grandchildren,Parent,Parent-in-law,Grandparent,Grandparent-in-law, Brother/Sister,Brother/Sister-in-law</t>
  </si>
  <si>
    <t>Spouse,Domestic partner,Child(ren),Step children,Foster children, Grandchildren,Parent,Parent-in-law,Grandparent,Brother/Sister, Brother/Sister-in-law</t>
  </si>
  <si>
    <t>Spouse,Domestic partner,Child(ren),Step children,Foster children, Miscarriage,Grandchildren,Parent,Parent-in-law,Grandparent, Grandparent-in-law,Brother/Sister,Brother/Sister-in-law, Niece/Nephew,Uncle/Aunt,Cousin,Non-relative - other member of employee's household</t>
  </si>
  <si>
    <t>Spouse,Domestic partner,Child(ren),Step children,Foster children, Miscarriage,Grandchildren,Parent,Parent-in-law,Grandparent, Grandparent-in-law,Brother/Sister,Brother/Sister-in-law,Niece/Nephew, Uncle/Aunt,Cousin,Non-relative - other member of employee's household</t>
  </si>
  <si>
    <t>Spouse,Domestic partner,Child(ren),Step children,Foster children, Miscarriage,Grandchildren,Parent,Parent-in-law,Grandparent, Brother/Sister,Brother/Sister-in-law,Other</t>
  </si>
  <si>
    <t>Spouse,Domestic partner,Child(ren),Step children,Grandchildren, Parent,Parent-in-law,Grandparent,Brother/Sister,Brother/Sister-in-law, Niece/Nephew,Uncle/Aunt</t>
  </si>
  <si>
    <t>Spouse,Domestic partner,Child(ren),Step children,Foster children, Miscarriage,Grandchildren,Parent,Parent-in-law,Grandparent, Grandparent-in-law,Brother/Sister,Brother/Sister-in-law, Niece/Nephew,Uncle/Aunt,Cousin</t>
  </si>
  <si>
    <t>Spouse,Domestic partner,Child(ren),Step children,Miscarriage, Grandchildren,Parent,Parent-in-law,Grandparent,Grandparent-in-law, Brother/Sister,Brother/Sister-in-law</t>
  </si>
  <si>
    <t>Spouse,Domestic partner,Child(ren),Step children,Foster children, Grandchildren,Parent,Parent-in-law,Grandparent,Grandparent-in-law, Brother/Sister,Brother/Sister-in-law,Uncle/Aunt</t>
  </si>
  <si>
    <t>Spouse,Domestic partner,Child(ren),Step children,Foster children, Grandchildren,Parent,Parent-in-law,Grandparent,Grandparent-in-law, Brother/Sister,Brother/Sister-in-law,Niece/Nephew,Uncle/Aunt,Cousin</t>
  </si>
  <si>
    <t>Spouse,Domestic partner,Child(ren),Step children,Foster children, Miscarriage,Grandchildren,Parent,Parent-in-law,Grandparent, Grandparent-in-law,Brother/Sister,Brother/Sister-in-law,Niece/Nephew, Uncle/Aunt,Cousin,Non-relative - other member of employee's household,Pet,Other</t>
  </si>
  <si>
    <t>Spouse,Domestic partner,Child(ren),Step children,Foster children, Parent,Parent-in-law,Grandparent,Brother/Sister,Brother/Sister-in-law, Niece/Nephew,Uncle/Aunt</t>
  </si>
  <si>
    <t>Spouse,Domestic partner,Child(ren),Step children,Grandchildren,Parent, Parent-in-law,Grandparent,Brother/Sister</t>
  </si>
  <si>
    <t>Spouse,Domestic partner,Child(ren),Step children,Foster children, Miscarriage,Grandchildren,Parent,Parent-in-law,Grandparent, Grandparent-in-law,Brother/Sister,Brother/Sister-in-law, Niece/Nephew,Uncle/Aunt</t>
  </si>
  <si>
    <t>Spouse,Domestic partner,Child(ren),Step children,Foster children, Miscarriage,Parent,Parent-in-law,Grandparent,Brother/Sister</t>
  </si>
  <si>
    <t>Spouse,Domestic partner,Child(ren),Step children,Foster children, Miscarriage,Grandchildren,Parent,Parent-in-law,Grandparent, Brother/Sister</t>
  </si>
  <si>
    <t>Spouse,Domestic partner,Child(ren),Step children,Foster children, Miscarriage,Grandchildren,Parent,Parent-in-law,Grandparent, Brother/Sister,Brother/Sister-in-law,Niece/Nephew,Uncle/Aunt</t>
  </si>
  <si>
    <t>Spouse,Domestic partner,Child(ren),Step children,Foster children, Miscarriage,Grandchildren,Parent,Parent-in-law,Grandparent, Grandparent-in-law,Brother/Sister,Brother/Sister-in-law,Niece/Nephew, Uncle/Aunt,Cousin,Non-relative - other member of employee's household,Pet</t>
  </si>
  <si>
    <t>American Benefits Consulting, Cambridge,Willis Towers Watson</t>
  </si>
  <si>
    <t>Benz Communications, BusinessSolver,Fidelity</t>
  </si>
  <si>
    <t>Cigna Global/International, Collective Health,Kaiser</t>
  </si>
  <si>
    <t>Cigna Global/International,Kaiser, UnitedHealthcare</t>
  </si>
  <si>
    <t>Cigna Global/International,Kaiser, Optum</t>
  </si>
  <si>
    <t>Cigna Global/International,Kaiser, Through health plans (e.g., UHC, Cigna)</t>
  </si>
  <si>
    <t>Cigna,Cigna Global/International, Kaiser</t>
  </si>
  <si>
    <t>Active Wellness,Real Appeal, Through health plans (e.g., UHC, Cigna)</t>
  </si>
  <si>
    <t>Health Savings Account (HSA) Administration,International Consultants/Brokers,Matching Gifts, Mental/Behavioral Health,Near-Site Health Clinics (Medical),Service Awards,Student Debt/Loan Repayment,Wellness Portal Vendor(s)</t>
  </si>
  <si>
    <t>401(k) Design Consultants,401(k) Investment Consultants,401(k) Plan Recordkeeper/Administration, Mental/Behavioral Health,Non-Qualified Deferred Compensation Recordkeeper/Administration,Non-Qualified Deferred Compensation Trustee,Non-Qualified Deferred Compensation Investment Consultant</t>
  </si>
  <si>
    <t>401(k) Investment Consultants,Disability Claims Administrator,Disability Management (STD and LTD), Life/AD&amp;D,Long-Term Disability Carrier/Administrator,Pre-Tax Commuter/Parking Administration,Short-Term Disability (STD) Administrator</t>
  </si>
  <si>
    <t>Out-of-network payments,Balanced billed amounts (not covered by plan),Penalties (e.g., non-notification penalties), Premiums,Non-emergency ER charges</t>
  </si>
  <si>
    <t>Not applicable service not covered</t>
  </si>
  <si>
    <t>Medical review/prior authorization, Quantity limits,Mail order,Auto-refill,90 Day supply,Custom formulary (e.g., "no waste")</t>
  </si>
  <si>
    <t>Medical review/prior authorization, Quantity limits,Mail order,90 Day supply</t>
  </si>
  <si>
    <t>Out-of-network payments,Balanced billed amounts (not covered by plan),Penalties (e.g., non-notification penalties),Premiums, Non-emergency ER charges</t>
  </si>
  <si>
    <t>Deductibles,Out-of-network payments,Balanced billed amounts (not covered by plan),Penalties (e.g., non-notification penalties), Premiums,Non-emergency ER charges</t>
  </si>
  <si>
    <t>Deductibles,Co-insurance payments,Out-of-network payments,Balanced billed amounts (not covered by plan),Penalties (e.g., non-notification penalties), Premiums,Non-emergency ER charges</t>
  </si>
  <si>
    <t>General/primary care office visit,Specialist office visit, Autism/applied behavioral analysis (ABA),ER,Telehealth</t>
  </si>
  <si>
    <t>Step therapy,Medical review/prior authorization,Quantity limits, Specialty medication program,Mail order,Auto-refill,90 Day supply, Custom formulary (e.g., "no waste")</t>
  </si>
  <si>
    <t>Step therapy,Medical review/prior authorization,Quantity limits, Specialty medication program, Custom formulary (e.g., "no waste")</t>
  </si>
  <si>
    <t>Medical review/prior authorization, Quantity limits,Specialty medication program,Mail order,90 Day supply,Custom formulary (e.g., "no waste")</t>
  </si>
  <si>
    <t>Biliopancreatic bypass,Duodenal switch,Gastric sleeve procedure, Lap adjustable gastric bands, Vertical banded gastroplasty</t>
  </si>
  <si>
    <t>Duodenal switch,Gastric bypass, Gastric sleeve procedure,Lap adjustable gastric bands,Vertical banded gastroplasty</t>
  </si>
  <si>
    <t>Biliopancreatic bypass,Gastric bypass,Gastric sleeve procedure, Lap adjustable gastric bands</t>
  </si>
  <si>
    <t>Always covered - no medical review required,Covered for medical condition treatment (e.g., back pain),Covered for medical condition maintenance,Covered - preventive, Medical review required after specified number of treatments,Not covered after specified number of treatments</t>
  </si>
  <si>
    <t>Physical therapy,Occupational therapy,Speech therapy, Applied behavioral therapy,Early Intensive behavior interventions,Diagnostic testing (obtaining formal ASD diagnosis)</t>
  </si>
  <si>
    <t>Physical therapy,Occupational therapy,Speech therapy, Applied behavioral therapy,Early Intensive behavior interventions</t>
  </si>
  <si>
    <t>Physical therapy,Occupational therapy,Speech therapy, Medical specialist services (e.g., neurology),Applied behavioral therapy,Early Intensive behavior interventions, Psychiatry and/or psychologist related services,Diagnostic testing (obtaining formal ASD diagnosis)</t>
  </si>
  <si>
    <t>Physical therapy,Occupational therapy,Speech therapy, Medical specialist services (e.g., neurology),Applied behavioral therapy,Early Intensive behavior interventions,Psychiatry and/or psychologist related services,Diagnostic testing (obtaining formal ASD diagnosis)</t>
  </si>
  <si>
    <t>Physical therapy,Occupational therapy,Speech therapy, Applied behavioral therapy,Early Intensive behavior interventions,Psychiatry and/or psychologist related services,Diagnostic testing (obtaining formal ASD diagnosis)</t>
  </si>
  <si>
    <t>Physical therapy,Occupational therapy,Speech therapy, Medical specialist services (e.g., neurology),Durable medical equipment (e.g., speech device),Applied behavioral therapy,Early Intensive behavior interventions,Psychiatry and/or psychologist related services,Diagnostic testing (obtaining formal ASD diagnosis)</t>
  </si>
  <si>
    <t>Physical therapy,Occupational therapy,Speech therapy, Medical specialist services (e.g., neurology),Applied behavioral therapy,Psychiatry and/or psychologist related services,Diagnostic testing (obtaining formal ASD diagnosis)</t>
  </si>
  <si>
    <t>Physical therapy,Occupational therapy,Speech therapy, Medical specialist services (e.g., neurology),Durable medical equipment (e.g., speech device),Applied behavioral therapy</t>
  </si>
  <si>
    <t>Physical therapy,Occupational therapy,Speech therapy, Medical specialist services (e.g., neurology),Durable medical equipment (e.g., speech device),Applied behavioral therapy,Early Intensive behavior interventions, Psychiatry and/or psychologist related services,Diagnostic testing (obtaining formal ASD diagnosis)</t>
  </si>
  <si>
    <t>Physical therapy,Occupational therapy,Speech therapy, Medical specialist services (e.g., neurology),Durable medical equipment (e.g., speech device),Applied behavioral therapy,Early Intensive behavior interventions,Psychiatry and/or psychologist related services,Diagnostic testing (obtaining formal ASD diagnosis),Tuition for services which are school based for children/adolescents under the Individuals with Disabilities Education Act</t>
  </si>
  <si>
    <t>Physical therapy,Occupational therapy,Speech therapy, Applied behavioral therapy</t>
  </si>
  <si>
    <t>Physical therapy,Occupational therapy,Speech therapy, Early Intensive behavior interventions,Psychiatry and/or psychologist related services</t>
  </si>
  <si>
    <t>Physical therapy,Occupational therapy,Speech therapy, Medical specialist services (e.g., neurology),Durable medical equipment (e.g., speech device),Applied behavioral therapy,Psychiatry and/or psychologist related services</t>
  </si>
  <si>
    <t>Physical therapy,Occupational therapy,Speech therapy, Medical specialist services (e.g., neurology),Durable medical equipment (e.g., speech device),Applied behavioral therapy,Psychiatry and/or psychologist related services,Diagnostic testing (obtaining formal ASD diagnosis)</t>
  </si>
  <si>
    <t>Physical therapy,Occupational therapy,Speech therapy, Applied behavioral therapy,Psychiatry and/or psychologist related services,Diagnostic testing (obtaining formal ASD diagnosis)</t>
  </si>
  <si>
    <t>Physical therapy,Occupational therapy,Speech therapy, Applied behavioral therapy,Early Intensive behavior interventions,Psychiatry and/or psychologist related services</t>
  </si>
  <si>
    <t>Physical therapy,Occupational therapy,Speech therapy, Durable medical equipment (e.g., speech device)</t>
  </si>
  <si>
    <t>Physical therapy,Occupational therapy,Speech therapy, Medical specialist services (e.g., neurology),Applied behavioral therapy,Psychiatry and/or psychologist related services</t>
  </si>
  <si>
    <t>Physical therapy,Occupational therapy,Speech therapy, Medical specialist services (e.g., neurology),Applied behavioral therapy,Tuition for services which are school based for children/adolescents under the Individuals with Disabilities Education Act</t>
  </si>
  <si>
    <t>Physical therapy,Occupational therapy,Speech therapy, Applied behavioral therapy,Diagnostic testing (obtaining formal ASD diagnosis)</t>
  </si>
  <si>
    <t>Social skills classes and groups, RDI</t>
  </si>
  <si>
    <t>Social skills classes and groups, Floor time,RDI</t>
  </si>
  <si>
    <t>Vitamin or nutritional supplements based on laboratory results and recommended by licensed nutritionist (e.g., B12 Injections, Probiotics),Vision therapy, Hyperbaric chambers</t>
  </si>
  <si>
    <t>Social skills classes and groups, Floor time,RDI,PECs</t>
  </si>
  <si>
    <t>Services and therapies associated with learning and activities such as art, dance, music, swimming, etc., Therapeutic horseback riding,Social skills classes and groups,Floor time,RDI</t>
  </si>
  <si>
    <t>Vitamin or nutritional supplements based on laboratory results and recommended by licensed nutritionist (e.g., B12 Injections, Probiotics),RDI,Vision therapy, Aqua therapy,Hyperbaric chambers</t>
  </si>
  <si>
    <t xml:space="preserve">Mutual funds,Self-directed brokerage </t>
  </si>
  <si>
    <t>Mutual funds,Self-directed brokerage ,Other</t>
  </si>
  <si>
    <t>Mutual funds,Self-directed brokerage,CDs</t>
  </si>
  <si>
    <t>Mutual funds,CDs,Other</t>
  </si>
  <si>
    <t>HSA “how-to” Guide,Emails, Webinars</t>
  </si>
  <si>
    <t>HSA “how-to” Guide,Emails,Flyers, Presentations,Mobile technology, Videos,Webinars,Group presentations</t>
  </si>
  <si>
    <t>HSA “how-to” Guide,Emails,Flyers, Videos,Webinars</t>
  </si>
  <si>
    <t>HSA “how-to” Guide,Emails, Presentations,Videos,Webinars</t>
  </si>
  <si>
    <t>HSA “how-to” Guide,Emails, Presentations,Webinars</t>
  </si>
  <si>
    <t>HSA “how-to” Guide,Emails,Flyers, Presentations,Webinars</t>
  </si>
  <si>
    <t>HSA “how-to” Guide, Presentations,Webinars</t>
  </si>
  <si>
    <t>HSA “how-to” Guide,Presentations, Webinars</t>
  </si>
  <si>
    <t>HSA “how-to” Guide,Emails, Presentations,Group presentations</t>
  </si>
  <si>
    <t>HSA “how-to” Guide,Presentations, Videos,Webinars</t>
  </si>
  <si>
    <t>HSA “how-to” Guide,Flyers,Videos, Webinars</t>
  </si>
  <si>
    <t>HSA “how-to” Guide,Emails, Flyers,Mobile technology,Webinars</t>
  </si>
  <si>
    <t>HSA “how-to” Guide,Emails,Flyers, Presentations,Webinars,Group presentations,Other</t>
  </si>
  <si>
    <t>HSA “how-to” Guide,Emails, Presentations</t>
  </si>
  <si>
    <t>HSA “how-to” Guide,Videos, Webinars</t>
  </si>
  <si>
    <t>HSA “how-to” Guide,Emails, Flyers,Presentations,Webinars, Group presentations</t>
  </si>
  <si>
    <t>Emails,Presentations,Videos, Webinars</t>
  </si>
  <si>
    <t>HSA “how-to” Guide,Flyers, Presentations,Videos</t>
  </si>
  <si>
    <t>Emails,Flyers,Presentations, Videos,Webinars</t>
  </si>
  <si>
    <t>HSA “how-to” Guide,Emails,Flyers, Webinars</t>
  </si>
  <si>
    <t>HSA “how-to” Guide,Emails,Flyers, Presentations,Videos,Webinars</t>
  </si>
  <si>
    <t>Contribution limits,Understanding the tax benefits of the HSA,Investing HSA assets,Medicare impact on HSA contributions,High Deducible Healthcare Plan “Shoeboxing” – paying expenses out-of-pocket and saving receipts for reimbursement later</t>
  </si>
  <si>
    <t>Contribution limits,Choosing between contributing to the HSA vs. the 401(k) plan,Spending down the FSA before the HSA,Understanding the tax benefits of the HSA,Investing HSA assets,Medicare impact on HSA contributions,High Deducible Healthcare Plan “Shoeboxing” – paying expenses out-of-pocket and saving receipts for reimbursement later</t>
  </si>
  <si>
    <t>Custom Progressive Lenses,Polycarbonate Lenses Premium Progressive Lenses,Standard Progressive Lenses</t>
  </si>
  <si>
    <t>Polycarbonate Lenses,Retinal Screening (Diabetic),Retinal Screening (Non-Diabetic),Standard Progressive Lenses</t>
  </si>
  <si>
    <t>Polycarbonate Lenses,Retinal Screening (Non-Diabetic),Standard Progressive Lenses</t>
  </si>
  <si>
    <t>Custom Progressive Lenses,Polycarbonate Lenses,Standard Progressive Lenses,UV Protection</t>
  </si>
  <si>
    <t>Anti-Reflective Coatings,Blue light glasses,Computer Glasses,Custom Progressive Lenses,Premium Progressive Lenses,Retinal Screening (Diabetic),Retinal Screening (Non-Diabetic),Standard Progressive Lenses</t>
  </si>
  <si>
    <t>Anti-Reflective Coatings,Computer Glasses,Custom Progressive Lenses,Premium Progressive Lenses,Standard Progressive Lenses</t>
  </si>
  <si>
    <t>Anti-Reflective Coatings,Blue light glasses,Custom Progressive Lenses,Premium Progressive Lenses,Scratch-Resistant Coating ,Standard Progressive Lenses</t>
  </si>
  <si>
    <t>Anti-Reflective Coatings,Blue light glasses,Premium Progressive Lenses,Retinal Screening (Diabetic),Standard Progressive Lenses,UV Protection</t>
  </si>
  <si>
    <t>Polycarbonate Lenses,Retinal Screening (Diabetic),Retinal Screening (Non-Diabetic),Standard Progressive Lenses,UV Protection</t>
  </si>
  <si>
    <t>Custom Progressive Lenses,Polycarbonate Lenses,Premium Progressive Lenses,Standard Progressive Lenses</t>
  </si>
  <si>
    <t>Anti-Reflective Coatings,Custom Progressive Lenses,Polycarbonate Lenses,Premium Progressive Lenses,Retinal Screening (Diabetic), Retinal Screening (Non-Diabetic),Scratch-Resistant Coating,Standard Progressive Lenses,Tinted (Colored) Lenses,UV Protection</t>
  </si>
  <si>
    <t>Anti-Reflective Coatings,Custom Progressive Lenses,Premium Progressive Lenses,Retinal Screening (Diabetic),Scratch-Resistant Coating,Standard Progressive Lenses,Tinted (Colored) Lenses,UV Protection</t>
  </si>
  <si>
    <t>Anti-Reflective Coatings,Custom Progressive Lenses,Photochromic Adaptive Lenses,Polycarbonate Lenses,Premium Progressive Lenses,Retinal Screening (Diabetic),Retinal Screening (Non-Diabetic),Scratch-Resistant Coating ,Standard Progressive Lenses,Tinted (Colored) Lenses,UV Protection</t>
  </si>
  <si>
    <t>Anti-Reflective Coatings,Blue light glasses,Computer Glasses,Custom Progressive Lenses,Photochromic Adaptive Lenses,Polycarbonate Lenses,Premium Progressive Lenses,Retinal Screening (Diabetic), Retinal Screening (Non-Diabetic),Scratch-Resistant Coating,Standard Progressive Lenses,Tinted (Colored) Lenses,UV Protection</t>
  </si>
  <si>
    <t>Anti-Reflective Coatings,Photochromic Adaptive Lenses,Polycarbonate Lenses,Retinal Screening (Diabetic),Retinal Screening (Non-Diabetic),Standard Progressive Lenses,UV Protection</t>
  </si>
  <si>
    <t>Anti-Reflective Coatings,Polycarbonate Lenses,Premium Progressive Lenses,Scratch-Resistant Coating,Standard Progressive Lenses,Tinted (Colored) Lenses,UV Protection</t>
  </si>
  <si>
    <t>Anti-Reflective Coatings,Computer Glasses,Custom Progressive Lenses,Premium Progressive Lenses,Retinal Screening (Diabetic), Retinal Screening (Non-Diabetic),Standard Progressive Lenses</t>
  </si>
  <si>
    <t>Anti-Reflective Coatings,Blue light glasses,Computer Glasses,Custom Progressive Lenses,High Index Lenses,Photochromic Adaptive Lenses,Polycarbonate Lenses,Premium Progressive Lenses,Retinal Screening (Diabetic),Retinal Screening (Non-Diabetic),Scratch-Resistant Coating,Standard Progressive Lenses,Tinted (Colored) Lenses,UV Protection</t>
  </si>
  <si>
    <t>Anti-Reflective Coatings,Custom Progressive Lenses,High Index Lenses,Oversized Lenses,Photochromic Adaptive Lenses, Polycarbonate Lenses,Premium Progressive Lenses,Retinal Screening (Diabetic),Retinal Screening (Non-Diabetic),Scratch-Resistant Coating,Standard Progressive Lenses,Tinted (Colored) Lenses,UV Protection</t>
  </si>
  <si>
    <t>Anti-Reflective Coatings,Blue light glasses,Computer Glasses,Custom Progressive Lenses,Polycarbonate Lenses,Premium Progressive Lenses,Retinal Screening (Diabetic),Retinal Screening (Non-Diabetic),Standard Progressive Lenses,UV Protection</t>
  </si>
  <si>
    <t>Anti-Reflective Coatings,Custom Progressive Lenses,Oversized Lenses,Photochromic Adaptive Lenses,Polycarbonate Lenses,Premium Progressive Lenses,Retinal Screening (Diabetic),Scratch-Resistant Coating,Standard Progressive Lenses,Tinted (Colored) Lenses,UV Protection</t>
  </si>
  <si>
    <t>Anti-Reflective Coatings,Computer Glasses,Custom Progressive Lenses,High Index Lenses,Oversized Lenses,Photochromic Adaptive Lenses,Polycarbonate Lenses,Premium Progressive Lenses,Retinal Screening (Diabetic),Retinal Screening (Non-Diabetic),Scratch-Resistant Coating,Standard Progressive Lenses,Tinted (Colored) Lenses,UV Protection</t>
  </si>
  <si>
    <t>Anti-Reflective Coatings,Blue light glasses,Computer Glasses,Custom Progressive Lenses,High Index Lenses,Oversized Lenses,Photochromic Adaptive Lenses,Polycarbonate Lenses,Premium Progressive Lenses, Retinal Screening (Diabetic),Retinal Screening (Non-Diabetic),Scratch-Resistant Coating,Standard Progressive Lenses,Tinted (Colored) Lenses,UV Protection</t>
  </si>
  <si>
    <t>Anti-Reflective Coatings,Custom Progressive Lenses,High Index Lenses,Oversized Lenses,Photochromic Adaptive Lenses, Polycarbonate Lenses,Premium Progressive Lenses,Retinal Screening (Diabetic),Scratch-Resistant Coating,Standard Progressive Lenses,Tinted (Colored) Lenses,UV Protection</t>
  </si>
  <si>
    <t>Anti-Reflective Coatings,Blue light glasses,Computer Glasses,Custom Progressive Lenses,High Index Lenses,Oversized Lenses,Photochromic Adaptive Lenses,Polycarbonate Lenses,Premium Progressive Lenses,Retinal Screening (Diabetic),Retinal Screening (Non-Diabetic) ,Scratch-Resistant Coating,Standard Progressive Lenses,Tinted (Colored) Lenses,UV Protection</t>
  </si>
  <si>
    <t>Computer Glasses,Custom Progressive Lenses,Premium Progressive Lenses,Retinal Screening (Diabetic),Retinal Screening (Non-Diabetic), Standard Progressive Lenses</t>
  </si>
  <si>
    <t>Anti-Reflective Coatings,Computer Glasses,Oversized Lenses, Photochromic Adaptive Lenses,Polycarbonate Lenses,Retinal Screening (Diabetic),Retinal Screening (Non-Diabetic),Scratch-Resistant Coating,Standard Progressive Lenses,Tinted (Colored) Lenses,UV Protection</t>
  </si>
  <si>
    <t>Anti-Reflective Coatings,Computer Glasses,Scratch-Resistant Coating,UV Protection</t>
  </si>
  <si>
    <t>Anti-Reflective Coatings,Blue light glasses,Computer Glasses,Custom Progressive Lenses,High Index Lenses,Photochromic Adaptive Lenses,Polycarbonate Lenses,Retinal Screening (Diabetic),Standard Progressive Lenses,Tinted (Colored) Lenses,UV Protection</t>
  </si>
  <si>
    <t>Custom Progressive Lenses,Premium Progressive Lenses,Retinal Screening (Diabetic),Retinal Screening (Non-Diabetic),Standard Progressive Lenses,Tinted (Colored) Lenses,UV Protection</t>
  </si>
  <si>
    <t>Anti-Reflective Coatings,Blue light glasses,Computer Glasses,Custom Progressive Lenses,Oversized Lenses,Photochromic Adaptive Lenses,Polycarbonate Lenses,Retinal Screening (Diabetic),Retinal Screening (Non-Diabetic),Scratch-Resistant Coating,Standard Progressive Lenses,Tinted (Colored) Lenses,UV Protection</t>
  </si>
  <si>
    <t>Anti-Reflective Coatings,Blue light glasses,Computer Glasses,High Index Lenses,Retinal Screening (Diabetic),Retinal Screening (Non-Diabetic),Scratch-Resistant Coating,UV Protection</t>
  </si>
  <si>
    <t>Anti-Reflective Coatings,Blue light glasses,Custom Progressive Lenses,Photochromic Adaptive Lenses,Premium Progressive Lenses,Retinal Screening (Diabetic),Retinal Screening (Non-Diabetic),Standard Progressive Lenses,Tinted (Colored) Lenses</t>
  </si>
  <si>
    <t>Anti-Reflective Coatings,Custom Progressive Lenses,High Index Lenses,Premium Progressive Lenses,Retinal Screening (Diabetic), Retinal Screening (Non-Diabetic),Scratch-Resistant Coating,Standard Progressive Lenses,Tinted (Colored) Lenses,UV Protection</t>
  </si>
  <si>
    <t>Anti-Reflective Coatings,Blue light glasses,Custom Progressive Lenses,Polycarbonate Lenses,Premium Progressive Lenses,Retinal Screening (Diabetic),Retinal Screening (Non-Diabetic),Scratch-Resistant Coating ,Standard Progressive Lenses</t>
  </si>
  <si>
    <t>Blue light glasses,Computer Glasses,Custom Progressive Lenses, Polycarbonate Lenses,Premium Progressive Lenses,Retinal Screening (Diabetic),Retinal Screening (Non-Diabetic),Standard Progressive Lenses,UV Protection</t>
  </si>
  <si>
    <t>Anti-Reflective Coatings,Blue light glasses,Custom Progressive Lenses,Photochromic Adaptive Lenses,Polycarbonate Lenses,Premium Progressive Lenses,Retinal Screening (Diabetic),Retinal Screening (Non-Diabetic),Scratch-Resistant Coating,Standard Progressive Lenses,UV Protection</t>
  </si>
  <si>
    <t>Anti-Reflective Coatings,Computer Glasses,Custom Progressive Lenses,Polycarbonate Lenses,Premium Progressive Lenses,Retinal Screening (Diabetic),Retinal Screening (Non-Diabetic),Scratch-Resistant Coating,Standard Progressive Lenses</t>
  </si>
  <si>
    <t>Anti-Reflective Coatings,Blue light glasses,Computer Glasses, Polycarbonate Lenses,Premium Progressive Lenses,Retinal Screening (Diabetic),Retinal Screening (Non-Diabetic),Scratch-Resistant Coating ,Standard Progressive Lenses,Tinted (Colored) Lenses,UV Protection</t>
  </si>
  <si>
    <t>Primary indemnity medical plan non-authorization/notification/ not qualified services penalties applied: General/Primary care office visit</t>
  </si>
  <si>
    <t>Primary indemnity medical plan non-authorization/notification/ not qualified services penalties applied: Specialist office visit</t>
  </si>
  <si>
    <t>Primary indemnity medical plan non-authorization/notification/ not qualified services penalties applied: Emergency room</t>
  </si>
  <si>
    <t>Primary indemnity medical plan non-authorization/notification/ not qualified services penalties applied: Urgent office visit</t>
  </si>
  <si>
    <t>Primary indemnity medical plan non-authorization/notification/ not qualified services penalties applied: Telehealth</t>
  </si>
  <si>
    <t>Primary indemnity medical plan non-authorization/notification/ not qualified services penalties applied: Other</t>
  </si>
  <si>
    <t>Individual must meet Class III Obesity (40+BMI),Individual must meet Class II Obesity (35+BMI w/one or more co-morbidities (e.g., Cardiovascular Disease, Type 2 Diabetes, Severe Sleep Apnea, etc.)),Documentation of a motivated attempt of weight loss through a structured diet program</t>
  </si>
  <si>
    <t>Individual must meet Class II Obesity (35+BMI w/one or more co-morbidities (e.g., Cardiovascular Disease, Type 2 Diabetes, Severe Sleep Apnea, etc.)),Medical Review/Prior Authorization Required</t>
  </si>
  <si>
    <t>Individual must meet Class III Obesity (40+BMI),Individual must meet Class II Obesity (35+BMI w/one or more co-morbidities (e.g., Cardiovascular Disease, Type 2 Diabetes, Severe Sleep Apnea, etc.)),Procedure must performed by a designated Center of Excellence (COE),Individual must participate in the plan's Bariatric Care Management Program,Medical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</si>
  <si>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etc.)),Medical Review/Prior Authorization Required</t>
  </si>
  <si>
    <t>Individual must meet Class III Obesity (40+BMI),Individual must meet Class II Obesity (35+BMI w/one or more co-morbidities (e.g., Cardiovascular Disease, Type 2 Diabetes, Severe Sleep Apnea, etc.)),Procedure must performed by a designated Center of Excellence (COE),Medical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</si>
  <si>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etc.)),Individual must participate in the plan's Bariatric Care Management Program,Medical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</si>
  <si>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t>
  </si>
  <si>
    <t>Individual must meet Class III Obesity (40+BMI),Individual must meet Class II Obesity (35+BMI w/one or more co-morbidities (e.g., Cardiovascular Disease, Type 2 Diabetes, Severe Sleep Apnea, etc.)),Medical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</si>
  <si>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 Obesity (35+BMI w/one or more co-morbidities (e.g., Cardiovascular Disease, Type 2 Diabetes, Severe Sleep Apnea, etc.)),Procedure must performed by a designated Center of Excellence (COE),Medical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</si>
  <si>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 Obesity (35+BMI w/one or more co-morbidities (e.g., Cardiovascular Disease, Type 2 Diabetes, Severe Sleep Apnea, etc.)),Medical Review/Prior Authorization Required,Documentation of a motivated attempt of weight loss through a structured diet program</t>
  </si>
  <si>
    <t>Individual must meet Class III Obesity (40+BMI),Individual must meet Class II Obesity (35+BMI w/one or more co-morbidities (e.g., Cardiovascular Disease, Type 2 Diabetes, Severe Sleep Apnea, etc.)),Medical Review/Prior Authorization Required,Documentation of a motivated attempt of weight loss through a structured diet program</t>
  </si>
  <si>
    <t>Individual must meet Class III Obesity (40+BMI),Individual must meet Class II Obesity (35+BMI w/one or more co-morbidities (e.g., Cardiovascular Disease, Type 2 Diabetes, Severe Sleep Apnea, etc.)),Individual must participate in the plan's Bariatric Care Management Program,Medical Review/Prior Authorization Required,Documentation of a motivated attempt of weight loss through a structured diet program</t>
  </si>
  <si>
    <t>Individual must meet Class II Obesity (35+BMI w/one or more co-morbidities (e.g., Cardiovascular Disease, Type 2 Diabetes, Severe Sleep Apnea, etc.)),Procedure must performed by a designated Center of Excellence (COE),Individual must participate in the plan's Bariatric Care Management Program,Medical Review/Prior Authorization Required,Documentation of a motivated attempt of weight loss through a structured diet program,Psychosocial-behavioral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</si>
  <si>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etc.)),Medical Review/Prior Authorization Required,Psychosocial-behavioral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</si>
  <si>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etc.)),Procedure must performed by a designated Center of Excellence (COE),Documentation of a motivated attempt of weight loss through a structured diet program,Psychosocial-behavioral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</si>
  <si>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etc.)),Procedure must performed by a designated Center of Excellence (COE),Medical Review/Prior Authorization Required,Psychosocial-behavioral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</si>
  <si>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etc.)),Procedure must performed by a designated Center of Excellence (COE),Individual must participate in the plan's Bariatric Care Management Program,Medical Review/Prior Authorization Required</t>
  </si>
  <si>
    <t>Individual must meet Class III Obesity (40+BMI),Individual must meet Class II Obesity (35+BMI w/one or more co-morbidities (e.g., Cardiovascular Disease, Type 2 Diabetes, Severe Sleep Apnea, etc.)),Procedure must performed by a designated Center of Excellence (COE),Individual must participate in the plan's Bariatric Care Management Program,Medical Review/Prior Authorization Required,Psychosocial-behavioral evaluation to screen &amp; identify potential risk factors that may contribute to poor clinical outcomes</t>
  </si>
  <si>
    <t>Individual must meet Class III Obesity (40+BMI),Individual must meet Class II Obesity (35+BMI w/one or more co-morbidities (e.g., Cardiovascular Disease, Type 2 Diabetes, Severe Sleep Apnea, etc.)),Psychosocial-behavioral evaluation to screen &amp; identify potential risk factors that may contribute to poor clinical outcomes</t>
  </si>
  <si>
    <t>Primary self-insured medical plan: Infertility oral prescription medication coverage</t>
  </si>
  <si>
    <t>Primary self-insured medical plan: Plan requirements for elective single embryo transplant (eSET)</t>
  </si>
  <si>
    <t>Company payment of other non-account maintenance fees associated with an individual's HSA</t>
  </si>
  <si>
    <t>Primary PPO dental plan: In-network individual deductible</t>
  </si>
  <si>
    <t>Primary PPO dental plan: In-network family deductible</t>
  </si>
  <si>
    <t>Primary PPO dental plan: Out-of-network individual deductible</t>
  </si>
  <si>
    <t>Primary PPO dental plan: Out-of-network family deductible</t>
  </si>
  <si>
    <t>Primary PPO dental plan: Maximum annual/calendar year limit (individual - excludes ortho)</t>
  </si>
  <si>
    <t>Primary PPO dental plan: Maximum annual/calendar year limit (family)</t>
  </si>
  <si>
    <t>Primary PPO dental plan: Maximum lifetime orthodontia limit (individual)</t>
  </si>
  <si>
    <t>Primary PPO dental plan: Maximum lifetime orthodontia limit (family)</t>
  </si>
  <si>
    <t>Primary PPO dental plan: In-network preventive services coinsurance</t>
  </si>
  <si>
    <t>Primary PPO dental plan: Out-of-network preventive services coinsurance</t>
  </si>
  <si>
    <t>Primary PPO dental plan: In-network basic services coinsurance</t>
  </si>
  <si>
    <t>Primary PPO dental plan: Out-of-network basic services coinsurance</t>
  </si>
  <si>
    <t>Primary PPO dental plan: In-network major services coinsurance</t>
  </si>
  <si>
    <t>Primary PPO dental plan: Out-of-network major services coinsurance</t>
  </si>
  <si>
    <t>Primary PPO dental plan: In-network orthodontia coinsurance</t>
  </si>
  <si>
    <t>Primary PPO dental plan: Out-of-network orthodontia coinsurance</t>
  </si>
  <si>
    <t>Anti-Reflective Coatings,Blue light glasses,Computer Glasses,Custom Progressive Lenses,Oversized Lenses,Photochromic Adaptive Lenses,Polycarbonate Lenses,Premium Progressive Lenses,Retinal Screening (Diabetic),Retinal Screening (Non-Diabetic),Scratch-Resistant Coating ,Standard Progressive Lenses,Tinted (Colored) Lenses,UV Protection</t>
  </si>
  <si>
    <t>Anti-Reflective Coatings,Computer Glasses,Photochromic Adaptive Lenses,Polycarbonate Lenses,Scratch-Resistant Coating,Tinted (Colored) Lenses,UV Protection</t>
  </si>
  <si>
    <t>Custom Progressive Lenses,Polycarbonate Lenses,Premium Progressive Lenses,Retinal Screening (Diabetic),Retinal Screening (Non-Diabetic),Standard Progressive Lenses</t>
  </si>
  <si>
    <t>Anti-Reflective Coatings,Blue light glasses,Computer Glasses,Custom Progressive Lenses,Photochromic Adaptive Lenses,Polycarbonate Lenses,Premium Progressive Lenses,Retinal Screening (Diabetic), Retinal Screening (Non-Diabetic),Standard Progressive Lenses,Tinted (Colored) Lenses,UV Protection</t>
  </si>
  <si>
    <t xml:space="preserve">Anti-Reflective Coatings,Computer Glasses,Custom Progressive Lenses,High Index Lenses,Photochromic Adaptive Lenses, Polycarbonate Lenses,Premium Progressive Lenses,Retinal Screening (Diabetic),Retinal Screening (Non-Diabetic),Standard Progressive Lenses,Tinted (Colored) Lenses </t>
  </si>
  <si>
    <t>Anti-Reflective Coatings,Blue light glasses,Computer Glasses,Custom Progressive Lenses,High Index Lenses,Oversized Lenses,Photochromic Adaptive Lenses,Polycarbonate Lenses,Premium Progressive Lenses,Retinal Screening (Diabetic),Retinal Screening (Non-Diabetic), Scratch-Resistant Coating,Standard Progressive Lenses,Tinted (Colored) Lenses,UV Protection</t>
  </si>
  <si>
    <t>Formal volunteer work program offered</t>
  </si>
  <si>
    <t>Gender identities tracked</t>
  </si>
  <si>
    <t>Wall Street Journal:  The Management Top 250 Ranking, Forbes: Top 100 Female Friend Companies in World, Forbes: One of Worlds Best Employers of 2021, Great Place to Work certification; Forbes:  Best US Company for Diversity for third straight year, Barrons: Most Sustainable Company, Newsweek:  America's Most Responsible Company 2021 List</t>
  </si>
  <si>
    <t>2021 Forbes World's Top Female Friendly Company, Top 10 Best Workplaces for Dads, Best Places to Work For Disability Inclusion</t>
  </si>
  <si>
    <t>Forbes Best Employers for Diversity; Forbes Best Employer for Women; CRN's 2021 Security 100 List; CPD Climate A List; ComputerWorld/Insider Pro Best Places to Work in IT; and Glassdoor Best Places to Work</t>
  </si>
  <si>
    <t>Vaccine &amp; Booster Clinics; Flu shot clinics; Increased subsidized backup care from 15 days to 30 days for 1 year</t>
  </si>
  <si>
    <t>Acquisition (deal not yet closed)</t>
  </si>
  <si>
    <t>acquired 2 companies</t>
  </si>
  <si>
    <t>Acquired four organizations</t>
  </si>
  <si>
    <t>Added gym equipment, wellness apps/wearables, tutoring/virtual childcare care to wellbeing allowance</t>
  </si>
  <si>
    <t>Completed 5 acquisitions of global companies</t>
  </si>
  <si>
    <t>Enhanced bereavement leave to 20 days annually on a global basis; Also enhanced our parental and family care leave benefits to be the greater of 100% base salary or 80% on target earnings, this plan design is now global.</t>
  </si>
  <si>
    <t>Completed one acquisition</t>
  </si>
  <si>
    <t>Added a new Wellbeing rembursement program</t>
  </si>
  <si>
    <t>o	Enhancing the vacation plan to grow with your tenure at Company (moving from 3-4 weeks to 3-5 weeks based on years of service); o	Allowing employees without rollover of vacation, the ability to rollover up to 40 hours of unused vacation from 2022 into 2023, and thereafter; o	Adding an additional floating holiday for more time off (bringing holidays from 11 to 12 days);o	Adding 4 additional weeks to Company’s paid parental leave benefits for bonding time in the twelve months following a birth, adoption or foster event (bringing paid parental leave from 8 to 12 weeks)</t>
  </si>
  <si>
    <t>Recognized Juneteenth as Company holiday</t>
  </si>
  <si>
    <t>Added extra mental health days</t>
  </si>
  <si>
    <t>Added Company wide days off, including a company wide closure for the week between Christmas and New Year's Day</t>
  </si>
  <si>
    <t>Review and refresh HIPAA</t>
  </si>
  <si>
    <t>Successful acquisition close &amp; associated activities</t>
  </si>
  <si>
    <t>Boost awareness and engagement of Company’s wellness programs to existing team members and showcase our broad offerings to attract new talent through a viral-style music video.</t>
  </si>
  <si>
    <t>Connect the dots to purpose</t>
  </si>
  <si>
    <t>An employee and his or her partner qualify as domestic partners when they: •	are each other's sole domestic partner, and intend to remain so indefinitely; •	are not married to or legally separated from anyone else nor engaged in 	another domestic partnership; •	are both at least eighteen (18) years of age and mentally competent to 		consent to contract; 	•	are not related by blood to a degree of closeness that would prohibit legal 		marriage in the state in which they legally reside; 	•	cohabit and reside together in the same residence and intend to do so 		indefinitely, and have resided in the same household for at least six months; •	are engaged in a committed relationship of mutual caring and support and 		are jointly responsible for common welfare and living expenses. 		Interdependence is demonstrated by at least three of the following (please 		check appropriate items): 		- Common ownership of real property or a common leasehold interest in 		property 		- Common ownership of a motor vehicle 		- Driver’s license listing a common address 		- Proof of joint bank accounts or credit accounts 		- Proof of designation as the primary beneficiary for life insurance or 		retirement benefits, or primary beneficiary designation under a partner’s 		will 		- Assignment of a durable property power of attorney or health care power 		of attorney; 	Or 		- Where legal and available, State Certificate of Registration of Domestic 		Partnership; 	and 	•	are not in this relationship solely for the purpose of obtaining benefits coverage.</t>
  </si>
  <si>
    <t>Domestic Partner  means a same or opposite sex domestic partner of an Eligible Employee who has entered into one of the following arrangements with an Eligible Employee: (a) a domestic partnership affidavit as defined in the Company s Statement of Domestic Partner Relationship form specified in the Company s intranet, (b) a registered domestic partnership, or (c) a civil union.</t>
  </si>
  <si>
    <t>In a relationship for at least six (6) months.  We are both at least age 18.  We share a committed, exclusive, non-platonic family-type personal relationship and intend to remain so indefinitely.  Neither of us is legally married to or in a domestic partnership with another person.  We are not related by blood to a degree of closeness that would prohibit marriage.  We share a mutual obligation of support and responsibility for each other's welfare.  We currently share a principal residence.</t>
  </si>
  <si>
    <t>Your  qualifying domestic partner,  for purposes of the Plan, generally means a person who has been in an ongoing and committed spouse-like relationship with you that has existed for at least 6 months, is at least 18 years of age, and meets certain other criteria as specified in the Company's Declaration of Domestic Partnership form.</t>
  </si>
  <si>
    <t>Employees are distracted. It is hard to get their attention.   Employees prefer email as a way of communication Employees prefer email but do not read the email in detail.</t>
  </si>
  <si>
    <t>will not withhold federal income tax on qualified reimbursements. However, tax-qualified adoption assistance reimbursements are subject to Social Security, Medicare and FUTA (paid by Company) and State taxation.</t>
  </si>
  <si>
    <t>Work 20 hours or more a week, Must be actively at work at time of adoption</t>
  </si>
  <si>
    <t>Work 20 hours or more a week, Must be actively at work at time of adoption,Other</t>
  </si>
  <si>
    <t>Senior Care Management services from LifeCare provide in-person assessments for adult loved ones and detailed in-home or community-based care coordination recommendations.</t>
  </si>
  <si>
    <t>The Company Elder Care offers adult and elder companion caregivers for in-home care.  This plan also includes elder care resources, planning, and senior housing search tools services at a discounted rate.</t>
  </si>
  <si>
    <t>Gift basket with Company branded blanket, clothes</t>
  </si>
  <si>
    <t>Baby Kit - Elephant Blanket, Company-branded Onesie, Welcome To My Crib Onesie, Company-branded Bib.</t>
  </si>
  <si>
    <t>Yes, personalized baby stroller blanket with Company logo and baby name</t>
  </si>
  <si>
    <t>$500 stipend per birth/placement ($1,000 for twins, etc)</t>
  </si>
  <si>
    <t>Donor fertility costs and fees not covered by another source Gestational carrier, egg or sperm donor compensation Travel expenses for the intended parents Fees associated with the surrogacy of a child through a legally recognized surrogate arrangement</t>
  </si>
  <si>
    <t>Gestational carrier, egg or sperm donor screening costs Egg or sperm donation shipping and transport fees IVF costs related to surrogacy and egg/sperm donation not covered by insurance Medical expenses related to surrogate's pregnancy (which may include but are not limited to: surrogate's maternity insurance)</t>
  </si>
  <si>
    <t>Must be approved, started, and completed before you terminate employment with Company</t>
  </si>
  <si>
    <t>Education must relate to the employee’s current or future role at Company and be business relevant. Education must be approved by the employee’s manager. Certification exam prep courses are eligible with proof that the certification was ultimately obtained and if the certification being pursued has demonstrated business need.</t>
  </si>
  <si>
    <t>Coursework should have general applicability to the employee's current role or reasonably likely future role at Company as determined by the company. If an employee is pursuing a degree or certificate that is relevant to their career at Company, all classes taken within that particular relevant degree or certificate curriculum will be eligible for educational assistance up to the stated annual maximum.</t>
  </si>
  <si>
    <t>vendor manages commuter/transit/bicycle program on behalf of Company</t>
  </si>
  <si>
    <t>starts at $600 and goes up to $3500</t>
  </si>
  <si>
    <t>trophies</t>
  </si>
  <si>
    <t>Accident insurance (e.g., Aflac), Critical illness insurance,Hospital indemnity,Legal assistance</t>
  </si>
  <si>
    <t>Accident insurance (e.g., Aflac), Critical illness insurance,Legal assistance</t>
  </si>
  <si>
    <t>Accident insurance (e.g., Aflac), Legal assistance</t>
  </si>
  <si>
    <t>Accident insurance (e.g., Aflac), Critical illness insurance</t>
  </si>
  <si>
    <t>Accident insurance (e.g., Aflac), Hospital indemnity,Legal assistance</t>
  </si>
  <si>
    <t>Alzheimer's,Cancer,Deafness, HIV/AIDS,Kidney failure,Multiple sclerosis,Organ transplant, Paralysis,Parkinson's Disease, Terminal illness</t>
  </si>
  <si>
    <t>Acute cardiac incident,Alzheimer's, Blindness,Cancer,Kidney failure, Multiple sclerosis,Organ transplant, Paralysis,Parkinson's Disease</t>
  </si>
  <si>
    <t>Acute cardiac incident,Alzheimer's, Blindness,Cancer,Deafness,Kidney failure,Multiple sclerosis, Parkinson's Disease,Terminal illness</t>
  </si>
  <si>
    <t>Acute cardiac incident,Alzheimer's, Blindness,Cancer,Deafness, HIV/AIDS,Kidney failure, Parkinson's Disease</t>
  </si>
  <si>
    <t>Acute cardiac incident,Alzheimer's, Blindness,Cancer,Kidney failure, Multiple sclerosis,Organ transplant</t>
  </si>
  <si>
    <t>Acute cardiac incident,Alzheimer's, Blindness,Cancer,Chronic conditions (e.g., COPD, diabetes, etc.),Deafness,Kidney failure, Multiple sclerosis,Organ transplant, Paralysis,Parkinson's Disease</t>
  </si>
  <si>
    <t>Acute cardiac incident,Alzheimer's, Blindness,Cancer,Chronic conditions (e.g., COPD, diabetes, etc.),Deafness,Kidney failure, Multiple sclerosis,Organ transplant, Paralysis,Parkinson's Disease, Terminal illness</t>
  </si>
  <si>
    <t>Acute cardiac incident,Blindness, Cancer,Deafness,Kidney failure, Organ transplant,Paralysis</t>
  </si>
  <si>
    <t>Acute cardiac incident,Blindness, Cancer,Deafness,Kidney failure, Organ transplant</t>
  </si>
  <si>
    <t>Acute cardiac incident,Alzheimer's, Blindness,Cancer,Chronic conditions (e.g., COPD, diabetes, etc.),Deafness,Multiple sclerosis, Organ transplant,Paralysis, Parkinson's Disease, Terminal illness</t>
  </si>
  <si>
    <t>General/primary care office visit, Specialist office visit, Autism/applied behavioral analysis (ABA),ER,Urgent office visit, Telehealth,Other</t>
  </si>
  <si>
    <t>General/primary care office visit, Specialist office visit,Autism/applied behavioral analysis (ABA)</t>
  </si>
  <si>
    <t>Retail/pharmacy (non-mail order), Mail order</t>
  </si>
  <si>
    <t>Company HS Premium Plan</t>
  </si>
  <si>
    <t>Company HS Basic Plan Company HS Standard Plan</t>
  </si>
  <si>
    <t>LifeConnections Plan</t>
  </si>
  <si>
    <t>Mail order,Auto-refill,90 Day supply ,Custom formulary (e.g., "no waste")</t>
  </si>
  <si>
    <t>Mail order,Auto-refill,90 Day supply, Custom formulary (e.g., "no waste")</t>
  </si>
  <si>
    <t>Medical review/prior authorization,Quantity limits, Custom formulary (e.g., "no waste")</t>
  </si>
  <si>
    <t>Kaiser Permanente (GA) Harvard Pilgrim Health Care (New England)</t>
  </si>
  <si>
    <t>General/primary care office visit,Specialist office visit, Autism/applied behavioral analysis (ABA),ER,Urgent office visit,Telehealth, Other</t>
  </si>
  <si>
    <t>General/primary care office visit,Specialist office visit, ER, Urgent office visit</t>
  </si>
  <si>
    <t>Deductibles,Balanced billed amounts (not covered by plan), Penalties (e.g., non-notification penalties),Premiums</t>
  </si>
  <si>
    <t>Diagnosis of underlying cause of the infertility,Medical/Surgical procedures to correct the underlying cause of infertility (e.g., treat pelvic mass, thyroid disease, etc.),Insemination procedures (e.g., Artificial insemination (AI), Intra Uterine Insemination (IUI)),Assisted Reproductive Technology (ART) (e.g., IVF, GIFT, ZIFT),Ovulation Induction,Controlled  Ovarian Stimulation,Preimplantation Genetic Diagnosis (PGD), Preimplantation Genetic Screening (PGS)</t>
  </si>
  <si>
    <t>Diagnosis of underlying cause of the infertility,Insemination procedures (e.g., Artificial insemination (AI), Intra Uterine Insemination (IUI)),Assisted Reproductive Technology (ART) (e.g., IVF, GIFT, ZIFT),Ovulation Induction,Controlled  Ovarian Stimulation, Preimplantation Genetic Diagnosis (PGD)</t>
  </si>
  <si>
    <t>If you do not conceive after treatment for the underlying cause of the infertility, or if the diagnosis indicates that you are not likely to become pregnant after such treatment, you are eligible for additional infertility services. The plan covers the following, when care is given by a network provider and approved in advance by Aetna's Infertility Case Management Unit:  Ovulation induction with ovulatory stimulant drugs, up to a maximum of six cycles per lifetime; and  Intrauterine insemination, up to six cycles per lifetime.  If the infertility services listed above do not result in a pregnancy, the plan covers the following advanced reproductive technology (ART) services Services must be performed on an outpatient basis by a network ART specialist and approved in advance by Aetna s Infertility Case Management Unit:  In vitro fertilization (IVF);  Zygote intrafallopian transfer (ZIFT);  Gamete intrafallopian transfer (GIFT);  Cryopreserved embryo transfers;  Intracytoplasmic sperm injection (ICSI) or ovum microsurgery; and  Care associated with a donor IVF program. This includes fertilization and culture.  Charges for obtaining the sperm of a covered partner are covered if both the man and woman are covered by the plan.</t>
  </si>
  <si>
    <t>The maximum amount the IRS allows you and your employer to contribute to your HSA in 2022  is $3,650 for individual coverage and $7,300 for family coverage. Plus, if you are 55 or older, you  can contribute an additional catch-up contribution of $1,000. Company will make an annual one-time contribution of $500 for employee only coverage or $1,000  if you cover your spouse or dependents, which counts toward your maximum contribution.  The Company contribution is prorated for new hires who start after January. To maximize your tax  savings, you may elect to contribute additional pre-tax dollars through payroll deduction. Due to state regulations, HSA contributions of employees residing in CA and NJ will be subject to on  state income tax.</t>
  </si>
  <si>
    <t>The Company HSA Contribution is provided annually in a lump sum to the HSA of those enrolled in the HDHP between January 1 and December 1. The amount Company contributes is based on the effective date of HDHP coverage and who’s covered.</t>
  </si>
  <si>
    <t>If your annual salary is under $80,000, Company will contribute:  $1,000 for individual coverage $2,000 for family coverage If your annual salary is $80,000 or more, Company will contribute:  $750 for individual coverage $1,500 for family coverage  You can contribute up to the IRS maximums each year. For FY 2022, you can contribute:  Up to $3,600 for individual coverage Up to $7,200 for family coverage If you’re age 55 or older, you can contribute an additional $1,000 in catch-up contributions.</t>
  </si>
  <si>
    <t>Company gives you $800 individual / $1,600 family, automatically deposited in your HSA. (If you join the company between July 1st and November 30th, Company will contribute $400 individual / $800 family.)   Lowest employee paycheck contributions   Opportunity for pre-tax savings through the HSA that:   Is yours to keep   Can grow year over year making it a valuable savings tool for retirement   You can invest, once your balance reaches $1,000</t>
  </si>
  <si>
    <t>The company’s contribution to the HSA is made in one lump-sum payment in late January of each year. New hires will receive a pro-rated company contribution in the month following their hire date. For example, if your hire date is January 6, you’ll receive the contribution in February. You must be an active employee on the day the company contribution is funded.</t>
  </si>
  <si>
    <t>The HSA (Health Savings Account) plan is like a PPO plan in that both in- and out-of-network doctors are covered, but the HSA plan has a higher deductible. This plan also has the lowest monthly premium (that's how much you pay per month). You'll pay out-of-pocket for any medical or pharmacy expenses that are not preventive until your deductible is met. Then, the plan will cover 80% for in-network medical services, and you will have copays for pharmacy benefits until the out-of-pocket maximum is met. To help with those up front costs, this plan comes with a Health Savings Account (HSA) that both you and Company can contribute to (pre-tax!) to help pay for your care. Company contributes 50% of the deductible to your HSA--that's $62.50 for individuals and $125.00 for families per month. If you join after the start of the plan year, the Company contributions will be prorated based on your date of hire. Once you have $1000 in your account, you can invest the money in your HSA and watch it grow, still tax-free! If you ever decide to leave Company (sad face), you will retain access to your account to manage.</t>
  </si>
  <si>
    <t>We’re increasing the Company contribution to your HSA for 2022 for the HDHP Premium Plan (which will be added to your account in mid-January 2022) from:  $750 to $1,000 for employee-only coverage $1,500 to $2,000 for all other coverage levels</t>
  </si>
  <si>
    <t>Company will contribute to your HSA on a monthly basis through payroll: Employee Only: $100 Employee + Dependent or Family: $200</t>
  </si>
  <si>
    <t>Who doesn't want free money? Company contributes depending on when you enroll in the Cigna Choice Fund. You can expect to receive your Company contribution deposited into your HSA within one to two pay periods after enrolling.   If you cover yourself?  If you cover yourself + 1 or more dependent?  If you enroll between January 1 and June 30  $1,300/2,600  If you enroll between July 1 and December 1  $650/$1,300  If you enroll after December 1  $0/$0</t>
  </si>
  <si>
    <t>All existing employees enrolling in the HSA PPO as of January 1, 2022, will receive the Company Annual HSA Contribution of $750/1,500 (Individual/Family). All new hires as of January 1, 2022, will receive the employer contributions funded on a per period basis (divided by 24). Must be active on the last day of the pay period. Paid Interns are not eligible for Company funding.</t>
  </si>
  <si>
    <t>An HSA is a savings account tied to the Health Savings Plan (HSP) that you use to pay for health care expenses. We have two plans that support HSAs—the Blue Shield HSP (Collective Health) and the Kaiser HSP. You decide how much to save each year through pre-tax* payroll deductions, AND you are eligible for contributions from Company.</t>
  </si>
  <si>
    <t>Contribution limits,Spending down the FSA before the HSA, Understanding the tax benefits of the HSA</t>
  </si>
  <si>
    <t>Amalgam Fillings,Anesthesia/Sedation,Bridgework,Cleanings (Prophylaxis), Composite Fillings (White Fillings),Crowns,Denture Repair,Dentures (Relines &amp; Rebases),Dentures (Removable &amp; Partial),Examinations (routine),Fluoride Treatments,Inlays &amp; Onlays,Oral Surgery,Orthodontia,Periodontal Scaling &amp; Root Planing,Periodontal Surgery,Root Canals,Space Maintainers,Tooth Extractions,Tooth Sealants,Topical Fluoride Treatments,X-Rays - Bitewings,X-Rays - Full-Mouth, Panorex,X-Rays - Periapical</t>
  </si>
  <si>
    <t>Amalgam Fillings,Anesthesia/Sedation,Bridgework,Cleanings (Prophylaxis), Composite Fillings (White Fillings),Crowns,Denture Repair,Dentures (Relines &amp; Rebases),Dentures (Removable &amp; Partial),Examinations (non-routine),Examinations (routine),Fluoride Treatments,Implants,Inlays &amp; Onlays,Night guards,Oral Surgery,Orthodontia,Periodontal Scaling &amp; Root Planing,Periodontal Surgery,Root Canals,Space Maintainers,Tooth Extractions,Tooth Sealants,Topical Fluoride Treatments,X-Rays - Bitewings,X-Rays - Full-Mouth, Panorex,X-Rays - Periapical</t>
  </si>
  <si>
    <t>Amalgam Fillings,Anesthesia/Sedation,Bridgework,Cleanings (Prophylaxis), Composite Fillings (White Fillings),Crowns,Denture Repair,Dentures (Relines &amp; Rebases),Dentures (Removable &amp; Partial),Examinations (non-routine),Examinations (routine),Fluoride Treatments,Inlays &amp; Onlays,Night guards,Oral Surgery,Orthodontia,Periodontal Scaling &amp; Root Planing,Periodontal Surgery,Root Canals,Space Maintainers,Tooth Extractions,Tooth Sealants,Topical Fluoride Treatments,X-Rays - Bitewings,X-Rays - Full-Mouth, Panorex,X-Rays - Periapical</t>
  </si>
  <si>
    <t>Amalgam Fillings,Anesthesia/Sedation,Bridgework,Cleanings (Prophylaxis), Composite Fillings (White Fillings),Crowns,Denture Repair,Dentures (Relines &amp; Rebases),Dentures (Removable &amp; Partial),Examinations (routine),Inlays &amp; Onlays,Oral Surgery,Orthodontia,Periodontal Scaling &amp; Root Planing,Periodontal Surgery,Root Canals,Space Maintainers,Tooth Extractions,Tooth Sealants,Topical Fluoride Treatments,X-Rays - Bitewings,X-Rays - Full-Mouth, Panorex,X-Rays - Periapical</t>
  </si>
  <si>
    <t>Amalgam Fillings,Anesthesia/Sedation,Bridgework,Cleanings (Prophylaxis), Composite Fillings (White Fillings),Crowns,Denture Repair,Dentures (Relines &amp; Rebases),Dentures (Removable &amp; Partial),Examinations (routine),Fluoride Treatments,Implants,Inlays &amp; Onlays,Night guards,Oral Surgery,Orthodontia, Periodontal Scaling &amp; Root Planing,Periodontal Surgery,Root Canals,Space Maintainers,Tooth Extractions,Tooth Sealants,Topical Fluoride Treatments,X-Rays - Bitewings,X-Rays - Full-Mouth, Panorex,X-Rays - Periapical</t>
  </si>
  <si>
    <t xml:space="preserve">Anti-Reflective Coatings,Blue light glasses,Computer Glasses, Photochromic Adaptive Lenses,Polycarbonate Lenses,Premium Progressive Lenses,Retinal Screening (Diabetic),Retinal Screening (Non-Diabetic),Standard Progressive Lenses,Tinted (Colored) Lenses </t>
  </si>
  <si>
    <t>Anti-Reflective Coatings,Blue light glasses,Computer Glasses, Oversized Lenses,Photochromic Adaptive Lenses, Polycarbonate Lenses,Scratch-Resistant Coating,Tinted (Colored) Lenses,UV Protection</t>
  </si>
  <si>
    <t xml:space="preserve">Anti-Reflective Coatings,High Index Lenses,Polycarbonate Lenses, Premium Progressive Lenses,Retinal Screening (Diabetic), Retinal Screening (Non-Diabetic),Scratch-Resistant Coating </t>
  </si>
  <si>
    <t>Health fairs,Near-site medical clinic(s),On-site medical clinic(s), Laboratory - voucher available, Physician office - voucher available, Home kit - voucher available</t>
  </si>
  <si>
    <t>Near-site medical clinic(s),On-site mobile health/medical vehicle(s), Home kit - voucher available</t>
  </si>
  <si>
    <t>Laboratory - voucher available, Home kit - voucher available</t>
  </si>
  <si>
    <t>Near-site medical clinic(s), Laboratory - voucher available, Physician office - voucher available,Other</t>
  </si>
  <si>
    <t>Full-time employees,Part-time employees,Inpatriates,Expatriates, Interns</t>
  </si>
  <si>
    <t>Full-time employees,Inpatriates, Expatriates</t>
  </si>
  <si>
    <t>Full-time employees,Part-time employees,Spouse,Domestic partner,Inpatriates,Expatriates, Interns</t>
  </si>
  <si>
    <t>Online, electronically,virtual, Telehealth or telemedicine</t>
  </si>
  <si>
    <t>Online, electronically, virtual, Telehealth or telemedicine</t>
  </si>
  <si>
    <t>Full-time employees,Part-time employees,Spouse,Domestic partner,Child(ren),Inpatriates, Expatriates,Interns</t>
  </si>
  <si>
    <t>Full-time employees,Part-time employees,Spouse,Domestic partner,Child(ren),Expatriates, Interns</t>
  </si>
  <si>
    <t>Full-time employees,Spouse, Domestic partner</t>
  </si>
  <si>
    <t>Full-time employees,Spouse, Domestic partner,Expatriates</t>
  </si>
  <si>
    <t>Full-time employees,Spouse, Domestic partner,Child(ren),Interns</t>
  </si>
  <si>
    <t>Full-time employees,Spouse, Domestic partner,Interns</t>
  </si>
  <si>
    <t>Full-time employees,Part-time employees,Spouse,Domestic partner,Child(ren),Interns, Contractors</t>
  </si>
  <si>
    <t>Full-time employees,Part-time employees,Expatriates,Interns, Contractors</t>
  </si>
  <si>
    <t>Full-time employees,Part-time employees,Expatriates,Inpatriates, Interns,Agency temp workers, Contractors</t>
  </si>
  <si>
    <t>Full-time employees,Part-time employees,Expatriates,Inpatriates, Interns</t>
  </si>
  <si>
    <t>Full-time employees,Part-time employees,Inpatriates,Interns, Agency temp workers,Contractors</t>
  </si>
  <si>
    <t>Full-time employees,Part-time employees,Expatriates,Inpatriates, Interns,Agency temp workers, Contractors,Other</t>
  </si>
  <si>
    <t>Full-time employees,Part-time employees,Spouse,Domestic partner,Child(ren),Expatriates, Inpatriates,Interns,Contractors</t>
  </si>
  <si>
    <t>Full-time employees,Part-time employees,Expatriates,Inpatriates, Interns,Contractors</t>
  </si>
  <si>
    <t>Fitness classes (e.g., yoga, pilates, spin),At-home fitness equipment (e.g., treadmill, exercise bike, running shoes), Class goods (e.g., yoga mats, barre method socks), Services for well-being programs,Other, please specify:</t>
  </si>
  <si>
    <t>Fitness classes (e.g., yoga, pilates, spin),At-home fitness equipment (e.g., treadmill, exercise bike, running shoes), Class goods (e.g., yoga mats, barre method socks), Services for well-being programs</t>
  </si>
  <si>
    <t>Fitness classes (e.g., yoga, pilates, spin),At-home fitness equipment (e.g., treadmill, exercise bike, running shoes) ,Class goods (e.g., yoga mats, barre method socks) ,Services for well-being programs</t>
  </si>
  <si>
    <t>Fitness classes (e.g., yoga, pilates, spin),At-home fitness equipment (e.g., treadmill, exercise bike, running shoes) ,Class goods (e.g., yoga mats, barre method socks), Services for well-being programs</t>
  </si>
  <si>
    <t>Gaming apps (e.g., Rally), Internal/Company affinity groups, blogs, wikis, online communities, Other</t>
  </si>
  <si>
    <t>Social network (e.g., Facebook), Internal/Company affinity groups, blogs, wikis, online communities, Other</t>
  </si>
  <si>
    <t>Gaming apps (e.g., Rally),Social network (e.g., Facebook), Internal/Company affinity groups, blogs, wikis, online communities, Other</t>
  </si>
  <si>
    <t>Internal/Company affinity groups, blogs, wikis, online communities, Other</t>
  </si>
  <si>
    <t>Gaming apps (e.g., Rally), Internal/Company affinity groups, blogs, wikis, online communities, External/Non-Company Online Communities (e.g., MyHealthTeam, Patients Like Me)</t>
  </si>
  <si>
    <t>Health Risk Assessment (HRA),Biometric screening,Health coaching,Weight management program,Tobacco cessation program,Active living (e.g., fitness center, classes, walking, run/walk event (marathon), etc.),Company sponsored activity or challenge,Online tools/education/courses,Social wellbeing (e.g., community giving, volunteering),Environmental wellbeing (e.g., recycle, alternative transportation), Wellbeing apps (e.g., Sleepio, Happify)</t>
  </si>
  <si>
    <t>Health Risk Assessment (HRA),Tobacco cessation program,Company sponsored activity or challenge,Social wellbeing (e.g., community giving, volunteering), Wellbeing apps (e.g., Sleepio, Happify)</t>
  </si>
  <si>
    <t>Biometric screening,Health coaching,Weight management program,Tobacco cessation program,Active living (e.g., fitness center, classes, walking, run/walk event (marathon), etc.),Company sponsored activity or challenge,Online tools/education/courses,Social wellbeing (e.g., community giving, volunteering), Environmental wellbeing (e.g., recycle, alternative transportation),Wellbeing apps (e.g., Sleepio, Happify)</t>
  </si>
  <si>
    <t>Health Risk Assessment (HRA),Active living (e.g., fitness center, classes, walking, run/walk event (marathon), etc.),Company sponsored activity or challenge,Online tools/education/courses,Social wellbeing (e.g., community giving, volunteering), Environmental wellbeing (e.g., recycle, alternative transportation),Wellbeing apps (e.g., Sleepio, Happify)</t>
  </si>
  <si>
    <t>Biometric screening,Health coaching,Weight management program,Tobacco cessation program,Active living (e.g., fitness center, classes, walking, run/walk event (marathon), etc.),Social wellbeing (e.g., community giving, volunteering), Wellbeing apps (e.g., Sleepio, Happify)</t>
  </si>
  <si>
    <t>Health coaching,Weight management program,Tobacco cessation program,Active living (e.g., fitness center, classes, walking, run/walk event (marathon), etc.),Company sponsored activity or challenge,Online tools/education/courses,Social wellbeing (e.g., community giving, volunteering), Wellbeing apps (e.g., Sleepio, Happify)</t>
  </si>
  <si>
    <t>Discount on benefits premium, Points (internal points system)</t>
  </si>
  <si>
    <t>Entry into prize drawing, Recognition - company newsletter or website, Merchandise,Other</t>
  </si>
  <si>
    <t>Primary care,Specialty care,Mental wellbeing services (therapy/counseling),Biometric screenings,Laboratory and/or radiology services (including mammography),Alternative access to prescriptions (e.g., vending machine, small stock, kiosk, etc.),Wellness coaching, Acupuncture,Chiropractic,Occupational therapy,Physical therapy, Dentistry,Eye care (e.g., exams, contacts, etc.),Health and wellness education or course offerings</t>
  </si>
  <si>
    <t>Primary care,Mental wellbeing services (therapy/counseling),Wellness coaching, Physical therapy,Virtual medical services,Virtual mental health services</t>
  </si>
  <si>
    <t>Employees,Other</t>
  </si>
  <si>
    <t>Counseling or psychotherapy,Gender dysphoria assessment,Hormone therapy,Surgery to change primary/secondary sex characteristics, Disability (short/long-term) benefits</t>
  </si>
  <si>
    <t>Counseling or psychotherapy,Gender dysphoria assessment,Hormone therapy,Surgery to change primary/secondary sex characteristics, Disability (short/long-term) benefits,Postoperative care,Follow-up care,Return to work support</t>
  </si>
  <si>
    <t>Counseling or psychotherapy,Gender dysphoria assessment,Hormone therapy,Surgery to change primary/secondary sex characteristics, Sperm or egg preservation and storage,Disability (short/long-term) benefits,Postoperative care,Follow-up care</t>
  </si>
  <si>
    <t>Counseling or psychotherapy,Gender dysphoria assessment,Hormone therapy,Surgery to change primary/secondary sex characteristics, Disability (short/long-term) benefits,Postoperative care</t>
  </si>
  <si>
    <t>Counseling or psychotherapy,Gender dysphoria assessment,Hormone therapy,Surgery to change primary/secondary sex characteristics, Cosmetic or aesthetic surgery,Disability (short/long-term) benefits</t>
  </si>
  <si>
    <t>Counseling or psychotherapy,Gender dysphoria assessment,Hormone therapy,Surgery to change primary/secondary sex characteristics, Sperm or egg preservation and storage,Disability (short/long-term) benefits</t>
  </si>
  <si>
    <t>Counseling or psychotherapy,Gender dysphoria assessment,Hormone therapy,Surgery to change primary/secondary sex characteristics, Cosmetic or aesthetic surgery,Postoperative care,Follow-up care</t>
  </si>
  <si>
    <t>Counseling or psychotherapy,Gender dysphoria assessment,Hormone therapy,Surgery to change primary/secondary sex characteristics, Cosmetic or aesthetic surgery,Sperm or egg preservation and storage,Disability (short/long-term) benefits,Postoperative care,Follow-up care</t>
  </si>
  <si>
    <t>Hospice Care Program The term Hospice Care Program means:  a coordinated, interdisciplinary program to meet the physical, psychological, spiritual and social needs of dying persons and their families;  a program that provides palliative and supportive medical, nursing and other health services through home or inpatient care during the illness;  a program for persons who have a Terminal Illness and for the families of those persons.</t>
  </si>
  <si>
    <t>Applied behavioral analysis (ABA),Early start denver model (ESDM), Floortime,Relationship development intervention (RDI),Social skills training,TEACCH</t>
  </si>
  <si>
    <t>Applied behavioral analysis (ABA),Early start denver model (ESDM), Floortime,Relationship development intervention (RDI),Sensory integration therapy,Social skills training,TEACCH</t>
  </si>
  <si>
    <t>Applied behavioral analysis (ABA),Art,Auditory integration training (AIT),Dolphin,Early start denver model (ESDM),Equine,Hyperbaric oxygen therapy,Sensory integration therapy,Social skills training</t>
  </si>
  <si>
    <t>Current coverage for Gender Dysphoria excludes body contouring services such as lipoplasty or liposuction. Company is considering covering these services when there is diagnosis of gender dysphoria. For Behavioral Health coverage, Company is considering covering non-network outpatient behavioral providers at network coinsurance benefit level. For Prior Authorization for Non-network Therapy, we are considering the removing non-network PA for CPT 90837 (extended outpatient treatment beyond a 45-50-minute session) For dental care under medical coverage, we are considering covering young children or special needs individuals who may need sedation in order to get dental care.</t>
  </si>
  <si>
    <t>Health Savings Account (HSA), Salary based premiums,Wellness incentive,Other earning or pay type</t>
  </si>
  <si>
    <t>Initial eligibility (e.g., new hire, PT to FT, etc.),Annual open enrollment (up to maximum benefit level  - no limitations), Qualified change of status event (up to maximum - no limitations)</t>
  </si>
  <si>
    <t>Initial eligibility (e.g., new hire, PT to FT, etc.),Annual open enrollment (up to maximum benefit level  - no limitations), Qualified change of status event (election limited to specified coverage level)</t>
  </si>
  <si>
    <t>Initial eligibility (e.g., new hire, PT to FT, etc.),Annual open enrollment (up to maximum benefit level  - no limitations), Qualified change of status event (up to maximum - no limitations),Qualified change of status event (election limited to specified coverage level)</t>
  </si>
  <si>
    <t>Initial eligibility (e.g., new hire, PT to FT, etc.),Annual open enrollment (up to maximum benefit level  - no limitations), Other</t>
  </si>
  <si>
    <t>Initial eligibility (e.g., new hire, PT to FT, etc.),Annual open enrollment (up to maximum benefit level  - no limitations), Qualified change of status event (up to maximum - no limitations),Other</t>
  </si>
  <si>
    <t>For STD - 60% of payment is received from STD provider and Company top-ups for up to 12 weeks to make the employee whole</t>
  </si>
  <si>
    <t>Nursing home care,Home health care,Assisted-living care,Adult day care,Respite care,Hospice care, Other</t>
  </si>
  <si>
    <t>Company matches $0.50 for every dollar you contribute up to 6% of your eligible earnings up to the IRS limit.</t>
  </si>
  <si>
    <t>Bonus,Other paid leave types (jury duty, bereavement, etc.),Overtime,Paid time off (PTO),Salary,Sales commission,Shift differential,Sick time,Vacation,Other</t>
  </si>
  <si>
    <t>Bonus,Other paid leave types (jury duty, bereavement, etc.),Overtime,Paid time off (PTO),Salary,Sales commission,Sick time,Other</t>
  </si>
  <si>
    <t>Bonus,Salary,Sales commission</t>
  </si>
  <si>
    <t>Bonus,Other paid leave types (jury duty, bereavement, etc.),Overtime,Paid time off (PTO),Salary,Sales commission,Shift differential,Sick time,Vacation</t>
  </si>
  <si>
    <t>Bonus,Other paid leave types (jury duty, bereavement, etc.),Overtime,Paid time off (PTO),Salary,Sales commission,Shift differential,Vacation</t>
  </si>
  <si>
    <t>Bonus,Overtime,Salary</t>
  </si>
  <si>
    <t>Bonus,Other paid leave types (jury duty, bereavement, etc.),Overtime,Paid time off (PTO),Salary,Sales commission,Shift differential,Sick time</t>
  </si>
  <si>
    <t>Bonus,Overtime,Paid time off (PTO),Salary,Sales commission,Sick time,Vacation</t>
  </si>
  <si>
    <t>Bonus,Overtime,Paid time off (PTO),Salary,Sales commission,Shift differential,Sick time,Vacation</t>
  </si>
  <si>
    <t>Bonus,Other paid leave types (jury duty, bereavement, etc.),Overtime,Paid time off (PTO),Profit sharing,Salary, Sales commission,Shift differential,Other</t>
  </si>
  <si>
    <t>Bonus,Overtime,Paid time off (PTO),Salary,Sales commission,Shift differential,Sick time</t>
  </si>
  <si>
    <t>Bonus,Other paid leave types (jury duty, bereavement, etc.),Overtime,Paid time off (PTO),Patent awards,Salary, Sales commission,Shift differential,Sick time,Vacation</t>
  </si>
  <si>
    <t>Bonus,Other paid leave types (jury duty, bereavement, etc.),Overtime,Paid time off (PTO),Patent awards,Profit sharing,Salary,Sales commission,Shift differential</t>
  </si>
  <si>
    <t>Bonus,Other paid leave types (jury duty, bereavement, etc.),Overtime,Paid time off (PTO),Patent awards,Profit sharing,Salary,Sales commission,Shift differential,Sick time,Vacation</t>
  </si>
  <si>
    <t>Bonus,Other paid leave types (jury duty, bereavement, etc.),Overtime,Paid time off (PTO),Salary,Sick time</t>
  </si>
  <si>
    <t>Bonus,Other paid leave types (jury duty, bereavement, etc.),Overtime,Paid time off (PTO),Salary,Sales commission,Shift differential</t>
  </si>
  <si>
    <t>Bonus,Overtime,Paid time off (PTO),Salary,Sales commission,Vacation</t>
  </si>
  <si>
    <t>Bonus,Overtime,Paid time off (PTO),Salary,Sales commission,Shift differential,Vacation,Other</t>
  </si>
  <si>
    <t>Bonus,Other paid leave types (jury duty, bereavement, etc.),Overtime,Paid time off (PTO),Salary,Sales commission,Severance pay,Sick time,Vacation</t>
  </si>
  <si>
    <t>Bonus,Other paid leave types (jury duty, bereavement, etc.),Overtime,Paid time off (PTO),Profit sharing,Salary, Sales commission,Shift differential,Sick time,Vacation</t>
  </si>
  <si>
    <t>Bonus,Other paid leave types (jury duty, bereavement, etc.),Overtime,Paid time off (PTO),Salary,Sales commission,Sick time,Vacation</t>
  </si>
  <si>
    <t>Bonus,Other paid leave types (jury duty, bereavement, etc.),Overtime,Paid time off (PTO),Patent awards,Profit sharing,Salary,Sales commission,Sick time,Vacation</t>
  </si>
  <si>
    <t>Bonus,Other paid leave types (jury duty, bereavement, etc.),Overtime,Paid time off (PTO),Salary,Sick time,Vacation</t>
  </si>
  <si>
    <t>Other paid leave types (jury duty, bereavement, etc.),Salary,Sales commission,Shift differential,Sick time, Vacation</t>
  </si>
  <si>
    <t>Separate Accounts,Stable Value,Fixed Income: Bond Index,Fixed Income: Total Return, Treasury Inflation-Protected Securities (TIPS),Large Cap Index,Mid Cap Blend,Mid Cap Value, Small Cap Blend,Small Cap Growth,International Cap Blend,Target Date Retirement Funds</t>
  </si>
  <si>
    <t>Money Market,Fixed Income: Bond Index,Fixed Income: Total Return,Real Estate,Large Cap Index,Large Cap Value,Large Cap Growth,Mid Cap Index,Mid Cap Growth,Small Cap Index, Small Cap Value,International Cap Index,International Cap Growth,Emerging Markets,Target Date Retirement Funds</t>
  </si>
  <si>
    <t>Stable Value,Fixed Income: Bond Index,Private Equity,Large Cap Blend,Large Cap Value,Large Cap Growth,Mid Cap Blend,Mid Cap Growth,Small Cap Value,International Cap Blend, International Cap Growth,Target Date Retirement Funds</t>
  </si>
  <si>
    <t>Stable Value,Fixed Income: Bond Index,Large Cap Index,Large Cap Growth,Mid Cap Index, Small Cap Index,Small Cap Value,Small Cap Growth,International Cap Value,International Cap Growth,Target Date Retirement Funds</t>
  </si>
  <si>
    <t>Stable Value,Fixed Income: Bond Index,Fixed Income: Total Return,Large Cap Index,Large Cap Value,Large Cap Growth,Small Cap Value,Small Cap Growth,International Cap Value, International Cap Growth,Target Date Retirement Funds</t>
  </si>
  <si>
    <t>Stable Value,Fixed Income: Bond Index,Fixed Income: Total Return,Large Cap Index,Large Cap Value,Large Cap Growth,Mid Cap Index,Mid Cap Value,Mid Cap Growth,Small Cap Blend, International Cap Index,International Cap Value,International Cap Growth,Target Date Retirement Funds</t>
  </si>
  <si>
    <t>Stable Value,Fixed Income: Bond Index,Fixed Income: Total Return,Large Cap Blend, International Cap Blend,International Cap Index,Target Date Retirement Funds</t>
  </si>
  <si>
    <t>Commingled,Money Market,Stable Value,Company Stock,Large Cap Blend,Large Cap Index, Large Cap Value,Large Cap Growth,Mid Cap Value,Small Cap Blend,International Cap Blend,International Cap Index,Target Date Retirement Funds,Risk Based Asset Allocation Funds</t>
  </si>
  <si>
    <t>Money Market,Stable Value,Fixed Income: Bond Index,Fixed Income: Total Return,Large Cap Blend,Large Cap Index,Large Cap Growth,Mid Cap Index,Mid Cap Value,Small Cap Value, International Cap Blend,International Cap Value,International Cap Growth,Target Date Retirement Funds,Other</t>
  </si>
  <si>
    <t>Stable Value,Large Cap Value,Mid Cap Blend,Mid Cap Value,Mid Cap Growth,Small Cap Blend,Small Cap Value,International Cap Growth,Target Date Retirement Funds, Cryptocurrencies,Other</t>
  </si>
  <si>
    <t>Commingled,Stable Value,Fixed Income: Total Return,Large Cap Blend,Large Cap Index,Large Cap Value,Large Cap Growth,Mid Cap Blend,Mid Cap Index,Mid Cap Value,Mid Cap Growth, Small Cap Blend,Small Cap Index,Small Cap Value,Small Cap Growth,International Cap Value,Global,Target Date Retirement Funds</t>
  </si>
  <si>
    <t>Commingled,Separate Accounts,Stable Value,Fixed Income: Low Duration,Large Cap Index, Large Cap Value,Large Cap Growth,Mid Cap Index,Mid Cap Value,Mid Cap Growth,Small Cap Index,Small Cap Value,Small Cap Growth,International Cap Index,International Cap Value, International Cap Growth,Emerging Markets,Target Date Retirement Funds</t>
  </si>
  <si>
    <t>Money Market,Fixed Income: Total Return,Real Estate,Large Cap Blend,Large Cap Index,Large Cap Value,Large Cap Growth,Mid Cap Growth,Small Cap Blend,International Cap Blend, International Cap Growth,Emerging Markets,Global,Target Date Retirement Funds,Socially Responsible,Other</t>
  </si>
  <si>
    <t>Money Market,Stable Value,Fixed Income: Bond Index,Large Cap Blend,Large Cap Index,Large Cap Value,Large Cap Growth,Mid Cap Blend,Mid Cap Index,Mid Cap Value,Mid Cap Growth, Small Cap Blend,Small Cap Index,Small Cap Value,Small Cap Growth,International Cap Blend,International Small Cap,Global,Balanced,Target Date Retirement Funds</t>
  </si>
  <si>
    <t>Money Market,Stable Value,Fixed Income: Bond Index,Fixed Income: Total Return,Fixed Income: High Yield,Real Estate,Large Cap Index,Large Cap Value,Large Cap Growth,Mid Cap Index,Mid Cap Value,Mid Cap Growth,Small Cap Index,Small Cap Value,Small Cap Growth, International Cap Index,International Cap Growth,Balanced,Target Date Retirement Funds, Socially Responsible</t>
  </si>
  <si>
    <t>Money Market,Stable Value,Fixed Income: Bond Index,Fixed Income: Total Return,Fixed Income: High Yield,Large Cap Blend,Large Cap Index,Large Cap Value,Large Cap Growth,Mid Cap Blend,Mid Cap Value,Mid Cap Growth,Small Cap Blend,International Cap Blend, International Cap Index,International Cap Value,International Cap Growth, International Small Cap,Emerging Markets,Age Based Retirement Funds,Target Date Retirement Funds</t>
  </si>
  <si>
    <t>Chief Executive Officers (CEO, CFO, CTO, COO, etc.), President, Vice President,Senior Director, Director,Senior Manager,Manager</t>
  </si>
  <si>
    <t>Administration,Consultants, Investment changes,Plan funding</t>
  </si>
  <si>
    <t>Retirement means a Participant Separation from Service after attainment of age 55 and completion of 5 Years of Service.</t>
  </si>
  <si>
    <t>Paid time off,Temporary housing, Food and water, Clothing,Medical supplies</t>
  </si>
  <si>
    <t>Newborn,Adoption,Foster child, Surrogacy</t>
  </si>
  <si>
    <t>Complex medical task support, Flexible schedule/change in work schedule,Concierge/Navigation, Child care services</t>
  </si>
  <si>
    <t>Medication management,Complex medical task support,Flexible schedule/change in work schedule, Concierge/Navigation,Elder care services,Child care services</t>
  </si>
  <si>
    <t>Flexible schedule or change in work schedule,Remote work, Personal time off or paid leave, Unpaid leave,Other</t>
  </si>
  <si>
    <t>Flexible schedule or change in work schedule,Remote work, Personal time off or paid leave, Unpaid leave</t>
  </si>
  <si>
    <t>Flexible schedule or change in work schedule,Remote work, Personal time off or paid leave</t>
  </si>
  <si>
    <t>Flexible schedule or change in work schedule,Remote work, Unpaid leave</t>
  </si>
  <si>
    <t>Spouse,Domestic partner,Child(ren),Step children,Foster children, Grandchildren,Parent,Parent-in-law,Grandparent, Brother/Sister, Brother/Sister-in-law</t>
  </si>
  <si>
    <t>Spouse,Domestic partner,Child(ren),Step children,Foster children, Miscarriage,Grandchildren,Parent,Parent-in-law,Grandparent, Grandparent-in-law,Brother/Sister,Brother/Sister-in-law,Niece/Nephew, Uncle/Aunt,Cousin,Non-relative - other member of employee's household,Other</t>
  </si>
  <si>
    <t>Spouse,Domestic partner,Child(ren),Step children,Foster children, Grandchildren,Parent,Parent-in-law,Grandparent, Brother/Sister, Brother/Sister-in-law,Niece/Nephew,Uncle/Aunt,Cousin</t>
  </si>
  <si>
    <t>New Year's Day,Martin Luther King Day,Presidents Day, Memorial Day,Juneteenth,Independence Day,Labor Day, Thanksgiving Day,Day After Thanksgiving,Christmas,New Year's Eve</t>
  </si>
  <si>
    <t>New Year's Day,Martin Luther King Day,Presidents Day, Memorial Day,Independence Day,Labor Day,Thanksgiving Day,Christmas,New Year's Eve</t>
  </si>
  <si>
    <t>New Year's Day,Martin Luther King Day,Presidents Day, Memorial Day,Juneteenth,Independence Day,Labor Day, Columbus Day,Veterans Day,Thanksgiving Day,Day After Thanksgiving,Christmas,New Year's Eve</t>
  </si>
  <si>
    <t>New Year's Day,Martin Luther King Day,Memorial Day, Juneteenth,Independence Day,Labor Day,Thanksgiving Day,Day After Thanksgiving,Christmas,New Year's Eve</t>
  </si>
  <si>
    <t>New Year's Day,Martin Luther King Day,Presidents Day,Memorial Day,Independence Day,Labor Day, Thanksgiving Day,Day After Thanksgiving,Christmas</t>
  </si>
  <si>
    <t>New Year's Day,Martin Luther King Day,Presidents Day, Memorial Day,Juneteenth,Independence Day,Labor Day, Thanksgiving Day,Day After Thanksgiving,Christmas</t>
  </si>
  <si>
    <t>New Year's Day,Martin Luther King Day,Presidents Day, Memorial Day,Juneteenth,Independence Day,Labor Day, Veterans Day,Thanksgiving Day,Day After Thanksgiving, Christmas,New Year's Eve</t>
  </si>
  <si>
    <t>New Year's Day,Martin Luther King Day,Good Friday, Memorial Day,Juneteenth,Independence Day,Labor Day, Thanksgiving Day,Day After Thanksgiving,Christmas</t>
  </si>
  <si>
    <t>New Year's Day,Martin Luther King Day,Memorial Day, Juneteenth,Independence Day,Labor Day,Election Day, Veterans Day,Thanksgiving Day,Day After Thanksgiving, Christmas</t>
  </si>
  <si>
    <t>New Year's Day,Martin Luther King Day,Presidents Day, Memorial Day,Juneteenth,Independence Day,Labor Day, Veterans Day,Thanksgiving Day,Day After Thanksgiving, Christmas</t>
  </si>
  <si>
    <t>New Year's Day,Martin Luther King Day,Memorial Day, Independence Day,Labor Day,Thanksgiving Day,Day After Thanksgiving,Christmas</t>
  </si>
  <si>
    <t>New Year's Day,Martin Luther King Day,Presidents Day, Memorial Day,Independence Day,Labor Day,Thanksgiving Day,Day After Thanksgiving,Christmas</t>
  </si>
  <si>
    <t>New Year's Day,Martin Luther King Day,Presidents Day, Memorial Day,Independence Day,Labor Day,Thanksgiving Day,Day After Thanksgiving,Christmas,New Year's Eve</t>
  </si>
  <si>
    <t>New Year's Day,Presidents Day,Memorial Day, Independence Day,Labor Day,Thanksgiving Day,Day After Thanksgiving,Christmas</t>
  </si>
  <si>
    <t>New Year's Day,Martin Luther King Day,Memorial Day, Juneteenth,Independence Day,Labor Day,Veterans Day,Thanksgiving Day,Day After Thanksgiving,Christmas, New Year's Eve</t>
  </si>
  <si>
    <t>New Year's Day,Martin Luther King Day,Presidents Day, Memorial Day,Independence Day,Labor Day,Election Day, Thanksgiving Day,Day After Thanksgiving,Christmas</t>
  </si>
  <si>
    <t>New Year's Day,Martin Luther King Day,Presidents Day, Memorial Day,Independence Day,Labor Day,Veterans Day,Thanksgiving Day,Day After Thanksgiving,Christmas, New Year's Eve</t>
  </si>
  <si>
    <t>New Year's Day,Martin Luther King Day,Presidents Day, Memorial Day,Juneteenth,Independence Day,Labor Day,Thanksgiving Day,Day After Thanksgiving,Christmas, New Year's Eve</t>
  </si>
  <si>
    <t>New Year's Day,Memorial Day,Juneteenth,Independence Day,Labor Day,Thanksgiving Day,Day After Thanksgiving, Christmas</t>
  </si>
  <si>
    <t>New Year's Day,Martin Luther King Day,Memorial Day, Independence Day,Labor Day,Election Day,Thanksgiving Day,Day After Thanksgiving,Christmas</t>
  </si>
  <si>
    <t>New Year's Day,Martin Luther King Day,Presidents Day, Memorial Day,Juneteenth,Independence Day,Labor Day, Columbus Day,Thanksgiving Day,Day After Thanksgiving, Christmas,New Year's Eve</t>
  </si>
  <si>
    <t>New Year's Day,Martin Luther King Day,Presidents Day, Memorial Day,Juneteenth,Independence Day,Labor Day, Election Day,Thanksgiving Day,Day After Thanksgiving, Christmas,New Year's Eve</t>
  </si>
  <si>
    <t>New Year's Day,Presidents Day,Memorial Day, Independence Day,Labor Day,Thanksgiving Day,Day After Thanksgiving,Christmas,New Year's Eve</t>
  </si>
  <si>
    <t>New Year's Day,Martin Luther King Day,Presidents Day, Memorial Day,Juneteenth,Independence Day,Labor Day, Columbus Day,Election Day,Veterans Day,Thanksgiving Day,Day After Thanksgiving,Christmas,New Year's Eve</t>
  </si>
  <si>
    <t>New Year's Day,Martin Luther King Day,Presidents Day, Memorial Day,Juneteenth,Independence Day,Labor Day, Columbus Day,Veterans Day,Thanksgiving Day,Day After Thanksgiving,Christmas</t>
  </si>
  <si>
    <t>Global Flexible Work Policy on the Global HR Policies page for general rules and benefits applicable to your work as an Flexible Worker. The Global Flexible Work Policy also describes what it means to be a Flexible Worker. This document supplements the Global Flexible Work Policy by describing certain additional and differing terms and conditions applicable to Flexible Workers in the U.S. as of the date set forth above. In all instances that this document and the Global Flexible Work Policy conflict, this document controls and supersedes the Global Flexible Work Policy as applicable to Flexible Workers categorized by Company as working in the U.S. Reimbursements and Allowances Company provides Flexible Workers in the U.S. with a one-time payment at or shortly after commencement of Flexible Worker status in order to facilitate establishment of an appropriate home office area. Company also provides Flexible Workers in the U.S. with a standard set of essential home office equipment, including laptop, monitor, and headset, for performing Company work. Except as specified below, to the extent permitted by law, Flexible Workers in the U.S. are not eligible for any allowances or reimbursements related to home office expenses beyond the one-time payment. 1. If a disability affects the Flexible Worker’s performance of job functions, it may be determined by Company that supportive equipment is a reasonable accommodation and either such equipment will be provided by Company at no cost or the Flexible Worker’s reasonable acquisition costs for such equipment will be reimbursed by Company. Company Open Line should be contacted to begin the process for qualified individuals with disabilities to request a reasonable accommodation, including any such equipment. 2. If an Flexible Worker resides in a state legally requiring reimbursement of certain home internet costs, they will be eligible for reimbursement pursuant to the Home Connectivity Policy. Currently, this applies to all Flexible Workers whose home address is in California, District of Columbia, Illinois, Massachusetts, Montana, New Hampshire, North Dakota or South Dakota. However, please note that the one-time payment provided at commencement of Flexible Worker status operates as an advance of legally required business expenses, including home internet reimbursements. As a result, during the first calendar year after commencement of Flexible Worker status, reimbursement under the Home Connectivity Policy will only be provided to the extent that eligible expenses, including home internet expenses, incurred after commencement of Flexible Worker status exceed the net (i.e., after tax withholding) one-time payment and only if proper billing records for all such incurred expenses are properly submitted. 3. If an Flexible Worker is categorized as an hourly, non-exempt employee and reimbursement of certain home internet costs is determined by Company to be legally required under the Fair Labor Standards Act or applicable state law, they will be eligible for reimbursement pursuant to the Home Connectivity Policy. However, please note that the one-time payment provided at commencement of Flexible Worker status operates as an advance of legally required business expenses, including home internet reimbursements. As a result, during the first calendar year after commencement of Flexible Worker status, reimbursement under the Home Connectivity Policy will only be provided to the extent that eligible expenses, including home internet expenses, incurred after commencement of Flexible Worker status exceed the net (i.e., after tax withholding) one-time payment and only if proper billing records for all such incurred expenses are properly submitted. 4. If an Flexible Worker obtains advance approval from their people leader, they may be reimbursed via Employee Expense Reimbursement for the reasonable cost of other home office equipment or supplies that are necessary and appropriate for their roles, such as printing or mailing supplies, second monitor, etc. Unless reimbursement for the equipment is determined to be legally required, it is in the business’s discretion whether to approve reimbursement based on business needs and cost-effectiveness. Company regularly reviews and updates its employee programs and policies based on business, compliance, and competitive factors. Accordingly, Company reserves the right to make changes to this policy at its discretion, with or without notice, in compliance with applicable law.</t>
  </si>
  <si>
    <t>With the global pandemic, Company has pivoted to allowing employees the ability to work from home on a permanent or flex basis.</t>
  </si>
  <si>
    <t>American Benefits Consulting, Willis Towers Watson</t>
  </si>
  <si>
    <t>Aon Hewitt,Callan and Associates, Willis Towers Watson</t>
  </si>
  <si>
    <t>Aon Hewitt,Richter International, Willis Towers Watson</t>
  </si>
  <si>
    <t>Aon Hewitt,Willis Towers Watson, Woodruff-Sawyer &amp; Co</t>
  </si>
  <si>
    <t>Orrick, Herrington &amp; Sutcliffe, Trucker Huss</t>
  </si>
  <si>
    <t>American Benefits Council (ABC), Wilson Sonsini Goodrich and Rosati (WSGR)</t>
  </si>
  <si>
    <t>Harvard Pilgrim Health Care,Kaiser, OptumRX</t>
  </si>
  <si>
    <t>Anthem,Carved Into Medical Plan, Kaiser</t>
  </si>
  <si>
    <t>Carved Into Medical Plan, Compsych,Modern Health</t>
  </si>
  <si>
    <t>Cigna,Cigna Global/International, Other, please specify:</t>
  </si>
  <si>
    <t>Kaiser,United Healthcare,Cigna, Aetna</t>
  </si>
  <si>
    <t>AccessHope,Consumer Medical, Through health plans (e.g., UHC, Cigna)</t>
  </si>
  <si>
    <t>AccessHope,Advance Medical, Alight Solutions</t>
  </si>
  <si>
    <t>Kaiser Mobile Health Vehicle, PAMF Care-a-Van</t>
  </si>
  <si>
    <t>EXOS (Medifit),Marathon Health, Through health plans (e.g., UHC, Cigna)</t>
  </si>
  <si>
    <t>Crossover Health,Premise Health, St. Joseph's Hoag Health</t>
  </si>
  <si>
    <t>International SOS,Lyra Health, Wellthy</t>
  </si>
  <si>
    <t>Bright Horizons,International SOS, Liberty Mutual</t>
  </si>
  <si>
    <t>Alight Solutions,Lyra Health, Progyny</t>
  </si>
  <si>
    <t>Bright Horizons,Lyra Health, Progyny</t>
  </si>
  <si>
    <t>ComPsych,Internal resources, Rethink</t>
  </si>
  <si>
    <t>Bright Horizons,Kindercare, Learning Care Group</t>
  </si>
  <si>
    <t>Matrix Absence Management, MetLife</t>
  </si>
  <si>
    <t>Matrix Absence Management, Other, please specify:</t>
  </si>
  <si>
    <t>Matrix Absence Management, Reliance Standard</t>
  </si>
  <si>
    <t>Matrix Absence Management, Safety National,Other, please specify:</t>
  </si>
  <si>
    <t>Company Fire and Marine</t>
  </si>
  <si>
    <t>Fidelity,Financial Knowledge, myFiTage (Willis Towers Watson)</t>
  </si>
  <si>
    <t>Farmers Insurance,LibertyMutual, Travelers Insurance</t>
  </si>
  <si>
    <t>Beneplace,Passport Unlimited, Perks at Work</t>
  </si>
  <si>
    <t>Benefits Hub,Perks at Work, TicketsatWork</t>
  </si>
  <si>
    <t>EZShield</t>
  </si>
  <si>
    <t>Bank of America,First Tech CU, Tech CU</t>
  </si>
  <si>
    <t>local Auto Salon</t>
  </si>
  <si>
    <t>Benefit Call Center/Member Support,Benefit Portal Development,Employee Advocate,Medical, Perks/Discounts,Premium Payment Vendor(s),Premium Reconciliation for Payment Vendor(s),Stop Loss, Wellness - Incentive Manager,Wellness - Organized events or competitions,Wellness Portal Vendor(s)</t>
  </si>
  <si>
    <t xml:space="preserve">N = </t>
  </si>
  <si>
    <t>A Health Savings Account (HSA) is a great way to save for future health care expenses. If you participate in one of the Aetna or Kaiser High Deductible Health Plans (HDHPs), you re eligible to open and contribute to an HSA. We encourage you to contribute up to the maximum amount allowed each year to get the most out of your savings. And whatever you don't use this year rolls over and is available for use in future years even if you leave the company or retire.  A Health Savings Account, or HSA, is like a personal savings account you can use to pay for eligible health care expenses now and in the future.  You and Company put money in your account and it is triple-tax protected.  a. No tax on money contributed* b. No tax on interest or investment earnings* c. No tax on money withdrawn to pay for eligible health care expenses* *In some states, you ll pay taxes on the money you put into your HSA, including Alabama, California and New Jersey.  If you use your money for something that isn't eligible, you will be subject to taxes and penalties. Other features: - Pay for eligible expenses with your HSA debit card now or save your money for the future. - Unused money rolls over at the end of each year (not  use it or lose it ). - The money is always 100% yours (including money added by Company), even if you leave or retire. - Earn interest on your money once you reach a certain balance. - You can also invest your money like you would with a 401k once your balance reaches $2,000. - Use your money to pay for eligible expenses for you, your spouse, and any other dependents you claim on your tax return. - Using your money for eligible health care expenses for your domestic partner is a little different, so refer to your plan documents for more information.  Not everyone can open an HSA. You can open an HSA as long as: - You re enrolled in one of the High Deductible Health Plans. - You or anyone you claim on your taxes isn t enrolled in another non-High Deductible Health Plan. - You aren t enrolled in a Health Care FSA (either yours or your spouse/eligible domestic partner s). Keep in mind, you can be enrolled in the Limited Purpose Flexible Spending Account (LPFSA) and still have an HSA. - You aren't enrolled in Medicare or Tricare (If you re eligible for Medicare but haven t enrolled, you re eligible for an HSA). - You aren t claimed as a dependent on anyone else s taxes.</t>
  </si>
  <si>
    <t>Benefits provided to other types of employees</t>
  </si>
  <si>
    <t>Company retroactively collects premiums for new spouse/DP or child(ren)</t>
  </si>
  <si>
    <t>Stop loss lasers or carve-out specific risks</t>
  </si>
  <si>
    <t>"A Domestic Partnership is a relationship between a Subscriber and one other person of the same or opposite sex. All of the following requirements apply to both persons:  They must not be related by blood or a degree of closeness that would prohibit marriage in the law of the state in which they reside  They must not be currently married to, or a Domestic Partner of, another person under either statutory or common law  They must share the same permanent residence and the common necessities of life  They must be at least 18 years of age  They must be mentally competent to consent to contract  They must be financially interdependent and they have documents to support at least two of the following conditions of such financial interdependence:    They have a single dedicated relationship of at least six months duration    They have joint ownership of a residence    They have at least two of the following:    A joint ownership of an automobile    A joint checking, bank or investment account    A joint credit account   A lease for a residence identifying both partners as tenants   A will and/or life insurance policy which designates the other as primary beneficiary "</t>
  </si>
  <si>
    <t>Benefits offered to domestic partners: Same-sex</t>
  </si>
  <si>
    <t>When domestic partners can enroll</t>
  </si>
  <si>
    <t>Employees required to provide and submit physical proof of dependent eligibility</t>
  </si>
  <si>
    <t>Send benefits-related messages targeted to specific groups: Nearing Medicare eligibility</t>
  </si>
  <si>
    <t>Family support benefits or services offered</t>
  </si>
  <si>
    <t>Maximum number of back-up childcare days available annually</t>
  </si>
  <si>
    <t>Eldercare assistance offered</t>
  </si>
  <si>
    <t>Maximum number of eldercare days available annually</t>
  </si>
  <si>
    <t>Lifetime maximum number of cycles for embryonic cryopreservation benefits</t>
  </si>
  <si>
    <t>Egg freezing and storage benefits offered</t>
  </si>
  <si>
    <t>Surrogacy assistance reimbursement eligibility</t>
  </si>
  <si>
    <t>Tuition assistance program covers professional certifications</t>
  </si>
  <si>
    <t>Requirements for tuition assistance program to cover professional certifications</t>
  </si>
  <si>
    <t>Perks offered</t>
  </si>
  <si>
    <t>Commuter benefits: offering locations</t>
  </si>
  <si>
    <t>Commuter benefits features/perks</t>
  </si>
  <si>
    <t>Company issued devices: Plan to continue subsidy</t>
  </si>
  <si>
    <t>Other methods of recognizing service milestones</t>
  </si>
  <si>
    <t>Benefits included with severance: Company-subsidized COBRA insurance</t>
  </si>
  <si>
    <t>Benefits included with severance: Payment in lieu of COBRA insurance</t>
  </si>
  <si>
    <t>Commuter benefits cost share model: EV charging capabilities</t>
  </si>
  <si>
    <t>Primary PPO medical plan: Expenses excluded from out-of-pocket limit</t>
  </si>
  <si>
    <t>Primary PPO medical plan: In-network overall deductible per person (preventive care-N/A)</t>
  </si>
  <si>
    <t>Primary PPO medical plan: In-network overall deductible per family (preventive care-N/A)</t>
  </si>
  <si>
    <t>Primary PPO medical plan: Out-of-network overall deductible per person (preventive care-N/A)</t>
  </si>
  <si>
    <t>Primary PPO medical plan: Out-of-network overall deductible per family (preventive care-N/A)</t>
  </si>
  <si>
    <t>Primary HDHP medical plan: In-network overall deductible per person (preventive care-N/A)</t>
  </si>
  <si>
    <t>Primary HDHP medical plan: In-network overall deductible per family (preventive care-N/A)</t>
  </si>
  <si>
    <t>Primary HDHP medical plan: Out-of-network overall deductible per person (preventive care-N/A)</t>
  </si>
  <si>
    <t>Primary HDHP medical plan: Out-of-network overall deductible per family (preventive care-N/A)</t>
  </si>
  <si>
    <t>Primary EPO medical plan: In-network overall deductible per person (preventive care-N/A)</t>
  </si>
  <si>
    <t>Primary EPO medical plan: In-network overall deductible per family (preventive care-N/A)</t>
  </si>
  <si>
    <t>Primary EPO medical plan: Out-of-network overall deductible per person (preventive care-N/A)</t>
  </si>
  <si>
    <t>Primary EPO medical plan: Out-of-network overall deductible per family (preventive care-N/A)</t>
  </si>
  <si>
    <t>Primary national HMO medical plan: In-network overall deductible per person (preventive care-N/A)</t>
  </si>
  <si>
    <t>Primary national HMO medical plan: In-network overall deductible per family (preventive care-N/A)</t>
  </si>
  <si>
    <t>Primary national HMO medical plan: Out-of-network overall deductible per person (preventive care-N/A)</t>
  </si>
  <si>
    <t>Primary national HMO medical plan: Out-of-network overall deductible per family (preventive care-N/A)</t>
  </si>
  <si>
    <t>Primary regional HMO medical plan: In-network overall deductible per person (preventive care-N/A)</t>
  </si>
  <si>
    <t>Primary regional HMO medical plan: In-network overall deductible per family (preventive care-N/A)</t>
  </si>
  <si>
    <t>Primary regional HMO medical plan: Out-of-network overall deductible per person (preventive care-N/A)</t>
  </si>
  <si>
    <t>Primary regional HMO medical plan: Out-of-network overall deductible per family (preventive care-N/A)</t>
  </si>
  <si>
    <t>Primary POS medical plan: In-network overall deductible per person (preventive care-N/A)</t>
  </si>
  <si>
    <t>Primary POS medical plan: In-network overall deductible per family (preventive care-N/A)</t>
  </si>
  <si>
    <t>Primary POS medical plan: Out-of-network overall deductible per person (preventive care-N/A)</t>
  </si>
  <si>
    <t>Primary POS medical plan: Out-of-network overall deductible per family (preventive care-N/A)</t>
  </si>
  <si>
    <t>Primary indemnity medical plan: In-network overall deductible per person (preventive care-N/A)</t>
  </si>
  <si>
    <t>Primary indemnity medical plan: In-network overall deductible per family (preventive care-N/A)</t>
  </si>
  <si>
    <t>Primary indemnity medical plan: Out-of-network overall deductible per person (preventive care-N/A)</t>
  </si>
  <si>
    <t>Primary indemnity medical plan: Out-of-network overall deductible per family (preventive care-N/A)</t>
  </si>
  <si>
    <t>Primary PPO medical plan in-network services with separate deductibles: Therapies (e.g., speech, PT, OT)</t>
  </si>
  <si>
    <t>Primary PPO medical plan out-of-network services with separate deductibles: Therapies (e.g., speech, PT, OT)</t>
  </si>
  <si>
    <t>Primary PPO medical plan in-network deductible per person: Therapies (speech, PT, OT)</t>
  </si>
  <si>
    <t>Primary PPO medical plan in-network deductible per family: Therapies (speech, PT, OT)</t>
  </si>
  <si>
    <t>Primary PPO medical plan out-of-network deductible per person: Therapies (speech, PT, OT)</t>
  </si>
  <si>
    <t>Primary PPO medical plan out-of-network deductible per family: Therapies (speech, PT, OT)</t>
  </si>
  <si>
    <t>Primary HDHP medical plan in-network services with separate deductibles: Therapies (e.g., speech, PT, OT)</t>
  </si>
  <si>
    <t>Primary HDHP medical plan out-of-network services with separate deductibles: Therapies (e.g., speech, PT, OT)</t>
  </si>
  <si>
    <t>Primary HDHP medical plan in-network deductible per person: Therapies (speech, PT, OT)</t>
  </si>
  <si>
    <t>Primary HDHP medical plan in-network deductible per family: Therapies (speech, PT, OT)</t>
  </si>
  <si>
    <t>Primary HDHP medical plan out-of-network deductible per person: Therapies (speech, PT, OT)</t>
  </si>
  <si>
    <t>Primary HDHP medical plan out-of-network deductible per family: Therapies (speech, PT, OT)</t>
  </si>
  <si>
    <t>Primary EPO medical plan in-network services with separate deductibles: Therapies (e.g., speech, PT, OT)</t>
  </si>
  <si>
    <t>Primary EPO medical plan out-of-network services with separate deductibles: Therapies (e.g., speech, PT, OT)</t>
  </si>
  <si>
    <t>Primary EPO medical plan in-network deductible per person: Therapies (speech, PT, OT)</t>
  </si>
  <si>
    <t>Primary EPO medical plan in-network deductible per family: Therapies (speech, PT, OT)</t>
  </si>
  <si>
    <t>Primary EPO medical plan out-of-network deductible per person: Therapies (speech, PT, OT)</t>
  </si>
  <si>
    <t>Primary EPO medical plan out-of-network deductible per family: Therapies (speech, PT, OT)</t>
  </si>
  <si>
    <t>Primary national HMO medical plan in-network services with separate deductibles: Therapies (e.g., speech, PT, OT)</t>
  </si>
  <si>
    <t>Primary national HMO medical plan out-of-network services with separate deductibles: Therapies (e.g., speech, PT, OT)</t>
  </si>
  <si>
    <t>Primary national HMO medical plan in-network deductible per person: Therapies (speech, PT, OT)</t>
  </si>
  <si>
    <t>Primary national HMO medical plan in-network deductible per family: Therapies (speech, PT, OT)</t>
  </si>
  <si>
    <t>Primary national HMO medical plan out-of-network deductible per person: Therapies (speech, PT, OT)</t>
  </si>
  <si>
    <t>Primary national HMO medical plan out-of-network deductible per family: Therapies (speech, PT, OT)</t>
  </si>
  <si>
    <t>Primary regional HMO medical plan in-network services with separate deductibles: Therapies (e.g., speech, PT, OT)</t>
  </si>
  <si>
    <t>Primary regional HMO medical plan out-of-network services with separate deductibles: Therapies (e.g., speech, PT, OT)</t>
  </si>
  <si>
    <t>Primary regional HMO medical plan in-network deductible per person: Therapies (speech, PT, OT)</t>
  </si>
  <si>
    <t>Primary regional HMO medical plan in-network deductible per family: Therapies (speech, PT, OT)</t>
  </si>
  <si>
    <t>Primary regional HMO medical plan out-of-network deductible per person: Therapies (speech, PT, OT)</t>
  </si>
  <si>
    <t>Primary regional HMO medical plan out-of-network deductible per family: Therapies (speech, PT, OT)</t>
  </si>
  <si>
    <t>Primary POS medical plan in-network services with separate deductibles: Therapies (e.g., speech, PT, OT)</t>
  </si>
  <si>
    <t>Primary POS medical plan out-of-network services with separate deductibles: Therapies (e.g., speech, PT, OT)</t>
  </si>
  <si>
    <t>Primary POS medical plan in-network deductible per person: Therapies (speech, PT, OT)</t>
  </si>
  <si>
    <t>Primary POS medical plan in-network deductible per family: Therapies (speech, PT, OT)</t>
  </si>
  <si>
    <t>Primary POS medical plan out-of-network deductible per person: Therapies (speech, PT, OT)</t>
  </si>
  <si>
    <t>Primary POS medical plan out-of-network deductible per family: Therapies (speech, PT, OT)</t>
  </si>
  <si>
    <t>Primary indemnity medical plan in-network services with separate deductibles: Therapies (e.g., speech, PT, OT)</t>
  </si>
  <si>
    <t>Primary indemnity medical plan out-of-network services with separate deductibles: Therapies (e.g., speech, PT, OT)</t>
  </si>
  <si>
    <t>Primary indemnity medical plan in-network deductible per person: Therapies (speech, PT, OT)</t>
  </si>
  <si>
    <t>Primary indemnity medical plan in-network deductible per family: Therapies (speech, PT, OT)</t>
  </si>
  <si>
    <t>Primary indemnity medical plan out-of-network deductible per person: Therapies (speech, PT, OT)</t>
  </si>
  <si>
    <t>Primary indemnity medical plan out-of-network deductible per family: Therapies (speech, PT, OT)</t>
  </si>
  <si>
    <t>Primary PPO medical plan non-acute care services out-of-network coverage</t>
  </si>
  <si>
    <t>Primary PPO medical plan in-network copayment: Autism/applied behavioral analysis (ABA)</t>
  </si>
  <si>
    <t>Primary PPO medical plan in-network coinsurance: Autism/applied behavioral analysis (ABA)</t>
  </si>
  <si>
    <t>Primary PPO medical plan out-of-network copayment: Autism/applied behavioral analysis (ABA)</t>
  </si>
  <si>
    <t>Primary PPO medical plan out-of-network coinsurance: Autism/applied behavioral analysis (ABA)</t>
  </si>
  <si>
    <t>Primary PPO medical plan out-of-pocket cost share waived or reduced: Autism/applied behavioral analysis (ABA)</t>
  </si>
  <si>
    <t>Primary PPO medical plan non-authorization/notification/not qualified services penalties applied: Autism/applied behavioral analysis (ABA)</t>
  </si>
  <si>
    <t>Primary HDHP medical plan in-network copayment: Autism/applied behavioral analysis (ABA)</t>
  </si>
  <si>
    <t>Primary HDHP medical plan in-network coinsurance: Autism/applied behavioral analysis (ABA)</t>
  </si>
  <si>
    <t>Primary HDHP medical plan out-of-network copayment: Autism/applied behavioral analysis (ABA)</t>
  </si>
  <si>
    <t>Primary HDHP medical plan out-of-network coinsurance: Autism/applied behavioral analysis (ABA)</t>
  </si>
  <si>
    <t>Primary HDHP medical plan out-of-pocket cost share waived or reduced: Autism/applied behavioral analysis (ABA)</t>
  </si>
  <si>
    <t>Primary HDHP medical plan non-authorization/notification/not qualified services penalties applied: Autism/applied behavioral analysis (ABA)</t>
  </si>
  <si>
    <t>Primary EPO medical plan in-network copayment: Autism/applied behavioral analysis (ABA)</t>
  </si>
  <si>
    <t>Primary EPO medical plan in-network coinsurance: Autism/applied behavioral analysis (ABA)</t>
  </si>
  <si>
    <t>Primary EPO medical plan out-of-network copayment: Autism/applied behavioral analysis (ABA)</t>
  </si>
  <si>
    <t>Primary EPO medical plan out-of-network coinsurance: Autism/applied behavioral analysis (ABA)</t>
  </si>
  <si>
    <t>Primary EPO medical plan out-of-pocket cost share waived or reduced: Autism/applied behavioral analysis (ABA)</t>
  </si>
  <si>
    <t>Primary EPO medical plan non-authorization/notification/not qualified services penalties applied: Autism/applied behavioral analysis (ABA)</t>
  </si>
  <si>
    <t>Primary national HMO medical plan in-network copayment: Autism/applied behavioral analysis (ABA)</t>
  </si>
  <si>
    <t>Primary national HMO medical plan in-network coinsurance: Autism/applied behavioral analysis (ABA)</t>
  </si>
  <si>
    <t>Primary national HMO medical plan out-of-network copayment: Autism/applied behavioral analysis (ABA)</t>
  </si>
  <si>
    <t>Primary national HMO medical plan out-of-network coinsurance: Autism/applied behavioral analysis (ABA)</t>
  </si>
  <si>
    <t>Primary national HMO medical plan out-of-pocket cost share waived or reduced: Autism/applied behavioral analysis (ABA)</t>
  </si>
  <si>
    <t>Primary national HMO medical plan non-authorization/notification/not qualified services penalties applied: Autism/applied behavioral analysis (ABA)</t>
  </si>
  <si>
    <t>Primary regional HMO medical plan in-network copayment: Autism/applied behavioral analysis (ABA)</t>
  </si>
  <si>
    <t>Primary regional HMO medical plan in-network coinsurance: Autism/applied behavioral analysis (ABA)</t>
  </si>
  <si>
    <t>Primary regional HMO medical plan out-of-network copayment: Autism/applied behavioral analysis (ABA)</t>
  </si>
  <si>
    <t>Primary regional HMO medical plan out-of-network coinsurance: Autism/applied behavioral analysis (ABA)</t>
  </si>
  <si>
    <t>Primary regional HMO medical plan out-of-pocket cost share waived or reduced: Autism/applied behavioral analysis (ABA)</t>
  </si>
  <si>
    <t>Primary regional HMO medical plan non-authorization/notification/not qualified services penalties applied: Autism/applied behavioral analysis (ABA)</t>
  </si>
  <si>
    <t>Primary POS medical plan in-network copayment: Autism/applied behavioral analysis (ABA)</t>
  </si>
  <si>
    <t>Primary POS medical plan in-network coinsurance: Autism/applied behavioral analysis (ABA)</t>
  </si>
  <si>
    <t>Primary POS medical plan out-of-network copayment: Autism/applied behavioral analysis (ABA)</t>
  </si>
  <si>
    <t>Primary POS medical plan out-of-network coinsurance: Autism/applied behavioral analysis (ABA)</t>
  </si>
  <si>
    <t>Primary POS medical plan out-of-pocket cost share waived or reduced: Autism/applied behavioral analysis (ABA)</t>
  </si>
  <si>
    <t>Primary POS medical plan non-authorization/notification/not qualified services penalties applied: Autism/applied behavioral analysis (ABA)</t>
  </si>
  <si>
    <t>Primary indemnity medical plan in-network copayment: Autism/applied behavioral analysis (ABA)</t>
  </si>
  <si>
    <t>Primary indemnity medical plan in-network coinsurance: Autism/applied behavioral analysis (ABA)</t>
  </si>
  <si>
    <t>Primary indemnity medical plan out-of-network copayment: Autism/applied behavioral analysis (ABA)</t>
  </si>
  <si>
    <t>Primary indemnity medical plan out-of-network coinsurance: Autism/applied behavioral analysis (ABA)</t>
  </si>
  <si>
    <t>Primary indemnity medical plan out-of-pocket cost share waived or reduced: Autism/applied behavioral analysis (ABA)</t>
  </si>
  <si>
    <t>Primary indemnity medical plan non-authorization/notification/ not qualified services penalties applied: Autism/applied behavioral analysis (ABA)</t>
  </si>
  <si>
    <t>Primary PPO medical plan in-network coinsurance: Specialist office visit</t>
  </si>
  <si>
    <t>Primary PPO medical plan in-network coinsurance: Emergency room</t>
  </si>
  <si>
    <t>Primary PPO medical plan in-network coinsurance: Urgent office visit</t>
  </si>
  <si>
    <t>Primary PPO medical plan in-network coinsurance: Telehealth</t>
  </si>
  <si>
    <t>Primary PPO medical plan in-network coinsurance: Other</t>
  </si>
  <si>
    <t>Primary HDHP medical plan out-of-network services with separate deductibles: Emergency room (true emergency)</t>
  </si>
  <si>
    <t>Primary HDHP medical plan out-of-network services with separate deductibles: Outpatient surgical center</t>
  </si>
  <si>
    <t>Primary HDHP medical plan in-network coinsurance: Specialist office visit</t>
  </si>
  <si>
    <t>Primary HDHP medical plan in-network coinsurance: Emergency room</t>
  </si>
  <si>
    <t>Primary HDHP medical plan in-network coinsurance: Urgent office visit</t>
  </si>
  <si>
    <t>Primary HDHP medical plan in-network coinsurance: Telehealth</t>
  </si>
  <si>
    <t>Primary HDHP medical plan in-network coinsurance: Other</t>
  </si>
  <si>
    <t>Primary HDHP medical plan out-of-network coinsurance: Specialist office visit</t>
  </si>
  <si>
    <t>Primary HDHP medical plan out-of-network coinsurance: Emergency room</t>
  </si>
  <si>
    <t>Primary HDHP medical plan out-of-network coinsurance: Urgent office visit</t>
  </si>
  <si>
    <t>Primary HDHP medical plan out-of-network coinsurance: Other</t>
  </si>
  <si>
    <t>Primary EPO medical plan in-network coinsurance: Specialist office visit</t>
  </si>
  <si>
    <t>Primary EPO medical plan in-network coinsurance: Emergency room</t>
  </si>
  <si>
    <t>Primary EPO medical plan in-network coinsurance: Urgent office visit</t>
  </si>
  <si>
    <t>Primary EPO medical plan in-network coinsurance: Telehealth</t>
  </si>
  <si>
    <t>Primary EPO medical plan in-network coinsurance: Other</t>
  </si>
  <si>
    <t>Primary EPO medical plan out-of-network coinsurance: Specialist office visit</t>
  </si>
  <si>
    <t>Primary EPO medical plan out-of-network coinsurance: Emergency room</t>
  </si>
  <si>
    <t>Primary EPO medical plan out-of-network coinsurance: Urgent office visit</t>
  </si>
  <si>
    <t>Primary EPO medical plan out-of-network coinsurance: Other</t>
  </si>
  <si>
    <t>Primary national HMO medical plan in-network coinsurance: Specialist office visit</t>
  </si>
  <si>
    <t>Primary national HMO medical plan in-network coinsurance: Emergency room</t>
  </si>
  <si>
    <t>Primary national HMO medical plan in-network coinsurance: Urgent office visit</t>
  </si>
  <si>
    <t>Primary national HMO medical plan in-network coinsurance: Telehealth</t>
  </si>
  <si>
    <t>Primary national HMO medical plan in-network coinsurance: Other</t>
  </si>
  <si>
    <t>Primary national HMO medical plan out-of-network coinsurance: Specialist office visit</t>
  </si>
  <si>
    <t>Primary national HMO medical plan out-of-network coinsurance: Emergency room</t>
  </si>
  <si>
    <t>Primary national HMO medical plan out-of-network coinsurance: Urgent office visit</t>
  </si>
  <si>
    <t>Primary national HMO medical plan out-of-network coinsurance: Other</t>
  </si>
  <si>
    <t>Primary regional HMO medical plan in-network coinsurance: Specialist office visit</t>
  </si>
  <si>
    <t>Primary regional HMO medical plan in-network coinsurance: Emergency room</t>
  </si>
  <si>
    <t>Primary regional HMO medical plan in-network coinsurance: Urgent office visit</t>
  </si>
  <si>
    <t>Primary regional HMO medical plan in-network coinsurance: Telehealth</t>
  </si>
  <si>
    <t>Primary regional HMO medical plan in-network coinsurance: Other</t>
  </si>
  <si>
    <t>Primary regional HMO medical plan out-of-network coinsurance: Specialist office visit</t>
  </si>
  <si>
    <t>Primary regional HMO medical plan out-of-network coinsurance: Emergency room</t>
  </si>
  <si>
    <t>Primary regional HMO medical plan out-of-network coinsurance: Urgent office visit</t>
  </si>
  <si>
    <t>Primary regional HMO medical plan out-of-network coinsurance: Other</t>
  </si>
  <si>
    <t>Primary POS medical plan in-network coinsurance: Specialist office visit</t>
  </si>
  <si>
    <t>Primary POS medical plan in-network coinsurance: Emergency room</t>
  </si>
  <si>
    <t>Primary POS medical plan in-network coinsurance: Urgent office visit</t>
  </si>
  <si>
    <t>Primary POS medical plan in-network coinsurance: Telehealth</t>
  </si>
  <si>
    <t>Primary POS medical plan in-network coinsurance: Other</t>
  </si>
  <si>
    <t>Primary POS medical plan out-of-network coinsurance: Specialist office visit</t>
  </si>
  <si>
    <t>Primary POS medical plan out-of-network coinsurance: Emergency room</t>
  </si>
  <si>
    <t>Primary POS medical plan out-of-network coinsurance: Urgent office visit</t>
  </si>
  <si>
    <t>Primary POS medical plan out-of-network coinsurance: Other</t>
  </si>
  <si>
    <t>Primary indemnity medical plan in-network coinsurance: Specialist office visit</t>
  </si>
  <si>
    <t>Primary indemnity medical plan in-network coinsurance: Emergency room</t>
  </si>
  <si>
    <t>Primary indemnity medical plan in-network coinsurance: Urgent office visit</t>
  </si>
  <si>
    <t>Primary indemnity medical plan in-network coinsurance: Telehealth</t>
  </si>
  <si>
    <t>Primary indemnity medical plan in-network coinsurance: Other</t>
  </si>
  <si>
    <t>Primary indemnity medical plan out-of-network coinsurance: Specialist office visit</t>
  </si>
  <si>
    <t>Primary indemnity medical plan out-of-network coinsurance: Emergency room</t>
  </si>
  <si>
    <t>Primary indemnity medical plan out-of-network coinsurance: Urgent office visit</t>
  </si>
  <si>
    <t>Primary indemnity medical plan out-of-network coinsurance: Other</t>
  </si>
  <si>
    <t>Medical review/prior authorization, Quantity limits, Specialty medication program</t>
  </si>
  <si>
    <t>Medical review/prior authorization, Quantity limits,Specialty medication program,Mail order, Custom formulary (e.g., "no waste")</t>
  </si>
  <si>
    <t>Step therapy,Quantity limits, Specialty medication program,Mail order</t>
  </si>
  <si>
    <t>Medical review/prior authorization, Quantity limits,Mail order,Auto-refill,90 Day supply, Custom formulary (e.g., "no waste")</t>
  </si>
  <si>
    <t>Step therapy,Quantity limits, Specialty medication program,Mail order,Auto-refill,90 Day supply</t>
  </si>
  <si>
    <t>General/primary care office visit, Specialist office visit, Autism/applied behavioral analysis (ABA),ER,Urgent office visit, Telehealth</t>
  </si>
  <si>
    <t>Primary regional HMO medical plan: Expenses excluded from out-of-pocket limit</t>
  </si>
  <si>
    <t>Diagnosis of underlying cause of the infertility,Insemination procedures (e.g., Artificial insemination (AI), Intra Uterine Insemination (IUI)), Assisted Reproductive Technology (ART) (e.g., IVF, GIFT, ZIFT), Ovulation Induction,Controlled Ovarian Stimulation, Preimplantation Genetic Diagnosis (PGD),Preimplantation Genetic Screening (PGS)</t>
  </si>
  <si>
    <t>Company strategy: alignment of adoption assistance benefits with infertility service costs</t>
  </si>
  <si>
    <t>Physical therapy,Occupational therapy,Speech therapy, Durable medical equipment (e.g., speech device),Applied behavioral therapy,Early Intensive behavior interventions, Psychiatry and/or psychologist related services,Diagnostic testing (obtaining formal ASD diagnosis)</t>
  </si>
  <si>
    <t>Primary self-insured medical plan: Autism spectrum disorder (ASD) covered treatments and services</t>
  </si>
  <si>
    <t>Primary self-insured medical plan: Autism spectrum disorder (ASD) coverage</t>
  </si>
  <si>
    <t>Separate expatriate medical plan offered to employee and dependents during non-US long term assignment in non-US countries</t>
  </si>
  <si>
    <t>Medical plan offered to expatriate employee and dependents during non-US long term assignment</t>
  </si>
  <si>
    <t>Medical plan offered to inpatriate employee and dependents during US long term assignment</t>
  </si>
  <si>
    <t>Separate inpatriate medical plan offered to non-US employee and dependents during US long term assignment</t>
  </si>
  <si>
    <t>Alternative models of health care access offered or considered: Mobile health vehicle - Kaiser</t>
  </si>
  <si>
    <t>Alternative models of health care access offered or considered: Mobile health vehicle - PAMF Care-a-Van</t>
  </si>
  <si>
    <t>Alternative models of health care access offered or considered: Vision (eye exams, etc.)</t>
  </si>
  <si>
    <t>Offer different plans based on Medicare eligibility</t>
  </si>
  <si>
    <t>Primary DHMO plan: Service category: Amalgam fillings</t>
  </si>
  <si>
    <t>Primary DHMO plan: Service category: Anesthesia/sedation</t>
  </si>
  <si>
    <t>Primary DHMO plan: Service category: Bridgework</t>
  </si>
  <si>
    <t>Primary DHMO plan: Service category: Cleanings (prophylaxis)</t>
  </si>
  <si>
    <t>Primary DHMO plan: Service category: Composite fillings (white fillings)</t>
  </si>
  <si>
    <t>Primary DHMO plan: Service category: Crowns</t>
  </si>
  <si>
    <t>Primary DHMO plan: Service category: Denture repair</t>
  </si>
  <si>
    <t>Primary DHMO plan: Service category: Dentures (relines &amp; rebases)</t>
  </si>
  <si>
    <t>Primary DHMO plan: Service category: Dentures (removable &amp; Partial)</t>
  </si>
  <si>
    <t>Primary DHMO plan: Service category: Examinations (non-routine)</t>
  </si>
  <si>
    <t>Primary DHMO plan: Service category: Examinations (routine)</t>
  </si>
  <si>
    <t>Primary DHMO plan: Service category: Fluoride treatments</t>
  </si>
  <si>
    <t>Primary DHMO plan: Service category: Implants</t>
  </si>
  <si>
    <t>Primary DHMO plan: Service category: Inlays &amp; onlays</t>
  </si>
  <si>
    <t>Primary DHMO plan: Service category: Night guards</t>
  </si>
  <si>
    <t>Primary DHMO plan: Service category: Oral surgery</t>
  </si>
  <si>
    <t>Primary DHMO plan: Service category: Orthodontia</t>
  </si>
  <si>
    <t>Primary DHMO plan: Service category: Periodontal scaling &amp; root planing</t>
  </si>
  <si>
    <t>Primary DHMO plan: Service category: Periodontal surgery</t>
  </si>
  <si>
    <t>Primary DHMO plan: Service category: Root canals</t>
  </si>
  <si>
    <t>Primary DHMO plan: Service category: Space maintainers</t>
  </si>
  <si>
    <t>Primary PPO medical plan in-network services with separate deductibles: Other</t>
  </si>
  <si>
    <t>Primary PPO medical plan in-network copayment: Other</t>
  </si>
  <si>
    <t>Primary PPO medical plan out-of-network copayment: Other</t>
  </si>
  <si>
    <t>Primary HDHP medical plan out-of-network services with separate deductibles: Chiropractic</t>
  </si>
  <si>
    <t>Primary HDHP medical plan in-network copayment: Other</t>
  </si>
  <si>
    <t>Primary HDHP medical plan out-of-network copayment: Other</t>
  </si>
  <si>
    <t>Primary EPO medical plan in-network copayment: Other</t>
  </si>
  <si>
    <t>Primary EPO medical plan out-of-network copayment: Other</t>
  </si>
  <si>
    <t>Primary national HMO medical plan in-network copayment: Other</t>
  </si>
  <si>
    <t>Primary national HMO medical plan out-of-network copayment: Other</t>
  </si>
  <si>
    <t>Primary regional HMO medical plan in-network copayment: Other</t>
  </si>
  <si>
    <t>Primary regional HMO medical plan out-of-network copayment: Other</t>
  </si>
  <si>
    <t>Primary POS medical plan in-network copayment: Other</t>
  </si>
  <si>
    <t>Primary POS medical plan out-of-network copayment: Other</t>
  </si>
  <si>
    <t>Primary indemnity medical plan in-network copayment: Other</t>
  </si>
  <si>
    <t>Primary indemnity medical plan out-of-network copayment: Other</t>
  </si>
  <si>
    <t>Primary PPO dental plan: Implants are a major service</t>
  </si>
  <si>
    <t xml:space="preserve">Primary PPO dental plan: Orthodontia coverage eligibility - children to age 18 </t>
  </si>
  <si>
    <t>Primary PPO dental plan: Services covered under dental plan</t>
  </si>
  <si>
    <t>Primary PPO dental plan: Service category: Amalgam fillings</t>
  </si>
  <si>
    <t>Primary PPO dental plan: Service category: Anesthesia/sedation</t>
  </si>
  <si>
    <t>Primary PPO dental plan: Service category: Bridgework</t>
  </si>
  <si>
    <t>Primary PPO dental plan: Service category: Cleanings (prophylaxis)</t>
  </si>
  <si>
    <t>Primary PPO dental plan: Service category: Composite fillings (white fillings)</t>
  </si>
  <si>
    <t>Primary PPO dental plan: Service category: Crowns</t>
  </si>
  <si>
    <t>Primary PPO dental plan: Service category: Denture repair</t>
  </si>
  <si>
    <t>Primary PPO dental plan: Service category: Dentures (relines &amp; rebases)</t>
  </si>
  <si>
    <t>Primary PPO dental plan: Service category: Dentures (removable &amp; partial)</t>
  </si>
  <si>
    <t>Primary PPO dental plan: Service category: Examinations (non-routine)</t>
  </si>
  <si>
    <t>Primary PPO dental plan: Service category: Examinations (routine)</t>
  </si>
  <si>
    <t>Primary PPO dental plan: Service category: Fluoride treatments</t>
  </si>
  <si>
    <t>Primary PPO dental plan: Service category: Implants</t>
  </si>
  <si>
    <t>Primary PPO dental plan: Service category: Inlays &amp; onlays</t>
  </si>
  <si>
    <t>Primary PPO dental plan: Service category: Night guards</t>
  </si>
  <si>
    <t>Primary PPO dental plan: Service category: Oral surgery</t>
  </si>
  <si>
    <t>Primary PPO dental plan: Service category: Orthodontia</t>
  </si>
  <si>
    <t>Primary PPO dental plan: Service category: Periodontal scaling &amp; root planing</t>
  </si>
  <si>
    <t>Primary PPO dental plan: Service category: Periodontal surgery</t>
  </si>
  <si>
    <t>Primary PPO dental plan: Service category: Root canals</t>
  </si>
  <si>
    <t>Primary PPO dental plan: Service category: Space maintainers</t>
  </si>
  <si>
    <t>Primary PPO dental plan: Service category: Tooth extractions</t>
  </si>
  <si>
    <t>Primary PPO dental plan: Service category: Tooth sealants</t>
  </si>
  <si>
    <t>Primary PPO dental plan: Service category: Topical fluoride treatments</t>
  </si>
  <si>
    <t>Primary PPO dental plan: Service category: X-rays - bitewings</t>
  </si>
  <si>
    <t>Primary PPO dental plan: Service category: X-rays - full-mouth, panorex</t>
  </si>
  <si>
    <t>Primary PPO dental plan: Service category: X-rays - periapical</t>
  </si>
  <si>
    <t>Primary PPO dental plan: Service costs apply to annual limit: Amalgam fillings</t>
  </si>
  <si>
    <t>Primary PPO dental plan: Service costs apply to annual limit: Anesthesia/sedation</t>
  </si>
  <si>
    <t>Primary PPO dental plan: Service costs apply to annual limit: Bridgework</t>
  </si>
  <si>
    <t>Primary PPO dental plan: Service costs apply to annual limit: Cleanings (prophylaxis)</t>
  </si>
  <si>
    <t>Primary PPO dental plan: Service costs apply to annual limit: Composite fillings (white fillings)</t>
  </si>
  <si>
    <t>Primary PPO dental plan: Service costs apply to annual limit: Crowns</t>
  </si>
  <si>
    <t>Primary PPO dental plan: Service costs apply to annual limit: Denture repair</t>
  </si>
  <si>
    <t>Primary PPO dental plan: Service costs apply to annual limit: Dentures (relines &amp; rebases)</t>
  </si>
  <si>
    <t>Primary PPO dental plan: Service costs apply to annual limit: Dentures (removable &amp; partial)</t>
  </si>
  <si>
    <t>Primary PPO dental plan: Service costs apply to annual limit: Examinations (non-routine)</t>
  </si>
  <si>
    <t>Primary PPO dental plan: Service costs apply to annual limit: Examinations (routine)</t>
  </si>
  <si>
    <t>Primary PPO dental plan: Service costs apply to annual limit: Fluoride treatments</t>
  </si>
  <si>
    <t>Primary PPO dental plan: Service costs apply to annual limit: Implants</t>
  </si>
  <si>
    <t>Primary PPO dental plan: Service costs apply to annual limit: Inlays &amp; onlays</t>
  </si>
  <si>
    <t>Primary PPO dental plan: Service costs apply to annual limit: Night guards</t>
  </si>
  <si>
    <t>Primary PPO dental plan: Service costs apply to annual limit: Oral surgery</t>
  </si>
  <si>
    <t>Primary PPO dental plan: Service costs apply to annual limit: Orthodontia</t>
  </si>
  <si>
    <t>Primary PPO dental plan: Service costs apply to annual limit: Periodontal scaling &amp; root planing</t>
  </si>
  <si>
    <t>Primary PPO dental plan: Service costs apply to annual limit: Periodontal surgery</t>
  </si>
  <si>
    <t>Primary PPO dental plan: Service costs apply to annual limit: Root canals</t>
  </si>
  <si>
    <t>Primary PPO dental plan: Service costs apply to annual limit: Space maintainers</t>
  </si>
  <si>
    <t>Primary PPO dental plan: Service costs apply to annual limit: Tooth extractions</t>
  </si>
  <si>
    <t>Primary PPO dental plan: Service costs apply to annual limit: Tooth sealants</t>
  </si>
  <si>
    <t>Primary PPO dental plan: Service costs apply to annual limit: Topical fluoride treatments</t>
  </si>
  <si>
    <t>Primary PPO dental plan: Service costs apply to annual limit: X-rays - bitewings</t>
  </si>
  <si>
    <t>Primary PPO dental plan: Service costs apply to annual limit: X-rays - full-mouth, panorex</t>
  </si>
  <si>
    <t>Primary PPO dental plan: Service costs apply to annual limit: X-rays - periapical</t>
  </si>
  <si>
    <t>Primary PPO dental plan: Service frequency limit: Amalgam fillings</t>
  </si>
  <si>
    <t>Primary PPO dental plan: Service frequency limit: Anesthesia/sedation</t>
  </si>
  <si>
    <t>Primary PPO dental plan: Service frequency limit: Bridgework</t>
  </si>
  <si>
    <t>Primary PPO dental plan: Service frequency limit: Cleanings (prophylaxis)</t>
  </si>
  <si>
    <t>Primary PPO dental plan: Service frequency limit: Composite fillings (white fillings)</t>
  </si>
  <si>
    <t>Primary PPO dental plan: Service frequency limit: Crowns</t>
  </si>
  <si>
    <t>Primary PPO dental plan: Service frequency limit: Denture repair</t>
  </si>
  <si>
    <t>Primary PPO dental plan: Service frequency limit: Dentures (relines &amp; rebases)</t>
  </si>
  <si>
    <t>Primary PPO dental plan: Service frequency limit: Dentures (removable &amp; partial)</t>
  </si>
  <si>
    <t>Primary PPO dental plan: Service frequency limit: Examinations (non-routine)</t>
  </si>
  <si>
    <t>Primary PPO dental plan: Service frequency limit: Examinations (routine)</t>
  </si>
  <si>
    <t>Primary PPO dental plan: Service frequency limit: Fluoride treatments</t>
  </si>
  <si>
    <t>Primary PPO dental plan: Service frequency limit: Implants</t>
  </si>
  <si>
    <t>Primary PPO dental plan: Service frequency limit: Inlays &amp; onlays</t>
  </si>
  <si>
    <t>Primary PPO dental plan: Service frequency limit: Night guards</t>
  </si>
  <si>
    <t>Primary PPO dental plan: Service frequency limit: Oral surgery</t>
  </si>
  <si>
    <t>Primary PPO dental plan: Service frequency limit: Orthodontia</t>
  </si>
  <si>
    <t>Primary PPO dental plan: Service frequency limit: Periodontal scaling &amp; root planing</t>
  </si>
  <si>
    <t>Primary PPO dental plan: Service frequency limit: Periodontal surgery</t>
  </si>
  <si>
    <t>Primary PPO dental plan: Service frequency limit: Root canals</t>
  </si>
  <si>
    <t>Primary PPO dental plan: Service frequency limit: Space maintainers</t>
  </si>
  <si>
    <t>Primary PPO dental plan: Service frequency limit: Tooth extractions</t>
  </si>
  <si>
    <t>Primary PPO dental plan: Service frequency limit: Tooth sealants</t>
  </si>
  <si>
    <t>Primary PPO dental plan: Service frequency limit: Topical fluoride treatments</t>
  </si>
  <si>
    <t>Primary PPO dental plan: Service frequency limit: X-rays - bitewings</t>
  </si>
  <si>
    <t>Primary PPO dental plan: Service frequency limit: X-rays - full-mouth, panorex</t>
  </si>
  <si>
    <t>Primary PPO dental plan: Service frequency limit: X-rays - periapical</t>
  </si>
  <si>
    <t>Primary DHMO plan: Service category: Tooth extractions</t>
  </si>
  <si>
    <t>Primary DHMO plan: Service category: Tooth sealants</t>
  </si>
  <si>
    <t>Primary DHMO plan: Service category: Topical fluoride treatments</t>
  </si>
  <si>
    <t>Primary DHMO plan: Service category: X-rays - bitewings</t>
  </si>
  <si>
    <t>Primary DHMO plan: Service category: X-rays - full-mouth, panorex</t>
  </si>
  <si>
    <t>Primary DHMO plan: Service category: X-rays - periapical</t>
  </si>
  <si>
    <t>Primary DHMO plan: Service costs apply to annual limit: Amalgam fillings</t>
  </si>
  <si>
    <t>Primary DHMO plan: Service costs apply to annual limit: Anesthesia/sedation</t>
  </si>
  <si>
    <t>Primary DHMO plan: Service costs apply to annual limit: Bridgework</t>
  </si>
  <si>
    <t>Primary DHMO plan: Service costs apply to annual limit: Cleanings (prophylaxis)</t>
  </si>
  <si>
    <t>Primary DHMO plan: Service costs apply to annual limit: Composite fillings (white fillings)</t>
  </si>
  <si>
    <t>Primary DHMO plan: Service costs apply to annual limit: Crowns</t>
  </si>
  <si>
    <t>Primary DHMO plan: Service costs apply to annual limit: Denture repair</t>
  </si>
  <si>
    <t>Primary DHMO plan: Service costs apply to annual limit: Dentures (relines &amp; rebases)</t>
  </si>
  <si>
    <t>Primary DHMO plan: Service costs apply to annual limit: Dentures (removable &amp; Partial)</t>
  </si>
  <si>
    <t>Primary DHMO plan: Service costs apply to annual limit: Examinations (non-routine)</t>
  </si>
  <si>
    <t>Primary DHMO plan: Service costs apply to annual limit: Examinations (routine)</t>
  </si>
  <si>
    <t>Primary DHMO plan: Service costs apply to annual limit: Fluoride treatments</t>
  </si>
  <si>
    <t>Primary DHMO plan: Service costs apply to annual limit: Implants</t>
  </si>
  <si>
    <t>Primary DHMO plan: Service costs apply to annual limit: Inlays &amp; onlays</t>
  </si>
  <si>
    <t>Primary DHMO plan: Service costs apply to annual limit: Night guards</t>
  </si>
  <si>
    <t>Primary DHMO plan: Service costs apply to annual limit: Oral surgery</t>
  </si>
  <si>
    <t>Primary DHMO plan: Service costs apply to annual limit: Orthodontia</t>
  </si>
  <si>
    <t>Primary DHMO plan: Service costs apply to annual limit: Periodontal scaling &amp; root planing</t>
  </si>
  <si>
    <t>Primary DHMO plan: Service costs apply to annual limit: Periodontal surgery</t>
  </si>
  <si>
    <t>Primary DHMO plan: Service costs apply to annual limit: Root canals</t>
  </si>
  <si>
    <t>Primary DHMO plan: Service costs apply to annual limit: Space maintainers</t>
  </si>
  <si>
    <t>Primary DHMO plan: Service costs apply to annual limit: Tooth extractions</t>
  </si>
  <si>
    <t>Primary DHMO plan: Service costs apply to annual limit: Tooth sealants</t>
  </si>
  <si>
    <t>Primary DHMO plan: Service costs apply to annual limit: Topical fluoride treatments</t>
  </si>
  <si>
    <t>Primary DHMO plan: Service costs apply to annual limit: X-rays - bitewings</t>
  </si>
  <si>
    <t>Primary DHMO plan: Service costs apply to annual limit: X-rays - full-mouth, panorex</t>
  </si>
  <si>
    <t>Primary DHMO plan: Service costs apply to annual limit: X-rays - periapical</t>
  </si>
  <si>
    <t>Primary DHMO plan: Service frequency limit: Amalgam fillings</t>
  </si>
  <si>
    <t>Primary DHMO plan: Service frequency limit: Anesthesia/sedation</t>
  </si>
  <si>
    <t>Primary DHMO plan: Service frequency limit: Bridgework</t>
  </si>
  <si>
    <t>Primary DHMO plan: Service frequency limit: Cleanings (prophylaxis)</t>
  </si>
  <si>
    <t>Primary DHMO plan: Service frequency limit: Composite fillings (white fillings)</t>
  </si>
  <si>
    <t>Primary DHMO plan: Service frequency limit: Crowns</t>
  </si>
  <si>
    <t>Primary DHMO plan: Service frequency limit: Denture repair</t>
  </si>
  <si>
    <t>Primary DHMO plan: Service frequency limit: Dentures (relines &amp; rebases)</t>
  </si>
  <si>
    <t>Primary DHMO plan: Service frequency limit: Dentures (removable &amp; Partial)</t>
  </si>
  <si>
    <t>Primary DHMO plan: Service frequency limit: Examinations (non-routine)</t>
  </si>
  <si>
    <t>Primary DHMO plan: Service frequency limit: Examinations (routine)</t>
  </si>
  <si>
    <t>Primary DHMO plan: Service frequency limit: Fluoride treatments</t>
  </si>
  <si>
    <t>Primary DHMO plan: Service frequency limit: Implants</t>
  </si>
  <si>
    <t>Primary DHMO plan: Service frequency limit: Inlays &amp; onlays</t>
  </si>
  <si>
    <t>Primary DHMO plan: Service frequency limit: Night guards</t>
  </si>
  <si>
    <t>Primary DHMO plan: Service frequency limit: Oral surgery</t>
  </si>
  <si>
    <t>Primary DHMO plan: Service frequency limit: Orthodontia</t>
  </si>
  <si>
    <t>Primary DHMO plan: Service frequency limit: Periodontal scaling &amp; root planing</t>
  </si>
  <si>
    <t>Primary DHMO plan: Service frequency limit: Periodontal surgery</t>
  </si>
  <si>
    <t>Primary DHMO plan: Service frequency limit: Root canals</t>
  </si>
  <si>
    <t>Primary DHMO plan: Service frequency limit: Space maintainers</t>
  </si>
  <si>
    <t>Primary DHMO plan: Service frequency limit: Tooth extractions</t>
  </si>
  <si>
    <t>Primary DHMO plan: Service frequency limit: Tooth sealants</t>
  </si>
  <si>
    <t>Primary DHMO plan: Service frequency limit: Topical fluoride treatments</t>
  </si>
  <si>
    <t>Primary DHMO plan: Service frequency limit: X-rays - bitewings</t>
  </si>
  <si>
    <t>Primary DHMO plan: Service frequency limit: X-rays - full-mouth, panorex</t>
  </si>
  <si>
    <t>Primary DHMO plan: Service frequency limit: X-rays - periapical</t>
  </si>
  <si>
    <t>Primary vision plan: Frequency limit: Contact lenses (medically necessary)</t>
  </si>
  <si>
    <t>Health savings account associated with an IRS qualified high deductible health plan offering</t>
  </si>
  <si>
    <t>Health savings account maintenance fee payment responsibility for active employees enrolled in IRS qualified HDHP</t>
  </si>
  <si>
    <t>Health savings account maintenance fee payment responsibility for active employees not enrolled in IRS qualified HDHP</t>
  </si>
  <si>
    <t>Other types of well-being programs or services eligible for reimbursement</t>
  </si>
  <si>
    <t>Dedicated health &amp; wellbeing website or webpage,Links to non-company website (e.g., vendor sites, WebMD, etc.), Recurring electronic news (newsletter/email),Online video library</t>
  </si>
  <si>
    <t>Dedicated health &amp; wellbeing website or webpage,Links to non-company website (e.g., vendor sites, WebMD, etc.), Recurring electronic news (newsletter/email)</t>
  </si>
  <si>
    <t>Carpool parking,Recycling,Electronic waste recycling, Bicycles,On-site gardens,Cafeteria food sourcing - local growers,Shuttle services,Electric car charging stations,Other</t>
  </si>
  <si>
    <t>Carpool parking,Recycling,Electronic waste recycling, Shuttle services,Electric car charging stations</t>
  </si>
  <si>
    <t>Carpool parking,Recycling,Electronic waste recycling, Bicycles,On-site gardens,Cafeteria food sourcing - local growers,Shuttle services,Electric car charging stations</t>
  </si>
  <si>
    <t>Recycling,Electronic waste recycling,Shuttle services, Electric car charging stations</t>
  </si>
  <si>
    <t>Carpool parking,Recycling,Electronic waste recycling, Bicycles,Electric car charging stations</t>
  </si>
  <si>
    <t>Recycling,Bicycles,Cafeteria food sourcing - local growers, Electric car charging stations</t>
  </si>
  <si>
    <t>Carpool parking,Recycling,Electronic waste recycling, Bicycles,Shuttle services,Electric car charging stations</t>
  </si>
  <si>
    <t>Carpool parking,Recycling,Electronic waste recycling, Bicycles,Cafeteria food sourcing - local growers,Electric car charging stations</t>
  </si>
  <si>
    <t>Carpool parking,Recycling,Electronic waste recycling, Bicycles,Cafeteria food sourcing - local growers,Shuttle services,Electric car charging stations</t>
  </si>
  <si>
    <t>Team building/bonding,Clubs,Diversity and inclusion events and initiatives,Campus events (such as BBQs),Volunteering, Mentoring, Disaster relief support</t>
  </si>
  <si>
    <t>Team building/bonding,Diversity and inclusion events and initiatives, Volunteering,Mentoring,Company party and/or celebrations</t>
  </si>
  <si>
    <t>Team building/bonding,Clubs,Diversity and inclusion events and initiatives,Campus events (such as BBQs),Volunteering, Mentoring, Company party and/or celebrations</t>
  </si>
  <si>
    <t>Team building/bonding,Clubs,Diversity and inclusion events and initiatives,Campus events (such as BBQs),Volunteering, Mentoring, Company party and/or celebrations,Disaster relief support</t>
  </si>
  <si>
    <t>Team building/bonding,Clubs,Diversity and inclusion events and initiatives,Volunteering,Mentoring,Company party and/or celebrations, Disaster relief support</t>
  </si>
  <si>
    <t>Athletic leagues,Team building/bonding,Clubs,Diversity and inclusion events and initiatives,Campus events (such as BBQs),Volunteering, Mentoring,Company party and/or celebrations,Disaster relief support, Other</t>
  </si>
  <si>
    <t>Team building/bonding,Diversity and inclusion events and initiatives, Campus events (such as BBQs),Volunteering, Mentoring,Company party and/or celebrations,Disaster relief support</t>
  </si>
  <si>
    <t>Cancer,Coronary artery disease, Diabetes,Infertility, Musculoskeletal, Transplants</t>
  </si>
  <si>
    <t>Asthma,COPD,Coronary artery disease, Depression,Diabetes</t>
  </si>
  <si>
    <t>Asthma,Cancer,COPD,Coronary Artery Disease,Depression, Diabetes,Infertility,Pregnancy, Musculoskeletal,Physical therapy, Transplants</t>
  </si>
  <si>
    <t>Primary care,Mental wellbeing services (therapy/counseling),Laboratory and/or radiology services (including mammography),Alternative access to prescriptions (e.g., vending machine, small stock, kiosk, etc.), Wellness coaching,Chiropractic,Massage therapy,Physical therapy, Health and wellness education or course offerings</t>
  </si>
  <si>
    <t>Primary care,Mental wellbeing services (therapy/counseling),Laboratory and/or radiology services (including mammography),Alternative access to prescriptions (e.g., vending machine, small stock, kiosk, etc.), Wellness coaching,Acupuncture,Chiropractic,Physical therapy,Health and wellness education or course offerings,Virtual medical services, Virtual mental health services</t>
  </si>
  <si>
    <t>Primary care,Specialty care,Mental wellbeing services (therapy/counseling),Biometric screenings,Laboratory and/or radiology services (including mammography),Full service pharmacy,Alternative access to prescriptions (e.g., vending machine, small stock, kiosk, etc.),Wellness coaching,Acupuncture,Chiropractic,Massage therapy, Physical therapy,Dentistry,Eye care (e.g., exams, contacts, etc.), Health and wellness education or course offerings,Virtual medical services, Virtual mental health services</t>
  </si>
  <si>
    <t>Primary care,Mental wellbeing services (therapy/counseling),Biometric screenings,Alternative access to prescriptions (e.g., vending machine, small stock, kiosk, etc.),Wellness coaching,Acupuncture, Chiropractic, Massage therapy,Physical therapy,Virtual medical services,Virtual mental health services</t>
  </si>
  <si>
    <t>Primary care,Mental wellbeing services (therapy/counseling),Biometric screenings,Workplace injury services,Laboratory and/or radiology services (including mammography),Alternative access to prescriptions (e.g., vending machine, small stock, kiosk, etc.),Wellness coaching, Acupuncture,Chiropractic,Physical therapy,Health and wellness education or course offerings,Virtual medical services,Virtual mental health services</t>
  </si>
  <si>
    <t>Primary care,Mental wellbeing services (therapy/counseling),Biometric screenings,Laboratory and/or radiology services (including mammography),Full service pharmacy,Wellness coaching,Acupuncture, Chiropractic,Massage therapy,Occupational therapy,Physical therapy, Eye care (e.g., exams, contacts, etc.),Health and wellness education or course offerings</t>
  </si>
  <si>
    <t>Primary care,Mental wellbeing services (therapy/counseling),Biometric screenings,Workplace injury services,Laboratory and/or radiology services (including mammography),Alternative access to prescriptions (e.g., vending machine, small stock, kiosk, etc.),Wellness coaching, Chiropractic,Occupational therapy,Physical therapy,Health and wellness education or course offerings,Virtual medical services,Virtual mental health services</t>
  </si>
  <si>
    <t>Primary care,Mental wellbeing services (therapy/counseling),Biometric screenings, Wellness coaching,Acupuncture,Chiropractic ,Physical therapy,Eye care (e.g., exams, contacts, etc.),Virtual medical services,Virtual mental health services</t>
  </si>
  <si>
    <t>Primary care,Mental wellbeing services (therapy/counseling),Laboratory and/or radiology services (including mammography),Wellness coaching,Acupuncture, Chiropractic ,Massage therapy,Physical therapy,Eye care (e.g., exams, contacts, etc.),Health and wellness education or courses offerings,Virtual medical services, Virtual mental health services</t>
  </si>
  <si>
    <t>Primary care,Mental wellbeing services (therapy/counseling),Biometric screenings, Laboratory and/or radiology services (including mammography),Full service pharmacy,Wellness coaching,Acupuncture,Chiropractic ,Massage therapy,Physical therapy,Eye care (e.g., exams, contacts, etc.),Health and wellness education or courses offerings,Virtual medical services,Virtual mental health services</t>
  </si>
  <si>
    <t>Primary care,Mental wellbeing services (therapy/counseling),Biometric screenings, Wellness coaching,Acupuncture,Chiropractic ,Massage therapy,Occupational therapy,Physical therapy,Eye care (e.g., exams, contacts, etc.),Virtual medical services,Virtual mental health services</t>
  </si>
  <si>
    <t>Primary care,Mental wellbeing services (therapy/counseling),Laboratory and/or radiology services (including mammography),Full service pharmacy,Wellness coaching,Acupuncture,Chiropractic ,Massage therapy,Physical therapy,Eye care (e.g., exams, contacts, etc.),Health and wellness education or courses offerings, Virtual medical services,Virtual mental health services</t>
  </si>
  <si>
    <t>Primary care,Mental wellbeing services (therapy/counseling),Biometric screenings, Laboratory and/or radiology services (including mammography), Alternative access to prescriptions (e.g., vending machine, small stock, kiosk, etc.),Wellness coaching,Acupuncture,Chiropractic ,Massage therapy,Physical therapy,Eye care (e.g., exams, contacts, etc.),Health and wellness education or courses offerings</t>
  </si>
  <si>
    <t>Primary care,Mental wellbeing services (therapy/counseling),Workplace injury services,Laboratory and/or radiology services (including mammography),Alternative access to prescriptions (e.g., vending machine, small stock, kiosk, etc.),Wellness coaching,Acupuncture,Chiropractic ,Massage therapy,Physical therapy,Eye care (e.g., exams, contacts, etc.),Health and wellness education or courses offerings, Virtual medical services,Virtual mental health services</t>
  </si>
  <si>
    <t>Primary care,Specialty care,Mental wellbeing services (therapy/counseling), Biometric screenings,Laboratory and/or radiology services (including mammography),Alternative access to prescriptions (e.g., vending machine, small stock, kiosk, etc.),Wellness coaching,Acupuncture,Chiropractic,Massage therapy, Physical therapy,Health and wellness education or courses offerings,Virtual medical services,Virtual mental health services</t>
  </si>
  <si>
    <t>Transgender,Gender dysphoria, Gender identity disorder,Other</t>
  </si>
  <si>
    <t>Transgender,Gender dysphoria, Gender identity disorder</t>
  </si>
  <si>
    <t>Counseling or psychotherapy,Gender dysphoria assessment,Hormone therapy,Voice or communication therapy,Surgery to change primary/secondary sex characteristics,Cosmetic or aesthetic surgery, Sperm or egg preservation and storage</t>
  </si>
  <si>
    <t>Counseling or psychotherapy,Gender dysphoria assessment,Hormone therapy,Surgery to change primary/secondary sex characteristics, Disability (short/long-term) benefits,Postoperative care,Follow-up care</t>
  </si>
  <si>
    <t>Counseling or psychotherapy,Gender dysphoria assessment,Hormone therapy,Voice or communication therapy,Surgery to change primary/secondary sex characteristics,Cosmetic or aesthetic surgery, Sperm or egg preservation and storage,Disability (short/long-term) benefits,Travel/lodging for patient and travel partner,Postoperative care,Follow-up care</t>
  </si>
  <si>
    <t>Counseling or psychotherapy,Gender dysphoria assessment,Hormone therapy,Voice or communication therapy,Surgery to change primary/secondary sex characteristics,Cosmetic or aesthetic surgery, Sperm or egg preservation and storage,Disability (short/long-term) benefits,Travel/lodging for patient and travel partner,Postoperative care,Follow-up care,Return to work support</t>
  </si>
  <si>
    <t>Counseling or psychotherapy,Gender dysphoria assessment,Hormone therapy,Voice or communication therapy,Surgery to change primary/secondary sex characteristics,Cosmetic or aesthetic surgery, Sperm or egg preservation and storage,Disability (short/long-term) benefits,Postoperative care,Follow-up care</t>
  </si>
  <si>
    <t>Voice or communication therapy,Surgery to change primary/secondary sex characteristics,Cosmetic or aesthetic surgery,Sperm or egg preservation and storage,Disability (short/long-term) benefits, Travel/lodging for patient and travel partner</t>
  </si>
  <si>
    <t>Counseling or psychotherapy,Gender dysphoria assessment,Hormone therapy,Voice or communication therapy,Surgery to change primary/secondary sex characteristics,Cosmetic or aesthetic surgery, Travel/lodging for patient and travel partner</t>
  </si>
  <si>
    <t>Counseling or psychotherapy,Gender dysphoria assessment,Hormone therapy,Voice or communication therapy,Surgery to change primary/secondary sex characteristics,Cosmetic or aesthetic surgery, Disability (short/long-term) benefits</t>
  </si>
  <si>
    <t>Counseling or psychotherapy,Gender dysphoria assessment,Hormone therapy,Voice or communication therapy,Surgery to change primary/secondary sex characteristics,Cosmetic or aesthetic surgery, Sperm or egg preservation and storage,Disability (short/long-term) benefits,Postoperative care,Follow-up care,Return to work support</t>
  </si>
  <si>
    <t>Counseling or psychotherapy,Gender dysphoria assessment,Hormone therapy,Voice or communication therapy,Surgery to change primary/secondary sex characteristics,Cosmetic or aesthetic surgery, Sperm or egg preservation and storage,Disability (short/long-term) benefits,Travel/lodging for patient and travel partner</t>
  </si>
  <si>
    <t>Counseling or psychotherapy,Gender dysphoria assessment,Hormone therapy,Surgery to change primary/secondary sex characteristics, Cosmetic or aesthetic surgery,Sperm or egg preservation and storage, Disability (short/long-term) benefits,Postoperative care,Follow-up care</t>
  </si>
  <si>
    <t>Counseling or psychotherapy,Gender dysphoria assessment,Hormone therapy,Surgery to change primary/secondary sex characteristics, Postoperative care,Follow-up care</t>
  </si>
  <si>
    <t>Counseling or psychotherapy,Gender dysphoria assessment,Hormone therapy,Voice or communication therapy,Surgery to change primary/secondary sex characteristics,Cosmetic or aesthetic surgery, Sperm or egg preservation and storage,Travel/lodging for patient and travel partner,Postoperative care,Follow-up care,Return to work support</t>
  </si>
  <si>
    <t>Counseling or psychotherapy,Gender dysphoria assessment,Hormone therapy,Voice or communication therapy,Surgery to change primary/secondary sex characteristics,Cosmetic or aesthetic surgery, Disability (short/long-term) benefits,Postoperative care,Follow-up care</t>
  </si>
  <si>
    <t>Counseling or psychotherapy,Gender dysphoria assessment,Hormone therapy,Voice or communication therapy,Surgery to change primary/secondary sex characteristics,Cosmetic or aesthetic surgery, Sperm or egg preservation and storage,Disability (short/long-term) benefits</t>
  </si>
  <si>
    <t>Counseling or psychotherapy,Gender dysphoria assessment,Hormone therapy,Voice or communication therapy,Surgery to change primary/secondary sex characteristics,Cosmetic or aesthetic surgery, Disability (short/long-term) benefits,Postoperative care,Follow-up care,Return to work support</t>
  </si>
  <si>
    <t>Counseling or psychotherapy,Gender dysphoria assessment,Hormone therapy,Voice or communication therapy,Surgery to change primary/secondary sex characteristics,Cosmetic or aesthetic surgery, Postoperative care,Follow-up care</t>
  </si>
  <si>
    <t>Applied behavioral analysis (ABA),Auditory integration training (AIT), Chelation,Early start denver model (ESDM),Equine,Floortime, Hyperbaric oxygen therapy,Relationship development intervention (RDI), Sensory integration therapy,Social skills training,Supplements and vitamins,TEACCH</t>
  </si>
  <si>
    <t>Applied behavioral analysis (ABA),Auditory integration training (AIT), Early start denver model (ESDM),Equine ,Floortime,Relationship development intervention (RDI),Social skills training,TEACCH</t>
  </si>
  <si>
    <t>Applied behavioral analysis (ABA),Art,Auditory integration training (AIT),Chelation,Dolphin,Early start denver model (ESDM),Equine ,Gluten or casein free dietary needs,Floortime,Hyperbaric oxygen therapy, Relationship development intervention (RDI),Sensory integration therapy, Social skills training,Supplements and vitamins</t>
  </si>
  <si>
    <t>Applied behavioral analysis (ABA),Auditory integration training (AIT), Floortime,Relationship development intervention (RDI),Sensory integration therapy,Social skills training</t>
  </si>
  <si>
    <t>Certified Nurse Midwives (CNM), Certified Midwives (CM),Certified Professional Midwives (CPM)</t>
  </si>
  <si>
    <t>Certified Nurse Midwives (CNM) ,Certified Midwives (CM),Certified Professional Midwives (CPM)</t>
  </si>
  <si>
    <t>Certified Nurse Midwives (CNM), Certified Midwives (CM)</t>
  </si>
  <si>
    <t>Other income protection plan with other included in earnings definition</t>
  </si>
  <si>
    <t>Events allowing employees to elect or increase dependent life insurance (spouse/DP/children) without medical review (guarantee issue)</t>
  </si>
  <si>
    <t>State disability insurance (SDI) replaced with authorized California state VDI plan</t>
  </si>
  <si>
    <t>Under your California state VDI plan, contributions are equal to state disability insurance (SDI)</t>
  </si>
  <si>
    <t>Under your California state VDI plan, contributions are less than state disability insurance (SDI)</t>
  </si>
  <si>
    <t>Under your California state VDI plan, benefits are paid at higher percentage than state disability insurance (SDI)</t>
  </si>
  <si>
    <t>Under your California state VDI plan, weekly payment maximum is higher than state disability insurance (SDI)</t>
  </si>
  <si>
    <t>Under your California state VDI plan, duration of benefits payments is longer than state disability insurance (SDI)</t>
  </si>
  <si>
    <t>Excess California state VDI contributions usage</t>
  </si>
  <si>
    <t>Excess California state VDI contributions usage: other</t>
  </si>
  <si>
    <t>Events allowing employees to elect or increase long term disability coverage without medical review (guarantee issue)</t>
  </si>
  <si>
    <t>Long-term care policy covers Alzheimer's disease, Parkinson's disease, and senility</t>
  </si>
  <si>
    <t>401(k): Allowance of Roth after-tax deferrals</t>
  </si>
  <si>
    <t>401(k): Roth after-tax deferrals/participation percentage</t>
  </si>
  <si>
    <t>401(k): Allowance of non-Roth after-tax deferrals</t>
  </si>
  <si>
    <t>401(k): Have a Non-Roth after-tax maximum amount</t>
  </si>
  <si>
    <t>401(k): Non-Roth after-tax maximum contribution</t>
  </si>
  <si>
    <r>
      <t>401(k): Had to return Non-Roth after-tax</t>
    </r>
    <r>
      <rPr>
        <b/>
        <strike/>
        <sz val="10"/>
        <rFont val="Arial"/>
        <family val="2"/>
      </rPr>
      <t xml:space="preserve"> </t>
    </r>
    <r>
      <rPr>
        <b/>
        <sz val="10"/>
        <rFont val="Arial"/>
        <family val="2"/>
      </rPr>
      <t>contributions</t>
    </r>
  </si>
  <si>
    <t>401(k): Non-Roth after-tax contributions returned</t>
  </si>
  <si>
    <t>401(k): Non-Roth after-tax deferrals participation percentage</t>
  </si>
  <si>
    <t>401(k): Non-Roth after-tax deferrals/maximum percentage - HCE</t>
  </si>
  <si>
    <t>401(k): Non-Roth after-tax deferrals/maximum percentage - non-HCE</t>
  </si>
  <si>
    <t>401(k): In-plan Roth conversions in plan</t>
  </si>
  <si>
    <t>401(k): Plan offers automated in-plan Roth conversions</t>
  </si>
  <si>
    <t>401(k) company match for employees who contribute to plan: After-tax Roth, non-catch-up</t>
  </si>
  <si>
    <t>401(k) company match for employees who contribute to plan: After-tax Roth, catch-up</t>
  </si>
  <si>
    <t>401(k) company match for employees who contribute to plan: After-tax non-Roth</t>
  </si>
  <si>
    <t>Other paid leave types (jury duty, bereavement, etc.),Paid time off (PTO),Salary,Sales commission,Shift differential, Sick time,Vacation</t>
  </si>
  <si>
    <t>Bonus,Other paid leave types (jury duty, bereavement, etc.),Overtime,Salary,Sales commission,Shift differential, Sick time,Vacation,Other</t>
  </si>
  <si>
    <t>Bonus,Other paid leave types (jury duty, bereavement, etc.),Overtime,Salary,Sales commission,Shift differential, Sick time,Vacation</t>
  </si>
  <si>
    <t>Bonus,Other paid leave types (jury duty, bereavement, etc.),Overtime,Paid time off (PTO),Salary,Shift differential, Sick time,Vacation</t>
  </si>
  <si>
    <t>Bonus,Other paid leave types (jury duty, bereavement, etc.),Overtime,Patent awards,Salary,Sales commission, Shift differential</t>
  </si>
  <si>
    <t>Bonus,Overtime,Paid time off (PTO),Salary,Sick time, Vacation</t>
  </si>
  <si>
    <t>Bonus,Other paid leave types (jury duty, bereavement, etc.),Overtime,Paid time off (PTO),Patent awards, Salary, Sales commission,Shift differential,Sick time,Vacation</t>
  </si>
  <si>
    <t>Other paid leave types (jury duty, bereavement, etc.), Overtime,Paid time off (PTO),Salary,Sales commission, Shift differential</t>
  </si>
  <si>
    <t>401(k) match cliff vesting schedule: 1 YOS</t>
  </si>
  <si>
    <t>401(k) match cliff vesting schedule: 2 YOS</t>
  </si>
  <si>
    <t>401(k) match cliff vesting schedule: 3 YOS</t>
  </si>
  <si>
    <t>401(k) match cliff vesting schedule: 4 YOS</t>
  </si>
  <si>
    <t>401(k) match cliff vesting schedule: 5 YOS</t>
  </si>
  <si>
    <t>401(k) match cliff vesting schedule: 6 YOS</t>
  </si>
  <si>
    <t>401(k) match graded vesting schedule: 1 YOS</t>
  </si>
  <si>
    <t>401(k) match graded vesting schedule: 2 YOS</t>
  </si>
  <si>
    <t>401(k) match graded vesting schedule: 3 YOS</t>
  </si>
  <si>
    <t>401(k) match graded vesting schedule: 4 YOS</t>
  </si>
  <si>
    <t>401(k) match graded vesting schedule: 5 YOS</t>
  </si>
  <si>
    <t>401(k) match graded vesting schedule: 6 YOS</t>
  </si>
  <si>
    <t>401(k) plan: Investments/number per fund type: ETFs</t>
  </si>
  <si>
    <t>401(k) plan: Investments/number per fund type: Large cap growth</t>
  </si>
  <si>
    <t>NQDC: Pre-death distributions/COLI tax liability funding</t>
  </si>
  <si>
    <t>NQDC maximum contribution amount: Restricted stock units (RSUs)</t>
  </si>
  <si>
    <t>Maximum break in service allowing individual to maintain original service date: Other</t>
  </si>
  <si>
    <t>Paid time off/vacation time accrued and reported: Executives (C-suite)</t>
  </si>
  <si>
    <t>Considering non-accrued (unlimited) paid time off/vacation policy: Executives (C-suite)</t>
  </si>
  <si>
    <t>Sick time accrued and reported: Executives (C-suite)</t>
  </si>
  <si>
    <t>Executives (C-suite): Required to report paid time off/vacation</t>
  </si>
  <si>
    <t>Spouse,Domestic partner,Child(ren),Step children,Foster children,Grandchildren,Parent,Parent-in-law,Grandparent, Grandparent-in-law,Brother/Sister</t>
  </si>
  <si>
    <t>Spouse,Domestic partner,Child(ren),Foster children,Parent, Parent-in-law,Grandparent,Grandparent-in-law, Brother/Sister</t>
  </si>
  <si>
    <t>Spouse,Domestic partner,Child(ren),Step children,Foster children,Grandchildren,Parent,Parent-in-law,Grandparent, Brother/Sister,Brother/Sister-in-law, Niece/Nephew, Uncle/Aunt</t>
  </si>
  <si>
    <t>Concierge/Navigation,Elder care services,Child care services,Pet care, Other</t>
  </si>
  <si>
    <t>Medication management,Complex medical task support,Flexible schedule/change in work schedule, Concierge/Navigation</t>
  </si>
  <si>
    <t>Pandemic leave eligibility: Other</t>
  </si>
  <si>
    <t>New Year's Day,Martin Luther King Day,Presidents Day, Good Friday,Memorial Day,Independence Day,Labor Day, Thanksgiving Day,Day After Thanksgiving,Christmas,New Year's Eve</t>
  </si>
  <si>
    <t>Number of company shutdown days in 2021</t>
  </si>
  <si>
    <t>Maximum bereavement period: Grandparent</t>
  </si>
  <si>
    <t>Request for proposal planned for EAP in 2022</t>
  </si>
  <si>
    <t>JellyVision,Willis Towers Watson, Workday</t>
  </si>
  <si>
    <t>Common Craft,Hanlon Brown, McCann</t>
  </si>
  <si>
    <t>Data/HRIS administration vendors employed: Payroll administration</t>
  </si>
  <si>
    <t>Other data/HRIS administration vendors employed: Payroll administration</t>
  </si>
  <si>
    <t>Harvard Pilgrim Health Care, Kaiser,UnitedHealthcare</t>
  </si>
  <si>
    <t>Cigna Global/International, Kaiser,Vision Service Plan (VSP)</t>
  </si>
  <si>
    <t>Abenity,Beyond Work, TicketsatWork</t>
  </si>
  <si>
    <t>Terminated on-site convenience service vendors: On-site ATM/credit union</t>
  </si>
  <si>
    <t>Terminated on-site convenience service vendors: On-site car services</t>
  </si>
  <si>
    <t>Terminated on-site convenience service vendors: On-site dry cleaning</t>
  </si>
  <si>
    <t>Terminated on-site convenience service vendors: On-site chair massages</t>
  </si>
  <si>
    <t>Terminated on-site convenience service vendors: Cafeteria, food carts, fruits/veg</t>
  </si>
  <si>
    <t>Terminated on-site convenience service vendors: On-site mail/shipping service</t>
  </si>
  <si>
    <t>Terminated on-site convenience service vendors: Concierge services/leisure travel</t>
  </si>
  <si>
    <t>Terminated on-site convenience service vendors: On-site hair salon</t>
  </si>
  <si>
    <t>Disability Claims Administrator,Disability Management (STD and LTD),Group Auto and Home Insurance, Long-Term Care,Long-Term Disability Carrier/Administrator,Short-Term Disability (STD) Administrator</t>
  </si>
  <si>
    <t>Terminated data/HRIS administration vendors: Payroll administration</t>
  </si>
  <si>
    <t>Company Overview</t>
  </si>
  <si>
    <t>Enrollment, Eligibility &amp; Cost</t>
  </si>
  <si>
    <t>Admin, Tools, Audits, Data</t>
  </si>
  <si>
    <t>Communications &amp; Engagement</t>
  </si>
  <si>
    <t>Other Benefits</t>
  </si>
  <si>
    <t>Disease Mgmt &amp; Wellbeing</t>
  </si>
  <si>
    <t>Trends &amp; Emerging Practices</t>
  </si>
  <si>
    <t>Income Protection</t>
  </si>
  <si>
    <t>Retirement, NQDC &amp; Finances</t>
  </si>
  <si>
    <t>Time Off</t>
  </si>
  <si>
    <t>Vendors</t>
  </si>
  <si>
    <t>Disease management Centers of Excellence offered</t>
  </si>
  <si>
    <t>Other disease management Centers of Excellence offered</t>
  </si>
  <si>
    <t>Miscellaneous health care vendors employed: Centers of Excellence</t>
  </si>
  <si>
    <t>Other miscellaneous health care vendors employed: Centers of Excellence</t>
  </si>
  <si>
    <t>Terminated miscellaneous health care vendors: Centers of Excellence</t>
  </si>
  <si>
    <t>Paid time off,Emergency payment to cover the cost of expenses covered by Section 139 (pre-tax), Emergency payment to cover the cost of expenses not eligible under Section 139 (post-tax),Temporary housing,Food and water, Clothing,Medical supplies</t>
  </si>
  <si>
    <t>Hired as a result of merger/acquisition, International to US employee transfer,Temporary worker hired as an employee, Intern hired as an employee</t>
  </si>
  <si>
    <t>Back-Up Care,Benefit Portal Consultants,Benefit Portal Development,Budget, Debt and Financial Wellness Services,Childcare,Employee Assistance Program,Expert Medical Second Opinion,Flexible Spending Account (FSA) Administration,Health Savings Account (HSA) Administration,Medical,Mental/Behavioral Health,Pharmacy,Stop Loss, Stress, Resiliency, Mindfulness etc. Programs</t>
  </si>
  <si>
    <t>Benefit Call Center/Member Support,Benefit Portal Consultants,Benefit Portal Development,COBRA,COBRA and Retiree Enrollment Assistance,Disability Claims Administrator,Disability Management (STD and LTD),Domestic (U.S.) Brokers, Enrollment Administration,H &amp; W Consultants (Domestic),International Consultants/Brokers,Life/AD&amp;D,Premium Reconciliation for Payment Vendor(s),Short-Term Disability (STD) Administrator,Stop Loss</t>
  </si>
  <si>
    <t>Centers of Excellence,Data Warehouse,H &amp; W Consultants (Domestic),Near-Site Health Clinics (Medical),Pharmacy, Wellness Portal Vendor(s)</t>
  </si>
  <si>
    <t>401(k) Plan Recordkeeper/Administration,Back-Up Care,Childcare,COBRA,Dental,Disability Claims Administrator, Disability Management (STD and LTD),Domestic (U.S.) Brokers,Eldercare,Eligibility Administration,Employee Advocate, Enrollment Administration,Flexible Spending Account (FSA) Administration,H &amp; W Consultants (Domestic),Health and Welfare,Medical,Perks/Discounts,Pharmacy, Premium Payment Vendor(s),Premium Reconciliation for Payment Vendor(s),Short-Term Disability (STD) Administrator,Stop Loss,Stress, Resiliency, Mindfulness etc. Programs,Vision</t>
  </si>
  <si>
    <t>401(k) Investment Consultants,Back-Up Care,Budget, Debt and Financial Wellness Services,Childcare,COBRA, Domestic (U.S.) Brokers,Eldercare,International Consultants/Brokers</t>
  </si>
  <si>
    <t>Back-Up Care,Benefit Portal Consultants,Benefit Portal Development,Dental,Disability Claims Administrator,Eldercare, Flexible Spending Account (FSA) Administration,Health Savings Account (HSA) Administration,Medical, Mental/Behavioral Health,Pharmacy,Short-Term Disability (STD) Administrator,Vision</t>
  </si>
  <si>
    <t>Life insurance and AD&amp;D: Major accomplishments in 2021</t>
  </si>
  <si>
    <t>Life insurance and AD&amp;D: Managed by U.S. benefits department</t>
  </si>
  <si>
    <t>How eligibility rules differ based on job type/function</t>
  </si>
  <si>
    <t>Income protection plans with stock income included in earnings definition</t>
  </si>
  <si>
    <t>Paid week off for wellbeing, wellbeing days, 1/2 day Fridays July/August</t>
  </si>
  <si>
    <t>Hosting a second infoshare to highlight new benefits and answer questions</t>
  </si>
  <si>
    <t>OE Infoshares, Family-focused communications, established program where employees are comfortable asking questions</t>
  </si>
  <si>
    <t>Bonus! There s a reason they call this the Smart Plan. When you enroll in it, you re eligible for a Health Savings Account (HSA), and that lets you set aside pretax dollars to pay for eligible medical expenses. Can you say  ka-ching? Plus, Company chips in, so you get free money: $1,125 for employee-only coverage or $2,250 for other coverage. That's 75% of the annual deductible! Pretty smart, huh?</t>
  </si>
  <si>
    <t>Employee wellbeing programming and events, Music Festival, Volunteer and charitable match programs</t>
  </si>
  <si>
    <t>For medical, dental, vision, EAP, supplemental life and AD&amp;D benefits, your domestic partner is a person of the same or opposite sex with whom you have either: (1) entered into a domestic partnership or civil union registered with the state, or (2) established a domestic partnership in which both of you:  - Are not so closely related that marriage would otherwise be prohibited;  - Are not legally married to, or the domestic partner of, another person under either statutory or common law;  - Are at least 18 years old;  - Live together for at least six (6) months;  - Are mentally competent to enter into a contract; and  - Are financially interdependent in at least two of the following ways: o Common ownership of real property or a common leasehold interest in such property;  o A joint bank account or a joint credit account;  o Designation as a beneficiary for life insurance or retirement benefits or under your partner s will;  o Assignment of a durable power of attorney or health care power of attorney; or  o Such other proof as is considered to be sufficient to establish financial interdependency under the circumstances of your particular case.</t>
  </si>
  <si>
    <t>For purposes of the Health Plan, your  spouse  generally means your same or opposite sex spouse to whom you are legally married, unless legally separated from you. A person generally qualifies as your  domestic partner  (or  DP ) under the Health Plan if: - He or she is not married to another person; - Both you and your domestic partner: - Are legal adults (generally, you and your domestic partner must both be at least 18 years of age); - Have no other domestic partners; - Are not related by blood close enough to prohibit legal marriage; and Alternatively, a person generally will qualify as your DP under the Health Plan if you and he or she are registered as domestic partners or have entered into a civil union in a jurisdiction that permits such domestic partner registrations or civil unions.</t>
  </si>
  <si>
    <t>Domestic Partner   an individual of the same or opposite sex with whom you reside, and: - have an exclusive committed relationship and have been in an exclusive committed relationship for at least six (6) months; - are not related by blood to a degree of closeness which would prohibit marriage in the state in which you legally reside; - during the past six (6) months have not been married under either statutory or common law, nor has either party had another Domestic Partner; - have shared the same principal place of residence for at least six (6) months and intend to do so indefinitely; - are responsible for each other s common welfare and financial obligations. You are liable to third parties for any obligations incurred by each other and will continue to be so liable during the period that the non-employee Domestic Partner is covered by the Company benefits program; and - are at least eighteen (18) years of age and mentally competent to consent and enter into contract.</t>
  </si>
  <si>
    <t>A Domestic Partner is defined as a person of the same or opposite sex who: - shares your permanent residence; - has resided with you for no less than one year; - is no less than 18 years of age; - is financially interdependent with you and has proven such interdependence by providing documentation of at least two of the following arrangements: common ownership of real property or a common leasehold interest in such property; community ownership of a motor vehicle; a joint bank account or a joint credit account; designation as a beneficiary for life insurance or retirement benefits or under your partner's will; assignment of a durable power of attorney or health care power of attorney; or such other proof as is considered by Cigna to be sufficient to establish financial interdependency under the circumstances of your particular case; - is not a blood relative any closer than would prohibit legal marriage; and - has signed jointly with you, a notarized affidavit attesting to the above which can be made available to Cigna upon request. In addition, you and your Domestic Partner will be considered to have met the terms of this definition as long as neither you nor your Domestic Partner: - has signed a Domestic Partner affidavit or declaration with any other person within twelve months prior to designating each other as Domestic Partners hereunder; - is currently legally married to another person; or - has any other Domestic Partner, spouse or spouse equivalent of the same or opposite sex. You and your Domestic Partner must have registered as Domestic Partners, if you reside in a state that provides for such registration.</t>
  </si>
  <si>
    <t>Domestic Partner Definition Domestic partners of employees are eligible for certain Company benefits if the employee is eligible for Company benefits and if: - they have a domestic partnership or civil union that is legally established under state law; or - they are same or opposite sex domestic partners who have met all of the following criteria (as determined by the Company):   are financially interdependent and are jointly responsible for each other s common welfare;   intend to remain in a committed relationship;   are at least age 18 years of age and capable of consenting to the domestic partnership; and   are not so closely related by blood that a legal marriage would be otherwise prohibited by law.</t>
  </si>
  <si>
    <t>Domestic Partners are defined as individuals of the same sex or opposite sex who are in a domestic partnership, civil union or other similar formal relationship that is not a marriage under state law. Domestic Partners of eligible employees are eligible for benefits if the following criteria are met: - You and your partner satisfy either of the two following requirements:   Have a committed relationship of mutual caring that has existed for at least the 12 consecutive months immediately prior to the date you are requesting coverage for your Domestic Partner; and have maintained the same principal place of residence for at least the 12 consecutive months immediately prior to the date you are requesting coverage; and are also responsible to each other for the direction and financial management of your household; OR - Your relationship has been recorded, certified and/or registered by a national, state, city or regional government authority.</t>
  </si>
  <si>
    <t>Domestic Partner Eligibility The following criteria must be met in order for your same-sex or opposite-sex domestic partner to qualify for coverage (all must be true and correct): - You cohabit and reside together in the same residence and intend to do so indefinitely. You have resided in the same household for at least 12 months. - You are engaged in an intimate committed relationship of mutual caring and support and are jointly responsible for your common welfare and living expenses. Your intimate relationship distinguishes you from being simply roommates, friends, or a live-in service provider (such as a nanny), all of whom are not eligible for domestic partner coverage. - You are each other s sole domestic partner, and you intend to remain so indefinitely. - Neither of you is married to or legally separated without dissolution of marriage from anyone else nor have you had another domestic partner within the prior 12 months. - You are both at least 18 years of age and mentally competent to consent to a contract. - You are not related by blood to a degree of closeness that would prohibit legal marriage in the state in which you reside. - You are not in this relationship or applying for domestic partner coverage solely for the purpose of obtaining health care coverage from Company.</t>
  </si>
  <si>
    <t>Domestic partner is the subscriber s domestic partner under a legally registered and valid domestic partnership. Domestic partner does not include any person who is:  (a) covered as a subscriber; or (b) in active service in the armed forces.   For a domestic partnership, other than one that is legally registered and valid, in order for the subscriber to include their domestic partner as a dependent, the subscriber and domestic partner must meet the following requirements: - You are each other's sole domestic partner, and intend to remain so indefinitely.  - You are engaged in a committed relationship of mutual caring and support and are jointly responsible for each other s common welfare and financial obligations.  - You have cohabited and resided together in the same residence for at least the last six months, and intend to do so indefinitely in the future.  - Neither of you have had another domestic partner, as defined, within the prior six months.  - Neither of you have been married to or legally separated from anyone else within the prior six months.  - You are not related by blood to a degree of closeness that would prohibit legal marriage in the state in which you legally reside.  - You are both at least eighteen years of age and mentally competent to consent to a contract.  - You are not maintaining this relationship solely for the purpose of obtaining benefits coverage.</t>
  </si>
  <si>
    <t>A Domestic Partner is defined as a person of the same or opposite sex who: - shares your permanent residence; - has resided with you for no less than one year;is no less than 18 years of age; - is financially interdependent with you and has proven such interdependence by providing documentation of at least two of the following arrangements: common ownership of real property or a common leasehold interest in such property; community ownership of a motor vehicle; a joint bank account or a joint credit account; designation as a beneficiary for life insurance or retirement benefits or under your partner's will; assignment of a durable power of attorney or health care power of attorney; or such other proof as is considered by Cigna to be sufficient to establish financial interdependency under the circumstances of your particular case; - is not a blood relative any closer than would prohibit legal marriage; and - has signed jointly with you, a notarized affidavit attesting to the above which can be made available to Cigna upon request.</t>
  </si>
  <si>
    <t>Domestic Partner   an individual of the same or opposite sex with whom you have established a domestic partnership as described below. A domestic partnership is a relationship between an Employee and one other person of the same or opposite sex. Both persons must: - not be so closely related that marriage would otherwise be prohibited; - not be legally married to, or the Domestic Partner of, another person under either statutory or common law; - be at least 18 years old; - live together and share the common necessities of life; - be mentally competent to enter into a contract; and - be financially interdependent and have furnished documents to support at least two of the following conditions of such financial interdependence: - they have a single dedicated relationship of at least 6 months duration; - they have joint ownership of a residence; or - they have at least two of the following: - a joint ownership of an automobile; - a joint checking, bank or investment account; - a joint credit account; - a lease for a residence identifying both partners as tenants; or - a will and/or life insurance policies which designate the other as primary beneficiary.</t>
  </si>
  <si>
    <t>Disease or care management, Benefits administration</t>
  </si>
  <si>
    <t>Medical plan,Prescription drug coverage,Benefits administration, Dependent coverage,Expense or claim recovery (e.g., stop loss, subrogation)</t>
  </si>
  <si>
    <t>Prescription drug coverage,Dental plan,Vision plan,Benefits administration,COBRA,Dependent coverage,Eligibility requirements, Expense or claim recovery (e.g., stop loss, subrogation)</t>
  </si>
  <si>
    <t>Financial assistance,Access to an external elder care vendor - subsidized,Access to an external elder care vendor - unsubsidized, Employee Assistance Program</t>
  </si>
  <si>
    <t>Employee Assistance Program, Flexible Work Arrangements,Paid Time Off</t>
  </si>
  <si>
    <t>Financial assistance,Access to an external elder care vendor - subsidized,Access to an external elder care vendor - unsubsidized, Employee Assistance Program, Flexible Work Arrangements,Paid Time Off</t>
  </si>
  <si>
    <t>Resiliency,Meditation or mindfulness,Stress and burnout, Financial wellbeing,Caregivers - respite</t>
  </si>
  <si>
    <t>Hospice care is a specialized form of interdisciplinary health care designed to provide palliative care and to alleviate the physical, emotional and spiritual discomforts of a participant experiencing the last phases of life due to a terminal illness. It also provides support to the primary caregiver and the participant s family. A participant who chooses hospice care is choosing to receive palliative care for pain and other symptoms associated with the terminal illness, but not to receive care to try to cure the terminal illness. You may change your decision to receive hospice care benefits at any time. The Plan covers hospice services if: - A network physician has diagnosed you with a terminal illness and determines that your life expectancy is 12 months or less; - The services are provided inside the service area or inside California but within 15 miles or 30 minutes from the service area (including a friend s or relative s home even if you live there temporarily); - The services are provided by a licensed hospice agency that is a network provider; and - The services are necessary for the palliation and management of your terminal illness and related conditions.</t>
  </si>
  <si>
    <t>Eligible health services include inpatient and outpatient hospice care when given as part of a hospice care program.  The types of hospice care services that are eligible for coverage include: -Room and board -Services and supplies furnished to you on an inpatient or outpatient basis -Services by a hospice care agency or hospice care provided in a hospital     -Bereavement counseling     - Respite care  Hospice care services provided by the providers below may be covered, even if the providers are not an employee of the hospice care agency responsible for your care: -A physician for consultation or case management -A physical or occupational therapist -A home health care agency for: - Physical and occupational therapy - Medical supplies - Outpatient prescription drugs - Psychological counseling - Dietary counseling</t>
  </si>
  <si>
    <t>Applied behavioral analysis (ABA),Auditory integration training (AIT), Relationship development intervention (RDI),Sensory integration therapy, Social skills training</t>
  </si>
  <si>
    <t>Applied behavioral analysis (ABA),Art,Auditory integration training (AIT), Chelation,Dolphin,Early start denver model (ESDM),Equine, Floortime, Sensory integration therapy,Social skills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</si>
</sst>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0.0"/>
    <numFmt numFmtId="165" formatCode="&quot;$&quot;#,##0"/>
    <numFmt numFmtId="166" formatCode="&quot;$&quot;#,##0.00"/>
  </numFmts>
  <fonts count="11" x14ac:knownFonts="1">
    <font>
      <sz val="10"/>
      <color theme="1"/>
      <name val="Arial"/>
      <family val="2"/>
    </font>
    <font>
      <sz val="8"/>
      <color theme="1"/>
      <name val="Arial"/>
      <family val="2"/>
    </font>
    <font>
      <u/>
      <sz val="10"/>
      <color theme="10"/>
      <name val="Arial"/>
      <family val="2"/>
    </font>
    <font>
      <sz val="10"/>
      <color theme="1"/>
      <name val="Arial"/>
      <family val="2"/>
    </font>
    <font>
      <b/>
      <sz val="10"/>
      <color theme="1"/>
      <name val="Arial"/>
      <family val="2"/>
    </font>
    <font>
      <b/>
      <u/>
      <sz val="10"/>
      <color theme="10"/>
      <name val="Arial"/>
      <family val="2"/>
    </font>
    <font>
      <b/>
      <sz val="8"/>
      <color theme="1"/>
      <name val="Arial"/>
      <family val="2"/>
    </font>
    <font>
      <b/>
      <u/>
      <sz val="11"/>
      <color theme="10"/>
      <name val="Arial"/>
      <family val="2"/>
    </font>
    <font>
      <b/>
      <sz val="11"/>
      <color theme="1"/>
      <name val="Arial"/>
      <family val="2"/>
    </font>
    <font>
      <b/>
      <sz val="10"/>
      <name val="Arial"/>
      <family val="2"/>
    </font>
    <font>
      <b/>
      <strike/>
      <sz val="10"/>
      <name val="Arial"/>
      <family val="2"/>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s>
  <borders count="27">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tint="-0.14996795556505021"/>
      </left>
      <right style="medium">
        <color auto="1"/>
      </right>
      <top style="medium">
        <color auto="1"/>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medium">
        <color auto="1"/>
      </left>
      <right style="thin">
        <color theme="0" tint="-0.14996795556505021"/>
      </right>
      <top style="thin">
        <color theme="0" tint="-0.14996795556505021"/>
      </top>
      <bottom style="thin">
        <color theme="0" tint="-0.14996795556505021"/>
      </bottom>
      <diagonal/>
    </border>
    <border>
      <left style="medium">
        <color auto="1"/>
      </left>
      <right style="thin">
        <color theme="0" tint="-0.14996795556505021"/>
      </right>
      <top style="thin">
        <color theme="0" tint="-0.14996795556505021"/>
      </top>
      <bottom style="medium">
        <color auto="1"/>
      </bottom>
      <diagonal/>
    </border>
    <border>
      <left/>
      <right style="thin">
        <color theme="0" tint="-0.14993743705557422"/>
      </right>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medium">
        <color auto="1"/>
      </left>
      <right style="thin">
        <color theme="0" tint="-0.14996795556505021"/>
      </right>
      <top style="medium">
        <color auto="1"/>
      </top>
      <bottom style="thin">
        <color theme="0" tint="-0.14996795556505021"/>
      </bottom>
      <diagonal/>
    </border>
    <border>
      <left style="medium">
        <color auto="1"/>
      </left>
      <right style="thin">
        <color theme="0" tint="-0.14993743705557422"/>
      </right>
      <top style="thin">
        <color theme="0" tint="-0.14993743705557422"/>
      </top>
      <bottom style="medium">
        <color auto="1"/>
      </bottom>
      <diagonal/>
    </border>
    <border>
      <left style="thin">
        <color theme="0" tint="-0.14993743705557422"/>
      </left>
      <right style="medium">
        <color auto="1"/>
      </right>
      <top style="medium">
        <color auto="1"/>
      </top>
      <bottom style="thin">
        <color theme="0" tint="-0.14993743705557422"/>
      </bottom>
      <diagonal/>
    </border>
    <border>
      <left style="thin">
        <color theme="0" tint="-0.14993743705557422"/>
      </left>
      <right style="medium">
        <color auto="1"/>
      </right>
      <top style="thin">
        <color theme="0" tint="-0.14993743705557422"/>
      </top>
      <bottom style="thin">
        <color theme="0" tint="-0.14993743705557422"/>
      </bottom>
      <diagonal/>
    </border>
    <border>
      <left style="thin">
        <color theme="0" tint="-0.14993743705557422"/>
      </left>
      <right style="medium">
        <color auto="1"/>
      </right>
      <top style="thin">
        <color theme="0" tint="-0.14993743705557422"/>
      </top>
      <bottom style="medium">
        <color auto="1"/>
      </bottom>
      <diagonal/>
    </border>
    <border>
      <left/>
      <right/>
      <top style="medium">
        <color auto="1"/>
      </top>
      <bottom/>
      <diagonal/>
    </border>
    <border>
      <left style="medium">
        <color auto="1"/>
      </left>
      <right style="thin">
        <color theme="0" tint="-0.14993743705557422"/>
      </right>
      <top style="medium">
        <color auto="1"/>
      </top>
      <bottom style="thin">
        <color theme="0" tint="-0.14993743705557422"/>
      </bottom>
      <diagonal/>
    </border>
    <border>
      <left style="medium">
        <color auto="1"/>
      </left>
      <right style="thin">
        <color theme="0" tint="-0.14993743705557422"/>
      </right>
      <top style="thin">
        <color theme="0" tint="-0.14993743705557422"/>
      </top>
      <bottom style="thin">
        <color theme="0" tint="-0.14993743705557422"/>
      </bottom>
      <diagonal/>
    </border>
    <border>
      <left style="thin">
        <color theme="0" tint="-0.14996795556505021"/>
      </left>
      <right/>
      <top style="medium">
        <color auto="1"/>
      </top>
      <bottom style="thin">
        <color theme="0" tint="-0.14996795556505021"/>
      </bottom>
      <diagonal/>
    </border>
    <border>
      <left style="thin">
        <color theme="0" tint="-0.14996795556505021"/>
      </left>
      <right/>
      <top style="thin">
        <color theme="0" tint="-0.14996795556505021"/>
      </top>
      <bottom style="medium">
        <color auto="1"/>
      </bottom>
      <diagonal/>
    </border>
    <border>
      <left style="thin">
        <color theme="0" tint="-0.14996795556505021"/>
      </left>
      <right style="medium">
        <color auto="1"/>
      </right>
      <top/>
      <bottom style="thin">
        <color theme="0" tint="-0.14996795556505021"/>
      </bottom>
      <diagonal/>
    </border>
    <border>
      <left style="thin">
        <color theme="0" tint="-0.14996795556505021"/>
      </left>
      <right style="medium">
        <color auto="1"/>
      </right>
      <top style="thin">
        <color theme="0" tint="-0.14996795556505021"/>
      </top>
      <bottom style="thin">
        <color theme="0" tint="-0.14993743705557422"/>
      </bottom>
      <diagonal/>
    </border>
  </borders>
  <cellStyleXfs count="3">
    <xf numFmtId="0" fontId="0" fillId="0" borderId="0"/>
    <xf numFmtId="0" fontId="2" fillId="0" borderId="0" applyNumberFormat="0" applyFill="0" applyBorder="0" applyAlignment="0" applyProtection="0"/>
    <xf numFmtId="0" fontId="3" fillId="0" borderId="0"/>
  </cellStyleXfs>
  <cellXfs count="114">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0" fontId="0" fillId="2" borderId="3" xfId="0" applyFont="1" applyFill="1" applyBorder="1" applyAlignment="1">
      <alignment vertical="center"/>
    </xf>
    <xf numFmtId="0" fontId="0" fillId="2" borderId="2" xfId="0" applyFont="1" applyFill="1" applyBorder="1" applyAlignment="1">
      <alignment vertical="center" wrapText="1"/>
    </xf>
    <xf numFmtId="0" fontId="0" fillId="2" borderId="1" xfId="0" applyFont="1" applyFill="1" applyBorder="1" applyAlignment="1">
      <alignment vertical="center"/>
    </xf>
    <xf numFmtId="0" fontId="0" fillId="2" borderId="0" xfId="0" applyFont="1" applyFill="1" applyAlignment="1">
      <alignment vertical="center"/>
    </xf>
    <xf numFmtId="0" fontId="0" fillId="2" borderId="0" xfId="0" applyFont="1" applyFill="1" applyAlignment="1">
      <alignment vertical="center" wrapText="1"/>
    </xf>
    <xf numFmtId="0" fontId="3" fillId="0" borderId="0" xfId="0" applyFont="1" applyAlignment="1">
      <alignment horizontal="left"/>
    </xf>
    <xf numFmtId="0" fontId="3" fillId="0" borderId="0" xfId="0" applyFont="1" applyAlignment="1">
      <alignment horizontal="left" wrapText="1"/>
    </xf>
    <xf numFmtId="1" fontId="3" fillId="0" borderId="0" xfId="0" applyNumberFormat="1" applyFont="1" applyAlignment="1">
      <alignment horizontal="left" wrapText="1"/>
    </xf>
    <xf numFmtId="9" fontId="3" fillId="0" borderId="0" xfId="0" applyNumberFormat="1" applyFont="1" applyAlignment="1">
      <alignment horizontal="left" wrapText="1"/>
    </xf>
    <xf numFmtId="0" fontId="4" fillId="0" borderId="0" xfId="0" applyFont="1" applyAlignment="1">
      <alignment horizontal="left" wrapText="1"/>
    </xf>
    <xf numFmtId="1" fontId="4" fillId="0" borderId="0" xfId="0" applyNumberFormat="1" applyFont="1" applyAlignment="1">
      <alignment horizontal="left" wrapText="1"/>
    </xf>
    <xf numFmtId="0" fontId="3" fillId="0" borderId="0" xfId="0" applyFont="1" applyAlignment="1"/>
    <xf numFmtId="0" fontId="4" fillId="0" borderId="0" xfId="0" applyFont="1" applyAlignment="1"/>
    <xf numFmtId="0" fontId="4" fillId="0" borderId="0" xfId="0" applyFont="1" applyAlignment="1">
      <alignment wrapText="1"/>
    </xf>
    <xf numFmtId="0" fontId="3" fillId="0" borderId="0" xfId="0" applyFont="1" applyAlignment="1">
      <alignment wrapText="1"/>
    </xf>
    <xf numFmtId="1" fontId="3" fillId="0" borderId="0" xfId="0" applyNumberFormat="1" applyFont="1" applyAlignment="1">
      <alignment wrapText="1"/>
    </xf>
    <xf numFmtId="9" fontId="3" fillId="0" borderId="0" xfId="0" applyNumberFormat="1" applyFont="1" applyAlignment="1">
      <alignment wrapText="1"/>
    </xf>
    <xf numFmtId="0" fontId="3" fillId="0" borderId="0" xfId="0" applyFont="1" applyFill="1" applyAlignment="1">
      <alignment horizontal="left"/>
    </xf>
    <xf numFmtId="0" fontId="3" fillId="0" borderId="0" xfId="2" applyFont="1" applyFill="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wrapText="1"/>
    </xf>
    <xf numFmtId="0" fontId="4" fillId="0" borderId="0" xfId="0" applyFont="1" applyFill="1" applyAlignment="1">
      <alignment horizontal="left" wrapText="1"/>
    </xf>
    <xf numFmtId="1" fontId="3" fillId="0" borderId="0" xfId="0" applyNumberFormat="1" applyFont="1" applyFill="1" applyAlignment="1">
      <alignment horizontal="left" wrapText="1"/>
    </xf>
    <xf numFmtId="9" fontId="3" fillId="0" borderId="0" xfId="0" applyNumberFormat="1" applyFont="1" applyFill="1" applyAlignment="1">
      <alignment horizontal="left" wrapText="1"/>
    </xf>
    <xf numFmtId="0" fontId="3" fillId="0" borderId="0" xfId="0" applyFont="1" applyFill="1" applyAlignment="1">
      <alignment horizontal="left" wrapText="1"/>
    </xf>
    <xf numFmtId="6" fontId="3" fillId="0" borderId="0" xfId="0" applyNumberFormat="1" applyFont="1" applyAlignment="1">
      <alignment horizontal="left" wrapText="1"/>
    </xf>
    <xf numFmtId="9" fontId="4" fillId="0" borderId="0" xfId="0" applyNumberFormat="1" applyFont="1" applyAlignment="1">
      <alignment horizontal="left" wrapText="1"/>
    </xf>
    <xf numFmtId="0" fontId="4" fillId="0" borderId="0" xfId="0" applyFont="1" applyAlignment="1">
      <alignment horizontal="left"/>
    </xf>
    <xf numFmtId="0" fontId="3" fillId="0" borderId="0" xfId="2" applyFont="1" applyAlignment="1">
      <alignment horizontal="left"/>
    </xf>
    <xf numFmtId="10" fontId="4" fillId="0" borderId="0" xfId="0" applyNumberFormat="1" applyFont="1" applyAlignment="1">
      <alignment horizontal="left" wrapText="1"/>
    </xf>
    <xf numFmtId="10" fontId="3" fillId="0" borderId="0" xfId="0" applyNumberFormat="1" applyFont="1" applyAlignment="1">
      <alignment horizontal="left" wrapText="1"/>
    </xf>
    <xf numFmtId="10" fontId="3" fillId="0" borderId="0" xfId="0" applyNumberFormat="1" applyFont="1" applyAlignment="1">
      <alignment wrapText="1"/>
    </xf>
    <xf numFmtId="164" fontId="4" fillId="0" borderId="0" xfId="0" applyNumberFormat="1" applyFont="1" applyAlignment="1">
      <alignment horizontal="left" wrapText="1"/>
    </xf>
    <xf numFmtId="164" fontId="3" fillId="0" borderId="0" xfId="0" applyNumberFormat="1" applyFont="1" applyAlignment="1">
      <alignment horizontal="left" wrapText="1"/>
    </xf>
    <xf numFmtId="164" fontId="3" fillId="0" borderId="0" xfId="0" applyNumberFormat="1" applyFont="1" applyAlignment="1">
      <alignment wrapText="1"/>
    </xf>
    <xf numFmtId="165" fontId="4" fillId="0" borderId="0" xfId="0" applyNumberFormat="1" applyFont="1" applyAlignment="1">
      <alignment horizontal="left" wrapText="1"/>
    </xf>
    <xf numFmtId="165" fontId="3" fillId="0" borderId="0" xfId="0" applyNumberFormat="1" applyFont="1" applyAlignment="1">
      <alignment horizontal="left" wrapText="1"/>
    </xf>
    <xf numFmtId="165" fontId="3" fillId="0" borderId="0" xfId="0" applyNumberFormat="1" applyFont="1" applyAlignment="1">
      <alignment wrapText="1"/>
    </xf>
    <xf numFmtId="166" fontId="4" fillId="0" borderId="0" xfId="0" applyNumberFormat="1" applyFont="1" applyAlignment="1">
      <alignment horizontal="left" wrapText="1"/>
    </xf>
    <xf numFmtId="166" fontId="3" fillId="0" borderId="0" xfId="0" applyNumberFormat="1" applyFont="1" applyAlignment="1">
      <alignment horizontal="left" wrapText="1"/>
    </xf>
    <xf numFmtId="166" fontId="3" fillId="0" borderId="0" xfId="0" applyNumberFormat="1" applyFont="1" applyAlignment="1">
      <alignment wrapText="1"/>
    </xf>
    <xf numFmtId="0" fontId="6" fillId="0" borderId="0" xfId="0" applyFont="1" applyAlignment="1">
      <alignment horizontal="left"/>
    </xf>
    <xf numFmtId="0" fontId="0" fillId="0" borderId="0" xfId="0" applyFont="1" applyAlignment="1">
      <alignment horizontal="left"/>
    </xf>
    <xf numFmtId="0" fontId="0" fillId="0" borderId="0" xfId="0" applyFont="1" applyAlignment="1">
      <alignment horizontal="left" wrapText="1"/>
    </xf>
    <xf numFmtId="0" fontId="1" fillId="0" borderId="0" xfId="0" applyFont="1" applyAlignment="1">
      <alignment horizontal="left"/>
    </xf>
    <xf numFmtId="0" fontId="1" fillId="0" borderId="0" xfId="0" applyFont="1" applyAlignment="1">
      <alignment horizontal="left" wrapText="1"/>
    </xf>
    <xf numFmtId="16" fontId="3" fillId="0" borderId="0" xfId="0" quotePrefix="1" applyNumberFormat="1" applyFont="1" applyAlignment="1">
      <alignment horizontal="left" wrapText="1"/>
    </xf>
    <xf numFmtId="0" fontId="3" fillId="0" borderId="0" xfId="0" quotePrefix="1" applyFont="1" applyAlignment="1">
      <alignment horizontal="left" wrapText="1"/>
    </xf>
    <xf numFmtId="9" fontId="4" fillId="0" borderId="0" xfId="0" applyNumberFormat="1" applyFont="1" applyFill="1" applyAlignment="1">
      <alignment horizontal="left" wrapText="1"/>
    </xf>
    <xf numFmtId="3" fontId="4" fillId="0" borderId="0" xfId="0" applyNumberFormat="1" applyFont="1" applyFill="1" applyAlignment="1">
      <alignment horizontal="left" wrapText="1"/>
    </xf>
    <xf numFmtId="3" fontId="3" fillId="0" borderId="0" xfId="0" applyNumberFormat="1" applyFont="1" applyFill="1" applyAlignment="1">
      <alignment horizontal="left" wrapText="1"/>
    </xf>
    <xf numFmtId="3" fontId="3" fillId="0" borderId="0" xfId="0" applyNumberFormat="1" applyFont="1" applyAlignment="1">
      <alignment horizontal="left" wrapText="1"/>
    </xf>
    <xf numFmtId="165" fontId="4" fillId="0" borderId="0" xfId="0" applyNumberFormat="1" applyFont="1" applyFill="1" applyAlignment="1">
      <alignment horizontal="left" wrapText="1"/>
    </xf>
    <xf numFmtId="165" fontId="3" fillId="0" borderId="0" xfId="0" applyNumberFormat="1" applyFont="1" applyFill="1" applyAlignment="1">
      <alignment horizontal="left" wrapText="1"/>
    </xf>
    <xf numFmtId="9" fontId="0" fillId="0" borderId="0" xfId="0" applyNumberFormat="1" applyFont="1" applyFill="1" applyAlignment="1">
      <alignment horizontal="left" wrapText="1"/>
    </xf>
    <xf numFmtId="165" fontId="0" fillId="0" borderId="0" xfId="0" applyNumberFormat="1" applyFont="1" applyFill="1" applyAlignment="1">
      <alignment horizontal="left" wrapText="1"/>
    </xf>
    <xf numFmtId="0" fontId="0" fillId="0" borderId="0" xfId="0" applyAlignment="1">
      <alignment horizontal="left"/>
    </xf>
    <xf numFmtId="0" fontId="0" fillId="0" borderId="0" xfId="0" applyAlignment="1">
      <alignment horizontal="left" wrapText="1"/>
    </xf>
    <xf numFmtId="165" fontId="0" fillId="0" borderId="0" xfId="0" applyNumberFormat="1" applyAlignment="1">
      <alignment horizontal="left" wrapText="1"/>
    </xf>
    <xf numFmtId="0" fontId="4" fillId="0" borderId="0" xfId="0" applyNumberFormat="1" applyFont="1" applyAlignment="1">
      <alignment horizontal="left" wrapText="1"/>
    </xf>
    <xf numFmtId="17" fontId="3" fillId="0" borderId="0" xfId="0" quotePrefix="1" applyNumberFormat="1" applyFont="1" applyAlignment="1">
      <alignment horizontal="left" wrapText="1"/>
    </xf>
    <xf numFmtId="0" fontId="3" fillId="0" borderId="0" xfId="0" applyNumberFormat="1" applyFont="1" applyAlignment="1">
      <alignment horizontal="left" wrapText="1"/>
    </xf>
    <xf numFmtId="0" fontId="4" fillId="0" borderId="0" xfId="0" applyFont="1"/>
    <xf numFmtId="0" fontId="5" fillId="0" borderId="0" xfId="1" applyFont="1" applyAlignment="1">
      <alignment horizontal="center" wrapText="1"/>
    </xf>
    <xf numFmtId="0" fontId="5" fillId="0" borderId="0" xfId="1" applyFont="1" applyAlignment="1">
      <alignment horizontal="center"/>
    </xf>
    <xf numFmtId="0" fontId="5" fillId="0" borderId="0" xfId="1" applyFont="1" applyAlignment="1">
      <alignment horizontal="center"/>
    </xf>
    <xf numFmtId="0" fontId="5" fillId="0" borderId="0" xfId="1" applyFont="1" applyFill="1" applyAlignment="1">
      <alignment horizontal="center"/>
    </xf>
    <xf numFmtId="0" fontId="5" fillId="0" borderId="0" xfId="1" applyFont="1" applyAlignment="1">
      <alignment horizontal="center"/>
    </xf>
    <xf numFmtId="0" fontId="4" fillId="0" borderId="0" xfId="0" applyFont="1" applyAlignment="1">
      <alignment horizontal="right" wrapText="1"/>
    </xf>
    <xf numFmtId="0" fontId="0" fillId="0" borderId="0" xfId="0" applyAlignment="1">
      <alignment wrapText="1"/>
    </xf>
    <xf numFmtId="1" fontId="4" fillId="3" borderId="0" xfId="0" applyNumberFormat="1" applyFont="1" applyFill="1" applyAlignment="1">
      <alignment horizontal="left" wrapText="1"/>
    </xf>
    <xf numFmtId="9" fontId="4" fillId="3" borderId="0" xfId="0" applyNumberFormat="1" applyFont="1" applyFill="1" applyAlignment="1">
      <alignment horizontal="left" wrapText="1"/>
    </xf>
    <xf numFmtId="0" fontId="4" fillId="3" borderId="0" xfId="0" applyFont="1" applyFill="1" applyAlignment="1">
      <alignment horizontal="left" wrapText="1"/>
    </xf>
    <xf numFmtId="10" fontId="4" fillId="3" borderId="0" xfId="0" applyNumberFormat="1" applyFont="1" applyFill="1" applyAlignment="1">
      <alignment horizontal="left" wrapText="1"/>
    </xf>
    <xf numFmtId="165" fontId="4" fillId="3" borderId="0" xfId="0" applyNumberFormat="1" applyFont="1" applyFill="1" applyAlignment="1">
      <alignment horizontal="left" wrapText="1"/>
    </xf>
    <xf numFmtId="166" fontId="4" fillId="3" borderId="0" xfId="0" applyNumberFormat="1" applyFont="1" applyFill="1" applyAlignment="1">
      <alignment horizontal="left" wrapText="1"/>
    </xf>
    <xf numFmtId="1" fontId="9" fillId="0" borderId="0" xfId="0" applyNumberFormat="1" applyFont="1" applyFill="1" applyAlignment="1">
      <alignment horizontal="left" wrapText="1"/>
    </xf>
    <xf numFmtId="0" fontId="4" fillId="3" borderId="0" xfId="0" applyFont="1" applyFill="1" applyAlignment="1">
      <alignment wrapText="1"/>
    </xf>
    <xf numFmtId="0" fontId="9" fillId="0" borderId="0" xfId="0" applyFont="1" applyFill="1" applyAlignment="1">
      <alignment horizontal="left" wrapText="1"/>
    </xf>
    <xf numFmtId="0" fontId="9" fillId="3" borderId="0" xfId="0" applyFont="1" applyFill="1" applyAlignment="1">
      <alignment horizontal="left" wrapText="1"/>
    </xf>
    <xf numFmtId="3" fontId="4" fillId="3" borderId="0" xfId="0" applyNumberFormat="1" applyFont="1" applyFill="1" applyAlignment="1">
      <alignment horizontal="left" wrapText="1"/>
    </xf>
    <xf numFmtId="1" fontId="9" fillId="3" borderId="0" xfId="0" applyNumberFormat="1" applyFont="1" applyFill="1" applyAlignment="1">
      <alignment horizontal="left" wrapText="1"/>
    </xf>
    <xf numFmtId="165" fontId="9" fillId="3" borderId="0" xfId="0" applyNumberFormat="1" applyFont="1" applyFill="1" applyAlignment="1">
      <alignment horizontal="left" wrapText="1"/>
    </xf>
    <xf numFmtId="0" fontId="4" fillId="3" borderId="0" xfId="0" applyNumberFormat="1" applyFont="1" applyFill="1" applyAlignment="1">
      <alignment horizontal="left" wrapText="1"/>
    </xf>
    <xf numFmtId="0" fontId="0" fillId="2" borderId="0" xfId="0" applyFont="1" applyFill="1" applyBorder="1" applyAlignment="1">
      <alignment vertical="center"/>
    </xf>
    <xf numFmtId="0" fontId="0" fillId="2" borderId="0" xfId="0" applyFont="1" applyFill="1" applyBorder="1" applyAlignment="1">
      <alignment vertical="center" wrapText="1"/>
    </xf>
    <xf numFmtId="0" fontId="0" fillId="2" borderId="4" xfId="0" applyFont="1" applyFill="1" applyBorder="1" applyAlignment="1">
      <alignment vertical="center"/>
    </xf>
    <xf numFmtId="0" fontId="8" fillId="2" borderId="5" xfId="0" applyFont="1" applyFill="1" applyBorder="1" applyAlignment="1">
      <alignment vertical="center"/>
    </xf>
    <xf numFmtId="0" fontId="8" fillId="2" borderId="0" xfId="0" applyFont="1" applyFill="1" applyBorder="1" applyAlignment="1">
      <alignment vertical="center"/>
    </xf>
    <xf numFmtId="0" fontId="0" fillId="2" borderId="7"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0" fillId="2" borderId="10" xfId="0" applyFont="1" applyFill="1" applyBorder="1" applyAlignment="1">
      <alignment vertical="center"/>
    </xf>
    <xf numFmtId="0" fontId="0" fillId="2" borderId="11" xfId="0" applyFont="1" applyFill="1" applyBorder="1" applyAlignment="1">
      <alignment vertical="center"/>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4" xfId="0" applyFont="1" applyFill="1" applyBorder="1" applyAlignment="1">
      <alignment vertical="center"/>
    </xf>
    <xf numFmtId="0" fontId="0" fillId="2" borderId="15"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vertical="center" wrapText="1"/>
    </xf>
    <xf numFmtId="0" fontId="0" fillId="2" borderId="18" xfId="0" applyFont="1" applyFill="1" applyBorder="1" applyAlignment="1">
      <alignment vertical="center" wrapText="1"/>
    </xf>
    <xf numFmtId="0" fontId="0" fillId="2" borderId="19" xfId="0" applyFont="1" applyFill="1" applyBorder="1" applyAlignment="1">
      <alignment vertical="center" wrapText="1"/>
    </xf>
    <xf numFmtId="0" fontId="0" fillId="2" borderId="20" xfId="0" applyFont="1" applyFill="1" applyBorder="1" applyAlignment="1">
      <alignment vertical="center"/>
    </xf>
    <xf numFmtId="0" fontId="0" fillId="2" borderId="20" xfId="0" applyFont="1" applyFill="1" applyBorder="1" applyAlignment="1">
      <alignment vertical="center" wrapText="1"/>
    </xf>
    <xf numFmtId="0" fontId="0" fillId="2" borderId="21" xfId="0" applyFont="1" applyFill="1" applyBorder="1" applyAlignment="1">
      <alignment vertical="center"/>
    </xf>
    <xf numFmtId="0" fontId="0" fillId="2" borderId="22" xfId="0" applyFont="1" applyFill="1" applyBorder="1" applyAlignment="1">
      <alignment vertical="center"/>
    </xf>
    <xf numFmtId="0" fontId="0" fillId="2" borderId="23" xfId="0" applyFont="1" applyFill="1" applyBorder="1" applyAlignment="1">
      <alignment vertical="center" wrapText="1"/>
    </xf>
    <xf numFmtId="0" fontId="0" fillId="2" borderId="24" xfId="0" applyFont="1" applyFill="1" applyBorder="1" applyAlignment="1">
      <alignment vertical="center" wrapText="1"/>
    </xf>
    <xf numFmtId="0" fontId="0" fillId="2" borderId="25" xfId="0" applyFont="1" applyFill="1" applyBorder="1" applyAlignment="1">
      <alignment vertical="center" wrapText="1"/>
    </xf>
    <xf numFmtId="0" fontId="0" fillId="2" borderId="26" xfId="0" applyFont="1" applyFill="1" applyBorder="1" applyAlignment="1">
      <alignment vertical="center" wrapText="1"/>
    </xf>
    <xf numFmtId="0" fontId="7" fillId="4" borderId="6" xfId="1" applyFont="1" applyFill="1" applyBorder="1" applyAlignment="1">
      <alignment horizontal="center" vertical="center"/>
    </xf>
  </cellXfs>
  <cellStyles count="3">
    <cellStyle name="Hyperlink" xfId="1" builtinId="8"/>
    <cellStyle name="Normal" xfId="0" builtinId="0"/>
    <cellStyle name="Normal 2" xfId="2" xr:uid="{00000000-0005-0000-0000-000002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447675</xdr:colOff>
      <xdr:row>15</xdr:row>
      <xdr:rowOff>66675</xdr:rowOff>
    </xdr:to>
    <xdr:sp macro="" textlink="">
      <xdr:nvSpPr>
        <xdr:cNvPr id="2" name="TextBox 1">
          <a:extLst>
            <a:ext uri="{FF2B5EF4-FFF2-40B4-BE49-F238E27FC236}">
              <a16:creationId xmlns:a16="http://schemas.microsoft.com/office/drawing/2014/main" id="{76A4CA14-B67F-4DE0-8093-BE70EDBF8E69}"/>
            </a:ext>
          </a:extLst>
        </xdr:cNvPr>
        <xdr:cNvSpPr txBox="1"/>
      </xdr:nvSpPr>
      <xdr:spPr>
        <a:xfrm>
          <a:off x="0" y="0"/>
          <a:ext cx="13249275"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Column Headings:</a:t>
          </a:r>
          <a:r>
            <a:rPr lang="en-US" sz="1400"/>
            <a:t> </a:t>
          </a:r>
        </a:p>
        <a:p>
          <a:r>
            <a:rPr lang="en-US" sz="1400" b="0" i="0" u="none" strike="noStrike">
              <a:solidFill>
                <a:schemeClr val="dk1"/>
              </a:solidFill>
              <a:effectLst/>
              <a:latin typeface="+mn-lt"/>
              <a:ea typeface="+mn-ea"/>
              <a:cs typeface="+mn-cs"/>
            </a:rPr>
            <a:t>For each section, headings are highlighted in blue or white in order to differentiate between different sets of related questions.</a:t>
          </a:r>
          <a:r>
            <a:rPr lang="en-US" sz="1400"/>
            <a:t> </a:t>
          </a:r>
        </a:p>
        <a:p>
          <a:r>
            <a:rPr lang="en-US" sz="1400" b="0" i="0" u="none" strike="noStrike">
              <a:solidFill>
                <a:sysClr val="windowText" lastClr="000000"/>
              </a:solidFill>
              <a:effectLst/>
              <a:latin typeface="+mn-lt"/>
              <a:ea typeface="+mn-ea"/>
              <a:cs typeface="+mn-cs"/>
            </a:rPr>
            <a:t>For example, on the "Company Overview" tab, the "Average</a:t>
          </a:r>
          <a:r>
            <a:rPr lang="en-US" sz="1400" b="0" i="0" u="none" strike="noStrike" baseline="0">
              <a:solidFill>
                <a:sysClr val="windowText" lastClr="000000"/>
              </a:solidFill>
              <a:effectLst/>
              <a:latin typeface="+mn-lt"/>
              <a:ea typeface="+mn-ea"/>
              <a:cs typeface="+mn-cs"/>
            </a:rPr>
            <a:t> age of benefits eli</a:t>
          </a:r>
          <a:r>
            <a:rPr lang="en-US" sz="1400" b="0" i="0" u="none" strike="noStrike">
              <a:solidFill>
                <a:sysClr val="windowText" lastClr="000000"/>
              </a:solidFill>
              <a:effectLst/>
              <a:latin typeface="+mn-lt"/>
              <a:ea typeface="+mn-ea"/>
              <a:cs typeface="+mn-cs"/>
            </a:rPr>
            <a:t>gible employees" column</a:t>
          </a:r>
          <a:r>
            <a:rPr lang="en-US" sz="1400" b="0" i="0" u="none" strike="noStrike" baseline="0">
              <a:solidFill>
                <a:sysClr val="windowText" lastClr="000000"/>
              </a:solidFill>
              <a:effectLst/>
              <a:latin typeface="+mn-lt"/>
              <a:ea typeface="+mn-ea"/>
              <a:cs typeface="+mn-cs"/>
            </a:rPr>
            <a:t> is blue</a:t>
          </a:r>
          <a:r>
            <a:rPr lang="en-US" sz="1400" b="0" i="0" u="none" strike="noStrike">
              <a:solidFill>
                <a:sysClr val="windowText" lastClr="000000"/>
              </a:solidFill>
              <a:effectLst/>
              <a:latin typeface="+mn-lt"/>
              <a:ea typeface="+mn-ea"/>
              <a:cs typeface="+mn-cs"/>
            </a:rPr>
            <a:t>, while </a:t>
          </a:r>
          <a:r>
            <a:rPr lang="en-US" sz="1400" b="0" i="0">
              <a:solidFill>
                <a:schemeClr val="dk1"/>
              </a:solidFill>
              <a:effectLst/>
              <a:latin typeface="+mn-lt"/>
              <a:ea typeface="+mn-ea"/>
              <a:cs typeface="+mn-cs"/>
            </a:rPr>
            <a:t>the gender</a:t>
          </a:r>
          <a:r>
            <a:rPr lang="en-US" sz="1400" b="0" i="0" baseline="0">
              <a:solidFill>
                <a:schemeClr val="dk1"/>
              </a:solidFill>
              <a:effectLst/>
              <a:latin typeface="+mn-lt"/>
              <a:ea typeface="+mn-ea"/>
              <a:cs typeface="+mn-cs"/>
            </a:rPr>
            <a:t> identity </a:t>
          </a:r>
          <a:r>
            <a:rPr lang="en-US" sz="1400" b="0" i="0">
              <a:solidFill>
                <a:schemeClr val="dk1"/>
              </a:solidFill>
              <a:effectLst/>
              <a:latin typeface="+mn-lt"/>
              <a:ea typeface="+mn-ea"/>
              <a:cs typeface="+mn-cs"/>
            </a:rPr>
            <a:t>columns are white</a:t>
          </a:r>
          <a:r>
            <a:rPr lang="en-US" sz="1400" b="0" i="0" u="none" strike="noStrike">
              <a:solidFill>
                <a:sysClr val="windowText" lastClr="000000"/>
              </a:solidFill>
              <a:effectLst/>
              <a:latin typeface="+mn-lt"/>
              <a:ea typeface="+mn-ea"/>
              <a:cs typeface="+mn-cs"/>
            </a:rPr>
            <a:t>.</a:t>
          </a:r>
          <a:r>
            <a:rPr lang="en-US" sz="1400">
              <a:solidFill>
                <a:sysClr val="windowText" lastClr="000000"/>
              </a:solidFill>
            </a:rPr>
            <a:t> </a:t>
          </a:r>
        </a:p>
        <a:p>
          <a:endParaRPr lang="en-US" sz="1400" b="1" i="0" u="none" strike="noStrike">
            <a:solidFill>
              <a:sysClr val="windowText" lastClr="000000"/>
            </a:solidFill>
            <a:effectLst/>
            <a:latin typeface="+mn-lt"/>
            <a:ea typeface="+mn-ea"/>
            <a:cs typeface="+mn-cs"/>
          </a:endParaRPr>
        </a:p>
        <a:p>
          <a:r>
            <a:rPr lang="en-US" sz="1400" b="1" i="0" u="none" strike="noStrike">
              <a:solidFill>
                <a:sysClr val="windowText" lastClr="000000"/>
              </a:solidFill>
              <a:effectLst/>
              <a:latin typeface="+mn-lt"/>
              <a:ea typeface="+mn-ea"/>
              <a:cs typeface="+mn-cs"/>
            </a:rPr>
            <a:t>"N" Counts:</a:t>
          </a:r>
        </a:p>
        <a:p>
          <a:r>
            <a:rPr lang="en-US" sz="1400" b="0" i="0" u="none" strike="noStrike" baseline="0">
              <a:solidFill>
                <a:sysClr val="windowText" lastClr="000000"/>
              </a:solidFill>
              <a:effectLst/>
              <a:latin typeface="+mn-lt"/>
              <a:ea typeface="+mn-ea"/>
              <a:cs typeface="+mn-cs"/>
            </a:rPr>
            <a:t>The final row of each tab includes the "N" counts that indicate the number of companies that responded to each question.</a:t>
          </a:r>
          <a:endParaRPr lang="en-US" sz="1400" b="0" i="0" u="none" strike="noStrike">
            <a:solidFill>
              <a:sysClr val="windowText" lastClr="000000"/>
            </a:solidFill>
            <a:effectLst/>
            <a:latin typeface="+mn-lt"/>
            <a:ea typeface="+mn-ea"/>
            <a:cs typeface="+mn-cs"/>
          </a:endParaRPr>
        </a:p>
        <a:p>
          <a:endParaRPr lang="en-US" sz="1400" b="1" i="0" u="none" strike="noStrike">
            <a:solidFill>
              <a:sysClr val="windowText" lastClr="000000"/>
            </a:solidFill>
            <a:effectLst/>
            <a:latin typeface="+mn-lt"/>
            <a:ea typeface="+mn-ea"/>
            <a:cs typeface="+mn-cs"/>
          </a:endParaRPr>
        </a:p>
        <a:p>
          <a:r>
            <a:rPr lang="en-US" sz="1400" b="1" i="0" u="none" strike="noStrike">
              <a:solidFill>
                <a:schemeClr val="dk1"/>
              </a:solidFill>
              <a:effectLst/>
              <a:latin typeface="+mn-lt"/>
              <a:ea typeface="+mn-ea"/>
              <a:cs typeface="+mn-cs"/>
            </a:rPr>
            <a:t>Instructions for Using Index:</a:t>
          </a:r>
          <a:r>
            <a:rPr lang="en-US" sz="1400"/>
            <a:t> </a:t>
          </a:r>
        </a:p>
        <a:p>
          <a:r>
            <a:rPr lang="en-US" sz="1400" b="0" i="0" u="none" strike="noStrike">
              <a:solidFill>
                <a:schemeClr val="dk1"/>
              </a:solidFill>
              <a:effectLst/>
              <a:latin typeface="+mn-lt"/>
              <a:ea typeface="+mn-ea"/>
              <a:cs typeface="+mn-cs"/>
            </a:rPr>
            <a:t>1.) Select the "Index" tab</a:t>
          </a:r>
          <a:r>
            <a:rPr lang="en-US" sz="1400"/>
            <a:t> </a:t>
          </a:r>
        </a:p>
        <a:p>
          <a:r>
            <a:rPr lang="en-US" sz="1400" b="0" i="0" u="none" strike="noStrike">
              <a:solidFill>
                <a:schemeClr val="dk1"/>
              </a:solidFill>
              <a:effectLst/>
              <a:latin typeface="+mn-lt"/>
              <a:ea typeface="+mn-ea"/>
              <a:cs typeface="+mn-cs"/>
            </a:rPr>
            <a:t>2.) Use the Find function (e.g., CTRL + F) to locate the information you are seeking by using key words (</a:t>
          </a:r>
          <a:r>
            <a:rPr lang="en-US" sz="1400" b="0" i="0" u="none" strike="noStrike">
              <a:solidFill>
                <a:sysClr val="windowText" lastClr="000000"/>
              </a:solidFill>
              <a:effectLst/>
              <a:latin typeface="+mn-lt"/>
              <a:ea typeface="+mn-ea"/>
              <a:cs typeface="+mn-cs"/>
            </a:rPr>
            <a:t>e.g., "holidays").</a:t>
          </a:r>
          <a:r>
            <a:rPr lang="en-US" sz="1400">
              <a:solidFill>
                <a:sysClr val="windowText" lastClr="000000"/>
              </a:solidFill>
            </a:rPr>
            <a:t> </a:t>
          </a:r>
        </a:p>
        <a:p>
          <a:r>
            <a:rPr lang="en-US" sz="1400" b="0" i="0" u="none" strike="noStrike">
              <a:solidFill>
                <a:schemeClr val="dk1"/>
              </a:solidFill>
              <a:effectLst/>
              <a:latin typeface="+mn-lt"/>
              <a:ea typeface="+mn-ea"/>
              <a:cs typeface="+mn-cs"/>
            </a:rPr>
            <a:t>3.) After finding the question you wish to view, click</a:t>
          </a:r>
          <a:r>
            <a:rPr lang="en-US" sz="1400" b="0" i="0" u="none" strike="noStrike" baseline="0">
              <a:solidFill>
                <a:schemeClr val="dk1"/>
              </a:solidFill>
              <a:effectLst/>
              <a:latin typeface="+mn-lt"/>
              <a:ea typeface="+mn-ea"/>
              <a:cs typeface="+mn-cs"/>
            </a:rPr>
            <a:t> on</a:t>
          </a:r>
          <a:r>
            <a:rPr lang="en-US" sz="1400" b="0" i="0" u="none" strike="noStrike">
              <a:solidFill>
                <a:schemeClr val="dk1"/>
              </a:solidFill>
              <a:effectLst/>
              <a:latin typeface="+mn-lt"/>
              <a:ea typeface="+mn-ea"/>
              <a:cs typeface="+mn-cs"/>
            </a:rPr>
            <a:t> the question</a:t>
          </a:r>
          <a:r>
            <a:rPr lang="en-US" sz="1400" b="0" i="0" u="none" strike="noStrike" baseline="0">
              <a:solidFill>
                <a:schemeClr val="dk1"/>
              </a:solidFill>
              <a:effectLst/>
              <a:latin typeface="+mn-lt"/>
              <a:ea typeface="+mn-ea"/>
              <a:cs typeface="+mn-cs"/>
            </a:rPr>
            <a:t> number</a:t>
          </a:r>
          <a:r>
            <a:rPr lang="en-US" sz="1400" b="0" i="0" u="none" strike="noStrike">
              <a:solidFill>
                <a:schemeClr val="dk1"/>
              </a:solidFill>
              <a:effectLst/>
              <a:latin typeface="+mn-lt"/>
              <a:ea typeface="+mn-ea"/>
              <a:cs typeface="+mn-cs"/>
            </a:rPr>
            <a:t> or description to be taken directly to that question's data.</a:t>
          </a:r>
          <a:r>
            <a:rPr lang="en-US" sz="1400"/>
            <a:t> </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22+USB+-+S3+Verification_January+31,+2022_12.10 (2)_1" connectionId="3" xr16:uid="{00000000-0016-0000-03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22+USB+-+S4+Verification_January+31,+2022_12.17_1" connectionId="4" xr16:uid="{00000000-0016-0000-04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2+USB+-+S5+REPORT+Verification_January+31,+2022_12.17" connectionId="5" xr16:uid="{00000000-0016-0000-05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2022+USB+-+S9+REPORT+Verification_January+31,+2022_12.19" connectionId="6" xr16:uid="{00000000-0016-0000-0900-000003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2022+USB+-+USE+S10+REPORT+Verification_January+31,+2022_12.20" connectionId="7" xr16:uid="{00000000-0016-0000-0A00-000004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2022+USB+-+S11+REPORT+Verification_January+31,+2022_12.20" connectionId="1" xr16:uid="{00000000-0016-0000-0B00-00000500000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2022+USB+-+S12+REPORT+-+Copy_January+31,+2022_12.21" connectionId="2" xr16:uid="{00000000-0016-0000-0C00-000006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12.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13.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14.xml.rels><?xml version="1.0" encoding="UTF-8" standalone="yes"?>
<Relationships xmlns="http://schemas.openxmlformats.org/package/2006/relationships"><Relationship Id="rId1" Type="http://schemas.openxmlformats.org/officeDocument/2006/relationships/queryTable" Target="../queryTables/query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E71D-8258-40A7-9159-BCD077339993}">
  <sheetPr>
    <tabColor theme="8" tint="-0.249977111117893"/>
  </sheetPr>
  <dimension ref="A1"/>
  <sheetViews>
    <sheetView tabSelected="1" workbookViewId="0">
      <selection activeCell="BZA6" sqref="BZA6"/>
    </sheetView>
  </sheetViews>
  <sheetFormatPr defaultRowHeig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R2501"/>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59"/>
    <col min="2" max="2" width="30.7109375" style="60" customWidth="1"/>
    <col min="3" max="3" width="60.7109375" style="60" customWidth="1"/>
    <col min="4" max="28" width="30.7109375" style="60" customWidth="1"/>
    <col min="29" max="29" width="70.7109375" style="60" customWidth="1"/>
    <col min="30" max="39" width="30.7109375" style="60" customWidth="1"/>
    <col min="40" max="41" width="60.7109375" style="60" customWidth="1"/>
    <col min="42" max="50" width="30.7109375" style="60" customWidth="1"/>
    <col min="51" max="51" width="30.7109375" style="61" customWidth="1"/>
    <col min="52" max="58" width="30.7109375" style="60" customWidth="1"/>
    <col min="59" max="59" width="90.7109375" style="60" customWidth="1"/>
    <col min="60" max="80" width="30.7109375" style="60" customWidth="1"/>
    <col min="81" max="81" width="60.7109375" style="60" customWidth="1"/>
    <col min="82" max="95" width="30.7109375" style="60" customWidth="1"/>
    <col min="96" max="96" width="90.7109375" style="60" customWidth="1"/>
    <col min="97" max="16384" width="9.140625" style="59"/>
  </cols>
  <sheetData>
    <row r="1" spans="1:96" s="30" customFormat="1" x14ac:dyDescent="0.2">
      <c r="A1" s="68" t="s">
        <v>181</v>
      </c>
      <c r="B1" s="12" t="s">
        <v>1267</v>
      </c>
      <c r="C1" s="12" t="s">
        <v>1268</v>
      </c>
      <c r="D1" s="12" t="s">
        <v>1269</v>
      </c>
      <c r="E1" s="12" t="s">
        <v>1270</v>
      </c>
      <c r="F1" s="12" t="s">
        <v>1271</v>
      </c>
      <c r="G1" s="12" t="s">
        <v>1272</v>
      </c>
      <c r="H1" s="12" t="s">
        <v>1273</v>
      </c>
      <c r="I1" s="12" t="s">
        <v>1274</v>
      </c>
      <c r="J1" s="12" t="s">
        <v>1275</v>
      </c>
      <c r="K1" s="12" t="s">
        <v>1276</v>
      </c>
      <c r="L1" s="12" t="s">
        <v>1277</v>
      </c>
      <c r="M1" s="12" t="s">
        <v>1278</v>
      </c>
      <c r="N1" s="12" t="s">
        <v>1279</v>
      </c>
      <c r="O1" s="12" t="s">
        <v>1280</v>
      </c>
      <c r="P1" s="12" t="s">
        <v>1281</v>
      </c>
      <c r="Q1" s="12" t="s">
        <v>1282</v>
      </c>
      <c r="R1" s="12" t="s">
        <v>1283</v>
      </c>
      <c r="S1" s="12" t="s">
        <v>1284</v>
      </c>
      <c r="T1" s="12" t="s">
        <v>1285</v>
      </c>
      <c r="U1" s="12" t="s">
        <v>1286</v>
      </c>
      <c r="V1" s="12" t="s">
        <v>1287</v>
      </c>
      <c r="W1" s="12" t="s">
        <v>1288</v>
      </c>
      <c r="X1" s="12" t="s">
        <v>1289</v>
      </c>
      <c r="Y1" s="12" t="s">
        <v>1290</v>
      </c>
      <c r="Z1" s="12" t="s">
        <v>1291</v>
      </c>
      <c r="AA1" s="12" t="s">
        <v>1292</v>
      </c>
      <c r="AB1" s="12" t="s">
        <v>1293</v>
      </c>
      <c r="AC1" s="12" t="s">
        <v>1294</v>
      </c>
      <c r="AD1" s="12" t="s">
        <v>1295</v>
      </c>
      <c r="AE1" s="12" t="s">
        <v>1296</v>
      </c>
      <c r="AF1" s="12" t="s">
        <v>1297</v>
      </c>
      <c r="AG1" s="12" t="s">
        <v>1298</v>
      </c>
      <c r="AH1" s="12" t="s">
        <v>1299</v>
      </c>
      <c r="AI1" s="12" t="s">
        <v>1300</v>
      </c>
      <c r="AJ1" s="12" t="s">
        <v>1301</v>
      </c>
      <c r="AK1" s="12" t="s">
        <v>1302</v>
      </c>
      <c r="AL1" s="12" t="s">
        <v>1303</v>
      </c>
      <c r="AM1" s="12" t="s">
        <v>1304</v>
      </c>
      <c r="AN1" s="12" t="s">
        <v>1305</v>
      </c>
      <c r="AO1" s="12" t="s">
        <v>1306</v>
      </c>
      <c r="AP1" s="12" t="s">
        <v>1307</v>
      </c>
      <c r="AQ1" s="12" t="s">
        <v>1308</v>
      </c>
      <c r="AR1" s="12" t="s">
        <v>1309</v>
      </c>
      <c r="AS1" s="12" t="s">
        <v>1310</v>
      </c>
      <c r="AT1" s="12" t="s">
        <v>1311</v>
      </c>
      <c r="AU1" s="12" t="s">
        <v>1312</v>
      </c>
      <c r="AV1" s="12" t="s">
        <v>1313</v>
      </c>
      <c r="AW1" s="12" t="s">
        <v>1314</v>
      </c>
      <c r="AX1" s="12" t="s">
        <v>1315</v>
      </c>
      <c r="AY1" s="38" t="s">
        <v>1316</v>
      </c>
      <c r="AZ1" s="12" t="s">
        <v>1317</v>
      </c>
      <c r="BA1" s="12" t="s">
        <v>1318</v>
      </c>
      <c r="BB1" s="12" t="s">
        <v>1319</v>
      </c>
      <c r="BC1" s="12" t="s">
        <v>1320</v>
      </c>
      <c r="BD1" s="12" t="s">
        <v>1321</v>
      </c>
      <c r="BE1" s="12" t="s">
        <v>1322</v>
      </c>
      <c r="BF1" s="12" t="s">
        <v>1323</v>
      </c>
      <c r="BG1" s="12" t="s">
        <v>1324</v>
      </c>
      <c r="BH1" s="12" t="s">
        <v>1325</v>
      </c>
      <c r="BI1" s="12" t="s">
        <v>1326</v>
      </c>
      <c r="BJ1" s="12" t="s">
        <v>1327</v>
      </c>
      <c r="BK1" s="12" t="s">
        <v>1328</v>
      </c>
      <c r="BL1" s="12" t="s">
        <v>1329</v>
      </c>
      <c r="BM1" s="12" t="s">
        <v>1330</v>
      </c>
      <c r="BN1" s="12" t="s">
        <v>1331</v>
      </c>
      <c r="BO1" s="12" t="s">
        <v>1332</v>
      </c>
      <c r="BP1" s="12" t="s">
        <v>1333</v>
      </c>
      <c r="BQ1" s="12" t="s">
        <v>1334</v>
      </c>
      <c r="BR1" s="12" t="s">
        <v>1335</v>
      </c>
      <c r="BS1" s="12" t="s">
        <v>1336</v>
      </c>
      <c r="BT1" s="12" t="s">
        <v>1337</v>
      </c>
      <c r="BU1" s="12" t="s">
        <v>1338</v>
      </c>
      <c r="BV1" s="12" t="s">
        <v>1339</v>
      </c>
      <c r="BW1" s="12" t="s">
        <v>1340</v>
      </c>
      <c r="BX1" s="12" t="s">
        <v>1341</v>
      </c>
      <c r="BY1" s="12" t="s">
        <v>1342</v>
      </c>
      <c r="BZ1" s="12" t="s">
        <v>1343</v>
      </c>
      <c r="CA1" s="12" t="s">
        <v>1344</v>
      </c>
      <c r="CB1" s="12" t="s">
        <v>1345</v>
      </c>
      <c r="CC1" s="12" t="s">
        <v>1346</v>
      </c>
      <c r="CD1" s="12" t="s">
        <v>1347</v>
      </c>
      <c r="CE1" s="12" t="s">
        <v>1348</v>
      </c>
      <c r="CF1" s="12" t="s">
        <v>1349</v>
      </c>
      <c r="CG1" s="12" t="s">
        <v>1350</v>
      </c>
      <c r="CH1" s="12" t="s">
        <v>1351</v>
      </c>
      <c r="CI1" s="12" t="s">
        <v>1352</v>
      </c>
      <c r="CJ1" s="12" t="s">
        <v>1353</v>
      </c>
      <c r="CK1" s="12" t="s">
        <v>1354</v>
      </c>
      <c r="CL1" s="12" t="s">
        <v>1355</v>
      </c>
      <c r="CM1" s="12" t="s">
        <v>1356</v>
      </c>
      <c r="CN1" s="12" t="s">
        <v>1357</v>
      </c>
      <c r="CO1" s="12" t="s">
        <v>1358</v>
      </c>
      <c r="CP1" s="12" t="s">
        <v>1359</v>
      </c>
      <c r="CQ1" s="12" t="s">
        <v>1360</v>
      </c>
      <c r="CR1" s="12" t="s">
        <v>1361</v>
      </c>
    </row>
    <row r="2" spans="1:96" s="30" customFormat="1" ht="63.75" x14ac:dyDescent="0.2">
      <c r="A2" s="30" t="s">
        <v>116</v>
      </c>
      <c r="B2" s="75" t="s">
        <v>12213</v>
      </c>
      <c r="C2" s="75" t="s">
        <v>12214</v>
      </c>
      <c r="D2" s="75" t="s">
        <v>12215</v>
      </c>
      <c r="E2" s="75" t="s">
        <v>12216</v>
      </c>
      <c r="F2" s="75" t="s">
        <v>12217</v>
      </c>
      <c r="G2" s="75" t="s">
        <v>12218</v>
      </c>
      <c r="H2" s="75" t="s">
        <v>12219</v>
      </c>
      <c r="I2" s="75" t="s">
        <v>12220</v>
      </c>
      <c r="J2" s="75" t="s">
        <v>12221</v>
      </c>
      <c r="K2" s="75" t="s">
        <v>12222</v>
      </c>
      <c r="L2" s="75" t="s">
        <v>12223</v>
      </c>
      <c r="M2" s="75" t="s">
        <v>12224</v>
      </c>
      <c r="N2" s="75" t="s">
        <v>12225</v>
      </c>
      <c r="O2" s="75" t="s">
        <v>12226</v>
      </c>
      <c r="P2" s="75" t="s">
        <v>12227</v>
      </c>
      <c r="Q2" s="75" t="s">
        <v>12228</v>
      </c>
      <c r="R2" s="75" t="s">
        <v>12229</v>
      </c>
      <c r="S2" s="75" t="s">
        <v>12230</v>
      </c>
      <c r="T2" s="75" t="s">
        <v>12231</v>
      </c>
      <c r="U2" s="75" t="s">
        <v>12232</v>
      </c>
      <c r="V2" s="75" t="s">
        <v>12233</v>
      </c>
      <c r="W2" s="75" t="s">
        <v>12234</v>
      </c>
      <c r="X2" s="75" t="s">
        <v>12235</v>
      </c>
      <c r="Y2" s="75" t="s">
        <v>12236</v>
      </c>
      <c r="Z2" s="75" t="s">
        <v>12237</v>
      </c>
      <c r="AA2" s="75" t="s">
        <v>12238</v>
      </c>
      <c r="AB2" s="12" t="s">
        <v>12239</v>
      </c>
      <c r="AC2" s="12" t="s">
        <v>12240</v>
      </c>
      <c r="AD2" s="12" t="s">
        <v>12241</v>
      </c>
      <c r="AE2" s="12" t="s">
        <v>12242</v>
      </c>
      <c r="AF2" s="12" t="s">
        <v>12243</v>
      </c>
      <c r="AG2" s="75" t="s">
        <v>12244</v>
      </c>
      <c r="AH2" s="75" t="s">
        <v>12245</v>
      </c>
      <c r="AI2" s="75" t="s">
        <v>12246</v>
      </c>
      <c r="AJ2" s="75" t="s">
        <v>12247</v>
      </c>
      <c r="AK2" s="75" t="s">
        <v>12248</v>
      </c>
      <c r="AL2" s="75" t="s">
        <v>12249</v>
      </c>
      <c r="AM2" s="75" t="s">
        <v>12250</v>
      </c>
      <c r="AN2" s="75" t="s">
        <v>12251</v>
      </c>
      <c r="AO2" s="75" t="s">
        <v>12252</v>
      </c>
      <c r="AP2" s="75" t="s">
        <v>12253</v>
      </c>
      <c r="AQ2" s="75" t="s">
        <v>12254</v>
      </c>
      <c r="AR2" s="75" t="s">
        <v>12255</v>
      </c>
      <c r="AS2" s="75" t="s">
        <v>12256</v>
      </c>
      <c r="AT2" s="75" t="s">
        <v>12257</v>
      </c>
      <c r="AU2" s="75" t="s">
        <v>12258</v>
      </c>
      <c r="AV2" s="12" t="s">
        <v>12259</v>
      </c>
      <c r="AW2" s="12" t="s">
        <v>12260</v>
      </c>
      <c r="AX2" s="12" t="s">
        <v>12261</v>
      </c>
      <c r="AY2" s="38" t="s">
        <v>12262</v>
      </c>
      <c r="AZ2" s="12" t="s">
        <v>12263</v>
      </c>
      <c r="BA2" s="12" t="s">
        <v>12264</v>
      </c>
      <c r="BB2" s="12" t="s">
        <v>12265</v>
      </c>
      <c r="BC2" s="12" t="s">
        <v>12266</v>
      </c>
      <c r="BD2" s="12" t="s">
        <v>12267</v>
      </c>
      <c r="BE2" s="12" t="s">
        <v>12268</v>
      </c>
      <c r="BF2" s="75" t="s">
        <v>12269</v>
      </c>
      <c r="BG2" s="75" t="s">
        <v>12270</v>
      </c>
      <c r="BH2" s="75" t="s">
        <v>12271</v>
      </c>
      <c r="BI2" s="75" t="s">
        <v>12272</v>
      </c>
      <c r="BJ2" s="75" t="s">
        <v>12273</v>
      </c>
      <c r="BK2" s="75" t="s">
        <v>12274</v>
      </c>
      <c r="BL2" s="75" t="s">
        <v>12275</v>
      </c>
      <c r="BM2" s="75" t="s">
        <v>12276</v>
      </c>
      <c r="BN2" s="75" t="s">
        <v>12277</v>
      </c>
      <c r="BO2" s="75" t="s">
        <v>12278</v>
      </c>
      <c r="BP2" s="75" t="s">
        <v>12279</v>
      </c>
      <c r="BQ2" s="12" t="s">
        <v>12280</v>
      </c>
      <c r="BR2" s="12" t="s">
        <v>12281</v>
      </c>
      <c r="BS2" s="12" t="s">
        <v>12282</v>
      </c>
      <c r="BT2" s="12" t="s">
        <v>12283</v>
      </c>
      <c r="BU2" s="12" t="s">
        <v>12284</v>
      </c>
      <c r="BV2" s="12" t="s">
        <v>12285</v>
      </c>
      <c r="BW2" s="12" t="s">
        <v>12286</v>
      </c>
      <c r="BX2" s="12" t="s">
        <v>12287</v>
      </c>
      <c r="BY2" s="12" t="s">
        <v>12288</v>
      </c>
      <c r="BZ2" s="12" t="s">
        <v>12289</v>
      </c>
      <c r="CA2" s="12" t="s">
        <v>12290</v>
      </c>
      <c r="CB2" s="12" t="s">
        <v>12291</v>
      </c>
      <c r="CC2" s="75" t="s">
        <v>12292</v>
      </c>
      <c r="CD2" s="75" t="s">
        <v>12293</v>
      </c>
      <c r="CE2" s="75" t="s">
        <v>12294</v>
      </c>
      <c r="CF2" s="75" t="s">
        <v>12295</v>
      </c>
      <c r="CG2" s="75" t="s">
        <v>12296</v>
      </c>
      <c r="CH2" s="75" t="s">
        <v>12297</v>
      </c>
      <c r="CI2" s="75" t="s">
        <v>12298</v>
      </c>
      <c r="CJ2" s="75" t="s">
        <v>12299</v>
      </c>
      <c r="CK2" s="75" t="s">
        <v>12300</v>
      </c>
      <c r="CL2" s="12" t="s">
        <v>12301</v>
      </c>
      <c r="CM2" s="12" t="s">
        <v>12302</v>
      </c>
      <c r="CN2" s="12" t="s">
        <v>12303</v>
      </c>
      <c r="CO2" s="12" t="s">
        <v>12304</v>
      </c>
      <c r="CP2" s="12" t="s">
        <v>12305</v>
      </c>
      <c r="CQ2" s="12" t="s">
        <v>12306</v>
      </c>
      <c r="CR2" s="75" t="s">
        <v>12307</v>
      </c>
    </row>
    <row r="3" spans="1:96" ht="63.75" x14ac:dyDescent="0.2">
      <c r="A3" s="8" t="s">
        <v>152</v>
      </c>
      <c r="B3" s="9" t="s">
        <v>1362</v>
      </c>
      <c r="C3" s="9"/>
      <c r="D3" s="9"/>
      <c r="E3" s="9"/>
      <c r="F3" s="9"/>
      <c r="G3" s="9"/>
      <c r="H3" s="9"/>
      <c r="I3" s="9"/>
      <c r="J3" s="9"/>
      <c r="K3" s="9"/>
      <c r="L3" s="9"/>
      <c r="M3" s="9"/>
      <c r="N3" s="9"/>
      <c r="O3" s="9"/>
      <c r="P3" s="9"/>
      <c r="Q3" s="9"/>
      <c r="R3" s="9"/>
      <c r="S3" s="9"/>
      <c r="T3" s="9"/>
      <c r="U3" s="9"/>
      <c r="V3" s="9"/>
      <c r="W3" s="9"/>
      <c r="X3" s="9"/>
      <c r="Y3" s="9"/>
      <c r="Z3" s="9"/>
      <c r="AA3" s="9"/>
      <c r="AB3" s="9" t="s">
        <v>1363</v>
      </c>
      <c r="AC3" s="9"/>
      <c r="AD3" s="9"/>
      <c r="AE3" s="9"/>
      <c r="AF3" s="9"/>
      <c r="AG3" s="9" t="s">
        <v>28</v>
      </c>
      <c r="AH3" s="9" t="s">
        <v>28</v>
      </c>
      <c r="AI3" s="9" t="s">
        <v>1364</v>
      </c>
      <c r="AJ3" s="9"/>
      <c r="AK3" s="9" t="s">
        <v>25</v>
      </c>
      <c r="AL3" s="9" t="s">
        <v>603</v>
      </c>
      <c r="AM3" s="9"/>
      <c r="AN3" s="9" t="s">
        <v>1473</v>
      </c>
      <c r="AO3" s="9" t="s">
        <v>1366</v>
      </c>
      <c r="AP3" s="9" t="s">
        <v>741</v>
      </c>
      <c r="AQ3" s="9" t="s">
        <v>604</v>
      </c>
      <c r="AR3" s="9" t="s">
        <v>604</v>
      </c>
      <c r="AS3" s="9" t="s">
        <v>741</v>
      </c>
      <c r="AT3" s="9" t="s">
        <v>679</v>
      </c>
      <c r="AU3" s="9" t="s">
        <v>604</v>
      </c>
      <c r="AV3" s="9" t="s">
        <v>25</v>
      </c>
      <c r="AW3" s="9"/>
      <c r="AX3" s="9"/>
      <c r="AY3" s="39"/>
      <c r="AZ3" s="9"/>
      <c r="BA3" s="9"/>
      <c r="BB3" s="9"/>
      <c r="BC3" s="9"/>
      <c r="BD3" s="9"/>
      <c r="BE3" s="9"/>
      <c r="BF3" s="9" t="s">
        <v>28</v>
      </c>
      <c r="BG3" s="9" t="s">
        <v>1474</v>
      </c>
      <c r="BH3" s="9" t="s">
        <v>25</v>
      </c>
      <c r="BI3" s="9" t="s">
        <v>603</v>
      </c>
      <c r="BJ3" s="9"/>
      <c r="BK3" s="9" t="s">
        <v>741</v>
      </c>
      <c r="BL3" s="9" t="s">
        <v>604</v>
      </c>
      <c r="BM3" s="9" t="s">
        <v>604</v>
      </c>
      <c r="BN3" s="9" t="s">
        <v>741</v>
      </c>
      <c r="BO3" s="9" t="s">
        <v>679</v>
      </c>
      <c r="BP3" s="9" t="s">
        <v>604</v>
      </c>
      <c r="BQ3" s="9" t="s">
        <v>25</v>
      </c>
      <c r="BR3" s="9"/>
      <c r="BS3" s="9"/>
      <c r="BT3" s="9"/>
      <c r="BU3" s="9"/>
      <c r="BV3" s="9"/>
      <c r="BW3" s="9"/>
      <c r="BX3" s="9"/>
      <c r="BY3" s="9"/>
      <c r="BZ3" s="9"/>
      <c r="CA3" s="9"/>
      <c r="CB3" s="9"/>
      <c r="CC3" s="9" t="s">
        <v>1368</v>
      </c>
      <c r="CD3" s="9" t="s">
        <v>25</v>
      </c>
      <c r="CE3" s="9" t="s">
        <v>25</v>
      </c>
      <c r="CF3" s="9" t="s">
        <v>741</v>
      </c>
      <c r="CG3" s="9" t="s">
        <v>604</v>
      </c>
      <c r="CH3" s="9" t="s">
        <v>604</v>
      </c>
      <c r="CI3" s="9" t="s">
        <v>741</v>
      </c>
      <c r="CJ3" s="9" t="s">
        <v>679</v>
      </c>
      <c r="CK3" s="9" t="s">
        <v>604</v>
      </c>
      <c r="CL3" s="9" t="s">
        <v>28</v>
      </c>
      <c r="CM3" s="9" t="s">
        <v>1369</v>
      </c>
      <c r="CN3" s="9" t="s">
        <v>1370</v>
      </c>
      <c r="CO3" s="9" t="s">
        <v>25</v>
      </c>
      <c r="CP3" s="9"/>
      <c r="CQ3" s="9" t="s">
        <v>25</v>
      </c>
      <c r="CR3" s="9" t="s">
        <v>1475</v>
      </c>
    </row>
    <row r="4" spans="1:96" ht="89.25" x14ac:dyDescent="0.2">
      <c r="A4" s="8" t="s">
        <v>133</v>
      </c>
      <c r="B4" s="9" t="s">
        <v>1425</v>
      </c>
      <c r="C4" s="9" t="s">
        <v>13884</v>
      </c>
      <c r="D4" s="9" t="s">
        <v>1388</v>
      </c>
      <c r="E4" s="9" t="s">
        <v>1388</v>
      </c>
      <c r="F4" s="9" t="s">
        <v>1388</v>
      </c>
      <c r="G4" s="9" t="s">
        <v>1388</v>
      </c>
      <c r="H4" s="9"/>
      <c r="I4" s="9" t="s">
        <v>1388</v>
      </c>
      <c r="J4" s="9"/>
      <c r="K4" s="9" t="s">
        <v>1388</v>
      </c>
      <c r="L4" s="9" t="s">
        <v>1388</v>
      </c>
      <c r="M4" s="9" t="s">
        <v>1388</v>
      </c>
      <c r="N4" s="9" t="s">
        <v>1388</v>
      </c>
      <c r="O4" s="9"/>
      <c r="P4" s="9" t="s">
        <v>1388</v>
      </c>
      <c r="Q4" s="9" t="s">
        <v>1388</v>
      </c>
      <c r="R4" s="9"/>
      <c r="S4" s="9"/>
      <c r="T4" s="9" t="s">
        <v>1388</v>
      </c>
      <c r="U4" s="9" t="s">
        <v>1388</v>
      </c>
      <c r="V4" s="9" t="s">
        <v>679</v>
      </c>
      <c r="W4" s="9"/>
      <c r="X4" s="9"/>
      <c r="Y4" s="9" t="s">
        <v>1416</v>
      </c>
      <c r="Z4" s="9" t="s">
        <v>13503</v>
      </c>
      <c r="AA4" s="9"/>
      <c r="AB4" s="9" t="s">
        <v>1426</v>
      </c>
      <c r="AC4" s="9" t="s">
        <v>13508</v>
      </c>
      <c r="AD4" s="9" t="s">
        <v>1427</v>
      </c>
      <c r="AE4" s="9" t="s">
        <v>13501</v>
      </c>
      <c r="AF4" s="9"/>
      <c r="AG4" s="9" t="s">
        <v>28</v>
      </c>
      <c r="AH4" s="9" t="s">
        <v>28</v>
      </c>
      <c r="AI4" s="9" t="s">
        <v>1364</v>
      </c>
      <c r="AJ4" s="9"/>
      <c r="AK4" s="9" t="s">
        <v>25</v>
      </c>
      <c r="AL4" s="9" t="s">
        <v>603</v>
      </c>
      <c r="AM4" s="9"/>
      <c r="AN4" s="9" t="s">
        <v>1408</v>
      </c>
      <c r="AO4" s="9" t="s">
        <v>1366</v>
      </c>
      <c r="AP4" s="9" t="s">
        <v>741</v>
      </c>
      <c r="AQ4" s="9" t="s">
        <v>604</v>
      </c>
      <c r="AR4" s="9" t="s">
        <v>604</v>
      </c>
      <c r="AS4" s="9" t="s">
        <v>741</v>
      </c>
      <c r="AT4" s="9" t="s">
        <v>606</v>
      </c>
      <c r="AU4" s="9" t="s">
        <v>741</v>
      </c>
      <c r="AV4" s="9" t="s">
        <v>28</v>
      </c>
      <c r="AW4" s="9" t="s">
        <v>25</v>
      </c>
      <c r="AX4" s="9" t="s">
        <v>603</v>
      </c>
      <c r="AY4" s="39"/>
      <c r="AZ4" s="9" t="s">
        <v>741</v>
      </c>
      <c r="BA4" s="9" t="s">
        <v>604</v>
      </c>
      <c r="BB4" s="9" t="s">
        <v>604</v>
      </c>
      <c r="BC4" s="9" t="s">
        <v>741</v>
      </c>
      <c r="BD4" s="9" t="s">
        <v>679</v>
      </c>
      <c r="BE4" s="9" t="s">
        <v>741</v>
      </c>
      <c r="BF4" s="9" t="s">
        <v>28</v>
      </c>
      <c r="BG4" s="9" t="s">
        <v>1041</v>
      </c>
      <c r="BH4" s="9" t="s">
        <v>25</v>
      </c>
      <c r="BI4" s="9" t="s">
        <v>603</v>
      </c>
      <c r="BJ4" s="9"/>
      <c r="BK4" s="9" t="s">
        <v>741</v>
      </c>
      <c r="BL4" s="9" t="s">
        <v>604</v>
      </c>
      <c r="BM4" s="9" t="s">
        <v>604</v>
      </c>
      <c r="BN4" s="9" t="s">
        <v>741</v>
      </c>
      <c r="BO4" s="9" t="s">
        <v>741</v>
      </c>
      <c r="BP4" s="9" t="s">
        <v>741</v>
      </c>
      <c r="BQ4" s="9" t="s">
        <v>25</v>
      </c>
      <c r="BR4" s="9"/>
      <c r="BS4" s="9"/>
      <c r="BT4" s="9"/>
      <c r="BU4" s="9"/>
      <c r="BV4" s="9"/>
      <c r="BW4" s="9"/>
      <c r="BX4" s="9"/>
      <c r="BY4" s="9"/>
      <c r="BZ4" s="9"/>
      <c r="CA4" s="9"/>
      <c r="CB4" s="9"/>
      <c r="CC4" s="9" t="s">
        <v>1428</v>
      </c>
      <c r="CD4" s="9" t="s">
        <v>28</v>
      </c>
      <c r="CE4" s="9" t="s">
        <v>41</v>
      </c>
      <c r="CF4" s="9" t="s">
        <v>741</v>
      </c>
      <c r="CG4" s="9" t="s">
        <v>604</v>
      </c>
      <c r="CH4" s="9" t="s">
        <v>604</v>
      </c>
      <c r="CI4" s="9" t="s">
        <v>741</v>
      </c>
      <c r="CJ4" s="9" t="s">
        <v>741</v>
      </c>
      <c r="CK4" s="9" t="s">
        <v>741</v>
      </c>
      <c r="CL4" s="9" t="s">
        <v>28</v>
      </c>
      <c r="CM4" s="9" t="s">
        <v>14492</v>
      </c>
      <c r="CN4" s="9" t="s">
        <v>1370</v>
      </c>
      <c r="CO4" s="9" t="s">
        <v>28</v>
      </c>
      <c r="CP4" s="9" t="s">
        <v>25</v>
      </c>
      <c r="CQ4" s="9"/>
      <c r="CR4" s="9" t="s">
        <v>1429</v>
      </c>
    </row>
    <row r="5" spans="1:96" ht="38.25" x14ac:dyDescent="0.2">
      <c r="A5" s="8" t="s">
        <v>156</v>
      </c>
      <c r="B5" s="9" t="s">
        <v>1362</v>
      </c>
      <c r="C5" s="9"/>
      <c r="D5" s="9"/>
      <c r="E5" s="9"/>
      <c r="F5" s="9"/>
      <c r="G5" s="9"/>
      <c r="H5" s="9"/>
      <c r="I5" s="9"/>
      <c r="J5" s="9"/>
      <c r="K5" s="9"/>
      <c r="L5" s="9"/>
      <c r="M5" s="9"/>
      <c r="N5" s="9"/>
      <c r="O5" s="9"/>
      <c r="P5" s="9"/>
      <c r="Q5" s="9"/>
      <c r="R5" s="9"/>
      <c r="S5" s="9"/>
      <c r="T5" s="9"/>
      <c r="U5" s="9"/>
      <c r="V5" s="9"/>
      <c r="W5" s="9"/>
      <c r="X5" s="9"/>
      <c r="Y5" s="9"/>
      <c r="Z5" s="9"/>
      <c r="AA5" s="9"/>
      <c r="AB5" s="9" t="s">
        <v>1363</v>
      </c>
      <c r="AC5" s="9"/>
      <c r="AD5" s="9"/>
      <c r="AE5" s="9"/>
      <c r="AF5" s="9"/>
      <c r="AG5" s="9" t="s">
        <v>28</v>
      </c>
      <c r="AH5" s="9" t="s">
        <v>28</v>
      </c>
      <c r="AI5" s="9" t="s">
        <v>1398</v>
      </c>
      <c r="AJ5" s="9"/>
      <c r="AK5" s="9" t="s">
        <v>25</v>
      </c>
      <c r="AL5" s="9" t="s">
        <v>603</v>
      </c>
      <c r="AM5" s="9"/>
      <c r="AN5" s="9" t="s">
        <v>13893</v>
      </c>
      <c r="AO5" s="9" t="s">
        <v>1482</v>
      </c>
      <c r="AP5" s="9" t="s">
        <v>741</v>
      </c>
      <c r="AQ5" s="9" t="s">
        <v>604</v>
      </c>
      <c r="AR5" s="9" t="s">
        <v>604</v>
      </c>
      <c r="AS5" s="9" t="s">
        <v>741</v>
      </c>
      <c r="AT5" s="9" t="s">
        <v>741</v>
      </c>
      <c r="AU5" s="9" t="s">
        <v>741</v>
      </c>
      <c r="AV5" s="9" t="s">
        <v>25</v>
      </c>
      <c r="AW5" s="9"/>
      <c r="AX5" s="9"/>
      <c r="AY5" s="39"/>
      <c r="AZ5" s="9"/>
      <c r="BA5" s="9"/>
      <c r="BB5" s="9"/>
      <c r="BC5" s="9"/>
      <c r="BD5" s="9"/>
      <c r="BE5" s="9"/>
      <c r="BF5" s="9" t="s">
        <v>28</v>
      </c>
      <c r="BG5" s="9" t="s">
        <v>1483</v>
      </c>
      <c r="BH5" s="9" t="s">
        <v>28</v>
      </c>
      <c r="BI5" s="9" t="s">
        <v>603</v>
      </c>
      <c r="BJ5" s="9"/>
      <c r="BK5" s="9" t="s">
        <v>605</v>
      </c>
      <c r="BL5" s="9" t="s">
        <v>604</v>
      </c>
      <c r="BM5" s="9" t="s">
        <v>604</v>
      </c>
      <c r="BN5" s="9" t="s">
        <v>605</v>
      </c>
      <c r="BO5" s="9" t="s">
        <v>679</v>
      </c>
      <c r="BP5" s="9" t="s">
        <v>605</v>
      </c>
      <c r="BQ5" s="9" t="s">
        <v>25</v>
      </c>
      <c r="BR5" s="9"/>
      <c r="BS5" s="9"/>
      <c r="BT5" s="9"/>
      <c r="BU5" s="9"/>
      <c r="BV5" s="9"/>
      <c r="BW5" s="9"/>
      <c r="BX5" s="9"/>
      <c r="BY5" s="9"/>
      <c r="BZ5" s="9"/>
      <c r="CA5" s="9"/>
      <c r="CB5" s="9"/>
      <c r="CC5" s="9" t="s">
        <v>1368</v>
      </c>
      <c r="CD5" s="9" t="s">
        <v>28</v>
      </c>
      <c r="CE5" s="9" t="s">
        <v>41</v>
      </c>
      <c r="CF5" s="9" t="s">
        <v>741</v>
      </c>
      <c r="CG5" s="9" t="s">
        <v>604</v>
      </c>
      <c r="CH5" s="9" t="s">
        <v>604</v>
      </c>
      <c r="CI5" s="9" t="s">
        <v>741</v>
      </c>
      <c r="CJ5" s="9" t="s">
        <v>741</v>
      </c>
      <c r="CK5" s="9" t="s">
        <v>741</v>
      </c>
      <c r="CL5" s="9" t="s">
        <v>25</v>
      </c>
      <c r="CM5" s="9"/>
      <c r="CN5" s="9" t="s">
        <v>1370</v>
      </c>
      <c r="CO5" s="9"/>
      <c r="CP5" s="9"/>
      <c r="CQ5" s="9" t="s">
        <v>1405</v>
      </c>
      <c r="CR5" s="9"/>
    </row>
    <row r="6" spans="1:96" ht="63.75" x14ac:dyDescent="0.2">
      <c r="A6" s="8" t="s">
        <v>179</v>
      </c>
      <c r="B6" s="9" t="s">
        <v>1386</v>
      </c>
      <c r="C6" s="9" t="s">
        <v>1528</v>
      </c>
      <c r="D6" s="9" t="s">
        <v>1387</v>
      </c>
      <c r="E6" s="9"/>
      <c r="F6" s="9" t="s">
        <v>1387</v>
      </c>
      <c r="G6" s="9" t="s">
        <v>1387</v>
      </c>
      <c r="H6" s="9"/>
      <c r="I6" s="9"/>
      <c r="J6" s="9"/>
      <c r="K6" s="9" t="s">
        <v>1387</v>
      </c>
      <c r="L6" s="9" t="s">
        <v>1387</v>
      </c>
      <c r="M6" s="9"/>
      <c r="N6" s="9"/>
      <c r="O6" s="9"/>
      <c r="P6" s="9"/>
      <c r="Q6" s="9" t="s">
        <v>1387</v>
      </c>
      <c r="R6" s="9"/>
      <c r="S6" s="9"/>
      <c r="T6" s="9"/>
      <c r="U6" s="9"/>
      <c r="V6" s="9" t="s">
        <v>1387</v>
      </c>
      <c r="W6" s="9" t="s">
        <v>1387</v>
      </c>
      <c r="X6" s="9"/>
      <c r="Y6" s="9" t="s">
        <v>1416</v>
      </c>
      <c r="Z6" s="9" t="s">
        <v>13507</v>
      </c>
      <c r="AA6" s="9"/>
      <c r="AB6" s="9" t="s">
        <v>1452</v>
      </c>
      <c r="AC6" s="9"/>
      <c r="AD6" s="9"/>
      <c r="AE6" s="9"/>
      <c r="AF6" s="9"/>
      <c r="AG6" s="9" t="s">
        <v>28</v>
      </c>
      <c r="AH6" s="9" t="s">
        <v>28</v>
      </c>
      <c r="AI6" s="9" t="s">
        <v>14469</v>
      </c>
      <c r="AJ6" s="9" t="s">
        <v>1529</v>
      </c>
      <c r="AK6" s="9" t="s">
        <v>25</v>
      </c>
      <c r="AL6" s="9" t="s">
        <v>603</v>
      </c>
      <c r="AM6" s="9"/>
      <c r="AN6" s="9" t="s">
        <v>1365</v>
      </c>
      <c r="AO6" s="9" t="s">
        <v>1441</v>
      </c>
      <c r="AP6" s="9" t="s">
        <v>741</v>
      </c>
      <c r="AQ6" s="9" t="s">
        <v>604</v>
      </c>
      <c r="AR6" s="9" t="s">
        <v>604</v>
      </c>
      <c r="AS6" s="9" t="s">
        <v>741</v>
      </c>
      <c r="AT6" s="9" t="s">
        <v>741</v>
      </c>
      <c r="AU6" s="9" t="s">
        <v>604</v>
      </c>
      <c r="AV6" s="9" t="s">
        <v>25</v>
      </c>
      <c r="AW6" s="9"/>
      <c r="AX6" s="9"/>
      <c r="AY6" s="39"/>
      <c r="AZ6" s="9"/>
      <c r="BA6" s="9"/>
      <c r="BB6" s="9"/>
      <c r="BC6" s="9"/>
      <c r="BD6" s="9"/>
      <c r="BE6" s="9"/>
      <c r="BF6" s="9" t="s">
        <v>25</v>
      </c>
      <c r="BG6" s="9"/>
      <c r="BH6" s="9"/>
      <c r="BI6" s="9"/>
      <c r="BJ6" s="9"/>
      <c r="BK6" s="9"/>
      <c r="BL6" s="9"/>
      <c r="BM6" s="9"/>
      <c r="BN6" s="9"/>
      <c r="BO6" s="9"/>
      <c r="BP6" s="9"/>
      <c r="BQ6" s="9" t="s">
        <v>25</v>
      </c>
      <c r="BR6" s="9"/>
      <c r="BS6" s="9"/>
      <c r="BT6" s="9"/>
      <c r="BU6" s="9"/>
      <c r="BV6" s="9"/>
      <c r="BW6" s="9"/>
      <c r="BX6" s="9"/>
      <c r="BY6" s="9"/>
      <c r="BZ6" s="9"/>
      <c r="CA6" s="9"/>
      <c r="CB6" s="9"/>
      <c r="CC6" s="9" t="s">
        <v>1368</v>
      </c>
      <c r="CD6" s="9" t="s">
        <v>41</v>
      </c>
      <c r="CE6" s="9" t="s">
        <v>41</v>
      </c>
      <c r="CF6" s="9" t="s">
        <v>741</v>
      </c>
      <c r="CG6" s="9" t="s">
        <v>604</v>
      </c>
      <c r="CH6" s="9" t="s">
        <v>604</v>
      </c>
      <c r="CI6" s="9" t="s">
        <v>741</v>
      </c>
      <c r="CJ6" s="9" t="s">
        <v>741</v>
      </c>
      <c r="CK6" s="9" t="s">
        <v>604</v>
      </c>
      <c r="CL6" s="9" t="s">
        <v>25</v>
      </c>
      <c r="CM6" s="9"/>
      <c r="CN6" s="9" t="s">
        <v>1370</v>
      </c>
      <c r="CO6" s="9" t="s">
        <v>25</v>
      </c>
      <c r="CP6" s="9"/>
      <c r="CQ6" s="9" t="s">
        <v>25</v>
      </c>
      <c r="CR6" s="9"/>
    </row>
    <row r="7" spans="1:96" ht="63.75" x14ac:dyDescent="0.2">
      <c r="A7" s="8" t="s">
        <v>122</v>
      </c>
      <c r="B7" s="9" t="s">
        <v>1386</v>
      </c>
      <c r="C7" s="9" t="s">
        <v>13499</v>
      </c>
      <c r="D7" s="9" t="s">
        <v>1387</v>
      </c>
      <c r="E7" s="9" t="s">
        <v>1387</v>
      </c>
      <c r="F7" s="9" t="s">
        <v>1388</v>
      </c>
      <c r="G7" s="9" t="s">
        <v>1387</v>
      </c>
      <c r="H7" s="9"/>
      <c r="I7" s="9"/>
      <c r="J7" s="9"/>
      <c r="K7" s="9"/>
      <c r="L7" s="9"/>
      <c r="M7" s="9" t="s">
        <v>1387</v>
      </c>
      <c r="N7" s="9" t="s">
        <v>1387</v>
      </c>
      <c r="O7" s="9" t="s">
        <v>1388</v>
      </c>
      <c r="P7" s="9"/>
      <c r="Q7" s="9" t="s">
        <v>1387</v>
      </c>
      <c r="R7" s="9"/>
      <c r="S7" s="9"/>
      <c r="T7" s="9" t="s">
        <v>1388</v>
      </c>
      <c r="U7" s="9" t="s">
        <v>1388</v>
      </c>
      <c r="V7" s="9" t="s">
        <v>1387</v>
      </c>
      <c r="W7" s="9"/>
      <c r="X7" s="9"/>
      <c r="Y7" s="9" t="s">
        <v>635</v>
      </c>
      <c r="Z7" s="9" t="s">
        <v>13501</v>
      </c>
      <c r="AA7" s="9"/>
      <c r="AB7" s="9" t="s">
        <v>1363</v>
      </c>
      <c r="AC7" s="9"/>
      <c r="AD7" s="9"/>
      <c r="AE7" s="9"/>
      <c r="AF7" s="9"/>
      <c r="AG7" s="9" t="s">
        <v>28</v>
      </c>
      <c r="AH7" s="9" t="s">
        <v>28</v>
      </c>
      <c r="AI7" s="9" t="s">
        <v>1364</v>
      </c>
      <c r="AJ7" s="9"/>
      <c r="AK7" s="9" t="s">
        <v>25</v>
      </c>
      <c r="AL7" s="9" t="s">
        <v>603</v>
      </c>
      <c r="AM7" s="9"/>
      <c r="AN7" s="9" t="s">
        <v>1389</v>
      </c>
      <c r="AO7" s="9" t="s">
        <v>1366</v>
      </c>
      <c r="AP7" s="9" t="s">
        <v>741</v>
      </c>
      <c r="AQ7" s="9" t="s">
        <v>741</v>
      </c>
      <c r="AR7" s="9" t="s">
        <v>741</v>
      </c>
      <c r="AS7" s="9" t="s">
        <v>741</v>
      </c>
      <c r="AT7" s="9" t="s">
        <v>741</v>
      </c>
      <c r="AU7" s="9" t="s">
        <v>604</v>
      </c>
      <c r="AV7" s="9" t="s">
        <v>25</v>
      </c>
      <c r="AW7" s="9"/>
      <c r="AX7" s="9"/>
      <c r="AY7" s="39"/>
      <c r="AZ7" s="9"/>
      <c r="BA7" s="9"/>
      <c r="BB7" s="9"/>
      <c r="BC7" s="9"/>
      <c r="BD7" s="9"/>
      <c r="BE7" s="9"/>
      <c r="BF7" s="9" t="s">
        <v>25</v>
      </c>
      <c r="BG7" s="9"/>
      <c r="BH7" s="9"/>
      <c r="BI7" s="9"/>
      <c r="BJ7" s="9"/>
      <c r="BK7" s="9"/>
      <c r="BL7" s="9"/>
      <c r="BM7" s="9"/>
      <c r="BN7" s="9"/>
      <c r="BO7" s="9"/>
      <c r="BP7" s="9"/>
      <c r="BQ7" s="9" t="s">
        <v>25</v>
      </c>
      <c r="BR7" s="9"/>
      <c r="BS7" s="9"/>
      <c r="BT7" s="9"/>
      <c r="BU7" s="9"/>
      <c r="BV7" s="9"/>
      <c r="BW7" s="9"/>
      <c r="BX7" s="9"/>
      <c r="BY7" s="9"/>
      <c r="BZ7" s="9"/>
      <c r="CA7" s="9"/>
      <c r="CB7" s="9"/>
      <c r="CC7" s="9" t="s">
        <v>14630</v>
      </c>
      <c r="CD7" s="9" t="s">
        <v>25</v>
      </c>
      <c r="CE7" s="9" t="s">
        <v>41</v>
      </c>
      <c r="CF7" s="9" t="s">
        <v>741</v>
      </c>
      <c r="CG7" s="9" t="s">
        <v>604</v>
      </c>
      <c r="CH7" s="9" t="s">
        <v>741</v>
      </c>
      <c r="CI7" s="9" t="s">
        <v>741</v>
      </c>
      <c r="CJ7" s="9" t="s">
        <v>741</v>
      </c>
      <c r="CK7" s="9" t="s">
        <v>604</v>
      </c>
      <c r="CL7" s="9" t="s">
        <v>28</v>
      </c>
      <c r="CM7" s="9" t="s">
        <v>14492</v>
      </c>
      <c r="CN7" s="9" t="s">
        <v>1370</v>
      </c>
      <c r="CO7" s="9" t="s">
        <v>28</v>
      </c>
      <c r="CP7" s="9" t="s">
        <v>28</v>
      </c>
      <c r="CQ7" s="9" t="s">
        <v>1390</v>
      </c>
      <c r="CR7" s="9" t="s">
        <v>1391</v>
      </c>
    </row>
    <row r="8" spans="1:96" ht="63.75" x14ac:dyDescent="0.2">
      <c r="A8" s="8" t="s">
        <v>160</v>
      </c>
      <c r="B8" s="9" t="s">
        <v>1362</v>
      </c>
      <c r="C8" s="9"/>
      <c r="D8" s="9"/>
      <c r="E8" s="9"/>
      <c r="F8" s="9"/>
      <c r="G8" s="9"/>
      <c r="H8" s="9"/>
      <c r="I8" s="9"/>
      <c r="J8" s="9"/>
      <c r="K8" s="9"/>
      <c r="L8" s="9"/>
      <c r="M8" s="9"/>
      <c r="N8" s="9"/>
      <c r="O8" s="9"/>
      <c r="P8" s="9"/>
      <c r="Q8" s="9"/>
      <c r="R8" s="9"/>
      <c r="S8" s="9"/>
      <c r="T8" s="9"/>
      <c r="U8" s="9"/>
      <c r="V8" s="9"/>
      <c r="W8" s="9"/>
      <c r="X8" s="9"/>
      <c r="Y8" s="9"/>
      <c r="Z8" s="9"/>
      <c r="AA8" s="9"/>
      <c r="AB8" s="9" t="s">
        <v>1393</v>
      </c>
      <c r="AC8" s="9" t="s">
        <v>14461</v>
      </c>
      <c r="AD8" s="9" t="s">
        <v>13511</v>
      </c>
      <c r="AE8" s="9" t="s">
        <v>13507</v>
      </c>
      <c r="AF8" s="9"/>
      <c r="AG8" s="9" t="s">
        <v>28</v>
      </c>
      <c r="AH8" s="9" t="s">
        <v>28</v>
      </c>
      <c r="AI8" s="9" t="s">
        <v>1398</v>
      </c>
      <c r="AJ8" s="9"/>
      <c r="AK8" s="9" t="s">
        <v>25</v>
      </c>
      <c r="AL8" s="9" t="s">
        <v>603</v>
      </c>
      <c r="AM8" s="9"/>
      <c r="AN8" s="9" t="s">
        <v>1421</v>
      </c>
      <c r="AO8" s="9" t="s">
        <v>1441</v>
      </c>
      <c r="AP8" s="9" t="s">
        <v>741</v>
      </c>
      <c r="AQ8" s="9"/>
      <c r="AR8" s="9"/>
      <c r="AS8" s="9" t="s">
        <v>741</v>
      </c>
      <c r="AT8" s="9" t="s">
        <v>741</v>
      </c>
      <c r="AU8" s="9"/>
      <c r="AV8" s="9" t="s">
        <v>25</v>
      </c>
      <c r="AW8" s="9"/>
      <c r="AX8" s="9"/>
      <c r="AY8" s="39"/>
      <c r="AZ8" s="9"/>
      <c r="BA8" s="9"/>
      <c r="BB8" s="9"/>
      <c r="BC8" s="9"/>
      <c r="BD8" s="9"/>
      <c r="BE8" s="9"/>
      <c r="BF8" s="9" t="s">
        <v>25</v>
      </c>
      <c r="BG8" s="9"/>
      <c r="BH8" s="9"/>
      <c r="BI8" s="9"/>
      <c r="BJ8" s="9"/>
      <c r="BK8" s="9"/>
      <c r="BL8" s="9"/>
      <c r="BM8" s="9"/>
      <c r="BN8" s="9"/>
      <c r="BO8" s="9"/>
      <c r="BP8" s="9"/>
      <c r="BQ8" s="9" t="s">
        <v>25</v>
      </c>
      <c r="BR8" s="9"/>
      <c r="BS8" s="9"/>
      <c r="BT8" s="9"/>
      <c r="BU8" s="9"/>
      <c r="BV8" s="9"/>
      <c r="BW8" s="9"/>
      <c r="BX8" s="9"/>
      <c r="BY8" s="9"/>
      <c r="BZ8" s="9"/>
      <c r="CA8" s="9"/>
      <c r="CB8" s="9"/>
      <c r="CC8" s="9" t="s">
        <v>1368</v>
      </c>
      <c r="CD8" s="9" t="s">
        <v>25</v>
      </c>
      <c r="CE8" s="9" t="s">
        <v>41</v>
      </c>
      <c r="CF8" s="9" t="s">
        <v>741</v>
      </c>
      <c r="CG8" s="9"/>
      <c r="CH8" s="9"/>
      <c r="CI8" s="9" t="s">
        <v>741</v>
      </c>
      <c r="CJ8" s="9" t="s">
        <v>741</v>
      </c>
      <c r="CK8" s="9"/>
      <c r="CL8" s="9" t="s">
        <v>28</v>
      </c>
      <c r="CM8" s="9" t="s">
        <v>14493</v>
      </c>
      <c r="CN8" s="9" t="s">
        <v>1370</v>
      </c>
      <c r="CO8" s="9" t="s">
        <v>28</v>
      </c>
      <c r="CP8" s="9" t="s">
        <v>28</v>
      </c>
      <c r="CQ8" s="9"/>
      <c r="CR8" s="9"/>
    </row>
    <row r="9" spans="1:96" ht="76.5" x14ac:dyDescent="0.2">
      <c r="A9" s="8" t="s">
        <v>154</v>
      </c>
      <c r="B9" s="9" t="s">
        <v>1362</v>
      </c>
      <c r="C9" s="9"/>
      <c r="D9" s="9"/>
      <c r="E9" s="9"/>
      <c r="F9" s="9"/>
      <c r="G9" s="9"/>
      <c r="H9" s="9"/>
      <c r="I9" s="9"/>
      <c r="J9" s="9"/>
      <c r="K9" s="9"/>
      <c r="L9" s="9"/>
      <c r="M9" s="9"/>
      <c r="N9" s="9"/>
      <c r="O9" s="9"/>
      <c r="P9" s="9"/>
      <c r="Q9" s="9"/>
      <c r="R9" s="9"/>
      <c r="S9" s="9"/>
      <c r="T9" s="9"/>
      <c r="U9" s="9"/>
      <c r="V9" s="9"/>
      <c r="W9" s="9"/>
      <c r="X9" s="9"/>
      <c r="Y9" s="9"/>
      <c r="Z9" s="9"/>
      <c r="AA9" s="9"/>
      <c r="AB9" s="9" t="s">
        <v>1393</v>
      </c>
      <c r="AC9" s="9" t="s">
        <v>14462</v>
      </c>
      <c r="AD9" s="9" t="s">
        <v>1437</v>
      </c>
      <c r="AE9" s="9" t="s">
        <v>13501</v>
      </c>
      <c r="AF9" s="9"/>
      <c r="AG9" s="9" t="s">
        <v>28</v>
      </c>
      <c r="AH9" s="9" t="s">
        <v>28</v>
      </c>
      <c r="AI9" s="9" t="s">
        <v>1398</v>
      </c>
      <c r="AJ9" s="9"/>
      <c r="AK9" s="9" t="s">
        <v>25</v>
      </c>
      <c r="AL9" s="9" t="s">
        <v>603</v>
      </c>
      <c r="AM9" s="9"/>
      <c r="AN9" s="9" t="s">
        <v>1380</v>
      </c>
      <c r="AO9" s="9" t="s">
        <v>1423</v>
      </c>
      <c r="AP9" s="9" t="s">
        <v>741</v>
      </c>
      <c r="AQ9" s="9" t="s">
        <v>604</v>
      </c>
      <c r="AR9" s="9" t="s">
        <v>604</v>
      </c>
      <c r="AS9" s="9" t="s">
        <v>741</v>
      </c>
      <c r="AT9" s="9" t="s">
        <v>741</v>
      </c>
      <c r="AU9" s="9" t="s">
        <v>604</v>
      </c>
      <c r="AV9" s="9" t="s">
        <v>25</v>
      </c>
      <c r="AW9" s="9"/>
      <c r="AX9" s="9"/>
      <c r="AY9" s="39"/>
      <c r="AZ9" s="9"/>
      <c r="BA9" s="9"/>
      <c r="BB9" s="9"/>
      <c r="BC9" s="9"/>
      <c r="BD9" s="9"/>
      <c r="BE9" s="9"/>
      <c r="BF9" s="9" t="s">
        <v>28</v>
      </c>
      <c r="BG9" s="9" t="s">
        <v>1478</v>
      </c>
      <c r="BH9" s="9" t="s">
        <v>25</v>
      </c>
      <c r="BI9" s="9" t="s">
        <v>603</v>
      </c>
      <c r="BJ9" s="9"/>
      <c r="BK9" s="9" t="s">
        <v>741</v>
      </c>
      <c r="BL9" s="9" t="s">
        <v>604</v>
      </c>
      <c r="BM9" s="9" t="s">
        <v>604</v>
      </c>
      <c r="BN9" s="9" t="s">
        <v>741</v>
      </c>
      <c r="BO9" s="9" t="s">
        <v>741</v>
      </c>
      <c r="BP9" s="9" t="s">
        <v>604</v>
      </c>
      <c r="BQ9" s="9" t="s">
        <v>25</v>
      </c>
      <c r="BR9" s="9"/>
      <c r="BS9" s="9"/>
      <c r="BT9" s="9"/>
      <c r="BU9" s="9"/>
      <c r="BV9" s="9"/>
      <c r="BW9" s="9"/>
      <c r="BX9" s="9"/>
      <c r="BY9" s="9"/>
      <c r="BZ9" s="9"/>
      <c r="CA9" s="9"/>
      <c r="CB9" s="9"/>
      <c r="CC9" s="9" t="s">
        <v>1368</v>
      </c>
      <c r="CD9" s="9" t="s">
        <v>28</v>
      </c>
      <c r="CE9" s="9" t="s">
        <v>41</v>
      </c>
      <c r="CF9" s="9" t="s">
        <v>741</v>
      </c>
      <c r="CG9" s="9" t="s">
        <v>604</v>
      </c>
      <c r="CH9" s="9" t="s">
        <v>604</v>
      </c>
      <c r="CI9" s="9" t="s">
        <v>741</v>
      </c>
      <c r="CJ9" s="9" t="s">
        <v>741</v>
      </c>
      <c r="CK9" s="9" t="s">
        <v>604</v>
      </c>
      <c r="CL9" s="9" t="s">
        <v>25</v>
      </c>
      <c r="CM9" s="9"/>
      <c r="CN9" s="9" t="s">
        <v>1370</v>
      </c>
      <c r="CO9" s="9" t="s">
        <v>25</v>
      </c>
      <c r="CP9" s="9"/>
      <c r="CQ9" s="9" t="s">
        <v>1433</v>
      </c>
      <c r="CR9" s="9" t="s">
        <v>1436</v>
      </c>
    </row>
    <row r="10" spans="1:96" ht="63.75" x14ac:dyDescent="0.2">
      <c r="A10" s="8" t="s">
        <v>170</v>
      </c>
      <c r="B10" s="9" t="s">
        <v>1362</v>
      </c>
      <c r="C10" s="9"/>
      <c r="D10" s="9"/>
      <c r="E10" s="9"/>
      <c r="F10" s="9"/>
      <c r="G10" s="9"/>
      <c r="H10" s="9"/>
      <c r="I10" s="9"/>
      <c r="J10" s="9"/>
      <c r="K10" s="9"/>
      <c r="L10" s="9"/>
      <c r="M10" s="9"/>
      <c r="N10" s="9"/>
      <c r="O10" s="9"/>
      <c r="P10" s="9"/>
      <c r="Q10" s="9"/>
      <c r="R10" s="9"/>
      <c r="S10" s="9"/>
      <c r="T10" s="9"/>
      <c r="U10" s="9"/>
      <c r="V10" s="9"/>
      <c r="W10" s="9"/>
      <c r="X10" s="9"/>
      <c r="Y10" s="9"/>
      <c r="Z10" s="9"/>
      <c r="AA10" s="9"/>
      <c r="AB10" s="9" t="s">
        <v>1363</v>
      </c>
      <c r="AC10" s="9"/>
      <c r="AD10" s="9"/>
      <c r="AE10" s="9"/>
      <c r="AF10" s="9"/>
      <c r="AG10" s="9" t="s">
        <v>28</v>
      </c>
      <c r="AH10" s="9" t="s">
        <v>28</v>
      </c>
      <c r="AI10" s="9" t="s">
        <v>29</v>
      </c>
      <c r="AJ10" s="9" t="s">
        <v>1506</v>
      </c>
      <c r="AK10" s="9" t="s">
        <v>25</v>
      </c>
      <c r="AL10" s="9" t="s">
        <v>28</v>
      </c>
      <c r="AM10" s="9" t="s">
        <v>1507</v>
      </c>
      <c r="AN10" s="9" t="s">
        <v>1450</v>
      </c>
      <c r="AO10" s="9" t="s">
        <v>1375</v>
      </c>
      <c r="AP10" s="9" t="s">
        <v>741</v>
      </c>
      <c r="AQ10" s="9" t="s">
        <v>604</v>
      </c>
      <c r="AR10" s="9" t="s">
        <v>604</v>
      </c>
      <c r="AS10" s="9" t="s">
        <v>741</v>
      </c>
      <c r="AT10" s="9" t="s">
        <v>741</v>
      </c>
      <c r="AU10" s="9" t="s">
        <v>604</v>
      </c>
      <c r="AV10" s="9" t="s">
        <v>28</v>
      </c>
      <c r="AW10" s="9" t="s">
        <v>28</v>
      </c>
      <c r="AX10" s="9" t="s">
        <v>603</v>
      </c>
      <c r="AY10" s="39"/>
      <c r="AZ10" s="9" t="s">
        <v>741</v>
      </c>
      <c r="BA10" s="9" t="s">
        <v>604</v>
      </c>
      <c r="BB10" s="9" t="s">
        <v>604</v>
      </c>
      <c r="BC10" s="9" t="s">
        <v>741</v>
      </c>
      <c r="BD10" s="9" t="s">
        <v>741</v>
      </c>
      <c r="BE10" s="9" t="s">
        <v>604</v>
      </c>
      <c r="BF10" s="9" t="s">
        <v>28</v>
      </c>
      <c r="BG10" s="9" t="s">
        <v>1508</v>
      </c>
      <c r="BH10" s="9" t="s">
        <v>25</v>
      </c>
      <c r="BI10" s="9" t="s">
        <v>28</v>
      </c>
      <c r="BJ10" s="9"/>
      <c r="BK10" s="9" t="s">
        <v>741</v>
      </c>
      <c r="BL10" s="9" t="s">
        <v>604</v>
      </c>
      <c r="BM10" s="9" t="s">
        <v>604</v>
      </c>
      <c r="BN10" s="9" t="s">
        <v>741</v>
      </c>
      <c r="BO10" s="9" t="s">
        <v>741</v>
      </c>
      <c r="BP10" s="9" t="s">
        <v>604</v>
      </c>
      <c r="BQ10" s="9" t="s">
        <v>25</v>
      </c>
      <c r="BR10" s="9"/>
      <c r="BS10" s="9"/>
      <c r="BT10" s="9"/>
      <c r="BU10" s="9"/>
      <c r="BV10" s="9"/>
      <c r="BW10" s="9"/>
      <c r="BX10" s="9"/>
      <c r="BY10" s="9"/>
      <c r="BZ10" s="9"/>
      <c r="CA10" s="9"/>
      <c r="CB10" s="9"/>
      <c r="CC10" s="9" t="s">
        <v>14488</v>
      </c>
      <c r="CD10" s="9" t="s">
        <v>25</v>
      </c>
      <c r="CE10" s="9" t="s">
        <v>25</v>
      </c>
      <c r="CF10" s="9" t="s">
        <v>741</v>
      </c>
      <c r="CG10" s="9" t="s">
        <v>604</v>
      </c>
      <c r="CH10" s="9" t="s">
        <v>604</v>
      </c>
      <c r="CI10" s="9" t="s">
        <v>741</v>
      </c>
      <c r="CJ10" s="9" t="s">
        <v>741</v>
      </c>
      <c r="CK10" s="9" t="s">
        <v>604</v>
      </c>
      <c r="CL10" s="9" t="s">
        <v>28</v>
      </c>
      <c r="CM10" s="9" t="s">
        <v>1369</v>
      </c>
      <c r="CN10" s="9" t="s">
        <v>1458</v>
      </c>
      <c r="CO10" s="9" t="s">
        <v>28</v>
      </c>
      <c r="CP10" s="9" t="s">
        <v>28</v>
      </c>
      <c r="CQ10" s="9" t="s">
        <v>25</v>
      </c>
      <c r="CR10" s="9"/>
    </row>
    <row r="11" spans="1:96" ht="127.5" x14ac:dyDescent="0.2">
      <c r="A11" s="8" t="s">
        <v>176</v>
      </c>
      <c r="B11" s="9" t="s">
        <v>1425</v>
      </c>
      <c r="C11" s="9" t="s">
        <v>1521</v>
      </c>
      <c r="D11" s="9" t="s">
        <v>1388</v>
      </c>
      <c r="E11" s="9" t="s">
        <v>1388</v>
      </c>
      <c r="F11" s="9"/>
      <c r="G11" s="9" t="s">
        <v>1388</v>
      </c>
      <c r="H11" s="9" t="s">
        <v>1388</v>
      </c>
      <c r="I11" s="9"/>
      <c r="J11" s="9"/>
      <c r="K11" s="9"/>
      <c r="L11" s="9" t="s">
        <v>1388</v>
      </c>
      <c r="M11" s="9" t="s">
        <v>1388</v>
      </c>
      <c r="N11" s="9" t="s">
        <v>1388</v>
      </c>
      <c r="O11" s="9"/>
      <c r="P11" s="9" t="s">
        <v>1388</v>
      </c>
      <c r="Q11" s="9"/>
      <c r="R11" s="9"/>
      <c r="S11" s="9"/>
      <c r="T11" s="9"/>
      <c r="U11" s="9"/>
      <c r="V11" s="9"/>
      <c r="W11" s="9" t="s">
        <v>1388</v>
      </c>
      <c r="X11" s="9" t="s">
        <v>1388</v>
      </c>
      <c r="Y11" s="9" t="s">
        <v>1427</v>
      </c>
      <c r="Z11" s="9" t="s">
        <v>1417</v>
      </c>
      <c r="AA11" s="9"/>
      <c r="AB11" s="9" t="s">
        <v>1363</v>
      </c>
      <c r="AC11" s="9"/>
      <c r="AD11" s="9"/>
      <c r="AE11" s="9"/>
      <c r="AF11" s="9"/>
      <c r="AG11" s="9" t="s">
        <v>28</v>
      </c>
      <c r="AH11" s="9" t="s">
        <v>28</v>
      </c>
      <c r="AI11" s="9" t="s">
        <v>1501</v>
      </c>
      <c r="AJ11" s="9" t="s">
        <v>1522</v>
      </c>
      <c r="AK11" s="9" t="s">
        <v>25</v>
      </c>
      <c r="AL11" s="9" t="s">
        <v>603</v>
      </c>
      <c r="AM11" s="9"/>
      <c r="AN11" s="9" t="s">
        <v>14471</v>
      </c>
      <c r="AO11" s="9" t="s">
        <v>1366</v>
      </c>
      <c r="AP11" s="9" t="s">
        <v>605</v>
      </c>
      <c r="AQ11" s="9" t="s">
        <v>605</v>
      </c>
      <c r="AR11" s="9" t="s">
        <v>604</v>
      </c>
      <c r="AS11" s="9" t="s">
        <v>605</v>
      </c>
      <c r="AT11" s="9" t="s">
        <v>606</v>
      </c>
      <c r="AU11" s="9" t="s">
        <v>605</v>
      </c>
      <c r="AV11" s="9" t="s">
        <v>28</v>
      </c>
      <c r="AW11" s="9" t="s">
        <v>25</v>
      </c>
      <c r="AX11" s="9" t="s">
        <v>28</v>
      </c>
      <c r="AY11" s="39">
        <v>1000</v>
      </c>
      <c r="AZ11" s="9" t="s">
        <v>604</v>
      </c>
      <c r="BA11" s="9" t="s">
        <v>604</v>
      </c>
      <c r="BB11" s="9" t="s">
        <v>604</v>
      </c>
      <c r="BC11" s="9" t="s">
        <v>604</v>
      </c>
      <c r="BD11" s="9" t="s">
        <v>604</v>
      </c>
      <c r="BE11" s="9" t="s">
        <v>604</v>
      </c>
      <c r="BF11" s="9" t="s">
        <v>28</v>
      </c>
      <c r="BG11" s="9" t="s">
        <v>1523</v>
      </c>
      <c r="BH11" s="9" t="s">
        <v>25</v>
      </c>
      <c r="BI11" s="9" t="s">
        <v>603</v>
      </c>
      <c r="BJ11" s="9"/>
      <c r="BK11" s="9" t="s">
        <v>741</v>
      </c>
      <c r="BL11" s="9" t="s">
        <v>741</v>
      </c>
      <c r="BM11" s="9" t="s">
        <v>604</v>
      </c>
      <c r="BN11" s="9" t="s">
        <v>741</v>
      </c>
      <c r="BO11" s="9" t="s">
        <v>741</v>
      </c>
      <c r="BP11" s="9" t="s">
        <v>741</v>
      </c>
      <c r="BQ11" s="9" t="s">
        <v>25</v>
      </c>
      <c r="BR11" s="9"/>
      <c r="BS11" s="9"/>
      <c r="BT11" s="9"/>
      <c r="BU11" s="9"/>
      <c r="BV11" s="9"/>
      <c r="BW11" s="9"/>
      <c r="BX11" s="9"/>
      <c r="BY11" s="9"/>
      <c r="BZ11" s="9"/>
      <c r="CA11" s="9"/>
      <c r="CB11" s="9"/>
      <c r="CC11" s="9" t="s">
        <v>1524</v>
      </c>
      <c r="CD11" s="9" t="s">
        <v>41</v>
      </c>
      <c r="CE11" s="9" t="s">
        <v>41</v>
      </c>
      <c r="CF11" s="9" t="s">
        <v>741</v>
      </c>
      <c r="CG11" s="9" t="s">
        <v>741</v>
      </c>
      <c r="CH11" s="9" t="s">
        <v>604</v>
      </c>
      <c r="CI11" s="9" t="s">
        <v>741</v>
      </c>
      <c r="CJ11" s="9" t="s">
        <v>741</v>
      </c>
      <c r="CK11" s="9" t="s">
        <v>741</v>
      </c>
      <c r="CL11" s="9" t="s">
        <v>28</v>
      </c>
      <c r="CM11" s="9" t="s">
        <v>1369</v>
      </c>
      <c r="CN11" s="9" t="s">
        <v>1370</v>
      </c>
      <c r="CO11" s="9" t="s">
        <v>25</v>
      </c>
      <c r="CP11" s="9"/>
      <c r="CQ11" s="9" t="s">
        <v>1041</v>
      </c>
      <c r="CR11" s="9" t="s">
        <v>1041</v>
      </c>
    </row>
    <row r="12" spans="1:96" ht="63.75" x14ac:dyDescent="0.2">
      <c r="A12" s="8" t="s">
        <v>175</v>
      </c>
      <c r="B12" s="9" t="s">
        <v>1362</v>
      </c>
      <c r="C12" s="9"/>
      <c r="D12" s="9"/>
      <c r="E12" s="9"/>
      <c r="F12" s="9"/>
      <c r="G12" s="9"/>
      <c r="H12" s="9"/>
      <c r="I12" s="9"/>
      <c r="J12" s="9"/>
      <c r="K12" s="9"/>
      <c r="L12" s="9"/>
      <c r="M12" s="9"/>
      <c r="N12" s="9"/>
      <c r="O12" s="9"/>
      <c r="P12" s="9"/>
      <c r="Q12" s="9"/>
      <c r="R12" s="9"/>
      <c r="S12" s="9"/>
      <c r="T12" s="9"/>
      <c r="U12" s="9"/>
      <c r="V12" s="9"/>
      <c r="W12" s="9"/>
      <c r="X12" s="9"/>
      <c r="Y12" s="9"/>
      <c r="Z12" s="9"/>
      <c r="AA12" s="9"/>
      <c r="AB12" s="9" t="s">
        <v>1363</v>
      </c>
      <c r="AC12" s="9"/>
      <c r="AD12" s="9"/>
      <c r="AE12" s="9"/>
      <c r="AF12" s="9"/>
      <c r="AG12" s="9" t="s">
        <v>28</v>
      </c>
      <c r="AH12" s="9" t="s">
        <v>28</v>
      </c>
      <c r="AI12" s="9" t="s">
        <v>1364</v>
      </c>
      <c r="AJ12" s="9"/>
      <c r="AK12" s="9" t="s">
        <v>25</v>
      </c>
      <c r="AL12" s="9" t="s">
        <v>603</v>
      </c>
      <c r="AM12" s="9"/>
      <c r="AN12" s="9" t="s">
        <v>14472</v>
      </c>
      <c r="AO12" s="9" t="s">
        <v>1366</v>
      </c>
      <c r="AP12" s="9" t="s">
        <v>605</v>
      </c>
      <c r="AQ12" s="9" t="s">
        <v>604</v>
      </c>
      <c r="AR12" s="9" t="s">
        <v>604</v>
      </c>
      <c r="AS12" s="9" t="s">
        <v>605</v>
      </c>
      <c r="AT12" s="9" t="s">
        <v>606</v>
      </c>
      <c r="AU12" s="9" t="s">
        <v>604</v>
      </c>
      <c r="AV12" s="9" t="s">
        <v>25</v>
      </c>
      <c r="AW12" s="9"/>
      <c r="AX12" s="9"/>
      <c r="AY12" s="39"/>
      <c r="AZ12" s="9"/>
      <c r="BA12" s="9"/>
      <c r="BB12" s="9"/>
      <c r="BC12" s="9"/>
      <c r="BD12" s="9"/>
      <c r="BE12" s="9"/>
      <c r="BF12" s="9" t="s">
        <v>28</v>
      </c>
      <c r="BG12" s="9" t="s">
        <v>1488</v>
      </c>
      <c r="BH12" s="9" t="s">
        <v>25</v>
      </c>
      <c r="BI12" s="9" t="s">
        <v>603</v>
      </c>
      <c r="BJ12" s="9"/>
      <c r="BK12" s="9" t="s">
        <v>605</v>
      </c>
      <c r="BL12" s="9" t="s">
        <v>604</v>
      </c>
      <c r="BM12" s="9" t="s">
        <v>604</v>
      </c>
      <c r="BN12" s="9" t="s">
        <v>605</v>
      </c>
      <c r="BO12" s="9" t="s">
        <v>605</v>
      </c>
      <c r="BP12" s="9" t="s">
        <v>604</v>
      </c>
      <c r="BQ12" s="9" t="s">
        <v>25</v>
      </c>
      <c r="BR12" s="9"/>
      <c r="BS12" s="9"/>
      <c r="BT12" s="9"/>
      <c r="BU12" s="9"/>
      <c r="BV12" s="9"/>
      <c r="BW12" s="9"/>
      <c r="BX12" s="9"/>
      <c r="BY12" s="9"/>
      <c r="BZ12" s="9"/>
      <c r="CA12" s="9"/>
      <c r="CB12" s="9"/>
      <c r="CC12" s="9" t="s">
        <v>1368</v>
      </c>
      <c r="CD12" s="9" t="s">
        <v>28</v>
      </c>
      <c r="CE12" s="9" t="s">
        <v>25</v>
      </c>
      <c r="CF12" s="9" t="s">
        <v>605</v>
      </c>
      <c r="CG12" s="9" t="s">
        <v>604</v>
      </c>
      <c r="CH12" s="9" t="s">
        <v>604</v>
      </c>
      <c r="CI12" s="9" t="s">
        <v>605</v>
      </c>
      <c r="CJ12" s="9" t="s">
        <v>605</v>
      </c>
      <c r="CK12" s="9" t="s">
        <v>604</v>
      </c>
      <c r="CL12" s="9" t="s">
        <v>28</v>
      </c>
      <c r="CM12" s="9" t="s">
        <v>1369</v>
      </c>
      <c r="CN12" s="9" t="s">
        <v>1402</v>
      </c>
      <c r="CO12" s="9" t="s">
        <v>28</v>
      </c>
      <c r="CP12" s="9" t="s">
        <v>25</v>
      </c>
      <c r="CQ12" s="9"/>
      <c r="CR12" s="9" t="s">
        <v>1520</v>
      </c>
    </row>
    <row r="13" spans="1:96" ht="153" x14ac:dyDescent="0.2">
      <c r="A13" s="8" t="s">
        <v>121</v>
      </c>
      <c r="B13" s="9" t="s">
        <v>1362</v>
      </c>
      <c r="C13" s="9"/>
      <c r="D13" s="9"/>
      <c r="E13" s="9"/>
      <c r="F13" s="9"/>
      <c r="G13" s="9"/>
      <c r="H13" s="9"/>
      <c r="I13" s="9"/>
      <c r="J13" s="9"/>
      <c r="K13" s="9"/>
      <c r="L13" s="9"/>
      <c r="M13" s="9"/>
      <c r="N13" s="9"/>
      <c r="O13" s="9"/>
      <c r="P13" s="9"/>
      <c r="Q13" s="9"/>
      <c r="R13" s="9"/>
      <c r="S13" s="9"/>
      <c r="T13" s="9"/>
      <c r="U13" s="9"/>
      <c r="V13" s="9"/>
      <c r="W13" s="9"/>
      <c r="X13" s="9"/>
      <c r="Y13" s="9"/>
      <c r="Z13" s="9"/>
      <c r="AA13" s="9"/>
      <c r="AB13" s="9" t="s">
        <v>1363</v>
      </c>
      <c r="AC13" s="9"/>
      <c r="AD13" s="9"/>
      <c r="AE13" s="9"/>
      <c r="AF13" s="9"/>
      <c r="AG13" s="9" t="s">
        <v>28</v>
      </c>
      <c r="AH13" s="9" t="s">
        <v>25</v>
      </c>
      <c r="AI13" s="9" t="s">
        <v>1373</v>
      </c>
      <c r="AJ13" s="9"/>
      <c r="AK13" s="9" t="s">
        <v>25</v>
      </c>
      <c r="AL13" s="9" t="s">
        <v>603</v>
      </c>
      <c r="AM13" s="9"/>
      <c r="AN13" s="9" t="s">
        <v>13887</v>
      </c>
      <c r="AO13" s="9" t="s">
        <v>1384</v>
      </c>
      <c r="AP13" s="9" t="s">
        <v>741</v>
      </c>
      <c r="AQ13" s="9" t="s">
        <v>604</v>
      </c>
      <c r="AR13" s="9" t="s">
        <v>604</v>
      </c>
      <c r="AS13" s="9" t="s">
        <v>741</v>
      </c>
      <c r="AT13" s="9" t="s">
        <v>741</v>
      </c>
      <c r="AU13" s="9" t="s">
        <v>604</v>
      </c>
      <c r="AV13" s="9" t="s">
        <v>25</v>
      </c>
      <c r="AW13" s="9"/>
      <c r="AX13" s="9"/>
      <c r="AY13" s="39"/>
      <c r="AZ13" s="9"/>
      <c r="BA13" s="9"/>
      <c r="BB13" s="9"/>
      <c r="BC13" s="9"/>
      <c r="BD13" s="9"/>
      <c r="BE13" s="9"/>
      <c r="BF13" s="9" t="s">
        <v>28</v>
      </c>
      <c r="BG13" s="9" t="s">
        <v>14628</v>
      </c>
      <c r="BH13" s="9" t="s">
        <v>25</v>
      </c>
      <c r="BI13" s="9" t="s">
        <v>603</v>
      </c>
      <c r="BJ13" s="9"/>
      <c r="BK13" s="9" t="s">
        <v>741</v>
      </c>
      <c r="BL13" s="9" t="s">
        <v>604</v>
      </c>
      <c r="BM13" s="9" t="s">
        <v>604</v>
      </c>
      <c r="BN13" s="9" t="s">
        <v>741</v>
      </c>
      <c r="BO13" s="9" t="s">
        <v>741</v>
      </c>
      <c r="BP13" s="9" t="s">
        <v>604</v>
      </c>
      <c r="BQ13" s="9" t="s">
        <v>25</v>
      </c>
      <c r="BR13" s="9"/>
      <c r="BS13" s="9"/>
      <c r="BT13" s="9"/>
      <c r="BU13" s="9"/>
      <c r="BV13" s="9"/>
      <c r="BW13" s="9"/>
      <c r="BX13" s="9"/>
      <c r="BY13" s="9"/>
      <c r="BZ13" s="9"/>
      <c r="CA13" s="9"/>
      <c r="CB13" s="9"/>
      <c r="CC13" s="9" t="s">
        <v>1368</v>
      </c>
      <c r="CD13" s="9" t="s">
        <v>41</v>
      </c>
      <c r="CE13" s="9" t="s">
        <v>25</v>
      </c>
      <c r="CF13" s="9" t="s">
        <v>741</v>
      </c>
      <c r="CG13" s="9" t="s">
        <v>604</v>
      </c>
      <c r="CH13" s="9" t="s">
        <v>604</v>
      </c>
      <c r="CI13" s="9" t="s">
        <v>741</v>
      </c>
      <c r="CJ13" s="9" t="s">
        <v>741</v>
      </c>
      <c r="CK13" s="9" t="s">
        <v>604</v>
      </c>
      <c r="CL13" s="9" t="s">
        <v>25</v>
      </c>
      <c r="CM13" s="9"/>
      <c r="CN13" s="9" t="s">
        <v>1370</v>
      </c>
      <c r="CO13" s="9" t="s">
        <v>28</v>
      </c>
      <c r="CP13" s="9" t="s">
        <v>28</v>
      </c>
      <c r="CQ13" s="9" t="s">
        <v>1385</v>
      </c>
      <c r="CR13" s="9"/>
    </row>
    <row r="14" spans="1:96" ht="76.5" x14ac:dyDescent="0.2">
      <c r="A14" s="8" t="s">
        <v>147</v>
      </c>
      <c r="B14" s="9" t="s">
        <v>1444</v>
      </c>
      <c r="C14" s="9"/>
      <c r="D14" s="9"/>
      <c r="E14" s="9"/>
      <c r="F14" s="9"/>
      <c r="G14" s="9"/>
      <c r="H14" s="9"/>
      <c r="I14" s="9"/>
      <c r="J14" s="9"/>
      <c r="K14" s="9"/>
      <c r="L14" s="9"/>
      <c r="M14" s="9"/>
      <c r="N14" s="9"/>
      <c r="O14" s="9"/>
      <c r="P14" s="9"/>
      <c r="Q14" s="9"/>
      <c r="R14" s="9"/>
      <c r="S14" s="9"/>
      <c r="T14" s="9"/>
      <c r="U14" s="9" t="s">
        <v>1388</v>
      </c>
      <c r="V14" s="9"/>
      <c r="W14" s="9"/>
      <c r="X14" s="9"/>
      <c r="Y14" s="9" t="s">
        <v>1462</v>
      </c>
      <c r="Z14" s="9"/>
      <c r="AA14" s="9"/>
      <c r="AB14" s="9" t="s">
        <v>1363</v>
      </c>
      <c r="AC14" s="9"/>
      <c r="AD14" s="9"/>
      <c r="AE14" s="9"/>
      <c r="AF14" s="9"/>
      <c r="AG14" s="9" t="s">
        <v>28</v>
      </c>
      <c r="AH14" s="9" t="s">
        <v>28</v>
      </c>
      <c r="AI14" s="9" t="s">
        <v>1364</v>
      </c>
      <c r="AJ14" s="9"/>
      <c r="AK14" s="9" t="s">
        <v>25</v>
      </c>
      <c r="AL14" s="9" t="s">
        <v>603</v>
      </c>
      <c r="AM14" s="9"/>
      <c r="AN14" s="9" t="s">
        <v>14473</v>
      </c>
      <c r="AO14" s="9" t="s">
        <v>1418</v>
      </c>
      <c r="AP14" s="9" t="s">
        <v>741</v>
      </c>
      <c r="AQ14" s="9" t="s">
        <v>604</v>
      </c>
      <c r="AR14" s="9" t="s">
        <v>604</v>
      </c>
      <c r="AS14" s="9" t="s">
        <v>741</v>
      </c>
      <c r="AT14" s="9" t="s">
        <v>606</v>
      </c>
      <c r="AU14" s="9" t="s">
        <v>741</v>
      </c>
      <c r="AV14" s="9" t="s">
        <v>25</v>
      </c>
      <c r="AW14" s="9"/>
      <c r="AX14" s="9"/>
      <c r="AY14" s="39"/>
      <c r="AZ14" s="9"/>
      <c r="BA14" s="9"/>
      <c r="BB14" s="9"/>
      <c r="BC14" s="9"/>
      <c r="BD14" s="9"/>
      <c r="BE14" s="9"/>
      <c r="BF14" s="9" t="s">
        <v>28</v>
      </c>
      <c r="BG14" s="9" t="s">
        <v>1463</v>
      </c>
      <c r="BH14" s="9" t="s">
        <v>25</v>
      </c>
      <c r="BI14" s="9" t="s">
        <v>603</v>
      </c>
      <c r="BJ14" s="9"/>
      <c r="BK14" s="9" t="s">
        <v>741</v>
      </c>
      <c r="BL14" s="9" t="s">
        <v>604</v>
      </c>
      <c r="BM14" s="9" t="s">
        <v>604</v>
      </c>
      <c r="BN14" s="9" t="s">
        <v>741</v>
      </c>
      <c r="BO14" s="9" t="s">
        <v>741</v>
      </c>
      <c r="BP14" s="9" t="s">
        <v>741</v>
      </c>
      <c r="BQ14" s="9" t="s">
        <v>25</v>
      </c>
      <c r="BR14" s="9"/>
      <c r="BS14" s="9"/>
      <c r="BT14" s="9"/>
      <c r="BU14" s="9"/>
      <c r="BV14" s="9"/>
      <c r="BW14" s="9"/>
      <c r="BX14" s="9"/>
      <c r="BY14" s="9"/>
      <c r="BZ14" s="9"/>
      <c r="CA14" s="9"/>
      <c r="CB14" s="9"/>
      <c r="CC14" s="9" t="s">
        <v>1464</v>
      </c>
      <c r="CD14" s="9" t="s">
        <v>28</v>
      </c>
      <c r="CE14" s="9" t="s">
        <v>25</v>
      </c>
      <c r="CF14" s="9" t="s">
        <v>741</v>
      </c>
      <c r="CG14" s="9" t="s">
        <v>604</v>
      </c>
      <c r="CH14" s="9" t="s">
        <v>604</v>
      </c>
      <c r="CI14" s="9" t="s">
        <v>741</v>
      </c>
      <c r="CJ14" s="9" t="s">
        <v>741</v>
      </c>
      <c r="CK14" s="9" t="s">
        <v>741</v>
      </c>
      <c r="CL14" s="9" t="s">
        <v>28</v>
      </c>
      <c r="CM14" s="9" t="s">
        <v>1369</v>
      </c>
      <c r="CN14" s="9" t="s">
        <v>1370</v>
      </c>
      <c r="CO14" s="9" t="s">
        <v>25</v>
      </c>
      <c r="CP14" s="9"/>
      <c r="CQ14" s="9" t="s">
        <v>1465</v>
      </c>
      <c r="CR14" s="9" t="s">
        <v>1466</v>
      </c>
    </row>
    <row r="15" spans="1:96" ht="76.5" x14ac:dyDescent="0.2">
      <c r="A15" s="8" t="s">
        <v>138</v>
      </c>
      <c r="B15" s="9" t="s">
        <v>1425</v>
      </c>
      <c r="C15" s="9" t="s">
        <v>13500</v>
      </c>
      <c r="D15" s="9" t="s">
        <v>1388</v>
      </c>
      <c r="E15" s="9"/>
      <c r="F15" s="9" t="s">
        <v>1388</v>
      </c>
      <c r="G15" s="9" t="s">
        <v>1388</v>
      </c>
      <c r="H15" s="9" t="s">
        <v>679</v>
      </c>
      <c r="I15" s="9" t="s">
        <v>1388</v>
      </c>
      <c r="J15" s="9"/>
      <c r="K15" s="9" t="s">
        <v>1388</v>
      </c>
      <c r="L15" s="9"/>
      <c r="M15" s="9" t="s">
        <v>1388</v>
      </c>
      <c r="N15" s="9" t="s">
        <v>1388</v>
      </c>
      <c r="O15" s="9"/>
      <c r="P15" s="9"/>
      <c r="Q15" s="9" t="s">
        <v>1388</v>
      </c>
      <c r="R15" s="9"/>
      <c r="S15" s="9"/>
      <c r="T15" s="9" t="s">
        <v>1388</v>
      </c>
      <c r="U15" s="9" t="s">
        <v>1388</v>
      </c>
      <c r="V15" s="9" t="s">
        <v>1388</v>
      </c>
      <c r="W15" s="9"/>
      <c r="X15" s="9"/>
      <c r="Y15" s="9" t="s">
        <v>1416</v>
      </c>
      <c r="Z15" s="9" t="s">
        <v>13501</v>
      </c>
      <c r="AA15" s="9"/>
      <c r="AB15" s="9" t="s">
        <v>1363</v>
      </c>
      <c r="AC15" s="9"/>
      <c r="AD15" s="9"/>
      <c r="AE15" s="9"/>
      <c r="AF15" s="9"/>
      <c r="AG15" s="9" t="s">
        <v>28</v>
      </c>
      <c r="AH15" s="9" t="s">
        <v>28</v>
      </c>
      <c r="AI15" s="9" t="s">
        <v>1364</v>
      </c>
      <c r="AJ15" s="9"/>
      <c r="AK15" s="9" t="s">
        <v>25</v>
      </c>
      <c r="AL15" s="9" t="s">
        <v>603</v>
      </c>
      <c r="AM15" s="9"/>
      <c r="AN15" s="9" t="s">
        <v>14474</v>
      </c>
      <c r="AO15" s="9" t="s">
        <v>1441</v>
      </c>
      <c r="AP15" s="9" t="s">
        <v>741</v>
      </c>
      <c r="AQ15" s="9" t="s">
        <v>604</v>
      </c>
      <c r="AR15" s="9" t="s">
        <v>604</v>
      </c>
      <c r="AS15" s="9" t="s">
        <v>741</v>
      </c>
      <c r="AT15" s="9" t="s">
        <v>741</v>
      </c>
      <c r="AU15" s="9" t="s">
        <v>741</v>
      </c>
      <c r="AV15" s="9" t="s">
        <v>28</v>
      </c>
      <c r="AW15" s="9" t="s">
        <v>25</v>
      </c>
      <c r="AX15" s="9" t="s">
        <v>603</v>
      </c>
      <c r="AY15" s="39"/>
      <c r="AZ15" s="9" t="s">
        <v>741</v>
      </c>
      <c r="BA15" s="9" t="s">
        <v>604</v>
      </c>
      <c r="BB15" s="9" t="s">
        <v>604</v>
      </c>
      <c r="BC15" s="9" t="s">
        <v>741</v>
      </c>
      <c r="BD15" s="9" t="s">
        <v>679</v>
      </c>
      <c r="BE15" s="9" t="s">
        <v>679</v>
      </c>
      <c r="BF15" s="9" t="s">
        <v>25</v>
      </c>
      <c r="BG15" s="9"/>
      <c r="BH15" s="9"/>
      <c r="BI15" s="9"/>
      <c r="BJ15" s="9"/>
      <c r="BK15" s="9"/>
      <c r="BL15" s="9"/>
      <c r="BM15" s="9"/>
      <c r="BN15" s="9"/>
      <c r="BO15" s="9"/>
      <c r="BP15" s="9"/>
      <c r="BQ15" s="9" t="s">
        <v>25</v>
      </c>
      <c r="BR15" s="9"/>
      <c r="BS15" s="9"/>
      <c r="BT15" s="9"/>
      <c r="BU15" s="9"/>
      <c r="BV15" s="9"/>
      <c r="BW15" s="9"/>
      <c r="BX15" s="9"/>
      <c r="BY15" s="9"/>
      <c r="BZ15" s="9"/>
      <c r="CA15" s="9"/>
      <c r="CB15" s="9"/>
      <c r="CC15" s="9" t="s">
        <v>1368</v>
      </c>
      <c r="CD15" s="9" t="s">
        <v>28</v>
      </c>
      <c r="CE15" s="9" t="s">
        <v>25</v>
      </c>
      <c r="CF15" s="9" t="s">
        <v>741</v>
      </c>
      <c r="CG15" s="9" t="s">
        <v>604</v>
      </c>
      <c r="CH15" s="9" t="s">
        <v>604</v>
      </c>
      <c r="CI15" s="9" t="s">
        <v>741</v>
      </c>
      <c r="CJ15" s="9" t="s">
        <v>741</v>
      </c>
      <c r="CK15" s="9" t="s">
        <v>741</v>
      </c>
      <c r="CL15" s="9" t="s">
        <v>28</v>
      </c>
      <c r="CM15" s="9" t="s">
        <v>1369</v>
      </c>
      <c r="CN15" s="9" t="s">
        <v>1370</v>
      </c>
      <c r="CO15" s="9" t="s">
        <v>28</v>
      </c>
      <c r="CP15" s="9" t="s">
        <v>28</v>
      </c>
      <c r="CQ15" s="9" t="s">
        <v>1442</v>
      </c>
      <c r="CR15" s="9" t="s">
        <v>1443</v>
      </c>
    </row>
    <row r="16" spans="1:96" ht="38.25" x14ac:dyDescent="0.2">
      <c r="A16" s="8" t="s">
        <v>118</v>
      </c>
      <c r="B16" s="9" t="s">
        <v>1362</v>
      </c>
      <c r="C16" s="9"/>
      <c r="D16" s="9"/>
      <c r="E16" s="9"/>
      <c r="F16" s="9"/>
      <c r="G16" s="9"/>
      <c r="H16" s="9"/>
      <c r="I16" s="9"/>
      <c r="J16" s="9"/>
      <c r="K16" s="9"/>
      <c r="L16" s="9"/>
      <c r="M16" s="9"/>
      <c r="N16" s="9"/>
      <c r="O16" s="9"/>
      <c r="P16" s="9"/>
      <c r="Q16" s="9"/>
      <c r="R16" s="9"/>
      <c r="S16" s="9"/>
      <c r="T16" s="9"/>
      <c r="U16" s="9"/>
      <c r="V16" s="9"/>
      <c r="W16" s="9"/>
      <c r="X16" s="9"/>
      <c r="Y16" s="9"/>
      <c r="Z16" s="9"/>
      <c r="AA16" s="9"/>
      <c r="AB16" s="9" t="s">
        <v>1363</v>
      </c>
      <c r="AC16" s="9"/>
      <c r="AD16" s="9"/>
      <c r="AE16" s="9"/>
      <c r="AF16" s="9"/>
      <c r="AG16" s="9" t="s">
        <v>28</v>
      </c>
      <c r="AH16" s="9" t="s">
        <v>25</v>
      </c>
      <c r="AI16" s="9" t="s">
        <v>1373</v>
      </c>
      <c r="AJ16" s="9"/>
      <c r="AK16" s="9" t="s">
        <v>25</v>
      </c>
      <c r="AL16" s="9" t="s">
        <v>28</v>
      </c>
      <c r="AM16" s="28">
        <v>75000</v>
      </c>
      <c r="AN16" s="9" t="s">
        <v>1374</v>
      </c>
      <c r="AO16" s="9" t="s">
        <v>1375</v>
      </c>
      <c r="AP16" s="9" t="s">
        <v>604</v>
      </c>
      <c r="AQ16" s="9" t="s">
        <v>604</v>
      </c>
      <c r="AR16" s="9" t="s">
        <v>604</v>
      </c>
      <c r="AS16" s="9" t="s">
        <v>741</v>
      </c>
      <c r="AT16" s="9" t="s">
        <v>741</v>
      </c>
      <c r="AU16" s="9" t="s">
        <v>604</v>
      </c>
      <c r="AV16" s="9" t="s">
        <v>25</v>
      </c>
      <c r="AW16" s="9"/>
      <c r="AX16" s="9"/>
      <c r="AY16" s="39"/>
      <c r="AZ16" s="9"/>
      <c r="BA16" s="9"/>
      <c r="BB16" s="9"/>
      <c r="BC16" s="9"/>
      <c r="BD16" s="9"/>
      <c r="BE16" s="9"/>
      <c r="BF16" s="9" t="s">
        <v>28</v>
      </c>
      <c r="BG16" s="9" t="s">
        <v>1376</v>
      </c>
      <c r="BH16" s="9" t="s">
        <v>25</v>
      </c>
      <c r="BI16" s="9" t="s">
        <v>603</v>
      </c>
      <c r="BJ16" s="9"/>
      <c r="BK16" s="9"/>
      <c r="BL16" s="9"/>
      <c r="BM16" s="9"/>
      <c r="BN16" s="9" t="s">
        <v>741</v>
      </c>
      <c r="BO16" s="9" t="s">
        <v>741</v>
      </c>
      <c r="BP16" s="9"/>
      <c r="BQ16" s="9" t="s">
        <v>25</v>
      </c>
      <c r="BR16" s="9"/>
      <c r="BS16" s="9"/>
      <c r="BT16" s="9"/>
      <c r="BU16" s="9"/>
      <c r="BV16" s="9"/>
      <c r="BW16" s="9"/>
      <c r="BX16" s="9"/>
      <c r="BY16" s="9"/>
      <c r="BZ16" s="9"/>
      <c r="CA16" s="9"/>
      <c r="CB16" s="9"/>
      <c r="CC16" s="9" t="s">
        <v>1377</v>
      </c>
      <c r="CD16" s="9" t="s">
        <v>25</v>
      </c>
      <c r="CE16" s="9" t="s">
        <v>25</v>
      </c>
      <c r="CF16" s="9"/>
      <c r="CG16" s="9"/>
      <c r="CH16" s="9"/>
      <c r="CI16" s="9" t="s">
        <v>741</v>
      </c>
      <c r="CJ16" s="9" t="s">
        <v>741</v>
      </c>
      <c r="CK16" s="9"/>
      <c r="CL16" s="9" t="s">
        <v>25</v>
      </c>
      <c r="CM16" s="9"/>
      <c r="CN16" s="9" t="s">
        <v>1370</v>
      </c>
      <c r="CO16" s="9" t="s">
        <v>25</v>
      </c>
      <c r="CP16" s="9"/>
      <c r="CQ16" s="9" t="s">
        <v>1378</v>
      </c>
      <c r="CR16" s="9" t="s">
        <v>1379</v>
      </c>
    </row>
    <row r="17" spans="1:96" ht="76.5" x14ac:dyDescent="0.2">
      <c r="A17" s="8" t="s">
        <v>134</v>
      </c>
      <c r="B17" s="9" t="s">
        <v>1425</v>
      </c>
      <c r="C17" s="9" t="s">
        <v>14454</v>
      </c>
      <c r="D17" s="9" t="s">
        <v>1388</v>
      </c>
      <c r="E17" s="9"/>
      <c r="F17" s="9" t="s">
        <v>1388</v>
      </c>
      <c r="G17" s="9"/>
      <c r="H17" s="9"/>
      <c r="I17" s="9" t="s">
        <v>1388</v>
      </c>
      <c r="J17" s="9"/>
      <c r="K17" s="9" t="s">
        <v>1388</v>
      </c>
      <c r="L17" s="9" t="s">
        <v>679</v>
      </c>
      <c r="M17" s="9"/>
      <c r="N17" s="9" t="s">
        <v>1388</v>
      </c>
      <c r="O17" s="9" t="s">
        <v>679</v>
      </c>
      <c r="P17" s="9"/>
      <c r="Q17" s="9" t="s">
        <v>1388</v>
      </c>
      <c r="R17" s="9"/>
      <c r="S17" s="9"/>
      <c r="T17" s="9"/>
      <c r="U17" s="9"/>
      <c r="V17" s="9"/>
      <c r="W17" s="9"/>
      <c r="X17" s="9"/>
      <c r="Y17" s="9" t="s">
        <v>1416</v>
      </c>
      <c r="Z17" s="9" t="s">
        <v>13503</v>
      </c>
      <c r="AA17" s="9"/>
      <c r="AB17" s="9" t="s">
        <v>1363</v>
      </c>
      <c r="AC17" s="9"/>
      <c r="AD17" s="9"/>
      <c r="AE17" s="9"/>
      <c r="AF17" s="9"/>
      <c r="AG17" s="9" t="s">
        <v>28</v>
      </c>
      <c r="AH17" s="9" t="s">
        <v>28</v>
      </c>
      <c r="AI17" s="9" t="s">
        <v>1364</v>
      </c>
      <c r="AJ17" s="9"/>
      <c r="AK17" s="9" t="s">
        <v>28</v>
      </c>
      <c r="AL17" s="9" t="s">
        <v>603</v>
      </c>
      <c r="AM17" s="9"/>
      <c r="AN17" s="9" t="s">
        <v>14475</v>
      </c>
      <c r="AO17" s="9" t="s">
        <v>1423</v>
      </c>
      <c r="AP17" s="9" t="s">
        <v>741</v>
      </c>
      <c r="AQ17" s="9" t="s">
        <v>604</v>
      </c>
      <c r="AR17" s="9" t="s">
        <v>604</v>
      </c>
      <c r="AS17" s="9" t="s">
        <v>741</v>
      </c>
      <c r="AT17" s="9" t="s">
        <v>741</v>
      </c>
      <c r="AU17" s="9" t="s">
        <v>741</v>
      </c>
      <c r="AV17" s="9" t="s">
        <v>25</v>
      </c>
      <c r="AW17" s="9"/>
      <c r="AX17" s="9"/>
      <c r="AY17" s="39"/>
      <c r="AZ17" s="9"/>
      <c r="BA17" s="9"/>
      <c r="BB17" s="9"/>
      <c r="BC17" s="9"/>
      <c r="BD17" s="9"/>
      <c r="BE17" s="9"/>
      <c r="BF17" s="9" t="s">
        <v>28</v>
      </c>
      <c r="BG17" s="9"/>
      <c r="BH17" s="9" t="s">
        <v>25</v>
      </c>
      <c r="BI17" s="9" t="s">
        <v>603</v>
      </c>
      <c r="BJ17" s="9"/>
      <c r="BK17" s="9" t="s">
        <v>605</v>
      </c>
      <c r="BL17" s="9" t="s">
        <v>604</v>
      </c>
      <c r="BM17" s="9" t="s">
        <v>604</v>
      </c>
      <c r="BN17" s="9" t="s">
        <v>605</v>
      </c>
      <c r="BO17" s="9" t="s">
        <v>605</v>
      </c>
      <c r="BP17" s="9" t="s">
        <v>605</v>
      </c>
      <c r="BQ17" s="9" t="s">
        <v>25</v>
      </c>
      <c r="BR17" s="9"/>
      <c r="BS17" s="9"/>
      <c r="BT17" s="9"/>
      <c r="BU17" s="9"/>
      <c r="BV17" s="9"/>
      <c r="BW17" s="9"/>
      <c r="BX17" s="9"/>
      <c r="BY17" s="9"/>
      <c r="BZ17" s="9"/>
      <c r="CA17" s="9"/>
      <c r="CB17" s="9"/>
      <c r="CC17" s="9" t="s">
        <v>14631</v>
      </c>
      <c r="CD17" s="9" t="s">
        <v>28</v>
      </c>
      <c r="CE17" s="9" t="s">
        <v>28</v>
      </c>
      <c r="CF17" s="9" t="s">
        <v>741</v>
      </c>
      <c r="CG17" s="9" t="s">
        <v>604</v>
      </c>
      <c r="CH17" s="9" t="s">
        <v>604</v>
      </c>
      <c r="CI17" s="9" t="s">
        <v>741</v>
      </c>
      <c r="CJ17" s="9" t="s">
        <v>741</v>
      </c>
      <c r="CK17" s="9" t="s">
        <v>741</v>
      </c>
      <c r="CL17" s="9" t="s">
        <v>28</v>
      </c>
      <c r="CM17" s="9"/>
      <c r="CN17" s="9" t="s">
        <v>1370</v>
      </c>
      <c r="CO17" s="9" t="s">
        <v>28</v>
      </c>
      <c r="CP17" s="9" t="s">
        <v>28</v>
      </c>
      <c r="CQ17" s="9"/>
      <c r="CR17" s="9" t="s">
        <v>1430</v>
      </c>
    </row>
    <row r="18" spans="1:96" ht="76.5" x14ac:dyDescent="0.2">
      <c r="A18" s="8" t="s">
        <v>171</v>
      </c>
      <c r="B18" s="9" t="s">
        <v>1362</v>
      </c>
      <c r="C18" s="9"/>
      <c r="D18" s="9"/>
      <c r="E18" s="9"/>
      <c r="F18" s="9"/>
      <c r="G18" s="9"/>
      <c r="H18" s="9"/>
      <c r="I18" s="9"/>
      <c r="J18" s="9"/>
      <c r="K18" s="9"/>
      <c r="L18" s="9"/>
      <c r="M18" s="9"/>
      <c r="N18" s="9"/>
      <c r="O18" s="9"/>
      <c r="P18" s="9"/>
      <c r="Q18" s="9"/>
      <c r="R18" s="9"/>
      <c r="S18" s="9"/>
      <c r="T18" s="9"/>
      <c r="U18" s="9"/>
      <c r="V18" s="9"/>
      <c r="W18" s="9"/>
      <c r="X18" s="9"/>
      <c r="Y18" s="9"/>
      <c r="Z18" s="9"/>
      <c r="AA18" s="9"/>
      <c r="AB18" s="9" t="s">
        <v>1393</v>
      </c>
      <c r="AC18" s="9" t="s">
        <v>14463</v>
      </c>
      <c r="AD18" s="9" t="s">
        <v>13510</v>
      </c>
      <c r="AE18" s="9" t="s">
        <v>13886</v>
      </c>
      <c r="AF18" s="9" t="s">
        <v>1509</v>
      </c>
      <c r="AG18" s="9" t="s">
        <v>28</v>
      </c>
      <c r="AH18" s="9" t="s">
        <v>28</v>
      </c>
      <c r="AI18" s="9" t="s">
        <v>14470</v>
      </c>
      <c r="AJ18" s="9"/>
      <c r="AK18" s="9" t="s">
        <v>25</v>
      </c>
      <c r="AL18" s="9" t="s">
        <v>28</v>
      </c>
      <c r="AM18" s="28">
        <v>75000</v>
      </c>
      <c r="AN18" s="9" t="s">
        <v>1510</v>
      </c>
      <c r="AO18" s="9" t="s">
        <v>1366</v>
      </c>
      <c r="AP18" s="9" t="s">
        <v>604</v>
      </c>
      <c r="AQ18" s="9" t="s">
        <v>604</v>
      </c>
      <c r="AR18" s="9" t="s">
        <v>604</v>
      </c>
      <c r="AS18" s="9" t="s">
        <v>741</v>
      </c>
      <c r="AT18" s="9" t="s">
        <v>679</v>
      </c>
      <c r="AU18" s="9" t="s">
        <v>604</v>
      </c>
      <c r="AV18" s="9" t="s">
        <v>25</v>
      </c>
      <c r="AW18" s="9"/>
      <c r="AX18" s="9"/>
      <c r="AY18" s="39"/>
      <c r="AZ18" s="9"/>
      <c r="BA18" s="9"/>
      <c r="BB18" s="9"/>
      <c r="BC18" s="9"/>
      <c r="BD18" s="9"/>
      <c r="BE18" s="9"/>
      <c r="BF18" s="9" t="s">
        <v>25</v>
      </c>
      <c r="BG18" s="9"/>
      <c r="BH18" s="9" t="s">
        <v>25</v>
      </c>
      <c r="BI18" s="9" t="s">
        <v>28</v>
      </c>
      <c r="BJ18" s="9"/>
      <c r="BK18" s="9" t="s">
        <v>604</v>
      </c>
      <c r="BL18" s="9" t="s">
        <v>604</v>
      </c>
      <c r="BM18" s="9" t="s">
        <v>604</v>
      </c>
      <c r="BN18" s="9" t="s">
        <v>605</v>
      </c>
      <c r="BO18" s="9" t="s">
        <v>605</v>
      </c>
      <c r="BP18" s="9" t="s">
        <v>604</v>
      </c>
      <c r="BQ18" s="9" t="s">
        <v>25</v>
      </c>
      <c r="BR18" s="9"/>
      <c r="BS18" s="9"/>
      <c r="BT18" s="9"/>
      <c r="BU18" s="9"/>
      <c r="BV18" s="9"/>
      <c r="BW18" s="9"/>
      <c r="BX18" s="9"/>
      <c r="BY18" s="9"/>
      <c r="BZ18" s="9"/>
      <c r="CA18" s="9"/>
      <c r="CB18" s="9"/>
      <c r="CC18" s="9" t="s">
        <v>1511</v>
      </c>
      <c r="CD18" s="9" t="s">
        <v>28</v>
      </c>
      <c r="CE18" s="9" t="s">
        <v>28</v>
      </c>
      <c r="CF18" s="9" t="s">
        <v>604</v>
      </c>
      <c r="CG18" s="9" t="s">
        <v>604</v>
      </c>
      <c r="CH18" s="9"/>
      <c r="CI18" s="9" t="s">
        <v>605</v>
      </c>
      <c r="CJ18" s="9" t="s">
        <v>605</v>
      </c>
      <c r="CK18" s="9" t="s">
        <v>604</v>
      </c>
      <c r="CL18" s="9" t="s">
        <v>28</v>
      </c>
      <c r="CM18" s="9" t="s">
        <v>14492</v>
      </c>
      <c r="CN18" s="9" t="s">
        <v>1370</v>
      </c>
      <c r="CO18" s="9" t="s">
        <v>25</v>
      </c>
      <c r="CP18" s="9"/>
      <c r="CQ18" s="9" t="s">
        <v>1512</v>
      </c>
      <c r="CR18" s="9" t="s">
        <v>1513</v>
      </c>
    </row>
    <row r="19" spans="1:96" ht="89.25" x14ac:dyDescent="0.2">
      <c r="A19" s="8" t="s">
        <v>123</v>
      </c>
      <c r="B19" s="9" t="s">
        <v>1386</v>
      </c>
      <c r="C19" s="9" t="s">
        <v>14455</v>
      </c>
      <c r="D19" s="9" t="s">
        <v>1388</v>
      </c>
      <c r="E19" s="9"/>
      <c r="F19" s="9" t="s">
        <v>1388</v>
      </c>
      <c r="G19" s="9" t="s">
        <v>1388</v>
      </c>
      <c r="H19" s="9"/>
      <c r="I19" s="9" t="s">
        <v>1387</v>
      </c>
      <c r="J19" s="9"/>
      <c r="K19" s="9" t="s">
        <v>1388</v>
      </c>
      <c r="L19" s="9" t="s">
        <v>1388</v>
      </c>
      <c r="M19" s="9" t="s">
        <v>1388</v>
      </c>
      <c r="N19" s="9" t="s">
        <v>1388</v>
      </c>
      <c r="O19" s="9"/>
      <c r="P19" s="9"/>
      <c r="Q19" s="9" t="s">
        <v>1388</v>
      </c>
      <c r="R19" s="9"/>
      <c r="S19" s="9"/>
      <c r="T19" s="9"/>
      <c r="U19" s="9"/>
      <c r="V19" s="9" t="s">
        <v>1387</v>
      </c>
      <c r="W19" s="9" t="s">
        <v>1388</v>
      </c>
      <c r="X19" s="9" t="s">
        <v>1387</v>
      </c>
      <c r="Y19" s="9" t="s">
        <v>1392</v>
      </c>
      <c r="Z19" s="9" t="s">
        <v>13501</v>
      </c>
      <c r="AA19" s="9"/>
      <c r="AB19" s="9" t="s">
        <v>1393</v>
      </c>
      <c r="AC19" s="9" t="s">
        <v>13885</v>
      </c>
      <c r="AD19" s="9" t="s">
        <v>13512</v>
      </c>
      <c r="AE19" s="9" t="s">
        <v>13501</v>
      </c>
      <c r="AF19" s="9"/>
      <c r="AG19" s="9" t="s">
        <v>28</v>
      </c>
      <c r="AH19" s="9" t="s">
        <v>28</v>
      </c>
      <c r="AI19" s="9" t="s">
        <v>14469</v>
      </c>
      <c r="AJ19" s="9" t="s">
        <v>1394</v>
      </c>
      <c r="AK19" s="9" t="s">
        <v>25</v>
      </c>
      <c r="AL19" s="9" t="s">
        <v>603</v>
      </c>
      <c r="AM19" s="9"/>
      <c r="AN19" s="9" t="s">
        <v>13888</v>
      </c>
      <c r="AO19" s="9" t="s">
        <v>1366</v>
      </c>
      <c r="AP19" s="9" t="s">
        <v>741</v>
      </c>
      <c r="AQ19" s="9" t="s">
        <v>604</v>
      </c>
      <c r="AR19" s="9" t="s">
        <v>604</v>
      </c>
      <c r="AS19" s="9" t="s">
        <v>741</v>
      </c>
      <c r="AT19" s="9" t="s">
        <v>741</v>
      </c>
      <c r="AU19" s="9" t="s">
        <v>604</v>
      </c>
      <c r="AV19" s="9" t="s">
        <v>28</v>
      </c>
      <c r="AW19" s="9" t="s">
        <v>25</v>
      </c>
      <c r="AX19" s="9" t="s">
        <v>603</v>
      </c>
      <c r="AY19" s="39"/>
      <c r="AZ19" s="9" t="s">
        <v>741</v>
      </c>
      <c r="BA19" s="9" t="s">
        <v>604</v>
      </c>
      <c r="BB19" s="9" t="s">
        <v>604</v>
      </c>
      <c r="BC19" s="9" t="s">
        <v>741</v>
      </c>
      <c r="BD19" s="9" t="s">
        <v>741</v>
      </c>
      <c r="BE19" s="9" t="s">
        <v>604</v>
      </c>
      <c r="BF19" s="9" t="s">
        <v>28</v>
      </c>
      <c r="BG19" s="9" t="s">
        <v>1395</v>
      </c>
      <c r="BH19" s="9" t="s">
        <v>25</v>
      </c>
      <c r="BI19" s="9" t="s">
        <v>603</v>
      </c>
      <c r="BJ19" s="9"/>
      <c r="BK19" s="9" t="s">
        <v>741</v>
      </c>
      <c r="BL19" s="9" t="s">
        <v>604</v>
      </c>
      <c r="BM19" s="9" t="s">
        <v>604</v>
      </c>
      <c r="BN19" s="9" t="s">
        <v>741</v>
      </c>
      <c r="BO19" s="9" t="s">
        <v>741</v>
      </c>
      <c r="BP19" s="9" t="s">
        <v>604</v>
      </c>
      <c r="BQ19" s="9" t="s">
        <v>25</v>
      </c>
      <c r="BR19" s="9"/>
      <c r="BS19" s="9"/>
      <c r="BT19" s="9"/>
      <c r="BU19" s="9"/>
      <c r="BV19" s="9"/>
      <c r="BW19" s="9"/>
      <c r="BX19" s="9"/>
      <c r="BY19" s="9"/>
      <c r="BZ19" s="9"/>
      <c r="CA19" s="9"/>
      <c r="CB19" s="9"/>
      <c r="CC19" s="9" t="s">
        <v>1396</v>
      </c>
      <c r="CD19" s="9" t="s">
        <v>28</v>
      </c>
      <c r="CE19" s="9" t="s">
        <v>25</v>
      </c>
      <c r="CF19" s="9" t="s">
        <v>741</v>
      </c>
      <c r="CG19" s="9" t="s">
        <v>604</v>
      </c>
      <c r="CH19" s="9" t="s">
        <v>604</v>
      </c>
      <c r="CI19" s="9" t="s">
        <v>741</v>
      </c>
      <c r="CJ19" s="9" t="s">
        <v>741</v>
      </c>
      <c r="CK19" s="9" t="s">
        <v>604</v>
      </c>
      <c r="CL19" s="9" t="s">
        <v>25</v>
      </c>
      <c r="CM19" s="9"/>
      <c r="CN19" s="9" t="s">
        <v>1370</v>
      </c>
      <c r="CO19" s="9" t="s">
        <v>28</v>
      </c>
      <c r="CP19" s="9" t="s">
        <v>28</v>
      </c>
      <c r="CQ19" s="9" t="s">
        <v>25</v>
      </c>
      <c r="CR19" s="9" t="s">
        <v>1397</v>
      </c>
    </row>
    <row r="20" spans="1:96" ht="63.75" x14ac:dyDescent="0.2">
      <c r="A20" s="8" t="s">
        <v>125</v>
      </c>
      <c r="B20" s="9" t="s">
        <v>1362</v>
      </c>
      <c r="C20" s="9"/>
      <c r="D20" s="9"/>
      <c r="E20" s="9"/>
      <c r="F20" s="9"/>
      <c r="G20" s="9"/>
      <c r="H20" s="9"/>
      <c r="I20" s="9"/>
      <c r="J20" s="9"/>
      <c r="K20" s="9"/>
      <c r="L20" s="9"/>
      <c r="M20" s="9"/>
      <c r="N20" s="9"/>
      <c r="O20" s="9"/>
      <c r="P20" s="9"/>
      <c r="Q20" s="9"/>
      <c r="R20" s="9"/>
      <c r="S20" s="9"/>
      <c r="T20" s="9"/>
      <c r="U20" s="9"/>
      <c r="V20" s="9"/>
      <c r="W20" s="9"/>
      <c r="X20" s="9"/>
      <c r="Y20" s="9"/>
      <c r="Z20" s="9"/>
      <c r="AA20" s="9"/>
      <c r="AB20" s="9" t="s">
        <v>1363</v>
      </c>
      <c r="AC20" s="9"/>
      <c r="AD20" s="9"/>
      <c r="AE20" s="9"/>
      <c r="AF20" s="9"/>
      <c r="AG20" s="9" t="s">
        <v>28</v>
      </c>
      <c r="AH20" s="9" t="s">
        <v>28</v>
      </c>
      <c r="AI20" s="9" t="s">
        <v>1398</v>
      </c>
      <c r="AJ20" s="9"/>
      <c r="AK20" s="9" t="s">
        <v>25</v>
      </c>
      <c r="AL20" s="9" t="s">
        <v>603</v>
      </c>
      <c r="AM20" s="9"/>
      <c r="AN20" s="9" t="s">
        <v>13894</v>
      </c>
      <c r="AO20" s="9" t="s">
        <v>1384</v>
      </c>
      <c r="AP20" s="9" t="s">
        <v>741</v>
      </c>
      <c r="AQ20" s="9" t="s">
        <v>604</v>
      </c>
      <c r="AR20" s="9" t="s">
        <v>604</v>
      </c>
      <c r="AS20" s="9" t="s">
        <v>741</v>
      </c>
      <c r="AT20" s="9" t="s">
        <v>679</v>
      </c>
      <c r="AU20" s="9" t="s">
        <v>604</v>
      </c>
      <c r="AV20" s="9" t="s">
        <v>25</v>
      </c>
      <c r="AW20" s="9"/>
      <c r="AX20" s="9"/>
      <c r="AY20" s="39"/>
      <c r="AZ20" s="9"/>
      <c r="BA20" s="9"/>
      <c r="BB20" s="9"/>
      <c r="BC20" s="9"/>
      <c r="BD20" s="9"/>
      <c r="BE20" s="9"/>
      <c r="BF20" s="9" t="s">
        <v>25</v>
      </c>
      <c r="BG20" s="9"/>
      <c r="BH20" s="9"/>
      <c r="BI20" s="9"/>
      <c r="BJ20" s="9"/>
      <c r="BK20" s="9"/>
      <c r="BL20" s="9"/>
      <c r="BM20" s="9"/>
      <c r="BN20" s="9"/>
      <c r="BO20" s="9"/>
      <c r="BP20" s="9"/>
      <c r="BQ20" s="9" t="s">
        <v>25</v>
      </c>
      <c r="BR20" s="9"/>
      <c r="BS20" s="9"/>
      <c r="BT20" s="9"/>
      <c r="BU20" s="9"/>
      <c r="BV20" s="9"/>
      <c r="BW20" s="9"/>
      <c r="BX20" s="9"/>
      <c r="BY20" s="9"/>
      <c r="BZ20" s="9"/>
      <c r="CA20" s="9"/>
      <c r="CB20" s="9"/>
      <c r="CC20" s="9" t="s">
        <v>1368</v>
      </c>
      <c r="CD20" s="9" t="s">
        <v>28</v>
      </c>
      <c r="CE20" s="9" t="s">
        <v>25</v>
      </c>
      <c r="CF20" s="9" t="s">
        <v>741</v>
      </c>
      <c r="CG20" s="9" t="s">
        <v>604</v>
      </c>
      <c r="CH20" s="9" t="s">
        <v>604</v>
      </c>
      <c r="CI20" s="9" t="s">
        <v>741</v>
      </c>
      <c r="CJ20" s="9" t="s">
        <v>741</v>
      </c>
      <c r="CK20" s="9" t="s">
        <v>604</v>
      </c>
      <c r="CL20" s="9" t="s">
        <v>28</v>
      </c>
      <c r="CM20" s="9" t="s">
        <v>14492</v>
      </c>
      <c r="CN20" s="9" t="s">
        <v>1370</v>
      </c>
      <c r="CO20" s="9" t="s">
        <v>28</v>
      </c>
      <c r="CP20" s="9" t="s">
        <v>28</v>
      </c>
      <c r="CQ20" s="9" t="s">
        <v>25</v>
      </c>
      <c r="CR20" s="9" t="s">
        <v>1404</v>
      </c>
    </row>
    <row r="21" spans="1:96" ht="102" x14ac:dyDescent="0.2">
      <c r="A21" s="8" t="s">
        <v>169</v>
      </c>
      <c r="B21" s="9" t="s">
        <v>1444</v>
      </c>
      <c r="C21" s="9"/>
      <c r="D21" s="9"/>
      <c r="E21" s="9"/>
      <c r="F21" s="9"/>
      <c r="G21" s="9"/>
      <c r="H21" s="9"/>
      <c r="I21" s="9"/>
      <c r="J21" s="9"/>
      <c r="K21" s="9"/>
      <c r="L21" s="9"/>
      <c r="M21" s="9"/>
      <c r="N21" s="9"/>
      <c r="O21" s="9"/>
      <c r="P21" s="9"/>
      <c r="Q21" s="9"/>
      <c r="R21" s="9"/>
      <c r="S21" s="9"/>
      <c r="T21" s="9"/>
      <c r="U21" s="9"/>
      <c r="V21" s="9"/>
      <c r="W21" s="9"/>
      <c r="X21" s="9"/>
      <c r="Y21" s="9" t="s">
        <v>635</v>
      </c>
      <c r="Z21" s="9"/>
      <c r="AA21" s="9"/>
      <c r="AB21" s="9" t="s">
        <v>1363</v>
      </c>
      <c r="AC21" s="9"/>
      <c r="AD21" s="9"/>
      <c r="AE21" s="9"/>
      <c r="AF21" s="9"/>
      <c r="AG21" s="9" t="s">
        <v>28</v>
      </c>
      <c r="AH21" s="9" t="s">
        <v>28</v>
      </c>
      <c r="AI21" s="9" t="s">
        <v>1373</v>
      </c>
      <c r="AJ21" s="9"/>
      <c r="AK21" s="9" t="s">
        <v>25</v>
      </c>
      <c r="AL21" s="9" t="s">
        <v>603</v>
      </c>
      <c r="AM21" s="9"/>
      <c r="AN21" s="9" t="s">
        <v>14476</v>
      </c>
      <c r="AO21" s="9" t="s">
        <v>1505</v>
      </c>
      <c r="AP21" s="9" t="s">
        <v>604</v>
      </c>
      <c r="AQ21" s="9" t="s">
        <v>741</v>
      </c>
      <c r="AR21" s="9" t="s">
        <v>604</v>
      </c>
      <c r="AS21" s="9" t="s">
        <v>741</v>
      </c>
      <c r="AT21" s="9" t="s">
        <v>741</v>
      </c>
      <c r="AU21" s="9" t="s">
        <v>741</v>
      </c>
      <c r="AV21" s="9" t="s">
        <v>25</v>
      </c>
      <c r="AW21" s="9" t="s">
        <v>25</v>
      </c>
      <c r="AX21" s="9" t="s">
        <v>603</v>
      </c>
      <c r="AY21" s="39"/>
      <c r="AZ21" s="9" t="s">
        <v>604</v>
      </c>
      <c r="BA21" s="9" t="s">
        <v>741</v>
      </c>
      <c r="BB21" s="9" t="s">
        <v>604</v>
      </c>
      <c r="BC21" s="9" t="s">
        <v>741</v>
      </c>
      <c r="BD21" s="9" t="s">
        <v>679</v>
      </c>
      <c r="BE21" s="9" t="s">
        <v>741</v>
      </c>
      <c r="BF21" s="9" t="s">
        <v>28</v>
      </c>
      <c r="BG21" s="9" t="s">
        <v>14629</v>
      </c>
      <c r="BH21" s="9" t="s">
        <v>25</v>
      </c>
      <c r="BI21" s="9" t="s">
        <v>603</v>
      </c>
      <c r="BJ21" s="9"/>
      <c r="BK21" s="9" t="s">
        <v>604</v>
      </c>
      <c r="BL21" s="9" t="s">
        <v>741</v>
      </c>
      <c r="BM21" s="9" t="s">
        <v>604</v>
      </c>
      <c r="BN21" s="9" t="s">
        <v>741</v>
      </c>
      <c r="BO21" s="9" t="s">
        <v>741</v>
      </c>
      <c r="BP21" s="9" t="s">
        <v>741</v>
      </c>
      <c r="BQ21" s="9" t="s">
        <v>25</v>
      </c>
      <c r="BR21" s="9"/>
      <c r="BS21" s="9"/>
      <c r="BT21" s="9"/>
      <c r="BU21" s="9"/>
      <c r="BV21" s="9"/>
      <c r="BW21" s="9"/>
      <c r="BX21" s="9"/>
      <c r="BY21" s="9"/>
      <c r="BZ21" s="9"/>
      <c r="CA21" s="9"/>
      <c r="CB21" s="9"/>
      <c r="CC21" s="9" t="s">
        <v>1368</v>
      </c>
      <c r="CD21" s="9" t="s">
        <v>25</v>
      </c>
      <c r="CE21" s="9" t="s">
        <v>25</v>
      </c>
      <c r="CF21" s="9" t="s">
        <v>604</v>
      </c>
      <c r="CG21" s="9" t="s">
        <v>741</v>
      </c>
      <c r="CH21" s="9" t="s">
        <v>604</v>
      </c>
      <c r="CI21" s="9" t="s">
        <v>741</v>
      </c>
      <c r="CJ21" s="9" t="s">
        <v>741</v>
      </c>
      <c r="CK21" s="9" t="s">
        <v>741</v>
      </c>
      <c r="CL21" s="9" t="s">
        <v>25</v>
      </c>
      <c r="CM21" s="9"/>
      <c r="CN21" s="9" t="s">
        <v>1370</v>
      </c>
      <c r="CO21" s="9" t="s">
        <v>28</v>
      </c>
      <c r="CP21" s="9" t="s">
        <v>28</v>
      </c>
      <c r="CQ21" s="9" t="s">
        <v>25</v>
      </c>
      <c r="CR21" s="9"/>
    </row>
    <row r="22" spans="1:96" ht="76.5" x14ac:dyDescent="0.2">
      <c r="A22" s="8" t="s">
        <v>159</v>
      </c>
      <c r="B22" s="9" t="s">
        <v>1362</v>
      </c>
      <c r="C22" s="9"/>
      <c r="D22" s="9"/>
      <c r="E22" s="9"/>
      <c r="F22" s="9"/>
      <c r="G22" s="9"/>
      <c r="H22" s="9"/>
      <c r="I22" s="9"/>
      <c r="J22" s="9"/>
      <c r="K22" s="9"/>
      <c r="L22" s="9"/>
      <c r="M22" s="9"/>
      <c r="N22" s="9"/>
      <c r="O22" s="9"/>
      <c r="P22" s="9"/>
      <c r="Q22" s="9"/>
      <c r="R22" s="9"/>
      <c r="S22" s="9"/>
      <c r="T22" s="9"/>
      <c r="U22" s="9"/>
      <c r="V22" s="9"/>
      <c r="W22" s="9"/>
      <c r="X22" s="9"/>
      <c r="Y22" s="9"/>
      <c r="Z22" s="9"/>
      <c r="AA22" s="9"/>
      <c r="AB22" s="9" t="s">
        <v>1363</v>
      </c>
      <c r="AC22" s="9"/>
      <c r="AD22" s="9"/>
      <c r="AE22" s="9"/>
      <c r="AF22" s="9"/>
      <c r="AG22" s="9" t="s">
        <v>28</v>
      </c>
      <c r="AH22" s="9" t="s">
        <v>28</v>
      </c>
      <c r="AI22" s="9" t="s">
        <v>1398</v>
      </c>
      <c r="AJ22" s="9"/>
      <c r="AK22" s="9" t="s">
        <v>25</v>
      </c>
      <c r="AL22" s="9" t="s">
        <v>603</v>
      </c>
      <c r="AM22" s="9"/>
      <c r="AN22" s="9" t="s">
        <v>1380</v>
      </c>
      <c r="AO22" s="9" t="s">
        <v>13514</v>
      </c>
      <c r="AP22" s="9" t="s">
        <v>741</v>
      </c>
      <c r="AQ22" s="9" t="s">
        <v>604</v>
      </c>
      <c r="AR22" s="9" t="s">
        <v>604</v>
      </c>
      <c r="AS22" s="9" t="s">
        <v>741</v>
      </c>
      <c r="AT22" s="9" t="s">
        <v>606</v>
      </c>
      <c r="AU22" s="9" t="s">
        <v>741</v>
      </c>
      <c r="AV22" s="9" t="s">
        <v>28</v>
      </c>
      <c r="AW22" s="9" t="s">
        <v>25</v>
      </c>
      <c r="AX22" s="9" t="s">
        <v>603</v>
      </c>
      <c r="AY22" s="39"/>
      <c r="AZ22" s="9" t="s">
        <v>741</v>
      </c>
      <c r="BA22" s="9" t="s">
        <v>604</v>
      </c>
      <c r="BB22" s="9" t="s">
        <v>604</v>
      </c>
      <c r="BC22" s="9" t="s">
        <v>741</v>
      </c>
      <c r="BD22" s="9" t="s">
        <v>1487</v>
      </c>
      <c r="BE22" s="9" t="s">
        <v>741</v>
      </c>
      <c r="BF22" s="9" t="s">
        <v>28</v>
      </c>
      <c r="BG22" s="9" t="s">
        <v>1488</v>
      </c>
      <c r="BH22" s="9" t="s">
        <v>25</v>
      </c>
      <c r="BI22" s="9" t="s">
        <v>603</v>
      </c>
      <c r="BJ22" s="9"/>
      <c r="BK22" s="9" t="s">
        <v>741</v>
      </c>
      <c r="BL22" s="9" t="s">
        <v>604</v>
      </c>
      <c r="BM22" s="9" t="s">
        <v>604</v>
      </c>
      <c r="BN22" s="9" t="s">
        <v>741</v>
      </c>
      <c r="BO22" s="9" t="s">
        <v>741</v>
      </c>
      <c r="BP22" s="9" t="s">
        <v>741</v>
      </c>
      <c r="BQ22" s="9" t="s">
        <v>28</v>
      </c>
      <c r="BR22" s="9"/>
      <c r="BS22" s="9"/>
      <c r="BT22" s="9"/>
      <c r="BU22" s="9"/>
      <c r="BV22" s="9"/>
      <c r="BW22" s="9"/>
      <c r="BX22" s="9"/>
      <c r="BY22" s="9"/>
      <c r="BZ22" s="9"/>
      <c r="CA22" s="9"/>
      <c r="CB22" s="9"/>
      <c r="CC22" s="9" t="s">
        <v>13898</v>
      </c>
      <c r="CD22" s="9" t="s">
        <v>28</v>
      </c>
      <c r="CE22" s="9" t="s">
        <v>25</v>
      </c>
      <c r="CF22" s="9" t="s">
        <v>741</v>
      </c>
      <c r="CG22" s="9" t="s">
        <v>604</v>
      </c>
      <c r="CH22" s="9" t="s">
        <v>604</v>
      </c>
      <c r="CI22" s="9" t="s">
        <v>741</v>
      </c>
      <c r="CJ22" s="9" t="s">
        <v>741</v>
      </c>
      <c r="CK22" s="9" t="s">
        <v>741</v>
      </c>
      <c r="CL22" s="9" t="s">
        <v>28</v>
      </c>
      <c r="CM22" s="9" t="s">
        <v>1369</v>
      </c>
      <c r="CN22" s="9" t="s">
        <v>1370</v>
      </c>
      <c r="CO22" s="9" t="s">
        <v>28</v>
      </c>
      <c r="CP22" s="9" t="s">
        <v>28</v>
      </c>
      <c r="CQ22" s="9" t="s">
        <v>1489</v>
      </c>
      <c r="CR22" s="9"/>
    </row>
    <row r="23" spans="1:96" ht="76.5" x14ac:dyDescent="0.2">
      <c r="A23" s="8" t="s">
        <v>166</v>
      </c>
      <c r="B23" s="9" t="s">
        <v>1362</v>
      </c>
      <c r="C23" s="9"/>
      <c r="D23" s="9"/>
      <c r="E23" s="9"/>
      <c r="F23" s="9" t="s">
        <v>1387</v>
      </c>
      <c r="G23" s="9"/>
      <c r="H23" s="9"/>
      <c r="I23" s="9"/>
      <c r="J23" s="9"/>
      <c r="K23" s="9"/>
      <c r="L23" s="9"/>
      <c r="M23" s="9"/>
      <c r="N23" s="9"/>
      <c r="O23" s="9"/>
      <c r="P23" s="9"/>
      <c r="Q23" s="9"/>
      <c r="R23" s="9"/>
      <c r="S23" s="9"/>
      <c r="T23" s="9"/>
      <c r="U23" s="9"/>
      <c r="V23" s="9"/>
      <c r="W23" s="9"/>
      <c r="X23" s="9"/>
      <c r="Y23" s="9" t="s">
        <v>1437</v>
      </c>
      <c r="Z23" s="9"/>
      <c r="AA23" s="9"/>
      <c r="AB23" s="9" t="s">
        <v>1452</v>
      </c>
      <c r="AC23" s="9"/>
      <c r="AD23" s="9"/>
      <c r="AE23" s="9"/>
      <c r="AF23" s="9"/>
      <c r="AG23" s="9" t="s">
        <v>28</v>
      </c>
      <c r="AH23" s="9" t="s">
        <v>28</v>
      </c>
      <c r="AI23" s="9" t="s">
        <v>1398</v>
      </c>
      <c r="AJ23" s="9"/>
      <c r="AK23" s="9" t="s">
        <v>25</v>
      </c>
      <c r="AL23" s="9" t="s">
        <v>603</v>
      </c>
      <c r="AM23" s="9"/>
      <c r="AN23" s="9" t="s">
        <v>1498</v>
      </c>
      <c r="AO23" s="9" t="s">
        <v>1366</v>
      </c>
      <c r="AP23" s="9" t="s">
        <v>741</v>
      </c>
      <c r="AQ23" s="9" t="s">
        <v>604</v>
      </c>
      <c r="AR23" s="9" t="s">
        <v>604</v>
      </c>
      <c r="AS23" s="9" t="s">
        <v>741</v>
      </c>
      <c r="AT23" s="9" t="s">
        <v>741</v>
      </c>
      <c r="AU23" s="9" t="s">
        <v>604</v>
      </c>
      <c r="AV23" s="9" t="s">
        <v>28</v>
      </c>
      <c r="AW23" s="9" t="s">
        <v>25</v>
      </c>
      <c r="AX23" s="9" t="s">
        <v>603</v>
      </c>
      <c r="AY23" s="39"/>
      <c r="AZ23" s="9" t="s">
        <v>1487</v>
      </c>
      <c r="BA23" s="9" t="s">
        <v>604</v>
      </c>
      <c r="BB23" s="9" t="s">
        <v>604</v>
      </c>
      <c r="BC23" s="9" t="s">
        <v>1487</v>
      </c>
      <c r="BD23" s="9" t="s">
        <v>1487</v>
      </c>
      <c r="BE23" s="9" t="s">
        <v>604</v>
      </c>
      <c r="BF23" s="9" t="s">
        <v>28</v>
      </c>
      <c r="BG23" s="9" t="s">
        <v>1499</v>
      </c>
      <c r="BH23" s="9" t="s">
        <v>25</v>
      </c>
      <c r="BI23" s="9" t="s">
        <v>603</v>
      </c>
      <c r="BJ23" s="9"/>
      <c r="BK23" s="9" t="s">
        <v>606</v>
      </c>
      <c r="BL23" s="9" t="s">
        <v>604</v>
      </c>
      <c r="BM23" s="9" t="s">
        <v>604</v>
      </c>
      <c r="BN23" s="9" t="s">
        <v>606</v>
      </c>
      <c r="BO23" s="9" t="s">
        <v>741</v>
      </c>
      <c r="BP23" s="9" t="s">
        <v>604</v>
      </c>
      <c r="BQ23" s="9" t="s">
        <v>25</v>
      </c>
      <c r="BR23" s="9"/>
      <c r="BS23" s="9"/>
      <c r="BT23" s="9"/>
      <c r="BU23" s="9"/>
      <c r="BV23" s="9"/>
      <c r="BW23" s="9"/>
      <c r="BX23" s="9"/>
      <c r="BY23" s="9"/>
      <c r="BZ23" s="9"/>
      <c r="CA23" s="9"/>
      <c r="CB23" s="9"/>
      <c r="CC23" s="9" t="s">
        <v>1500</v>
      </c>
      <c r="CD23" s="9" t="s">
        <v>28</v>
      </c>
      <c r="CE23" s="9" t="s">
        <v>41</v>
      </c>
      <c r="CF23" s="9" t="s">
        <v>741</v>
      </c>
      <c r="CG23" s="9" t="s">
        <v>604</v>
      </c>
      <c r="CH23" s="9" t="s">
        <v>604</v>
      </c>
      <c r="CI23" s="9" t="s">
        <v>741</v>
      </c>
      <c r="CJ23" s="9" t="s">
        <v>741</v>
      </c>
      <c r="CK23" s="9" t="s">
        <v>604</v>
      </c>
      <c r="CL23" s="9" t="s">
        <v>28</v>
      </c>
      <c r="CM23" s="9" t="s">
        <v>14492</v>
      </c>
      <c r="CN23" s="9" t="s">
        <v>1370</v>
      </c>
      <c r="CO23" s="9" t="s">
        <v>28</v>
      </c>
      <c r="CP23" s="9" t="s">
        <v>28</v>
      </c>
      <c r="CQ23" s="9" t="s">
        <v>25</v>
      </c>
      <c r="CR23" s="9"/>
    </row>
    <row r="24" spans="1:96" ht="51" x14ac:dyDescent="0.2">
      <c r="A24" s="8" t="s">
        <v>157</v>
      </c>
      <c r="B24" s="9" t="s">
        <v>1362</v>
      </c>
      <c r="C24" s="9"/>
      <c r="D24" s="9"/>
      <c r="E24" s="9"/>
      <c r="F24" s="9"/>
      <c r="G24" s="9"/>
      <c r="H24" s="9"/>
      <c r="I24" s="9"/>
      <c r="J24" s="9"/>
      <c r="K24" s="9"/>
      <c r="L24" s="9"/>
      <c r="M24" s="9"/>
      <c r="N24" s="9"/>
      <c r="O24" s="9"/>
      <c r="P24" s="9"/>
      <c r="Q24" s="9"/>
      <c r="R24" s="9"/>
      <c r="S24" s="9"/>
      <c r="T24" s="9"/>
      <c r="U24" s="9"/>
      <c r="V24" s="9"/>
      <c r="W24" s="9"/>
      <c r="X24" s="9"/>
      <c r="Y24" s="9"/>
      <c r="Z24" s="9"/>
      <c r="AA24" s="9"/>
      <c r="AB24" s="9" t="s">
        <v>1363</v>
      </c>
      <c r="AC24" s="9"/>
      <c r="AD24" s="9"/>
      <c r="AE24" s="9"/>
      <c r="AF24" s="9"/>
      <c r="AG24" s="9" t="s">
        <v>28</v>
      </c>
      <c r="AH24" s="9" t="s">
        <v>28</v>
      </c>
      <c r="AI24" s="9" t="s">
        <v>1364</v>
      </c>
      <c r="AJ24" s="9"/>
      <c r="AK24" s="9" t="s">
        <v>25</v>
      </c>
      <c r="AL24" s="9" t="s">
        <v>603</v>
      </c>
      <c r="AM24" s="9"/>
      <c r="AN24" s="9" t="s">
        <v>14477</v>
      </c>
      <c r="AO24" s="9" t="s">
        <v>1375</v>
      </c>
      <c r="AP24" s="9" t="s">
        <v>741</v>
      </c>
      <c r="AQ24" s="9" t="s">
        <v>604</v>
      </c>
      <c r="AR24" s="9" t="s">
        <v>604</v>
      </c>
      <c r="AS24" s="9" t="s">
        <v>741</v>
      </c>
      <c r="AT24" s="9" t="s">
        <v>741</v>
      </c>
      <c r="AU24" s="9" t="s">
        <v>604</v>
      </c>
      <c r="AV24" s="9" t="s">
        <v>28</v>
      </c>
      <c r="AW24" s="9" t="s">
        <v>25</v>
      </c>
      <c r="AX24" s="9" t="s">
        <v>603</v>
      </c>
      <c r="AY24" s="39"/>
      <c r="AZ24" s="9" t="s">
        <v>741</v>
      </c>
      <c r="BA24" s="9" t="s">
        <v>604</v>
      </c>
      <c r="BB24" s="9" t="s">
        <v>604</v>
      </c>
      <c r="BC24" s="9" t="s">
        <v>741</v>
      </c>
      <c r="BD24" s="9" t="s">
        <v>741</v>
      </c>
      <c r="BE24" s="9" t="s">
        <v>604</v>
      </c>
      <c r="BF24" s="9" t="s">
        <v>25</v>
      </c>
      <c r="BG24" s="9"/>
      <c r="BH24" s="9"/>
      <c r="BI24" s="9"/>
      <c r="BJ24" s="9"/>
      <c r="BK24" s="9"/>
      <c r="BL24" s="9"/>
      <c r="BM24" s="9"/>
      <c r="BN24" s="9"/>
      <c r="BO24" s="9"/>
      <c r="BP24" s="9"/>
      <c r="BQ24" s="9" t="s">
        <v>25</v>
      </c>
      <c r="BR24" s="9"/>
      <c r="BS24" s="9"/>
      <c r="BT24" s="9"/>
      <c r="BU24" s="9"/>
      <c r="BV24" s="9"/>
      <c r="BW24" s="9"/>
      <c r="BX24" s="9"/>
      <c r="BY24" s="9"/>
      <c r="BZ24" s="9"/>
      <c r="CA24" s="9"/>
      <c r="CB24" s="9"/>
      <c r="CC24" s="9" t="s">
        <v>1368</v>
      </c>
      <c r="CD24" s="9" t="s">
        <v>25</v>
      </c>
      <c r="CE24" s="9" t="s">
        <v>25</v>
      </c>
      <c r="CF24" s="9" t="s">
        <v>741</v>
      </c>
      <c r="CG24" s="9" t="s">
        <v>604</v>
      </c>
      <c r="CH24" s="9"/>
      <c r="CI24" s="9" t="s">
        <v>741</v>
      </c>
      <c r="CJ24" s="9" t="s">
        <v>679</v>
      </c>
      <c r="CK24" s="9" t="s">
        <v>604</v>
      </c>
      <c r="CL24" s="9" t="s">
        <v>28</v>
      </c>
      <c r="CM24" s="9" t="s">
        <v>14492</v>
      </c>
      <c r="CN24" s="9" t="s">
        <v>1402</v>
      </c>
      <c r="CO24" s="9" t="s">
        <v>25</v>
      </c>
      <c r="CP24" s="9"/>
      <c r="CQ24" s="9" t="s">
        <v>25</v>
      </c>
      <c r="CR24" s="9" t="s">
        <v>1484</v>
      </c>
    </row>
    <row r="25" spans="1:96" ht="89.25" x14ac:dyDescent="0.2">
      <c r="A25" s="8" t="s">
        <v>144</v>
      </c>
      <c r="B25" s="9" t="s">
        <v>1386</v>
      </c>
      <c r="C25" s="9" t="s">
        <v>1451</v>
      </c>
      <c r="D25" s="9" t="s">
        <v>1387</v>
      </c>
      <c r="E25" s="9"/>
      <c r="F25" s="9" t="s">
        <v>1388</v>
      </c>
      <c r="G25" s="9" t="s">
        <v>1388</v>
      </c>
      <c r="H25" s="9"/>
      <c r="I25" s="9" t="s">
        <v>1388</v>
      </c>
      <c r="J25" s="9"/>
      <c r="K25" s="9" t="s">
        <v>1387</v>
      </c>
      <c r="L25" s="9" t="s">
        <v>1387</v>
      </c>
      <c r="M25" s="9"/>
      <c r="N25" s="9"/>
      <c r="O25" s="9"/>
      <c r="P25" s="9"/>
      <c r="Q25" s="9"/>
      <c r="R25" s="9"/>
      <c r="S25" s="9"/>
      <c r="T25" s="9"/>
      <c r="U25" s="9"/>
      <c r="V25" s="9" t="s">
        <v>1387</v>
      </c>
      <c r="W25" s="9" t="s">
        <v>1387</v>
      </c>
      <c r="X25" s="9" t="s">
        <v>1388</v>
      </c>
      <c r="Y25" s="9" t="s">
        <v>1416</v>
      </c>
      <c r="Z25" s="9" t="s">
        <v>1417</v>
      </c>
      <c r="AA25" s="9"/>
      <c r="AB25" s="9" t="s">
        <v>1452</v>
      </c>
      <c r="AC25" s="9"/>
      <c r="AD25" s="9"/>
      <c r="AE25" s="9"/>
      <c r="AF25" s="9"/>
      <c r="AG25" s="9" t="s">
        <v>28</v>
      </c>
      <c r="AH25" s="9" t="s">
        <v>28</v>
      </c>
      <c r="AI25" s="9" t="s">
        <v>14470</v>
      </c>
      <c r="AJ25" s="9"/>
      <c r="AK25" s="9" t="s">
        <v>25</v>
      </c>
      <c r="AL25" s="9" t="s">
        <v>603</v>
      </c>
      <c r="AM25" s="9"/>
      <c r="AN25" s="9" t="s">
        <v>14478</v>
      </c>
      <c r="AO25" s="9" t="s">
        <v>1381</v>
      </c>
      <c r="AP25" s="9" t="s">
        <v>741</v>
      </c>
      <c r="AQ25" s="9" t="s">
        <v>604</v>
      </c>
      <c r="AR25" s="9" t="s">
        <v>604</v>
      </c>
      <c r="AS25" s="9" t="s">
        <v>741</v>
      </c>
      <c r="AT25" s="9" t="s">
        <v>741</v>
      </c>
      <c r="AU25" s="9" t="s">
        <v>741</v>
      </c>
      <c r="AV25" s="9" t="s">
        <v>25</v>
      </c>
      <c r="AW25" s="9"/>
      <c r="AX25" s="9"/>
      <c r="AY25" s="39"/>
      <c r="AZ25" s="9"/>
      <c r="BA25" s="9"/>
      <c r="BB25" s="9"/>
      <c r="BC25" s="9"/>
      <c r="BD25" s="9"/>
      <c r="BE25" s="9"/>
      <c r="BF25" s="9" t="s">
        <v>28</v>
      </c>
      <c r="BG25" s="9" t="s">
        <v>1453</v>
      </c>
      <c r="BH25" s="9" t="s">
        <v>25</v>
      </c>
      <c r="BI25" s="9" t="s">
        <v>603</v>
      </c>
      <c r="BJ25" s="9"/>
      <c r="BK25" s="9" t="s">
        <v>605</v>
      </c>
      <c r="BL25" s="9" t="s">
        <v>604</v>
      </c>
      <c r="BM25" s="9" t="s">
        <v>604</v>
      </c>
      <c r="BN25" s="9" t="s">
        <v>605</v>
      </c>
      <c r="BO25" s="9" t="s">
        <v>741</v>
      </c>
      <c r="BP25" s="9" t="s">
        <v>605</v>
      </c>
      <c r="BQ25" s="9" t="s">
        <v>25</v>
      </c>
      <c r="BR25" s="9"/>
      <c r="BS25" s="9"/>
      <c r="BT25" s="9"/>
      <c r="BU25" s="9"/>
      <c r="BV25" s="9"/>
      <c r="BW25" s="9"/>
      <c r="BX25" s="9"/>
      <c r="BY25" s="9"/>
      <c r="BZ25" s="9"/>
      <c r="CA25" s="9"/>
      <c r="CB25" s="9"/>
      <c r="CC25" s="9" t="s">
        <v>1454</v>
      </c>
      <c r="CD25" s="9" t="s">
        <v>41</v>
      </c>
      <c r="CE25" s="9" t="s">
        <v>25</v>
      </c>
      <c r="CF25" s="9" t="s">
        <v>741</v>
      </c>
      <c r="CG25" s="9" t="s">
        <v>604</v>
      </c>
      <c r="CH25" s="9" t="s">
        <v>604</v>
      </c>
      <c r="CI25" s="9" t="s">
        <v>741</v>
      </c>
      <c r="CJ25" s="9" t="s">
        <v>604</v>
      </c>
      <c r="CK25" s="9" t="s">
        <v>741</v>
      </c>
      <c r="CL25" s="9" t="s">
        <v>25</v>
      </c>
      <c r="CM25" s="9"/>
      <c r="CN25" s="9" t="s">
        <v>1370</v>
      </c>
      <c r="CO25" s="9" t="s">
        <v>25</v>
      </c>
      <c r="CP25" s="9"/>
      <c r="CQ25" s="9" t="s">
        <v>1455</v>
      </c>
      <c r="CR25" s="9" t="s">
        <v>1456</v>
      </c>
    </row>
    <row r="26" spans="1:96" ht="63.75" x14ac:dyDescent="0.2">
      <c r="A26" s="8" t="s">
        <v>140</v>
      </c>
      <c r="B26" s="9" t="s">
        <v>1362</v>
      </c>
      <c r="C26" s="9"/>
      <c r="D26" s="9"/>
      <c r="E26" s="9"/>
      <c r="F26" s="9"/>
      <c r="G26" s="9"/>
      <c r="H26" s="9"/>
      <c r="I26" s="9"/>
      <c r="J26" s="9"/>
      <c r="K26" s="9"/>
      <c r="L26" s="9"/>
      <c r="M26" s="9"/>
      <c r="N26" s="9"/>
      <c r="O26" s="9"/>
      <c r="P26" s="9"/>
      <c r="Q26" s="9"/>
      <c r="R26" s="9"/>
      <c r="S26" s="9"/>
      <c r="T26" s="9"/>
      <c r="U26" s="9"/>
      <c r="V26" s="9"/>
      <c r="W26" s="9"/>
      <c r="X26" s="9"/>
      <c r="Y26" s="9"/>
      <c r="Z26" s="9"/>
      <c r="AA26" s="9"/>
      <c r="AB26" s="9" t="s">
        <v>1363</v>
      </c>
      <c r="AC26" s="9"/>
      <c r="AD26" s="9"/>
      <c r="AE26" s="9"/>
      <c r="AF26" s="9"/>
      <c r="AG26" s="9" t="s">
        <v>28</v>
      </c>
      <c r="AH26" s="9" t="s">
        <v>28</v>
      </c>
      <c r="AI26" s="9" t="s">
        <v>1364</v>
      </c>
      <c r="AJ26" s="9"/>
      <c r="AK26" s="9" t="s">
        <v>25</v>
      </c>
      <c r="AL26" s="9" t="s">
        <v>603</v>
      </c>
      <c r="AM26" s="9"/>
      <c r="AN26" s="9" t="s">
        <v>1445</v>
      </c>
      <c r="AO26" s="9" t="s">
        <v>1384</v>
      </c>
      <c r="AP26" s="9" t="s">
        <v>741</v>
      </c>
      <c r="AQ26" s="9" t="s">
        <v>604</v>
      </c>
      <c r="AR26" s="9" t="s">
        <v>604</v>
      </c>
      <c r="AS26" s="9" t="s">
        <v>741</v>
      </c>
      <c r="AT26" s="9" t="s">
        <v>741</v>
      </c>
      <c r="AU26" s="9" t="s">
        <v>741</v>
      </c>
      <c r="AV26" s="9" t="s">
        <v>25</v>
      </c>
      <c r="AW26" s="9"/>
      <c r="AX26" s="9"/>
      <c r="AY26" s="39"/>
      <c r="AZ26" s="9"/>
      <c r="BA26" s="9"/>
      <c r="BB26" s="9"/>
      <c r="BC26" s="9"/>
      <c r="BD26" s="9"/>
      <c r="BE26" s="9"/>
      <c r="BF26" s="9" t="s">
        <v>28</v>
      </c>
      <c r="BG26" s="9" t="s">
        <v>1446</v>
      </c>
      <c r="BH26" s="9" t="s">
        <v>25</v>
      </c>
      <c r="BI26" s="9" t="s">
        <v>603</v>
      </c>
      <c r="BJ26" s="9"/>
      <c r="BK26" s="9" t="s">
        <v>741</v>
      </c>
      <c r="BL26" s="9" t="s">
        <v>741</v>
      </c>
      <c r="BM26" s="9"/>
      <c r="BN26" s="9" t="s">
        <v>741</v>
      </c>
      <c r="BO26" s="9" t="s">
        <v>741</v>
      </c>
      <c r="BP26" s="9" t="s">
        <v>741</v>
      </c>
      <c r="BQ26" s="9" t="s">
        <v>25</v>
      </c>
      <c r="BR26" s="9"/>
      <c r="BS26" s="9"/>
      <c r="BT26" s="9"/>
      <c r="BU26" s="9"/>
      <c r="BV26" s="9"/>
      <c r="BW26" s="9"/>
      <c r="BX26" s="9"/>
      <c r="BY26" s="9"/>
      <c r="BZ26" s="9"/>
      <c r="CA26" s="9"/>
      <c r="CB26" s="9"/>
      <c r="CC26" s="9" t="s">
        <v>1368</v>
      </c>
      <c r="CD26" s="9" t="s">
        <v>41</v>
      </c>
      <c r="CE26" s="9" t="s">
        <v>25</v>
      </c>
      <c r="CF26" s="9" t="s">
        <v>741</v>
      </c>
      <c r="CG26" s="9" t="s">
        <v>604</v>
      </c>
      <c r="CH26" s="9" t="s">
        <v>604</v>
      </c>
      <c r="CI26" s="9" t="s">
        <v>741</v>
      </c>
      <c r="CJ26" s="9" t="s">
        <v>741</v>
      </c>
      <c r="CK26" s="9" t="s">
        <v>741</v>
      </c>
      <c r="CL26" s="9" t="s">
        <v>28</v>
      </c>
      <c r="CM26" s="9" t="s">
        <v>1369</v>
      </c>
      <c r="CN26" s="9" t="s">
        <v>1370</v>
      </c>
      <c r="CO26" s="9" t="s">
        <v>28</v>
      </c>
      <c r="CP26" s="9" t="s">
        <v>28</v>
      </c>
      <c r="CQ26" s="9"/>
      <c r="CR26" s="9" t="s">
        <v>1447</v>
      </c>
    </row>
    <row r="27" spans="1:96" ht="102" x14ac:dyDescent="0.2">
      <c r="A27" s="8" t="s">
        <v>127</v>
      </c>
      <c r="B27" s="9" t="s">
        <v>1386</v>
      </c>
      <c r="C27" s="9" t="s">
        <v>14456</v>
      </c>
      <c r="D27" s="9" t="s">
        <v>1387</v>
      </c>
      <c r="E27" s="9" t="s">
        <v>1387</v>
      </c>
      <c r="F27" s="9" t="s">
        <v>1388</v>
      </c>
      <c r="G27" s="9" t="s">
        <v>1388</v>
      </c>
      <c r="H27" s="9"/>
      <c r="I27" s="9" t="s">
        <v>1387</v>
      </c>
      <c r="J27" s="9" t="s">
        <v>1387</v>
      </c>
      <c r="K27" s="9" t="s">
        <v>1387</v>
      </c>
      <c r="L27" s="9" t="s">
        <v>1387</v>
      </c>
      <c r="M27" s="9" t="s">
        <v>1387</v>
      </c>
      <c r="N27" s="9" t="s">
        <v>1387</v>
      </c>
      <c r="O27" s="9"/>
      <c r="P27" s="9"/>
      <c r="Q27" s="9" t="s">
        <v>1387</v>
      </c>
      <c r="R27" s="9"/>
      <c r="S27" s="9"/>
      <c r="T27" s="9" t="s">
        <v>1387</v>
      </c>
      <c r="U27" s="9" t="s">
        <v>1388</v>
      </c>
      <c r="V27" s="9" t="s">
        <v>1387</v>
      </c>
      <c r="W27" s="9" t="s">
        <v>1387</v>
      </c>
      <c r="X27" s="9" t="s">
        <v>1388</v>
      </c>
      <c r="Y27" s="9" t="s">
        <v>635</v>
      </c>
      <c r="Z27" s="9" t="s">
        <v>13502</v>
      </c>
      <c r="AA27" s="9" t="s">
        <v>1407</v>
      </c>
      <c r="AB27" s="9" t="s">
        <v>1393</v>
      </c>
      <c r="AC27" s="9"/>
      <c r="AD27" s="9"/>
      <c r="AE27" s="9"/>
      <c r="AF27" s="9"/>
      <c r="AG27" s="9" t="s">
        <v>28</v>
      </c>
      <c r="AH27" s="9" t="s">
        <v>28</v>
      </c>
      <c r="AI27" s="9" t="s">
        <v>1398</v>
      </c>
      <c r="AJ27" s="9"/>
      <c r="AK27" s="9" t="s">
        <v>25</v>
      </c>
      <c r="AL27" s="9" t="s">
        <v>603</v>
      </c>
      <c r="AM27" s="9"/>
      <c r="AN27" s="9" t="s">
        <v>14479</v>
      </c>
      <c r="AO27" s="9" t="s">
        <v>1409</v>
      </c>
      <c r="AP27" s="9" t="s">
        <v>605</v>
      </c>
      <c r="AQ27" s="9" t="s">
        <v>604</v>
      </c>
      <c r="AR27" s="9" t="s">
        <v>604</v>
      </c>
      <c r="AS27" s="9" t="s">
        <v>605</v>
      </c>
      <c r="AT27" s="9" t="s">
        <v>605</v>
      </c>
      <c r="AU27" s="9" t="s">
        <v>605</v>
      </c>
      <c r="AV27" s="9" t="s">
        <v>25</v>
      </c>
      <c r="AW27" s="9"/>
      <c r="AX27" s="9"/>
      <c r="AY27" s="39"/>
      <c r="AZ27" s="9"/>
      <c r="BA27" s="9"/>
      <c r="BB27" s="9"/>
      <c r="BC27" s="9"/>
      <c r="BD27" s="9"/>
      <c r="BE27" s="9"/>
      <c r="BF27" s="9" t="s">
        <v>28</v>
      </c>
      <c r="BG27" s="9" t="s">
        <v>1410</v>
      </c>
      <c r="BH27" s="9" t="s">
        <v>25</v>
      </c>
      <c r="BI27" s="9" t="s">
        <v>603</v>
      </c>
      <c r="BJ27" s="9"/>
      <c r="BK27" s="9" t="s">
        <v>606</v>
      </c>
      <c r="BL27" s="9" t="s">
        <v>604</v>
      </c>
      <c r="BM27" s="9" t="s">
        <v>604</v>
      </c>
      <c r="BN27" s="9" t="s">
        <v>606</v>
      </c>
      <c r="BO27" s="9" t="s">
        <v>606</v>
      </c>
      <c r="BP27" s="9" t="s">
        <v>606</v>
      </c>
      <c r="BQ27" s="9" t="s">
        <v>25</v>
      </c>
      <c r="BR27" s="9"/>
      <c r="BS27" s="9"/>
      <c r="BT27" s="9"/>
      <c r="BU27" s="9"/>
      <c r="BV27" s="9"/>
      <c r="BW27" s="9"/>
      <c r="BX27" s="9"/>
      <c r="BY27" s="9"/>
      <c r="BZ27" s="9"/>
      <c r="CA27" s="9"/>
      <c r="CB27" s="9"/>
      <c r="CC27" s="9" t="s">
        <v>1411</v>
      </c>
      <c r="CD27" s="9" t="s">
        <v>28</v>
      </c>
      <c r="CE27" s="9" t="s">
        <v>41</v>
      </c>
      <c r="CF27" s="9" t="s">
        <v>605</v>
      </c>
      <c r="CG27" s="9" t="s">
        <v>604</v>
      </c>
      <c r="CH27" s="9" t="s">
        <v>604</v>
      </c>
      <c r="CI27" s="9" t="s">
        <v>605</v>
      </c>
      <c r="CJ27" s="9" t="s">
        <v>605</v>
      </c>
      <c r="CK27" s="9" t="s">
        <v>605</v>
      </c>
      <c r="CL27" s="9" t="s">
        <v>28</v>
      </c>
      <c r="CM27" s="9" t="s">
        <v>1369</v>
      </c>
      <c r="CN27" s="9" t="s">
        <v>1370</v>
      </c>
      <c r="CO27" s="9" t="s">
        <v>25</v>
      </c>
      <c r="CP27" s="9"/>
      <c r="CQ27" s="9" t="s">
        <v>1412</v>
      </c>
      <c r="CR27" s="9"/>
    </row>
    <row r="28" spans="1:96" ht="76.5" x14ac:dyDescent="0.2">
      <c r="A28" s="8" t="s">
        <v>131</v>
      </c>
      <c r="B28" s="9" t="s">
        <v>1362</v>
      </c>
      <c r="C28" s="9"/>
      <c r="D28" s="9"/>
      <c r="E28" s="9"/>
      <c r="F28" s="9"/>
      <c r="G28" s="9"/>
      <c r="H28" s="9"/>
      <c r="I28" s="9"/>
      <c r="J28" s="9"/>
      <c r="K28" s="9"/>
      <c r="L28" s="9"/>
      <c r="M28" s="9"/>
      <c r="N28" s="9"/>
      <c r="O28" s="9"/>
      <c r="P28" s="9"/>
      <c r="Q28" s="9"/>
      <c r="R28" s="9"/>
      <c r="S28" s="9"/>
      <c r="T28" s="9"/>
      <c r="U28" s="9"/>
      <c r="V28" s="9"/>
      <c r="W28" s="9"/>
      <c r="X28" s="9"/>
      <c r="Y28" s="9"/>
      <c r="Z28" s="9"/>
      <c r="AA28" s="9"/>
      <c r="AB28" s="9" t="s">
        <v>1363</v>
      </c>
      <c r="AC28" s="9"/>
      <c r="AD28" s="9"/>
      <c r="AE28" s="9"/>
      <c r="AF28" s="9"/>
      <c r="AG28" s="9" t="s">
        <v>28</v>
      </c>
      <c r="AH28" s="9" t="s">
        <v>28</v>
      </c>
      <c r="AI28" s="9" t="s">
        <v>1364</v>
      </c>
      <c r="AJ28" s="9"/>
      <c r="AK28" s="9" t="s">
        <v>25</v>
      </c>
      <c r="AL28" s="9" t="s">
        <v>603</v>
      </c>
      <c r="AM28" s="9"/>
      <c r="AN28" s="9" t="s">
        <v>14473</v>
      </c>
      <c r="AO28" s="9" t="s">
        <v>1423</v>
      </c>
      <c r="AP28" s="9" t="s">
        <v>741</v>
      </c>
      <c r="AQ28" s="9" t="s">
        <v>604</v>
      </c>
      <c r="AR28" s="9" t="s">
        <v>604</v>
      </c>
      <c r="AS28" s="9" t="s">
        <v>741</v>
      </c>
      <c r="AT28" s="9" t="s">
        <v>741</v>
      </c>
      <c r="AU28" s="9" t="s">
        <v>604</v>
      </c>
      <c r="AV28" s="9" t="s">
        <v>28</v>
      </c>
      <c r="AW28" s="9" t="s">
        <v>25</v>
      </c>
      <c r="AX28" s="9" t="s">
        <v>603</v>
      </c>
      <c r="AY28" s="39"/>
      <c r="AZ28" s="9" t="s">
        <v>741</v>
      </c>
      <c r="BA28" s="9" t="s">
        <v>604</v>
      </c>
      <c r="BB28" s="9" t="s">
        <v>604</v>
      </c>
      <c r="BC28" s="9" t="s">
        <v>741</v>
      </c>
      <c r="BD28" s="9" t="s">
        <v>741</v>
      </c>
      <c r="BE28" s="9" t="s">
        <v>604</v>
      </c>
      <c r="BF28" s="9" t="s">
        <v>25</v>
      </c>
      <c r="BG28" s="9"/>
      <c r="BH28" s="9"/>
      <c r="BI28" s="9"/>
      <c r="BJ28" s="9"/>
      <c r="BK28" s="9"/>
      <c r="BL28" s="9"/>
      <c r="BM28" s="9"/>
      <c r="BN28" s="9"/>
      <c r="BO28" s="9"/>
      <c r="BP28" s="9"/>
      <c r="BQ28" s="9" t="s">
        <v>25</v>
      </c>
      <c r="BR28" s="9"/>
      <c r="BS28" s="9"/>
      <c r="BT28" s="9"/>
      <c r="BU28" s="9"/>
      <c r="BV28" s="9"/>
      <c r="BW28" s="9"/>
      <c r="BX28" s="9"/>
      <c r="BY28" s="9"/>
      <c r="BZ28" s="9"/>
      <c r="CA28" s="9"/>
      <c r="CB28" s="9"/>
      <c r="CC28" s="9" t="s">
        <v>1368</v>
      </c>
      <c r="CD28" s="9" t="s">
        <v>41</v>
      </c>
      <c r="CE28" s="9" t="s">
        <v>41</v>
      </c>
      <c r="CF28" s="9" t="s">
        <v>741</v>
      </c>
      <c r="CG28" s="9" t="s">
        <v>604</v>
      </c>
      <c r="CH28" s="9" t="s">
        <v>604</v>
      </c>
      <c r="CI28" s="9" t="s">
        <v>741</v>
      </c>
      <c r="CJ28" s="9" t="s">
        <v>741</v>
      </c>
      <c r="CK28" s="9" t="s">
        <v>604</v>
      </c>
      <c r="CL28" s="9" t="s">
        <v>28</v>
      </c>
      <c r="CM28" s="9" t="s">
        <v>14492</v>
      </c>
      <c r="CN28" s="9" t="s">
        <v>1370</v>
      </c>
      <c r="CO28" s="9" t="s">
        <v>28</v>
      </c>
      <c r="CP28" s="9" t="s">
        <v>28</v>
      </c>
      <c r="CQ28" s="9" t="s">
        <v>1424</v>
      </c>
      <c r="CR28" s="9"/>
    </row>
    <row r="29" spans="1:96" ht="76.5" x14ac:dyDescent="0.2">
      <c r="A29" s="8" t="s">
        <v>139</v>
      </c>
      <c r="B29" s="9" t="s">
        <v>1444</v>
      </c>
      <c r="C29" s="9"/>
      <c r="D29" s="9"/>
      <c r="E29" s="9"/>
      <c r="F29" s="9"/>
      <c r="G29" s="9"/>
      <c r="H29" s="9"/>
      <c r="I29" s="9"/>
      <c r="J29" s="9"/>
      <c r="K29" s="9"/>
      <c r="L29" s="9"/>
      <c r="M29" s="9"/>
      <c r="N29" s="9"/>
      <c r="O29" s="9"/>
      <c r="P29" s="9"/>
      <c r="Q29" s="9"/>
      <c r="R29" s="9"/>
      <c r="S29" s="9"/>
      <c r="T29" s="9"/>
      <c r="U29" s="9"/>
      <c r="V29" s="9"/>
      <c r="W29" s="9"/>
      <c r="X29" s="9"/>
      <c r="Y29" s="9"/>
      <c r="Z29" s="9"/>
      <c r="AA29" s="9"/>
      <c r="AB29" s="9" t="s">
        <v>1426</v>
      </c>
      <c r="AC29" s="9" t="s">
        <v>13509</v>
      </c>
      <c r="AD29" s="9" t="s">
        <v>13512</v>
      </c>
      <c r="AE29" s="9" t="s">
        <v>13507</v>
      </c>
      <c r="AF29" s="9"/>
      <c r="AG29" s="9" t="s">
        <v>28</v>
      </c>
      <c r="AH29" s="9" t="s">
        <v>28</v>
      </c>
      <c r="AI29" s="9" t="s">
        <v>1364</v>
      </c>
      <c r="AJ29" s="9"/>
      <c r="AK29" s="9" t="s">
        <v>25</v>
      </c>
      <c r="AL29" s="9" t="s">
        <v>603</v>
      </c>
      <c r="AM29" s="9"/>
      <c r="AN29" s="9" t="s">
        <v>14473</v>
      </c>
      <c r="AO29" s="9" t="s">
        <v>13514</v>
      </c>
      <c r="AP29" s="9" t="s">
        <v>605</v>
      </c>
      <c r="AQ29" s="9" t="s">
        <v>604</v>
      </c>
      <c r="AR29" s="9" t="s">
        <v>604</v>
      </c>
      <c r="AS29" s="9" t="s">
        <v>605</v>
      </c>
      <c r="AT29" s="9" t="s">
        <v>605</v>
      </c>
      <c r="AU29" s="9" t="s">
        <v>605</v>
      </c>
      <c r="AV29" s="9" t="s">
        <v>25</v>
      </c>
      <c r="AW29" s="9"/>
      <c r="AX29" s="9"/>
      <c r="AY29" s="39"/>
      <c r="AZ29" s="9"/>
      <c r="BA29" s="9"/>
      <c r="BB29" s="9"/>
      <c r="BC29" s="9"/>
      <c r="BD29" s="9"/>
      <c r="BE29" s="9"/>
      <c r="BF29" s="9" t="s">
        <v>28</v>
      </c>
      <c r="BG29" s="9"/>
      <c r="BH29" s="9" t="s">
        <v>25</v>
      </c>
      <c r="BI29" s="9" t="s">
        <v>603</v>
      </c>
      <c r="BJ29" s="9"/>
      <c r="BK29" s="9" t="s">
        <v>741</v>
      </c>
      <c r="BL29" s="9" t="s">
        <v>604</v>
      </c>
      <c r="BM29" s="9" t="s">
        <v>604</v>
      </c>
      <c r="BN29" s="9" t="s">
        <v>741</v>
      </c>
      <c r="BO29" s="9" t="s">
        <v>741</v>
      </c>
      <c r="BP29" s="9" t="s">
        <v>741</v>
      </c>
      <c r="BQ29" s="9" t="s">
        <v>25</v>
      </c>
      <c r="BR29" s="9"/>
      <c r="BS29" s="9"/>
      <c r="BT29" s="9"/>
      <c r="BU29" s="9"/>
      <c r="BV29" s="9"/>
      <c r="BW29" s="9"/>
      <c r="BX29" s="9"/>
      <c r="BY29" s="9"/>
      <c r="BZ29" s="9"/>
      <c r="CA29" s="9"/>
      <c r="CB29" s="9"/>
      <c r="CC29" s="9" t="s">
        <v>14489</v>
      </c>
      <c r="CD29" s="9" t="s">
        <v>28</v>
      </c>
      <c r="CE29" s="9" t="s">
        <v>25</v>
      </c>
      <c r="CF29" s="9" t="s">
        <v>741</v>
      </c>
      <c r="CG29" s="9" t="s">
        <v>604</v>
      </c>
      <c r="CH29" s="9" t="s">
        <v>604</v>
      </c>
      <c r="CI29" s="9" t="s">
        <v>741</v>
      </c>
      <c r="CJ29" s="9" t="s">
        <v>741</v>
      </c>
      <c r="CK29" s="9" t="s">
        <v>741</v>
      </c>
      <c r="CL29" s="9" t="s">
        <v>28</v>
      </c>
      <c r="CM29" s="9" t="s">
        <v>1369</v>
      </c>
      <c r="CN29" s="9" t="s">
        <v>1370</v>
      </c>
      <c r="CO29" s="9" t="s">
        <v>28</v>
      </c>
      <c r="CP29" s="9" t="s">
        <v>28</v>
      </c>
      <c r="CQ29" s="9" t="s">
        <v>1405</v>
      </c>
      <c r="CR29" s="9"/>
    </row>
    <row r="30" spans="1:96" ht="25.5" x14ac:dyDescent="0.2">
      <c r="A30" s="8" t="s">
        <v>120</v>
      </c>
      <c r="B30" s="9" t="s">
        <v>1362</v>
      </c>
      <c r="C30" s="9"/>
      <c r="D30" s="9"/>
      <c r="E30" s="9"/>
      <c r="F30" s="9"/>
      <c r="G30" s="9"/>
      <c r="H30" s="9"/>
      <c r="I30" s="9"/>
      <c r="J30" s="9"/>
      <c r="K30" s="9"/>
      <c r="L30" s="9"/>
      <c r="M30" s="9"/>
      <c r="N30" s="9"/>
      <c r="O30" s="9"/>
      <c r="P30" s="9"/>
      <c r="Q30" s="9"/>
      <c r="R30" s="9"/>
      <c r="S30" s="9"/>
      <c r="T30" s="9"/>
      <c r="U30" s="9"/>
      <c r="V30" s="9"/>
      <c r="W30" s="9"/>
      <c r="X30" s="9"/>
      <c r="Y30" s="9"/>
      <c r="Z30" s="9"/>
      <c r="AA30" s="9"/>
      <c r="AB30" s="9" t="s">
        <v>1363</v>
      </c>
      <c r="AC30" s="9"/>
      <c r="AD30" s="9"/>
      <c r="AE30" s="9"/>
      <c r="AF30" s="9"/>
      <c r="AG30" s="9" t="s">
        <v>25</v>
      </c>
      <c r="AH30" s="9"/>
      <c r="AI30" s="9"/>
      <c r="AJ30" s="9"/>
      <c r="AK30" s="9"/>
      <c r="AL30" s="9"/>
      <c r="AM30" s="9"/>
      <c r="AN30" s="9"/>
      <c r="AO30" s="9"/>
      <c r="AP30" s="9"/>
      <c r="AQ30" s="9"/>
      <c r="AR30" s="9"/>
      <c r="AS30" s="9"/>
      <c r="AT30" s="9"/>
      <c r="AU30" s="9"/>
      <c r="AV30" s="9" t="s">
        <v>25</v>
      </c>
      <c r="AW30" s="9"/>
      <c r="AX30" s="9"/>
      <c r="AY30" s="39"/>
      <c r="AZ30" s="9"/>
      <c r="BA30" s="9"/>
      <c r="BB30" s="9"/>
      <c r="BC30" s="9"/>
      <c r="BD30" s="9"/>
      <c r="BE30" s="9"/>
      <c r="BF30" s="9" t="s">
        <v>25</v>
      </c>
      <c r="BG30" s="9"/>
      <c r="BH30" s="9"/>
      <c r="BI30" s="9"/>
      <c r="BJ30" s="9"/>
      <c r="BK30" s="9"/>
      <c r="BL30" s="9"/>
      <c r="BM30" s="9"/>
      <c r="BN30" s="9"/>
      <c r="BO30" s="9"/>
      <c r="BP30" s="9"/>
      <c r="BQ30" s="9" t="s">
        <v>25</v>
      </c>
      <c r="BR30" s="9"/>
      <c r="BS30" s="9"/>
      <c r="BT30" s="9"/>
      <c r="BU30" s="9"/>
      <c r="BV30" s="9"/>
      <c r="BW30" s="9"/>
      <c r="BX30" s="9"/>
      <c r="BY30" s="9"/>
      <c r="BZ30" s="9"/>
      <c r="CA30" s="9"/>
      <c r="CB30" s="9"/>
      <c r="CC30" s="9" t="s">
        <v>1383</v>
      </c>
      <c r="CD30" s="9" t="s">
        <v>25</v>
      </c>
      <c r="CE30" s="9" t="s">
        <v>25</v>
      </c>
      <c r="CF30" s="9"/>
      <c r="CG30" s="9"/>
      <c r="CH30" s="9"/>
      <c r="CI30" s="9"/>
      <c r="CJ30" s="9"/>
      <c r="CK30" s="9"/>
      <c r="CL30" s="9" t="s">
        <v>25</v>
      </c>
      <c r="CM30" s="9"/>
      <c r="CN30" s="9" t="s">
        <v>1370</v>
      </c>
      <c r="CO30" s="9" t="s">
        <v>25</v>
      </c>
      <c r="CP30" s="9"/>
      <c r="CQ30" s="9" t="s">
        <v>25</v>
      </c>
      <c r="CR30" s="9"/>
    </row>
    <row r="31" spans="1:96" ht="63.75" x14ac:dyDescent="0.2">
      <c r="A31" s="8" t="s">
        <v>174</v>
      </c>
      <c r="B31" s="9" t="s">
        <v>1362</v>
      </c>
      <c r="C31" s="9"/>
      <c r="D31" s="9"/>
      <c r="E31" s="9"/>
      <c r="F31" s="9"/>
      <c r="G31" s="9"/>
      <c r="H31" s="9"/>
      <c r="I31" s="9"/>
      <c r="J31" s="9"/>
      <c r="K31" s="9"/>
      <c r="L31" s="9"/>
      <c r="M31" s="9"/>
      <c r="N31" s="9"/>
      <c r="O31" s="9"/>
      <c r="P31" s="9"/>
      <c r="Q31" s="9"/>
      <c r="R31" s="9"/>
      <c r="S31" s="9"/>
      <c r="T31" s="9"/>
      <c r="U31" s="9"/>
      <c r="V31" s="9"/>
      <c r="W31" s="9"/>
      <c r="X31" s="9"/>
      <c r="Y31" s="9"/>
      <c r="Z31" s="9"/>
      <c r="AA31" s="9"/>
      <c r="AB31" s="9" t="s">
        <v>1363</v>
      </c>
      <c r="AC31" s="9"/>
      <c r="AD31" s="9"/>
      <c r="AE31" s="9"/>
      <c r="AF31" s="9"/>
      <c r="AG31" s="9" t="s">
        <v>28</v>
      </c>
      <c r="AH31" s="9" t="s">
        <v>28</v>
      </c>
      <c r="AI31" s="9" t="s">
        <v>1364</v>
      </c>
      <c r="AJ31" s="9"/>
      <c r="AK31" s="9" t="s">
        <v>25</v>
      </c>
      <c r="AL31" s="9" t="s">
        <v>603</v>
      </c>
      <c r="AM31" s="9"/>
      <c r="AN31" s="9" t="s">
        <v>1519</v>
      </c>
      <c r="AO31" s="9"/>
      <c r="AP31" s="9" t="s">
        <v>741</v>
      </c>
      <c r="AQ31" s="9" t="s">
        <v>604</v>
      </c>
      <c r="AR31" s="9" t="s">
        <v>604</v>
      </c>
      <c r="AS31" s="9" t="s">
        <v>741</v>
      </c>
      <c r="AT31" s="9" t="s">
        <v>741</v>
      </c>
      <c r="AU31" s="9" t="s">
        <v>604</v>
      </c>
      <c r="AV31" s="9" t="s">
        <v>25</v>
      </c>
      <c r="AW31" s="9"/>
      <c r="AX31" s="9"/>
      <c r="AY31" s="39"/>
      <c r="AZ31" s="9"/>
      <c r="BA31" s="9"/>
      <c r="BB31" s="9"/>
      <c r="BC31" s="9"/>
      <c r="BD31" s="9"/>
      <c r="BE31" s="9"/>
      <c r="BF31" s="9" t="s">
        <v>28</v>
      </c>
      <c r="BG31" s="9" t="s">
        <v>13895</v>
      </c>
      <c r="BH31" s="9" t="s">
        <v>25</v>
      </c>
      <c r="BI31" s="9" t="s">
        <v>603</v>
      </c>
      <c r="BJ31" s="9"/>
      <c r="BK31" s="9" t="s">
        <v>741</v>
      </c>
      <c r="BL31" s="9" t="s">
        <v>604</v>
      </c>
      <c r="BM31" s="9" t="s">
        <v>604</v>
      </c>
      <c r="BN31" s="9" t="s">
        <v>741</v>
      </c>
      <c r="BO31" s="9" t="s">
        <v>741</v>
      </c>
      <c r="BP31" s="9" t="s">
        <v>604</v>
      </c>
      <c r="BQ31" s="9" t="s">
        <v>25</v>
      </c>
      <c r="BR31" s="9"/>
      <c r="BS31" s="9"/>
      <c r="BT31" s="9"/>
      <c r="BU31" s="9"/>
      <c r="BV31" s="9"/>
      <c r="BW31" s="9"/>
      <c r="BX31" s="9"/>
      <c r="BY31" s="9"/>
      <c r="BZ31" s="9"/>
      <c r="CA31" s="9"/>
      <c r="CB31" s="9"/>
      <c r="CC31" s="9" t="s">
        <v>1511</v>
      </c>
      <c r="CD31" s="9" t="s">
        <v>25</v>
      </c>
      <c r="CE31" s="9" t="s">
        <v>25</v>
      </c>
      <c r="CF31" s="9" t="s">
        <v>741</v>
      </c>
      <c r="CG31" s="9" t="s">
        <v>604</v>
      </c>
      <c r="CH31" s="9" t="s">
        <v>604</v>
      </c>
      <c r="CI31" s="9" t="s">
        <v>741</v>
      </c>
      <c r="CJ31" s="9" t="s">
        <v>741</v>
      </c>
      <c r="CK31" s="9" t="s">
        <v>604</v>
      </c>
      <c r="CL31" s="9" t="s">
        <v>25</v>
      </c>
      <c r="CM31" s="9"/>
      <c r="CN31" s="9" t="s">
        <v>1370</v>
      </c>
      <c r="CO31" s="9" t="s">
        <v>25</v>
      </c>
      <c r="CP31" s="9"/>
      <c r="CQ31" s="9" t="s">
        <v>1405</v>
      </c>
      <c r="CR31" s="9"/>
    </row>
    <row r="32" spans="1:96" ht="63.75" x14ac:dyDescent="0.2">
      <c r="A32" s="8" t="s">
        <v>124</v>
      </c>
      <c r="B32" s="9" t="s">
        <v>1362</v>
      </c>
      <c r="C32" s="9"/>
      <c r="D32" s="9"/>
      <c r="E32" s="9"/>
      <c r="F32" s="9"/>
      <c r="G32" s="9"/>
      <c r="H32" s="9"/>
      <c r="I32" s="9"/>
      <c r="J32" s="9"/>
      <c r="K32" s="9"/>
      <c r="L32" s="9"/>
      <c r="M32" s="9"/>
      <c r="N32" s="9"/>
      <c r="O32" s="9"/>
      <c r="P32" s="9"/>
      <c r="Q32" s="9"/>
      <c r="R32" s="9"/>
      <c r="S32" s="9"/>
      <c r="T32" s="9"/>
      <c r="U32" s="9"/>
      <c r="V32" s="9"/>
      <c r="W32" s="9"/>
      <c r="X32" s="9"/>
      <c r="Y32" s="9"/>
      <c r="Z32" s="9"/>
      <c r="AA32" s="9"/>
      <c r="AB32" s="9" t="s">
        <v>1363</v>
      </c>
      <c r="AC32" s="9"/>
      <c r="AD32" s="9"/>
      <c r="AE32" s="9"/>
      <c r="AF32" s="9"/>
      <c r="AG32" s="9" t="s">
        <v>28</v>
      </c>
      <c r="AH32" s="9" t="s">
        <v>28</v>
      </c>
      <c r="AI32" s="9" t="s">
        <v>1398</v>
      </c>
      <c r="AJ32" s="9"/>
      <c r="AK32" s="9" t="s">
        <v>25</v>
      </c>
      <c r="AL32" s="9" t="s">
        <v>603</v>
      </c>
      <c r="AM32" s="9"/>
      <c r="AN32" s="9" t="s">
        <v>14480</v>
      </c>
      <c r="AO32" s="9" t="s">
        <v>1399</v>
      </c>
      <c r="AP32" s="9" t="s">
        <v>741</v>
      </c>
      <c r="AQ32" s="9" t="s">
        <v>741</v>
      </c>
      <c r="AR32" s="9" t="s">
        <v>604</v>
      </c>
      <c r="AS32" s="9" t="s">
        <v>741</v>
      </c>
      <c r="AT32" s="9" t="s">
        <v>741</v>
      </c>
      <c r="AU32" s="9" t="s">
        <v>741</v>
      </c>
      <c r="AV32" s="9" t="s">
        <v>28</v>
      </c>
      <c r="AW32" s="9" t="s">
        <v>25</v>
      </c>
      <c r="AX32" s="9" t="s">
        <v>603</v>
      </c>
      <c r="AY32" s="39"/>
      <c r="AZ32" s="9" t="s">
        <v>605</v>
      </c>
      <c r="BA32" s="9" t="s">
        <v>605</v>
      </c>
      <c r="BB32" s="9" t="s">
        <v>604</v>
      </c>
      <c r="BC32" s="9" t="s">
        <v>605</v>
      </c>
      <c r="BD32" s="9" t="s">
        <v>679</v>
      </c>
      <c r="BE32" s="9" t="s">
        <v>605</v>
      </c>
      <c r="BF32" s="9" t="s">
        <v>28</v>
      </c>
      <c r="BG32" s="9" t="s">
        <v>1400</v>
      </c>
      <c r="BH32" s="9" t="s">
        <v>25</v>
      </c>
      <c r="BI32" s="9" t="s">
        <v>603</v>
      </c>
      <c r="BJ32" s="9"/>
      <c r="BK32" s="9" t="s">
        <v>606</v>
      </c>
      <c r="BL32" s="9" t="s">
        <v>606</v>
      </c>
      <c r="BM32" s="9" t="s">
        <v>604</v>
      </c>
      <c r="BN32" s="9" t="s">
        <v>606</v>
      </c>
      <c r="BO32" s="9" t="s">
        <v>606</v>
      </c>
      <c r="BP32" s="9" t="s">
        <v>606</v>
      </c>
      <c r="BQ32" s="9" t="s">
        <v>25</v>
      </c>
      <c r="BR32" s="9"/>
      <c r="BS32" s="9"/>
      <c r="BT32" s="9"/>
      <c r="BU32" s="9"/>
      <c r="BV32" s="9"/>
      <c r="BW32" s="9"/>
      <c r="BX32" s="9"/>
      <c r="BY32" s="9"/>
      <c r="BZ32" s="9"/>
      <c r="CA32" s="9"/>
      <c r="CB32" s="9"/>
      <c r="CC32" s="9" t="s">
        <v>1401</v>
      </c>
      <c r="CD32" s="9" t="s">
        <v>25</v>
      </c>
      <c r="CE32" s="9" t="s">
        <v>25</v>
      </c>
      <c r="CF32" s="9" t="s">
        <v>605</v>
      </c>
      <c r="CG32" s="9" t="s">
        <v>605</v>
      </c>
      <c r="CH32" s="9" t="s">
        <v>604</v>
      </c>
      <c r="CI32" s="9" t="s">
        <v>605</v>
      </c>
      <c r="CJ32" s="9" t="s">
        <v>605</v>
      </c>
      <c r="CK32" s="9" t="s">
        <v>605</v>
      </c>
      <c r="CL32" s="9" t="s">
        <v>28</v>
      </c>
      <c r="CM32" s="9" t="s">
        <v>14492</v>
      </c>
      <c r="CN32" s="9" t="s">
        <v>1402</v>
      </c>
      <c r="CO32" s="9" t="s">
        <v>25</v>
      </c>
      <c r="CP32" s="9"/>
      <c r="CQ32" s="9" t="s">
        <v>1403</v>
      </c>
      <c r="CR32" s="9"/>
    </row>
    <row r="33" spans="1:96" ht="63.75" x14ac:dyDescent="0.2">
      <c r="A33" s="8" t="s">
        <v>117</v>
      </c>
      <c r="B33" s="9" t="s">
        <v>1362</v>
      </c>
      <c r="C33" s="9"/>
      <c r="D33" s="9"/>
      <c r="E33" s="9"/>
      <c r="F33" s="9"/>
      <c r="G33" s="9"/>
      <c r="H33" s="9"/>
      <c r="I33" s="9"/>
      <c r="J33" s="9"/>
      <c r="K33" s="9"/>
      <c r="L33" s="9"/>
      <c r="M33" s="9"/>
      <c r="N33" s="9"/>
      <c r="O33" s="9"/>
      <c r="P33" s="9"/>
      <c r="Q33" s="9"/>
      <c r="R33" s="9"/>
      <c r="S33" s="9"/>
      <c r="T33" s="9"/>
      <c r="U33" s="9"/>
      <c r="V33" s="9"/>
      <c r="W33" s="9"/>
      <c r="X33" s="9"/>
      <c r="Y33" s="9"/>
      <c r="Z33" s="9"/>
      <c r="AA33" s="9"/>
      <c r="AB33" s="9" t="s">
        <v>1363</v>
      </c>
      <c r="AC33" s="9"/>
      <c r="AD33" s="9"/>
      <c r="AE33" s="9"/>
      <c r="AF33" s="9"/>
      <c r="AG33" s="9" t="s">
        <v>28</v>
      </c>
      <c r="AH33" s="9" t="s">
        <v>28</v>
      </c>
      <c r="AI33" s="9" t="s">
        <v>1364</v>
      </c>
      <c r="AJ33" s="9"/>
      <c r="AK33" s="9" t="s">
        <v>25</v>
      </c>
      <c r="AL33" s="9" t="s">
        <v>603</v>
      </c>
      <c r="AM33" s="9"/>
      <c r="AN33" s="9" t="s">
        <v>14475</v>
      </c>
      <c r="AO33" s="9" t="s">
        <v>1366</v>
      </c>
      <c r="AP33" s="9" t="s">
        <v>604</v>
      </c>
      <c r="AQ33" s="9" t="s">
        <v>604</v>
      </c>
      <c r="AR33" s="9" t="s">
        <v>604</v>
      </c>
      <c r="AS33" s="9" t="s">
        <v>605</v>
      </c>
      <c r="AT33" s="9" t="s">
        <v>606</v>
      </c>
      <c r="AU33" s="9" t="s">
        <v>604</v>
      </c>
      <c r="AV33" s="9" t="s">
        <v>25</v>
      </c>
      <c r="AW33" s="9"/>
      <c r="AX33" s="9"/>
      <c r="AY33" s="39"/>
      <c r="AZ33" s="9"/>
      <c r="BA33" s="9"/>
      <c r="BB33" s="9"/>
      <c r="BC33" s="9"/>
      <c r="BD33" s="9"/>
      <c r="BE33" s="9"/>
      <c r="BF33" s="9" t="s">
        <v>28</v>
      </c>
      <c r="BG33" s="9" t="s">
        <v>1367</v>
      </c>
      <c r="BH33" s="9" t="s">
        <v>25</v>
      </c>
      <c r="BI33" s="9" t="s">
        <v>603</v>
      </c>
      <c r="BJ33" s="9"/>
      <c r="BK33" s="9" t="s">
        <v>604</v>
      </c>
      <c r="BL33" s="9" t="s">
        <v>604</v>
      </c>
      <c r="BM33" s="9" t="s">
        <v>604</v>
      </c>
      <c r="BN33" s="9" t="s">
        <v>605</v>
      </c>
      <c r="BO33" s="9" t="s">
        <v>606</v>
      </c>
      <c r="BP33" s="9" t="s">
        <v>604</v>
      </c>
      <c r="BQ33" s="9" t="s">
        <v>25</v>
      </c>
      <c r="BR33" s="9"/>
      <c r="BS33" s="9"/>
      <c r="BT33" s="9"/>
      <c r="BU33" s="9"/>
      <c r="BV33" s="9"/>
      <c r="BW33" s="9"/>
      <c r="BX33" s="9"/>
      <c r="BY33" s="9"/>
      <c r="BZ33" s="9"/>
      <c r="CA33" s="9"/>
      <c r="CB33" s="9"/>
      <c r="CC33" s="9" t="s">
        <v>1368</v>
      </c>
      <c r="CD33" s="9" t="s">
        <v>28</v>
      </c>
      <c r="CE33" s="9" t="s">
        <v>25</v>
      </c>
      <c r="CF33" s="9" t="s">
        <v>604</v>
      </c>
      <c r="CG33" s="9" t="s">
        <v>604</v>
      </c>
      <c r="CH33" s="9" t="s">
        <v>604</v>
      </c>
      <c r="CI33" s="9" t="s">
        <v>605</v>
      </c>
      <c r="CJ33" s="9" t="s">
        <v>606</v>
      </c>
      <c r="CK33" s="9" t="s">
        <v>604</v>
      </c>
      <c r="CL33" s="9" t="s">
        <v>28</v>
      </c>
      <c r="CM33" s="9" t="s">
        <v>1369</v>
      </c>
      <c r="CN33" s="9" t="s">
        <v>1370</v>
      </c>
      <c r="CO33" s="9" t="s">
        <v>28</v>
      </c>
      <c r="CP33" s="9" t="s">
        <v>28</v>
      </c>
      <c r="CQ33" s="9" t="s">
        <v>1371</v>
      </c>
      <c r="CR33" s="9" t="s">
        <v>1372</v>
      </c>
    </row>
    <row r="34" spans="1:96" ht="63.75" x14ac:dyDescent="0.2">
      <c r="A34" s="8" t="s">
        <v>168</v>
      </c>
      <c r="B34" s="9" t="s">
        <v>1362</v>
      </c>
      <c r="C34" s="9"/>
      <c r="D34" s="9"/>
      <c r="E34" s="9"/>
      <c r="F34" s="9"/>
      <c r="G34" s="9"/>
      <c r="H34" s="9"/>
      <c r="I34" s="9"/>
      <c r="J34" s="9"/>
      <c r="K34" s="9"/>
      <c r="L34" s="9"/>
      <c r="M34" s="9"/>
      <c r="N34" s="9"/>
      <c r="O34" s="9"/>
      <c r="P34" s="9"/>
      <c r="Q34" s="9"/>
      <c r="R34" s="9"/>
      <c r="S34" s="9"/>
      <c r="T34" s="9"/>
      <c r="U34" s="9"/>
      <c r="V34" s="9"/>
      <c r="W34" s="9"/>
      <c r="X34" s="9"/>
      <c r="Y34" s="9"/>
      <c r="Z34" s="9"/>
      <c r="AA34" s="9"/>
      <c r="AB34" s="9" t="s">
        <v>1363</v>
      </c>
      <c r="AC34" s="9"/>
      <c r="AD34" s="9"/>
      <c r="AE34" s="9"/>
      <c r="AF34" s="9"/>
      <c r="AG34" s="9" t="s">
        <v>28</v>
      </c>
      <c r="AH34" s="9" t="s">
        <v>28</v>
      </c>
      <c r="AI34" s="9" t="s">
        <v>1501</v>
      </c>
      <c r="AJ34" s="9" t="s">
        <v>1504</v>
      </c>
      <c r="AK34" s="9" t="s">
        <v>25</v>
      </c>
      <c r="AL34" s="9" t="s">
        <v>603</v>
      </c>
      <c r="AM34" s="9"/>
      <c r="AN34" s="9" t="s">
        <v>14481</v>
      </c>
      <c r="AO34" s="9" t="s">
        <v>1505</v>
      </c>
      <c r="AP34" s="9" t="s">
        <v>605</v>
      </c>
      <c r="AQ34" s="9" t="s">
        <v>604</v>
      </c>
      <c r="AR34" s="9" t="s">
        <v>604</v>
      </c>
      <c r="AS34" s="9" t="s">
        <v>605</v>
      </c>
      <c r="AT34" s="9" t="s">
        <v>605</v>
      </c>
      <c r="AU34" s="9" t="s">
        <v>604</v>
      </c>
      <c r="AV34" s="9" t="s">
        <v>28</v>
      </c>
      <c r="AW34" s="9" t="s">
        <v>25</v>
      </c>
      <c r="AX34" s="9" t="s">
        <v>603</v>
      </c>
      <c r="AY34" s="39"/>
      <c r="AZ34" s="9" t="s">
        <v>741</v>
      </c>
      <c r="BA34" s="9" t="s">
        <v>604</v>
      </c>
      <c r="BB34" s="9" t="s">
        <v>604</v>
      </c>
      <c r="BC34" s="9" t="s">
        <v>741</v>
      </c>
      <c r="BD34" s="9" t="s">
        <v>741</v>
      </c>
      <c r="BE34" s="9" t="s">
        <v>604</v>
      </c>
      <c r="BF34" s="9" t="s">
        <v>25</v>
      </c>
      <c r="BG34" s="9"/>
      <c r="BH34" s="9" t="s">
        <v>25</v>
      </c>
      <c r="BI34" s="9" t="s">
        <v>603</v>
      </c>
      <c r="BJ34" s="9"/>
      <c r="BK34" s="9"/>
      <c r="BL34" s="9"/>
      <c r="BM34" s="9"/>
      <c r="BN34" s="9"/>
      <c r="BO34" s="9"/>
      <c r="BP34" s="9"/>
      <c r="BQ34" s="9" t="s">
        <v>25</v>
      </c>
      <c r="BR34" s="9"/>
      <c r="BS34" s="9"/>
      <c r="BT34" s="9"/>
      <c r="BU34" s="9"/>
      <c r="BV34" s="9"/>
      <c r="BW34" s="9"/>
      <c r="BX34" s="9"/>
      <c r="BY34" s="9"/>
      <c r="BZ34" s="9"/>
      <c r="CA34" s="9"/>
      <c r="CB34" s="9"/>
      <c r="CC34" s="9" t="s">
        <v>14490</v>
      </c>
      <c r="CD34" s="9" t="s">
        <v>25</v>
      </c>
      <c r="CE34" s="9" t="s">
        <v>25</v>
      </c>
      <c r="CF34" s="9" t="s">
        <v>741</v>
      </c>
      <c r="CG34" s="9" t="s">
        <v>604</v>
      </c>
      <c r="CH34" s="9" t="s">
        <v>604</v>
      </c>
      <c r="CI34" s="9" t="s">
        <v>741</v>
      </c>
      <c r="CJ34" s="9" t="s">
        <v>741</v>
      </c>
      <c r="CK34" s="9" t="s">
        <v>604</v>
      </c>
      <c r="CL34" s="9" t="s">
        <v>28</v>
      </c>
      <c r="CM34" s="9" t="s">
        <v>1369</v>
      </c>
      <c r="CN34" s="9" t="s">
        <v>1370</v>
      </c>
      <c r="CO34" s="9" t="s">
        <v>28</v>
      </c>
      <c r="CP34" s="9" t="s">
        <v>28</v>
      </c>
      <c r="CQ34" s="9" t="s">
        <v>25</v>
      </c>
      <c r="CR34" s="9"/>
    </row>
    <row r="35" spans="1:96" ht="38.25" x14ac:dyDescent="0.2">
      <c r="A35" s="8" t="s">
        <v>143</v>
      </c>
      <c r="B35" s="9" t="s">
        <v>1362</v>
      </c>
      <c r="C35" s="9"/>
      <c r="D35" s="9"/>
      <c r="E35" s="9"/>
      <c r="F35" s="9"/>
      <c r="G35" s="9"/>
      <c r="H35" s="9"/>
      <c r="I35" s="9"/>
      <c r="J35" s="9"/>
      <c r="K35" s="9"/>
      <c r="L35" s="9"/>
      <c r="M35" s="9"/>
      <c r="N35" s="9"/>
      <c r="O35" s="9"/>
      <c r="P35" s="9"/>
      <c r="Q35" s="9"/>
      <c r="R35" s="9"/>
      <c r="S35" s="9"/>
      <c r="T35" s="9"/>
      <c r="U35" s="9"/>
      <c r="V35" s="9"/>
      <c r="W35" s="9"/>
      <c r="X35" s="9"/>
      <c r="Y35" s="9"/>
      <c r="Z35" s="9"/>
      <c r="AA35" s="9"/>
      <c r="AB35" s="9" t="s">
        <v>1363</v>
      </c>
      <c r="AC35" s="9"/>
      <c r="AD35" s="9"/>
      <c r="AE35" s="9"/>
      <c r="AF35" s="9"/>
      <c r="AG35" s="9" t="s">
        <v>28</v>
      </c>
      <c r="AH35" s="9" t="s">
        <v>28</v>
      </c>
      <c r="AI35" s="9" t="s">
        <v>14470</v>
      </c>
      <c r="AJ35" s="9"/>
      <c r="AK35" s="9" t="s">
        <v>25</v>
      </c>
      <c r="AL35" s="9" t="s">
        <v>603</v>
      </c>
      <c r="AM35" s="9"/>
      <c r="AN35" s="9" t="s">
        <v>14482</v>
      </c>
      <c r="AO35" s="9"/>
      <c r="AP35" s="9" t="s">
        <v>741</v>
      </c>
      <c r="AQ35" s="9"/>
      <c r="AR35" s="9"/>
      <c r="AS35" s="9" t="s">
        <v>741</v>
      </c>
      <c r="AT35" s="9" t="s">
        <v>741</v>
      </c>
      <c r="AU35" s="9"/>
      <c r="AV35" s="9" t="s">
        <v>25</v>
      </c>
      <c r="AW35" s="9"/>
      <c r="AX35" s="9"/>
      <c r="AY35" s="39"/>
      <c r="AZ35" s="9"/>
      <c r="BA35" s="9"/>
      <c r="BB35" s="9"/>
      <c r="BC35" s="9"/>
      <c r="BD35" s="9"/>
      <c r="BE35" s="9"/>
      <c r="BF35" s="9" t="s">
        <v>25</v>
      </c>
      <c r="BG35" s="9"/>
      <c r="BH35" s="9"/>
      <c r="BI35" s="9"/>
      <c r="BJ35" s="9"/>
      <c r="BK35" s="9"/>
      <c r="BL35" s="9"/>
      <c r="BM35" s="9"/>
      <c r="BN35" s="9"/>
      <c r="BO35" s="9"/>
      <c r="BP35" s="9"/>
      <c r="BQ35" s="9" t="s">
        <v>25</v>
      </c>
      <c r="BR35" s="9"/>
      <c r="BS35" s="9"/>
      <c r="BT35" s="9"/>
      <c r="BU35" s="9"/>
      <c r="BV35" s="9"/>
      <c r="BW35" s="9"/>
      <c r="BX35" s="9"/>
      <c r="BY35" s="9"/>
      <c r="BZ35" s="9"/>
      <c r="CA35" s="9"/>
      <c r="CB35" s="9"/>
      <c r="CC35" s="9" t="s">
        <v>1368</v>
      </c>
      <c r="CD35" s="9" t="s">
        <v>25</v>
      </c>
      <c r="CE35" s="9" t="s">
        <v>25</v>
      </c>
      <c r="CF35" s="9" t="s">
        <v>741</v>
      </c>
      <c r="CG35" s="9"/>
      <c r="CH35" s="9"/>
      <c r="CI35" s="9" t="s">
        <v>741</v>
      </c>
      <c r="CJ35" s="9" t="s">
        <v>741</v>
      </c>
      <c r="CK35" s="9"/>
      <c r="CL35" s="9" t="s">
        <v>28</v>
      </c>
      <c r="CM35" s="9" t="s">
        <v>1369</v>
      </c>
      <c r="CN35" s="9" t="s">
        <v>1370</v>
      </c>
      <c r="CO35" s="9" t="s">
        <v>25</v>
      </c>
      <c r="CP35" s="9"/>
      <c r="CQ35" s="9"/>
      <c r="CR35" s="9"/>
    </row>
    <row r="36" spans="1:96" ht="38.25" x14ac:dyDescent="0.2">
      <c r="A36" s="8" t="s">
        <v>180</v>
      </c>
      <c r="B36" s="9" t="s">
        <v>1362</v>
      </c>
      <c r="C36" s="9"/>
      <c r="D36" s="9"/>
      <c r="E36" s="9"/>
      <c r="F36" s="9"/>
      <c r="G36" s="9"/>
      <c r="H36" s="9"/>
      <c r="I36" s="9"/>
      <c r="J36" s="9"/>
      <c r="K36" s="9"/>
      <c r="L36" s="9"/>
      <c r="M36" s="9"/>
      <c r="N36" s="9"/>
      <c r="O36" s="9"/>
      <c r="P36" s="9"/>
      <c r="Q36" s="9"/>
      <c r="R36" s="9"/>
      <c r="S36" s="9"/>
      <c r="T36" s="9"/>
      <c r="U36" s="9"/>
      <c r="V36" s="9"/>
      <c r="W36" s="9"/>
      <c r="X36" s="9"/>
      <c r="Y36" s="9"/>
      <c r="Z36" s="9"/>
      <c r="AA36" s="9"/>
      <c r="AB36" s="9" t="s">
        <v>1363</v>
      </c>
      <c r="AC36" s="9"/>
      <c r="AD36" s="9"/>
      <c r="AE36" s="9"/>
      <c r="AF36" s="9"/>
      <c r="AG36" s="9" t="s">
        <v>28</v>
      </c>
      <c r="AH36" s="9" t="s">
        <v>28</v>
      </c>
      <c r="AI36" s="9" t="s">
        <v>1420</v>
      </c>
      <c r="AJ36" s="9"/>
      <c r="AK36" s="9" t="s">
        <v>25</v>
      </c>
      <c r="AL36" s="9" t="s">
        <v>603</v>
      </c>
      <c r="AM36" s="9"/>
      <c r="AN36" s="9" t="s">
        <v>1530</v>
      </c>
      <c r="AO36" s="9" t="s">
        <v>1469</v>
      </c>
      <c r="AP36" s="9" t="s">
        <v>741</v>
      </c>
      <c r="AQ36" s="9" t="s">
        <v>604</v>
      </c>
      <c r="AR36" s="9" t="s">
        <v>604</v>
      </c>
      <c r="AS36" s="9" t="s">
        <v>741</v>
      </c>
      <c r="AT36" s="9" t="s">
        <v>741</v>
      </c>
      <c r="AU36" s="9" t="s">
        <v>604</v>
      </c>
      <c r="AV36" s="9" t="s">
        <v>28</v>
      </c>
      <c r="AW36" s="9" t="s">
        <v>25</v>
      </c>
      <c r="AX36" s="9" t="s">
        <v>603</v>
      </c>
      <c r="AY36" s="39"/>
      <c r="AZ36" s="9" t="s">
        <v>741</v>
      </c>
      <c r="BA36" s="9" t="s">
        <v>604</v>
      </c>
      <c r="BB36" s="9" t="s">
        <v>604</v>
      </c>
      <c r="BC36" s="9" t="s">
        <v>741</v>
      </c>
      <c r="BD36" s="9" t="s">
        <v>741</v>
      </c>
      <c r="BE36" s="9" t="s">
        <v>604</v>
      </c>
      <c r="BF36" s="9" t="s">
        <v>25</v>
      </c>
      <c r="BG36" s="9"/>
      <c r="BH36" s="9"/>
      <c r="BI36" s="9"/>
      <c r="BJ36" s="9"/>
      <c r="BK36" s="9"/>
      <c r="BL36" s="9"/>
      <c r="BM36" s="9"/>
      <c r="BN36" s="9"/>
      <c r="BO36" s="9"/>
      <c r="BP36" s="9"/>
      <c r="BQ36" s="9" t="s">
        <v>25</v>
      </c>
      <c r="BR36" s="9"/>
      <c r="BS36" s="9"/>
      <c r="BT36" s="9"/>
      <c r="BU36" s="9"/>
      <c r="BV36" s="9"/>
      <c r="BW36" s="9"/>
      <c r="BX36" s="9"/>
      <c r="BY36" s="9"/>
      <c r="BZ36" s="9"/>
      <c r="CA36" s="9"/>
      <c r="CB36" s="9"/>
      <c r="CC36" s="9" t="s">
        <v>1368</v>
      </c>
      <c r="CD36" s="9" t="s">
        <v>25</v>
      </c>
      <c r="CE36" s="9" t="s">
        <v>25</v>
      </c>
      <c r="CF36" s="9" t="s">
        <v>741</v>
      </c>
      <c r="CG36" s="9" t="s">
        <v>604</v>
      </c>
      <c r="CH36" s="9" t="s">
        <v>604</v>
      </c>
      <c r="CI36" s="9" t="s">
        <v>741</v>
      </c>
      <c r="CJ36" s="9" t="s">
        <v>741</v>
      </c>
      <c r="CK36" s="9" t="s">
        <v>604</v>
      </c>
      <c r="CL36" s="9" t="s">
        <v>28</v>
      </c>
      <c r="CM36" s="9" t="s">
        <v>14494</v>
      </c>
      <c r="CN36" s="9" t="s">
        <v>1458</v>
      </c>
      <c r="CO36" s="9" t="s">
        <v>25</v>
      </c>
      <c r="CP36" s="9"/>
      <c r="CQ36" s="9" t="s">
        <v>1531</v>
      </c>
      <c r="CR36" s="9" t="s">
        <v>1532</v>
      </c>
    </row>
    <row r="37" spans="1:96" ht="76.5" x14ac:dyDescent="0.2">
      <c r="A37" s="8" t="s">
        <v>158</v>
      </c>
      <c r="B37" s="9" t="s">
        <v>1362</v>
      </c>
      <c r="C37" s="9"/>
      <c r="D37" s="9" t="s">
        <v>1388</v>
      </c>
      <c r="E37" s="9"/>
      <c r="F37" s="9" t="s">
        <v>1387</v>
      </c>
      <c r="G37" s="9" t="s">
        <v>1387</v>
      </c>
      <c r="H37" s="9"/>
      <c r="I37" s="9"/>
      <c r="J37" s="9"/>
      <c r="K37" s="9"/>
      <c r="L37" s="9" t="s">
        <v>1387</v>
      </c>
      <c r="M37" s="9"/>
      <c r="N37" s="9"/>
      <c r="O37" s="9" t="s">
        <v>1388</v>
      </c>
      <c r="P37" s="9"/>
      <c r="Q37" s="9"/>
      <c r="R37" s="9"/>
      <c r="S37" s="9"/>
      <c r="T37" s="9"/>
      <c r="U37" s="9"/>
      <c r="V37" s="9" t="s">
        <v>1387</v>
      </c>
      <c r="W37" s="9"/>
      <c r="X37" s="9"/>
      <c r="Y37" s="9" t="s">
        <v>1392</v>
      </c>
      <c r="Z37" s="9"/>
      <c r="AA37" s="9"/>
      <c r="AB37" s="9" t="s">
        <v>1363</v>
      </c>
      <c r="AC37" s="9"/>
      <c r="AD37" s="9"/>
      <c r="AE37" s="9"/>
      <c r="AF37" s="9"/>
      <c r="AG37" s="9" t="s">
        <v>28</v>
      </c>
      <c r="AH37" s="9" t="s">
        <v>28</v>
      </c>
      <c r="AI37" s="9" t="s">
        <v>14470</v>
      </c>
      <c r="AJ37" s="9"/>
      <c r="AK37" s="9" t="s">
        <v>25</v>
      </c>
      <c r="AL37" s="9" t="s">
        <v>603</v>
      </c>
      <c r="AM37" s="9"/>
      <c r="AN37" s="9" t="s">
        <v>14483</v>
      </c>
      <c r="AO37" s="9" t="s">
        <v>1384</v>
      </c>
      <c r="AP37" s="9" t="s">
        <v>605</v>
      </c>
      <c r="AQ37" s="9" t="s">
        <v>604</v>
      </c>
      <c r="AR37" s="9" t="s">
        <v>605</v>
      </c>
      <c r="AS37" s="9" t="s">
        <v>605</v>
      </c>
      <c r="AT37" s="9" t="s">
        <v>605</v>
      </c>
      <c r="AU37" s="9" t="s">
        <v>604</v>
      </c>
      <c r="AV37" s="9" t="s">
        <v>28</v>
      </c>
      <c r="AW37" s="9" t="s">
        <v>25</v>
      </c>
      <c r="AX37" s="9" t="s">
        <v>603</v>
      </c>
      <c r="AY37" s="39"/>
      <c r="AZ37" s="9" t="s">
        <v>741</v>
      </c>
      <c r="BA37" s="9" t="s">
        <v>604</v>
      </c>
      <c r="BB37" s="9" t="s">
        <v>741</v>
      </c>
      <c r="BC37" s="9" t="s">
        <v>741</v>
      </c>
      <c r="BD37" s="9" t="s">
        <v>741</v>
      </c>
      <c r="BE37" s="9" t="s">
        <v>604</v>
      </c>
      <c r="BF37" s="9" t="s">
        <v>28</v>
      </c>
      <c r="BG37" s="9" t="s">
        <v>1485</v>
      </c>
      <c r="BH37" s="9" t="s">
        <v>25</v>
      </c>
      <c r="BI37" s="9" t="s">
        <v>603</v>
      </c>
      <c r="BJ37" s="9"/>
      <c r="BK37" s="9" t="s">
        <v>605</v>
      </c>
      <c r="BL37" s="9" t="s">
        <v>604</v>
      </c>
      <c r="BM37" s="9" t="s">
        <v>605</v>
      </c>
      <c r="BN37" s="9" t="s">
        <v>605</v>
      </c>
      <c r="BO37" s="9" t="s">
        <v>605</v>
      </c>
      <c r="BP37" s="9" t="s">
        <v>604</v>
      </c>
      <c r="BQ37" s="9" t="s">
        <v>25</v>
      </c>
      <c r="BR37" s="9"/>
      <c r="BS37" s="9"/>
      <c r="BT37" s="9"/>
      <c r="BU37" s="9"/>
      <c r="BV37" s="9"/>
      <c r="BW37" s="9"/>
      <c r="BX37" s="9"/>
      <c r="BY37" s="9"/>
      <c r="BZ37" s="9"/>
      <c r="CA37" s="9"/>
      <c r="CB37" s="9"/>
      <c r="CC37" s="9" t="s">
        <v>13897</v>
      </c>
      <c r="CD37" s="9" t="s">
        <v>28</v>
      </c>
      <c r="CE37" s="9" t="s">
        <v>25</v>
      </c>
      <c r="CF37" s="9" t="s">
        <v>741</v>
      </c>
      <c r="CG37" s="9" t="s">
        <v>604</v>
      </c>
      <c r="CH37" s="9" t="s">
        <v>741</v>
      </c>
      <c r="CI37" s="9" t="s">
        <v>741</v>
      </c>
      <c r="CJ37" s="9" t="s">
        <v>605</v>
      </c>
      <c r="CK37" s="9" t="s">
        <v>604</v>
      </c>
      <c r="CL37" s="9" t="s">
        <v>25</v>
      </c>
      <c r="CM37" s="9"/>
      <c r="CN37" s="9" t="s">
        <v>1370</v>
      </c>
      <c r="CO37" s="9" t="s">
        <v>28</v>
      </c>
      <c r="CP37" s="9" t="s">
        <v>28</v>
      </c>
      <c r="CQ37" s="9"/>
      <c r="CR37" s="9" t="s">
        <v>1486</v>
      </c>
    </row>
    <row r="38" spans="1:96" ht="76.5" x14ac:dyDescent="0.2">
      <c r="A38" s="8" t="s">
        <v>150</v>
      </c>
      <c r="B38" s="9" t="s">
        <v>1362</v>
      </c>
      <c r="C38" s="9"/>
      <c r="D38" s="9"/>
      <c r="E38" s="9"/>
      <c r="F38" s="9"/>
      <c r="G38" s="9"/>
      <c r="H38" s="9"/>
      <c r="I38" s="9"/>
      <c r="J38" s="9"/>
      <c r="K38" s="9"/>
      <c r="L38" s="9"/>
      <c r="M38" s="9"/>
      <c r="N38" s="9"/>
      <c r="O38" s="9"/>
      <c r="P38" s="9"/>
      <c r="Q38" s="9"/>
      <c r="R38" s="9"/>
      <c r="S38" s="9"/>
      <c r="T38" s="9"/>
      <c r="U38" s="9"/>
      <c r="V38" s="9"/>
      <c r="W38" s="9"/>
      <c r="X38" s="9"/>
      <c r="Y38" s="9"/>
      <c r="Z38" s="9"/>
      <c r="AA38" s="9"/>
      <c r="AB38" s="9" t="s">
        <v>1363</v>
      </c>
      <c r="AC38" s="9"/>
      <c r="AD38" s="9"/>
      <c r="AE38" s="9"/>
      <c r="AF38" s="9"/>
      <c r="AG38" s="9" t="s">
        <v>28</v>
      </c>
      <c r="AH38" s="9" t="s">
        <v>28</v>
      </c>
      <c r="AI38" s="9" t="s">
        <v>14469</v>
      </c>
      <c r="AJ38" s="9" t="s">
        <v>1471</v>
      </c>
      <c r="AK38" s="9" t="s">
        <v>25</v>
      </c>
      <c r="AL38" s="9" t="s">
        <v>603</v>
      </c>
      <c r="AM38" s="9"/>
      <c r="AN38" s="9" t="s">
        <v>14484</v>
      </c>
      <c r="AO38" s="9" t="s">
        <v>13514</v>
      </c>
      <c r="AP38" s="9" t="s">
        <v>605</v>
      </c>
      <c r="AQ38" s="9" t="s">
        <v>604</v>
      </c>
      <c r="AR38" s="9" t="s">
        <v>604</v>
      </c>
      <c r="AS38" s="9" t="s">
        <v>605</v>
      </c>
      <c r="AT38" s="9" t="s">
        <v>605</v>
      </c>
      <c r="AU38" s="9" t="s">
        <v>604</v>
      </c>
      <c r="AV38" s="9" t="s">
        <v>25</v>
      </c>
      <c r="AW38" s="9"/>
      <c r="AX38" s="9"/>
      <c r="AY38" s="39"/>
      <c r="AZ38" s="9"/>
      <c r="BA38" s="9"/>
      <c r="BB38" s="9"/>
      <c r="BC38" s="9"/>
      <c r="BD38" s="9"/>
      <c r="BE38" s="9"/>
      <c r="BF38" s="9" t="s">
        <v>25</v>
      </c>
      <c r="BG38" s="9"/>
      <c r="BH38" s="9"/>
      <c r="BI38" s="9"/>
      <c r="BJ38" s="9"/>
      <c r="BK38" s="9"/>
      <c r="BL38" s="9"/>
      <c r="BM38" s="9"/>
      <c r="BN38" s="9"/>
      <c r="BO38" s="9"/>
      <c r="BP38" s="9"/>
      <c r="BQ38" s="9" t="s">
        <v>25</v>
      </c>
      <c r="BR38" s="9"/>
      <c r="BS38" s="9"/>
      <c r="BT38" s="9"/>
      <c r="BU38" s="9"/>
      <c r="BV38" s="9"/>
      <c r="BW38" s="9"/>
      <c r="BX38" s="9"/>
      <c r="BY38" s="9"/>
      <c r="BZ38" s="9"/>
      <c r="CA38" s="9"/>
      <c r="CB38" s="9"/>
      <c r="CC38" s="9" t="s">
        <v>1368</v>
      </c>
      <c r="CD38" s="9" t="s">
        <v>25</v>
      </c>
      <c r="CE38" s="9" t="s">
        <v>25</v>
      </c>
      <c r="CF38" s="9" t="s">
        <v>605</v>
      </c>
      <c r="CG38" s="9" t="s">
        <v>604</v>
      </c>
      <c r="CH38" s="9" t="s">
        <v>604</v>
      </c>
      <c r="CI38" s="9" t="s">
        <v>605</v>
      </c>
      <c r="CJ38" s="9" t="s">
        <v>605</v>
      </c>
      <c r="CK38" s="9" t="s">
        <v>604</v>
      </c>
      <c r="CL38" s="9" t="s">
        <v>28</v>
      </c>
      <c r="CM38" s="9" t="s">
        <v>1369</v>
      </c>
      <c r="CN38" s="9" t="s">
        <v>1370</v>
      </c>
      <c r="CO38" s="9" t="s">
        <v>25</v>
      </c>
      <c r="CP38" s="9"/>
      <c r="CQ38" s="9" t="s">
        <v>25</v>
      </c>
      <c r="CR38" s="9"/>
    </row>
    <row r="39" spans="1:96" ht="140.25" x14ac:dyDescent="0.2">
      <c r="A39" s="8" t="s">
        <v>135</v>
      </c>
      <c r="B39" s="9" t="s">
        <v>1386</v>
      </c>
      <c r="C39" s="9" t="s">
        <v>1431</v>
      </c>
      <c r="D39" s="9" t="s">
        <v>1387</v>
      </c>
      <c r="E39" s="9" t="s">
        <v>1387</v>
      </c>
      <c r="F39" s="9" t="s">
        <v>1387</v>
      </c>
      <c r="G39" s="9" t="s">
        <v>1387</v>
      </c>
      <c r="H39" s="9"/>
      <c r="I39" s="9" t="s">
        <v>1387</v>
      </c>
      <c r="J39" s="9" t="s">
        <v>1387</v>
      </c>
      <c r="K39" s="9" t="s">
        <v>1387</v>
      </c>
      <c r="L39" s="9" t="s">
        <v>1387</v>
      </c>
      <c r="M39" s="9"/>
      <c r="N39" s="9"/>
      <c r="O39" s="9"/>
      <c r="P39" s="9"/>
      <c r="Q39" s="9"/>
      <c r="R39" s="9"/>
      <c r="S39" s="9"/>
      <c r="T39" s="9"/>
      <c r="U39" s="9"/>
      <c r="V39" s="9" t="s">
        <v>1387</v>
      </c>
      <c r="W39" s="9" t="s">
        <v>1388</v>
      </c>
      <c r="X39" s="9" t="s">
        <v>1388</v>
      </c>
      <c r="Y39" s="9" t="s">
        <v>1416</v>
      </c>
      <c r="Z39" s="9" t="s">
        <v>13501</v>
      </c>
      <c r="AA39" s="9"/>
      <c r="AB39" s="9" t="s">
        <v>1363</v>
      </c>
      <c r="AC39" s="9"/>
      <c r="AD39" s="9"/>
      <c r="AE39" s="9"/>
      <c r="AF39" s="9"/>
      <c r="AG39" s="9" t="s">
        <v>28</v>
      </c>
      <c r="AH39" s="9" t="s">
        <v>28</v>
      </c>
      <c r="AI39" s="9" t="s">
        <v>14470</v>
      </c>
      <c r="AJ39" s="9"/>
      <c r="AK39" s="9" t="s">
        <v>25</v>
      </c>
      <c r="AL39" s="9" t="s">
        <v>603</v>
      </c>
      <c r="AM39" s="9"/>
      <c r="AN39" s="9" t="s">
        <v>14474</v>
      </c>
      <c r="AO39" s="9" t="s">
        <v>1409</v>
      </c>
      <c r="AP39" s="9" t="s">
        <v>741</v>
      </c>
      <c r="AQ39" s="9" t="s">
        <v>604</v>
      </c>
      <c r="AR39" s="9" t="s">
        <v>604</v>
      </c>
      <c r="AS39" s="9" t="s">
        <v>741</v>
      </c>
      <c r="AT39" s="9" t="s">
        <v>605</v>
      </c>
      <c r="AU39" s="9" t="s">
        <v>604</v>
      </c>
      <c r="AV39" s="9" t="s">
        <v>25</v>
      </c>
      <c r="AW39" s="9"/>
      <c r="AX39" s="9"/>
      <c r="AY39" s="39"/>
      <c r="AZ39" s="9"/>
      <c r="BA39" s="9"/>
      <c r="BB39" s="9"/>
      <c r="BC39" s="9"/>
      <c r="BD39" s="9"/>
      <c r="BE39" s="9"/>
      <c r="BF39" s="9" t="s">
        <v>28</v>
      </c>
      <c r="BG39" s="9" t="s">
        <v>1432</v>
      </c>
      <c r="BH39" s="9" t="s">
        <v>25</v>
      </c>
      <c r="BI39" s="9" t="s">
        <v>603</v>
      </c>
      <c r="BJ39" s="9"/>
      <c r="BK39" s="9" t="s">
        <v>741</v>
      </c>
      <c r="BL39" s="9" t="s">
        <v>604</v>
      </c>
      <c r="BM39" s="9" t="s">
        <v>604</v>
      </c>
      <c r="BN39" s="9" t="s">
        <v>741</v>
      </c>
      <c r="BO39" s="9" t="s">
        <v>741</v>
      </c>
      <c r="BP39" s="9" t="s">
        <v>604</v>
      </c>
      <c r="BQ39" s="9" t="s">
        <v>25</v>
      </c>
      <c r="BR39" s="9"/>
      <c r="BS39" s="9"/>
      <c r="BT39" s="9"/>
      <c r="BU39" s="9"/>
      <c r="BV39" s="9"/>
      <c r="BW39" s="9"/>
      <c r="BX39" s="9"/>
      <c r="BY39" s="9"/>
      <c r="BZ39" s="9"/>
      <c r="CA39" s="9"/>
      <c r="CB39" s="9"/>
      <c r="CC39" s="9" t="s">
        <v>1368</v>
      </c>
      <c r="CD39" s="9" t="s">
        <v>28</v>
      </c>
      <c r="CE39" s="9" t="s">
        <v>25</v>
      </c>
      <c r="CF39" s="9" t="s">
        <v>741</v>
      </c>
      <c r="CG39" s="9" t="s">
        <v>604</v>
      </c>
      <c r="CH39" s="9" t="s">
        <v>604</v>
      </c>
      <c r="CI39" s="9" t="s">
        <v>741</v>
      </c>
      <c r="CJ39" s="9" t="s">
        <v>741</v>
      </c>
      <c r="CK39" s="9" t="s">
        <v>604</v>
      </c>
      <c r="CL39" s="9" t="s">
        <v>28</v>
      </c>
      <c r="CM39" s="9" t="s">
        <v>14492</v>
      </c>
      <c r="CN39" s="9" t="s">
        <v>1370</v>
      </c>
      <c r="CO39" s="9" t="s">
        <v>28</v>
      </c>
      <c r="CP39" s="9" t="s">
        <v>28</v>
      </c>
      <c r="CQ39" s="9" t="s">
        <v>1433</v>
      </c>
      <c r="CR39" s="9" t="s">
        <v>1434</v>
      </c>
    </row>
    <row r="40" spans="1:96" ht="63.75" x14ac:dyDescent="0.2">
      <c r="A40" s="8" t="s">
        <v>137</v>
      </c>
      <c r="B40" s="9" t="s">
        <v>1425</v>
      </c>
      <c r="C40" s="9" t="s">
        <v>14457</v>
      </c>
      <c r="D40" s="9" t="s">
        <v>1387</v>
      </c>
      <c r="E40" s="9"/>
      <c r="F40" s="9" t="s">
        <v>1387</v>
      </c>
      <c r="G40" s="9" t="s">
        <v>1388</v>
      </c>
      <c r="H40" s="9"/>
      <c r="I40" s="9"/>
      <c r="J40" s="9"/>
      <c r="K40" s="9" t="s">
        <v>679</v>
      </c>
      <c r="L40" s="9" t="s">
        <v>1387</v>
      </c>
      <c r="M40" s="9" t="s">
        <v>1387</v>
      </c>
      <c r="N40" s="9" t="s">
        <v>1387</v>
      </c>
      <c r="O40" s="9" t="s">
        <v>1387</v>
      </c>
      <c r="P40" s="9"/>
      <c r="Q40" s="9" t="s">
        <v>1387</v>
      </c>
      <c r="R40" s="9"/>
      <c r="S40" s="9"/>
      <c r="T40" s="9"/>
      <c r="U40" s="9"/>
      <c r="V40" s="9"/>
      <c r="W40" s="9" t="s">
        <v>1388</v>
      </c>
      <c r="X40" s="9" t="s">
        <v>1388</v>
      </c>
      <c r="Y40" s="9" t="s">
        <v>1437</v>
      </c>
      <c r="Z40" s="9" t="s">
        <v>13504</v>
      </c>
      <c r="AA40" s="9" t="s">
        <v>1438</v>
      </c>
      <c r="AB40" s="9" t="s">
        <v>1426</v>
      </c>
      <c r="AC40" s="9" t="s">
        <v>14464</v>
      </c>
      <c r="AD40" s="9" t="s">
        <v>1427</v>
      </c>
      <c r="AE40" s="9" t="s">
        <v>13501</v>
      </c>
      <c r="AF40" s="9"/>
      <c r="AG40" s="9" t="s">
        <v>28</v>
      </c>
      <c r="AH40" s="9" t="s">
        <v>28</v>
      </c>
      <c r="AI40" s="9" t="s">
        <v>1364</v>
      </c>
      <c r="AJ40" s="9"/>
      <c r="AK40" s="9" t="s">
        <v>25</v>
      </c>
      <c r="AL40" s="9" t="s">
        <v>603</v>
      </c>
      <c r="AM40" s="9"/>
      <c r="AN40" s="9" t="s">
        <v>13891</v>
      </c>
      <c r="AO40" s="9" t="s">
        <v>1384</v>
      </c>
      <c r="AP40" s="9" t="s">
        <v>605</v>
      </c>
      <c r="AQ40" s="9" t="s">
        <v>604</v>
      </c>
      <c r="AR40" s="9" t="s">
        <v>605</v>
      </c>
      <c r="AS40" s="9" t="s">
        <v>605</v>
      </c>
      <c r="AT40" s="9" t="s">
        <v>605</v>
      </c>
      <c r="AU40" s="9" t="s">
        <v>605</v>
      </c>
      <c r="AV40" s="9" t="s">
        <v>25</v>
      </c>
      <c r="AW40" s="9"/>
      <c r="AX40" s="9"/>
      <c r="AY40" s="39"/>
      <c r="AZ40" s="9"/>
      <c r="BA40" s="9"/>
      <c r="BB40" s="9"/>
      <c r="BC40" s="9"/>
      <c r="BD40" s="9"/>
      <c r="BE40" s="9"/>
      <c r="BF40" s="9" t="s">
        <v>28</v>
      </c>
      <c r="BG40" s="9" t="s">
        <v>1439</v>
      </c>
      <c r="BH40" s="9" t="s">
        <v>25</v>
      </c>
      <c r="BI40" s="9" t="s">
        <v>603</v>
      </c>
      <c r="BJ40" s="9"/>
      <c r="BK40" s="9" t="s">
        <v>605</v>
      </c>
      <c r="BL40" s="9" t="s">
        <v>604</v>
      </c>
      <c r="BM40" s="9" t="s">
        <v>605</v>
      </c>
      <c r="BN40" s="9" t="s">
        <v>605</v>
      </c>
      <c r="BO40" s="9" t="s">
        <v>605</v>
      </c>
      <c r="BP40" s="9" t="s">
        <v>605</v>
      </c>
      <c r="BQ40" s="9" t="s">
        <v>25</v>
      </c>
      <c r="BR40" s="9"/>
      <c r="BS40" s="9"/>
      <c r="BT40" s="9"/>
      <c r="BU40" s="9"/>
      <c r="BV40" s="9"/>
      <c r="BW40" s="9"/>
      <c r="BX40" s="9"/>
      <c r="BY40" s="9"/>
      <c r="BZ40" s="9"/>
      <c r="CA40" s="9"/>
      <c r="CB40" s="9"/>
      <c r="CC40" s="9" t="s">
        <v>1368</v>
      </c>
      <c r="CD40" s="9" t="s">
        <v>28</v>
      </c>
      <c r="CE40" s="9" t="s">
        <v>25</v>
      </c>
      <c r="CF40" s="9" t="s">
        <v>605</v>
      </c>
      <c r="CG40" s="9" t="s">
        <v>604</v>
      </c>
      <c r="CH40" s="9" t="s">
        <v>605</v>
      </c>
      <c r="CI40" s="9" t="s">
        <v>605</v>
      </c>
      <c r="CJ40" s="9" t="s">
        <v>605</v>
      </c>
      <c r="CK40" s="9" t="s">
        <v>605</v>
      </c>
      <c r="CL40" s="9" t="s">
        <v>28</v>
      </c>
      <c r="CM40" s="9" t="s">
        <v>14492</v>
      </c>
      <c r="CN40" s="9" t="s">
        <v>1370</v>
      </c>
      <c r="CO40" s="9" t="s">
        <v>28</v>
      </c>
      <c r="CP40" s="9" t="s">
        <v>28</v>
      </c>
      <c r="CQ40" s="9" t="s">
        <v>25</v>
      </c>
      <c r="CR40" s="9" t="s">
        <v>1440</v>
      </c>
    </row>
    <row r="41" spans="1:96" ht="38.25" x14ac:dyDescent="0.2">
      <c r="A41" s="8" t="s">
        <v>142</v>
      </c>
      <c r="B41" s="9" t="s">
        <v>1362</v>
      </c>
      <c r="C41" s="9"/>
      <c r="D41" s="9"/>
      <c r="E41" s="9"/>
      <c r="F41" s="9"/>
      <c r="G41" s="9"/>
      <c r="H41" s="9"/>
      <c r="I41" s="9"/>
      <c r="J41" s="9"/>
      <c r="K41" s="9"/>
      <c r="L41" s="9"/>
      <c r="M41" s="9"/>
      <c r="N41" s="9"/>
      <c r="O41" s="9"/>
      <c r="P41" s="9"/>
      <c r="Q41" s="9"/>
      <c r="R41" s="9"/>
      <c r="S41" s="9"/>
      <c r="T41" s="9"/>
      <c r="U41" s="9"/>
      <c r="V41" s="9"/>
      <c r="W41" s="9"/>
      <c r="X41" s="9"/>
      <c r="Y41" s="9"/>
      <c r="Z41" s="9"/>
      <c r="AA41" s="9"/>
      <c r="AB41" s="9" t="s">
        <v>1363</v>
      </c>
      <c r="AC41" s="9"/>
      <c r="AD41" s="9"/>
      <c r="AE41" s="9"/>
      <c r="AF41" s="9"/>
      <c r="AG41" s="9" t="s">
        <v>28</v>
      </c>
      <c r="AH41" s="9" t="s">
        <v>28</v>
      </c>
      <c r="AI41" s="9" t="s">
        <v>1398</v>
      </c>
      <c r="AJ41" s="9"/>
      <c r="AK41" s="9" t="s">
        <v>25</v>
      </c>
      <c r="AL41" s="9" t="s">
        <v>603</v>
      </c>
      <c r="AM41" s="9"/>
      <c r="AN41" s="9" t="s">
        <v>1450</v>
      </c>
      <c r="AO41" s="9" t="s">
        <v>1384</v>
      </c>
      <c r="AP41" s="9" t="s">
        <v>741</v>
      </c>
      <c r="AQ41" s="9" t="s">
        <v>604</v>
      </c>
      <c r="AR41" s="9" t="s">
        <v>604</v>
      </c>
      <c r="AS41" s="9" t="s">
        <v>741</v>
      </c>
      <c r="AT41" s="9" t="s">
        <v>741</v>
      </c>
      <c r="AU41" s="9" t="s">
        <v>604</v>
      </c>
      <c r="AV41" s="9" t="s">
        <v>28</v>
      </c>
      <c r="AW41" s="9" t="s">
        <v>28</v>
      </c>
      <c r="AX41" s="9" t="s">
        <v>28</v>
      </c>
      <c r="AY41" s="39">
        <v>1500</v>
      </c>
      <c r="AZ41" s="9" t="s">
        <v>679</v>
      </c>
      <c r="BA41" s="9" t="s">
        <v>604</v>
      </c>
      <c r="BB41" s="9" t="s">
        <v>604</v>
      </c>
      <c r="BC41" s="9" t="s">
        <v>679</v>
      </c>
      <c r="BD41" s="9" t="s">
        <v>741</v>
      </c>
      <c r="BE41" s="9" t="s">
        <v>604</v>
      </c>
      <c r="BF41" s="9" t="s">
        <v>25</v>
      </c>
      <c r="BG41" s="9"/>
      <c r="BH41" s="9"/>
      <c r="BI41" s="9"/>
      <c r="BJ41" s="9"/>
      <c r="BK41" s="9"/>
      <c r="BL41" s="9"/>
      <c r="BM41" s="9"/>
      <c r="BN41" s="9"/>
      <c r="BO41" s="9"/>
      <c r="BP41" s="9"/>
      <c r="BQ41" s="9" t="s">
        <v>25</v>
      </c>
      <c r="BR41" s="9"/>
      <c r="BS41" s="9"/>
      <c r="BT41" s="9"/>
      <c r="BU41" s="9"/>
      <c r="BV41" s="9"/>
      <c r="BW41" s="9"/>
      <c r="BX41" s="9"/>
      <c r="BY41" s="9"/>
      <c r="BZ41" s="9"/>
      <c r="CA41" s="9"/>
      <c r="CB41" s="9"/>
      <c r="CC41" s="9" t="s">
        <v>1368</v>
      </c>
      <c r="CD41" s="9" t="s">
        <v>28</v>
      </c>
      <c r="CE41" s="9" t="s">
        <v>25</v>
      </c>
      <c r="CF41" s="9" t="s">
        <v>741</v>
      </c>
      <c r="CG41" s="9" t="s">
        <v>604</v>
      </c>
      <c r="CH41" s="9" t="s">
        <v>604</v>
      </c>
      <c r="CI41" s="9" t="s">
        <v>741</v>
      </c>
      <c r="CJ41" s="9" t="s">
        <v>741</v>
      </c>
      <c r="CK41" s="9" t="s">
        <v>604</v>
      </c>
      <c r="CL41" s="9" t="s">
        <v>25</v>
      </c>
      <c r="CM41" s="9"/>
      <c r="CN41" s="9" t="s">
        <v>1370</v>
      </c>
      <c r="CO41" s="9" t="s">
        <v>25</v>
      </c>
      <c r="CP41" s="9"/>
      <c r="CQ41" s="9" t="s">
        <v>25</v>
      </c>
      <c r="CR41" s="9"/>
    </row>
    <row r="42" spans="1:96" ht="76.5" x14ac:dyDescent="0.2">
      <c r="A42" s="8" t="s">
        <v>161</v>
      </c>
      <c r="B42" s="9" t="s">
        <v>1386</v>
      </c>
      <c r="C42" s="9" t="s">
        <v>1490</v>
      </c>
      <c r="D42" s="9" t="s">
        <v>1387</v>
      </c>
      <c r="E42" s="9"/>
      <c r="F42" s="9" t="s">
        <v>1387</v>
      </c>
      <c r="G42" s="9" t="s">
        <v>1388</v>
      </c>
      <c r="H42" s="9"/>
      <c r="I42" s="9"/>
      <c r="J42" s="9"/>
      <c r="K42" s="9"/>
      <c r="L42" s="9"/>
      <c r="M42" s="9" t="s">
        <v>1387</v>
      </c>
      <c r="N42" s="9" t="s">
        <v>1387</v>
      </c>
      <c r="O42" s="9"/>
      <c r="P42" s="9"/>
      <c r="Q42" s="9" t="s">
        <v>1387</v>
      </c>
      <c r="R42" s="9"/>
      <c r="S42" s="9"/>
      <c r="T42" s="9"/>
      <c r="U42" s="9" t="s">
        <v>1388</v>
      </c>
      <c r="V42" s="9" t="s">
        <v>1388</v>
      </c>
      <c r="W42" s="9" t="s">
        <v>1387</v>
      </c>
      <c r="X42" s="9" t="s">
        <v>1387</v>
      </c>
      <c r="Y42" s="9" t="s">
        <v>1416</v>
      </c>
      <c r="Z42" s="9" t="s">
        <v>13501</v>
      </c>
      <c r="AA42" s="9"/>
      <c r="AB42" s="9" t="s">
        <v>1363</v>
      </c>
      <c r="AC42" s="9"/>
      <c r="AD42" s="9"/>
      <c r="AE42" s="9"/>
      <c r="AF42" s="9"/>
      <c r="AG42" s="9" t="s">
        <v>28</v>
      </c>
      <c r="AH42" s="9" t="s">
        <v>25</v>
      </c>
      <c r="AI42" s="9" t="s">
        <v>1398</v>
      </c>
      <c r="AJ42" s="9"/>
      <c r="AK42" s="9" t="s">
        <v>25</v>
      </c>
      <c r="AL42" s="9" t="s">
        <v>603</v>
      </c>
      <c r="AM42" s="9"/>
      <c r="AN42" s="9" t="s">
        <v>14473</v>
      </c>
      <c r="AO42" s="9" t="s">
        <v>1366</v>
      </c>
      <c r="AP42" s="9" t="s">
        <v>741</v>
      </c>
      <c r="AQ42" s="9" t="s">
        <v>604</v>
      </c>
      <c r="AR42" s="9" t="s">
        <v>604</v>
      </c>
      <c r="AS42" s="9" t="s">
        <v>741</v>
      </c>
      <c r="AT42" s="9" t="s">
        <v>604</v>
      </c>
      <c r="AU42" s="9" t="s">
        <v>604</v>
      </c>
      <c r="AV42" s="9" t="s">
        <v>25</v>
      </c>
      <c r="AW42" s="9"/>
      <c r="AX42" s="9"/>
      <c r="AY42" s="39"/>
      <c r="AZ42" s="9"/>
      <c r="BA42" s="9"/>
      <c r="BB42" s="9"/>
      <c r="BC42" s="9"/>
      <c r="BD42" s="9"/>
      <c r="BE42" s="9"/>
      <c r="BF42" s="9" t="s">
        <v>28</v>
      </c>
      <c r="BG42" s="9"/>
      <c r="BH42" s="9" t="s">
        <v>25</v>
      </c>
      <c r="BI42" s="9" t="s">
        <v>603</v>
      </c>
      <c r="BJ42" s="9"/>
      <c r="BK42" s="9" t="s">
        <v>741</v>
      </c>
      <c r="BL42" s="9" t="s">
        <v>604</v>
      </c>
      <c r="BM42" s="9" t="s">
        <v>604</v>
      </c>
      <c r="BN42" s="9" t="s">
        <v>741</v>
      </c>
      <c r="BO42" s="9" t="s">
        <v>604</v>
      </c>
      <c r="BP42" s="9" t="s">
        <v>604</v>
      </c>
      <c r="BQ42" s="9" t="s">
        <v>25</v>
      </c>
      <c r="BR42" s="9"/>
      <c r="BS42" s="9"/>
      <c r="BT42" s="9"/>
      <c r="BU42" s="9"/>
      <c r="BV42" s="9"/>
      <c r="BW42" s="9"/>
      <c r="BX42" s="9"/>
      <c r="BY42" s="9"/>
      <c r="BZ42" s="9"/>
      <c r="CA42" s="9"/>
      <c r="CB42" s="9"/>
      <c r="CC42" s="9" t="s">
        <v>13896</v>
      </c>
      <c r="CD42" s="9" t="s">
        <v>28</v>
      </c>
      <c r="CE42" s="9" t="s">
        <v>28</v>
      </c>
      <c r="CF42" s="9" t="s">
        <v>741</v>
      </c>
      <c r="CG42" s="9" t="s">
        <v>604</v>
      </c>
      <c r="CH42" s="9" t="s">
        <v>604</v>
      </c>
      <c r="CI42" s="9" t="s">
        <v>741</v>
      </c>
      <c r="CJ42" s="9" t="s">
        <v>604</v>
      </c>
      <c r="CK42" s="9" t="s">
        <v>604</v>
      </c>
      <c r="CL42" s="9" t="s">
        <v>28</v>
      </c>
      <c r="CM42" s="9" t="s">
        <v>14492</v>
      </c>
      <c r="CN42" s="9" t="s">
        <v>1458</v>
      </c>
      <c r="CO42" s="9" t="s">
        <v>28</v>
      </c>
      <c r="CP42" s="9" t="s">
        <v>28</v>
      </c>
      <c r="CQ42" s="9" t="s">
        <v>25</v>
      </c>
      <c r="CR42" s="9"/>
    </row>
    <row r="43" spans="1:96" ht="38.25" x14ac:dyDescent="0.2">
      <c r="A43" s="8" t="s">
        <v>163</v>
      </c>
      <c r="B43" s="9" t="s">
        <v>1386</v>
      </c>
      <c r="C43" s="9" t="s">
        <v>1493</v>
      </c>
      <c r="D43" s="9"/>
      <c r="E43" s="9"/>
      <c r="F43" s="9"/>
      <c r="G43" s="9"/>
      <c r="H43" s="9" t="s">
        <v>679</v>
      </c>
      <c r="I43" s="9"/>
      <c r="J43" s="9"/>
      <c r="K43" s="9"/>
      <c r="L43" s="9"/>
      <c r="M43" s="9"/>
      <c r="N43" s="9"/>
      <c r="O43" s="9"/>
      <c r="P43" s="9"/>
      <c r="Q43" s="9"/>
      <c r="R43" s="9"/>
      <c r="S43" s="9"/>
      <c r="T43" s="9"/>
      <c r="U43" s="9"/>
      <c r="V43" s="9"/>
      <c r="W43" s="9"/>
      <c r="X43" s="9"/>
      <c r="Y43" s="9" t="s">
        <v>635</v>
      </c>
      <c r="Z43" s="9" t="s">
        <v>13506</v>
      </c>
      <c r="AA43" s="9"/>
      <c r="AB43" s="9" t="s">
        <v>1363</v>
      </c>
      <c r="AC43" s="9"/>
      <c r="AD43" s="9"/>
      <c r="AE43" s="9"/>
      <c r="AF43" s="9"/>
      <c r="AG43" s="9" t="s">
        <v>28</v>
      </c>
      <c r="AH43" s="9" t="s">
        <v>25</v>
      </c>
      <c r="AI43" s="9" t="s">
        <v>1413</v>
      </c>
      <c r="AJ43" s="9"/>
      <c r="AK43" s="9" t="s">
        <v>25</v>
      </c>
      <c r="AL43" s="9" t="s">
        <v>603</v>
      </c>
      <c r="AM43" s="9"/>
      <c r="AN43" s="9" t="s">
        <v>1494</v>
      </c>
      <c r="AO43" s="9" t="s">
        <v>1423</v>
      </c>
      <c r="AP43" s="9" t="s">
        <v>741</v>
      </c>
      <c r="AQ43" s="9"/>
      <c r="AR43" s="9"/>
      <c r="AS43" s="9"/>
      <c r="AT43" s="9"/>
      <c r="AU43" s="9"/>
      <c r="AV43" s="9" t="s">
        <v>25</v>
      </c>
      <c r="AW43" s="9"/>
      <c r="AX43" s="9"/>
      <c r="AY43" s="39"/>
      <c r="AZ43" s="9"/>
      <c r="BA43" s="9"/>
      <c r="BB43" s="9"/>
      <c r="BC43" s="9"/>
      <c r="BD43" s="9"/>
      <c r="BE43" s="9"/>
      <c r="BF43" s="9" t="s">
        <v>25</v>
      </c>
      <c r="BG43" s="9"/>
      <c r="BH43" s="9"/>
      <c r="BI43" s="9"/>
      <c r="BJ43" s="9"/>
      <c r="BK43" s="9"/>
      <c r="BL43" s="9"/>
      <c r="BM43" s="9"/>
      <c r="BN43" s="9"/>
      <c r="BO43" s="9"/>
      <c r="BP43" s="9"/>
      <c r="BQ43" s="9" t="s">
        <v>25</v>
      </c>
      <c r="BR43" s="9"/>
      <c r="BS43" s="9"/>
      <c r="BT43" s="9"/>
      <c r="BU43" s="9"/>
      <c r="BV43" s="9"/>
      <c r="BW43" s="9"/>
      <c r="BX43" s="9"/>
      <c r="BY43" s="9"/>
      <c r="BZ43" s="9"/>
      <c r="CA43" s="9"/>
      <c r="CB43" s="9"/>
      <c r="CC43" s="9"/>
      <c r="CD43" s="9" t="s">
        <v>25</v>
      </c>
      <c r="CE43" s="9" t="s">
        <v>25</v>
      </c>
      <c r="CF43" s="9" t="s">
        <v>741</v>
      </c>
      <c r="CG43" s="9"/>
      <c r="CH43" s="9"/>
      <c r="CI43" s="9"/>
      <c r="CJ43" s="9"/>
      <c r="CK43" s="9"/>
      <c r="CL43" s="9" t="s">
        <v>25</v>
      </c>
      <c r="CM43" s="9"/>
      <c r="CN43" s="9" t="s">
        <v>1370</v>
      </c>
      <c r="CO43" s="9" t="s">
        <v>28</v>
      </c>
      <c r="CP43" s="9" t="s">
        <v>28</v>
      </c>
      <c r="CQ43" s="9"/>
      <c r="CR43" s="9"/>
    </row>
    <row r="44" spans="1:96" ht="63.75" x14ac:dyDescent="0.2">
      <c r="A44" s="8" t="s">
        <v>165</v>
      </c>
      <c r="B44" s="9" t="s">
        <v>1362</v>
      </c>
      <c r="C44" s="9"/>
      <c r="D44" s="9"/>
      <c r="E44" s="9"/>
      <c r="F44" s="9"/>
      <c r="G44" s="9"/>
      <c r="H44" s="9"/>
      <c r="I44" s="9"/>
      <c r="J44" s="9"/>
      <c r="K44" s="9"/>
      <c r="L44" s="9"/>
      <c r="M44" s="9"/>
      <c r="N44" s="9"/>
      <c r="O44" s="9"/>
      <c r="P44" s="9"/>
      <c r="Q44" s="9"/>
      <c r="R44" s="9"/>
      <c r="S44" s="9"/>
      <c r="T44" s="9"/>
      <c r="U44" s="9"/>
      <c r="V44" s="9"/>
      <c r="W44" s="9"/>
      <c r="X44" s="9"/>
      <c r="Y44" s="9"/>
      <c r="Z44" s="9"/>
      <c r="AA44" s="9"/>
      <c r="AB44" s="9" t="s">
        <v>1363</v>
      </c>
      <c r="AC44" s="9"/>
      <c r="AD44" s="9"/>
      <c r="AE44" s="9"/>
      <c r="AF44" s="9"/>
      <c r="AG44" s="9" t="s">
        <v>28</v>
      </c>
      <c r="AH44" s="9" t="s">
        <v>28</v>
      </c>
      <c r="AI44" s="9" t="s">
        <v>1364</v>
      </c>
      <c r="AJ44" s="9"/>
      <c r="AK44" s="9" t="s">
        <v>25</v>
      </c>
      <c r="AL44" s="9" t="s">
        <v>603</v>
      </c>
      <c r="AM44" s="9"/>
      <c r="AN44" s="9" t="s">
        <v>1497</v>
      </c>
      <c r="AO44" s="9" t="s">
        <v>1366</v>
      </c>
      <c r="AP44" s="9" t="s">
        <v>604</v>
      </c>
      <c r="AQ44" s="9" t="s">
        <v>604</v>
      </c>
      <c r="AR44" s="9" t="s">
        <v>604</v>
      </c>
      <c r="AS44" s="9" t="s">
        <v>741</v>
      </c>
      <c r="AT44" s="9" t="s">
        <v>604</v>
      </c>
      <c r="AU44" s="9" t="s">
        <v>604</v>
      </c>
      <c r="AV44" s="9" t="s">
        <v>28</v>
      </c>
      <c r="AW44" s="9" t="s">
        <v>25</v>
      </c>
      <c r="AX44" s="9" t="s">
        <v>603</v>
      </c>
      <c r="AY44" s="39"/>
      <c r="AZ44" s="9" t="s">
        <v>604</v>
      </c>
      <c r="BA44" s="9" t="s">
        <v>604</v>
      </c>
      <c r="BB44" s="9" t="s">
        <v>604</v>
      </c>
      <c r="BC44" s="9" t="s">
        <v>741</v>
      </c>
      <c r="BD44" s="9" t="s">
        <v>604</v>
      </c>
      <c r="BE44" s="9" t="s">
        <v>604</v>
      </c>
      <c r="BF44" s="9" t="s">
        <v>25</v>
      </c>
      <c r="BG44" s="9"/>
      <c r="BH44" s="9"/>
      <c r="BI44" s="9"/>
      <c r="BJ44" s="9"/>
      <c r="BK44" s="9"/>
      <c r="BL44" s="9"/>
      <c r="BM44" s="9"/>
      <c r="BN44" s="9"/>
      <c r="BO44" s="9"/>
      <c r="BP44" s="9"/>
      <c r="BQ44" s="9" t="s">
        <v>25</v>
      </c>
      <c r="BR44" s="9"/>
      <c r="BS44" s="9"/>
      <c r="BT44" s="9"/>
      <c r="BU44" s="9"/>
      <c r="BV44" s="9"/>
      <c r="BW44" s="9"/>
      <c r="BX44" s="9"/>
      <c r="BY44" s="9"/>
      <c r="BZ44" s="9"/>
      <c r="CA44" s="9"/>
      <c r="CB44" s="9"/>
      <c r="CC44" s="9" t="s">
        <v>1368</v>
      </c>
      <c r="CD44" s="9" t="s">
        <v>25</v>
      </c>
      <c r="CE44" s="9" t="s">
        <v>25</v>
      </c>
      <c r="CF44" s="9" t="s">
        <v>604</v>
      </c>
      <c r="CG44" s="9" t="s">
        <v>604</v>
      </c>
      <c r="CH44" s="9" t="s">
        <v>604</v>
      </c>
      <c r="CI44" s="9" t="s">
        <v>741</v>
      </c>
      <c r="CJ44" s="9" t="s">
        <v>604</v>
      </c>
      <c r="CK44" s="9" t="s">
        <v>604</v>
      </c>
      <c r="CL44" s="9" t="s">
        <v>28</v>
      </c>
      <c r="CM44" s="9" t="s">
        <v>1369</v>
      </c>
      <c r="CN44" s="9" t="s">
        <v>1370</v>
      </c>
      <c r="CO44" s="9" t="s">
        <v>28</v>
      </c>
      <c r="CP44" s="9" t="s">
        <v>28</v>
      </c>
      <c r="CQ44" s="9" t="s">
        <v>1405</v>
      </c>
      <c r="CR44" s="9"/>
    </row>
    <row r="45" spans="1:96" ht="76.5" x14ac:dyDescent="0.2">
      <c r="A45" s="8" t="s">
        <v>129</v>
      </c>
      <c r="B45" s="9" t="s">
        <v>1386</v>
      </c>
      <c r="C45" s="9" t="s">
        <v>1415</v>
      </c>
      <c r="D45" s="9" t="s">
        <v>1388</v>
      </c>
      <c r="E45" s="9"/>
      <c r="F45" s="9" t="s">
        <v>1388</v>
      </c>
      <c r="G45" s="9" t="s">
        <v>1388</v>
      </c>
      <c r="H45" s="9" t="s">
        <v>679</v>
      </c>
      <c r="I45" s="9"/>
      <c r="J45" s="9"/>
      <c r="K45" s="9"/>
      <c r="L45" s="9" t="s">
        <v>1388</v>
      </c>
      <c r="M45" s="9"/>
      <c r="N45" s="9"/>
      <c r="O45" s="9"/>
      <c r="P45" s="9"/>
      <c r="Q45" s="9"/>
      <c r="R45" s="9"/>
      <c r="S45" s="9"/>
      <c r="T45" s="9"/>
      <c r="U45" s="9"/>
      <c r="V45" s="9"/>
      <c r="W45" s="9" t="s">
        <v>1388</v>
      </c>
      <c r="X45" s="9" t="s">
        <v>1388</v>
      </c>
      <c r="Y45" s="9" t="s">
        <v>1416</v>
      </c>
      <c r="Z45" s="9" t="s">
        <v>1417</v>
      </c>
      <c r="AA45" s="9"/>
      <c r="AB45" s="9" t="s">
        <v>1363</v>
      </c>
      <c r="AC45" s="9"/>
      <c r="AD45" s="9"/>
      <c r="AE45" s="9"/>
      <c r="AF45" s="9"/>
      <c r="AG45" s="9" t="s">
        <v>28</v>
      </c>
      <c r="AH45" s="9" t="s">
        <v>28</v>
      </c>
      <c r="AI45" s="9" t="s">
        <v>1364</v>
      </c>
      <c r="AJ45" s="9"/>
      <c r="AK45" s="9" t="s">
        <v>25</v>
      </c>
      <c r="AL45" s="9" t="s">
        <v>603</v>
      </c>
      <c r="AM45" s="9"/>
      <c r="AN45" s="9" t="s">
        <v>14485</v>
      </c>
      <c r="AO45" s="9" t="s">
        <v>1418</v>
      </c>
      <c r="AP45" s="9" t="s">
        <v>741</v>
      </c>
      <c r="AQ45" s="9" t="s">
        <v>604</v>
      </c>
      <c r="AR45" s="9" t="s">
        <v>604</v>
      </c>
      <c r="AS45" s="9" t="s">
        <v>741</v>
      </c>
      <c r="AT45" s="9" t="s">
        <v>741</v>
      </c>
      <c r="AU45" s="9" t="s">
        <v>604</v>
      </c>
      <c r="AV45" s="9" t="s">
        <v>25</v>
      </c>
      <c r="AW45" s="9"/>
      <c r="AX45" s="9"/>
      <c r="AY45" s="39"/>
      <c r="AZ45" s="9"/>
      <c r="BA45" s="9"/>
      <c r="BB45" s="9"/>
      <c r="BC45" s="9"/>
      <c r="BD45" s="9"/>
      <c r="BE45" s="9"/>
      <c r="BF45" s="9" t="s">
        <v>25</v>
      </c>
      <c r="BG45" s="9"/>
      <c r="BH45" s="9"/>
      <c r="BI45" s="9"/>
      <c r="BJ45" s="9"/>
      <c r="BK45" s="9"/>
      <c r="BL45" s="9"/>
      <c r="BM45" s="9"/>
      <c r="BN45" s="9"/>
      <c r="BO45" s="9"/>
      <c r="BP45" s="9"/>
      <c r="BQ45" s="9" t="s">
        <v>25</v>
      </c>
      <c r="BR45" s="9"/>
      <c r="BS45" s="9"/>
      <c r="BT45" s="9"/>
      <c r="BU45" s="9"/>
      <c r="BV45" s="9"/>
      <c r="BW45" s="9"/>
      <c r="BX45" s="9"/>
      <c r="BY45" s="9"/>
      <c r="BZ45" s="9"/>
      <c r="CA45" s="9"/>
      <c r="CB45" s="9"/>
      <c r="CC45" s="9" t="s">
        <v>1368</v>
      </c>
      <c r="CD45" s="9" t="s">
        <v>28</v>
      </c>
      <c r="CE45" s="9" t="s">
        <v>28</v>
      </c>
      <c r="CF45" s="9" t="s">
        <v>741</v>
      </c>
      <c r="CG45" s="9" t="s">
        <v>604</v>
      </c>
      <c r="CH45" s="9" t="s">
        <v>604</v>
      </c>
      <c r="CI45" s="9" t="s">
        <v>741</v>
      </c>
      <c r="CJ45" s="9" t="s">
        <v>741</v>
      </c>
      <c r="CK45" s="9" t="s">
        <v>604</v>
      </c>
      <c r="CL45" s="9" t="s">
        <v>28</v>
      </c>
      <c r="CM45" s="9" t="s">
        <v>1369</v>
      </c>
      <c r="CN45" s="9" t="s">
        <v>1370</v>
      </c>
      <c r="CO45" s="9" t="s">
        <v>25</v>
      </c>
      <c r="CP45" s="9"/>
      <c r="CQ45" s="9" t="s">
        <v>25</v>
      </c>
      <c r="CR45" s="9" t="s">
        <v>1419</v>
      </c>
    </row>
    <row r="46" spans="1:96" ht="63.75" x14ac:dyDescent="0.2">
      <c r="A46" s="8" t="s">
        <v>153</v>
      </c>
      <c r="B46" s="9" t="s">
        <v>1362</v>
      </c>
      <c r="C46" s="9"/>
      <c r="D46" s="9"/>
      <c r="E46" s="9"/>
      <c r="F46" s="9"/>
      <c r="G46" s="9"/>
      <c r="H46" s="9"/>
      <c r="I46" s="9"/>
      <c r="J46" s="9"/>
      <c r="K46" s="9"/>
      <c r="L46" s="9"/>
      <c r="M46" s="9"/>
      <c r="N46" s="9"/>
      <c r="O46" s="9"/>
      <c r="P46" s="9"/>
      <c r="Q46" s="9"/>
      <c r="R46" s="9"/>
      <c r="S46" s="9"/>
      <c r="T46" s="9"/>
      <c r="U46" s="9"/>
      <c r="V46" s="9"/>
      <c r="W46" s="9"/>
      <c r="X46" s="9"/>
      <c r="Y46" s="9"/>
      <c r="Z46" s="9"/>
      <c r="AA46" s="9"/>
      <c r="AB46" s="9" t="s">
        <v>1393</v>
      </c>
      <c r="AC46" s="9" t="s">
        <v>14465</v>
      </c>
      <c r="AD46" s="9" t="s">
        <v>1427</v>
      </c>
      <c r="AE46" s="9" t="s">
        <v>13507</v>
      </c>
      <c r="AF46" s="9"/>
      <c r="AG46" s="9" t="s">
        <v>28</v>
      </c>
      <c r="AH46" s="9" t="s">
        <v>28</v>
      </c>
      <c r="AI46" s="9" t="s">
        <v>1364</v>
      </c>
      <c r="AJ46" s="9"/>
      <c r="AK46" s="9" t="s">
        <v>25</v>
      </c>
      <c r="AL46" s="9" t="s">
        <v>603</v>
      </c>
      <c r="AM46" s="9"/>
      <c r="AN46" s="9" t="s">
        <v>14484</v>
      </c>
      <c r="AO46" s="9" t="s">
        <v>1476</v>
      </c>
      <c r="AP46" s="9" t="s">
        <v>679</v>
      </c>
      <c r="AQ46" s="9" t="s">
        <v>741</v>
      </c>
      <c r="AR46" s="9" t="s">
        <v>604</v>
      </c>
      <c r="AS46" s="9" t="s">
        <v>741</v>
      </c>
      <c r="AT46" s="9" t="s">
        <v>679</v>
      </c>
      <c r="AU46" s="9" t="s">
        <v>604</v>
      </c>
      <c r="AV46" s="9" t="s">
        <v>25</v>
      </c>
      <c r="AW46" s="9"/>
      <c r="AX46" s="9"/>
      <c r="AY46" s="39"/>
      <c r="AZ46" s="9"/>
      <c r="BA46" s="9"/>
      <c r="BB46" s="9"/>
      <c r="BC46" s="9"/>
      <c r="BD46" s="9"/>
      <c r="BE46" s="9"/>
      <c r="BF46" s="9" t="s">
        <v>25</v>
      </c>
      <c r="BG46" s="9"/>
      <c r="BH46" s="9"/>
      <c r="BI46" s="9"/>
      <c r="BJ46" s="9"/>
      <c r="BK46" s="9"/>
      <c r="BL46" s="9"/>
      <c r="BM46" s="9"/>
      <c r="BN46" s="9"/>
      <c r="BO46" s="9"/>
      <c r="BP46" s="9"/>
      <c r="BQ46" s="9" t="s">
        <v>25</v>
      </c>
      <c r="BR46" s="9"/>
      <c r="BS46" s="9"/>
      <c r="BT46" s="9"/>
      <c r="BU46" s="9"/>
      <c r="BV46" s="9"/>
      <c r="BW46" s="9"/>
      <c r="BX46" s="9"/>
      <c r="BY46" s="9"/>
      <c r="BZ46" s="9"/>
      <c r="CA46" s="9"/>
      <c r="CB46" s="9"/>
      <c r="CC46" s="9" t="s">
        <v>1368</v>
      </c>
      <c r="CD46" s="9" t="s">
        <v>28</v>
      </c>
      <c r="CE46" s="9" t="s">
        <v>25</v>
      </c>
      <c r="CF46" s="9" t="s">
        <v>741</v>
      </c>
      <c r="CG46" s="9" t="s">
        <v>741</v>
      </c>
      <c r="CH46" s="9" t="s">
        <v>604</v>
      </c>
      <c r="CI46" s="9" t="s">
        <v>741</v>
      </c>
      <c r="CJ46" s="9" t="s">
        <v>741</v>
      </c>
      <c r="CK46" s="9" t="s">
        <v>604</v>
      </c>
      <c r="CL46" s="9" t="s">
        <v>25</v>
      </c>
      <c r="CM46" s="9"/>
      <c r="CN46" s="9" t="s">
        <v>1402</v>
      </c>
      <c r="CO46" s="9" t="s">
        <v>25</v>
      </c>
      <c r="CP46" s="9"/>
      <c r="CQ46" s="9"/>
      <c r="CR46" s="9" t="s">
        <v>1477</v>
      </c>
    </row>
    <row r="47" spans="1:96" ht="38.25" x14ac:dyDescent="0.2">
      <c r="A47" s="8" t="s">
        <v>164</v>
      </c>
      <c r="B47" s="9" t="s">
        <v>1444</v>
      </c>
      <c r="C47" s="9"/>
      <c r="D47" s="9"/>
      <c r="E47" s="9"/>
      <c r="F47" s="9"/>
      <c r="G47" s="9"/>
      <c r="H47" s="9"/>
      <c r="I47" s="9"/>
      <c r="J47" s="9"/>
      <c r="K47" s="9"/>
      <c r="L47" s="9"/>
      <c r="M47" s="9"/>
      <c r="N47" s="9"/>
      <c r="O47" s="9"/>
      <c r="P47" s="9"/>
      <c r="Q47" s="9"/>
      <c r="R47" s="9"/>
      <c r="S47" s="9"/>
      <c r="T47" s="9"/>
      <c r="U47" s="9"/>
      <c r="V47" s="9"/>
      <c r="W47" s="9"/>
      <c r="X47" s="9"/>
      <c r="Y47" s="9"/>
      <c r="Z47" s="9"/>
      <c r="AA47" s="9"/>
      <c r="AB47" s="9" t="s">
        <v>1452</v>
      </c>
      <c r="AC47" s="9"/>
      <c r="AD47" s="9"/>
      <c r="AE47" s="9"/>
      <c r="AF47" s="9"/>
      <c r="AG47" s="9" t="s">
        <v>28</v>
      </c>
      <c r="AH47" s="9" t="s">
        <v>28</v>
      </c>
      <c r="AI47" s="9" t="s">
        <v>1398</v>
      </c>
      <c r="AJ47" s="9"/>
      <c r="AK47" s="9" t="s">
        <v>25</v>
      </c>
      <c r="AL47" s="9" t="s">
        <v>603</v>
      </c>
      <c r="AM47" s="9"/>
      <c r="AN47" s="9" t="s">
        <v>1450</v>
      </c>
      <c r="AO47" s="9" t="s">
        <v>1482</v>
      </c>
      <c r="AP47" s="9" t="s">
        <v>741</v>
      </c>
      <c r="AQ47" s="9"/>
      <c r="AR47" s="9"/>
      <c r="AS47" s="9" t="s">
        <v>741</v>
      </c>
      <c r="AT47" s="9"/>
      <c r="AU47" s="9"/>
      <c r="AV47" s="9" t="s">
        <v>25</v>
      </c>
      <c r="AW47" s="9"/>
      <c r="AX47" s="9"/>
      <c r="AY47" s="39"/>
      <c r="AZ47" s="9"/>
      <c r="BA47" s="9"/>
      <c r="BB47" s="9"/>
      <c r="BC47" s="9"/>
      <c r="BD47" s="9"/>
      <c r="BE47" s="9"/>
      <c r="BF47" s="9" t="s">
        <v>28</v>
      </c>
      <c r="BG47" s="9" t="s">
        <v>1495</v>
      </c>
      <c r="BH47" s="9" t="s">
        <v>25</v>
      </c>
      <c r="BI47" s="9" t="s">
        <v>603</v>
      </c>
      <c r="BJ47" s="9"/>
      <c r="BK47" s="9" t="s">
        <v>741</v>
      </c>
      <c r="BL47" s="9"/>
      <c r="BM47" s="9" t="s">
        <v>741</v>
      </c>
      <c r="BN47" s="9" t="s">
        <v>741</v>
      </c>
      <c r="BO47" s="9"/>
      <c r="BP47" s="9"/>
      <c r="BQ47" s="9" t="s">
        <v>25</v>
      </c>
      <c r="BR47" s="9"/>
      <c r="BS47" s="9"/>
      <c r="BT47" s="9"/>
      <c r="BU47" s="9"/>
      <c r="BV47" s="9"/>
      <c r="BW47" s="9"/>
      <c r="BX47" s="9"/>
      <c r="BY47" s="9"/>
      <c r="BZ47" s="9"/>
      <c r="CA47" s="9"/>
      <c r="CB47" s="9"/>
      <c r="CC47" s="9" t="s">
        <v>1368</v>
      </c>
      <c r="CD47" s="9" t="s">
        <v>41</v>
      </c>
      <c r="CE47" s="9" t="s">
        <v>25</v>
      </c>
      <c r="CF47" s="9" t="s">
        <v>606</v>
      </c>
      <c r="CG47" s="9"/>
      <c r="CH47" s="9"/>
      <c r="CI47" s="9"/>
      <c r="CJ47" s="9"/>
      <c r="CK47" s="9"/>
      <c r="CL47" s="9" t="s">
        <v>25</v>
      </c>
      <c r="CM47" s="9"/>
      <c r="CN47" s="9" t="s">
        <v>1370</v>
      </c>
      <c r="CO47" s="9" t="s">
        <v>25</v>
      </c>
      <c r="CP47" s="9"/>
      <c r="CQ47" s="9"/>
      <c r="CR47" s="9" t="s">
        <v>1496</v>
      </c>
    </row>
    <row r="48" spans="1:96" ht="38.25" x14ac:dyDescent="0.2">
      <c r="A48" s="8" t="s">
        <v>155</v>
      </c>
      <c r="B48" s="9" t="s">
        <v>1386</v>
      </c>
      <c r="C48" s="9" t="s">
        <v>1479</v>
      </c>
      <c r="D48" s="9"/>
      <c r="E48" s="9"/>
      <c r="F48" s="9"/>
      <c r="G48" s="9"/>
      <c r="H48" s="9" t="s">
        <v>679</v>
      </c>
      <c r="I48" s="9"/>
      <c r="J48" s="9"/>
      <c r="K48" s="9"/>
      <c r="L48" s="9"/>
      <c r="M48" s="9"/>
      <c r="N48" s="9"/>
      <c r="O48" s="9" t="s">
        <v>679</v>
      </c>
      <c r="P48" s="9"/>
      <c r="Q48" s="9"/>
      <c r="R48" s="9"/>
      <c r="S48" s="9"/>
      <c r="T48" s="9"/>
      <c r="U48" s="9"/>
      <c r="V48" s="9"/>
      <c r="W48" s="9"/>
      <c r="X48" s="9"/>
      <c r="Y48" s="9" t="s">
        <v>635</v>
      </c>
      <c r="Z48" s="9" t="s">
        <v>13505</v>
      </c>
      <c r="AA48" s="9"/>
      <c r="AB48" s="9" t="s">
        <v>1363</v>
      </c>
      <c r="AC48" s="9"/>
      <c r="AD48" s="9"/>
      <c r="AE48" s="9"/>
      <c r="AF48" s="9"/>
      <c r="AG48" s="9" t="s">
        <v>28</v>
      </c>
      <c r="AH48" s="9" t="s">
        <v>28</v>
      </c>
      <c r="AI48" s="9" t="s">
        <v>1364</v>
      </c>
      <c r="AJ48" s="9"/>
      <c r="AK48" s="9" t="s">
        <v>25</v>
      </c>
      <c r="AL48" s="9" t="s">
        <v>603</v>
      </c>
      <c r="AM48" s="9"/>
      <c r="AN48" s="9" t="s">
        <v>1480</v>
      </c>
      <c r="AO48" s="9" t="s">
        <v>1375</v>
      </c>
      <c r="AP48" s="9" t="s">
        <v>741</v>
      </c>
      <c r="AQ48" s="9"/>
      <c r="AR48" s="9"/>
      <c r="AS48" s="9" t="s">
        <v>741</v>
      </c>
      <c r="AT48" s="9"/>
      <c r="AU48" s="9"/>
      <c r="AV48" s="9" t="s">
        <v>25</v>
      </c>
      <c r="AW48" s="9"/>
      <c r="AX48" s="9"/>
      <c r="AY48" s="39"/>
      <c r="AZ48" s="9"/>
      <c r="BA48" s="9"/>
      <c r="BB48" s="9"/>
      <c r="BC48" s="9"/>
      <c r="BD48" s="9"/>
      <c r="BE48" s="9"/>
      <c r="BF48" s="9" t="s">
        <v>25</v>
      </c>
      <c r="BG48" s="9"/>
      <c r="BH48" s="9"/>
      <c r="BI48" s="9"/>
      <c r="BJ48" s="9"/>
      <c r="BK48" s="9"/>
      <c r="BL48" s="9"/>
      <c r="BM48" s="9"/>
      <c r="BN48" s="9"/>
      <c r="BO48" s="9"/>
      <c r="BP48" s="9"/>
      <c r="BQ48" s="9" t="s">
        <v>25</v>
      </c>
      <c r="BR48" s="9"/>
      <c r="BS48" s="9"/>
      <c r="BT48" s="9"/>
      <c r="BU48" s="9"/>
      <c r="BV48" s="9"/>
      <c r="BW48" s="9"/>
      <c r="BX48" s="9"/>
      <c r="BY48" s="9"/>
      <c r="BZ48" s="9"/>
      <c r="CA48" s="9"/>
      <c r="CB48" s="9"/>
      <c r="CC48" s="9" t="s">
        <v>1368</v>
      </c>
      <c r="CD48" s="9" t="s">
        <v>41</v>
      </c>
      <c r="CE48" s="9" t="s">
        <v>25</v>
      </c>
      <c r="CF48" s="9" t="s">
        <v>741</v>
      </c>
      <c r="CG48" s="9" t="s">
        <v>604</v>
      </c>
      <c r="CH48" s="9" t="s">
        <v>604</v>
      </c>
      <c r="CI48" s="9" t="s">
        <v>741</v>
      </c>
      <c r="CJ48" s="9" t="s">
        <v>604</v>
      </c>
      <c r="CK48" s="9" t="s">
        <v>604</v>
      </c>
      <c r="CL48" s="9" t="s">
        <v>28</v>
      </c>
      <c r="CM48" s="9" t="s">
        <v>14492</v>
      </c>
      <c r="CN48" s="9" t="s">
        <v>1370</v>
      </c>
      <c r="CO48" s="9" t="s">
        <v>28</v>
      </c>
      <c r="CP48" s="9" t="s">
        <v>28</v>
      </c>
      <c r="CQ48" s="9"/>
      <c r="CR48" s="9" t="s">
        <v>1481</v>
      </c>
    </row>
    <row r="49" spans="1:96" ht="38.25" x14ac:dyDescent="0.2">
      <c r="A49" s="8" t="s">
        <v>128</v>
      </c>
      <c r="B49" s="9" t="s">
        <v>1362</v>
      </c>
      <c r="C49" s="9"/>
      <c r="D49" s="9"/>
      <c r="E49" s="9"/>
      <c r="F49" s="9"/>
      <c r="G49" s="9"/>
      <c r="H49" s="9"/>
      <c r="I49" s="9"/>
      <c r="J49" s="9"/>
      <c r="K49" s="9"/>
      <c r="L49" s="9"/>
      <c r="M49" s="9"/>
      <c r="N49" s="9"/>
      <c r="O49" s="9"/>
      <c r="P49" s="9"/>
      <c r="Q49" s="9"/>
      <c r="R49" s="9"/>
      <c r="S49" s="9"/>
      <c r="T49" s="9"/>
      <c r="U49" s="9"/>
      <c r="V49" s="9"/>
      <c r="W49" s="9"/>
      <c r="X49" s="9"/>
      <c r="Y49" s="9"/>
      <c r="Z49" s="9"/>
      <c r="AA49" s="9"/>
      <c r="AB49" s="9" t="s">
        <v>1363</v>
      </c>
      <c r="AC49" s="9"/>
      <c r="AD49" s="9"/>
      <c r="AE49" s="9"/>
      <c r="AF49" s="9"/>
      <c r="AG49" s="9" t="s">
        <v>28</v>
      </c>
      <c r="AH49" s="9" t="s">
        <v>28</v>
      </c>
      <c r="AI49" s="9" t="s">
        <v>1413</v>
      </c>
      <c r="AJ49" s="9"/>
      <c r="AK49" s="9" t="s">
        <v>25</v>
      </c>
      <c r="AL49" s="9" t="s">
        <v>603</v>
      </c>
      <c r="AM49" s="9"/>
      <c r="AN49" s="9" t="s">
        <v>13890</v>
      </c>
      <c r="AO49" s="9" t="s">
        <v>1375</v>
      </c>
      <c r="AP49" s="9" t="s">
        <v>741</v>
      </c>
      <c r="AQ49" s="9" t="s">
        <v>604</v>
      </c>
      <c r="AR49" s="9" t="s">
        <v>604</v>
      </c>
      <c r="AS49" s="9" t="s">
        <v>741</v>
      </c>
      <c r="AT49" s="9" t="s">
        <v>741</v>
      </c>
      <c r="AU49" s="9" t="s">
        <v>741</v>
      </c>
      <c r="AV49" s="9" t="s">
        <v>25</v>
      </c>
      <c r="AW49" s="9"/>
      <c r="AX49" s="9"/>
      <c r="AY49" s="39"/>
      <c r="AZ49" s="9"/>
      <c r="BA49" s="9"/>
      <c r="BB49" s="9"/>
      <c r="BC49" s="9"/>
      <c r="BD49" s="9"/>
      <c r="BE49" s="9"/>
      <c r="BF49" s="9" t="s">
        <v>25</v>
      </c>
      <c r="BG49" s="9"/>
      <c r="BH49" s="9"/>
      <c r="BI49" s="9"/>
      <c r="BJ49" s="9"/>
      <c r="BK49" s="9"/>
      <c r="BL49" s="9"/>
      <c r="BM49" s="9"/>
      <c r="BN49" s="9"/>
      <c r="BO49" s="9"/>
      <c r="BP49" s="9"/>
      <c r="BQ49" s="9" t="s">
        <v>25</v>
      </c>
      <c r="BR49" s="9"/>
      <c r="BS49" s="9"/>
      <c r="BT49" s="9"/>
      <c r="BU49" s="9"/>
      <c r="BV49" s="9"/>
      <c r="BW49" s="9"/>
      <c r="BX49" s="9"/>
      <c r="BY49" s="9"/>
      <c r="BZ49" s="9"/>
      <c r="CA49" s="9"/>
      <c r="CB49" s="9"/>
      <c r="CC49" s="9" t="s">
        <v>1368</v>
      </c>
      <c r="CD49" s="9" t="s">
        <v>25</v>
      </c>
      <c r="CE49" s="9" t="s">
        <v>25</v>
      </c>
      <c r="CF49" s="9" t="s">
        <v>741</v>
      </c>
      <c r="CG49" s="9" t="s">
        <v>604</v>
      </c>
      <c r="CH49" s="9" t="s">
        <v>604</v>
      </c>
      <c r="CI49" s="9" t="s">
        <v>741</v>
      </c>
      <c r="CJ49" s="9" t="s">
        <v>741</v>
      </c>
      <c r="CK49" s="9" t="s">
        <v>741</v>
      </c>
      <c r="CL49" s="9" t="s">
        <v>25</v>
      </c>
      <c r="CM49" s="9"/>
      <c r="CN49" s="9" t="s">
        <v>1370</v>
      </c>
      <c r="CO49" s="9" t="s">
        <v>25</v>
      </c>
      <c r="CP49" s="9"/>
      <c r="CQ49" s="9" t="s">
        <v>1412</v>
      </c>
      <c r="CR49" s="9" t="s">
        <v>1414</v>
      </c>
    </row>
    <row r="50" spans="1:96" ht="76.5" x14ac:dyDescent="0.2">
      <c r="A50" s="8" t="s">
        <v>126</v>
      </c>
      <c r="B50" s="9" t="s">
        <v>1362</v>
      </c>
      <c r="C50" s="9"/>
      <c r="D50" s="9"/>
      <c r="E50" s="9"/>
      <c r="F50" s="9"/>
      <c r="G50" s="9"/>
      <c r="H50" s="9"/>
      <c r="I50" s="9"/>
      <c r="J50" s="9"/>
      <c r="K50" s="9"/>
      <c r="L50" s="9"/>
      <c r="M50" s="9"/>
      <c r="N50" s="9"/>
      <c r="O50" s="9"/>
      <c r="P50" s="9"/>
      <c r="Q50" s="9"/>
      <c r="R50" s="9"/>
      <c r="S50" s="9"/>
      <c r="T50" s="9"/>
      <c r="U50" s="9"/>
      <c r="V50" s="9"/>
      <c r="W50" s="9"/>
      <c r="X50" s="9"/>
      <c r="Y50" s="9"/>
      <c r="Z50" s="9"/>
      <c r="AA50" s="9"/>
      <c r="AB50" s="9" t="s">
        <v>1363</v>
      </c>
      <c r="AC50" s="9"/>
      <c r="AD50" s="9"/>
      <c r="AE50" s="9"/>
      <c r="AF50" s="9"/>
      <c r="AG50" s="9" t="s">
        <v>28</v>
      </c>
      <c r="AH50" s="9" t="s">
        <v>28</v>
      </c>
      <c r="AI50" s="9" t="s">
        <v>1373</v>
      </c>
      <c r="AJ50" s="9"/>
      <c r="AK50" s="9" t="s">
        <v>28</v>
      </c>
      <c r="AL50" s="9" t="s">
        <v>603</v>
      </c>
      <c r="AM50" s="9"/>
      <c r="AN50" s="9" t="s">
        <v>13889</v>
      </c>
      <c r="AO50" s="9" t="s">
        <v>13514</v>
      </c>
      <c r="AP50" s="9" t="s">
        <v>741</v>
      </c>
      <c r="AQ50" s="9" t="s">
        <v>604</v>
      </c>
      <c r="AR50" s="9" t="s">
        <v>604</v>
      </c>
      <c r="AS50" s="9" t="s">
        <v>741</v>
      </c>
      <c r="AT50" s="9" t="s">
        <v>741</v>
      </c>
      <c r="AU50" s="9" t="s">
        <v>604</v>
      </c>
      <c r="AV50" s="9" t="s">
        <v>25</v>
      </c>
      <c r="AW50" s="9"/>
      <c r="AX50" s="9"/>
      <c r="AY50" s="39"/>
      <c r="AZ50" s="9"/>
      <c r="BA50" s="9"/>
      <c r="BB50" s="9"/>
      <c r="BC50" s="9"/>
      <c r="BD50" s="9"/>
      <c r="BE50" s="9"/>
      <c r="BF50" s="9" t="s">
        <v>25</v>
      </c>
      <c r="BG50" s="9"/>
      <c r="BH50" s="9"/>
      <c r="BI50" s="9"/>
      <c r="BJ50" s="9"/>
      <c r="BK50" s="9"/>
      <c r="BL50" s="9"/>
      <c r="BM50" s="9"/>
      <c r="BN50" s="9"/>
      <c r="BO50" s="9"/>
      <c r="BP50" s="9"/>
      <c r="BQ50" s="9" t="s">
        <v>25</v>
      </c>
      <c r="BR50" s="9"/>
      <c r="BS50" s="9"/>
      <c r="BT50" s="9"/>
      <c r="BU50" s="9"/>
      <c r="BV50" s="9"/>
      <c r="BW50" s="9"/>
      <c r="BX50" s="9"/>
      <c r="BY50" s="9"/>
      <c r="BZ50" s="9"/>
      <c r="CA50" s="9"/>
      <c r="CB50" s="9"/>
      <c r="CC50" s="9" t="s">
        <v>1368</v>
      </c>
      <c r="CD50" s="9" t="s">
        <v>25</v>
      </c>
      <c r="CE50" s="9" t="s">
        <v>25</v>
      </c>
      <c r="CF50" s="9" t="s">
        <v>741</v>
      </c>
      <c r="CG50" s="9" t="s">
        <v>604</v>
      </c>
      <c r="CH50" s="9" t="s">
        <v>604</v>
      </c>
      <c r="CI50" s="9" t="s">
        <v>741</v>
      </c>
      <c r="CJ50" s="9" t="s">
        <v>741</v>
      </c>
      <c r="CK50" s="9" t="s">
        <v>604</v>
      </c>
      <c r="CL50" s="9" t="s">
        <v>28</v>
      </c>
      <c r="CM50" s="9" t="s">
        <v>14492</v>
      </c>
      <c r="CN50" s="9" t="s">
        <v>1370</v>
      </c>
      <c r="CO50" s="9" t="s">
        <v>25</v>
      </c>
      <c r="CP50" s="9"/>
      <c r="CQ50" s="9" t="s">
        <v>1405</v>
      </c>
      <c r="CR50" s="9" t="s">
        <v>1406</v>
      </c>
    </row>
    <row r="51" spans="1:96" ht="63.75" x14ac:dyDescent="0.2">
      <c r="A51" s="8" t="s">
        <v>130</v>
      </c>
      <c r="B51" s="9" t="s">
        <v>1362</v>
      </c>
      <c r="C51" s="9"/>
      <c r="D51" s="9"/>
      <c r="E51" s="9"/>
      <c r="F51" s="9"/>
      <c r="G51" s="9"/>
      <c r="H51" s="9"/>
      <c r="I51" s="9"/>
      <c r="J51" s="9"/>
      <c r="K51" s="9"/>
      <c r="L51" s="9"/>
      <c r="M51" s="9"/>
      <c r="N51" s="9"/>
      <c r="O51" s="9"/>
      <c r="P51" s="9"/>
      <c r="Q51" s="9"/>
      <c r="R51" s="9"/>
      <c r="S51" s="9"/>
      <c r="T51" s="9"/>
      <c r="U51" s="9"/>
      <c r="V51" s="9"/>
      <c r="W51" s="9"/>
      <c r="X51" s="9"/>
      <c r="Y51" s="9"/>
      <c r="Z51" s="9"/>
      <c r="AA51" s="9"/>
      <c r="AB51" s="9" t="s">
        <v>1363</v>
      </c>
      <c r="AC51" s="9"/>
      <c r="AD51" s="9"/>
      <c r="AE51" s="9"/>
      <c r="AF51" s="9"/>
      <c r="AG51" s="9" t="s">
        <v>28</v>
      </c>
      <c r="AH51" s="9" t="s">
        <v>28</v>
      </c>
      <c r="AI51" s="9" t="s">
        <v>1420</v>
      </c>
      <c r="AJ51" s="9"/>
      <c r="AK51" s="9" t="s">
        <v>25</v>
      </c>
      <c r="AL51" s="9" t="s">
        <v>603</v>
      </c>
      <c r="AM51" s="9"/>
      <c r="AN51" s="9" t="s">
        <v>14486</v>
      </c>
      <c r="AO51" s="9" t="s">
        <v>1366</v>
      </c>
      <c r="AP51" s="9" t="s">
        <v>741</v>
      </c>
      <c r="AQ51" s="9" t="s">
        <v>604</v>
      </c>
      <c r="AR51" s="9" t="s">
        <v>604</v>
      </c>
      <c r="AS51" s="9" t="s">
        <v>741</v>
      </c>
      <c r="AT51" s="9" t="s">
        <v>741</v>
      </c>
      <c r="AU51" s="9" t="s">
        <v>604</v>
      </c>
      <c r="AV51" s="9" t="s">
        <v>28</v>
      </c>
      <c r="AW51" s="9" t="s">
        <v>25</v>
      </c>
      <c r="AX51" s="9" t="s">
        <v>603</v>
      </c>
      <c r="AY51" s="39"/>
      <c r="AZ51" s="9" t="s">
        <v>741</v>
      </c>
      <c r="BA51" s="9" t="s">
        <v>604</v>
      </c>
      <c r="BB51" s="9" t="s">
        <v>604</v>
      </c>
      <c r="BC51" s="9" t="s">
        <v>741</v>
      </c>
      <c r="BD51" s="9" t="s">
        <v>679</v>
      </c>
      <c r="BE51" s="9" t="s">
        <v>604</v>
      </c>
      <c r="BF51" s="9" t="s">
        <v>28</v>
      </c>
      <c r="BG51" s="9" t="s">
        <v>1422</v>
      </c>
      <c r="BH51" s="9" t="s">
        <v>25</v>
      </c>
      <c r="BI51" s="9" t="s">
        <v>603</v>
      </c>
      <c r="BJ51" s="9"/>
      <c r="BK51" s="9" t="s">
        <v>741</v>
      </c>
      <c r="BL51" s="9" t="s">
        <v>604</v>
      </c>
      <c r="BM51" s="9" t="s">
        <v>604</v>
      </c>
      <c r="BN51" s="9" t="s">
        <v>741</v>
      </c>
      <c r="BO51" s="9" t="s">
        <v>741</v>
      </c>
      <c r="BP51" s="9" t="s">
        <v>604</v>
      </c>
      <c r="BQ51" s="9" t="s">
        <v>25</v>
      </c>
      <c r="BR51" s="9"/>
      <c r="BS51" s="9"/>
      <c r="BT51" s="9"/>
      <c r="BU51" s="9"/>
      <c r="BV51" s="9"/>
      <c r="BW51" s="9"/>
      <c r="BX51" s="9"/>
      <c r="BY51" s="9"/>
      <c r="BZ51" s="9"/>
      <c r="CA51" s="9"/>
      <c r="CB51" s="9"/>
      <c r="CC51" s="9" t="s">
        <v>1368</v>
      </c>
      <c r="CD51" s="9" t="s">
        <v>25</v>
      </c>
      <c r="CE51" s="9" t="s">
        <v>25</v>
      </c>
      <c r="CF51" s="9" t="s">
        <v>741</v>
      </c>
      <c r="CG51" s="9" t="s">
        <v>604</v>
      </c>
      <c r="CH51" s="9" t="s">
        <v>604</v>
      </c>
      <c r="CI51" s="9" t="s">
        <v>741</v>
      </c>
      <c r="CJ51" s="9" t="s">
        <v>741</v>
      </c>
      <c r="CK51" s="9" t="s">
        <v>604</v>
      </c>
      <c r="CL51" s="9" t="s">
        <v>25</v>
      </c>
      <c r="CM51" s="9"/>
      <c r="CN51" s="9" t="s">
        <v>1370</v>
      </c>
      <c r="CO51" s="9" t="s">
        <v>25</v>
      </c>
      <c r="CP51" s="9"/>
      <c r="CQ51" s="9" t="s">
        <v>25</v>
      </c>
      <c r="CR51" s="9"/>
    </row>
    <row r="52" spans="1:96" ht="63.75" x14ac:dyDescent="0.2">
      <c r="A52" s="8" t="s">
        <v>173</v>
      </c>
      <c r="B52" s="9" t="s">
        <v>1425</v>
      </c>
      <c r="C52" s="9" t="s">
        <v>1515</v>
      </c>
      <c r="D52" s="9" t="s">
        <v>1387</v>
      </c>
      <c r="E52" s="9"/>
      <c r="F52" s="9"/>
      <c r="G52" s="9"/>
      <c r="H52" s="9" t="s">
        <v>679</v>
      </c>
      <c r="I52" s="9"/>
      <c r="J52" s="9"/>
      <c r="K52" s="9"/>
      <c r="L52" s="9"/>
      <c r="M52" s="9"/>
      <c r="N52" s="9"/>
      <c r="O52" s="9"/>
      <c r="P52" s="9"/>
      <c r="Q52" s="9"/>
      <c r="R52" s="9"/>
      <c r="S52" s="9"/>
      <c r="T52" s="9"/>
      <c r="U52" s="9"/>
      <c r="V52" s="9"/>
      <c r="W52" s="9"/>
      <c r="X52" s="9"/>
      <c r="Y52" s="9" t="s">
        <v>1416</v>
      </c>
      <c r="Z52" s="9" t="s">
        <v>13505</v>
      </c>
      <c r="AA52" s="9"/>
      <c r="AB52" s="9" t="s">
        <v>1363</v>
      </c>
      <c r="AC52" s="9"/>
      <c r="AD52" s="9"/>
      <c r="AE52" s="9"/>
      <c r="AF52" s="9"/>
      <c r="AG52" s="9" t="s">
        <v>28</v>
      </c>
      <c r="AH52" s="9" t="s">
        <v>28</v>
      </c>
      <c r="AI52" s="9" t="s">
        <v>1516</v>
      </c>
      <c r="AJ52" s="9" t="s">
        <v>1517</v>
      </c>
      <c r="AK52" s="9" t="s">
        <v>25</v>
      </c>
      <c r="AL52" s="9" t="s">
        <v>603</v>
      </c>
      <c r="AM52" s="9"/>
      <c r="AN52" s="9" t="s">
        <v>14480</v>
      </c>
      <c r="AO52" s="9" t="s">
        <v>1384</v>
      </c>
      <c r="AP52" s="9" t="s">
        <v>741</v>
      </c>
      <c r="AQ52" s="9" t="s">
        <v>604</v>
      </c>
      <c r="AR52" s="9" t="s">
        <v>604</v>
      </c>
      <c r="AS52" s="9" t="s">
        <v>741</v>
      </c>
      <c r="AT52" s="9" t="s">
        <v>741</v>
      </c>
      <c r="AU52" s="9" t="s">
        <v>604</v>
      </c>
      <c r="AV52" s="9" t="s">
        <v>28</v>
      </c>
      <c r="AW52" s="9" t="s">
        <v>25</v>
      </c>
      <c r="AX52" s="9" t="s">
        <v>603</v>
      </c>
      <c r="AY52" s="39"/>
      <c r="AZ52" s="9" t="s">
        <v>741</v>
      </c>
      <c r="BA52" s="9" t="s">
        <v>604</v>
      </c>
      <c r="BB52" s="9" t="s">
        <v>604</v>
      </c>
      <c r="BC52" s="9" t="s">
        <v>741</v>
      </c>
      <c r="BD52" s="9" t="s">
        <v>679</v>
      </c>
      <c r="BE52" s="9" t="s">
        <v>604</v>
      </c>
      <c r="BF52" s="9" t="s">
        <v>28</v>
      </c>
      <c r="BG52" s="9" t="s">
        <v>1518</v>
      </c>
      <c r="BH52" s="9" t="s">
        <v>25</v>
      </c>
      <c r="BI52" s="9" t="s">
        <v>603</v>
      </c>
      <c r="BJ52" s="9"/>
      <c r="BK52" s="9" t="s">
        <v>741</v>
      </c>
      <c r="BL52" s="9" t="s">
        <v>604</v>
      </c>
      <c r="BM52" s="9" t="s">
        <v>604</v>
      </c>
      <c r="BN52" s="9" t="s">
        <v>741</v>
      </c>
      <c r="BO52" s="9" t="s">
        <v>741</v>
      </c>
      <c r="BP52" s="9" t="s">
        <v>604</v>
      </c>
      <c r="BQ52" s="9" t="s">
        <v>25</v>
      </c>
      <c r="BR52" s="9"/>
      <c r="BS52" s="9"/>
      <c r="BT52" s="9"/>
      <c r="BU52" s="9"/>
      <c r="BV52" s="9"/>
      <c r="BW52" s="9"/>
      <c r="BX52" s="9"/>
      <c r="BY52" s="9"/>
      <c r="BZ52" s="9"/>
      <c r="CA52" s="9"/>
      <c r="CB52" s="9"/>
      <c r="CC52" s="9" t="s">
        <v>1368</v>
      </c>
      <c r="CD52" s="9" t="s">
        <v>28</v>
      </c>
      <c r="CE52" s="9" t="s">
        <v>25</v>
      </c>
      <c r="CF52" s="9" t="s">
        <v>741</v>
      </c>
      <c r="CG52" s="9" t="s">
        <v>604</v>
      </c>
      <c r="CH52" s="9" t="s">
        <v>604</v>
      </c>
      <c r="CI52" s="9" t="s">
        <v>741</v>
      </c>
      <c r="CJ52" s="9" t="s">
        <v>741</v>
      </c>
      <c r="CK52" s="9" t="s">
        <v>604</v>
      </c>
      <c r="CL52" s="9" t="s">
        <v>28</v>
      </c>
      <c r="CM52" s="9" t="s">
        <v>1369</v>
      </c>
      <c r="CN52" s="9" t="s">
        <v>1370</v>
      </c>
      <c r="CO52" s="9" t="s">
        <v>25</v>
      </c>
      <c r="CP52" s="9"/>
      <c r="CQ52" s="9" t="s">
        <v>1041</v>
      </c>
      <c r="CR52" s="9"/>
    </row>
    <row r="53" spans="1:96" ht="89.25" x14ac:dyDescent="0.2">
      <c r="A53" s="8" t="s">
        <v>178</v>
      </c>
      <c r="B53" s="9" t="s">
        <v>1386</v>
      </c>
      <c r="C53" s="9" t="s">
        <v>14458</v>
      </c>
      <c r="D53" s="9" t="s">
        <v>1387</v>
      </c>
      <c r="E53" s="9"/>
      <c r="F53" s="9" t="s">
        <v>1387</v>
      </c>
      <c r="G53" s="9" t="s">
        <v>1388</v>
      </c>
      <c r="H53" s="9" t="s">
        <v>679</v>
      </c>
      <c r="I53" s="9" t="s">
        <v>1387</v>
      </c>
      <c r="J53" s="9"/>
      <c r="K53" s="9" t="s">
        <v>1387</v>
      </c>
      <c r="L53" s="9" t="s">
        <v>1387</v>
      </c>
      <c r="M53" s="9" t="s">
        <v>1387</v>
      </c>
      <c r="N53" s="9" t="s">
        <v>1387</v>
      </c>
      <c r="O53" s="9"/>
      <c r="P53" s="9"/>
      <c r="Q53" s="9" t="s">
        <v>1387</v>
      </c>
      <c r="R53" s="9"/>
      <c r="S53" s="9"/>
      <c r="T53" s="9"/>
      <c r="U53" s="9"/>
      <c r="V53" s="9" t="s">
        <v>1387</v>
      </c>
      <c r="W53" s="9" t="s">
        <v>1387</v>
      </c>
      <c r="X53" s="9" t="s">
        <v>1387</v>
      </c>
      <c r="Y53" s="9" t="s">
        <v>1416</v>
      </c>
      <c r="Z53" s="9" t="s">
        <v>13501</v>
      </c>
      <c r="AA53" s="9"/>
      <c r="AB53" s="9" t="s">
        <v>1363</v>
      </c>
      <c r="AC53" s="9"/>
      <c r="AD53" s="9"/>
      <c r="AE53" s="9"/>
      <c r="AF53" s="9"/>
      <c r="AG53" s="9" t="s">
        <v>28</v>
      </c>
      <c r="AH53" s="9" t="s">
        <v>28</v>
      </c>
      <c r="AI53" s="9" t="s">
        <v>14470</v>
      </c>
      <c r="AJ53" s="9"/>
      <c r="AK53" s="9" t="s">
        <v>25</v>
      </c>
      <c r="AL53" s="9" t="s">
        <v>603</v>
      </c>
      <c r="AM53" s="9"/>
      <c r="AN53" s="9" t="s">
        <v>1527</v>
      </c>
      <c r="AO53" s="9" t="s">
        <v>1423</v>
      </c>
      <c r="AP53" s="9" t="s">
        <v>604</v>
      </c>
      <c r="AQ53" s="9" t="s">
        <v>604</v>
      </c>
      <c r="AR53" s="9" t="s">
        <v>604</v>
      </c>
      <c r="AS53" s="9" t="s">
        <v>741</v>
      </c>
      <c r="AT53" s="9" t="s">
        <v>604</v>
      </c>
      <c r="AU53" s="9" t="s">
        <v>604</v>
      </c>
      <c r="AV53" s="9" t="s">
        <v>25</v>
      </c>
      <c r="AW53" s="9"/>
      <c r="AX53" s="9"/>
      <c r="AY53" s="39"/>
      <c r="AZ53" s="9"/>
      <c r="BA53" s="9"/>
      <c r="BB53" s="9"/>
      <c r="BC53" s="9"/>
      <c r="BD53" s="9"/>
      <c r="BE53" s="9"/>
      <c r="BF53" s="9" t="s">
        <v>25</v>
      </c>
      <c r="BG53" s="9"/>
      <c r="BH53" s="9"/>
      <c r="BI53" s="9"/>
      <c r="BJ53" s="9"/>
      <c r="BK53" s="9"/>
      <c r="BL53" s="9"/>
      <c r="BM53" s="9"/>
      <c r="BN53" s="9"/>
      <c r="BO53" s="9"/>
      <c r="BP53" s="9"/>
      <c r="BQ53" s="9" t="s">
        <v>25</v>
      </c>
      <c r="BR53" s="9"/>
      <c r="BS53" s="9"/>
      <c r="BT53" s="9"/>
      <c r="BU53" s="9"/>
      <c r="BV53" s="9"/>
      <c r="BW53" s="9"/>
      <c r="BX53" s="9"/>
      <c r="BY53" s="9"/>
      <c r="BZ53" s="9"/>
      <c r="CA53" s="9"/>
      <c r="CB53" s="9"/>
      <c r="CC53" s="9" t="s">
        <v>1368</v>
      </c>
      <c r="CD53" s="9" t="s">
        <v>41</v>
      </c>
      <c r="CE53" s="9" t="s">
        <v>25</v>
      </c>
      <c r="CF53" s="9" t="s">
        <v>604</v>
      </c>
      <c r="CG53" s="9" t="s">
        <v>604</v>
      </c>
      <c r="CH53" s="9" t="s">
        <v>604</v>
      </c>
      <c r="CI53" s="9" t="s">
        <v>741</v>
      </c>
      <c r="CJ53" s="9" t="s">
        <v>604</v>
      </c>
      <c r="CK53" s="9" t="s">
        <v>604</v>
      </c>
      <c r="CL53" s="9" t="s">
        <v>28</v>
      </c>
      <c r="CM53" s="9" t="s">
        <v>14492</v>
      </c>
      <c r="CN53" s="9" t="s">
        <v>1370</v>
      </c>
      <c r="CO53" s="9" t="s">
        <v>25</v>
      </c>
      <c r="CP53" s="9"/>
      <c r="CQ53" s="9"/>
      <c r="CR53" s="9"/>
    </row>
    <row r="54" spans="1:96" ht="76.5" x14ac:dyDescent="0.2">
      <c r="A54" s="8" t="s">
        <v>151</v>
      </c>
      <c r="B54" s="9" t="s">
        <v>1362</v>
      </c>
      <c r="C54" s="9"/>
      <c r="D54" s="9"/>
      <c r="E54" s="9"/>
      <c r="F54" s="9"/>
      <c r="G54" s="9"/>
      <c r="H54" s="9"/>
      <c r="I54" s="9"/>
      <c r="J54" s="9"/>
      <c r="K54" s="9"/>
      <c r="L54" s="9"/>
      <c r="M54" s="9"/>
      <c r="N54" s="9"/>
      <c r="O54" s="9"/>
      <c r="P54" s="9"/>
      <c r="Q54" s="9"/>
      <c r="R54" s="9"/>
      <c r="S54" s="9"/>
      <c r="T54" s="9"/>
      <c r="U54" s="9"/>
      <c r="V54" s="9"/>
      <c r="W54" s="9"/>
      <c r="X54" s="9"/>
      <c r="Y54" s="9"/>
      <c r="Z54" s="9"/>
      <c r="AA54" s="9"/>
      <c r="AB54" s="9" t="s">
        <v>1452</v>
      </c>
      <c r="AC54" s="9"/>
      <c r="AD54" s="9"/>
      <c r="AE54" s="9"/>
      <c r="AF54" s="9"/>
      <c r="AG54" s="9" t="s">
        <v>28</v>
      </c>
      <c r="AH54" s="9" t="s">
        <v>28</v>
      </c>
      <c r="AI54" s="9" t="s">
        <v>14470</v>
      </c>
      <c r="AJ54" s="9"/>
      <c r="AK54" s="9" t="s">
        <v>25</v>
      </c>
      <c r="AL54" s="9" t="s">
        <v>603</v>
      </c>
      <c r="AM54" s="9"/>
      <c r="AN54" s="9" t="s">
        <v>14473</v>
      </c>
      <c r="AO54" s="9" t="s">
        <v>1384</v>
      </c>
      <c r="AP54" s="9" t="s">
        <v>605</v>
      </c>
      <c r="AQ54" s="9" t="s">
        <v>604</v>
      </c>
      <c r="AR54" s="9" t="s">
        <v>604</v>
      </c>
      <c r="AS54" s="9" t="s">
        <v>605</v>
      </c>
      <c r="AT54" s="9" t="s">
        <v>605</v>
      </c>
      <c r="AU54" s="9" t="s">
        <v>604</v>
      </c>
      <c r="AV54" s="9" t="s">
        <v>28</v>
      </c>
      <c r="AW54" s="9" t="s">
        <v>25</v>
      </c>
      <c r="AX54" s="9" t="s">
        <v>603</v>
      </c>
      <c r="AY54" s="39"/>
      <c r="AZ54" s="9" t="s">
        <v>741</v>
      </c>
      <c r="BA54" s="9" t="s">
        <v>604</v>
      </c>
      <c r="BB54" s="9" t="s">
        <v>604</v>
      </c>
      <c r="BC54" s="9" t="s">
        <v>741</v>
      </c>
      <c r="BD54" s="9" t="s">
        <v>604</v>
      </c>
      <c r="BE54" s="9" t="s">
        <v>604</v>
      </c>
      <c r="BF54" s="9" t="s">
        <v>25</v>
      </c>
      <c r="BG54" s="9"/>
      <c r="BH54" s="9"/>
      <c r="BI54" s="9"/>
      <c r="BJ54" s="9"/>
      <c r="BK54" s="9"/>
      <c r="BL54" s="9"/>
      <c r="BM54" s="9"/>
      <c r="BN54" s="9"/>
      <c r="BO54" s="9"/>
      <c r="BP54" s="9"/>
      <c r="BQ54" s="9" t="s">
        <v>25</v>
      </c>
      <c r="BR54" s="9"/>
      <c r="BS54" s="9"/>
      <c r="BT54" s="9"/>
      <c r="BU54" s="9"/>
      <c r="BV54" s="9"/>
      <c r="BW54" s="9"/>
      <c r="BX54" s="9"/>
      <c r="BY54" s="9"/>
      <c r="BZ54" s="9"/>
      <c r="CA54" s="9"/>
      <c r="CB54" s="9"/>
      <c r="CC54" s="9" t="s">
        <v>1368</v>
      </c>
      <c r="CD54" s="9" t="s">
        <v>25</v>
      </c>
      <c r="CE54" s="9" t="s">
        <v>25</v>
      </c>
      <c r="CF54" s="9" t="s">
        <v>605</v>
      </c>
      <c r="CG54" s="9" t="s">
        <v>604</v>
      </c>
      <c r="CH54" s="9" t="s">
        <v>604</v>
      </c>
      <c r="CI54" s="9" t="s">
        <v>605</v>
      </c>
      <c r="CJ54" s="9" t="s">
        <v>605</v>
      </c>
      <c r="CK54" s="9" t="s">
        <v>604</v>
      </c>
      <c r="CL54" s="9" t="s">
        <v>28</v>
      </c>
      <c r="CM54" s="9" t="s">
        <v>1369</v>
      </c>
      <c r="CN54" s="9" t="s">
        <v>1370</v>
      </c>
      <c r="CO54" s="9" t="s">
        <v>28</v>
      </c>
      <c r="CP54" s="9" t="s">
        <v>28</v>
      </c>
      <c r="CQ54" s="9" t="s">
        <v>41</v>
      </c>
      <c r="CR54" s="9" t="s">
        <v>1472</v>
      </c>
    </row>
    <row r="55" spans="1:96" ht="38.25" x14ac:dyDescent="0.2">
      <c r="A55" s="8" t="s">
        <v>172</v>
      </c>
      <c r="B55" s="9" t="s">
        <v>1362</v>
      </c>
      <c r="C55" s="9"/>
      <c r="D55" s="9"/>
      <c r="E55" s="9"/>
      <c r="F55" s="9"/>
      <c r="G55" s="9"/>
      <c r="H55" s="9"/>
      <c r="I55" s="9"/>
      <c r="J55" s="9"/>
      <c r="K55" s="9"/>
      <c r="L55" s="9"/>
      <c r="M55" s="9"/>
      <c r="N55" s="9"/>
      <c r="O55" s="9"/>
      <c r="P55" s="9"/>
      <c r="Q55" s="9"/>
      <c r="R55" s="9"/>
      <c r="S55" s="9"/>
      <c r="T55" s="9"/>
      <c r="U55" s="9"/>
      <c r="V55" s="9"/>
      <c r="W55" s="9"/>
      <c r="X55" s="9"/>
      <c r="Y55" s="9"/>
      <c r="Z55" s="9"/>
      <c r="AA55" s="9"/>
      <c r="AB55" s="9" t="s">
        <v>1363</v>
      </c>
      <c r="AC55" s="9"/>
      <c r="AD55" s="9"/>
      <c r="AE55" s="9"/>
      <c r="AF55" s="9"/>
      <c r="AG55" s="9" t="s">
        <v>28</v>
      </c>
      <c r="AH55" s="9" t="s">
        <v>28</v>
      </c>
      <c r="AI55" s="9" t="s">
        <v>1364</v>
      </c>
      <c r="AJ55" s="9"/>
      <c r="AK55" s="9" t="s">
        <v>25</v>
      </c>
      <c r="AL55" s="9" t="s">
        <v>603</v>
      </c>
      <c r="AM55" s="9"/>
      <c r="AN55" s="9" t="s">
        <v>1480</v>
      </c>
      <c r="AO55" s="9" t="s">
        <v>1469</v>
      </c>
      <c r="AP55" s="9"/>
      <c r="AQ55" s="9" t="s">
        <v>741</v>
      </c>
      <c r="AR55" s="9"/>
      <c r="AS55" s="9"/>
      <c r="AT55" s="9" t="s">
        <v>741</v>
      </c>
      <c r="AU55" s="9"/>
      <c r="AV55" s="9" t="s">
        <v>25</v>
      </c>
      <c r="AW55" s="9"/>
      <c r="AX55" s="9"/>
      <c r="AY55" s="39"/>
      <c r="AZ55" s="9"/>
      <c r="BA55" s="9"/>
      <c r="BB55" s="9"/>
      <c r="BC55" s="9"/>
      <c r="BD55" s="9"/>
      <c r="BE55" s="9"/>
      <c r="BF55" s="9" t="s">
        <v>28</v>
      </c>
      <c r="BG55" s="9" t="s">
        <v>1514</v>
      </c>
      <c r="BH55" s="9" t="s">
        <v>25</v>
      </c>
      <c r="BI55" s="9" t="s">
        <v>603</v>
      </c>
      <c r="BJ55" s="9"/>
      <c r="BK55" s="9"/>
      <c r="BL55" s="9" t="s">
        <v>741</v>
      </c>
      <c r="BM55" s="9"/>
      <c r="BN55" s="9"/>
      <c r="BO55" s="9" t="s">
        <v>741</v>
      </c>
      <c r="BP55" s="9"/>
      <c r="BQ55" s="9" t="s">
        <v>25</v>
      </c>
      <c r="BR55" s="9"/>
      <c r="BS55" s="9"/>
      <c r="BT55" s="9"/>
      <c r="BU55" s="9"/>
      <c r="BV55" s="9"/>
      <c r="BW55" s="9"/>
      <c r="BX55" s="9"/>
      <c r="BY55" s="9"/>
      <c r="BZ55" s="9"/>
      <c r="CA55" s="9"/>
      <c r="CB55" s="9"/>
      <c r="CC55" s="9" t="s">
        <v>1368</v>
      </c>
      <c r="CD55" s="9" t="s">
        <v>25</v>
      </c>
      <c r="CE55" s="9" t="s">
        <v>25</v>
      </c>
      <c r="CF55" s="9"/>
      <c r="CG55" s="9" t="s">
        <v>741</v>
      </c>
      <c r="CH55" s="9"/>
      <c r="CI55" s="9"/>
      <c r="CJ55" s="9" t="s">
        <v>741</v>
      </c>
      <c r="CK55" s="9"/>
      <c r="CL55" s="9" t="s">
        <v>28</v>
      </c>
      <c r="CM55" s="9" t="s">
        <v>14494</v>
      </c>
      <c r="CN55" s="9" t="s">
        <v>1458</v>
      </c>
      <c r="CO55" s="9" t="s">
        <v>25</v>
      </c>
      <c r="CP55" s="9"/>
      <c r="CQ55" s="9"/>
      <c r="CR55" s="9"/>
    </row>
    <row r="56" spans="1:96" ht="89.25" x14ac:dyDescent="0.2">
      <c r="A56" s="8" t="s">
        <v>119</v>
      </c>
      <c r="B56" s="9" t="s">
        <v>1362</v>
      </c>
      <c r="C56" s="9"/>
      <c r="D56" s="9"/>
      <c r="E56" s="9"/>
      <c r="F56" s="9"/>
      <c r="G56" s="9"/>
      <c r="H56" s="9"/>
      <c r="I56" s="9"/>
      <c r="J56" s="9"/>
      <c r="K56" s="9"/>
      <c r="L56" s="9"/>
      <c r="M56" s="9"/>
      <c r="N56" s="9"/>
      <c r="O56" s="9"/>
      <c r="P56" s="9"/>
      <c r="Q56" s="9"/>
      <c r="R56" s="9"/>
      <c r="S56" s="9"/>
      <c r="T56" s="9"/>
      <c r="U56" s="9"/>
      <c r="V56" s="9"/>
      <c r="W56" s="9"/>
      <c r="X56" s="9"/>
      <c r="Y56" s="9"/>
      <c r="Z56" s="9"/>
      <c r="AA56" s="9"/>
      <c r="AB56" s="9" t="s">
        <v>1363</v>
      </c>
      <c r="AC56" s="9"/>
      <c r="AD56" s="9"/>
      <c r="AE56" s="9"/>
      <c r="AF56" s="9"/>
      <c r="AG56" s="9" t="s">
        <v>28</v>
      </c>
      <c r="AH56" s="9" t="s">
        <v>28</v>
      </c>
      <c r="AI56" s="9" t="s">
        <v>1364</v>
      </c>
      <c r="AJ56" s="9"/>
      <c r="AK56" s="9" t="s">
        <v>25</v>
      </c>
      <c r="AL56" s="9" t="s">
        <v>603</v>
      </c>
      <c r="AM56" s="9"/>
      <c r="AN56" s="9" t="s">
        <v>14474</v>
      </c>
      <c r="AO56" s="9" t="s">
        <v>13513</v>
      </c>
      <c r="AP56" s="9" t="s">
        <v>605</v>
      </c>
      <c r="AQ56" s="9" t="s">
        <v>604</v>
      </c>
      <c r="AR56" s="9" t="s">
        <v>604</v>
      </c>
      <c r="AS56" s="9" t="s">
        <v>605</v>
      </c>
      <c r="AT56" s="9" t="s">
        <v>606</v>
      </c>
      <c r="AU56" s="9" t="s">
        <v>604</v>
      </c>
      <c r="AV56" s="9" t="s">
        <v>28</v>
      </c>
      <c r="AW56" s="9" t="s">
        <v>25</v>
      </c>
      <c r="AX56" s="9" t="s">
        <v>603</v>
      </c>
      <c r="AY56" s="39"/>
      <c r="AZ56" s="9" t="s">
        <v>741</v>
      </c>
      <c r="BA56" s="9" t="s">
        <v>604</v>
      </c>
      <c r="BB56" s="9" t="s">
        <v>604</v>
      </c>
      <c r="BC56" s="9" t="s">
        <v>741</v>
      </c>
      <c r="BD56" s="9" t="s">
        <v>679</v>
      </c>
      <c r="BE56" s="9" t="s">
        <v>604</v>
      </c>
      <c r="BF56" s="9" t="s">
        <v>28</v>
      </c>
      <c r="BG56" s="9" t="s">
        <v>1382</v>
      </c>
      <c r="BH56" s="9" t="s">
        <v>28</v>
      </c>
      <c r="BI56" s="9" t="s">
        <v>603</v>
      </c>
      <c r="BJ56" s="9"/>
      <c r="BK56" s="9" t="s">
        <v>605</v>
      </c>
      <c r="BL56" s="9" t="s">
        <v>604</v>
      </c>
      <c r="BM56" s="9" t="s">
        <v>604</v>
      </c>
      <c r="BN56" s="9" t="s">
        <v>605</v>
      </c>
      <c r="BO56" s="9" t="s">
        <v>605</v>
      </c>
      <c r="BP56" s="9" t="s">
        <v>604</v>
      </c>
      <c r="BQ56" s="9" t="s">
        <v>25</v>
      </c>
      <c r="BR56" s="9"/>
      <c r="BS56" s="9"/>
      <c r="BT56" s="9"/>
      <c r="BU56" s="9"/>
      <c r="BV56" s="9"/>
      <c r="BW56" s="9"/>
      <c r="BX56" s="9"/>
      <c r="BY56" s="9"/>
      <c r="BZ56" s="9"/>
      <c r="CA56" s="9"/>
      <c r="CB56" s="9"/>
      <c r="CC56" s="9" t="s">
        <v>1368</v>
      </c>
      <c r="CD56" s="9" t="s">
        <v>25</v>
      </c>
      <c r="CE56" s="9" t="s">
        <v>25</v>
      </c>
      <c r="CF56" s="9" t="s">
        <v>605</v>
      </c>
      <c r="CG56" s="9" t="s">
        <v>604</v>
      </c>
      <c r="CH56" s="9" t="s">
        <v>604</v>
      </c>
      <c r="CI56" s="9" t="s">
        <v>605</v>
      </c>
      <c r="CJ56" s="9" t="s">
        <v>605</v>
      </c>
      <c r="CK56" s="9" t="s">
        <v>604</v>
      </c>
      <c r="CL56" s="9" t="s">
        <v>28</v>
      </c>
      <c r="CM56" s="9" t="s">
        <v>14492</v>
      </c>
      <c r="CN56" s="9" t="s">
        <v>1370</v>
      </c>
      <c r="CO56" s="9" t="s">
        <v>28</v>
      </c>
      <c r="CP56" s="9" t="s">
        <v>28</v>
      </c>
      <c r="CQ56" s="9" t="s">
        <v>25</v>
      </c>
      <c r="CR56" s="9"/>
    </row>
    <row r="57" spans="1:96" ht="25.5" x14ac:dyDescent="0.2">
      <c r="A57" s="8" t="s">
        <v>146</v>
      </c>
      <c r="B57" s="9" t="s">
        <v>1362</v>
      </c>
      <c r="C57" s="9"/>
      <c r="D57" s="9"/>
      <c r="E57" s="9"/>
      <c r="F57" s="9"/>
      <c r="G57" s="9"/>
      <c r="H57" s="9"/>
      <c r="I57" s="9"/>
      <c r="J57" s="9"/>
      <c r="K57" s="9"/>
      <c r="L57" s="9"/>
      <c r="M57" s="9"/>
      <c r="N57" s="9"/>
      <c r="O57" s="9"/>
      <c r="P57" s="9"/>
      <c r="Q57" s="9"/>
      <c r="R57" s="9"/>
      <c r="S57" s="9"/>
      <c r="T57" s="9"/>
      <c r="U57" s="9"/>
      <c r="V57" s="9"/>
      <c r="W57" s="9"/>
      <c r="X57" s="9"/>
      <c r="Y57" s="9"/>
      <c r="Z57" s="9"/>
      <c r="AA57" s="9"/>
      <c r="AB57" s="9" t="s">
        <v>1363</v>
      </c>
      <c r="AC57" s="9"/>
      <c r="AD57" s="9"/>
      <c r="AE57" s="9"/>
      <c r="AF57" s="9"/>
      <c r="AG57" s="9" t="s">
        <v>25</v>
      </c>
      <c r="AH57" s="9"/>
      <c r="AI57" s="9"/>
      <c r="AJ57" s="9"/>
      <c r="AK57" s="9"/>
      <c r="AL57" s="9"/>
      <c r="AM57" s="9"/>
      <c r="AN57" s="9"/>
      <c r="AO57" s="9"/>
      <c r="AP57" s="9"/>
      <c r="AQ57" s="9"/>
      <c r="AR57" s="9"/>
      <c r="AS57" s="9"/>
      <c r="AT57" s="9"/>
      <c r="AU57" s="9"/>
      <c r="AV57" s="9" t="s">
        <v>25</v>
      </c>
      <c r="AW57" s="9"/>
      <c r="AX57" s="9"/>
      <c r="AY57" s="39"/>
      <c r="AZ57" s="9"/>
      <c r="BA57" s="9"/>
      <c r="BB57" s="9"/>
      <c r="BC57" s="9"/>
      <c r="BD57" s="9"/>
      <c r="BE57" s="9"/>
      <c r="BF57" s="9" t="s">
        <v>25</v>
      </c>
      <c r="BG57" s="9"/>
      <c r="BH57" s="9"/>
      <c r="BI57" s="9"/>
      <c r="BJ57" s="9"/>
      <c r="BK57" s="9"/>
      <c r="BL57" s="9"/>
      <c r="BM57" s="9"/>
      <c r="BN57" s="9"/>
      <c r="BO57" s="9"/>
      <c r="BP57" s="9"/>
      <c r="BQ57" s="9" t="s">
        <v>25</v>
      </c>
      <c r="BR57" s="9"/>
      <c r="BS57" s="9"/>
      <c r="BT57" s="9"/>
      <c r="BU57" s="9"/>
      <c r="BV57" s="9"/>
      <c r="BW57" s="9"/>
      <c r="BX57" s="9"/>
      <c r="BY57" s="9"/>
      <c r="BZ57" s="9"/>
      <c r="CA57" s="9"/>
      <c r="CB57" s="9"/>
      <c r="CC57" s="9" t="s">
        <v>1461</v>
      </c>
      <c r="CD57" s="9" t="s">
        <v>41</v>
      </c>
      <c r="CE57" s="9" t="s">
        <v>41</v>
      </c>
      <c r="CF57" s="9" t="s">
        <v>741</v>
      </c>
      <c r="CG57" s="9"/>
      <c r="CH57" s="9"/>
      <c r="CI57" s="9" t="s">
        <v>741</v>
      </c>
      <c r="CJ57" s="9" t="s">
        <v>741</v>
      </c>
      <c r="CK57" s="9"/>
      <c r="CL57" s="9" t="s">
        <v>28</v>
      </c>
      <c r="CM57" s="9"/>
      <c r="CN57" s="9" t="s">
        <v>1458</v>
      </c>
      <c r="CO57" s="9" t="s">
        <v>25</v>
      </c>
      <c r="CP57" s="9"/>
      <c r="CQ57" s="9"/>
      <c r="CR57" s="9"/>
    </row>
    <row r="58" spans="1:96" ht="76.5" x14ac:dyDescent="0.2">
      <c r="A58" s="8" t="s">
        <v>149</v>
      </c>
      <c r="B58" s="9" t="s">
        <v>1386</v>
      </c>
      <c r="C58" s="9" t="s">
        <v>14459</v>
      </c>
      <c r="D58" s="9" t="s">
        <v>1388</v>
      </c>
      <c r="E58" s="9"/>
      <c r="F58" s="9" t="s">
        <v>1388</v>
      </c>
      <c r="G58" s="9" t="s">
        <v>1388</v>
      </c>
      <c r="H58" s="9"/>
      <c r="I58" s="9" t="s">
        <v>1388</v>
      </c>
      <c r="J58" s="9" t="s">
        <v>1388</v>
      </c>
      <c r="K58" s="9"/>
      <c r="L58" s="9" t="s">
        <v>1388</v>
      </c>
      <c r="M58" s="9" t="s">
        <v>1388</v>
      </c>
      <c r="N58" s="9" t="s">
        <v>1388</v>
      </c>
      <c r="O58" s="9" t="s">
        <v>1388</v>
      </c>
      <c r="P58" s="9" t="s">
        <v>1388</v>
      </c>
      <c r="Q58" s="9" t="s">
        <v>1388</v>
      </c>
      <c r="R58" s="9"/>
      <c r="S58" s="9"/>
      <c r="T58" s="9"/>
      <c r="U58" s="9" t="s">
        <v>1388</v>
      </c>
      <c r="V58" s="9" t="s">
        <v>1388</v>
      </c>
      <c r="W58" s="9"/>
      <c r="X58" s="9"/>
      <c r="Y58" s="9" t="s">
        <v>635</v>
      </c>
      <c r="Z58" s="9" t="s">
        <v>13501</v>
      </c>
      <c r="AA58" s="9"/>
      <c r="AB58" s="9" t="s">
        <v>1393</v>
      </c>
      <c r="AC58" s="9" t="s">
        <v>14466</v>
      </c>
      <c r="AD58" s="9" t="s">
        <v>1427</v>
      </c>
      <c r="AE58" s="9" t="s">
        <v>13501</v>
      </c>
      <c r="AF58" s="9"/>
      <c r="AG58" s="9" t="s">
        <v>28</v>
      </c>
      <c r="AH58" s="9" t="s">
        <v>28</v>
      </c>
      <c r="AI58" s="9" t="s">
        <v>14470</v>
      </c>
      <c r="AJ58" s="9"/>
      <c r="AK58" s="9" t="s">
        <v>25</v>
      </c>
      <c r="AL58" s="9" t="s">
        <v>603</v>
      </c>
      <c r="AM58" s="9"/>
      <c r="AN58" s="9" t="s">
        <v>13892</v>
      </c>
      <c r="AO58" s="9" t="s">
        <v>1469</v>
      </c>
      <c r="AP58" s="9" t="s">
        <v>741</v>
      </c>
      <c r="AQ58" s="9" t="s">
        <v>604</v>
      </c>
      <c r="AR58" s="9" t="s">
        <v>604</v>
      </c>
      <c r="AS58" s="9" t="s">
        <v>741</v>
      </c>
      <c r="AT58" s="9" t="s">
        <v>741</v>
      </c>
      <c r="AU58" s="9" t="s">
        <v>604</v>
      </c>
      <c r="AV58" s="9" t="s">
        <v>28</v>
      </c>
      <c r="AW58" s="9" t="s">
        <v>25</v>
      </c>
      <c r="AX58" s="9" t="s">
        <v>603</v>
      </c>
      <c r="AY58" s="39"/>
      <c r="AZ58" s="9" t="s">
        <v>741</v>
      </c>
      <c r="BA58" s="9" t="s">
        <v>604</v>
      </c>
      <c r="BB58" s="9" t="s">
        <v>604</v>
      </c>
      <c r="BC58" s="9" t="s">
        <v>741</v>
      </c>
      <c r="BD58" s="9" t="s">
        <v>741</v>
      </c>
      <c r="BE58" s="9" t="s">
        <v>604</v>
      </c>
      <c r="BF58" s="9" t="s">
        <v>28</v>
      </c>
      <c r="BG58" s="9" t="s">
        <v>1470</v>
      </c>
      <c r="BH58" s="9" t="s">
        <v>25</v>
      </c>
      <c r="BI58" s="9" t="s">
        <v>603</v>
      </c>
      <c r="BJ58" s="9"/>
      <c r="BK58" s="9" t="s">
        <v>741</v>
      </c>
      <c r="BL58" s="9" t="s">
        <v>604</v>
      </c>
      <c r="BM58" s="9" t="s">
        <v>604</v>
      </c>
      <c r="BN58" s="9" t="s">
        <v>741</v>
      </c>
      <c r="BO58" s="9" t="s">
        <v>741</v>
      </c>
      <c r="BP58" s="9" t="s">
        <v>604</v>
      </c>
      <c r="BQ58" s="9" t="s">
        <v>25</v>
      </c>
      <c r="BR58" s="9"/>
      <c r="BS58" s="9"/>
      <c r="BT58" s="9"/>
      <c r="BU58" s="9"/>
      <c r="BV58" s="9"/>
      <c r="BW58" s="9"/>
      <c r="BX58" s="9"/>
      <c r="BY58" s="9"/>
      <c r="BZ58" s="9"/>
      <c r="CA58" s="9"/>
      <c r="CB58" s="9"/>
      <c r="CC58" s="9" t="s">
        <v>13896</v>
      </c>
      <c r="CD58" s="9" t="s">
        <v>28</v>
      </c>
      <c r="CE58" s="9" t="s">
        <v>28</v>
      </c>
      <c r="CF58" s="9" t="s">
        <v>741</v>
      </c>
      <c r="CG58" s="9" t="s">
        <v>604</v>
      </c>
      <c r="CH58" s="9" t="s">
        <v>604</v>
      </c>
      <c r="CI58" s="9" t="s">
        <v>741</v>
      </c>
      <c r="CJ58" s="9" t="s">
        <v>741</v>
      </c>
      <c r="CK58" s="9" t="s">
        <v>604</v>
      </c>
      <c r="CL58" s="9" t="s">
        <v>28</v>
      </c>
      <c r="CM58" s="9" t="s">
        <v>14492</v>
      </c>
      <c r="CN58" s="9" t="s">
        <v>1370</v>
      </c>
      <c r="CO58" s="9" t="s">
        <v>28</v>
      </c>
      <c r="CP58" s="9" t="s">
        <v>25</v>
      </c>
      <c r="CQ58" s="9" t="s">
        <v>25</v>
      </c>
      <c r="CR58" s="9" t="s">
        <v>1041</v>
      </c>
    </row>
    <row r="59" spans="1:96" ht="89.25" x14ac:dyDescent="0.2">
      <c r="A59" s="8" t="s">
        <v>145</v>
      </c>
      <c r="B59" s="9" t="s">
        <v>1362</v>
      </c>
      <c r="C59" s="9"/>
      <c r="D59" s="9"/>
      <c r="E59" s="9"/>
      <c r="F59" s="9"/>
      <c r="G59" s="9"/>
      <c r="H59" s="9"/>
      <c r="I59" s="9"/>
      <c r="J59" s="9"/>
      <c r="K59" s="9"/>
      <c r="L59" s="9"/>
      <c r="M59" s="9"/>
      <c r="N59" s="9"/>
      <c r="O59" s="9"/>
      <c r="P59" s="9"/>
      <c r="Q59" s="9"/>
      <c r="R59" s="9"/>
      <c r="S59" s="9"/>
      <c r="T59" s="9"/>
      <c r="U59" s="9"/>
      <c r="V59" s="9"/>
      <c r="W59" s="9"/>
      <c r="X59" s="9"/>
      <c r="Y59" s="9"/>
      <c r="Z59" s="9"/>
      <c r="AA59" s="9"/>
      <c r="AB59" s="9" t="s">
        <v>1426</v>
      </c>
      <c r="AC59" s="9" t="s">
        <v>14467</v>
      </c>
      <c r="AD59" s="9" t="s">
        <v>13511</v>
      </c>
      <c r="AE59" s="9" t="s">
        <v>1417</v>
      </c>
      <c r="AF59" s="9"/>
      <c r="AG59" s="9" t="s">
        <v>28</v>
      </c>
      <c r="AH59" s="9" t="s">
        <v>28</v>
      </c>
      <c r="AI59" s="9" t="s">
        <v>1364</v>
      </c>
      <c r="AJ59" s="9"/>
      <c r="AK59" s="9" t="s">
        <v>25</v>
      </c>
      <c r="AL59" s="9" t="s">
        <v>603</v>
      </c>
      <c r="AM59" s="9"/>
      <c r="AN59" s="9" t="s">
        <v>14474</v>
      </c>
      <c r="AO59" s="9" t="s">
        <v>13513</v>
      </c>
      <c r="AP59" s="9" t="s">
        <v>741</v>
      </c>
      <c r="AQ59" s="9" t="s">
        <v>604</v>
      </c>
      <c r="AR59" s="9" t="s">
        <v>604</v>
      </c>
      <c r="AS59" s="9" t="s">
        <v>604</v>
      </c>
      <c r="AT59" s="9" t="s">
        <v>741</v>
      </c>
      <c r="AU59" s="9" t="s">
        <v>741</v>
      </c>
      <c r="AV59" s="9" t="s">
        <v>25</v>
      </c>
      <c r="AW59" s="9"/>
      <c r="AX59" s="9"/>
      <c r="AY59" s="39"/>
      <c r="AZ59" s="9"/>
      <c r="BA59" s="9"/>
      <c r="BB59" s="9"/>
      <c r="BC59" s="9"/>
      <c r="BD59" s="9"/>
      <c r="BE59" s="9"/>
      <c r="BF59" s="9" t="s">
        <v>28</v>
      </c>
      <c r="BG59" s="9" t="s">
        <v>1457</v>
      </c>
      <c r="BH59" s="9" t="s">
        <v>25</v>
      </c>
      <c r="BI59" s="9" t="s">
        <v>603</v>
      </c>
      <c r="BJ59" s="9"/>
      <c r="BK59" s="9" t="s">
        <v>741</v>
      </c>
      <c r="BL59" s="9" t="s">
        <v>604</v>
      </c>
      <c r="BM59" s="9" t="s">
        <v>604</v>
      </c>
      <c r="BN59" s="9" t="s">
        <v>604</v>
      </c>
      <c r="BO59" s="9" t="s">
        <v>741</v>
      </c>
      <c r="BP59" s="9" t="s">
        <v>741</v>
      </c>
      <c r="BQ59" s="9" t="s">
        <v>25</v>
      </c>
      <c r="BR59" s="9"/>
      <c r="BS59" s="9"/>
      <c r="BT59" s="9"/>
      <c r="BU59" s="9"/>
      <c r="BV59" s="9"/>
      <c r="BW59" s="9"/>
      <c r="BX59" s="9"/>
      <c r="BY59" s="9"/>
      <c r="BZ59" s="9"/>
      <c r="CA59" s="9"/>
      <c r="CB59" s="9"/>
      <c r="CC59" s="9" t="s">
        <v>1368</v>
      </c>
      <c r="CD59" s="9" t="s">
        <v>28</v>
      </c>
      <c r="CE59" s="9" t="s">
        <v>25</v>
      </c>
      <c r="CF59" s="9" t="s">
        <v>741</v>
      </c>
      <c r="CG59" s="9" t="s">
        <v>604</v>
      </c>
      <c r="CH59" s="9" t="s">
        <v>604</v>
      </c>
      <c r="CI59" s="9" t="s">
        <v>604</v>
      </c>
      <c r="CJ59" s="9" t="s">
        <v>741</v>
      </c>
      <c r="CK59" s="9" t="s">
        <v>741</v>
      </c>
      <c r="CL59" s="9" t="s">
        <v>28</v>
      </c>
      <c r="CM59" s="9" t="s">
        <v>14492</v>
      </c>
      <c r="CN59" s="9" t="s">
        <v>1458</v>
      </c>
      <c r="CO59" s="9" t="s">
        <v>28</v>
      </c>
      <c r="CP59" s="9" t="s">
        <v>28</v>
      </c>
      <c r="CQ59" s="9" t="s">
        <v>1459</v>
      </c>
      <c r="CR59" s="9" t="s">
        <v>1460</v>
      </c>
    </row>
    <row r="60" spans="1:96" ht="51" x14ac:dyDescent="0.2">
      <c r="A60" s="8" t="s">
        <v>141</v>
      </c>
      <c r="B60" s="9" t="s">
        <v>1362</v>
      </c>
      <c r="C60" s="9"/>
      <c r="D60" s="9"/>
      <c r="E60" s="9"/>
      <c r="F60" s="9"/>
      <c r="G60" s="9"/>
      <c r="H60" s="9"/>
      <c r="I60" s="9"/>
      <c r="J60" s="9"/>
      <c r="K60" s="9"/>
      <c r="L60" s="9"/>
      <c r="M60" s="9"/>
      <c r="N60" s="9"/>
      <c r="O60" s="9"/>
      <c r="P60" s="9"/>
      <c r="Q60" s="9"/>
      <c r="R60" s="9"/>
      <c r="S60" s="9"/>
      <c r="T60" s="9"/>
      <c r="U60" s="9"/>
      <c r="V60" s="9"/>
      <c r="W60" s="9"/>
      <c r="X60" s="9"/>
      <c r="Y60" s="9"/>
      <c r="Z60" s="9"/>
      <c r="AA60" s="9"/>
      <c r="AB60" s="9" t="s">
        <v>1363</v>
      </c>
      <c r="AC60" s="9"/>
      <c r="AD60" s="9"/>
      <c r="AE60" s="9"/>
      <c r="AF60" s="9"/>
      <c r="AG60" s="9" t="s">
        <v>28</v>
      </c>
      <c r="AH60" s="9" t="s">
        <v>28</v>
      </c>
      <c r="AI60" s="9" t="s">
        <v>14470</v>
      </c>
      <c r="AJ60" s="9"/>
      <c r="AK60" s="9" t="s">
        <v>25</v>
      </c>
      <c r="AL60" s="9" t="s">
        <v>603</v>
      </c>
      <c r="AM60" s="9"/>
      <c r="AN60" s="9" t="s">
        <v>14471</v>
      </c>
      <c r="AO60" s="9" t="s">
        <v>1375</v>
      </c>
      <c r="AP60" s="9"/>
      <c r="AQ60" s="9"/>
      <c r="AR60" s="9"/>
      <c r="AS60" s="9" t="s">
        <v>741</v>
      </c>
      <c r="AT60" s="9" t="s">
        <v>741</v>
      </c>
      <c r="AU60" s="9"/>
      <c r="AV60" s="9" t="s">
        <v>25</v>
      </c>
      <c r="AW60" s="9"/>
      <c r="AX60" s="9"/>
      <c r="AY60" s="39"/>
      <c r="AZ60" s="9"/>
      <c r="BA60" s="9"/>
      <c r="BB60" s="9"/>
      <c r="BC60" s="9"/>
      <c r="BD60" s="9"/>
      <c r="BE60" s="9"/>
      <c r="BF60" s="9" t="s">
        <v>28</v>
      </c>
      <c r="BG60" s="9" t="s">
        <v>1448</v>
      </c>
      <c r="BH60" s="9" t="s">
        <v>28</v>
      </c>
      <c r="BI60" s="9" t="s">
        <v>603</v>
      </c>
      <c r="BJ60" s="9"/>
      <c r="BK60" s="9"/>
      <c r="BL60" s="9"/>
      <c r="BM60" s="9"/>
      <c r="BN60" s="9" t="s">
        <v>741</v>
      </c>
      <c r="BO60" s="9" t="s">
        <v>741</v>
      </c>
      <c r="BP60" s="9"/>
      <c r="BQ60" s="9" t="s">
        <v>25</v>
      </c>
      <c r="BR60" s="9"/>
      <c r="BS60" s="9"/>
      <c r="BT60" s="9"/>
      <c r="BU60" s="9"/>
      <c r="BV60" s="9"/>
      <c r="BW60" s="9"/>
      <c r="BX60" s="9"/>
      <c r="BY60" s="9"/>
      <c r="BZ60" s="9"/>
      <c r="CA60" s="9"/>
      <c r="CB60" s="9"/>
      <c r="CC60" s="9" t="s">
        <v>1368</v>
      </c>
      <c r="CD60" s="9" t="s">
        <v>25</v>
      </c>
      <c r="CE60" s="9" t="s">
        <v>25</v>
      </c>
      <c r="CF60" s="9"/>
      <c r="CG60" s="9"/>
      <c r="CH60" s="9"/>
      <c r="CI60" s="9" t="s">
        <v>741</v>
      </c>
      <c r="CJ60" s="9"/>
      <c r="CK60" s="9"/>
      <c r="CL60" s="9" t="s">
        <v>25</v>
      </c>
      <c r="CM60" s="9"/>
      <c r="CN60" s="9" t="s">
        <v>1370</v>
      </c>
      <c r="CO60" s="9" t="s">
        <v>25</v>
      </c>
      <c r="CP60" s="9"/>
      <c r="CQ60" s="9" t="s">
        <v>1412</v>
      </c>
      <c r="CR60" s="9" t="s">
        <v>1449</v>
      </c>
    </row>
    <row r="61" spans="1:96" ht="63.75" x14ac:dyDescent="0.2">
      <c r="A61" s="8" t="s">
        <v>132</v>
      </c>
      <c r="B61" s="9" t="s">
        <v>1362</v>
      </c>
      <c r="C61" s="9"/>
      <c r="D61" s="9"/>
      <c r="E61" s="9"/>
      <c r="F61" s="9"/>
      <c r="G61" s="9"/>
      <c r="H61" s="9"/>
      <c r="I61" s="9"/>
      <c r="J61" s="9"/>
      <c r="K61" s="9"/>
      <c r="L61" s="9"/>
      <c r="M61" s="9"/>
      <c r="N61" s="9"/>
      <c r="O61" s="9"/>
      <c r="P61" s="9"/>
      <c r="Q61" s="9"/>
      <c r="R61" s="9"/>
      <c r="S61" s="9"/>
      <c r="T61" s="9"/>
      <c r="U61" s="9"/>
      <c r="V61" s="9"/>
      <c r="W61" s="9"/>
      <c r="X61" s="9"/>
      <c r="Y61" s="9"/>
      <c r="Z61" s="9"/>
      <c r="AA61" s="9"/>
      <c r="AB61" s="9" t="s">
        <v>1363</v>
      </c>
      <c r="AC61" s="9"/>
      <c r="AD61" s="9"/>
      <c r="AE61" s="9"/>
      <c r="AF61" s="9"/>
      <c r="AG61" s="9" t="s">
        <v>28</v>
      </c>
      <c r="AH61" s="9" t="s">
        <v>28</v>
      </c>
      <c r="AI61" s="9" t="s">
        <v>1364</v>
      </c>
      <c r="AJ61" s="9"/>
      <c r="AK61" s="9" t="s">
        <v>25</v>
      </c>
      <c r="AL61" s="9" t="s">
        <v>603</v>
      </c>
      <c r="AM61" s="9"/>
      <c r="AN61" s="9" t="s">
        <v>14478</v>
      </c>
      <c r="AO61" s="9" t="s">
        <v>1366</v>
      </c>
      <c r="AP61" s="9" t="s">
        <v>741</v>
      </c>
      <c r="AQ61" s="9" t="s">
        <v>604</v>
      </c>
      <c r="AR61" s="9" t="s">
        <v>604</v>
      </c>
      <c r="AS61" s="9" t="s">
        <v>604</v>
      </c>
      <c r="AT61" s="9" t="s">
        <v>679</v>
      </c>
      <c r="AU61" s="9" t="s">
        <v>604</v>
      </c>
      <c r="AV61" s="9" t="s">
        <v>28</v>
      </c>
      <c r="AW61" s="9" t="s">
        <v>28</v>
      </c>
      <c r="AX61" s="9" t="s">
        <v>603</v>
      </c>
      <c r="AY61" s="39"/>
      <c r="AZ61" s="9" t="s">
        <v>741</v>
      </c>
      <c r="BA61" s="9" t="s">
        <v>604</v>
      </c>
      <c r="BB61" s="9" t="s">
        <v>604</v>
      </c>
      <c r="BC61" s="9" t="s">
        <v>604</v>
      </c>
      <c r="BD61" s="9" t="s">
        <v>679</v>
      </c>
      <c r="BE61" s="9" t="s">
        <v>604</v>
      </c>
      <c r="BF61" s="9" t="s">
        <v>25</v>
      </c>
      <c r="BG61" s="9"/>
      <c r="BH61" s="9"/>
      <c r="BI61" s="9"/>
      <c r="BJ61" s="9"/>
      <c r="BK61" s="9"/>
      <c r="BL61" s="9"/>
      <c r="BM61" s="9"/>
      <c r="BN61" s="9"/>
      <c r="BO61" s="9"/>
      <c r="BP61" s="9"/>
      <c r="BQ61" s="9" t="s">
        <v>25</v>
      </c>
      <c r="BR61" s="9"/>
      <c r="BS61" s="9"/>
      <c r="BT61" s="9"/>
      <c r="BU61" s="9"/>
      <c r="BV61" s="9"/>
      <c r="BW61" s="9"/>
      <c r="BX61" s="9"/>
      <c r="BY61" s="9"/>
      <c r="BZ61" s="9"/>
      <c r="CA61" s="9"/>
      <c r="CB61" s="9"/>
      <c r="CC61" s="9" t="s">
        <v>1368</v>
      </c>
      <c r="CD61" s="9" t="s">
        <v>25</v>
      </c>
      <c r="CE61" s="9" t="s">
        <v>25</v>
      </c>
      <c r="CF61" s="9" t="s">
        <v>741</v>
      </c>
      <c r="CG61" s="9" t="s">
        <v>604</v>
      </c>
      <c r="CH61" s="9" t="s">
        <v>604</v>
      </c>
      <c r="CI61" s="9" t="s">
        <v>604</v>
      </c>
      <c r="CJ61" s="9" t="s">
        <v>741</v>
      </c>
      <c r="CK61" s="9" t="s">
        <v>604</v>
      </c>
      <c r="CL61" s="9" t="s">
        <v>28</v>
      </c>
      <c r="CM61" s="9" t="s">
        <v>14492</v>
      </c>
      <c r="CN61" s="9" t="s">
        <v>1370</v>
      </c>
      <c r="CO61" s="9" t="s">
        <v>28</v>
      </c>
      <c r="CP61" s="9" t="s">
        <v>28</v>
      </c>
      <c r="CQ61" s="9" t="s">
        <v>25</v>
      </c>
      <c r="CR61" s="9"/>
    </row>
    <row r="62" spans="1:96" ht="51" x14ac:dyDescent="0.2">
      <c r="A62" s="8" t="s">
        <v>136</v>
      </c>
      <c r="B62" s="9" t="s">
        <v>1362</v>
      </c>
      <c r="C62" s="9"/>
      <c r="D62" s="9"/>
      <c r="E62" s="9"/>
      <c r="F62" s="9"/>
      <c r="G62" s="9"/>
      <c r="H62" s="9"/>
      <c r="I62" s="9"/>
      <c r="J62" s="9"/>
      <c r="K62" s="9"/>
      <c r="L62" s="9"/>
      <c r="M62" s="9"/>
      <c r="N62" s="9"/>
      <c r="O62" s="9"/>
      <c r="P62" s="9"/>
      <c r="Q62" s="9"/>
      <c r="R62" s="9"/>
      <c r="S62" s="9"/>
      <c r="T62" s="9"/>
      <c r="U62" s="9"/>
      <c r="V62" s="9"/>
      <c r="W62" s="9"/>
      <c r="X62" s="9"/>
      <c r="Y62" s="9"/>
      <c r="Z62" s="9"/>
      <c r="AA62" s="9"/>
      <c r="AB62" s="9" t="s">
        <v>1363</v>
      </c>
      <c r="AC62" s="9"/>
      <c r="AD62" s="9"/>
      <c r="AE62" s="9"/>
      <c r="AF62" s="9"/>
      <c r="AG62" s="9" t="s">
        <v>28</v>
      </c>
      <c r="AH62" s="9" t="s">
        <v>28</v>
      </c>
      <c r="AI62" s="9" t="s">
        <v>1398</v>
      </c>
      <c r="AJ62" s="9"/>
      <c r="AK62" s="9" t="s">
        <v>25</v>
      </c>
      <c r="AL62" s="9" t="s">
        <v>603</v>
      </c>
      <c r="AM62" s="9"/>
      <c r="AN62" s="9" t="s">
        <v>14487</v>
      </c>
      <c r="AO62" s="9" t="s">
        <v>1384</v>
      </c>
      <c r="AP62" s="9" t="s">
        <v>604</v>
      </c>
      <c r="AQ62" s="9" t="s">
        <v>604</v>
      </c>
      <c r="AR62" s="9" t="s">
        <v>604</v>
      </c>
      <c r="AS62" s="9" t="s">
        <v>741</v>
      </c>
      <c r="AT62" s="9" t="s">
        <v>604</v>
      </c>
      <c r="AU62" s="9" t="s">
        <v>604</v>
      </c>
      <c r="AV62" s="9" t="s">
        <v>25</v>
      </c>
      <c r="AW62" s="9"/>
      <c r="AX62" s="9"/>
      <c r="AY62" s="39"/>
      <c r="AZ62" s="9"/>
      <c r="BA62" s="9"/>
      <c r="BB62" s="9"/>
      <c r="BC62" s="9"/>
      <c r="BD62" s="9"/>
      <c r="BE62" s="9"/>
      <c r="BF62" s="9" t="s">
        <v>28</v>
      </c>
      <c r="BG62" s="9" t="s">
        <v>1435</v>
      </c>
      <c r="BH62" s="9" t="s">
        <v>25</v>
      </c>
      <c r="BI62" s="9" t="s">
        <v>603</v>
      </c>
      <c r="BJ62" s="9"/>
      <c r="BK62" s="9"/>
      <c r="BL62" s="9"/>
      <c r="BM62" s="9"/>
      <c r="BN62" s="9" t="s">
        <v>741</v>
      </c>
      <c r="BO62" s="9"/>
      <c r="BP62" s="9"/>
      <c r="BQ62" s="9" t="s">
        <v>25</v>
      </c>
      <c r="BR62" s="9"/>
      <c r="BS62" s="9"/>
      <c r="BT62" s="9"/>
      <c r="BU62" s="9"/>
      <c r="BV62" s="9"/>
      <c r="BW62" s="9"/>
      <c r="BX62" s="9"/>
      <c r="BY62" s="9"/>
      <c r="BZ62" s="9"/>
      <c r="CA62" s="9"/>
      <c r="CB62" s="9"/>
      <c r="CC62" s="9" t="s">
        <v>1368</v>
      </c>
      <c r="CD62" s="9" t="s">
        <v>28</v>
      </c>
      <c r="CE62" s="9" t="s">
        <v>25</v>
      </c>
      <c r="CF62" s="9" t="s">
        <v>604</v>
      </c>
      <c r="CG62" s="9" t="s">
        <v>604</v>
      </c>
      <c r="CH62" s="9" t="s">
        <v>604</v>
      </c>
      <c r="CI62" s="9" t="s">
        <v>741</v>
      </c>
      <c r="CJ62" s="9" t="s">
        <v>604</v>
      </c>
      <c r="CK62" s="9" t="s">
        <v>604</v>
      </c>
      <c r="CL62" s="9" t="s">
        <v>28</v>
      </c>
      <c r="CM62" s="9" t="s">
        <v>14492</v>
      </c>
      <c r="CN62" s="9" t="s">
        <v>1370</v>
      </c>
      <c r="CO62" s="9" t="s">
        <v>28</v>
      </c>
      <c r="CP62" s="9" t="s">
        <v>28</v>
      </c>
      <c r="CQ62" s="9" t="s">
        <v>25</v>
      </c>
      <c r="CR62" s="9" t="s">
        <v>1436</v>
      </c>
    </row>
    <row r="63" spans="1:96" ht="89.25" x14ac:dyDescent="0.2">
      <c r="A63" s="8" t="s">
        <v>177</v>
      </c>
      <c r="B63" s="9" t="s">
        <v>1386</v>
      </c>
      <c r="C63" s="9" t="s">
        <v>1525</v>
      </c>
      <c r="D63" s="9"/>
      <c r="E63" s="9"/>
      <c r="F63" s="9"/>
      <c r="G63" s="9"/>
      <c r="H63" s="9"/>
      <c r="I63" s="9"/>
      <c r="J63" s="9"/>
      <c r="K63" s="9"/>
      <c r="L63" s="9"/>
      <c r="M63" s="9"/>
      <c r="N63" s="9"/>
      <c r="O63" s="9"/>
      <c r="P63" s="9"/>
      <c r="Q63" s="9"/>
      <c r="R63" s="9"/>
      <c r="S63" s="9"/>
      <c r="T63" s="9" t="s">
        <v>1388</v>
      </c>
      <c r="U63" s="9"/>
      <c r="V63" s="9"/>
      <c r="W63" s="9"/>
      <c r="X63" s="9"/>
      <c r="Y63" s="9" t="s">
        <v>1462</v>
      </c>
      <c r="Z63" s="9" t="s">
        <v>13501</v>
      </c>
      <c r="AA63" s="9"/>
      <c r="AB63" s="9" t="s">
        <v>1363</v>
      </c>
      <c r="AC63" s="9"/>
      <c r="AD63" s="9"/>
      <c r="AE63" s="9"/>
      <c r="AF63" s="9"/>
      <c r="AG63" s="9" t="s">
        <v>28</v>
      </c>
      <c r="AH63" s="9" t="s">
        <v>28</v>
      </c>
      <c r="AI63" s="9" t="s">
        <v>1398</v>
      </c>
      <c r="AJ63" s="9"/>
      <c r="AK63" s="9" t="s">
        <v>25</v>
      </c>
      <c r="AL63" s="9" t="s">
        <v>603</v>
      </c>
      <c r="AM63" s="9"/>
      <c r="AN63" s="9" t="s">
        <v>14479</v>
      </c>
      <c r="AO63" s="9" t="s">
        <v>13515</v>
      </c>
      <c r="AP63" s="9" t="s">
        <v>741</v>
      </c>
      <c r="AQ63" s="9" t="s">
        <v>604</v>
      </c>
      <c r="AR63" s="9" t="s">
        <v>604</v>
      </c>
      <c r="AS63" s="9" t="s">
        <v>741</v>
      </c>
      <c r="AT63" s="9" t="s">
        <v>741</v>
      </c>
      <c r="AU63" s="9" t="s">
        <v>604</v>
      </c>
      <c r="AV63" s="9" t="s">
        <v>25</v>
      </c>
      <c r="AW63" s="9"/>
      <c r="AX63" s="9"/>
      <c r="AY63" s="39"/>
      <c r="AZ63" s="9"/>
      <c r="BA63" s="9"/>
      <c r="BB63" s="9"/>
      <c r="BC63" s="9"/>
      <c r="BD63" s="9"/>
      <c r="BE63" s="9"/>
      <c r="BF63" s="9" t="s">
        <v>25</v>
      </c>
      <c r="BG63" s="9"/>
      <c r="BH63" s="9"/>
      <c r="BI63" s="9"/>
      <c r="BJ63" s="9"/>
      <c r="BK63" s="9"/>
      <c r="BL63" s="9"/>
      <c r="BM63" s="9"/>
      <c r="BN63" s="9"/>
      <c r="BO63" s="9"/>
      <c r="BP63" s="9"/>
      <c r="BQ63" s="9" t="s">
        <v>25</v>
      </c>
      <c r="BR63" s="9"/>
      <c r="BS63" s="9"/>
      <c r="BT63" s="9"/>
      <c r="BU63" s="9"/>
      <c r="BV63" s="9"/>
      <c r="BW63" s="9"/>
      <c r="BX63" s="9"/>
      <c r="BY63" s="9"/>
      <c r="BZ63" s="9"/>
      <c r="CA63" s="9"/>
      <c r="CB63" s="9"/>
      <c r="CC63" s="9" t="s">
        <v>14491</v>
      </c>
      <c r="CD63" s="9" t="s">
        <v>28</v>
      </c>
      <c r="CE63" s="9" t="s">
        <v>25</v>
      </c>
      <c r="CF63" s="9" t="s">
        <v>741</v>
      </c>
      <c r="CG63" s="9" t="s">
        <v>604</v>
      </c>
      <c r="CH63" s="9" t="s">
        <v>604</v>
      </c>
      <c r="CI63" s="9" t="s">
        <v>741</v>
      </c>
      <c r="CJ63" s="9" t="s">
        <v>741</v>
      </c>
      <c r="CK63" s="9" t="s">
        <v>604</v>
      </c>
      <c r="CL63" s="9" t="s">
        <v>28</v>
      </c>
      <c r="CM63" s="9" t="s">
        <v>14492</v>
      </c>
      <c r="CN63" s="9" t="s">
        <v>1370</v>
      </c>
      <c r="CO63" s="9" t="s">
        <v>28</v>
      </c>
      <c r="CP63" s="9" t="s">
        <v>28</v>
      </c>
      <c r="CQ63" s="9" t="s">
        <v>1526</v>
      </c>
      <c r="CR63" s="9" t="s">
        <v>13899</v>
      </c>
    </row>
    <row r="64" spans="1:96" ht="63.75" x14ac:dyDescent="0.2">
      <c r="A64" s="8" t="s">
        <v>162</v>
      </c>
      <c r="B64" s="9" t="s">
        <v>1362</v>
      </c>
      <c r="C64" s="9"/>
      <c r="D64" s="9"/>
      <c r="E64" s="9"/>
      <c r="F64" s="9"/>
      <c r="G64" s="9"/>
      <c r="H64" s="9"/>
      <c r="I64" s="9"/>
      <c r="J64" s="9"/>
      <c r="K64" s="9"/>
      <c r="L64" s="9"/>
      <c r="M64" s="9"/>
      <c r="N64" s="9"/>
      <c r="O64" s="9"/>
      <c r="P64" s="9"/>
      <c r="Q64" s="9"/>
      <c r="R64" s="9"/>
      <c r="S64" s="9"/>
      <c r="T64" s="9"/>
      <c r="U64" s="9"/>
      <c r="V64" s="9"/>
      <c r="W64" s="9"/>
      <c r="X64" s="9"/>
      <c r="Y64" s="9"/>
      <c r="Z64" s="9"/>
      <c r="AA64" s="9"/>
      <c r="AB64" s="9" t="s">
        <v>1363</v>
      </c>
      <c r="AC64" s="9"/>
      <c r="AD64" s="9"/>
      <c r="AE64" s="9"/>
      <c r="AF64" s="9"/>
      <c r="AG64" s="9" t="s">
        <v>28</v>
      </c>
      <c r="AH64" s="9" t="s">
        <v>28</v>
      </c>
      <c r="AI64" s="9" t="s">
        <v>14470</v>
      </c>
      <c r="AJ64" s="9"/>
      <c r="AK64" s="9" t="s">
        <v>25</v>
      </c>
      <c r="AL64" s="9" t="s">
        <v>603</v>
      </c>
      <c r="AM64" s="9"/>
      <c r="AN64" s="9" t="s">
        <v>14479</v>
      </c>
      <c r="AO64" s="9" t="s">
        <v>1375</v>
      </c>
      <c r="AP64" s="9" t="s">
        <v>741</v>
      </c>
      <c r="AQ64" s="9" t="s">
        <v>604</v>
      </c>
      <c r="AR64" s="9" t="s">
        <v>604</v>
      </c>
      <c r="AS64" s="9" t="s">
        <v>741</v>
      </c>
      <c r="AT64" s="9" t="s">
        <v>606</v>
      </c>
      <c r="AU64" s="9" t="s">
        <v>741</v>
      </c>
      <c r="AV64" s="9" t="s">
        <v>25</v>
      </c>
      <c r="AW64" s="9"/>
      <c r="AX64" s="9"/>
      <c r="AY64" s="39"/>
      <c r="AZ64" s="9"/>
      <c r="BA64" s="9"/>
      <c r="BB64" s="9"/>
      <c r="BC64" s="9"/>
      <c r="BD64" s="9"/>
      <c r="BE64" s="9"/>
      <c r="BF64" s="9" t="s">
        <v>25</v>
      </c>
      <c r="BG64" s="9"/>
      <c r="BH64" s="9"/>
      <c r="BI64" s="9"/>
      <c r="BJ64" s="9"/>
      <c r="BK64" s="9"/>
      <c r="BL64" s="9"/>
      <c r="BM64" s="9"/>
      <c r="BN64" s="9"/>
      <c r="BO64" s="9"/>
      <c r="BP64" s="9"/>
      <c r="BQ64" s="9" t="s">
        <v>25</v>
      </c>
      <c r="BR64" s="9"/>
      <c r="BS64" s="9"/>
      <c r="BT64" s="9"/>
      <c r="BU64" s="9"/>
      <c r="BV64" s="9"/>
      <c r="BW64" s="9"/>
      <c r="BX64" s="9"/>
      <c r="BY64" s="9"/>
      <c r="BZ64" s="9"/>
      <c r="CA64" s="9"/>
      <c r="CB64" s="9"/>
      <c r="CC64" s="9" t="s">
        <v>1368</v>
      </c>
      <c r="CD64" s="9" t="s">
        <v>28</v>
      </c>
      <c r="CE64" s="9" t="s">
        <v>41</v>
      </c>
      <c r="CF64" s="9" t="s">
        <v>741</v>
      </c>
      <c r="CG64" s="9" t="s">
        <v>604</v>
      </c>
      <c r="CH64" s="9" t="s">
        <v>604</v>
      </c>
      <c r="CI64" s="9" t="s">
        <v>741</v>
      </c>
      <c r="CJ64" s="9" t="s">
        <v>741</v>
      </c>
      <c r="CK64" s="9" t="s">
        <v>741</v>
      </c>
      <c r="CL64" s="9" t="s">
        <v>28</v>
      </c>
      <c r="CM64" s="9" t="s">
        <v>14492</v>
      </c>
      <c r="CN64" s="9" t="s">
        <v>1402</v>
      </c>
      <c r="CO64" s="9" t="s">
        <v>28</v>
      </c>
      <c r="CP64" s="9" t="s">
        <v>28</v>
      </c>
      <c r="CQ64" s="9" t="s">
        <v>1491</v>
      </c>
      <c r="CR64" s="9" t="s">
        <v>1492</v>
      </c>
    </row>
    <row r="65" spans="1:96" ht="114.75" x14ac:dyDescent="0.2">
      <c r="A65" s="8" t="s">
        <v>148</v>
      </c>
      <c r="B65" s="9" t="s">
        <v>1386</v>
      </c>
      <c r="C65" s="9" t="s">
        <v>14460</v>
      </c>
      <c r="D65" s="9" t="s">
        <v>1387</v>
      </c>
      <c r="E65" s="9"/>
      <c r="F65" s="9" t="s">
        <v>1387</v>
      </c>
      <c r="G65" s="9" t="s">
        <v>1387</v>
      </c>
      <c r="H65" s="9" t="s">
        <v>1387</v>
      </c>
      <c r="I65" s="9" t="s">
        <v>1387</v>
      </c>
      <c r="J65" s="9"/>
      <c r="K65" s="9" t="s">
        <v>1387</v>
      </c>
      <c r="L65" s="9" t="s">
        <v>1387</v>
      </c>
      <c r="M65" s="9"/>
      <c r="N65" s="9" t="s">
        <v>1387</v>
      </c>
      <c r="O65" s="9"/>
      <c r="P65" s="9" t="s">
        <v>1387</v>
      </c>
      <c r="Q65" s="9" t="s">
        <v>1387</v>
      </c>
      <c r="R65" s="9"/>
      <c r="S65" s="9"/>
      <c r="T65" s="9"/>
      <c r="U65" s="9"/>
      <c r="V65" s="9" t="s">
        <v>1387</v>
      </c>
      <c r="W65" s="9" t="s">
        <v>1387</v>
      </c>
      <c r="X65" s="9" t="s">
        <v>1387</v>
      </c>
      <c r="Y65" s="9" t="s">
        <v>1427</v>
      </c>
      <c r="Z65" s="9" t="s">
        <v>13501</v>
      </c>
      <c r="AA65" s="9"/>
      <c r="AB65" s="9" t="s">
        <v>1393</v>
      </c>
      <c r="AC65" s="9" t="s">
        <v>14468</v>
      </c>
      <c r="AD65" s="9" t="s">
        <v>1427</v>
      </c>
      <c r="AE65" s="9" t="s">
        <v>13501</v>
      </c>
      <c r="AF65" s="9"/>
      <c r="AG65" s="9" t="s">
        <v>28</v>
      </c>
      <c r="AH65" s="9" t="s">
        <v>28</v>
      </c>
      <c r="AI65" s="9" t="s">
        <v>1364</v>
      </c>
      <c r="AJ65" s="9"/>
      <c r="AK65" s="9" t="s">
        <v>25</v>
      </c>
      <c r="AL65" s="9" t="s">
        <v>603</v>
      </c>
      <c r="AM65" s="9"/>
      <c r="AN65" s="9" t="s">
        <v>14484</v>
      </c>
      <c r="AO65" s="9" t="s">
        <v>1441</v>
      </c>
      <c r="AP65" s="9" t="s">
        <v>741</v>
      </c>
      <c r="AQ65" s="9" t="s">
        <v>604</v>
      </c>
      <c r="AR65" s="9" t="s">
        <v>604</v>
      </c>
      <c r="AS65" s="9" t="s">
        <v>741</v>
      </c>
      <c r="AT65" s="9" t="s">
        <v>741</v>
      </c>
      <c r="AU65" s="9" t="s">
        <v>604</v>
      </c>
      <c r="AV65" s="9" t="s">
        <v>25</v>
      </c>
      <c r="AW65" s="9"/>
      <c r="AX65" s="9"/>
      <c r="AY65" s="39"/>
      <c r="AZ65" s="9"/>
      <c r="BA65" s="9"/>
      <c r="BB65" s="9"/>
      <c r="BC65" s="9"/>
      <c r="BD65" s="9"/>
      <c r="BE65" s="9"/>
      <c r="BF65" s="9" t="s">
        <v>28</v>
      </c>
      <c r="BG65" s="9" t="s">
        <v>1467</v>
      </c>
      <c r="BH65" s="9" t="s">
        <v>25</v>
      </c>
      <c r="BI65" s="9" t="s">
        <v>603</v>
      </c>
      <c r="BJ65" s="9"/>
      <c r="BK65" s="9" t="s">
        <v>741</v>
      </c>
      <c r="BL65" s="9" t="s">
        <v>604</v>
      </c>
      <c r="BM65" s="9" t="s">
        <v>604</v>
      </c>
      <c r="BN65" s="9" t="s">
        <v>741</v>
      </c>
      <c r="BO65" s="9" t="s">
        <v>741</v>
      </c>
      <c r="BP65" s="9" t="s">
        <v>604</v>
      </c>
      <c r="BQ65" s="9" t="s">
        <v>25</v>
      </c>
      <c r="BR65" s="9"/>
      <c r="BS65" s="9"/>
      <c r="BT65" s="9"/>
      <c r="BU65" s="9"/>
      <c r="BV65" s="9"/>
      <c r="BW65" s="9"/>
      <c r="BX65" s="9"/>
      <c r="BY65" s="9"/>
      <c r="BZ65" s="9"/>
      <c r="CA65" s="9"/>
      <c r="CB65" s="9"/>
      <c r="CC65" s="9"/>
      <c r="CD65" s="9" t="s">
        <v>25</v>
      </c>
      <c r="CE65" s="9" t="s">
        <v>25</v>
      </c>
      <c r="CF65" s="9" t="s">
        <v>741</v>
      </c>
      <c r="CG65" s="9" t="s">
        <v>604</v>
      </c>
      <c r="CH65" s="9" t="s">
        <v>604</v>
      </c>
      <c r="CI65" s="9" t="s">
        <v>741</v>
      </c>
      <c r="CJ65" s="9" t="s">
        <v>741</v>
      </c>
      <c r="CK65" s="9" t="s">
        <v>604</v>
      </c>
      <c r="CL65" s="9" t="s">
        <v>25</v>
      </c>
      <c r="CM65" s="9"/>
      <c r="CN65" s="9" t="s">
        <v>1370</v>
      </c>
      <c r="CO65" s="9" t="s">
        <v>25</v>
      </c>
      <c r="CP65" s="9"/>
      <c r="CQ65" s="9"/>
      <c r="CR65" s="9" t="s">
        <v>1468</v>
      </c>
    </row>
    <row r="66" spans="1:96" ht="63.75" x14ac:dyDescent="0.2">
      <c r="A66" s="8" t="s">
        <v>167</v>
      </c>
      <c r="B66" s="9" t="s">
        <v>1362</v>
      </c>
      <c r="C66" s="9"/>
      <c r="D66" s="9"/>
      <c r="E66" s="9"/>
      <c r="F66" s="9"/>
      <c r="G66" s="9"/>
      <c r="H66" s="9"/>
      <c r="I66" s="9"/>
      <c r="J66" s="9"/>
      <c r="K66" s="9"/>
      <c r="L66" s="9"/>
      <c r="M66" s="9"/>
      <c r="N66" s="9"/>
      <c r="O66" s="9"/>
      <c r="P66" s="9"/>
      <c r="Q66" s="9"/>
      <c r="R66" s="9"/>
      <c r="S66" s="9"/>
      <c r="T66" s="9"/>
      <c r="U66" s="9"/>
      <c r="V66" s="9"/>
      <c r="W66" s="9"/>
      <c r="X66" s="9"/>
      <c r="Y66" s="9"/>
      <c r="Z66" s="9"/>
      <c r="AA66" s="9"/>
      <c r="AB66" s="9" t="s">
        <v>1363</v>
      </c>
      <c r="AC66" s="9"/>
      <c r="AD66" s="9"/>
      <c r="AE66" s="9"/>
      <c r="AF66" s="9"/>
      <c r="AG66" s="9" t="s">
        <v>28</v>
      </c>
      <c r="AH66" s="9" t="s">
        <v>28</v>
      </c>
      <c r="AI66" s="9" t="s">
        <v>1501</v>
      </c>
      <c r="AJ66" s="9" t="s">
        <v>1502</v>
      </c>
      <c r="AK66" s="9" t="s">
        <v>25</v>
      </c>
      <c r="AL66" s="9" t="s">
        <v>603</v>
      </c>
      <c r="AM66" s="9"/>
      <c r="AN66" s="9" t="s">
        <v>14475</v>
      </c>
      <c r="AO66" s="9" t="s">
        <v>1366</v>
      </c>
      <c r="AP66" s="9" t="s">
        <v>741</v>
      </c>
      <c r="AQ66" s="9" t="s">
        <v>604</v>
      </c>
      <c r="AR66" s="9" t="s">
        <v>604</v>
      </c>
      <c r="AS66" s="9" t="s">
        <v>741</v>
      </c>
      <c r="AT66" s="9" t="s">
        <v>741</v>
      </c>
      <c r="AU66" s="9" t="s">
        <v>604</v>
      </c>
      <c r="AV66" s="9" t="s">
        <v>25</v>
      </c>
      <c r="AW66" s="9"/>
      <c r="AX66" s="9"/>
      <c r="AY66" s="39"/>
      <c r="AZ66" s="9"/>
      <c r="BA66" s="9"/>
      <c r="BB66" s="9"/>
      <c r="BC66" s="9"/>
      <c r="BD66" s="9"/>
      <c r="BE66" s="9"/>
      <c r="BF66" s="9" t="s">
        <v>25</v>
      </c>
      <c r="BG66" s="9"/>
      <c r="BH66" s="9"/>
      <c r="BI66" s="9"/>
      <c r="BJ66" s="9"/>
      <c r="BK66" s="9"/>
      <c r="BL66" s="9"/>
      <c r="BM66" s="9"/>
      <c r="BN66" s="9"/>
      <c r="BO66" s="9"/>
      <c r="BP66" s="9"/>
      <c r="BQ66" s="9" t="s">
        <v>25</v>
      </c>
      <c r="BR66" s="9"/>
      <c r="BS66" s="9"/>
      <c r="BT66" s="9"/>
      <c r="BU66" s="9"/>
      <c r="BV66" s="9"/>
      <c r="BW66" s="9"/>
      <c r="BX66" s="9"/>
      <c r="BY66" s="9"/>
      <c r="BZ66" s="9"/>
      <c r="CA66" s="9"/>
      <c r="CB66" s="9"/>
      <c r="CC66" s="9" t="s">
        <v>1368</v>
      </c>
      <c r="CD66" s="9" t="s">
        <v>28</v>
      </c>
      <c r="CE66" s="9" t="s">
        <v>41</v>
      </c>
      <c r="CF66" s="9" t="s">
        <v>741</v>
      </c>
      <c r="CG66" s="9" t="s">
        <v>604</v>
      </c>
      <c r="CH66" s="9" t="s">
        <v>604</v>
      </c>
      <c r="CI66" s="9" t="s">
        <v>741</v>
      </c>
      <c r="CJ66" s="9" t="s">
        <v>741</v>
      </c>
      <c r="CK66" s="9" t="s">
        <v>604</v>
      </c>
      <c r="CL66" s="9" t="s">
        <v>25</v>
      </c>
      <c r="CM66" s="9"/>
      <c r="CN66" s="9" t="s">
        <v>1370</v>
      </c>
      <c r="CO66" s="9" t="s">
        <v>25</v>
      </c>
      <c r="CP66" s="9"/>
      <c r="CQ66" s="9" t="s">
        <v>25</v>
      </c>
      <c r="CR66" s="9" t="s">
        <v>1503</v>
      </c>
    </row>
    <row r="67" spans="1:96" x14ac:dyDescent="0.2">
      <c r="A67" s="71" t="s">
        <v>14025</v>
      </c>
      <c r="B67" s="72">
        <f>COUNTA(B3:B66)</f>
        <v>64</v>
      </c>
      <c r="C67" s="72">
        <f t="shared" ref="C67:BN67" si="0">COUNTA(C3:C66)</f>
        <v>20</v>
      </c>
      <c r="D67" s="72">
        <f t="shared" si="0"/>
        <v>18</v>
      </c>
      <c r="E67" s="72">
        <f t="shared" si="0"/>
        <v>5</v>
      </c>
      <c r="F67" s="72">
        <f t="shared" si="0"/>
        <v>17</v>
      </c>
      <c r="G67" s="72">
        <f t="shared" si="0"/>
        <v>16</v>
      </c>
      <c r="H67" s="72">
        <f t="shared" si="0"/>
        <v>8</v>
      </c>
      <c r="I67" s="72">
        <f t="shared" si="0"/>
        <v>10</v>
      </c>
      <c r="J67" s="72">
        <f t="shared" si="0"/>
        <v>3</v>
      </c>
      <c r="K67" s="72">
        <f t="shared" si="0"/>
        <v>11</v>
      </c>
      <c r="L67" s="72">
        <f t="shared" si="0"/>
        <v>14</v>
      </c>
      <c r="M67" s="72">
        <f t="shared" si="0"/>
        <v>10</v>
      </c>
      <c r="N67" s="72">
        <f t="shared" si="0"/>
        <v>12</v>
      </c>
      <c r="O67" s="72">
        <f t="shared" si="0"/>
        <v>6</v>
      </c>
      <c r="P67" s="72">
        <f t="shared" si="0"/>
        <v>4</v>
      </c>
      <c r="Q67" s="72">
        <f t="shared" si="0"/>
        <v>12</v>
      </c>
      <c r="R67" s="72">
        <f t="shared" si="0"/>
        <v>0</v>
      </c>
      <c r="S67" s="72">
        <f t="shared" si="0"/>
        <v>0</v>
      </c>
      <c r="T67" s="72">
        <f t="shared" si="0"/>
        <v>5</v>
      </c>
      <c r="U67" s="72">
        <f t="shared" si="0"/>
        <v>7</v>
      </c>
      <c r="V67" s="72">
        <f t="shared" si="0"/>
        <v>13</v>
      </c>
      <c r="W67" s="72">
        <f t="shared" si="0"/>
        <v>11</v>
      </c>
      <c r="X67" s="72">
        <f t="shared" si="0"/>
        <v>10</v>
      </c>
      <c r="Y67" s="72">
        <f t="shared" si="0"/>
        <v>24</v>
      </c>
      <c r="Z67" s="72">
        <f t="shared" si="0"/>
        <v>20</v>
      </c>
      <c r="AA67" s="72">
        <f t="shared" si="0"/>
        <v>2</v>
      </c>
      <c r="AB67" s="72">
        <f t="shared" si="0"/>
        <v>64</v>
      </c>
      <c r="AC67" s="72">
        <f t="shared" si="0"/>
        <v>11</v>
      </c>
      <c r="AD67" s="72">
        <f t="shared" si="0"/>
        <v>11</v>
      </c>
      <c r="AE67" s="72">
        <f t="shared" si="0"/>
        <v>11</v>
      </c>
      <c r="AF67" s="72">
        <f t="shared" si="0"/>
        <v>1</v>
      </c>
      <c r="AG67" s="72">
        <f t="shared" si="0"/>
        <v>64</v>
      </c>
      <c r="AH67" s="72">
        <f t="shared" si="0"/>
        <v>62</v>
      </c>
      <c r="AI67" s="72">
        <f t="shared" si="0"/>
        <v>62</v>
      </c>
      <c r="AJ67" s="72">
        <f t="shared" si="0"/>
        <v>8</v>
      </c>
      <c r="AK67" s="72">
        <f t="shared" si="0"/>
        <v>62</v>
      </c>
      <c r="AL67" s="72">
        <f t="shared" si="0"/>
        <v>62</v>
      </c>
      <c r="AM67" s="72">
        <f t="shared" si="0"/>
        <v>3</v>
      </c>
      <c r="AN67" s="72">
        <f t="shared" si="0"/>
        <v>62</v>
      </c>
      <c r="AO67" s="72">
        <f t="shared" si="0"/>
        <v>60</v>
      </c>
      <c r="AP67" s="72">
        <f t="shared" si="0"/>
        <v>60</v>
      </c>
      <c r="AQ67" s="72">
        <f t="shared" si="0"/>
        <v>56</v>
      </c>
      <c r="AR67" s="72">
        <f t="shared" si="0"/>
        <v>55</v>
      </c>
      <c r="AS67" s="72">
        <f t="shared" si="0"/>
        <v>60</v>
      </c>
      <c r="AT67" s="72">
        <f t="shared" si="0"/>
        <v>59</v>
      </c>
      <c r="AU67" s="72">
        <f t="shared" si="0"/>
        <v>55</v>
      </c>
      <c r="AV67" s="72">
        <f t="shared" si="0"/>
        <v>64</v>
      </c>
      <c r="AW67" s="72">
        <f t="shared" si="0"/>
        <v>22</v>
      </c>
      <c r="AX67" s="72">
        <f t="shared" si="0"/>
        <v>22</v>
      </c>
      <c r="AY67" s="72">
        <f t="shared" si="0"/>
        <v>2</v>
      </c>
      <c r="AZ67" s="72">
        <f t="shared" si="0"/>
        <v>22</v>
      </c>
      <c r="BA67" s="72">
        <f t="shared" si="0"/>
        <v>22</v>
      </c>
      <c r="BB67" s="72">
        <f t="shared" si="0"/>
        <v>22</v>
      </c>
      <c r="BC67" s="72">
        <f t="shared" si="0"/>
        <v>22</v>
      </c>
      <c r="BD67" s="72">
        <f t="shared" si="0"/>
        <v>22</v>
      </c>
      <c r="BE67" s="72">
        <f t="shared" si="0"/>
        <v>22</v>
      </c>
      <c r="BF67" s="72">
        <f t="shared" si="0"/>
        <v>64</v>
      </c>
      <c r="BG67" s="72">
        <f t="shared" si="0"/>
        <v>33</v>
      </c>
      <c r="BH67" s="72">
        <f t="shared" si="0"/>
        <v>38</v>
      </c>
      <c r="BI67" s="72">
        <f t="shared" si="0"/>
        <v>38</v>
      </c>
      <c r="BJ67" s="72">
        <f t="shared" si="0"/>
        <v>0</v>
      </c>
      <c r="BK67" s="72">
        <f t="shared" si="0"/>
        <v>33</v>
      </c>
      <c r="BL67" s="72">
        <f t="shared" si="0"/>
        <v>33</v>
      </c>
      <c r="BM67" s="72">
        <f t="shared" si="0"/>
        <v>32</v>
      </c>
      <c r="BN67" s="72">
        <f t="shared" si="0"/>
        <v>36</v>
      </c>
      <c r="BO67" s="72">
        <f t="shared" ref="BO67:CR67" si="1">COUNTA(BO3:BO66)</f>
        <v>35</v>
      </c>
      <c r="BP67" s="72">
        <f t="shared" si="1"/>
        <v>32</v>
      </c>
      <c r="BQ67" s="72">
        <f t="shared" si="1"/>
        <v>64</v>
      </c>
      <c r="BR67" s="72">
        <f t="shared" si="1"/>
        <v>0</v>
      </c>
      <c r="BS67" s="72">
        <f t="shared" si="1"/>
        <v>0</v>
      </c>
      <c r="BT67" s="72">
        <f t="shared" si="1"/>
        <v>0</v>
      </c>
      <c r="BU67" s="72">
        <f t="shared" si="1"/>
        <v>0</v>
      </c>
      <c r="BV67" s="72">
        <f t="shared" si="1"/>
        <v>0</v>
      </c>
      <c r="BW67" s="72">
        <f t="shared" si="1"/>
        <v>0</v>
      </c>
      <c r="BX67" s="72">
        <f t="shared" si="1"/>
        <v>0</v>
      </c>
      <c r="BY67" s="72">
        <f t="shared" si="1"/>
        <v>0</v>
      </c>
      <c r="BZ67" s="72">
        <f t="shared" si="1"/>
        <v>0</v>
      </c>
      <c r="CA67" s="72">
        <f t="shared" si="1"/>
        <v>0</v>
      </c>
      <c r="CB67" s="72">
        <f t="shared" si="1"/>
        <v>0</v>
      </c>
      <c r="CC67" s="72">
        <f t="shared" si="1"/>
        <v>62</v>
      </c>
      <c r="CD67" s="72">
        <f t="shared" si="1"/>
        <v>64</v>
      </c>
      <c r="CE67" s="72">
        <f t="shared" si="1"/>
        <v>64</v>
      </c>
      <c r="CF67" s="72">
        <f t="shared" si="1"/>
        <v>60</v>
      </c>
      <c r="CG67" s="72">
        <f t="shared" si="1"/>
        <v>56</v>
      </c>
      <c r="CH67" s="72">
        <f t="shared" si="1"/>
        <v>53</v>
      </c>
      <c r="CI67" s="72">
        <f t="shared" si="1"/>
        <v>60</v>
      </c>
      <c r="CJ67" s="72">
        <f t="shared" si="1"/>
        <v>60</v>
      </c>
      <c r="CK67" s="72">
        <f t="shared" si="1"/>
        <v>55</v>
      </c>
      <c r="CL67" s="72">
        <f t="shared" si="1"/>
        <v>64</v>
      </c>
      <c r="CM67" s="72">
        <f t="shared" si="1"/>
        <v>42</v>
      </c>
      <c r="CN67" s="72">
        <f t="shared" si="1"/>
        <v>64</v>
      </c>
      <c r="CO67" s="72">
        <f t="shared" si="1"/>
        <v>63</v>
      </c>
      <c r="CP67" s="72">
        <f t="shared" si="1"/>
        <v>33</v>
      </c>
      <c r="CQ67" s="72">
        <f t="shared" si="1"/>
        <v>49</v>
      </c>
      <c r="CR67" s="72">
        <f t="shared" si="1"/>
        <v>36</v>
      </c>
    </row>
    <row r="68" spans="1:96"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row>
    <row r="69" spans="1:96" x14ac:dyDescent="0.2">
      <c r="A69" s="45"/>
      <c r="B69" s="46"/>
      <c r="C69" s="46"/>
      <c r="D69" s="46"/>
      <c r="E69" s="46"/>
      <c r="F69" s="46"/>
      <c r="G69" s="46"/>
      <c r="H69" s="46"/>
      <c r="I69" s="46"/>
      <c r="J69" s="46"/>
      <c r="K69" s="46"/>
      <c r="L69" s="46"/>
      <c r="M69" s="46"/>
      <c r="N69" s="46"/>
      <c r="O69" s="46"/>
      <c r="P69" s="46"/>
      <c r="Q69" s="46"/>
      <c r="R69" s="46"/>
      <c r="S69" s="46"/>
      <c r="T69" s="46"/>
      <c r="U69" s="46"/>
      <c r="V69" s="46"/>
      <c r="W69" s="46"/>
      <c r="X69" s="46"/>
    </row>
    <row r="70" spans="1:96" x14ac:dyDescent="0.2">
      <c r="A70" s="45"/>
      <c r="B70" s="46"/>
      <c r="C70" s="46"/>
      <c r="D70" s="46"/>
      <c r="E70" s="46"/>
      <c r="F70" s="46"/>
      <c r="G70" s="46"/>
      <c r="H70" s="46"/>
      <c r="I70" s="46"/>
      <c r="J70" s="46"/>
      <c r="K70" s="46"/>
      <c r="L70" s="46"/>
      <c r="M70" s="46"/>
      <c r="N70" s="46"/>
      <c r="O70" s="46"/>
      <c r="P70" s="46"/>
      <c r="Q70" s="46"/>
      <c r="R70" s="46"/>
      <c r="S70" s="46"/>
      <c r="T70" s="46"/>
      <c r="U70" s="46"/>
      <c r="V70" s="46"/>
      <c r="W70" s="46"/>
      <c r="X70" s="46"/>
    </row>
    <row r="71" spans="1:96" x14ac:dyDescent="0.2">
      <c r="A71" s="45"/>
      <c r="B71" s="46"/>
      <c r="C71" s="46"/>
      <c r="D71" s="46"/>
      <c r="E71" s="46"/>
      <c r="F71" s="46"/>
      <c r="G71" s="46"/>
      <c r="H71" s="46"/>
      <c r="I71" s="46"/>
      <c r="J71" s="46"/>
      <c r="K71" s="46"/>
      <c r="L71" s="46"/>
      <c r="M71" s="46"/>
      <c r="N71" s="46"/>
      <c r="O71" s="46"/>
      <c r="P71" s="46"/>
      <c r="Q71" s="46"/>
      <c r="R71" s="46"/>
      <c r="S71" s="46"/>
      <c r="T71" s="46"/>
      <c r="U71" s="46"/>
      <c r="V71" s="46"/>
      <c r="W71" s="46"/>
      <c r="X71" s="46"/>
    </row>
    <row r="72" spans="1:96" x14ac:dyDescent="0.2">
      <c r="A72" s="45"/>
      <c r="B72" s="46"/>
      <c r="C72" s="46"/>
      <c r="D72" s="46"/>
      <c r="E72" s="46"/>
      <c r="F72" s="46"/>
      <c r="G72" s="46"/>
      <c r="H72" s="46"/>
      <c r="I72" s="46"/>
      <c r="J72" s="46"/>
      <c r="K72" s="46"/>
      <c r="L72" s="46"/>
      <c r="M72" s="46"/>
      <c r="N72" s="46"/>
      <c r="O72" s="46"/>
      <c r="P72" s="46"/>
      <c r="Q72" s="46"/>
      <c r="R72" s="46"/>
      <c r="S72" s="46"/>
      <c r="T72" s="46"/>
      <c r="U72" s="46"/>
      <c r="V72" s="46"/>
      <c r="W72" s="46"/>
      <c r="X72" s="46"/>
    </row>
    <row r="73" spans="1:96" x14ac:dyDescent="0.2">
      <c r="A73" s="45"/>
      <c r="B73" s="46"/>
      <c r="C73" s="46"/>
      <c r="D73" s="46"/>
      <c r="E73" s="46"/>
      <c r="F73" s="46"/>
      <c r="G73" s="46"/>
      <c r="H73" s="46"/>
      <c r="I73" s="46"/>
      <c r="J73" s="46"/>
      <c r="K73" s="46"/>
      <c r="L73" s="46"/>
      <c r="M73" s="46"/>
      <c r="N73" s="46"/>
      <c r="O73" s="46"/>
      <c r="P73" s="46"/>
      <c r="Q73" s="46"/>
      <c r="R73" s="46"/>
      <c r="S73" s="46"/>
      <c r="T73" s="46"/>
      <c r="U73" s="46"/>
      <c r="V73" s="46"/>
      <c r="W73" s="46"/>
      <c r="X73" s="46"/>
    </row>
    <row r="74" spans="1:96" x14ac:dyDescent="0.2">
      <c r="A74" s="45"/>
      <c r="B74" s="46"/>
      <c r="C74" s="46"/>
      <c r="D74" s="46"/>
      <c r="E74" s="46"/>
      <c r="F74" s="46"/>
      <c r="G74" s="46"/>
      <c r="H74" s="46"/>
      <c r="I74" s="46"/>
      <c r="J74" s="46"/>
      <c r="K74" s="46"/>
      <c r="L74" s="46"/>
      <c r="M74" s="46"/>
      <c r="N74" s="46"/>
      <c r="O74" s="46"/>
      <c r="P74" s="46"/>
      <c r="Q74" s="46"/>
      <c r="R74" s="46"/>
      <c r="S74" s="46"/>
      <c r="T74" s="46"/>
      <c r="U74" s="46"/>
      <c r="V74" s="46"/>
      <c r="W74" s="46"/>
      <c r="X74" s="46"/>
    </row>
    <row r="75" spans="1:96" x14ac:dyDescent="0.2">
      <c r="A75" s="45"/>
      <c r="B75" s="46"/>
      <c r="C75" s="46"/>
      <c r="D75" s="46"/>
      <c r="E75" s="46"/>
      <c r="F75" s="46"/>
      <c r="G75" s="46"/>
      <c r="H75" s="46"/>
      <c r="I75" s="46"/>
      <c r="J75" s="46"/>
      <c r="K75" s="46"/>
      <c r="L75" s="46"/>
      <c r="M75" s="46"/>
      <c r="N75" s="46"/>
      <c r="O75" s="46"/>
      <c r="P75" s="46"/>
      <c r="Q75" s="46"/>
      <c r="R75" s="46"/>
      <c r="S75" s="46"/>
      <c r="T75" s="46"/>
      <c r="U75" s="46"/>
      <c r="V75" s="46"/>
      <c r="W75" s="46"/>
      <c r="X75" s="46"/>
    </row>
    <row r="76" spans="1:96" x14ac:dyDescent="0.2">
      <c r="A76" s="45"/>
      <c r="B76" s="46"/>
      <c r="C76" s="46"/>
      <c r="D76" s="46"/>
      <c r="E76" s="46"/>
      <c r="F76" s="46"/>
      <c r="G76" s="46"/>
      <c r="H76" s="46"/>
      <c r="I76" s="46"/>
      <c r="J76" s="46"/>
      <c r="K76" s="46"/>
      <c r="L76" s="46"/>
      <c r="M76" s="46"/>
      <c r="N76" s="46"/>
      <c r="O76" s="46"/>
      <c r="P76" s="46"/>
      <c r="Q76" s="46"/>
      <c r="R76" s="46"/>
      <c r="S76" s="46"/>
      <c r="T76" s="46"/>
      <c r="U76" s="46"/>
      <c r="V76" s="46"/>
      <c r="W76" s="46"/>
      <c r="X76" s="46"/>
    </row>
    <row r="77" spans="1:96" x14ac:dyDescent="0.2">
      <c r="A77" s="45"/>
      <c r="B77" s="46"/>
      <c r="C77" s="46"/>
      <c r="D77" s="46"/>
      <c r="E77" s="46"/>
      <c r="F77" s="46"/>
      <c r="G77" s="46"/>
      <c r="H77" s="46"/>
      <c r="I77" s="46"/>
      <c r="J77" s="46"/>
      <c r="K77" s="46"/>
      <c r="L77" s="46"/>
      <c r="M77" s="46"/>
      <c r="N77" s="46"/>
      <c r="O77" s="46"/>
      <c r="P77" s="46"/>
      <c r="Q77" s="46"/>
      <c r="R77" s="46"/>
      <c r="S77" s="46"/>
      <c r="T77" s="46"/>
      <c r="U77" s="46"/>
      <c r="V77" s="46"/>
      <c r="W77" s="46"/>
      <c r="X77" s="46"/>
    </row>
    <row r="78" spans="1:96" x14ac:dyDescent="0.2">
      <c r="A78" s="45"/>
      <c r="B78" s="46"/>
      <c r="C78" s="46"/>
      <c r="D78" s="46"/>
      <c r="E78" s="46"/>
      <c r="F78" s="46"/>
      <c r="G78" s="46"/>
      <c r="H78" s="46"/>
      <c r="I78" s="46"/>
      <c r="J78" s="46"/>
      <c r="K78" s="46"/>
      <c r="L78" s="46"/>
      <c r="M78" s="46"/>
      <c r="N78" s="46"/>
      <c r="O78" s="46"/>
      <c r="P78" s="46"/>
      <c r="Q78" s="46"/>
      <c r="R78" s="46"/>
      <c r="S78" s="46"/>
      <c r="T78" s="46"/>
      <c r="U78" s="46"/>
      <c r="V78" s="46"/>
      <c r="W78" s="46"/>
      <c r="X78" s="46"/>
    </row>
    <row r="79" spans="1:96" x14ac:dyDescent="0.2">
      <c r="A79" s="45"/>
      <c r="B79" s="46"/>
      <c r="C79" s="46"/>
      <c r="D79" s="46"/>
      <c r="E79" s="46"/>
      <c r="F79" s="46"/>
      <c r="G79" s="46"/>
      <c r="H79" s="46"/>
      <c r="I79" s="46"/>
      <c r="J79" s="46"/>
      <c r="K79" s="46"/>
      <c r="L79" s="46"/>
      <c r="M79" s="46"/>
      <c r="N79" s="46"/>
      <c r="O79" s="46"/>
      <c r="P79" s="46"/>
      <c r="Q79" s="46"/>
      <c r="R79" s="46"/>
      <c r="S79" s="46"/>
      <c r="T79" s="46"/>
      <c r="U79" s="46"/>
      <c r="V79" s="46"/>
      <c r="W79" s="46"/>
      <c r="X79" s="46"/>
    </row>
    <row r="80" spans="1:96" x14ac:dyDescent="0.2">
      <c r="A80" s="45"/>
      <c r="B80" s="46"/>
      <c r="C80" s="46"/>
      <c r="D80" s="46"/>
      <c r="E80" s="46"/>
      <c r="F80" s="46"/>
      <c r="G80" s="46"/>
      <c r="H80" s="46"/>
      <c r="I80" s="46"/>
      <c r="J80" s="46"/>
      <c r="K80" s="46"/>
      <c r="L80" s="46"/>
      <c r="M80" s="46"/>
      <c r="N80" s="46"/>
      <c r="O80" s="46"/>
      <c r="P80" s="46"/>
      <c r="Q80" s="46"/>
      <c r="R80" s="46"/>
      <c r="S80" s="46"/>
      <c r="T80" s="46"/>
      <c r="U80" s="46"/>
      <c r="V80" s="46"/>
      <c r="W80" s="46"/>
      <c r="X80" s="46"/>
    </row>
    <row r="81" spans="1:24" x14ac:dyDescent="0.2">
      <c r="A81" s="45"/>
      <c r="B81" s="46"/>
      <c r="C81" s="46"/>
      <c r="D81" s="46"/>
      <c r="E81" s="46"/>
      <c r="F81" s="46"/>
      <c r="G81" s="46"/>
      <c r="H81" s="46"/>
      <c r="I81" s="46"/>
      <c r="J81" s="46"/>
      <c r="K81" s="46"/>
      <c r="L81" s="46"/>
      <c r="M81" s="46"/>
      <c r="N81" s="46"/>
      <c r="O81" s="46"/>
      <c r="P81" s="46"/>
      <c r="Q81" s="46"/>
      <c r="R81" s="46"/>
      <c r="S81" s="46"/>
      <c r="T81" s="46"/>
      <c r="U81" s="46"/>
      <c r="V81" s="46"/>
      <c r="W81" s="46"/>
      <c r="X81" s="46"/>
    </row>
    <row r="82" spans="1:24" x14ac:dyDescent="0.2">
      <c r="A82" s="45"/>
      <c r="B82" s="46"/>
      <c r="C82" s="46"/>
      <c r="D82" s="46"/>
      <c r="E82" s="46"/>
      <c r="F82" s="46"/>
      <c r="G82" s="46"/>
      <c r="H82" s="46"/>
      <c r="I82" s="46"/>
      <c r="J82" s="46"/>
      <c r="K82" s="46"/>
      <c r="L82" s="46"/>
      <c r="M82" s="46"/>
      <c r="N82" s="46"/>
      <c r="O82" s="46"/>
      <c r="P82" s="46"/>
      <c r="Q82" s="46"/>
      <c r="R82" s="46"/>
      <c r="S82" s="46"/>
      <c r="T82" s="46"/>
      <c r="U82" s="46"/>
      <c r="V82" s="46"/>
      <c r="W82" s="46"/>
      <c r="X82" s="46"/>
    </row>
    <row r="83" spans="1:24" x14ac:dyDescent="0.2">
      <c r="A83" s="45"/>
      <c r="B83" s="46"/>
      <c r="C83" s="46"/>
      <c r="D83" s="46"/>
      <c r="E83" s="46"/>
      <c r="F83" s="46"/>
      <c r="G83" s="46"/>
      <c r="H83" s="46"/>
      <c r="I83" s="46"/>
      <c r="J83" s="46"/>
      <c r="K83" s="46"/>
      <c r="L83" s="46"/>
      <c r="M83" s="46"/>
      <c r="N83" s="46"/>
      <c r="O83" s="46"/>
      <c r="P83" s="46"/>
      <c r="Q83" s="46"/>
      <c r="R83" s="46"/>
      <c r="S83" s="46"/>
      <c r="T83" s="46"/>
      <c r="U83" s="46"/>
      <c r="V83" s="46"/>
      <c r="W83" s="46"/>
      <c r="X83" s="46"/>
    </row>
    <row r="84" spans="1:24" x14ac:dyDescent="0.2">
      <c r="A84" s="45"/>
      <c r="B84" s="46"/>
      <c r="C84" s="46"/>
      <c r="D84" s="46"/>
      <c r="E84" s="46"/>
      <c r="F84" s="46"/>
      <c r="G84" s="46"/>
      <c r="H84" s="46"/>
      <c r="I84" s="46"/>
      <c r="J84" s="46"/>
      <c r="K84" s="46"/>
      <c r="L84" s="46"/>
      <c r="M84" s="46"/>
      <c r="N84" s="46"/>
      <c r="O84" s="46"/>
      <c r="P84" s="46"/>
      <c r="Q84" s="46"/>
      <c r="R84" s="46"/>
      <c r="S84" s="46"/>
      <c r="T84" s="46"/>
      <c r="U84" s="46"/>
      <c r="V84" s="46"/>
      <c r="W84" s="46"/>
      <c r="X84" s="46"/>
    </row>
    <row r="85" spans="1:24" x14ac:dyDescent="0.2">
      <c r="A85" s="45"/>
      <c r="B85" s="46"/>
      <c r="C85" s="46"/>
      <c r="D85" s="46"/>
      <c r="E85" s="46"/>
      <c r="F85" s="46"/>
      <c r="G85" s="46"/>
      <c r="H85" s="46"/>
      <c r="I85" s="46"/>
      <c r="J85" s="46"/>
      <c r="K85" s="46"/>
      <c r="L85" s="46"/>
      <c r="M85" s="46"/>
      <c r="N85" s="46"/>
      <c r="O85" s="46"/>
      <c r="P85" s="46"/>
      <c r="Q85" s="46"/>
      <c r="R85" s="46"/>
      <c r="S85" s="46"/>
      <c r="T85" s="46"/>
      <c r="U85" s="46"/>
      <c r="V85" s="46"/>
      <c r="W85" s="46"/>
      <c r="X85" s="46"/>
    </row>
    <row r="86" spans="1:24" x14ac:dyDescent="0.2">
      <c r="A86" s="45"/>
      <c r="B86" s="46"/>
      <c r="C86" s="46"/>
      <c r="D86" s="46"/>
      <c r="E86" s="46"/>
      <c r="F86" s="46"/>
      <c r="G86" s="46"/>
      <c r="H86" s="46"/>
      <c r="I86" s="46"/>
      <c r="J86" s="46"/>
      <c r="K86" s="46"/>
      <c r="L86" s="46"/>
      <c r="M86" s="46"/>
      <c r="N86" s="46"/>
      <c r="O86" s="46"/>
      <c r="P86" s="46"/>
      <c r="Q86" s="46"/>
      <c r="R86" s="46"/>
      <c r="S86" s="46"/>
      <c r="T86" s="46"/>
      <c r="U86" s="46"/>
      <c r="V86" s="46"/>
      <c r="W86" s="46"/>
      <c r="X86" s="46"/>
    </row>
    <row r="87" spans="1:24" x14ac:dyDescent="0.2">
      <c r="A87" s="45"/>
      <c r="B87" s="46"/>
      <c r="C87" s="46"/>
      <c r="D87" s="46"/>
      <c r="E87" s="46"/>
      <c r="F87" s="46"/>
      <c r="G87" s="46"/>
      <c r="H87" s="46"/>
      <c r="I87" s="46"/>
      <c r="J87" s="46"/>
      <c r="K87" s="46"/>
      <c r="L87" s="46"/>
      <c r="M87" s="46"/>
      <c r="N87" s="46"/>
      <c r="O87" s="46"/>
      <c r="P87" s="46"/>
      <c r="Q87" s="46"/>
      <c r="R87" s="46"/>
      <c r="S87" s="46"/>
      <c r="T87" s="46"/>
      <c r="U87" s="46"/>
      <c r="V87" s="46"/>
      <c r="W87" s="46"/>
      <c r="X87" s="46"/>
    </row>
    <row r="88" spans="1:24" x14ac:dyDescent="0.2">
      <c r="A88" s="45"/>
      <c r="B88" s="46"/>
      <c r="C88" s="46"/>
      <c r="D88" s="46"/>
      <c r="E88" s="46"/>
      <c r="F88" s="46"/>
      <c r="G88" s="46"/>
      <c r="H88" s="46"/>
      <c r="I88" s="46"/>
      <c r="J88" s="46"/>
      <c r="K88" s="46"/>
      <c r="L88" s="46"/>
      <c r="M88" s="46"/>
      <c r="N88" s="46"/>
      <c r="O88" s="46"/>
      <c r="P88" s="46"/>
      <c r="Q88" s="46"/>
      <c r="R88" s="46"/>
      <c r="S88" s="46"/>
      <c r="T88" s="46"/>
      <c r="U88" s="46"/>
      <c r="V88" s="46"/>
      <c r="W88" s="46"/>
      <c r="X88" s="46"/>
    </row>
    <row r="89" spans="1:24" x14ac:dyDescent="0.2">
      <c r="A89" s="45"/>
      <c r="B89" s="46"/>
      <c r="C89" s="46"/>
      <c r="D89" s="46"/>
      <c r="E89" s="46"/>
      <c r="F89" s="46"/>
      <c r="G89" s="46"/>
      <c r="H89" s="46"/>
      <c r="I89" s="46"/>
      <c r="J89" s="46"/>
      <c r="K89" s="46"/>
      <c r="L89" s="46"/>
      <c r="M89" s="46"/>
      <c r="N89" s="46"/>
      <c r="O89" s="46"/>
      <c r="P89" s="46"/>
      <c r="Q89" s="46"/>
      <c r="R89" s="46"/>
      <c r="S89" s="46"/>
      <c r="T89" s="46"/>
      <c r="U89" s="46"/>
      <c r="V89" s="46"/>
      <c r="W89" s="46"/>
      <c r="X89" s="46"/>
    </row>
    <row r="90" spans="1:24" x14ac:dyDescent="0.2">
      <c r="A90" s="45"/>
      <c r="B90" s="46"/>
      <c r="C90" s="46"/>
      <c r="D90" s="46"/>
      <c r="E90" s="46"/>
      <c r="F90" s="46"/>
      <c r="G90" s="46"/>
      <c r="H90" s="46"/>
      <c r="I90" s="46"/>
      <c r="J90" s="46"/>
      <c r="K90" s="46"/>
      <c r="L90" s="46"/>
      <c r="M90" s="46"/>
      <c r="N90" s="46"/>
      <c r="O90" s="46"/>
      <c r="P90" s="46"/>
      <c r="Q90" s="46"/>
      <c r="R90" s="46"/>
      <c r="S90" s="46"/>
      <c r="T90" s="46"/>
      <c r="U90" s="46"/>
      <c r="V90" s="46"/>
      <c r="W90" s="46"/>
      <c r="X90" s="46"/>
    </row>
    <row r="91" spans="1:24" x14ac:dyDescent="0.2">
      <c r="A91" s="45"/>
      <c r="B91" s="46"/>
      <c r="C91" s="46"/>
      <c r="D91" s="46"/>
      <c r="E91" s="46"/>
      <c r="F91" s="46"/>
      <c r="G91" s="46"/>
      <c r="H91" s="46"/>
      <c r="I91" s="46"/>
      <c r="J91" s="46"/>
      <c r="K91" s="46"/>
      <c r="L91" s="46"/>
      <c r="M91" s="46"/>
      <c r="N91" s="46"/>
      <c r="O91" s="46"/>
      <c r="P91" s="46"/>
      <c r="Q91" s="46"/>
      <c r="R91" s="46"/>
      <c r="S91" s="46"/>
      <c r="T91" s="46"/>
      <c r="U91" s="46"/>
      <c r="V91" s="46"/>
      <c r="W91" s="46"/>
      <c r="X91" s="46"/>
    </row>
    <row r="92" spans="1:24" x14ac:dyDescent="0.2">
      <c r="A92" s="45"/>
      <c r="B92" s="46"/>
      <c r="C92" s="46"/>
      <c r="D92" s="46"/>
      <c r="E92" s="46"/>
      <c r="F92" s="46"/>
      <c r="G92" s="46"/>
      <c r="H92" s="46"/>
      <c r="I92" s="46"/>
      <c r="J92" s="46"/>
      <c r="K92" s="46"/>
      <c r="L92" s="46"/>
      <c r="M92" s="46"/>
      <c r="N92" s="46"/>
      <c r="O92" s="46"/>
      <c r="P92" s="46"/>
      <c r="Q92" s="46"/>
      <c r="R92" s="46"/>
      <c r="S92" s="46"/>
      <c r="T92" s="46"/>
      <c r="U92" s="46"/>
      <c r="V92" s="46"/>
      <c r="W92" s="46"/>
      <c r="X92" s="46"/>
    </row>
    <row r="93" spans="1:24" x14ac:dyDescent="0.2">
      <c r="A93" s="45"/>
      <c r="B93" s="46"/>
      <c r="C93" s="46"/>
      <c r="D93" s="46"/>
      <c r="E93" s="46"/>
      <c r="F93" s="46"/>
      <c r="G93" s="46"/>
      <c r="H93" s="46"/>
      <c r="I93" s="46"/>
      <c r="J93" s="46"/>
      <c r="K93" s="46"/>
      <c r="L93" s="46"/>
      <c r="M93" s="46"/>
      <c r="N93" s="46"/>
      <c r="O93" s="46"/>
      <c r="P93" s="46"/>
      <c r="Q93" s="46"/>
      <c r="R93" s="46"/>
      <c r="S93" s="46"/>
      <c r="T93" s="46"/>
      <c r="U93" s="46"/>
      <c r="V93" s="46"/>
      <c r="W93" s="46"/>
      <c r="X93" s="46"/>
    </row>
    <row r="94" spans="1:24" x14ac:dyDescent="0.2">
      <c r="A94" s="45"/>
      <c r="B94" s="46"/>
      <c r="C94" s="46"/>
      <c r="D94" s="46"/>
      <c r="E94" s="46"/>
      <c r="F94" s="46"/>
      <c r="G94" s="46"/>
      <c r="H94" s="46"/>
      <c r="I94" s="46"/>
      <c r="J94" s="46"/>
      <c r="K94" s="46"/>
      <c r="L94" s="46"/>
      <c r="M94" s="46"/>
      <c r="N94" s="46"/>
      <c r="O94" s="46"/>
      <c r="P94" s="46"/>
      <c r="Q94" s="46"/>
      <c r="R94" s="46"/>
      <c r="S94" s="46"/>
      <c r="T94" s="46"/>
      <c r="U94" s="46"/>
      <c r="V94" s="46"/>
      <c r="W94" s="46"/>
      <c r="X94" s="46"/>
    </row>
    <row r="95" spans="1:24" x14ac:dyDescent="0.2">
      <c r="A95" s="45"/>
      <c r="B95" s="46"/>
      <c r="C95" s="46"/>
      <c r="D95" s="46"/>
      <c r="E95" s="46"/>
      <c r="F95" s="46"/>
      <c r="G95" s="46"/>
      <c r="H95" s="46"/>
      <c r="I95" s="46"/>
      <c r="J95" s="46"/>
      <c r="K95" s="46"/>
      <c r="L95" s="46"/>
      <c r="M95" s="46"/>
      <c r="N95" s="46"/>
      <c r="O95" s="46"/>
      <c r="P95" s="46"/>
      <c r="Q95" s="46"/>
      <c r="R95" s="46"/>
      <c r="S95" s="46"/>
      <c r="T95" s="46"/>
      <c r="U95" s="46"/>
      <c r="V95" s="46"/>
      <c r="W95" s="46"/>
      <c r="X95" s="46"/>
    </row>
    <row r="96" spans="1:24" x14ac:dyDescent="0.2">
      <c r="A96" s="45"/>
      <c r="B96" s="46"/>
      <c r="C96" s="46"/>
      <c r="D96" s="46"/>
      <c r="E96" s="46"/>
      <c r="F96" s="46"/>
      <c r="G96" s="46"/>
      <c r="H96" s="46"/>
      <c r="I96" s="46"/>
      <c r="J96" s="46"/>
      <c r="K96" s="46"/>
      <c r="L96" s="46"/>
      <c r="M96" s="46"/>
      <c r="N96" s="46"/>
      <c r="O96" s="46"/>
      <c r="P96" s="46"/>
      <c r="Q96" s="46"/>
      <c r="R96" s="46"/>
      <c r="S96" s="46"/>
      <c r="T96" s="46"/>
      <c r="U96" s="46"/>
      <c r="V96" s="46"/>
      <c r="W96" s="46"/>
      <c r="X96" s="46"/>
    </row>
    <row r="97" spans="1:24"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row>
    <row r="98" spans="1:24" x14ac:dyDescent="0.2">
      <c r="A98" s="45"/>
      <c r="B98" s="46"/>
      <c r="C98" s="46"/>
      <c r="D98" s="46"/>
      <c r="E98" s="46"/>
      <c r="F98" s="46"/>
      <c r="G98" s="46"/>
      <c r="H98" s="46"/>
      <c r="I98" s="46"/>
      <c r="J98" s="46"/>
      <c r="K98" s="46"/>
      <c r="L98" s="46"/>
      <c r="M98" s="46"/>
      <c r="N98" s="46"/>
      <c r="O98" s="46"/>
      <c r="P98" s="46"/>
      <c r="Q98" s="46"/>
      <c r="R98" s="46"/>
      <c r="S98" s="46"/>
      <c r="T98" s="46"/>
      <c r="U98" s="46"/>
      <c r="V98" s="46"/>
      <c r="W98" s="46"/>
      <c r="X98" s="46"/>
    </row>
    <row r="99" spans="1:24" x14ac:dyDescent="0.2">
      <c r="A99" s="45"/>
      <c r="B99" s="46"/>
      <c r="C99" s="46"/>
      <c r="D99" s="46"/>
      <c r="E99" s="46"/>
      <c r="F99" s="46"/>
      <c r="G99" s="46"/>
      <c r="H99" s="46"/>
      <c r="I99" s="46"/>
      <c r="J99" s="46"/>
      <c r="K99" s="46"/>
      <c r="L99" s="46"/>
      <c r="M99" s="46"/>
      <c r="N99" s="46"/>
      <c r="O99" s="46"/>
      <c r="P99" s="46"/>
      <c r="Q99" s="46"/>
      <c r="R99" s="46"/>
      <c r="S99" s="46"/>
      <c r="T99" s="46"/>
      <c r="U99" s="46"/>
      <c r="V99" s="46"/>
      <c r="W99" s="46"/>
      <c r="X99" s="46"/>
    </row>
    <row r="100" spans="1:24" x14ac:dyDescent="0.2">
      <c r="A100" s="45"/>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x14ac:dyDescent="0.2">
      <c r="A101" s="45"/>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x14ac:dyDescent="0.2">
      <c r="A102" s="45"/>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x14ac:dyDescent="0.2">
      <c r="A103" s="45"/>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x14ac:dyDescent="0.2">
      <c r="A104" s="45"/>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x14ac:dyDescent="0.2">
      <c r="A105" s="45"/>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x14ac:dyDescent="0.2">
      <c r="A106" s="45"/>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x14ac:dyDescent="0.2">
      <c r="A107" s="45"/>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x14ac:dyDescent="0.2">
      <c r="A108" s="45"/>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x14ac:dyDescent="0.2">
      <c r="A109" s="45"/>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x14ac:dyDescent="0.2">
      <c r="A110" s="45"/>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x14ac:dyDescent="0.2">
      <c r="A111" s="45"/>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x14ac:dyDescent="0.2">
      <c r="A112" s="45"/>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x14ac:dyDescent="0.2">
      <c r="A113" s="45"/>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x14ac:dyDescent="0.2">
      <c r="A114" s="45"/>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x14ac:dyDescent="0.2">
      <c r="A115" s="45"/>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x14ac:dyDescent="0.2">
      <c r="A116" s="45"/>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x14ac:dyDescent="0.2">
      <c r="A117" s="45"/>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x14ac:dyDescent="0.2">
      <c r="A118" s="45"/>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x14ac:dyDescent="0.2">
      <c r="A119" s="45"/>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x14ac:dyDescent="0.2">
      <c r="A120" s="45"/>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x14ac:dyDescent="0.2">
      <c r="A121" s="45"/>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x14ac:dyDescent="0.2">
      <c r="A122" s="45"/>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x14ac:dyDescent="0.2">
      <c r="A123" s="45"/>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x14ac:dyDescent="0.2">
      <c r="A124" s="45"/>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x14ac:dyDescent="0.2">
      <c r="A125" s="45"/>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x14ac:dyDescent="0.2">
      <c r="A126" s="45"/>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x14ac:dyDescent="0.2">
      <c r="A127" s="45"/>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x14ac:dyDescent="0.2">
      <c r="A128" s="45"/>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x14ac:dyDescent="0.2">
      <c r="A129" s="45"/>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x14ac:dyDescent="0.2">
      <c r="A130" s="45"/>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x14ac:dyDescent="0.2">
      <c r="A131" s="45"/>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x14ac:dyDescent="0.2">
      <c r="A132" s="45"/>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x14ac:dyDescent="0.2">
      <c r="A133" s="45"/>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x14ac:dyDescent="0.2">
      <c r="A134" s="45"/>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x14ac:dyDescent="0.2">
      <c r="A135" s="45"/>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x14ac:dyDescent="0.2">
      <c r="A136" s="45"/>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x14ac:dyDescent="0.2">
      <c r="A137" s="45"/>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x14ac:dyDescent="0.2">
      <c r="A138" s="45"/>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x14ac:dyDescent="0.2">
      <c r="A139" s="45"/>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x14ac:dyDescent="0.2">
      <c r="A140" s="45"/>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x14ac:dyDescent="0.2">
      <c r="A141" s="45"/>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x14ac:dyDescent="0.2">
      <c r="A142" s="45"/>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x14ac:dyDescent="0.2">
      <c r="A143" s="45"/>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x14ac:dyDescent="0.2">
      <c r="A144" s="45"/>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x14ac:dyDescent="0.2">
      <c r="A145" s="45"/>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x14ac:dyDescent="0.2">
      <c r="A146" s="45"/>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x14ac:dyDescent="0.2">
      <c r="A147" s="45"/>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x14ac:dyDescent="0.2">
      <c r="A148" s="45"/>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x14ac:dyDescent="0.2">
      <c r="A149" s="45"/>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x14ac:dyDescent="0.2">
      <c r="A150" s="45"/>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x14ac:dyDescent="0.2">
      <c r="A151" s="45"/>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x14ac:dyDescent="0.2">
      <c r="A152" s="45"/>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x14ac:dyDescent="0.2">
      <c r="A153" s="45"/>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x14ac:dyDescent="0.2">
      <c r="A154" s="45"/>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x14ac:dyDescent="0.2">
      <c r="A155" s="45"/>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x14ac:dyDescent="0.2">
      <c r="A156" s="45"/>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x14ac:dyDescent="0.2">
      <c r="A157" s="45"/>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x14ac:dyDescent="0.2">
      <c r="A158" s="45"/>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x14ac:dyDescent="0.2">
      <c r="A159" s="45"/>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x14ac:dyDescent="0.2">
      <c r="A160" s="45"/>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x14ac:dyDescent="0.2">
      <c r="A161" s="45"/>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x14ac:dyDescent="0.2">
      <c r="A162" s="45"/>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x14ac:dyDescent="0.2">
      <c r="A163" s="45"/>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x14ac:dyDescent="0.2">
      <c r="A164" s="45"/>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x14ac:dyDescent="0.2">
      <c r="A165" s="45"/>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x14ac:dyDescent="0.2">
      <c r="A166" s="45"/>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x14ac:dyDescent="0.2">
      <c r="A167" s="45"/>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x14ac:dyDescent="0.2">
      <c r="A168" s="45"/>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x14ac:dyDescent="0.2">
      <c r="A169" s="45"/>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x14ac:dyDescent="0.2">
      <c r="A170" s="45"/>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x14ac:dyDescent="0.2">
      <c r="A171" s="45"/>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x14ac:dyDescent="0.2">
      <c r="A172" s="45"/>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x14ac:dyDescent="0.2">
      <c r="A173" s="45"/>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x14ac:dyDescent="0.2">
      <c r="A174" s="45"/>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x14ac:dyDescent="0.2">
      <c r="A175" s="45"/>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x14ac:dyDescent="0.2">
      <c r="A176" s="45"/>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x14ac:dyDescent="0.2">
      <c r="A177" s="45"/>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x14ac:dyDescent="0.2">
      <c r="A178" s="45"/>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x14ac:dyDescent="0.2">
      <c r="A179" s="45"/>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x14ac:dyDescent="0.2">
      <c r="A180" s="45"/>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x14ac:dyDescent="0.2">
      <c r="A181" s="45"/>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x14ac:dyDescent="0.2">
      <c r="A182" s="45"/>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x14ac:dyDescent="0.2">
      <c r="A183" s="45"/>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x14ac:dyDescent="0.2">
      <c r="A184" s="45"/>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x14ac:dyDescent="0.2">
      <c r="A185" s="45"/>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x14ac:dyDescent="0.2">
      <c r="A186" s="45"/>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x14ac:dyDescent="0.2">
      <c r="A187" s="45"/>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x14ac:dyDescent="0.2">
      <c r="A188" s="45"/>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x14ac:dyDescent="0.2">
      <c r="A189" s="45"/>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x14ac:dyDescent="0.2">
      <c r="A190" s="45"/>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x14ac:dyDescent="0.2">
      <c r="A191" s="45"/>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x14ac:dyDescent="0.2">
      <c r="A192" s="45"/>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x14ac:dyDescent="0.2">
      <c r="A193" s="45"/>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x14ac:dyDescent="0.2">
      <c r="A194" s="45"/>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x14ac:dyDescent="0.2">
      <c r="A195" s="45"/>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x14ac:dyDescent="0.2">
      <c r="A196" s="45"/>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x14ac:dyDescent="0.2">
      <c r="A197" s="45"/>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x14ac:dyDescent="0.2">
      <c r="A198" s="45"/>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x14ac:dyDescent="0.2">
      <c r="A199" s="45"/>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x14ac:dyDescent="0.2">
      <c r="A200" s="45"/>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x14ac:dyDescent="0.2">
      <c r="A201" s="45"/>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x14ac:dyDescent="0.2">
      <c r="A202" s="45"/>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x14ac:dyDescent="0.2">
      <c r="A203" s="45"/>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x14ac:dyDescent="0.2">
      <c r="A204" s="45"/>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x14ac:dyDescent="0.2">
      <c r="A205" s="45"/>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x14ac:dyDescent="0.2">
      <c r="A206" s="45"/>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x14ac:dyDescent="0.2">
      <c r="A207" s="45"/>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x14ac:dyDescent="0.2">
      <c r="A208" s="45"/>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x14ac:dyDescent="0.2">
      <c r="A209" s="45"/>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x14ac:dyDescent="0.2">
      <c r="A210" s="45"/>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x14ac:dyDescent="0.2">
      <c r="A211" s="45"/>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x14ac:dyDescent="0.2">
      <c r="A212" s="45"/>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x14ac:dyDescent="0.2">
      <c r="A213" s="45"/>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x14ac:dyDescent="0.2">
      <c r="A214" s="45"/>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x14ac:dyDescent="0.2">
      <c r="A215" s="45"/>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x14ac:dyDescent="0.2">
      <c r="A216" s="45"/>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x14ac:dyDescent="0.2">
      <c r="A217" s="45"/>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x14ac:dyDescent="0.2">
      <c r="A218" s="45"/>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x14ac:dyDescent="0.2">
      <c r="A219" s="45"/>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x14ac:dyDescent="0.2">
      <c r="A220" s="45"/>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x14ac:dyDescent="0.2">
      <c r="A221" s="45"/>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x14ac:dyDescent="0.2">
      <c r="A222" s="45"/>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x14ac:dyDescent="0.2">
      <c r="A223" s="45"/>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x14ac:dyDescent="0.2">
      <c r="A224" s="45"/>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x14ac:dyDescent="0.2">
      <c r="A225" s="45"/>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x14ac:dyDescent="0.2">
      <c r="A226" s="45"/>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x14ac:dyDescent="0.2">
      <c r="A227" s="45"/>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x14ac:dyDescent="0.2">
      <c r="A228" s="45"/>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x14ac:dyDescent="0.2">
      <c r="A229" s="45"/>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x14ac:dyDescent="0.2">
      <c r="A230" s="45"/>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x14ac:dyDescent="0.2">
      <c r="A231" s="45"/>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x14ac:dyDescent="0.2">
      <c r="A232" s="45"/>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x14ac:dyDescent="0.2">
      <c r="A233" s="45"/>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x14ac:dyDescent="0.2">
      <c r="A234" s="45"/>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x14ac:dyDescent="0.2">
      <c r="A235" s="45"/>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x14ac:dyDescent="0.2">
      <c r="A236" s="45"/>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x14ac:dyDescent="0.2">
      <c r="A237" s="45"/>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x14ac:dyDescent="0.2">
      <c r="A238" s="45"/>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x14ac:dyDescent="0.2">
      <c r="A239" s="45"/>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x14ac:dyDescent="0.2">
      <c r="A240" s="45"/>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x14ac:dyDescent="0.2">
      <c r="A241" s="45"/>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x14ac:dyDescent="0.2">
      <c r="A242" s="45"/>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x14ac:dyDescent="0.2">
      <c r="A243" s="45"/>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x14ac:dyDescent="0.2">
      <c r="A244" s="45"/>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x14ac:dyDescent="0.2">
      <c r="A245" s="45"/>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x14ac:dyDescent="0.2">
      <c r="A246" s="45"/>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x14ac:dyDescent="0.2">
      <c r="A247" s="45"/>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x14ac:dyDescent="0.2">
      <c r="A248" s="45"/>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x14ac:dyDescent="0.2">
      <c r="A249" s="45"/>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x14ac:dyDescent="0.2">
      <c r="A250" s="45"/>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x14ac:dyDescent="0.2">
      <c r="A251" s="45"/>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x14ac:dyDescent="0.2">
      <c r="A252" s="45"/>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x14ac:dyDescent="0.2">
      <c r="A253" s="45"/>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x14ac:dyDescent="0.2">
      <c r="A254" s="45"/>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x14ac:dyDescent="0.2">
      <c r="A255" s="45"/>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x14ac:dyDescent="0.2">
      <c r="A256" s="45"/>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x14ac:dyDescent="0.2">
      <c r="A257" s="45"/>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x14ac:dyDescent="0.2">
      <c r="A258" s="45"/>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x14ac:dyDescent="0.2">
      <c r="A259" s="45"/>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x14ac:dyDescent="0.2">
      <c r="A260" s="45"/>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x14ac:dyDescent="0.2">
      <c r="A261" s="45"/>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x14ac:dyDescent="0.2">
      <c r="A262" s="45"/>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x14ac:dyDescent="0.2">
      <c r="A263" s="45"/>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x14ac:dyDescent="0.2">
      <c r="A264" s="45"/>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x14ac:dyDescent="0.2">
      <c r="A265" s="45"/>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x14ac:dyDescent="0.2">
      <c r="A266" s="45"/>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x14ac:dyDescent="0.2">
      <c r="A267" s="45"/>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x14ac:dyDescent="0.2">
      <c r="A268" s="45"/>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x14ac:dyDescent="0.2">
      <c r="A269" s="45"/>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x14ac:dyDescent="0.2">
      <c r="A270" s="45"/>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x14ac:dyDescent="0.2">
      <c r="A271" s="45"/>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x14ac:dyDescent="0.2">
      <c r="A272" s="45"/>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x14ac:dyDescent="0.2">
      <c r="A273" s="45"/>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x14ac:dyDescent="0.2">
      <c r="A274" s="45"/>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x14ac:dyDescent="0.2">
      <c r="A275" s="45"/>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x14ac:dyDescent="0.2">
      <c r="A276" s="45"/>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x14ac:dyDescent="0.2">
      <c r="A277" s="45"/>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x14ac:dyDescent="0.2">
      <c r="A278" s="45"/>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x14ac:dyDescent="0.2">
      <c r="A279" s="45"/>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x14ac:dyDescent="0.2">
      <c r="A280" s="45"/>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x14ac:dyDescent="0.2">
      <c r="A281" s="45"/>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x14ac:dyDescent="0.2">
      <c r="A282" s="45"/>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x14ac:dyDescent="0.2">
      <c r="A283" s="45"/>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x14ac:dyDescent="0.2">
      <c r="A284" s="45"/>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x14ac:dyDescent="0.2">
      <c r="A285" s="45"/>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x14ac:dyDescent="0.2">
      <c r="A286" s="45"/>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x14ac:dyDescent="0.2">
      <c r="A287" s="45"/>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x14ac:dyDescent="0.2">
      <c r="A288" s="45"/>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x14ac:dyDescent="0.2">
      <c r="A289" s="45"/>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x14ac:dyDescent="0.2">
      <c r="A290" s="45"/>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x14ac:dyDescent="0.2">
      <c r="A291" s="45"/>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x14ac:dyDescent="0.2">
      <c r="A292" s="45"/>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x14ac:dyDescent="0.2">
      <c r="A293" s="45"/>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x14ac:dyDescent="0.2">
      <c r="A294" s="45"/>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x14ac:dyDescent="0.2">
      <c r="A295" s="45"/>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x14ac:dyDescent="0.2">
      <c r="A296" s="45"/>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x14ac:dyDescent="0.2">
      <c r="A297" s="45"/>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x14ac:dyDescent="0.2">
      <c r="A298" s="45"/>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x14ac:dyDescent="0.2">
      <c r="A299" s="45"/>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x14ac:dyDescent="0.2">
      <c r="A300" s="45"/>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x14ac:dyDescent="0.2">
      <c r="A301" s="45"/>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x14ac:dyDescent="0.2">
      <c r="A302" s="45"/>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x14ac:dyDescent="0.2">
      <c r="A303" s="45"/>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x14ac:dyDescent="0.2">
      <c r="A304" s="45"/>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x14ac:dyDescent="0.2">
      <c r="A305" s="45"/>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x14ac:dyDescent="0.2">
      <c r="A306" s="45"/>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x14ac:dyDescent="0.2">
      <c r="A307" s="45"/>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x14ac:dyDescent="0.2">
      <c r="A308" s="45"/>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x14ac:dyDescent="0.2">
      <c r="A309" s="45"/>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x14ac:dyDescent="0.2">
      <c r="A310" s="45"/>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x14ac:dyDescent="0.2">
      <c r="A311" s="45"/>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x14ac:dyDescent="0.2">
      <c r="A312" s="45"/>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x14ac:dyDescent="0.2">
      <c r="A313" s="45"/>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x14ac:dyDescent="0.2">
      <c r="A314" s="45"/>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x14ac:dyDescent="0.2">
      <c r="A315" s="45"/>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x14ac:dyDescent="0.2">
      <c r="A316" s="45"/>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x14ac:dyDescent="0.2">
      <c r="A317" s="45"/>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x14ac:dyDescent="0.2">
      <c r="A318" s="45"/>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x14ac:dyDescent="0.2">
      <c r="A319" s="45"/>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x14ac:dyDescent="0.2">
      <c r="A320" s="45"/>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x14ac:dyDescent="0.2">
      <c r="A321" s="45"/>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x14ac:dyDescent="0.2">
      <c r="A322" s="45"/>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x14ac:dyDescent="0.2">
      <c r="A323" s="45"/>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x14ac:dyDescent="0.2">
      <c r="A324" s="45"/>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x14ac:dyDescent="0.2">
      <c r="A325" s="45"/>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x14ac:dyDescent="0.2">
      <c r="A326" s="45"/>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x14ac:dyDescent="0.2">
      <c r="A327" s="45"/>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x14ac:dyDescent="0.2">
      <c r="A328" s="45"/>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x14ac:dyDescent="0.2">
      <c r="A329" s="45"/>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x14ac:dyDescent="0.2">
      <c r="A330" s="45"/>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x14ac:dyDescent="0.2">
      <c r="A331" s="45"/>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x14ac:dyDescent="0.2">
      <c r="A332" s="45"/>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x14ac:dyDescent="0.2">
      <c r="A333" s="45"/>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x14ac:dyDescent="0.2">
      <c r="A334" s="45"/>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x14ac:dyDescent="0.2">
      <c r="A335" s="45"/>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x14ac:dyDescent="0.2">
      <c r="A336" s="45"/>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x14ac:dyDescent="0.2">
      <c r="A337" s="45"/>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x14ac:dyDescent="0.2">
      <c r="A338" s="45"/>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x14ac:dyDescent="0.2">
      <c r="A339" s="45"/>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x14ac:dyDescent="0.2">
      <c r="A340" s="45"/>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x14ac:dyDescent="0.2">
      <c r="A341" s="45"/>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x14ac:dyDescent="0.2">
      <c r="A342" s="45"/>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x14ac:dyDescent="0.2">
      <c r="A343" s="45"/>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x14ac:dyDescent="0.2">
      <c r="A344" s="45"/>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x14ac:dyDescent="0.2">
      <c r="A345" s="45"/>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x14ac:dyDescent="0.2">
      <c r="A346" s="45"/>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x14ac:dyDescent="0.2">
      <c r="A347" s="45"/>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x14ac:dyDescent="0.2">
      <c r="A348" s="45"/>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x14ac:dyDescent="0.2">
      <c r="A349" s="45"/>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x14ac:dyDescent="0.2">
      <c r="A350" s="45"/>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x14ac:dyDescent="0.2">
      <c r="A351" s="45"/>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x14ac:dyDescent="0.2">
      <c r="A352" s="45"/>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x14ac:dyDescent="0.2">
      <c r="A353" s="45"/>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x14ac:dyDescent="0.2">
      <c r="A354" s="45"/>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x14ac:dyDescent="0.2">
      <c r="A355" s="45"/>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x14ac:dyDescent="0.2">
      <c r="A356" s="45"/>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x14ac:dyDescent="0.2">
      <c r="A357" s="45"/>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x14ac:dyDescent="0.2">
      <c r="A358" s="45"/>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x14ac:dyDescent="0.2">
      <c r="A359" s="45"/>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x14ac:dyDescent="0.2">
      <c r="A360" s="45"/>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x14ac:dyDescent="0.2">
      <c r="A361" s="45"/>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x14ac:dyDescent="0.2">
      <c r="A362" s="45"/>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x14ac:dyDescent="0.2">
      <c r="A363" s="45"/>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x14ac:dyDescent="0.2">
      <c r="A364" s="45"/>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x14ac:dyDescent="0.2">
      <c r="A365" s="45"/>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x14ac:dyDescent="0.2">
      <c r="A366" s="45"/>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x14ac:dyDescent="0.2">
      <c r="A367" s="45"/>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x14ac:dyDescent="0.2">
      <c r="A368" s="45"/>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x14ac:dyDescent="0.2">
      <c r="A369" s="45"/>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x14ac:dyDescent="0.2">
      <c r="A370" s="45"/>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x14ac:dyDescent="0.2">
      <c r="A371" s="45"/>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x14ac:dyDescent="0.2">
      <c r="A372" s="45"/>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x14ac:dyDescent="0.2">
      <c r="A373" s="45"/>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x14ac:dyDescent="0.2">
      <c r="A374" s="45"/>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x14ac:dyDescent="0.2">
      <c r="A375" s="45"/>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x14ac:dyDescent="0.2">
      <c r="A376" s="45"/>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x14ac:dyDescent="0.2">
      <c r="A377" s="45"/>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x14ac:dyDescent="0.2">
      <c r="A378" s="45"/>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x14ac:dyDescent="0.2">
      <c r="A379" s="45"/>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x14ac:dyDescent="0.2">
      <c r="A380" s="45"/>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x14ac:dyDescent="0.2">
      <c r="A381" s="45"/>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x14ac:dyDescent="0.2">
      <c r="A382" s="45"/>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x14ac:dyDescent="0.2">
      <c r="A383" s="45"/>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x14ac:dyDescent="0.2">
      <c r="A384" s="45"/>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x14ac:dyDescent="0.2">
      <c r="A385" s="45"/>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x14ac:dyDescent="0.2">
      <c r="A386" s="45"/>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x14ac:dyDescent="0.2">
      <c r="A387" s="45"/>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x14ac:dyDescent="0.2">
      <c r="A388" s="45"/>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x14ac:dyDescent="0.2">
      <c r="A389" s="45"/>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x14ac:dyDescent="0.2">
      <c r="A390" s="45"/>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x14ac:dyDescent="0.2">
      <c r="A391" s="45"/>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x14ac:dyDescent="0.2">
      <c r="A392" s="45"/>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x14ac:dyDescent="0.2">
      <c r="A393" s="45"/>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x14ac:dyDescent="0.2">
      <c r="A394" s="45"/>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x14ac:dyDescent="0.2">
      <c r="A395" s="45"/>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x14ac:dyDescent="0.2">
      <c r="A396" s="45"/>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x14ac:dyDescent="0.2">
      <c r="A397" s="45"/>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x14ac:dyDescent="0.2">
      <c r="A398" s="45"/>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x14ac:dyDescent="0.2">
      <c r="A399" s="45"/>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x14ac:dyDescent="0.2">
      <c r="A400" s="45"/>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x14ac:dyDescent="0.2">
      <c r="A401" s="45"/>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x14ac:dyDescent="0.2">
      <c r="A402" s="45"/>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x14ac:dyDescent="0.2">
      <c r="A403" s="45"/>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x14ac:dyDescent="0.2">
      <c r="A404" s="45"/>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x14ac:dyDescent="0.2">
      <c r="A405" s="45"/>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x14ac:dyDescent="0.2">
      <c r="A406" s="45"/>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x14ac:dyDescent="0.2">
      <c r="A407" s="45"/>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x14ac:dyDescent="0.2">
      <c r="A408" s="45"/>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x14ac:dyDescent="0.2">
      <c r="A409" s="45"/>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x14ac:dyDescent="0.2">
      <c r="A410" s="45"/>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x14ac:dyDescent="0.2">
      <c r="A411" s="45"/>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x14ac:dyDescent="0.2">
      <c r="A412" s="45"/>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x14ac:dyDescent="0.2">
      <c r="A413" s="45"/>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x14ac:dyDescent="0.2">
      <c r="A414" s="45"/>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x14ac:dyDescent="0.2">
      <c r="A415" s="45"/>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x14ac:dyDescent="0.2">
      <c r="A416" s="45"/>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x14ac:dyDescent="0.2">
      <c r="A417" s="45"/>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x14ac:dyDescent="0.2">
      <c r="A418" s="45"/>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x14ac:dyDescent="0.2">
      <c r="A419" s="45"/>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x14ac:dyDescent="0.2">
      <c r="A420" s="45"/>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x14ac:dyDescent="0.2">
      <c r="A421" s="45"/>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x14ac:dyDescent="0.2">
      <c r="A422" s="45"/>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x14ac:dyDescent="0.2">
      <c r="A423" s="45"/>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x14ac:dyDescent="0.2">
      <c r="A424" s="45"/>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x14ac:dyDescent="0.2">
      <c r="A425" s="45"/>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x14ac:dyDescent="0.2">
      <c r="A426" s="45"/>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x14ac:dyDescent="0.2">
      <c r="A427" s="45"/>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x14ac:dyDescent="0.2">
      <c r="A428" s="45"/>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x14ac:dyDescent="0.2">
      <c r="A429" s="45"/>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x14ac:dyDescent="0.2">
      <c r="A430" s="45"/>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x14ac:dyDescent="0.2">
      <c r="A431" s="45"/>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x14ac:dyDescent="0.2">
      <c r="A432" s="45"/>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x14ac:dyDescent="0.2">
      <c r="A433" s="45"/>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x14ac:dyDescent="0.2">
      <c r="A434" s="45"/>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x14ac:dyDescent="0.2">
      <c r="A435" s="45"/>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x14ac:dyDescent="0.2">
      <c r="A436" s="45"/>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x14ac:dyDescent="0.2">
      <c r="A437" s="45"/>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x14ac:dyDescent="0.2">
      <c r="A438" s="45"/>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x14ac:dyDescent="0.2">
      <c r="A439" s="45"/>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x14ac:dyDescent="0.2">
      <c r="A440" s="45"/>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x14ac:dyDescent="0.2">
      <c r="A441" s="45"/>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x14ac:dyDescent="0.2">
      <c r="A442" s="45"/>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x14ac:dyDescent="0.2">
      <c r="A443" s="45"/>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x14ac:dyDescent="0.2">
      <c r="A444" s="45"/>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x14ac:dyDescent="0.2">
      <c r="A445" s="45"/>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x14ac:dyDescent="0.2">
      <c r="A446" s="45"/>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x14ac:dyDescent="0.2">
      <c r="A447" s="45"/>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x14ac:dyDescent="0.2">
      <c r="A448" s="45"/>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x14ac:dyDescent="0.2">
      <c r="A449" s="45"/>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x14ac:dyDescent="0.2">
      <c r="A450" s="45"/>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x14ac:dyDescent="0.2">
      <c r="A451" s="45"/>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x14ac:dyDescent="0.2">
      <c r="A452" s="45"/>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x14ac:dyDescent="0.2">
      <c r="A453" s="45"/>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x14ac:dyDescent="0.2">
      <c r="A454" s="45"/>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x14ac:dyDescent="0.2">
      <c r="A455" s="45"/>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x14ac:dyDescent="0.2">
      <c r="A456" s="45"/>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x14ac:dyDescent="0.2">
      <c r="A457" s="45"/>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x14ac:dyDescent="0.2">
      <c r="A458" s="45"/>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x14ac:dyDescent="0.2">
      <c r="A459" s="45"/>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x14ac:dyDescent="0.2">
      <c r="A460" s="45"/>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x14ac:dyDescent="0.2">
      <c r="A461" s="45"/>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x14ac:dyDescent="0.2">
      <c r="A462" s="45"/>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x14ac:dyDescent="0.2">
      <c r="A463" s="45"/>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x14ac:dyDescent="0.2">
      <c r="A464" s="45"/>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x14ac:dyDescent="0.2">
      <c r="A465" s="45"/>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x14ac:dyDescent="0.2">
      <c r="A466" s="45"/>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x14ac:dyDescent="0.2">
      <c r="A467" s="45"/>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x14ac:dyDescent="0.2">
      <c r="A468" s="45"/>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x14ac:dyDescent="0.2">
      <c r="A469" s="45"/>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x14ac:dyDescent="0.2">
      <c r="A470" s="45"/>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x14ac:dyDescent="0.2">
      <c r="A471" s="45"/>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x14ac:dyDescent="0.2">
      <c r="A472" s="45"/>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x14ac:dyDescent="0.2">
      <c r="A473" s="45"/>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x14ac:dyDescent="0.2">
      <c r="A474" s="45"/>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x14ac:dyDescent="0.2">
      <c r="A475" s="45"/>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x14ac:dyDescent="0.2">
      <c r="A476" s="45"/>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x14ac:dyDescent="0.2">
      <c r="A477" s="45"/>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x14ac:dyDescent="0.2">
      <c r="A478" s="45"/>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x14ac:dyDescent="0.2">
      <c r="A479" s="45"/>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x14ac:dyDescent="0.2">
      <c r="A480" s="45"/>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x14ac:dyDescent="0.2">
      <c r="A481" s="45"/>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x14ac:dyDescent="0.2">
      <c r="A482" s="45"/>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x14ac:dyDescent="0.2">
      <c r="A483" s="45"/>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x14ac:dyDescent="0.2">
      <c r="A484" s="45"/>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x14ac:dyDescent="0.2">
      <c r="A485" s="45"/>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x14ac:dyDescent="0.2">
      <c r="A486" s="45"/>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x14ac:dyDescent="0.2">
      <c r="A487" s="45"/>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x14ac:dyDescent="0.2">
      <c r="A488" s="45"/>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x14ac:dyDescent="0.2">
      <c r="A489" s="45"/>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x14ac:dyDescent="0.2">
      <c r="A490" s="45"/>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x14ac:dyDescent="0.2">
      <c r="A491" s="45"/>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x14ac:dyDescent="0.2">
      <c r="A492" s="45"/>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x14ac:dyDescent="0.2">
      <c r="A493" s="45"/>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x14ac:dyDescent="0.2">
      <c r="A494" s="45"/>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x14ac:dyDescent="0.2">
      <c r="A495" s="45"/>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x14ac:dyDescent="0.2">
      <c r="A496" s="45"/>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x14ac:dyDescent="0.2">
      <c r="A497" s="45"/>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x14ac:dyDescent="0.2">
      <c r="A498" s="45"/>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x14ac:dyDescent="0.2">
      <c r="A499" s="45"/>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x14ac:dyDescent="0.2">
      <c r="A500" s="45"/>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x14ac:dyDescent="0.2">
      <c r="A501" s="45"/>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x14ac:dyDescent="0.2">
      <c r="A502" s="45"/>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x14ac:dyDescent="0.2">
      <c r="A503" s="45"/>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x14ac:dyDescent="0.2">
      <c r="A504" s="45"/>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x14ac:dyDescent="0.2">
      <c r="A505" s="45"/>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x14ac:dyDescent="0.2">
      <c r="A506" s="45"/>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x14ac:dyDescent="0.2">
      <c r="A507" s="45"/>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x14ac:dyDescent="0.2">
      <c r="A508" s="45"/>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x14ac:dyDescent="0.2">
      <c r="A509" s="45"/>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x14ac:dyDescent="0.2">
      <c r="A510" s="45"/>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x14ac:dyDescent="0.2">
      <c r="A511" s="45"/>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x14ac:dyDescent="0.2">
      <c r="A512" s="45"/>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x14ac:dyDescent="0.2">
      <c r="A513" s="45"/>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x14ac:dyDescent="0.2">
      <c r="A514" s="45"/>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x14ac:dyDescent="0.2">
      <c r="A515" s="45"/>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x14ac:dyDescent="0.2">
      <c r="A516" s="45"/>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x14ac:dyDescent="0.2">
      <c r="A517" s="45"/>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x14ac:dyDescent="0.2">
      <c r="A518" s="45"/>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x14ac:dyDescent="0.2">
      <c r="A519" s="45"/>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x14ac:dyDescent="0.2">
      <c r="A520" s="45"/>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x14ac:dyDescent="0.2">
      <c r="A521" s="45"/>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x14ac:dyDescent="0.2">
      <c r="A522" s="45"/>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x14ac:dyDescent="0.2">
      <c r="A523" s="45"/>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x14ac:dyDescent="0.2">
      <c r="A524" s="45"/>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x14ac:dyDescent="0.2">
      <c r="A525" s="45"/>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x14ac:dyDescent="0.2">
      <c r="A526" s="45"/>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x14ac:dyDescent="0.2">
      <c r="A527" s="45"/>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x14ac:dyDescent="0.2">
      <c r="A528" s="45"/>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x14ac:dyDescent="0.2">
      <c r="A529" s="45"/>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x14ac:dyDescent="0.2">
      <c r="A530" s="45"/>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x14ac:dyDescent="0.2">
      <c r="A531" s="45"/>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x14ac:dyDescent="0.2">
      <c r="A532" s="45"/>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x14ac:dyDescent="0.2">
      <c r="A533" s="45"/>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x14ac:dyDescent="0.2">
      <c r="A534" s="45"/>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x14ac:dyDescent="0.2">
      <c r="A535" s="45"/>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x14ac:dyDescent="0.2">
      <c r="A536" s="45"/>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x14ac:dyDescent="0.2">
      <c r="A537" s="45"/>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x14ac:dyDescent="0.2">
      <c r="A538" s="45"/>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x14ac:dyDescent="0.2">
      <c r="A539" s="45"/>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x14ac:dyDescent="0.2">
      <c r="A540" s="45"/>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x14ac:dyDescent="0.2">
      <c r="A541" s="45"/>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x14ac:dyDescent="0.2">
      <c r="A542" s="45"/>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x14ac:dyDescent="0.2">
      <c r="A543" s="45"/>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x14ac:dyDescent="0.2">
      <c r="A544" s="45"/>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x14ac:dyDescent="0.2">
      <c r="A545" s="45"/>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x14ac:dyDescent="0.2">
      <c r="A546" s="45"/>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x14ac:dyDescent="0.2">
      <c r="A547" s="45"/>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x14ac:dyDescent="0.2">
      <c r="A548" s="45"/>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x14ac:dyDescent="0.2">
      <c r="A549" s="45"/>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x14ac:dyDescent="0.2">
      <c r="A550" s="45"/>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x14ac:dyDescent="0.2">
      <c r="A551" s="45"/>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x14ac:dyDescent="0.2">
      <c r="A552" s="45"/>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x14ac:dyDescent="0.2">
      <c r="A553" s="45"/>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x14ac:dyDescent="0.2">
      <c r="A554" s="45"/>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x14ac:dyDescent="0.2">
      <c r="A555" s="45"/>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x14ac:dyDescent="0.2">
      <c r="A556" s="45"/>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x14ac:dyDescent="0.2">
      <c r="A557" s="45"/>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x14ac:dyDescent="0.2">
      <c r="A558" s="45"/>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x14ac:dyDescent="0.2">
      <c r="A559" s="45"/>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x14ac:dyDescent="0.2">
      <c r="A560" s="45"/>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x14ac:dyDescent="0.2">
      <c r="A561" s="45"/>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x14ac:dyDescent="0.2">
      <c r="A562" s="45"/>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x14ac:dyDescent="0.2">
      <c r="A563" s="45"/>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x14ac:dyDescent="0.2">
      <c r="A564" s="45"/>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x14ac:dyDescent="0.2">
      <c r="A565" s="45"/>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x14ac:dyDescent="0.2">
      <c r="A566" s="45"/>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x14ac:dyDescent="0.2">
      <c r="A567" s="45"/>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x14ac:dyDescent="0.2">
      <c r="A568" s="45"/>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x14ac:dyDescent="0.2">
      <c r="A569" s="45"/>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x14ac:dyDescent="0.2">
      <c r="A570" s="45"/>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x14ac:dyDescent="0.2">
      <c r="A571" s="45"/>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x14ac:dyDescent="0.2">
      <c r="A572" s="45"/>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x14ac:dyDescent="0.2">
      <c r="A573" s="45"/>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x14ac:dyDescent="0.2">
      <c r="A574" s="45"/>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x14ac:dyDescent="0.2">
      <c r="A575" s="45"/>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x14ac:dyDescent="0.2">
      <c r="A576" s="45"/>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x14ac:dyDescent="0.2">
      <c r="A577" s="45"/>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x14ac:dyDescent="0.2">
      <c r="A578" s="45"/>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x14ac:dyDescent="0.2">
      <c r="A579" s="45"/>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x14ac:dyDescent="0.2">
      <c r="A580" s="45"/>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x14ac:dyDescent="0.2">
      <c r="A581" s="45"/>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x14ac:dyDescent="0.2">
      <c r="A582" s="45"/>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x14ac:dyDescent="0.2">
      <c r="A583" s="45"/>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x14ac:dyDescent="0.2">
      <c r="A584" s="45"/>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x14ac:dyDescent="0.2">
      <c r="A585" s="45"/>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x14ac:dyDescent="0.2">
      <c r="A586" s="45"/>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x14ac:dyDescent="0.2">
      <c r="A587" s="45"/>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x14ac:dyDescent="0.2">
      <c r="A588" s="45"/>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x14ac:dyDescent="0.2">
      <c r="A589" s="45"/>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x14ac:dyDescent="0.2">
      <c r="A590" s="45"/>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x14ac:dyDescent="0.2">
      <c r="A591" s="45"/>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x14ac:dyDescent="0.2">
      <c r="A592" s="45"/>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x14ac:dyDescent="0.2">
      <c r="A593" s="45"/>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x14ac:dyDescent="0.2">
      <c r="A594" s="45"/>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x14ac:dyDescent="0.2">
      <c r="A595" s="45"/>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x14ac:dyDescent="0.2">
      <c r="A596" s="45"/>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x14ac:dyDescent="0.2">
      <c r="A597" s="45"/>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x14ac:dyDescent="0.2">
      <c r="A598" s="45"/>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x14ac:dyDescent="0.2">
      <c r="A599" s="45"/>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x14ac:dyDescent="0.2">
      <c r="A600" s="45"/>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x14ac:dyDescent="0.2">
      <c r="A601" s="45"/>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x14ac:dyDescent="0.2">
      <c r="A602" s="45"/>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x14ac:dyDescent="0.2">
      <c r="A603" s="45"/>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x14ac:dyDescent="0.2">
      <c r="A604" s="45"/>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x14ac:dyDescent="0.2">
      <c r="A605" s="45"/>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x14ac:dyDescent="0.2">
      <c r="A606" s="45"/>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x14ac:dyDescent="0.2">
      <c r="A607" s="45"/>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x14ac:dyDescent="0.2">
      <c r="A608" s="45"/>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x14ac:dyDescent="0.2">
      <c r="A609" s="45"/>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x14ac:dyDescent="0.2">
      <c r="A610" s="45"/>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x14ac:dyDescent="0.2">
      <c r="A611" s="45"/>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x14ac:dyDescent="0.2">
      <c r="A612" s="45"/>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x14ac:dyDescent="0.2">
      <c r="A613" s="45"/>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x14ac:dyDescent="0.2">
      <c r="A614" s="45"/>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x14ac:dyDescent="0.2">
      <c r="A615" s="45"/>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x14ac:dyDescent="0.2">
      <c r="A616" s="45"/>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x14ac:dyDescent="0.2">
      <c r="A617" s="45"/>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x14ac:dyDescent="0.2">
      <c r="A618" s="45"/>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x14ac:dyDescent="0.2">
      <c r="A619" s="45"/>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x14ac:dyDescent="0.2">
      <c r="A620" s="45"/>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x14ac:dyDescent="0.2">
      <c r="A621" s="45"/>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x14ac:dyDescent="0.2">
      <c r="A622" s="45"/>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x14ac:dyDescent="0.2">
      <c r="A623" s="45"/>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x14ac:dyDescent="0.2">
      <c r="A624" s="45"/>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x14ac:dyDescent="0.2">
      <c r="A625" s="45"/>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x14ac:dyDescent="0.2">
      <c r="A626" s="45"/>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x14ac:dyDescent="0.2">
      <c r="A627" s="45"/>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x14ac:dyDescent="0.2">
      <c r="A628" s="45"/>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x14ac:dyDescent="0.2">
      <c r="A629" s="45"/>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x14ac:dyDescent="0.2">
      <c r="A630" s="45"/>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x14ac:dyDescent="0.2">
      <c r="A631" s="45"/>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x14ac:dyDescent="0.2">
      <c r="A632" s="45"/>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x14ac:dyDescent="0.2">
      <c r="A633" s="45"/>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x14ac:dyDescent="0.2">
      <c r="A634" s="45"/>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x14ac:dyDescent="0.2">
      <c r="A635" s="45"/>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x14ac:dyDescent="0.2">
      <c r="A636" s="45"/>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x14ac:dyDescent="0.2">
      <c r="A637" s="45"/>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x14ac:dyDescent="0.2">
      <c r="A638" s="45"/>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x14ac:dyDescent="0.2">
      <c r="A639" s="45"/>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x14ac:dyDescent="0.2">
      <c r="A640" s="45"/>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x14ac:dyDescent="0.2">
      <c r="A641" s="45"/>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x14ac:dyDescent="0.2">
      <c r="A642" s="45"/>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x14ac:dyDescent="0.2">
      <c r="A643" s="45"/>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x14ac:dyDescent="0.2">
      <c r="A644" s="45"/>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x14ac:dyDescent="0.2">
      <c r="A645" s="45"/>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x14ac:dyDescent="0.2">
      <c r="A646" s="45"/>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x14ac:dyDescent="0.2">
      <c r="A647" s="45"/>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x14ac:dyDescent="0.2">
      <c r="A648" s="45"/>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x14ac:dyDescent="0.2">
      <c r="A649" s="45"/>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x14ac:dyDescent="0.2">
      <c r="A650" s="45"/>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x14ac:dyDescent="0.2">
      <c r="A651" s="45"/>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x14ac:dyDescent="0.2">
      <c r="A652" s="45"/>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x14ac:dyDescent="0.2">
      <c r="A653" s="45"/>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x14ac:dyDescent="0.2">
      <c r="A654" s="45"/>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x14ac:dyDescent="0.2">
      <c r="A655" s="45"/>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x14ac:dyDescent="0.2">
      <c r="A656" s="45"/>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x14ac:dyDescent="0.2">
      <c r="A657" s="45"/>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x14ac:dyDescent="0.2">
      <c r="A658" s="45"/>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x14ac:dyDescent="0.2">
      <c r="A659" s="45"/>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x14ac:dyDescent="0.2">
      <c r="A660" s="45"/>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x14ac:dyDescent="0.2">
      <c r="A661" s="45"/>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x14ac:dyDescent="0.2">
      <c r="A662" s="45"/>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x14ac:dyDescent="0.2">
      <c r="A663" s="45"/>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x14ac:dyDescent="0.2">
      <c r="A664" s="45"/>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x14ac:dyDescent="0.2">
      <c r="A665" s="45"/>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x14ac:dyDescent="0.2">
      <c r="A666" s="45"/>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x14ac:dyDescent="0.2">
      <c r="A667" s="45"/>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x14ac:dyDescent="0.2">
      <c r="A668" s="45"/>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x14ac:dyDescent="0.2">
      <c r="A669" s="45"/>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x14ac:dyDescent="0.2">
      <c r="A670" s="45"/>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x14ac:dyDescent="0.2">
      <c r="A671" s="45"/>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x14ac:dyDescent="0.2">
      <c r="A672" s="45"/>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x14ac:dyDescent="0.2">
      <c r="A673" s="45"/>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x14ac:dyDescent="0.2">
      <c r="A674" s="45"/>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x14ac:dyDescent="0.2">
      <c r="A675" s="45"/>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x14ac:dyDescent="0.2">
      <c r="A676" s="45"/>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x14ac:dyDescent="0.2">
      <c r="A677" s="45"/>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x14ac:dyDescent="0.2">
      <c r="A678" s="45"/>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x14ac:dyDescent="0.2">
      <c r="A679" s="45"/>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x14ac:dyDescent="0.2">
      <c r="A680" s="45"/>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x14ac:dyDescent="0.2">
      <c r="A681" s="45"/>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x14ac:dyDescent="0.2">
      <c r="A682" s="45"/>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x14ac:dyDescent="0.2">
      <c r="A683" s="45"/>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x14ac:dyDescent="0.2">
      <c r="A684" s="45"/>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x14ac:dyDescent="0.2">
      <c r="A685" s="45"/>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x14ac:dyDescent="0.2">
      <c r="A686" s="45"/>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x14ac:dyDescent="0.2">
      <c r="A687" s="45"/>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x14ac:dyDescent="0.2">
      <c r="A688" s="45"/>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x14ac:dyDescent="0.2">
      <c r="A689" s="45"/>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x14ac:dyDescent="0.2">
      <c r="A690" s="45"/>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x14ac:dyDescent="0.2">
      <c r="A691" s="45"/>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x14ac:dyDescent="0.2">
      <c r="A692" s="45"/>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x14ac:dyDescent="0.2">
      <c r="A693" s="45"/>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x14ac:dyDescent="0.2">
      <c r="A694" s="45"/>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x14ac:dyDescent="0.2">
      <c r="A695" s="45"/>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x14ac:dyDescent="0.2">
      <c r="A696" s="45"/>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x14ac:dyDescent="0.2">
      <c r="A697" s="45"/>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x14ac:dyDescent="0.2">
      <c r="A698" s="45"/>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x14ac:dyDescent="0.2">
      <c r="A699" s="45"/>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x14ac:dyDescent="0.2">
      <c r="A700" s="45"/>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x14ac:dyDescent="0.2">
      <c r="A701" s="45"/>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x14ac:dyDescent="0.2">
      <c r="A702" s="45"/>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x14ac:dyDescent="0.2">
      <c r="A703" s="45"/>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x14ac:dyDescent="0.2">
      <c r="A704" s="45"/>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x14ac:dyDescent="0.2">
      <c r="A705" s="45"/>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x14ac:dyDescent="0.2">
      <c r="A706" s="45"/>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x14ac:dyDescent="0.2">
      <c r="A707" s="45"/>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x14ac:dyDescent="0.2">
      <c r="A708" s="45"/>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x14ac:dyDescent="0.2">
      <c r="A709" s="45"/>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x14ac:dyDescent="0.2">
      <c r="A710" s="45"/>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x14ac:dyDescent="0.2">
      <c r="A711" s="45"/>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x14ac:dyDescent="0.2">
      <c r="A712" s="45"/>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x14ac:dyDescent="0.2">
      <c r="A713" s="45"/>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x14ac:dyDescent="0.2">
      <c r="A714" s="45"/>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x14ac:dyDescent="0.2">
      <c r="A715" s="45"/>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x14ac:dyDescent="0.2">
      <c r="A716" s="45"/>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x14ac:dyDescent="0.2">
      <c r="A717" s="45"/>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x14ac:dyDescent="0.2">
      <c r="A718" s="45"/>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x14ac:dyDescent="0.2">
      <c r="A719" s="45"/>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x14ac:dyDescent="0.2">
      <c r="A720" s="45"/>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x14ac:dyDescent="0.2">
      <c r="A721" s="45"/>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x14ac:dyDescent="0.2">
      <c r="A722" s="45"/>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x14ac:dyDescent="0.2">
      <c r="A723" s="45"/>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x14ac:dyDescent="0.2">
      <c r="A724" s="45"/>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x14ac:dyDescent="0.2">
      <c r="A725" s="45"/>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x14ac:dyDescent="0.2">
      <c r="A726" s="45"/>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x14ac:dyDescent="0.2">
      <c r="A727" s="45"/>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x14ac:dyDescent="0.2">
      <c r="A728" s="45"/>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x14ac:dyDescent="0.2">
      <c r="A729" s="45"/>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x14ac:dyDescent="0.2">
      <c r="A730" s="45"/>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x14ac:dyDescent="0.2">
      <c r="A731" s="45"/>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x14ac:dyDescent="0.2">
      <c r="A732" s="45"/>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x14ac:dyDescent="0.2">
      <c r="A733" s="45"/>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x14ac:dyDescent="0.2">
      <c r="A734" s="45"/>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x14ac:dyDescent="0.2">
      <c r="A735" s="45"/>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x14ac:dyDescent="0.2">
      <c r="A736" s="45"/>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x14ac:dyDescent="0.2">
      <c r="A737" s="45"/>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x14ac:dyDescent="0.2">
      <c r="A738" s="45"/>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x14ac:dyDescent="0.2">
      <c r="A739" s="45"/>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x14ac:dyDescent="0.2">
      <c r="A740" s="45"/>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x14ac:dyDescent="0.2">
      <c r="A741" s="45"/>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x14ac:dyDescent="0.2">
      <c r="A742" s="45"/>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x14ac:dyDescent="0.2">
      <c r="A743" s="45"/>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x14ac:dyDescent="0.2">
      <c r="A744" s="45"/>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x14ac:dyDescent="0.2">
      <c r="A745" s="45"/>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x14ac:dyDescent="0.2">
      <c r="A746" s="45"/>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x14ac:dyDescent="0.2">
      <c r="A747" s="45"/>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x14ac:dyDescent="0.2">
      <c r="A748" s="45"/>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x14ac:dyDescent="0.2">
      <c r="A749" s="45"/>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x14ac:dyDescent="0.2">
      <c r="A750" s="45"/>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x14ac:dyDescent="0.2">
      <c r="A751" s="45"/>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x14ac:dyDescent="0.2">
      <c r="A752" s="45"/>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x14ac:dyDescent="0.2">
      <c r="A753" s="45"/>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x14ac:dyDescent="0.2">
      <c r="A754" s="45"/>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x14ac:dyDescent="0.2">
      <c r="A755" s="45"/>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x14ac:dyDescent="0.2">
      <c r="A756" s="45"/>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x14ac:dyDescent="0.2">
      <c r="A757" s="45"/>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x14ac:dyDescent="0.2">
      <c r="A758" s="45"/>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x14ac:dyDescent="0.2">
      <c r="A759" s="45"/>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x14ac:dyDescent="0.2">
      <c r="A760" s="45"/>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x14ac:dyDescent="0.2">
      <c r="A761" s="45"/>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x14ac:dyDescent="0.2">
      <c r="A762" s="45"/>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x14ac:dyDescent="0.2">
      <c r="A763" s="45"/>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x14ac:dyDescent="0.2">
      <c r="A764" s="45"/>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x14ac:dyDescent="0.2">
      <c r="A765" s="45"/>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x14ac:dyDescent="0.2">
      <c r="A766" s="45"/>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x14ac:dyDescent="0.2">
      <c r="A767" s="45"/>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x14ac:dyDescent="0.2">
      <c r="A768" s="45"/>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x14ac:dyDescent="0.2">
      <c r="A769" s="45"/>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x14ac:dyDescent="0.2">
      <c r="A770" s="45"/>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x14ac:dyDescent="0.2">
      <c r="A771" s="45"/>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x14ac:dyDescent="0.2">
      <c r="A772" s="45"/>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x14ac:dyDescent="0.2">
      <c r="A773" s="45"/>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x14ac:dyDescent="0.2">
      <c r="A774" s="45"/>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x14ac:dyDescent="0.2">
      <c r="A775" s="45"/>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x14ac:dyDescent="0.2">
      <c r="A776" s="45"/>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x14ac:dyDescent="0.2">
      <c r="A777" s="45"/>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x14ac:dyDescent="0.2">
      <c r="A778" s="45"/>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x14ac:dyDescent="0.2">
      <c r="A779" s="45"/>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x14ac:dyDescent="0.2">
      <c r="A780" s="45"/>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x14ac:dyDescent="0.2">
      <c r="A781" s="45"/>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x14ac:dyDescent="0.2">
      <c r="A782" s="45"/>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x14ac:dyDescent="0.2">
      <c r="A783" s="45"/>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x14ac:dyDescent="0.2">
      <c r="A784" s="45"/>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x14ac:dyDescent="0.2">
      <c r="A785" s="45"/>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x14ac:dyDescent="0.2">
      <c r="A786" s="45"/>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x14ac:dyDescent="0.2">
      <c r="A787" s="45"/>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x14ac:dyDescent="0.2">
      <c r="A788" s="45"/>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x14ac:dyDescent="0.2">
      <c r="A789" s="45"/>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x14ac:dyDescent="0.2">
      <c r="A790" s="45"/>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x14ac:dyDescent="0.2">
      <c r="A791" s="45"/>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x14ac:dyDescent="0.2">
      <c r="A792" s="45"/>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x14ac:dyDescent="0.2">
      <c r="A793" s="45"/>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x14ac:dyDescent="0.2">
      <c r="A794" s="45"/>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x14ac:dyDescent="0.2">
      <c r="A795" s="45"/>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x14ac:dyDescent="0.2">
      <c r="A796" s="45"/>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x14ac:dyDescent="0.2">
      <c r="A797" s="45"/>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x14ac:dyDescent="0.2">
      <c r="A798" s="45"/>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x14ac:dyDescent="0.2">
      <c r="A799" s="45"/>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x14ac:dyDescent="0.2">
      <c r="A800" s="45"/>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x14ac:dyDescent="0.2">
      <c r="A801" s="45"/>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x14ac:dyDescent="0.2">
      <c r="A802" s="45"/>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x14ac:dyDescent="0.2">
      <c r="A803" s="45"/>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x14ac:dyDescent="0.2">
      <c r="A804" s="45"/>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x14ac:dyDescent="0.2">
      <c r="A805" s="45"/>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x14ac:dyDescent="0.2">
      <c r="A806" s="45"/>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x14ac:dyDescent="0.2">
      <c r="A807" s="45"/>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x14ac:dyDescent="0.2">
      <c r="A808" s="45"/>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x14ac:dyDescent="0.2">
      <c r="A809" s="45"/>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x14ac:dyDescent="0.2">
      <c r="A810" s="45"/>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x14ac:dyDescent="0.2">
      <c r="A811" s="45"/>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x14ac:dyDescent="0.2">
      <c r="A812" s="45"/>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x14ac:dyDescent="0.2">
      <c r="A813" s="45"/>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x14ac:dyDescent="0.2">
      <c r="A814" s="45"/>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x14ac:dyDescent="0.2">
      <c r="A815" s="45"/>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x14ac:dyDescent="0.2">
      <c r="A816" s="45"/>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x14ac:dyDescent="0.2">
      <c r="A817" s="45"/>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x14ac:dyDescent="0.2">
      <c r="A818" s="45"/>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x14ac:dyDescent="0.2">
      <c r="A819" s="45"/>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x14ac:dyDescent="0.2">
      <c r="A820" s="45"/>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x14ac:dyDescent="0.2">
      <c r="A821" s="45"/>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x14ac:dyDescent="0.2">
      <c r="A822" s="45"/>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x14ac:dyDescent="0.2">
      <c r="A823" s="45"/>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x14ac:dyDescent="0.2">
      <c r="A824" s="45"/>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x14ac:dyDescent="0.2">
      <c r="A825" s="45"/>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x14ac:dyDescent="0.2">
      <c r="A826" s="45"/>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x14ac:dyDescent="0.2">
      <c r="A827" s="45"/>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x14ac:dyDescent="0.2">
      <c r="A828" s="45"/>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x14ac:dyDescent="0.2">
      <c r="A829" s="45"/>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x14ac:dyDescent="0.2">
      <c r="A830" s="45"/>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x14ac:dyDescent="0.2">
      <c r="A831" s="45"/>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x14ac:dyDescent="0.2">
      <c r="A832" s="45"/>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x14ac:dyDescent="0.2">
      <c r="A833" s="45"/>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x14ac:dyDescent="0.2">
      <c r="A834" s="45"/>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x14ac:dyDescent="0.2">
      <c r="A835" s="45"/>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x14ac:dyDescent="0.2">
      <c r="A836" s="45"/>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x14ac:dyDescent="0.2">
      <c r="A837" s="45"/>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x14ac:dyDescent="0.2">
      <c r="A838" s="45"/>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x14ac:dyDescent="0.2">
      <c r="A839" s="45"/>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x14ac:dyDescent="0.2">
      <c r="A840" s="45"/>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x14ac:dyDescent="0.2">
      <c r="A841" s="45"/>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x14ac:dyDescent="0.2">
      <c r="A842" s="45"/>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x14ac:dyDescent="0.2">
      <c r="A843" s="45"/>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x14ac:dyDescent="0.2">
      <c r="A844" s="45"/>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x14ac:dyDescent="0.2">
      <c r="A845" s="45"/>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x14ac:dyDescent="0.2">
      <c r="A846" s="45"/>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x14ac:dyDescent="0.2">
      <c r="A847" s="45"/>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x14ac:dyDescent="0.2">
      <c r="A848" s="45"/>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x14ac:dyDescent="0.2">
      <c r="A849" s="45"/>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x14ac:dyDescent="0.2">
      <c r="A850" s="45"/>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x14ac:dyDescent="0.2">
      <c r="A851" s="45"/>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x14ac:dyDescent="0.2">
      <c r="A852" s="45"/>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x14ac:dyDescent="0.2">
      <c r="A853" s="45"/>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x14ac:dyDescent="0.2">
      <c r="A854" s="45"/>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x14ac:dyDescent="0.2">
      <c r="A855" s="45"/>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x14ac:dyDescent="0.2">
      <c r="A856" s="45"/>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x14ac:dyDescent="0.2">
      <c r="A857" s="45"/>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x14ac:dyDescent="0.2">
      <c r="A858" s="45"/>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x14ac:dyDescent="0.2">
      <c r="A859" s="45"/>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x14ac:dyDescent="0.2">
      <c r="A860" s="45"/>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x14ac:dyDescent="0.2">
      <c r="A861" s="45"/>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x14ac:dyDescent="0.2">
      <c r="A862" s="45"/>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x14ac:dyDescent="0.2">
      <c r="A863" s="45"/>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x14ac:dyDescent="0.2">
      <c r="A864" s="45"/>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x14ac:dyDescent="0.2">
      <c r="A865" s="45"/>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x14ac:dyDescent="0.2">
      <c r="A866" s="45"/>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x14ac:dyDescent="0.2">
      <c r="A867" s="45"/>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x14ac:dyDescent="0.2">
      <c r="A868" s="45"/>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x14ac:dyDescent="0.2">
      <c r="A869" s="45"/>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x14ac:dyDescent="0.2">
      <c r="A870" s="45"/>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x14ac:dyDescent="0.2">
      <c r="A871" s="45"/>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x14ac:dyDescent="0.2">
      <c r="A872" s="45"/>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x14ac:dyDescent="0.2">
      <c r="A873" s="45"/>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x14ac:dyDescent="0.2">
      <c r="A874" s="45"/>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x14ac:dyDescent="0.2">
      <c r="A875" s="45"/>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x14ac:dyDescent="0.2">
      <c r="A876" s="45"/>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x14ac:dyDescent="0.2">
      <c r="A877" s="45"/>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x14ac:dyDescent="0.2">
      <c r="A878" s="45"/>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x14ac:dyDescent="0.2">
      <c r="A879" s="45"/>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x14ac:dyDescent="0.2">
      <c r="A880" s="45"/>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x14ac:dyDescent="0.2">
      <c r="A881" s="45"/>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x14ac:dyDescent="0.2">
      <c r="A882" s="45"/>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x14ac:dyDescent="0.2">
      <c r="A883" s="45"/>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x14ac:dyDescent="0.2">
      <c r="A884" s="45"/>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x14ac:dyDescent="0.2">
      <c r="A885" s="45"/>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x14ac:dyDescent="0.2">
      <c r="A886" s="45"/>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x14ac:dyDescent="0.2">
      <c r="A887" s="45"/>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x14ac:dyDescent="0.2">
      <c r="A888" s="45"/>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x14ac:dyDescent="0.2">
      <c r="A889" s="45"/>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x14ac:dyDescent="0.2">
      <c r="A890" s="45"/>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x14ac:dyDescent="0.2">
      <c r="A891" s="45"/>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x14ac:dyDescent="0.2">
      <c r="A892" s="45"/>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x14ac:dyDescent="0.2">
      <c r="A893" s="45"/>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x14ac:dyDescent="0.2">
      <c r="A894" s="45"/>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x14ac:dyDescent="0.2">
      <c r="A895" s="45"/>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x14ac:dyDescent="0.2">
      <c r="A896" s="45"/>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x14ac:dyDescent="0.2">
      <c r="A897" s="45"/>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x14ac:dyDescent="0.2">
      <c r="A898" s="45"/>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x14ac:dyDescent="0.2">
      <c r="A899" s="45"/>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x14ac:dyDescent="0.2">
      <c r="A900" s="45"/>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x14ac:dyDescent="0.2">
      <c r="A901" s="45"/>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x14ac:dyDescent="0.2">
      <c r="A902" s="45"/>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x14ac:dyDescent="0.2">
      <c r="A903" s="45"/>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x14ac:dyDescent="0.2">
      <c r="A904" s="45"/>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x14ac:dyDescent="0.2">
      <c r="A905" s="45"/>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x14ac:dyDescent="0.2">
      <c r="A906" s="45"/>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x14ac:dyDescent="0.2">
      <c r="A907" s="45"/>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x14ac:dyDescent="0.2">
      <c r="A908" s="45"/>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x14ac:dyDescent="0.2">
      <c r="A909" s="45"/>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x14ac:dyDescent="0.2">
      <c r="A910" s="45"/>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x14ac:dyDescent="0.2">
      <c r="A911" s="45"/>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x14ac:dyDescent="0.2">
      <c r="A912" s="45"/>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x14ac:dyDescent="0.2">
      <c r="A913" s="45"/>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x14ac:dyDescent="0.2">
      <c r="A914" s="45"/>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x14ac:dyDescent="0.2">
      <c r="A915" s="45"/>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x14ac:dyDescent="0.2">
      <c r="A916" s="45"/>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x14ac:dyDescent="0.2">
      <c r="A917" s="45"/>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x14ac:dyDescent="0.2">
      <c r="A918" s="45"/>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x14ac:dyDescent="0.2">
      <c r="A919" s="45"/>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x14ac:dyDescent="0.2">
      <c r="A920" s="45"/>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x14ac:dyDescent="0.2">
      <c r="A921" s="45"/>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x14ac:dyDescent="0.2">
      <c r="A922" s="45"/>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x14ac:dyDescent="0.2">
      <c r="A923" s="45"/>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x14ac:dyDescent="0.2">
      <c r="A924" s="45"/>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x14ac:dyDescent="0.2">
      <c r="A925" s="45"/>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x14ac:dyDescent="0.2">
      <c r="A926" s="45"/>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x14ac:dyDescent="0.2">
      <c r="A927" s="45"/>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x14ac:dyDescent="0.2">
      <c r="A928" s="45"/>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x14ac:dyDescent="0.2">
      <c r="A929" s="45"/>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x14ac:dyDescent="0.2">
      <c r="A930" s="45"/>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x14ac:dyDescent="0.2">
      <c r="A931" s="45"/>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x14ac:dyDescent="0.2">
      <c r="A932" s="45"/>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x14ac:dyDescent="0.2">
      <c r="A933" s="45"/>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x14ac:dyDescent="0.2">
      <c r="A934" s="45"/>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x14ac:dyDescent="0.2">
      <c r="A935" s="45"/>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x14ac:dyDescent="0.2">
      <c r="A936" s="45"/>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x14ac:dyDescent="0.2">
      <c r="A937" s="45"/>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x14ac:dyDescent="0.2">
      <c r="A938" s="45"/>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x14ac:dyDescent="0.2">
      <c r="A939" s="45"/>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x14ac:dyDescent="0.2">
      <c r="A940" s="45"/>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x14ac:dyDescent="0.2">
      <c r="A941" s="45"/>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x14ac:dyDescent="0.2">
      <c r="A942" s="45"/>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x14ac:dyDescent="0.2">
      <c r="A943" s="45"/>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x14ac:dyDescent="0.2">
      <c r="A944" s="45"/>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x14ac:dyDescent="0.2">
      <c r="A945" s="45"/>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x14ac:dyDescent="0.2">
      <c r="A946" s="45"/>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x14ac:dyDescent="0.2">
      <c r="A947" s="45"/>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x14ac:dyDescent="0.2">
      <c r="A948" s="45"/>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x14ac:dyDescent="0.2">
      <c r="A949" s="45"/>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x14ac:dyDescent="0.2">
      <c r="A950" s="45"/>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x14ac:dyDescent="0.2">
      <c r="A951" s="45"/>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x14ac:dyDescent="0.2">
      <c r="A952" s="45"/>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x14ac:dyDescent="0.2">
      <c r="A953" s="45"/>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x14ac:dyDescent="0.2">
      <c r="A954" s="45"/>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x14ac:dyDescent="0.2">
      <c r="A955" s="45"/>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x14ac:dyDescent="0.2">
      <c r="A956" s="45"/>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x14ac:dyDescent="0.2">
      <c r="A957" s="45"/>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x14ac:dyDescent="0.2">
      <c r="A958" s="45"/>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x14ac:dyDescent="0.2">
      <c r="A959" s="45"/>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x14ac:dyDescent="0.2">
      <c r="A960" s="45"/>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x14ac:dyDescent="0.2">
      <c r="A961" s="45"/>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x14ac:dyDescent="0.2">
      <c r="A962" s="45"/>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x14ac:dyDescent="0.2">
      <c r="A963" s="45"/>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x14ac:dyDescent="0.2">
      <c r="A964" s="45"/>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x14ac:dyDescent="0.2">
      <c r="A965" s="45"/>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x14ac:dyDescent="0.2">
      <c r="A966" s="45"/>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x14ac:dyDescent="0.2">
      <c r="A967" s="45"/>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x14ac:dyDescent="0.2">
      <c r="A968" s="45"/>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x14ac:dyDescent="0.2">
      <c r="A969" s="45"/>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x14ac:dyDescent="0.2">
      <c r="A970" s="45"/>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x14ac:dyDescent="0.2">
      <c r="A971" s="45"/>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x14ac:dyDescent="0.2">
      <c r="A972" s="45"/>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x14ac:dyDescent="0.2">
      <c r="A973" s="45"/>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row r="974" spans="1:24" x14ac:dyDescent="0.2">
      <c r="A974" s="45"/>
      <c r="B974" s="46"/>
      <c r="C974" s="46"/>
      <c r="D974" s="46"/>
      <c r="E974" s="46"/>
      <c r="F974" s="46"/>
      <c r="G974" s="46"/>
      <c r="H974" s="46"/>
      <c r="I974" s="46"/>
      <c r="J974" s="46"/>
      <c r="K974" s="46"/>
      <c r="L974" s="46"/>
      <c r="M974" s="46"/>
      <c r="N974" s="46"/>
      <c r="O974" s="46"/>
      <c r="P974" s="46"/>
      <c r="Q974" s="46"/>
      <c r="R974" s="46"/>
      <c r="S974" s="46"/>
      <c r="T974" s="46"/>
      <c r="U974" s="46"/>
      <c r="V974" s="46"/>
      <c r="W974" s="46"/>
      <c r="X974" s="46"/>
    </row>
    <row r="975" spans="1:24" x14ac:dyDescent="0.2">
      <c r="A975" s="45"/>
      <c r="B975" s="46"/>
      <c r="C975" s="46"/>
      <c r="D975" s="46"/>
      <c r="E975" s="46"/>
      <c r="F975" s="46"/>
      <c r="G975" s="46"/>
      <c r="H975" s="46"/>
      <c r="I975" s="46"/>
      <c r="J975" s="46"/>
      <c r="K975" s="46"/>
      <c r="L975" s="46"/>
      <c r="M975" s="46"/>
      <c r="N975" s="46"/>
      <c r="O975" s="46"/>
      <c r="P975" s="46"/>
      <c r="Q975" s="46"/>
      <c r="R975" s="46"/>
      <c r="S975" s="46"/>
      <c r="T975" s="46"/>
      <c r="U975" s="46"/>
      <c r="V975" s="46"/>
      <c r="W975" s="46"/>
      <c r="X975" s="46"/>
    </row>
    <row r="976" spans="1:24" x14ac:dyDescent="0.2">
      <c r="A976" s="45"/>
      <c r="B976" s="46"/>
      <c r="C976" s="46"/>
      <c r="D976" s="46"/>
      <c r="E976" s="46"/>
      <c r="F976" s="46"/>
      <c r="G976" s="46"/>
      <c r="H976" s="46"/>
      <c r="I976" s="46"/>
      <c r="J976" s="46"/>
      <c r="K976" s="46"/>
      <c r="L976" s="46"/>
      <c r="M976" s="46"/>
      <c r="N976" s="46"/>
      <c r="O976" s="46"/>
      <c r="P976" s="46"/>
      <c r="Q976" s="46"/>
      <c r="R976" s="46"/>
      <c r="S976" s="46"/>
      <c r="T976" s="46"/>
      <c r="U976" s="46"/>
      <c r="V976" s="46"/>
      <c r="W976" s="46"/>
      <c r="X976" s="46"/>
    </row>
    <row r="977" spans="1:24" x14ac:dyDescent="0.2">
      <c r="A977" s="45"/>
      <c r="B977" s="46"/>
      <c r="C977" s="46"/>
      <c r="D977" s="46"/>
      <c r="E977" s="46"/>
      <c r="F977" s="46"/>
      <c r="G977" s="46"/>
      <c r="H977" s="46"/>
      <c r="I977" s="46"/>
      <c r="J977" s="46"/>
      <c r="K977" s="46"/>
      <c r="L977" s="46"/>
      <c r="M977" s="46"/>
      <c r="N977" s="46"/>
      <c r="O977" s="46"/>
      <c r="P977" s="46"/>
      <c r="Q977" s="46"/>
      <c r="R977" s="46"/>
      <c r="S977" s="46"/>
      <c r="T977" s="46"/>
      <c r="U977" s="46"/>
      <c r="V977" s="46"/>
      <c r="W977" s="46"/>
      <c r="X977" s="46"/>
    </row>
    <row r="978" spans="1:24" x14ac:dyDescent="0.2">
      <c r="A978" s="45"/>
      <c r="B978" s="46"/>
      <c r="C978" s="46"/>
      <c r="D978" s="46"/>
      <c r="E978" s="46"/>
      <c r="F978" s="46"/>
      <c r="G978" s="46"/>
      <c r="H978" s="46"/>
      <c r="I978" s="46"/>
      <c r="J978" s="46"/>
      <c r="K978" s="46"/>
      <c r="L978" s="46"/>
      <c r="M978" s="46"/>
      <c r="N978" s="46"/>
      <c r="O978" s="46"/>
      <c r="P978" s="46"/>
      <c r="Q978" s="46"/>
      <c r="R978" s="46"/>
      <c r="S978" s="46"/>
      <c r="T978" s="46"/>
      <c r="U978" s="46"/>
      <c r="V978" s="46"/>
      <c r="W978" s="46"/>
      <c r="X978" s="46"/>
    </row>
    <row r="979" spans="1:24" x14ac:dyDescent="0.2">
      <c r="A979" s="45"/>
      <c r="B979" s="46"/>
      <c r="C979" s="46"/>
      <c r="D979" s="46"/>
      <c r="E979" s="46"/>
      <c r="F979" s="46"/>
      <c r="G979" s="46"/>
      <c r="H979" s="46"/>
      <c r="I979" s="46"/>
      <c r="J979" s="46"/>
      <c r="K979" s="46"/>
      <c r="L979" s="46"/>
      <c r="M979" s="46"/>
      <c r="N979" s="46"/>
      <c r="O979" s="46"/>
      <c r="P979" s="46"/>
      <c r="Q979" s="46"/>
      <c r="R979" s="46"/>
      <c r="S979" s="46"/>
      <c r="T979" s="46"/>
      <c r="U979" s="46"/>
      <c r="V979" s="46"/>
      <c r="W979" s="46"/>
      <c r="X979" s="46"/>
    </row>
    <row r="980" spans="1:24" x14ac:dyDescent="0.2">
      <c r="A980" s="45"/>
      <c r="B980" s="46"/>
      <c r="C980" s="46"/>
      <c r="D980" s="46"/>
      <c r="E980" s="46"/>
      <c r="F980" s="46"/>
      <c r="G980" s="46"/>
      <c r="H980" s="46"/>
      <c r="I980" s="46"/>
      <c r="J980" s="46"/>
      <c r="K980" s="46"/>
      <c r="L980" s="46"/>
      <c r="M980" s="46"/>
      <c r="N980" s="46"/>
      <c r="O980" s="46"/>
      <c r="P980" s="46"/>
      <c r="Q980" s="46"/>
      <c r="R980" s="46"/>
      <c r="S980" s="46"/>
      <c r="T980" s="46"/>
      <c r="U980" s="46"/>
      <c r="V980" s="46"/>
      <c r="W980" s="46"/>
      <c r="X980" s="46"/>
    </row>
    <row r="981" spans="1:24" x14ac:dyDescent="0.2">
      <c r="A981" s="45"/>
      <c r="B981" s="46"/>
      <c r="C981" s="46"/>
      <c r="D981" s="46"/>
      <c r="E981" s="46"/>
      <c r="F981" s="46"/>
      <c r="G981" s="46"/>
      <c r="H981" s="46"/>
      <c r="I981" s="46"/>
      <c r="J981" s="46"/>
      <c r="K981" s="46"/>
      <c r="L981" s="46"/>
      <c r="M981" s="46"/>
      <c r="N981" s="46"/>
      <c r="O981" s="46"/>
      <c r="P981" s="46"/>
      <c r="Q981" s="46"/>
      <c r="R981" s="46"/>
      <c r="S981" s="46"/>
      <c r="T981" s="46"/>
      <c r="U981" s="46"/>
      <c r="V981" s="46"/>
      <c r="W981" s="46"/>
      <c r="X981" s="46"/>
    </row>
    <row r="982" spans="1:24" x14ac:dyDescent="0.2">
      <c r="A982" s="45"/>
      <c r="B982" s="46"/>
      <c r="C982" s="46"/>
      <c r="D982" s="46"/>
      <c r="E982" s="46"/>
      <c r="F982" s="46"/>
      <c r="G982" s="46"/>
      <c r="H982" s="46"/>
      <c r="I982" s="46"/>
      <c r="J982" s="46"/>
      <c r="K982" s="46"/>
      <c r="L982" s="46"/>
      <c r="M982" s="46"/>
      <c r="N982" s="46"/>
      <c r="O982" s="46"/>
      <c r="P982" s="46"/>
      <c r="Q982" s="46"/>
      <c r="R982" s="46"/>
      <c r="S982" s="46"/>
      <c r="T982" s="46"/>
      <c r="U982" s="46"/>
      <c r="V982" s="46"/>
      <c r="W982" s="46"/>
      <c r="X982" s="46"/>
    </row>
    <row r="983" spans="1:24" x14ac:dyDescent="0.2">
      <c r="A983" s="45"/>
      <c r="B983" s="46"/>
      <c r="C983" s="46"/>
      <c r="D983" s="46"/>
      <c r="E983" s="46"/>
      <c r="F983" s="46"/>
      <c r="G983" s="46"/>
      <c r="H983" s="46"/>
      <c r="I983" s="46"/>
      <c r="J983" s="46"/>
      <c r="K983" s="46"/>
      <c r="L983" s="46"/>
      <c r="M983" s="46"/>
      <c r="N983" s="46"/>
      <c r="O983" s="46"/>
      <c r="P983" s="46"/>
      <c r="Q983" s="46"/>
      <c r="R983" s="46"/>
      <c r="S983" s="46"/>
      <c r="T983" s="46"/>
      <c r="U983" s="46"/>
      <c r="V983" s="46"/>
      <c r="W983" s="46"/>
      <c r="X983" s="46"/>
    </row>
    <row r="984" spans="1:24" x14ac:dyDescent="0.2">
      <c r="A984" s="45"/>
      <c r="B984" s="46"/>
      <c r="C984" s="46"/>
      <c r="D984" s="46"/>
      <c r="E984" s="46"/>
      <c r="F984" s="46"/>
      <c r="G984" s="46"/>
      <c r="H984" s="46"/>
      <c r="I984" s="46"/>
      <c r="J984" s="46"/>
      <c r="K984" s="46"/>
      <c r="L984" s="46"/>
      <c r="M984" s="46"/>
      <c r="N984" s="46"/>
      <c r="O984" s="46"/>
      <c r="P984" s="46"/>
      <c r="Q984" s="46"/>
      <c r="R984" s="46"/>
      <c r="S984" s="46"/>
      <c r="T984" s="46"/>
      <c r="U984" s="46"/>
      <c r="V984" s="46"/>
      <c r="W984" s="46"/>
      <c r="X984" s="46"/>
    </row>
    <row r="985" spans="1:24" x14ac:dyDescent="0.2">
      <c r="A985" s="45"/>
      <c r="B985" s="46"/>
      <c r="C985" s="46"/>
      <c r="D985" s="46"/>
      <c r="E985" s="46"/>
      <c r="F985" s="46"/>
      <c r="G985" s="46"/>
      <c r="H985" s="46"/>
      <c r="I985" s="46"/>
      <c r="J985" s="46"/>
      <c r="K985" s="46"/>
      <c r="L985" s="46"/>
      <c r="M985" s="46"/>
      <c r="N985" s="46"/>
      <c r="O985" s="46"/>
      <c r="P985" s="46"/>
      <c r="Q985" s="46"/>
      <c r="R985" s="46"/>
      <c r="S985" s="46"/>
      <c r="T985" s="46"/>
      <c r="U985" s="46"/>
      <c r="V985" s="46"/>
      <c r="W985" s="46"/>
      <c r="X985" s="46"/>
    </row>
    <row r="986" spans="1:24" x14ac:dyDescent="0.2">
      <c r="A986" s="45"/>
      <c r="B986" s="46"/>
      <c r="C986" s="46"/>
      <c r="D986" s="46"/>
      <c r="E986" s="46"/>
      <c r="F986" s="46"/>
      <c r="G986" s="46"/>
      <c r="H986" s="46"/>
      <c r="I986" s="46"/>
      <c r="J986" s="46"/>
      <c r="K986" s="46"/>
      <c r="L986" s="46"/>
      <c r="M986" s="46"/>
      <c r="N986" s="46"/>
      <c r="O986" s="46"/>
      <c r="P986" s="46"/>
      <c r="Q986" s="46"/>
      <c r="R986" s="46"/>
      <c r="S986" s="46"/>
      <c r="T986" s="46"/>
      <c r="U986" s="46"/>
      <c r="V986" s="46"/>
      <c r="W986" s="46"/>
      <c r="X986" s="46"/>
    </row>
    <row r="987" spans="1:24" x14ac:dyDescent="0.2">
      <c r="A987" s="45"/>
      <c r="B987" s="46"/>
      <c r="C987" s="46"/>
      <c r="D987" s="46"/>
      <c r="E987" s="46"/>
      <c r="F987" s="46"/>
      <c r="G987" s="46"/>
      <c r="H987" s="46"/>
      <c r="I987" s="46"/>
      <c r="J987" s="46"/>
      <c r="K987" s="46"/>
      <c r="L987" s="46"/>
      <c r="M987" s="46"/>
      <c r="N987" s="46"/>
      <c r="O987" s="46"/>
      <c r="P987" s="46"/>
      <c r="Q987" s="46"/>
      <c r="R987" s="46"/>
      <c r="S987" s="46"/>
      <c r="T987" s="46"/>
      <c r="U987" s="46"/>
      <c r="V987" s="46"/>
      <c r="W987" s="46"/>
      <c r="X987" s="46"/>
    </row>
    <row r="988" spans="1:24" x14ac:dyDescent="0.2">
      <c r="A988" s="45"/>
      <c r="B988" s="46"/>
      <c r="C988" s="46"/>
      <c r="D988" s="46"/>
      <c r="E988" s="46"/>
      <c r="F988" s="46"/>
      <c r="G988" s="46"/>
      <c r="H988" s="46"/>
      <c r="I988" s="46"/>
      <c r="J988" s="46"/>
      <c r="K988" s="46"/>
      <c r="L988" s="46"/>
      <c r="M988" s="46"/>
      <c r="N988" s="46"/>
      <c r="O988" s="46"/>
      <c r="P988" s="46"/>
      <c r="Q988" s="46"/>
      <c r="R988" s="46"/>
      <c r="S988" s="46"/>
      <c r="T988" s="46"/>
      <c r="U988" s="46"/>
      <c r="V988" s="46"/>
      <c r="W988" s="46"/>
      <c r="X988" s="46"/>
    </row>
    <row r="989" spans="1:24" x14ac:dyDescent="0.2">
      <c r="A989" s="45"/>
      <c r="B989" s="46"/>
      <c r="C989" s="46"/>
      <c r="D989" s="46"/>
      <c r="E989" s="46"/>
      <c r="F989" s="46"/>
      <c r="G989" s="46"/>
      <c r="H989" s="46"/>
      <c r="I989" s="46"/>
      <c r="J989" s="46"/>
      <c r="K989" s="46"/>
      <c r="L989" s="46"/>
      <c r="M989" s="46"/>
      <c r="N989" s="46"/>
      <c r="O989" s="46"/>
      <c r="P989" s="46"/>
      <c r="Q989" s="46"/>
      <c r="R989" s="46"/>
      <c r="S989" s="46"/>
      <c r="T989" s="46"/>
      <c r="U989" s="46"/>
      <c r="V989" s="46"/>
      <c r="W989" s="46"/>
      <c r="X989" s="46"/>
    </row>
    <row r="990" spans="1:24" x14ac:dyDescent="0.2">
      <c r="A990" s="45"/>
      <c r="B990" s="46"/>
      <c r="C990" s="46"/>
      <c r="D990" s="46"/>
      <c r="E990" s="46"/>
      <c r="F990" s="46"/>
      <c r="G990" s="46"/>
      <c r="H990" s="46"/>
      <c r="I990" s="46"/>
      <c r="J990" s="46"/>
      <c r="K990" s="46"/>
      <c r="L990" s="46"/>
      <c r="M990" s="46"/>
      <c r="N990" s="46"/>
      <c r="O990" s="46"/>
      <c r="P990" s="46"/>
      <c r="Q990" s="46"/>
      <c r="R990" s="46"/>
      <c r="S990" s="46"/>
      <c r="T990" s="46"/>
      <c r="U990" s="46"/>
      <c r="V990" s="46"/>
      <c r="W990" s="46"/>
      <c r="X990" s="46"/>
    </row>
    <row r="991" spans="1:24" x14ac:dyDescent="0.2">
      <c r="A991" s="45"/>
      <c r="B991" s="46"/>
      <c r="C991" s="46"/>
      <c r="D991" s="46"/>
      <c r="E991" s="46"/>
      <c r="F991" s="46"/>
      <c r="G991" s="46"/>
      <c r="H991" s="46"/>
      <c r="I991" s="46"/>
      <c r="J991" s="46"/>
      <c r="K991" s="46"/>
      <c r="L991" s="46"/>
      <c r="M991" s="46"/>
      <c r="N991" s="46"/>
      <c r="O991" s="46"/>
      <c r="P991" s="46"/>
      <c r="Q991" s="46"/>
      <c r="R991" s="46"/>
      <c r="S991" s="46"/>
      <c r="T991" s="46"/>
      <c r="U991" s="46"/>
      <c r="V991" s="46"/>
      <c r="W991" s="46"/>
      <c r="X991" s="46"/>
    </row>
    <row r="992" spans="1:24" x14ac:dyDescent="0.2">
      <c r="A992" s="45"/>
      <c r="B992" s="46"/>
      <c r="C992" s="46"/>
      <c r="D992" s="46"/>
      <c r="E992" s="46"/>
      <c r="F992" s="46"/>
      <c r="G992" s="46"/>
      <c r="H992" s="46"/>
      <c r="I992" s="46"/>
      <c r="J992" s="46"/>
      <c r="K992" s="46"/>
      <c r="L992" s="46"/>
      <c r="M992" s="46"/>
      <c r="N992" s="46"/>
      <c r="O992" s="46"/>
      <c r="P992" s="46"/>
      <c r="Q992" s="46"/>
      <c r="R992" s="46"/>
      <c r="S992" s="46"/>
      <c r="T992" s="46"/>
      <c r="U992" s="46"/>
      <c r="V992" s="46"/>
      <c r="W992" s="46"/>
      <c r="X992" s="46"/>
    </row>
    <row r="993" spans="1:24" x14ac:dyDescent="0.2">
      <c r="A993" s="45"/>
      <c r="B993" s="46"/>
      <c r="C993" s="46"/>
      <c r="D993" s="46"/>
      <c r="E993" s="46"/>
      <c r="F993" s="46"/>
      <c r="G993" s="46"/>
      <c r="H993" s="46"/>
      <c r="I993" s="46"/>
      <c r="J993" s="46"/>
      <c r="K993" s="46"/>
      <c r="L993" s="46"/>
      <c r="M993" s="46"/>
      <c r="N993" s="46"/>
      <c r="O993" s="46"/>
      <c r="P993" s="46"/>
      <c r="Q993" s="46"/>
      <c r="R993" s="46"/>
      <c r="S993" s="46"/>
      <c r="T993" s="46"/>
      <c r="U993" s="46"/>
      <c r="V993" s="46"/>
      <c r="W993" s="46"/>
      <c r="X993" s="46"/>
    </row>
    <row r="994" spans="1:24" x14ac:dyDescent="0.2">
      <c r="A994" s="45"/>
      <c r="B994" s="46"/>
      <c r="C994" s="46"/>
      <c r="D994" s="46"/>
      <c r="E994" s="46"/>
      <c r="F994" s="46"/>
      <c r="G994" s="46"/>
      <c r="H994" s="46"/>
      <c r="I994" s="46"/>
      <c r="J994" s="46"/>
      <c r="K994" s="46"/>
      <c r="L994" s="46"/>
      <c r="M994" s="46"/>
      <c r="N994" s="46"/>
      <c r="O994" s="46"/>
      <c r="P994" s="46"/>
      <c r="Q994" s="46"/>
      <c r="R994" s="46"/>
      <c r="S994" s="46"/>
      <c r="T994" s="46"/>
      <c r="U994" s="46"/>
      <c r="V994" s="46"/>
      <c r="W994" s="46"/>
      <c r="X994" s="46"/>
    </row>
    <row r="995" spans="1:24" x14ac:dyDescent="0.2">
      <c r="A995" s="45"/>
      <c r="B995" s="46"/>
      <c r="C995" s="46"/>
      <c r="D995" s="46"/>
      <c r="E995" s="46"/>
      <c r="F995" s="46"/>
      <c r="G995" s="46"/>
      <c r="H995" s="46"/>
      <c r="I995" s="46"/>
      <c r="J995" s="46"/>
      <c r="K995" s="46"/>
      <c r="L995" s="46"/>
      <c r="M995" s="46"/>
      <c r="N995" s="46"/>
      <c r="O995" s="46"/>
      <c r="P995" s="46"/>
      <c r="Q995" s="46"/>
      <c r="R995" s="46"/>
      <c r="S995" s="46"/>
      <c r="T995" s="46"/>
      <c r="U995" s="46"/>
      <c r="V995" s="46"/>
      <c r="W995" s="46"/>
      <c r="X995" s="46"/>
    </row>
    <row r="996" spans="1:24" x14ac:dyDescent="0.2">
      <c r="A996" s="45"/>
      <c r="B996" s="46"/>
      <c r="C996" s="46"/>
      <c r="D996" s="46"/>
      <c r="E996" s="46"/>
      <c r="F996" s="46"/>
      <c r="G996" s="46"/>
      <c r="H996" s="46"/>
      <c r="I996" s="46"/>
      <c r="J996" s="46"/>
      <c r="K996" s="46"/>
      <c r="L996" s="46"/>
      <c r="M996" s="46"/>
      <c r="N996" s="46"/>
      <c r="O996" s="46"/>
      <c r="P996" s="46"/>
      <c r="Q996" s="46"/>
      <c r="R996" s="46"/>
      <c r="S996" s="46"/>
      <c r="T996" s="46"/>
      <c r="U996" s="46"/>
      <c r="V996" s="46"/>
      <c r="W996" s="46"/>
      <c r="X996" s="46"/>
    </row>
    <row r="997" spans="1:24" x14ac:dyDescent="0.2">
      <c r="A997" s="45"/>
      <c r="B997" s="46"/>
      <c r="C997" s="46"/>
      <c r="D997" s="46"/>
      <c r="E997" s="46"/>
      <c r="F997" s="46"/>
      <c r="G997" s="46"/>
      <c r="H997" s="46"/>
      <c r="I997" s="46"/>
      <c r="J997" s="46"/>
      <c r="K997" s="46"/>
      <c r="L997" s="46"/>
      <c r="M997" s="46"/>
      <c r="N997" s="46"/>
      <c r="O997" s="46"/>
      <c r="P997" s="46"/>
      <c r="Q997" s="46"/>
      <c r="R997" s="46"/>
      <c r="S997" s="46"/>
      <c r="T997" s="46"/>
      <c r="U997" s="46"/>
      <c r="V997" s="46"/>
      <c r="W997" s="46"/>
      <c r="X997" s="46"/>
    </row>
    <row r="998" spans="1:24" x14ac:dyDescent="0.2">
      <c r="A998" s="45"/>
      <c r="B998" s="46"/>
      <c r="C998" s="46"/>
      <c r="D998" s="46"/>
      <c r="E998" s="46"/>
      <c r="F998" s="46"/>
      <c r="G998" s="46"/>
      <c r="H998" s="46"/>
      <c r="I998" s="46"/>
      <c r="J998" s="46"/>
      <c r="K998" s="46"/>
      <c r="L998" s="46"/>
      <c r="M998" s="46"/>
      <c r="N998" s="46"/>
      <c r="O998" s="46"/>
      <c r="P998" s="46"/>
      <c r="Q998" s="46"/>
      <c r="R998" s="46"/>
      <c r="S998" s="46"/>
      <c r="T998" s="46"/>
      <c r="U998" s="46"/>
      <c r="V998" s="46"/>
      <c r="W998" s="46"/>
      <c r="X998" s="46"/>
    </row>
    <row r="999" spans="1:24" x14ac:dyDescent="0.2">
      <c r="A999" s="45"/>
      <c r="B999" s="46"/>
      <c r="C999" s="46"/>
      <c r="D999" s="46"/>
      <c r="E999" s="46"/>
      <c r="F999" s="46"/>
      <c r="G999" s="46"/>
      <c r="H999" s="46"/>
      <c r="I999" s="46"/>
      <c r="J999" s="46"/>
      <c r="K999" s="46"/>
      <c r="L999" s="46"/>
      <c r="M999" s="46"/>
      <c r="N999" s="46"/>
      <c r="O999" s="46"/>
      <c r="P999" s="46"/>
      <c r="Q999" s="46"/>
      <c r="R999" s="46"/>
      <c r="S999" s="46"/>
      <c r="T999" s="46"/>
      <c r="U999" s="46"/>
      <c r="V999" s="46"/>
      <c r="W999" s="46"/>
      <c r="X999" s="46"/>
    </row>
    <row r="1000" spans="1:24" x14ac:dyDescent="0.2">
      <c r="A1000" s="45"/>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row>
    <row r="1001" spans="1:24" x14ac:dyDescent="0.2">
      <c r="A1001" s="45"/>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row>
    <row r="1002" spans="1:24" x14ac:dyDescent="0.2">
      <c r="A1002" s="45"/>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row>
    <row r="1003" spans="1:24" x14ac:dyDescent="0.2">
      <c r="A1003" s="45"/>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row>
    <row r="1004" spans="1:24" x14ac:dyDescent="0.2">
      <c r="A1004" s="45"/>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row>
    <row r="1005" spans="1:24" x14ac:dyDescent="0.2">
      <c r="A1005" s="45"/>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row>
    <row r="1006" spans="1:24" x14ac:dyDescent="0.2">
      <c r="A1006" s="45"/>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row>
    <row r="1007" spans="1:24" x14ac:dyDescent="0.2">
      <c r="A1007" s="45"/>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row>
    <row r="1008" spans="1:24" x14ac:dyDescent="0.2">
      <c r="A1008" s="45"/>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row>
    <row r="1009" spans="1:24" x14ac:dyDescent="0.2">
      <c r="A1009" s="45"/>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row>
    <row r="1010" spans="1:24" x14ac:dyDescent="0.2">
      <c r="A1010" s="45"/>
      <c r="B1010" s="46"/>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row>
    <row r="1011" spans="1:24" x14ac:dyDescent="0.2">
      <c r="A1011" s="45"/>
      <c r="B1011" s="46"/>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row>
    <row r="1012" spans="1:24" x14ac:dyDescent="0.2">
      <c r="A1012" s="45"/>
      <c r="B1012" s="46"/>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row>
    <row r="1013" spans="1:24" x14ac:dyDescent="0.2">
      <c r="A1013" s="45"/>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row>
    <row r="1014" spans="1:24" x14ac:dyDescent="0.2">
      <c r="A1014" s="45"/>
      <c r="B1014" s="46"/>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row>
    <row r="1015" spans="1:24" x14ac:dyDescent="0.2">
      <c r="A1015" s="45"/>
      <c r="B1015" s="46"/>
      <c r="C1015" s="46"/>
      <c r="D1015" s="46"/>
      <c r="E1015" s="46"/>
      <c r="F1015" s="46"/>
      <c r="G1015" s="46"/>
      <c r="H1015" s="46"/>
      <c r="I1015" s="46"/>
      <c r="J1015" s="46"/>
      <c r="K1015" s="46"/>
      <c r="L1015" s="46"/>
      <c r="M1015" s="46"/>
      <c r="N1015" s="46"/>
      <c r="O1015" s="46"/>
      <c r="P1015" s="46"/>
      <c r="Q1015" s="46"/>
      <c r="R1015" s="46"/>
      <c r="S1015" s="46"/>
      <c r="T1015" s="46"/>
      <c r="U1015" s="46"/>
      <c r="V1015" s="46"/>
      <c r="W1015" s="46"/>
      <c r="X1015" s="46"/>
    </row>
    <row r="1016" spans="1:24" x14ac:dyDescent="0.2">
      <c r="A1016" s="45"/>
      <c r="B1016" s="46"/>
      <c r="C1016" s="46"/>
      <c r="D1016" s="46"/>
      <c r="E1016" s="46"/>
      <c r="F1016" s="46"/>
      <c r="G1016" s="46"/>
      <c r="H1016" s="46"/>
      <c r="I1016" s="46"/>
      <c r="J1016" s="46"/>
      <c r="K1016" s="46"/>
      <c r="L1016" s="46"/>
      <c r="M1016" s="46"/>
      <c r="N1016" s="46"/>
      <c r="O1016" s="46"/>
      <c r="P1016" s="46"/>
      <c r="Q1016" s="46"/>
      <c r="R1016" s="46"/>
      <c r="S1016" s="46"/>
      <c r="T1016" s="46"/>
      <c r="U1016" s="46"/>
      <c r="V1016" s="46"/>
      <c r="W1016" s="46"/>
      <c r="X1016" s="46"/>
    </row>
    <row r="1017" spans="1:24" x14ac:dyDescent="0.2">
      <c r="A1017" s="45"/>
      <c r="B1017" s="46"/>
      <c r="C1017" s="46"/>
      <c r="D1017" s="46"/>
      <c r="E1017" s="46"/>
      <c r="F1017" s="46"/>
      <c r="G1017" s="46"/>
      <c r="H1017" s="46"/>
      <c r="I1017" s="46"/>
      <c r="J1017" s="46"/>
      <c r="K1017" s="46"/>
      <c r="L1017" s="46"/>
      <c r="M1017" s="46"/>
      <c r="N1017" s="46"/>
      <c r="O1017" s="46"/>
      <c r="P1017" s="46"/>
      <c r="Q1017" s="46"/>
      <c r="R1017" s="46"/>
      <c r="S1017" s="46"/>
      <c r="T1017" s="46"/>
      <c r="U1017" s="46"/>
      <c r="V1017" s="46"/>
      <c r="W1017" s="46"/>
      <c r="X1017" s="46"/>
    </row>
    <row r="1018" spans="1:24" x14ac:dyDescent="0.2">
      <c r="A1018" s="45"/>
      <c r="B1018" s="46"/>
      <c r="C1018" s="46"/>
      <c r="D1018" s="46"/>
      <c r="E1018" s="46"/>
      <c r="F1018" s="46"/>
      <c r="G1018" s="46"/>
      <c r="H1018" s="46"/>
      <c r="I1018" s="46"/>
      <c r="J1018" s="46"/>
      <c r="K1018" s="46"/>
      <c r="L1018" s="46"/>
      <c r="M1018" s="46"/>
      <c r="N1018" s="46"/>
      <c r="O1018" s="46"/>
      <c r="P1018" s="46"/>
      <c r="Q1018" s="46"/>
      <c r="R1018" s="46"/>
      <c r="S1018" s="46"/>
      <c r="T1018" s="46"/>
      <c r="U1018" s="46"/>
      <c r="V1018" s="46"/>
      <c r="W1018" s="46"/>
      <c r="X1018" s="46"/>
    </row>
    <row r="1019" spans="1:24" x14ac:dyDescent="0.2">
      <c r="A1019" s="45"/>
      <c r="B1019" s="46"/>
      <c r="C1019" s="46"/>
      <c r="D1019" s="46"/>
      <c r="E1019" s="46"/>
      <c r="F1019" s="46"/>
      <c r="G1019" s="46"/>
      <c r="H1019" s="46"/>
      <c r="I1019" s="46"/>
      <c r="J1019" s="46"/>
      <c r="K1019" s="46"/>
      <c r="L1019" s="46"/>
      <c r="M1019" s="46"/>
      <c r="N1019" s="46"/>
      <c r="O1019" s="46"/>
      <c r="P1019" s="46"/>
      <c r="Q1019" s="46"/>
      <c r="R1019" s="46"/>
      <c r="S1019" s="46"/>
      <c r="T1019" s="46"/>
      <c r="U1019" s="46"/>
      <c r="V1019" s="46"/>
      <c r="W1019" s="46"/>
      <c r="X1019" s="46"/>
    </row>
    <row r="1020" spans="1:24" x14ac:dyDescent="0.2">
      <c r="A1020" s="45"/>
      <c r="B1020" s="46"/>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46"/>
    </row>
    <row r="1021" spans="1:24" x14ac:dyDescent="0.2">
      <c r="A1021" s="45"/>
      <c r="B1021" s="46"/>
      <c r="C1021" s="46"/>
      <c r="D1021" s="46"/>
      <c r="E1021" s="46"/>
      <c r="F1021" s="46"/>
      <c r="G1021" s="46"/>
      <c r="H1021" s="46"/>
      <c r="I1021" s="46"/>
      <c r="J1021" s="46"/>
      <c r="K1021" s="46"/>
      <c r="L1021" s="46"/>
      <c r="M1021" s="46"/>
      <c r="N1021" s="46"/>
      <c r="O1021" s="46"/>
      <c r="P1021" s="46"/>
      <c r="Q1021" s="46"/>
      <c r="R1021" s="46"/>
      <c r="S1021" s="46"/>
      <c r="T1021" s="46"/>
      <c r="U1021" s="46"/>
      <c r="V1021" s="46"/>
      <c r="W1021" s="46"/>
      <c r="X1021" s="46"/>
    </row>
    <row r="1022" spans="1:24" x14ac:dyDescent="0.2">
      <c r="A1022" s="45"/>
      <c r="B1022" s="46"/>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row>
    <row r="1023" spans="1:24" x14ac:dyDescent="0.2">
      <c r="A1023" s="45"/>
      <c r="B1023" s="46"/>
      <c r="C1023" s="46"/>
      <c r="D1023" s="46"/>
      <c r="E1023" s="46"/>
      <c r="F1023" s="46"/>
      <c r="G1023" s="46"/>
      <c r="H1023" s="46"/>
      <c r="I1023" s="46"/>
      <c r="J1023" s="46"/>
      <c r="K1023" s="46"/>
      <c r="L1023" s="46"/>
      <c r="M1023" s="46"/>
      <c r="N1023" s="46"/>
      <c r="O1023" s="46"/>
      <c r="P1023" s="46"/>
      <c r="Q1023" s="46"/>
      <c r="R1023" s="46"/>
      <c r="S1023" s="46"/>
      <c r="T1023" s="46"/>
      <c r="U1023" s="46"/>
      <c r="V1023" s="46"/>
      <c r="W1023" s="46"/>
      <c r="X1023" s="46"/>
    </row>
    <row r="1024" spans="1:24" x14ac:dyDescent="0.2">
      <c r="A1024" s="45"/>
      <c r="B1024" s="46"/>
      <c r="C1024" s="46"/>
      <c r="D1024" s="46"/>
      <c r="E1024" s="46"/>
      <c r="F1024" s="46"/>
      <c r="G1024" s="46"/>
      <c r="H1024" s="46"/>
      <c r="I1024" s="46"/>
      <c r="J1024" s="46"/>
      <c r="K1024" s="46"/>
      <c r="L1024" s="46"/>
      <c r="M1024" s="46"/>
      <c r="N1024" s="46"/>
      <c r="O1024" s="46"/>
      <c r="P1024" s="46"/>
      <c r="Q1024" s="46"/>
      <c r="R1024" s="46"/>
      <c r="S1024" s="46"/>
      <c r="T1024" s="46"/>
      <c r="U1024" s="46"/>
      <c r="V1024" s="46"/>
      <c r="W1024" s="46"/>
      <c r="X1024" s="46"/>
    </row>
    <row r="1025" spans="1:24" x14ac:dyDescent="0.2">
      <c r="A1025" s="45"/>
      <c r="B1025" s="46"/>
      <c r="C1025" s="46"/>
      <c r="D1025" s="46"/>
      <c r="E1025" s="46"/>
      <c r="F1025" s="46"/>
      <c r="G1025" s="46"/>
      <c r="H1025" s="46"/>
      <c r="I1025" s="46"/>
      <c r="J1025" s="46"/>
      <c r="K1025" s="46"/>
      <c r="L1025" s="46"/>
      <c r="M1025" s="46"/>
      <c r="N1025" s="46"/>
      <c r="O1025" s="46"/>
      <c r="P1025" s="46"/>
      <c r="Q1025" s="46"/>
      <c r="R1025" s="46"/>
      <c r="S1025" s="46"/>
      <c r="T1025" s="46"/>
      <c r="U1025" s="46"/>
      <c r="V1025" s="46"/>
      <c r="W1025" s="46"/>
      <c r="X1025" s="46"/>
    </row>
    <row r="1026" spans="1:24" x14ac:dyDescent="0.2">
      <c r="A1026" s="45"/>
      <c r="B1026" s="46"/>
      <c r="C1026" s="46"/>
      <c r="D1026" s="46"/>
      <c r="E1026" s="46"/>
      <c r="F1026" s="46"/>
      <c r="G1026" s="46"/>
      <c r="H1026" s="46"/>
      <c r="I1026" s="46"/>
      <c r="J1026" s="46"/>
      <c r="K1026" s="46"/>
      <c r="L1026" s="46"/>
      <c r="M1026" s="46"/>
      <c r="N1026" s="46"/>
      <c r="O1026" s="46"/>
      <c r="P1026" s="46"/>
      <c r="Q1026" s="46"/>
      <c r="R1026" s="46"/>
      <c r="S1026" s="46"/>
      <c r="T1026" s="46"/>
      <c r="U1026" s="46"/>
      <c r="V1026" s="46"/>
      <c r="W1026" s="46"/>
      <c r="X1026" s="46"/>
    </row>
    <row r="1027" spans="1:24" x14ac:dyDescent="0.2">
      <c r="A1027" s="45"/>
      <c r="B1027" s="46"/>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46"/>
    </row>
    <row r="1028" spans="1:24" x14ac:dyDescent="0.2">
      <c r="A1028" s="45"/>
      <c r="B1028" s="46"/>
      <c r="C1028" s="46"/>
      <c r="D1028" s="46"/>
      <c r="E1028" s="46"/>
      <c r="F1028" s="46"/>
      <c r="G1028" s="46"/>
      <c r="H1028" s="46"/>
      <c r="I1028" s="46"/>
      <c r="J1028" s="46"/>
      <c r="K1028" s="46"/>
      <c r="L1028" s="46"/>
      <c r="M1028" s="46"/>
      <c r="N1028" s="46"/>
      <c r="O1028" s="46"/>
      <c r="P1028" s="46"/>
      <c r="Q1028" s="46"/>
      <c r="R1028" s="46"/>
      <c r="S1028" s="46"/>
      <c r="T1028" s="46"/>
      <c r="U1028" s="46"/>
      <c r="V1028" s="46"/>
      <c r="W1028" s="46"/>
      <c r="X1028" s="46"/>
    </row>
    <row r="1029" spans="1:24" x14ac:dyDescent="0.2">
      <c r="A1029" s="45"/>
      <c r="B1029" s="46"/>
      <c r="C1029" s="46"/>
      <c r="D1029" s="46"/>
      <c r="E1029" s="46"/>
      <c r="F1029" s="46"/>
      <c r="G1029" s="46"/>
      <c r="H1029" s="46"/>
      <c r="I1029" s="46"/>
      <c r="J1029" s="46"/>
      <c r="K1029" s="46"/>
      <c r="L1029" s="46"/>
      <c r="M1029" s="46"/>
      <c r="N1029" s="46"/>
      <c r="O1029" s="46"/>
      <c r="P1029" s="46"/>
      <c r="Q1029" s="46"/>
      <c r="R1029" s="46"/>
      <c r="S1029" s="46"/>
      <c r="T1029" s="46"/>
      <c r="U1029" s="46"/>
      <c r="V1029" s="46"/>
      <c r="W1029" s="46"/>
      <c r="X1029" s="46"/>
    </row>
    <row r="1030" spans="1:24" x14ac:dyDescent="0.2">
      <c r="A1030" s="45"/>
      <c r="B1030" s="46"/>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row>
    <row r="1031" spans="1:24" x14ac:dyDescent="0.2">
      <c r="A1031" s="45"/>
      <c r="B1031" s="46"/>
      <c r="C1031" s="46"/>
      <c r="D1031" s="46"/>
      <c r="E1031" s="46"/>
      <c r="F1031" s="46"/>
      <c r="G1031" s="46"/>
      <c r="H1031" s="46"/>
      <c r="I1031" s="46"/>
      <c r="J1031" s="46"/>
      <c r="K1031" s="46"/>
      <c r="L1031" s="46"/>
      <c r="M1031" s="46"/>
      <c r="N1031" s="46"/>
      <c r="O1031" s="46"/>
      <c r="P1031" s="46"/>
      <c r="Q1031" s="46"/>
      <c r="R1031" s="46"/>
      <c r="S1031" s="46"/>
      <c r="T1031" s="46"/>
      <c r="U1031" s="46"/>
      <c r="V1031" s="46"/>
      <c r="W1031" s="46"/>
      <c r="X1031" s="46"/>
    </row>
    <row r="1032" spans="1:24" x14ac:dyDescent="0.2">
      <c r="A1032" s="45"/>
      <c r="B1032" s="46"/>
      <c r="C1032" s="46"/>
      <c r="D1032" s="46"/>
      <c r="E1032" s="46"/>
      <c r="F1032" s="46"/>
      <c r="G1032" s="46"/>
      <c r="H1032" s="46"/>
      <c r="I1032" s="46"/>
      <c r="J1032" s="46"/>
      <c r="K1032" s="46"/>
      <c r="L1032" s="46"/>
      <c r="M1032" s="46"/>
      <c r="N1032" s="46"/>
      <c r="O1032" s="46"/>
      <c r="P1032" s="46"/>
      <c r="Q1032" s="46"/>
      <c r="R1032" s="46"/>
      <c r="S1032" s="46"/>
      <c r="T1032" s="46"/>
      <c r="U1032" s="46"/>
      <c r="V1032" s="46"/>
      <c r="W1032" s="46"/>
      <c r="X1032" s="46"/>
    </row>
    <row r="1033" spans="1:24" x14ac:dyDescent="0.2">
      <c r="A1033" s="45"/>
      <c r="B1033" s="46"/>
      <c r="C1033" s="46"/>
      <c r="D1033" s="46"/>
      <c r="E1033" s="46"/>
      <c r="F1033" s="46"/>
      <c r="G1033" s="46"/>
      <c r="H1033" s="46"/>
      <c r="I1033" s="46"/>
      <c r="J1033" s="46"/>
      <c r="K1033" s="46"/>
      <c r="L1033" s="46"/>
      <c r="M1033" s="46"/>
      <c r="N1033" s="46"/>
      <c r="O1033" s="46"/>
      <c r="P1033" s="46"/>
      <c r="Q1033" s="46"/>
      <c r="R1033" s="46"/>
      <c r="S1033" s="46"/>
      <c r="T1033" s="46"/>
      <c r="U1033" s="46"/>
      <c r="V1033" s="46"/>
      <c r="W1033" s="46"/>
      <c r="X1033" s="46"/>
    </row>
    <row r="1034" spans="1:24" x14ac:dyDescent="0.2">
      <c r="A1034" s="45"/>
      <c r="B1034" s="46"/>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46"/>
    </row>
    <row r="1035" spans="1:24" x14ac:dyDescent="0.2">
      <c r="A1035" s="45"/>
      <c r="B1035" s="46"/>
      <c r="C1035" s="46"/>
      <c r="D1035" s="46"/>
      <c r="E1035" s="46"/>
      <c r="F1035" s="46"/>
      <c r="G1035" s="46"/>
      <c r="H1035" s="46"/>
      <c r="I1035" s="46"/>
      <c r="J1035" s="46"/>
      <c r="K1035" s="46"/>
      <c r="L1035" s="46"/>
      <c r="M1035" s="46"/>
      <c r="N1035" s="46"/>
      <c r="O1035" s="46"/>
      <c r="P1035" s="46"/>
      <c r="Q1035" s="46"/>
      <c r="R1035" s="46"/>
      <c r="S1035" s="46"/>
      <c r="T1035" s="46"/>
      <c r="U1035" s="46"/>
      <c r="V1035" s="46"/>
      <c r="W1035" s="46"/>
      <c r="X1035" s="46"/>
    </row>
    <row r="1036" spans="1:24" x14ac:dyDescent="0.2">
      <c r="A1036" s="45"/>
      <c r="B1036" s="46"/>
      <c r="C1036" s="46"/>
      <c r="D1036" s="46"/>
      <c r="E1036" s="46"/>
      <c r="F1036" s="46"/>
      <c r="G1036" s="46"/>
      <c r="H1036" s="46"/>
      <c r="I1036" s="46"/>
      <c r="J1036" s="46"/>
      <c r="K1036" s="46"/>
      <c r="L1036" s="46"/>
      <c r="M1036" s="46"/>
      <c r="N1036" s="46"/>
      <c r="O1036" s="46"/>
      <c r="P1036" s="46"/>
      <c r="Q1036" s="46"/>
      <c r="R1036" s="46"/>
      <c r="S1036" s="46"/>
      <c r="T1036" s="46"/>
      <c r="U1036" s="46"/>
      <c r="V1036" s="46"/>
      <c r="W1036" s="46"/>
      <c r="X1036" s="46"/>
    </row>
    <row r="1037" spans="1:24" x14ac:dyDescent="0.2">
      <c r="A1037" s="45"/>
      <c r="B1037" s="46"/>
      <c r="C1037" s="46"/>
      <c r="D1037" s="46"/>
      <c r="E1037" s="46"/>
      <c r="F1037" s="46"/>
      <c r="G1037" s="46"/>
      <c r="H1037" s="46"/>
      <c r="I1037" s="46"/>
      <c r="J1037" s="46"/>
      <c r="K1037" s="46"/>
      <c r="L1037" s="46"/>
      <c r="M1037" s="46"/>
      <c r="N1037" s="46"/>
      <c r="O1037" s="46"/>
      <c r="P1037" s="46"/>
      <c r="Q1037" s="46"/>
      <c r="R1037" s="46"/>
      <c r="S1037" s="46"/>
      <c r="T1037" s="46"/>
      <c r="U1037" s="46"/>
      <c r="V1037" s="46"/>
      <c r="W1037" s="46"/>
      <c r="X1037" s="46"/>
    </row>
    <row r="1038" spans="1:24" x14ac:dyDescent="0.2">
      <c r="A1038" s="45"/>
      <c r="B1038" s="46"/>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row>
    <row r="1039" spans="1:24" x14ac:dyDescent="0.2">
      <c r="A1039" s="45"/>
      <c r="B1039" s="46"/>
      <c r="C1039" s="46"/>
      <c r="D1039" s="46"/>
      <c r="E1039" s="46"/>
      <c r="F1039" s="46"/>
      <c r="G1039" s="46"/>
      <c r="H1039" s="46"/>
      <c r="I1039" s="46"/>
      <c r="J1039" s="46"/>
      <c r="K1039" s="46"/>
      <c r="L1039" s="46"/>
      <c r="M1039" s="46"/>
      <c r="N1039" s="46"/>
      <c r="O1039" s="46"/>
      <c r="P1039" s="46"/>
      <c r="Q1039" s="46"/>
      <c r="R1039" s="46"/>
      <c r="S1039" s="46"/>
      <c r="T1039" s="46"/>
      <c r="U1039" s="46"/>
      <c r="V1039" s="46"/>
      <c r="W1039" s="46"/>
      <c r="X1039" s="46"/>
    </row>
    <row r="1040" spans="1:24" x14ac:dyDescent="0.2">
      <c r="A1040" s="45"/>
      <c r="B1040" s="46"/>
      <c r="C1040" s="46"/>
      <c r="D1040" s="46"/>
      <c r="E1040" s="46"/>
      <c r="F1040" s="46"/>
      <c r="G1040" s="46"/>
      <c r="H1040" s="46"/>
      <c r="I1040" s="46"/>
      <c r="J1040" s="46"/>
      <c r="K1040" s="46"/>
      <c r="L1040" s="46"/>
      <c r="M1040" s="46"/>
      <c r="N1040" s="46"/>
      <c r="O1040" s="46"/>
      <c r="P1040" s="46"/>
      <c r="Q1040" s="46"/>
      <c r="R1040" s="46"/>
      <c r="S1040" s="46"/>
      <c r="T1040" s="46"/>
      <c r="U1040" s="46"/>
      <c r="V1040" s="46"/>
      <c r="W1040" s="46"/>
      <c r="X1040" s="46"/>
    </row>
    <row r="1041" spans="1:24" x14ac:dyDescent="0.2">
      <c r="A1041" s="45"/>
      <c r="B1041" s="46"/>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46"/>
    </row>
    <row r="1042" spans="1:24" x14ac:dyDescent="0.2">
      <c r="A1042" s="45"/>
      <c r="B1042" s="46"/>
      <c r="C1042" s="46"/>
      <c r="D1042" s="46"/>
      <c r="E1042" s="46"/>
      <c r="F1042" s="46"/>
      <c r="G1042" s="46"/>
      <c r="H1042" s="46"/>
      <c r="I1042" s="46"/>
      <c r="J1042" s="46"/>
      <c r="K1042" s="46"/>
      <c r="L1042" s="46"/>
      <c r="M1042" s="46"/>
      <c r="N1042" s="46"/>
      <c r="O1042" s="46"/>
      <c r="P1042" s="46"/>
      <c r="Q1042" s="46"/>
      <c r="R1042" s="46"/>
      <c r="S1042" s="46"/>
      <c r="T1042" s="46"/>
      <c r="U1042" s="46"/>
      <c r="V1042" s="46"/>
      <c r="W1042" s="46"/>
      <c r="X1042" s="46"/>
    </row>
    <row r="1043" spans="1:24" x14ac:dyDescent="0.2">
      <c r="A1043" s="45"/>
      <c r="B1043" s="46"/>
      <c r="C1043" s="46"/>
      <c r="D1043" s="46"/>
      <c r="E1043" s="46"/>
      <c r="F1043" s="46"/>
      <c r="G1043" s="46"/>
      <c r="H1043" s="46"/>
      <c r="I1043" s="46"/>
      <c r="J1043" s="46"/>
      <c r="K1043" s="46"/>
      <c r="L1043" s="46"/>
      <c r="M1043" s="46"/>
      <c r="N1043" s="46"/>
      <c r="O1043" s="46"/>
      <c r="P1043" s="46"/>
      <c r="Q1043" s="46"/>
      <c r="R1043" s="46"/>
      <c r="S1043" s="46"/>
      <c r="T1043" s="46"/>
      <c r="U1043" s="46"/>
      <c r="V1043" s="46"/>
      <c r="W1043" s="46"/>
      <c r="X1043" s="46"/>
    </row>
    <row r="1044" spans="1:24" x14ac:dyDescent="0.2">
      <c r="A1044" s="45"/>
      <c r="B1044" s="46"/>
      <c r="C1044" s="46"/>
      <c r="D1044" s="46"/>
      <c r="E1044" s="46"/>
      <c r="F1044" s="46"/>
      <c r="G1044" s="46"/>
      <c r="H1044" s="46"/>
      <c r="I1044" s="46"/>
      <c r="J1044" s="46"/>
      <c r="K1044" s="46"/>
      <c r="L1044" s="46"/>
      <c r="M1044" s="46"/>
      <c r="N1044" s="46"/>
      <c r="O1044" s="46"/>
      <c r="P1044" s="46"/>
      <c r="Q1044" s="46"/>
      <c r="R1044" s="46"/>
      <c r="S1044" s="46"/>
      <c r="T1044" s="46"/>
      <c r="U1044" s="46"/>
      <c r="V1044" s="46"/>
      <c r="W1044" s="46"/>
      <c r="X1044" s="46"/>
    </row>
    <row r="1045" spans="1:24" x14ac:dyDescent="0.2">
      <c r="A1045" s="45"/>
      <c r="B1045" s="46"/>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row>
    <row r="1046" spans="1:24" x14ac:dyDescent="0.2">
      <c r="A1046" s="45"/>
      <c r="B1046" s="46"/>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row>
    <row r="1047" spans="1:24" x14ac:dyDescent="0.2">
      <c r="A1047" s="45"/>
      <c r="B1047" s="46"/>
      <c r="C1047" s="46"/>
      <c r="D1047" s="46"/>
      <c r="E1047" s="46"/>
      <c r="F1047" s="46"/>
      <c r="G1047" s="46"/>
      <c r="H1047" s="46"/>
      <c r="I1047" s="46"/>
      <c r="J1047" s="46"/>
      <c r="K1047" s="46"/>
      <c r="L1047" s="46"/>
      <c r="M1047" s="46"/>
      <c r="N1047" s="46"/>
      <c r="O1047" s="46"/>
      <c r="P1047" s="46"/>
      <c r="Q1047" s="46"/>
      <c r="R1047" s="46"/>
      <c r="S1047" s="46"/>
      <c r="T1047" s="46"/>
      <c r="U1047" s="46"/>
      <c r="V1047" s="46"/>
      <c r="W1047" s="46"/>
      <c r="X1047" s="46"/>
    </row>
    <row r="1048" spans="1:24" x14ac:dyDescent="0.2">
      <c r="A1048" s="45"/>
      <c r="B1048" s="46"/>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46"/>
    </row>
    <row r="1049" spans="1:24" x14ac:dyDescent="0.2">
      <c r="A1049" s="45"/>
      <c r="B1049" s="46"/>
      <c r="C1049" s="46"/>
      <c r="D1049" s="46"/>
      <c r="E1049" s="46"/>
      <c r="F1049" s="46"/>
      <c r="G1049" s="46"/>
      <c r="H1049" s="46"/>
      <c r="I1049" s="46"/>
      <c r="J1049" s="46"/>
      <c r="K1049" s="46"/>
      <c r="L1049" s="46"/>
      <c r="M1049" s="46"/>
      <c r="N1049" s="46"/>
      <c r="O1049" s="46"/>
      <c r="P1049" s="46"/>
      <c r="Q1049" s="46"/>
      <c r="R1049" s="46"/>
      <c r="S1049" s="46"/>
      <c r="T1049" s="46"/>
      <c r="U1049" s="46"/>
      <c r="V1049" s="46"/>
      <c r="W1049" s="46"/>
      <c r="X1049" s="46"/>
    </row>
    <row r="1050" spans="1:24" x14ac:dyDescent="0.2">
      <c r="A1050" s="45"/>
      <c r="B1050" s="46"/>
      <c r="C1050" s="46"/>
      <c r="D1050" s="46"/>
      <c r="E1050" s="46"/>
      <c r="F1050" s="46"/>
      <c r="G1050" s="46"/>
      <c r="H1050" s="46"/>
      <c r="I1050" s="46"/>
      <c r="J1050" s="46"/>
      <c r="K1050" s="46"/>
      <c r="L1050" s="46"/>
      <c r="M1050" s="46"/>
      <c r="N1050" s="46"/>
      <c r="O1050" s="46"/>
      <c r="P1050" s="46"/>
      <c r="Q1050" s="46"/>
      <c r="R1050" s="46"/>
      <c r="S1050" s="46"/>
      <c r="T1050" s="46"/>
      <c r="U1050" s="46"/>
      <c r="V1050" s="46"/>
      <c r="W1050" s="46"/>
      <c r="X1050" s="46"/>
    </row>
    <row r="1051" spans="1:24" x14ac:dyDescent="0.2">
      <c r="A1051" s="45"/>
      <c r="B1051" s="46"/>
      <c r="C1051" s="46"/>
      <c r="D1051" s="46"/>
      <c r="E1051" s="46"/>
      <c r="F1051" s="46"/>
      <c r="G1051" s="46"/>
      <c r="H1051" s="46"/>
      <c r="I1051" s="46"/>
      <c r="J1051" s="46"/>
      <c r="K1051" s="46"/>
      <c r="L1051" s="46"/>
      <c r="M1051" s="46"/>
      <c r="N1051" s="46"/>
      <c r="O1051" s="46"/>
      <c r="P1051" s="46"/>
      <c r="Q1051" s="46"/>
      <c r="R1051" s="46"/>
      <c r="S1051" s="46"/>
      <c r="T1051" s="46"/>
      <c r="U1051" s="46"/>
      <c r="V1051" s="46"/>
      <c r="W1051" s="46"/>
      <c r="X1051" s="46"/>
    </row>
    <row r="1052" spans="1:24" x14ac:dyDescent="0.2">
      <c r="A1052" s="45"/>
      <c r="B1052" s="46"/>
      <c r="C1052" s="46"/>
      <c r="D1052" s="46"/>
      <c r="E1052" s="46"/>
      <c r="F1052" s="46"/>
      <c r="G1052" s="46"/>
      <c r="H1052" s="46"/>
      <c r="I1052" s="46"/>
      <c r="J1052" s="46"/>
      <c r="K1052" s="46"/>
      <c r="L1052" s="46"/>
      <c r="M1052" s="46"/>
      <c r="N1052" s="46"/>
      <c r="O1052" s="46"/>
      <c r="P1052" s="46"/>
      <c r="Q1052" s="46"/>
      <c r="R1052" s="46"/>
      <c r="S1052" s="46"/>
      <c r="T1052" s="46"/>
      <c r="U1052" s="46"/>
      <c r="V1052" s="46"/>
      <c r="W1052" s="46"/>
      <c r="X1052" s="46"/>
    </row>
    <row r="1053" spans="1:24" x14ac:dyDescent="0.2">
      <c r="A1053" s="45"/>
      <c r="B1053" s="46"/>
      <c r="C1053" s="46"/>
      <c r="D1053" s="46"/>
      <c r="E1053" s="46"/>
      <c r="F1053" s="46"/>
      <c r="G1053" s="46"/>
      <c r="H1053" s="46"/>
      <c r="I1053" s="46"/>
      <c r="J1053" s="46"/>
      <c r="K1053" s="46"/>
      <c r="L1053" s="46"/>
      <c r="M1053" s="46"/>
      <c r="N1053" s="46"/>
      <c r="O1053" s="46"/>
      <c r="P1053" s="46"/>
      <c r="Q1053" s="46"/>
      <c r="R1053" s="46"/>
      <c r="S1053" s="46"/>
      <c r="T1053" s="46"/>
      <c r="U1053" s="46"/>
      <c r="V1053" s="46"/>
      <c r="W1053" s="46"/>
      <c r="X1053" s="46"/>
    </row>
    <row r="1054" spans="1:24" x14ac:dyDescent="0.2">
      <c r="A1054" s="45"/>
      <c r="B1054" s="46"/>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row>
    <row r="1055" spans="1:24" x14ac:dyDescent="0.2">
      <c r="A1055" s="45"/>
      <c r="B1055" s="46"/>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46"/>
    </row>
    <row r="1056" spans="1:24" x14ac:dyDescent="0.2">
      <c r="A1056" s="45"/>
      <c r="B1056" s="46"/>
      <c r="C1056" s="46"/>
      <c r="D1056" s="46"/>
      <c r="E1056" s="46"/>
      <c r="F1056" s="46"/>
      <c r="G1056" s="46"/>
      <c r="H1056" s="46"/>
      <c r="I1056" s="46"/>
      <c r="J1056" s="46"/>
      <c r="K1056" s="46"/>
      <c r="L1056" s="46"/>
      <c r="M1056" s="46"/>
      <c r="N1056" s="46"/>
      <c r="O1056" s="46"/>
      <c r="P1056" s="46"/>
      <c r="Q1056" s="46"/>
      <c r="R1056" s="46"/>
      <c r="S1056" s="46"/>
      <c r="T1056" s="46"/>
      <c r="U1056" s="46"/>
      <c r="V1056" s="46"/>
      <c r="W1056" s="46"/>
      <c r="X1056" s="46"/>
    </row>
    <row r="1057" spans="1:24" x14ac:dyDescent="0.2">
      <c r="A1057" s="45"/>
      <c r="B1057" s="46"/>
      <c r="C1057" s="46"/>
      <c r="D1057" s="46"/>
      <c r="E1057" s="46"/>
      <c r="F1057" s="46"/>
      <c r="G1057" s="46"/>
      <c r="H1057" s="46"/>
      <c r="I1057" s="46"/>
      <c r="J1057" s="46"/>
      <c r="K1057" s="46"/>
      <c r="L1057" s="46"/>
      <c r="M1057" s="46"/>
      <c r="N1057" s="46"/>
      <c r="O1057" s="46"/>
      <c r="P1057" s="46"/>
      <c r="Q1057" s="46"/>
      <c r="R1057" s="46"/>
      <c r="S1057" s="46"/>
      <c r="T1057" s="46"/>
      <c r="U1057" s="46"/>
      <c r="V1057" s="46"/>
      <c r="W1057" s="46"/>
      <c r="X1057" s="46"/>
    </row>
    <row r="1058" spans="1:24" x14ac:dyDescent="0.2">
      <c r="A1058" s="45"/>
      <c r="B1058" s="46"/>
      <c r="C1058" s="46"/>
      <c r="D1058" s="46"/>
      <c r="E1058" s="46"/>
      <c r="F1058" s="46"/>
      <c r="G1058" s="46"/>
      <c r="H1058" s="46"/>
      <c r="I1058" s="46"/>
      <c r="J1058" s="46"/>
      <c r="K1058" s="46"/>
      <c r="L1058" s="46"/>
      <c r="M1058" s="46"/>
      <c r="N1058" s="46"/>
      <c r="O1058" s="46"/>
      <c r="P1058" s="46"/>
      <c r="Q1058" s="46"/>
      <c r="R1058" s="46"/>
      <c r="S1058" s="46"/>
      <c r="T1058" s="46"/>
      <c r="U1058" s="46"/>
      <c r="V1058" s="46"/>
      <c r="W1058" s="46"/>
      <c r="X1058" s="46"/>
    </row>
    <row r="1059" spans="1:24" x14ac:dyDescent="0.2">
      <c r="A1059" s="45"/>
      <c r="B1059" s="46"/>
      <c r="C1059" s="46"/>
      <c r="D1059" s="46"/>
      <c r="E1059" s="46"/>
      <c r="F1059" s="46"/>
      <c r="G1059" s="46"/>
      <c r="H1059" s="46"/>
      <c r="I1059" s="46"/>
      <c r="J1059" s="46"/>
      <c r="K1059" s="46"/>
      <c r="L1059" s="46"/>
      <c r="M1059" s="46"/>
      <c r="N1059" s="46"/>
      <c r="O1059" s="46"/>
      <c r="P1059" s="46"/>
      <c r="Q1059" s="46"/>
      <c r="R1059" s="46"/>
      <c r="S1059" s="46"/>
      <c r="T1059" s="46"/>
      <c r="U1059" s="46"/>
      <c r="V1059" s="46"/>
      <c r="W1059" s="46"/>
      <c r="X1059" s="46"/>
    </row>
    <row r="1060" spans="1:24" x14ac:dyDescent="0.2">
      <c r="A1060" s="45"/>
      <c r="B1060" s="46"/>
      <c r="C1060" s="46"/>
      <c r="D1060" s="46"/>
      <c r="E1060" s="46"/>
      <c r="F1060" s="46"/>
      <c r="G1060" s="46"/>
      <c r="H1060" s="46"/>
      <c r="I1060" s="46"/>
      <c r="J1060" s="46"/>
      <c r="K1060" s="46"/>
      <c r="L1060" s="46"/>
      <c r="M1060" s="46"/>
      <c r="N1060" s="46"/>
      <c r="O1060" s="46"/>
      <c r="P1060" s="46"/>
      <c r="Q1060" s="46"/>
      <c r="R1060" s="46"/>
      <c r="S1060" s="46"/>
      <c r="T1060" s="46"/>
      <c r="U1060" s="46"/>
      <c r="V1060" s="46"/>
      <c r="W1060" s="46"/>
      <c r="X1060" s="46"/>
    </row>
    <row r="1061" spans="1:24" x14ac:dyDescent="0.2">
      <c r="A1061" s="45"/>
      <c r="B1061" s="46"/>
      <c r="C1061" s="46"/>
      <c r="D1061" s="46"/>
      <c r="E1061" s="46"/>
      <c r="F1061" s="46"/>
      <c r="G1061" s="46"/>
      <c r="H1061" s="46"/>
      <c r="I1061" s="46"/>
      <c r="J1061" s="46"/>
      <c r="K1061" s="46"/>
      <c r="L1061" s="46"/>
      <c r="M1061" s="46"/>
      <c r="N1061" s="46"/>
      <c r="O1061" s="46"/>
      <c r="P1061" s="46"/>
      <c r="Q1061" s="46"/>
      <c r="R1061" s="46"/>
      <c r="S1061" s="46"/>
      <c r="T1061" s="46"/>
      <c r="U1061" s="46"/>
      <c r="V1061" s="46"/>
      <c r="W1061" s="46"/>
      <c r="X1061" s="46"/>
    </row>
    <row r="1062" spans="1:24" x14ac:dyDescent="0.2">
      <c r="A1062" s="45"/>
      <c r="B1062" s="46"/>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row>
    <row r="1063" spans="1:24" x14ac:dyDescent="0.2">
      <c r="A1063" s="45"/>
      <c r="B1063" s="46"/>
      <c r="C1063" s="46"/>
      <c r="D1063" s="46"/>
      <c r="E1063" s="46"/>
      <c r="F1063" s="46"/>
      <c r="G1063" s="46"/>
      <c r="H1063" s="46"/>
      <c r="I1063" s="46"/>
      <c r="J1063" s="46"/>
      <c r="K1063" s="46"/>
      <c r="L1063" s="46"/>
      <c r="M1063" s="46"/>
      <c r="N1063" s="46"/>
      <c r="O1063" s="46"/>
      <c r="P1063" s="46"/>
      <c r="Q1063" s="46"/>
      <c r="R1063" s="46"/>
      <c r="S1063" s="46"/>
      <c r="T1063" s="46"/>
      <c r="U1063" s="46"/>
      <c r="V1063" s="46"/>
      <c r="W1063" s="46"/>
      <c r="X1063" s="46"/>
    </row>
    <row r="1064" spans="1:24" x14ac:dyDescent="0.2">
      <c r="A1064" s="45"/>
      <c r="B1064" s="46"/>
      <c r="C1064" s="46"/>
      <c r="D1064" s="46"/>
      <c r="E1064" s="46"/>
      <c r="F1064" s="46"/>
      <c r="G1064" s="46"/>
      <c r="H1064" s="46"/>
      <c r="I1064" s="46"/>
      <c r="J1064" s="46"/>
      <c r="K1064" s="46"/>
      <c r="L1064" s="46"/>
      <c r="M1064" s="46"/>
      <c r="N1064" s="46"/>
      <c r="O1064" s="46"/>
      <c r="P1064" s="46"/>
      <c r="Q1064" s="46"/>
      <c r="R1064" s="46"/>
      <c r="S1064" s="46"/>
      <c r="T1064" s="46"/>
      <c r="U1064" s="46"/>
      <c r="V1064" s="46"/>
      <c r="W1064" s="46"/>
      <c r="X1064" s="46"/>
    </row>
    <row r="1065" spans="1:24" x14ac:dyDescent="0.2">
      <c r="A1065" s="45"/>
      <c r="B1065" s="46"/>
      <c r="C1065" s="46"/>
      <c r="D1065" s="46"/>
      <c r="E1065" s="46"/>
      <c r="F1065" s="46"/>
      <c r="G1065" s="46"/>
      <c r="H1065" s="46"/>
      <c r="I1065" s="46"/>
      <c r="J1065" s="46"/>
      <c r="K1065" s="46"/>
      <c r="L1065" s="46"/>
      <c r="M1065" s="46"/>
      <c r="N1065" s="46"/>
      <c r="O1065" s="46"/>
      <c r="P1065" s="46"/>
      <c r="Q1065" s="46"/>
      <c r="R1065" s="46"/>
      <c r="S1065" s="46"/>
      <c r="T1065" s="46"/>
      <c r="U1065" s="46"/>
      <c r="V1065" s="46"/>
      <c r="W1065" s="46"/>
      <c r="X1065" s="46"/>
    </row>
    <row r="1066" spans="1:24" x14ac:dyDescent="0.2">
      <c r="A1066" s="45"/>
      <c r="B1066" s="46"/>
      <c r="C1066" s="46"/>
      <c r="D1066" s="46"/>
      <c r="E1066" s="46"/>
      <c r="F1066" s="46"/>
      <c r="G1066" s="46"/>
      <c r="H1066" s="46"/>
      <c r="I1066" s="46"/>
      <c r="J1066" s="46"/>
      <c r="K1066" s="46"/>
      <c r="L1066" s="46"/>
      <c r="M1066" s="46"/>
      <c r="N1066" s="46"/>
      <c r="O1066" s="46"/>
      <c r="P1066" s="46"/>
      <c r="Q1066" s="46"/>
      <c r="R1066" s="46"/>
      <c r="S1066" s="46"/>
      <c r="T1066" s="46"/>
      <c r="U1066" s="46"/>
      <c r="V1066" s="46"/>
      <c r="W1066" s="46"/>
      <c r="X1066" s="46"/>
    </row>
    <row r="1067" spans="1:24" x14ac:dyDescent="0.2">
      <c r="A1067" s="45"/>
      <c r="B1067" s="46"/>
      <c r="C1067" s="46"/>
      <c r="D1067" s="46"/>
      <c r="E1067" s="46"/>
      <c r="F1067" s="46"/>
      <c r="G1067" s="46"/>
      <c r="H1067" s="46"/>
      <c r="I1067" s="46"/>
      <c r="J1067" s="46"/>
      <c r="K1067" s="46"/>
      <c r="L1067" s="46"/>
      <c r="M1067" s="46"/>
      <c r="N1067" s="46"/>
      <c r="O1067" s="46"/>
      <c r="P1067" s="46"/>
      <c r="Q1067" s="46"/>
      <c r="R1067" s="46"/>
      <c r="S1067" s="46"/>
      <c r="T1067" s="46"/>
      <c r="U1067" s="46"/>
      <c r="V1067" s="46"/>
      <c r="W1067" s="46"/>
      <c r="X1067" s="46"/>
    </row>
    <row r="1068" spans="1:24" x14ac:dyDescent="0.2">
      <c r="A1068" s="45"/>
      <c r="B1068" s="46"/>
      <c r="C1068" s="46"/>
      <c r="D1068" s="46"/>
      <c r="E1068" s="46"/>
      <c r="F1068" s="46"/>
      <c r="G1068" s="46"/>
      <c r="H1068" s="46"/>
      <c r="I1068" s="46"/>
      <c r="J1068" s="46"/>
      <c r="K1068" s="46"/>
      <c r="L1068" s="46"/>
      <c r="M1068" s="46"/>
      <c r="N1068" s="46"/>
      <c r="O1068" s="46"/>
      <c r="P1068" s="46"/>
      <c r="Q1068" s="46"/>
      <c r="R1068" s="46"/>
      <c r="S1068" s="46"/>
      <c r="T1068" s="46"/>
      <c r="U1068" s="46"/>
      <c r="V1068" s="46"/>
      <c r="W1068" s="46"/>
      <c r="X1068" s="46"/>
    </row>
    <row r="1069" spans="1:24" x14ac:dyDescent="0.2">
      <c r="A1069" s="45"/>
      <c r="B1069" s="46"/>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46"/>
    </row>
    <row r="1070" spans="1:24" x14ac:dyDescent="0.2">
      <c r="A1070" s="45"/>
      <c r="B1070" s="46"/>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row>
    <row r="1071" spans="1:24" x14ac:dyDescent="0.2">
      <c r="A1071" s="45"/>
      <c r="B1071" s="46"/>
      <c r="C1071" s="46"/>
      <c r="D1071" s="46"/>
      <c r="E1071" s="46"/>
      <c r="F1071" s="46"/>
      <c r="G1071" s="46"/>
      <c r="H1071" s="46"/>
      <c r="I1071" s="46"/>
      <c r="J1071" s="46"/>
      <c r="K1071" s="46"/>
      <c r="L1071" s="46"/>
      <c r="M1071" s="46"/>
      <c r="N1071" s="46"/>
      <c r="O1071" s="46"/>
      <c r="P1071" s="46"/>
      <c r="Q1071" s="46"/>
      <c r="R1071" s="46"/>
      <c r="S1071" s="46"/>
      <c r="T1071" s="46"/>
      <c r="U1071" s="46"/>
      <c r="V1071" s="46"/>
      <c r="W1071" s="46"/>
      <c r="X1071" s="46"/>
    </row>
    <row r="1072" spans="1:24" x14ac:dyDescent="0.2">
      <c r="A1072" s="45"/>
      <c r="B1072" s="46"/>
      <c r="C1072" s="46"/>
      <c r="D1072" s="46"/>
      <c r="E1072" s="46"/>
      <c r="F1072" s="46"/>
      <c r="G1072" s="46"/>
      <c r="H1072" s="46"/>
      <c r="I1072" s="46"/>
      <c r="J1072" s="46"/>
      <c r="K1072" s="46"/>
      <c r="L1072" s="46"/>
      <c r="M1072" s="46"/>
      <c r="N1072" s="46"/>
      <c r="O1072" s="46"/>
      <c r="P1072" s="46"/>
      <c r="Q1072" s="46"/>
      <c r="R1072" s="46"/>
      <c r="S1072" s="46"/>
      <c r="T1072" s="46"/>
      <c r="U1072" s="46"/>
      <c r="V1072" s="46"/>
      <c r="W1072" s="46"/>
      <c r="X1072" s="46"/>
    </row>
    <row r="1073" spans="1:24" x14ac:dyDescent="0.2">
      <c r="A1073" s="45"/>
      <c r="B1073" s="46"/>
      <c r="C1073" s="46"/>
      <c r="D1073" s="46"/>
      <c r="E1073" s="46"/>
      <c r="F1073" s="46"/>
      <c r="G1073" s="46"/>
      <c r="H1073" s="46"/>
      <c r="I1073" s="46"/>
      <c r="J1073" s="46"/>
      <c r="K1073" s="46"/>
      <c r="L1073" s="46"/>
      <c r="M1073" s="46"/>
      <c r="N1073" s="46"/>
      <c r="O1073" s="46"/>
      <c r="P1073" s="46"/>
      <c r="Q1073" s="46"/>
      <c r="R1073" s="46"/>
      <c r="S1073" s="46"/>
      <c r="T1073" s="46"/>
      <c r="U1073" s="46"/>
      <c r="V1073" s="46"/>
      <c r="W1073" s="46"/>
      <c r="X1073" s="46"/>
    </row>
    <row r="1074" spans="1:24" x14ac:dyDescent="0.2">
      <c r="A1074" s="45"/>
      <c r="B1074" s="46"/>
      <c r="C1074" s="46"/>
      <c r="D1074" s="46"/>
      <c r="E1074" s="46"/>
      <c r="F1074" s="46"/>
      <c r="G1074" s="46"/>
      <c r="H1074" s="46"/>
      <c r="I1074" s="46"/>
      <c r="J1074" s="46"/>
      <c r="K1074" s="46"/>
      <c r="L1074" s="46"/>
      <c r="M1074" s="46"/>
      <c r="N1074" s="46"/>
      <c r="O1074" s="46"/>
      <c r="P1074" s="46"/>
      <c r="Q1074" s="46"/>
      <c r="R1074" s="46"/>
      <c r="S1074" s="46"/>
      <c r="T1074" s="46"/>
      <c r="U1074" s="46"/>
      <c r="V1074" s="46"/>
      <c r="W1074" s="46"/>
      <c r="X1074" s="46"/>
    </row>
    <row r="1075" spans="1:24" x14ac:dyDescent="0.2">
      <c r="A1075" s="45"/>
      <c r="B1075" s="46"/>
      <c r="C1075" s="46"/>
      <c r="D1075" s="46"/>
      <c r="E1075" s="46"/>
      <c r="F1075" s="46"/>
      <c r="G1075" s="46"/>
      <c r="H1075" s="46"/>
      <c r="I1075" s="46"/>
      <c r="J1075" s="46"/>
      <c r="K1075" s="46"/>
      <c r="L1075" s="46"/>
      <c r="M1075" s="46"/>
      <c r="N1075" s="46"/>
      <c r="O1075" s="46"/>
      <c r="P1075" s="46"/>
      <c r="Q1075" s="46"/>
      <c r="R1075" s="46"/>
      <c r="S1075" s="46"/>
      <c r="T1075" s="46"/>
      <c r="U1075" s="46"/>
      <c r="V1075" s="46"/>
      <c r="W1075" s="46"/>
      <c r="X1075" s="46"/>
    </row>
    <row r="1076" spans="1:24" x14ac:dyDescent="0.2">
      <c r="A1076" s="45"/>
      <c r="B1076" s="4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46"/>
    </row>
    <row r="1077" spans="1:24" x14ac:dyDescent="0.2">
      <c r="A1077" s="45"/>
      <c r="B1077" s="46"/>
      <c r="C1077" s="46"/>
      <c r="D1077" s="46"/>
      <c r="E1077" s="46"/>
      <c r="F1077" s="46"/>
      <c r="G1077" s="46"/>
      <c r="H1077" s="46"/>
      <c r="I1077" s="46"/>
      <c r="J1077" s="46"/>
      <c r="K1077" s="46"/>
      <c r="L1077" s="46"/>
      <c r="M1077" s="46"/>
      <c r="N1077" s="46"/>
      <c r="O1077" s="46"/>
      <c r="P1077" s="46"/>
      <c r="Q1077" s="46"/>
      <c r="R1077" s="46"/>
      <c r="S1077" s="46"/>
      <c r="T1077" s="46"/>
      <c r="U1077" s="46"/>
      <c r="V1077" s="46"/>
      <c r="W1077" s="46"/>
      <c r="X1077" s="46"/>
    </row>
    <row r="1078" spans="1:24" x14ac:dyDescent="0.2">
      <c r="A1078" s="45"/>
      <c r="B1078" s="46"/>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row>
    <row r="1079" spans="1:24" x14ac:dyDescent="0.2">
      <c r="A1079" s="45"/>
      <c r="B1079" s="46"/>
      <c r="C1079" s="46"/>
      <c r="D1079" s="46"/>
      <c r="E1079" s="46"/>
      <c r="F1079" s="46"/>
      <c r="G1079" s="46"/>
      <c r="H1079" s="46"/>
      <c r="I1079" s="46"/>
      <c r="J1079" s="46"/>
      <c r="K1079" s="46"/>
      <c r="L1079" s="46"/>
      <c r="M1079" s="46"/>
      <c r="N1079" s="46"/>
      <c r="O1079" s="46"/>
      <c r="P1079" s="46"/>
      <c r="Q1079" s="46"/>
      <c r="R1079" s="46"/>
      <c r="S1079" s="46"/>
      <c r="T1079" s="46"/>
      <c r="U1079" s="46"/>
      <c r="V1079" s="46"/>
      <c r="W1079" s="46"/>
      <c r="X1079" s="46"/>
    </row>
    <row r="1080" spans="1:24" x14ac:dyDescent="0.2">
      <c r="A1080" s="45"/>
      <c r="B1080" s="46"/>
      <c r="C1080" s="46"/>
      <c r="D1080" s="46"/>
      <c r="E1080" s="46"/>
      <c r="F1080" s="46"/>
      <c r="G1080" s="46"/>
      <c r="H1080" s="46"/>
      <c r="I1080" s="46"/>
      <c r="J1080" s="46"/>
      <c r="K1080" s="46"/>
      <c r="L1080" s="46"/>
      <c r="M1080" s="46"/>
      <c r="N1080" s="46"/>
      <c r="O1080" s="46"/>
      <c r="P1080" s="46"/>
      <c r="Q1080" s="46"/>
      <c r="R1080" s="46"/>
      <c r="S1080" s="46"/>
      <c r="T1080" s="46"/>
      <c r="U1080" s="46"/>
      <c r="V1080" s="46"/>
      <c r="W1080" s="46"/>
      <c r="X1080" s="46"/>
    </row>
    <row r="1081" spans="1:24" x14ac:dyDescent="0.2">
      <c r="A1081" s="45"/>
      <c r="B1081" s="46"/>
      <c r="C1081" s="46"/>
      <c r="D1081" s="46"/>
      <c r="E1081" s="46"/>
      <c r="F1081" s="46"/>
      <c r="G1081" s="46"/>
      <c r="H1081" s="46"/>
      <c r="I1081" s="46"/>
      <c r="J1081" s="46"/>
      <c r="K1081" s="46"/>
      <c r="L1081" s="46"/>
      <c r="M1081" s="46"/>
      <c r="N1081" s="46"/>
      <c r="O1081" s="46"/>
      <c r="P1081" s="46"/>
      <c r="Q1081" s="46"/>
      <c r="R1081" s="46"/>
      <c r="S1081" s="46"/>
      <c r="T1081" s="46"/>
      <c r="U1081" s="46"/>
      <c r="V1081" s="46"/>
      <c r="W1081" s="46"/>
      <c r="X1081" s="46"/>
    </row>
    <row r="1082" spans="1:24" x14ac:dyDescent="0.2">
      <c r="A1082" s="45"/>
      <c r="B1082" s="46"/>
      <c r="C1082" s="46"/>
      <c r="D1082" s="46"/>
      <c r="E1082" s="46"/>
      <c r="F1082" s="46"/>
      <c r="G1082" s="46"/>
      <c r="H1082" s="46"/>
      <c r="I1082" s="46"/>
      <c r="J1082" s="46"/>
      <c r="K1082" s="46"/>
      <c r="L1082" s="46"/>
      <c r="M1082" s="46"/>
      <c r="N1082" s="46"/>
      <c r="O1082" s="46"/>
      <c r="P1082" s="46"/>
      <c r="Q1082" s="46"/>
      <c r="R1082" s="46"/>
      <c r="S1082" s="46"/>
      <c r="T1082" s="46"/>
      <c r="U1082" s="46"/>
      <c r="V1082" s="46"/>
      <c r="W1082" s="46"/>
      <c r="X1082" s="46"/>
    </row>
    <row r="1083" spans="1:24" x14ac:dyDescent="0.2">
      <c r="A1083" s="45"/>
      <c r="B1083" s="46"/>
      <c r="C1083" s="46"/>
      <c r="D1083" s="46"/>
      <c r="E1083" s="46"/>
      <c r="F1083" s="46"/>
      <c r="G1083" s="46"/>
      <c r="H1083" s="46"/>
      <c r="I1083" s="46"/>
      <c r="J1083" s="46"/>
      <c r="K1083" s="46"/>
      <c r="L1083" s="46"/>
      <c r="M1083" s="46"/>
      <c r="N1083" s="46"/>
      <c r="O1083" s="46"/>
      <c r="P1083" s="46"/>
      <c r="Q1083" s="46"/>
      <c r="R1083" s="46"/>
      <c r="S1083" s="46"/>
      <c r="T1083" s="46"/>
      <c r="U1083" s="46"/>
      <c r="V1083" s="46"/>
      <c r="W1083" s="46"/>
      <c r="X1083" s="46"/>
    </row>
    <row r="1084" spans="1:24" x14ac:dyDescent="0.2">
      <c r="A1084" s="45"/>
      <c r="B1084" s="46"/>
      <c r="C1084" s="46"/>
      <c r="D1084" s="46"/>
      <c r="E1084" s="46"/>
      <c r="F1084" s="46"/>
      <c r="G1084" s="46"/>
      <c r="H1084" s="46"/>
      <c r="I1084" s="46"/>
      <c r="J1084" s="46"/>
      <c r="K1084" s="46"/>
      <c r="L1084" s="46"/>
      <c r="M1084" s="46"/>
      <c r="N1084" s="46"/>
      <c r="O1084" s="46"/>
      <c r="P1084" s="46"/>
      <c r="Q1084" s="46"/>
      <c r="R1084" s="46"/>
      <c r="S1084" s="46"/>
      <c r="T1084" s="46"/>
      <c r="U1084" s="46"/>
      <c r="V1084" s="46"/>
      <c r="W1084" s="46"/>
      <c r="X1084" s="46"/>
    </row>
    <row r="1085" spans="1:24" x14ac:dyDescent="0.2">
      <c r="A1085" s="45"/>
      <c r="B1085" s="46"/>
      <c r="C1085" s="46"/>
      <c r="D1085" s="46"/>
      <c r="E1085" s="46"/>
      <c r="F1085" s="46"/>
      <c r="G1085" s="46"/>
      <c r="H1085" s="46"/>
      <c r="I1085" s="46"/>
      <c r="J1085" s="46"/>
      <c r="K1085" s="46"/>
      <c r="L1085" s="46"/>
      <c r="M1085" s="46"/>
      <c r="N1085" s="46"/>
      <c r="O1085" s="46"/>
      <c r="P1085" s="46"/>
      <c r="Q1085" s="46"/>
      <c r="R1085" s="46"/>
      <c r="S1085" s="46"/>
      <c r="T1085" s="46"/>
      <c r="U1085" s="46"/>
      <c r="V1085" s="46"/>
      <c r="W1085" s="46"/>
      <c r="X1085" s="46"/>
    </row>
    <row r="1086" spans="1:24" x14ac:dyDescent="0.2">
      <c r="A1086" s="45"/>
      <c r="B1086" s="46"/>
      <c r="C1086" s="46"/>
      <c r="D1086" s="46"/>
      <c r="E1086" s="46"/>
      <c r="F1086" s="46"/>
      <c r="G1086" s="46"/>
      <c r="H1086" s="46"/>
      <c r="I1086" s="46"/>
      <c r="J1086" s="46"/>
      <c r="K1086" s="46"/>
      <c r="L1086" s="46"/>
      <c r="M1086" s="46"/>
      <c r="N1086" s="46"/>
      <c r="O1086" s="46"/>
      <c r="P1086" s="46"/>
      <c r="Q1086" s="46"/>
      <c r="R1086" s="46"/>
      <c r="S1086" s="46"/>
      <c r="T1086" s="46"/>
      <c r="U1086" s="46"/>
      <c r="V1086" s="46"/>
      <c r="W1086" s="46"/>
      <c r="X1086" s="46"/>
    </row>
    <row r="1087" spans="1:24" x14ac:dyDescent="0.2">
      <c r="A1087" s="45"/>
      <c r="B1087" s="46"/>
      <c r="C1087" s="46"/>
      <c r="D1087" s="46"/>
      <c r="E1087" s="46"/>
      <c r="F1087" s="46"/>
      <c r="G1087" s="46"/>
      <c r="H1087" s="46"/>
      <c r="I1087" s="46"/>
      <c r="J1087" s="46"/>
      <c r="K1087" s="46"/>
      <c r="L1087" s="46"/>
      <c r="M1087" s="46"/>
      <c r="N1087" s="46"/>
      <c r="O1087" s="46"/>
      <c r="P1087" s="46"/>
      <c r="Q1087" s="46"/>
      <c r="R1087" s="46"/>
      <c r="S1087" s="46"/>
      <c r="T1087" s="46"/>
      <c r="U1087" s="46"/>
      <c r="V1087" s="46"/>
      <c r="W1087" s="46"/>
      <c r="X1087" s="46"/>
    </row>
    <row r="1088" spans="1:24" x14ac:dyDescent="0.2">
      <c r="A1088" s="45"/>
      <c r="B1088" s="46"/>
      <c r="C1088" s="46"/>
      <c r="D1088" s="46"/>
      <c r="E1088" s="46"/>
      <c r="F1088" s="46"/>
      <c r="G1088" s="46"/>
      <c r="H1088" s="46"/>
      <c r="I1088" s="46"/>
      <c r="J1088" s="46"/>
      <c r="K1088" s="46"/>
      <c r="L1088" s="46"/>
      <c r="M1088" s="46"/>
      <c r="N1088" s="46"/>
      <c r="O1088" s="46"/>
      <c r="P1088" s="46"/>
      <c r="Q1088" s="46"/>
      <c r="R1088" s="46"/>
      <c r="S1088" s="46"/>
      <c r="T1088" s="46"/>
      <c r="U1088" s="46"/>
      <c r="V1088" s="46"/>
      <c r="W1088" s="46"/>
      <c r="X1088" s="46"/>
    </row>
    <row r="1089" spans="1:24" x14ac:dyDescent="0.2">
      <c r="A1089" s="45"/>
      <c r="B1089" s="46"/>
      <c r="C1089" s="46"/>
      <c r="D1089" s="46"/>
      <c r="E1089" s="46"/>
      <c r="F1089" s="46"/>
      <c r="G1089" s="46"/>
      <c r="H1089" s="46"/>
      <c r="I1089" s="46"/>
      <c r="J1089" s="46"/>
      <c r="K1089" s="46"/>
      <c r="L1089" s="46"/>
      <c r="M1089" s="46"/>
      <c r="N1089" s="46"/>
      <c r="O1089" s="46"/>
      <c r="P1089" s="46"/>
      <c r="Q1089" s="46"/>
      <c r="R1089" s="46"/>
      <c r="S1089" s="46"/>
      <c r="T1089" s="46"/>
      <c r="U1089" s="46"/>
      <c r="V1089" s="46"/>
      <c r="W1089" s="46"/>
      <c r="X1089" s="46"/>
    </row>
    <row r="1090" spans="1:24" x14ac:dyDescent="0.2">
      <c r="A1090" s="45"/>
      <c r="B1090" s="46"/>
      <c r="C1090" s="46"/>
      <c r="D1090" s="46"/>
      <c r="E1090" s="46"/>
      <c r="F1090" s="46"/>
      <c r="G1090" s="46"/>
      <c r="H1090" s="46"/>
      <c r="I1090" s="46"/>
      <c r="J1090" s="46"/>
      <c r="K1090" s="46"/>
      <c r="L1090" s="46"/>
      <c r="M1090" s="46"/>
      <c r="N1090" s="46"/>
      <c r="O1090" s="46"/>
      <c r="P1090" s="46"/>
      <c r="Q1090" s="46"/>
      <c r="R1090" s="46"/>
      <c r="S1090" s="46"/>
      <c r="T1090" s="46"/>
      <c r="U1090" s="46"/>
      <c r="V1090" s="46"/>
      <c r="W1090" s="46"/>
      <c r="X1090" s="46"/>
    </row>
    <row r="1091" spans="1:24" x14ac:dyDescent="0.2">
      <c r="A1091" s="45"/>
      <c r="B1091" s="46"/>
      <c r="C1091" s="46"/>
      <c r="D1091" s="46"/>
      <c r="E1091" s="46"/>
      <c r="F1091" s="46"/>
      <c r="G1091" s="46"/>
      <c r="H1091" s="46"/>
      <c r="I1091" s="46"/>
      <c r="J1091" s="46"/>
      <c r="K1091" s="46"/>
      <c r="L1091" s="46"/>
      <c r="M1091" s="46"/>
      <c r="N1091" s="46"/>
      <c r="O1091" s="46"/>
      <c r="P1091" s="46"/>
      <c r="Q1091" s="46"/>
      <c r="R1091" s="46"/>
      <c r="S1091" s="46"/>
      <c r="T1091" s="46"/>
      <c r="U1091" s="46"/>
      <c r="V1091" s="46"/>
      <c r="W1091" s="46"/>
      <c r="X1091" s="46"/>
    </row>
    <row r="1092" spans="1:24" x14ac:dyDescent="0.2">
      <c r="A1092" s="45"/>
      <c r="B1092" s="46"/>
      <c r="C1092" s="46"/>
      <c r="D1092" s="46"/>
      <c r="E1092" s="46"/>
      <c r="F1092" s="46"/>
      <c r="G1092" s="46"/>
      <c r="H1092" s="46"/>
      <c r="I1092" s="46"/>
      <c r="J1092" s="46"/>
      <c r="K1092" s="46"/>
      <c r="L1092" s="46"/>
      <c r="M1092" s="46"/>
      <c r="N1092" s="46"/>
      <c r="O1092" s="46"/>
      <c r="P1092" s="46"/>
      <c r="Q1092" s="46"/>
      <c r="R1092" s="46"/>
      <c r="S1092" s="46"/>
      <c r="T1092" s="46"/>
      <c r="U1092" s="46"/>
      <c r="V1092" s="46"/>
      <c r="W1092" s="46"/>
      <c r="X1092" s="46"/>
    </row>
    <row r="1093" spans="1:24" x14ac:dyDescent="0.2">
      <c r="A1093" s="45"/>
      <c r="B1093" s="46"/>
      <c r="C1093" s="46"/>
      <c r="D1093" s="46"/>
      <c r="E1093" s="46"/>
      <c r="F1093" s="46"/>
      <c r="G1093" s="46"/>
      <c r="H1093" s="46"/>
      <c r="I1093" s="46"/>
      <c r="J1093" s="46"/>
      <c r="K1093" s="46"/>
      <c r="L1093" s="46"/>
      <c r="M1093" s="46"/>
      <c r="N1093" s="46"/>
      <c r="O1093" s="46"/>
      <c r="P1093" s="46"/>
      <c r="Q1093" s="46"/>
      <c r="R1093" s="46"/>
      <c r="S1093" s="46"/>
      <c r="T1093" s="46"/>
      <c r="U1093" s="46"/>
      <c r="V1093" s="46"/>
      <c r="W1093" s="46"/>
      <c r="X1093" s="46"/>
    </row>
    <row r="1094" spans="1:24" x14ac:dyDescent="0.2">
      <c r="A1094" s="45"/>
      <c r="B1094" s="46"/>
      <c r="C1094" s="46"/>
      <c r="D1094" s="46"/>
      <c r="E1094" s="46"/>
      <c r="F1094" s="46"/>
      <c r="G1094" s="46"/>
      <c r="H1094" s="46"/>
      <c r="I1094" s="46"/>
      <c r="J1094" s="46"/>
      <c r="K1094" s="46"/>
      <c r="L1094" s="46"/>
      <c r="M1094" s="46"/>
      <c r="N1094" s="46"/>
      <c r="O1094" s="46"/>
      <c r="P1094" s="46"/>
      <c r="Q1094" s="46"/>
      <c r="R1094" s="46"/>
      <c r="S1094" s="46"/>
      <c r="T1094" s="46"/>
      <c r="U1094" s="46"/>
      <c r="V1094" s="46"/>
      <c r="W1094" s="46"/>
      <c r="X1094" s="46"/>
    </row>
    <row r="1095" spans="1:24" x14ac:dyDescent="0.2">
      <c r="A1095" s="45"/>
      <c r="B1095" s="46"/>
      <c r="C1095" s="46"/>
      <c r="D1095" s="46"/>
      <c r="E1095" s="46"/>
      <c r="F1095" s="46"/>
      <c r="G1095" s="46"/>
      <c r="H1095" s="46"/>
      <c r="I1095" s="46"/>
      <c r="J1095" s="46"/>
      <c r="K1095" s="46"/>
      <c r="L1095" s="46"/>
      <c r="M1095" s="46"/>
      <c r="N1095" s="46"/>
      <c r="O1095" s="46"/>
      <c r="P1095" s="46"/>
      <c r="Q1095" s="46"/>
      <c r="R1095" s="46"/>
      <c r="S1095" s="46"/>
      <c r="T1095" s="46"/>
      <c r="U1095" s="46"/>
      <c r="V1095" s="46"/>
      <c r="W1095" s="46"/>
      <c r="X1095" s="46"/>
    </row>
    <row r="1096" spans="1:24" x14ac:dyDescent="0.2">
      <c r="A1096" s="45"/>
      <c r="B1096" s="46"/>
      <c r="C1096" s="46"/>
      <c r="D1096" s="46"/>
      <c r="E1096" s="46"/>
      <c r="F1096" s="46"/>
      <c r="G1096" s="46"/>
      <c r="H1096" s="46"/>
      <c r="I1096" s="46"/>
      <c r="J1096" s="46"/>
      <c r="K1096" s="46"/>
      <c r="L1096" s="46"/>
      <c r="M1096" s="46"/>
      <c r="N1096" s="46"/>
      <c r="O1096" s="46"/>
      <c r="P1096" s="46"/>
      <c r="Q1096" s="46"/>
      <c r="R1096" s="46"/>
      <c r="S1096" s="46"/>
      <c r="T1096" s="46"/>
      <c r="U1096" s="46"/>
      <c r="V1096" s="46"/>
      <c r="W1096" s="46"/>
      <c r="X1096" s="46"/>
    </row>
    <row r="1097" spans="1:24" x14ac:dyDescent="0.2">
      <c r="A1097" s="45"/>
      <c r="B1097" s="46"/>
      <c r="C1097" s="46"/>
      <c r="D1097" s="46"/>
      <c r="E1097" s="46"/>
      <c r="F1097" s="46"/>
      <c r="G1097" s="46"/>
      <c r="H1097" s="46"/>
      <c r="I1097" s="46"/>
      <c r="J1097" s="46"/>
      <c r="K1097" s="46"/>
      <c r="L1097" s="46"/>
      <c r="M1097" s="46"/>
      <c r="N1097" s="46"/>
      <c r="O1097" s="46"/>
      <c r="P1097" s="46"/>
      <c r="Q1097" s="46"/>
      <c r="R1097" s="46"/>
      <c r="S1097" s="46"/>
      <c r="T1097" s="46"/>
      <c r="U1097" s="46"/>
      <c r="V1097" s="46"/>
      <c r="W1097" s="46"/>
      <c r="X1097" s="46"/>
    </row>
    <row r="1098" spans="1:24" x14ac:dyDescent="0.2">
      <c r="A1098" s="45"/>
      <c r="B1098" s="46"/>
      <c r="C1098" s="46"/>
      <c r="D1098" s="46"/>
      <c r="E1098" s="46"/>
      <c r="F1098" s="46"/>
      <c r="G1098" s="46"/>
      <c r="H1098" s="46"/>
      <c r="I1098" s="46"/>
      <c r="J1098" s="46"/>
      <c r="K1098" s="46"/>
      <c r="L1098" s="46"/>
      <c r="M1098" s="46"/>
      <c r="N1098" s="46"/>
      <c r="O1098" s="46"/>
      <c r="P1098" s="46"/>
      <c r="Q1098" s="46"/>
      <c r="R1098" s="46"/>
      <c r="S1098" s="46"/>
      <c r="T1098" s="46"/>
      <c r="U1098" s="46"/>
      <c r="V1098" s="46"/>
      <c r="W1098" s="46"/>
      <c r="X1098" s="46"/>
    </row>
    <row r="1099" spans="1:24" x14ac:dyDescent="0.2">
      <c r="A1099" s="45"/>
      <c r="B1099" s="46"/>
      <c r="C1099" s="46"/>
      <c r="D1099" s="46"/>
      <c r="E1099" s="46"/>
      <c r="F1099" s="46"/>
      <c r="G1099" s="46"/>
      <c r="H1099" s="46"/>
      <c r="I1099" s="46"/>
      <c r="J1099" s="46"/>
      <c r="K1099" s="46"/>
      <c r="L1099" s="46"/>
      <c r="M1099" s="46"/>
      <c r="N1099" s="46"/>
      <c r="O1099" s="46"/>
      <c r="P1099" s="46"/>
      <c r="Q1099" s="46"/>
      <c r="R1099" s="46"/>
      <c r="S1099" s="46"/>
      <c r="T1099" s="46"/>
      <c r="U1099" s="46"/>
      <c r="V1099" s="46"/>
      <c r="W1099" s="46"/>
      <c r="X1099" s="46"/>
    </row>
    <row r="1100" spans="1:24" x14ac:dyDescent="0.2">
      <c r="A1100" s="45"/>
      <c r="B1100" s="46"/>
      <c r="C1100" s="46"/>
      <c r="D1100" s="46"/>
      <c r="E1100" s="46"/>
      <c r="F1100" s="46"/>
      <c r="G1100" s="46"/>
      <c r="H1100" s="46"/>
      <c r="I1100" s="46"/>
      <c r="J1100" s="46"/>
      <c r="K1100" s="46"/>
      <c r="L1100" s="46"/>
      <c r="M1100" s="46"/>
      <c r="N1100" s="46"/>
      <c r="O1100" s="46"/>
      <c r="P1100" s="46"/>
      <c r="Q1100" s="46"/>
      <c r="R1100" s="46"/>
      <c r="S1100" s="46"/>
      <c r="T1100" s="46"/>
      <c r="U1100" s="46"/>
      <c r="V1100" s="46"/>
      <c r="W1100" s="46"/>
      <c r="X1100" s="46"/>
    </row>
    <row r="1101" spans="1:24" x14ac:dyDescent="0.2">
      <c r="A1101" s="45"/>
      <c r="B1101" s="46"/>
      <c r="C1101" s="46"/>
      <c r="D1101" s="46"/>
      <c r="E1101" s="46"/>
      <c r="F1101" s="46"/>
      <c r="G1101" s="46"/>
      <c r="H1101" s="46"/>
      <c r="I1101" s="46"/>
      <c r="J1101" s="46"/>
      <c r="K1101" s="46"/>
      <c r="L1101" s="46"/>
      <c r="M1101" s="46"/>
      <c r="N1101" s="46"/>
      <c r="O1101" s="46"/>
      <c r="P1101" s="46"/>
      <c r="Q1101" s="46"/>
      <c r="R1101" s="46"/>
      <c r="S1101" s="46"/>
      <c r="T1101" s="46"/>
      <c r="U1101" s="46"/>
      <c r="V1101" s="46"/>
      <c r="W1101" s="46"/>
      <c r="X1101" s="46"/>
    </row>
    <row r="1102" spans="1:24" x14ac:dyDescent="0.2">
      <c r="A1102" s="45"/>
      <c r="B1102" s="46"/>
      <c r="C1102" s="46"/>
      <c r="D1102" s="46"/>
      <c r="E1102" s="46"/>
      <c r="F1102" s="46"/>
      <c r="G1102" s="46"/>
      <c r="H1102" s="46"/>
      <c r="I1102" s="46"/>
      <c r="J1102" s="46"/>
      <c r="K1102" s="46"/>
      <c r="L1102" s="46"/>
      <c r="M1102" s="46"/>
      <c r="N1102" s="46"/>
      <c r="O1102" s="46"/>
      <c r="P1102" s="46"/>
      <c r="Q1102" s="46"/>
      <c r="R1102" s="46"/>
      <c r="S1102" s="46"/>
      <c r="T1102" s="46"/>
      <c r="U1102" s="46"/>
      <c r="V1102" s="46"/>
      <c r="W1102" s="46"/>
      <c r="X1102" s="46"/>
    </row>
    <row r="1103" spans="1:24" x14ac:dyDescent="0.2">
      <c r="A1103" s="45"/>
      <c r="B1103" s="46"/>
      <c r="C1103" s="46"/>
      <c r="D1103" s="46"/>
      <c r="E1103" s="46"/>
      <c r="F1103" s="46"/>
      <c r="G1103" s="46"/>
      <c r="H1103" s="46"/>
      <c r="I1103" s="46"/>
      <c r="J1103" s="46"/>
      <c r="K1103" s="46"/>
      <c r="L1103" s="46"/>
      <c r="M1103" s="46"/>
      <c r="N1103" s="46"/>
      <c r="O1103" s="46"/>
      <c r="P1103" s="46"/>
      <c r="Q1103" s="46"/>
      <c r="R1103" s="46"/>
      <c r="S1103" s="46"/>
      <c r="T1103" s="46"/>
      <c r="U1103" s="46"/>
      <c r="V1103" s="46"/>
      <c r="W1103" s="46"/>
      <c r="X1103" s="46"/>
    </row>
    <row r="1104" spans="1:24" x14ac:dyDescent="0.2">
      <c r="A1104" s="45"/>
      <c r="B1104" s="46"/>
      <c r="C1104" s="46"/>
      <c r="D1104" s="46"/>
      <c r="E1104" s="46"/>
      <c r="F1104" s="46"/>
      <c r="G1104" s="46"/>
      <c r="H1104" s="46"/>
      <c r="I1104" s="46"/>
      <c r="J1104" s="46"/>
      <c r="K1104" s="46"/>
      <c r="L1104" s="46"/>
      <c r="M1104" s="46"/>
      <c r="N1104" s="46"/>
      <c r="O1104" s="46"/>
      <c r="P1104" s="46"/>
      <c r="Q1104" s="46"/>
      <c r="R1104" s="46"/>
      <c r="S1104" s="46"/>
      <c r="T1104" s="46"/>
      <c r="U1104" s="46"/>
      <c r="V1104" s="46"/>
      <c r="W1104" s="46"/>
      <c r="X1104" s="46"/>
    </row>
    <row r="1105" spans="1:24" x14ac:dyDescent="0.2">
      <c r="A1105" s="45"/>
      <c r="B1105" s="46"/>
      <c r="C1105" s="46"/>
      <c r="D1105" s="46"/>
      <c r="E1105" s="46"/>
      <c r="F1105" s="46"/>
      <c r="G1105" s="46"/>
      <c r="H1105" s="46"/>
      <c r="I1105" s="46"/>
      <c r="J1105" s="46"/>
      <c r="K1105" s="46"/>
      <c r="L1105" s="46"/>
      <c r="M1105" s="46"/>
      <c r="N1105" s="46"/>
      <c r="O1105" s="46"/>
      <c r="P1105" s="46"/>
      <c r="Q1105" s="46"/>
      <c r="R1105" s="46"/>
      <c r="S1105" s="46"/>
      <c r="T1105" s="46"/>
      <c r="U1105" s="46"/>
      <c r="V1105" s="46"/>
      <c r="W1105" s="46"/>
      <c r="X1105" s="46"/>
    </row>
    <row r="1106" spans="1:24" x14ac:dyDescent="0.2">
      <c r="A1106" s="45"/>
      <c r="B1106" s="46"/>
      <c r="C1106" s="46"/>
      <c r="D1106" s="46"/>
      <c r="E1106" s="46"/>
      <c r="F1106" s="46"/>
      <c r="G1106" s="46"/>
      <c r="H1106" s="46"/>
      <c r="I1106" s="46"/>
      <c r="J1106" s="46"/>
      <c r="K1106" s="46"/>
      <c r="L1106" s="46"/>
      <c r="M1106" s="46"/>
      <c r="N1106" s="46"/>
      <c r="O1106" s="46"/>
      <c r="P1106" s="46"/>
      <c r="Q1106" s="46"/>
      <c r="R1106" s="46"/>
      <c r="S1106" s="46"/>
      <c r="T1106" s="46"/>
      <c r="U1106" s="46"/>
      <c r="V1106" s="46"/>
      <c r="W1106" s="46"/>
      <c r="X1106" s="46"/>
    </row>
    <row r="1107" spans="1:24" x14ac:dyDescent="0.2">
      <c r="A1107" s="45"/>
      <c r="B1107" s="46"/>
      <c r="C1107" s="46"/>
      <c r="D1107" s="46"/>
      <c r="E1107" s="46"/>
      <c r="F1107" s="46"/>
      <c r="G1107" s="46"/>
      <c r="H1107" s="46"/>
      <c r="I1107" s="46"/>
      <c r="J1107" s="46"/>
      <c r="K1107" s="46"/>
      <c r="L1107" s="46"/>
      <c r="M1107" s="46"/>
      <c r="N1107" s="46"/>
      <c r="O1107" s="46"/>
      <c r="P1107" s="46"/>
      <c r="Q1107" s="46"/>
      <c r="R1107" s="46"/>
      <c r="S1107" s="46"/>
      <c r="T1107" s="46"/>
      <c r="U1107" s="46"/>
      <c r="V1107" s="46"/>
      <c r="W1107" s="46"/>
      <c r="X1107" s="46"/>
    </row>
    <row r="1108" spans="1:24" x14ac:dyDescent="0.2">
      <c r="A1108" s="45"/>
      <c r="B1108" s="46"/>
      <c r="C1108" s="46"/>
      <c r="D1108" s="46"/>
      <c r="E1108" s="46"/>
      <c r="F1108" s="46"/>
      <c r="G1108" s="46"/>
      <c r="H1108" s="46"/>
      <c r="I1108" s="46"/>
      <c r="J1108" s="46"/>
      <c r="K1108" s="46"/>
      <c r="L1108" s="46"/>
      <c r="M1108" s="46"/>
      <c r="N1108" s="46"/>
      <c r="O1108" s="46"/>
      <c r="P1108" s="46"/>
      <c r="Q1108" s="46"/>
      <c r="R1108" s="46"/>
      <c r="S1108" s="46"/>
      <c r="T1108" s="46"/>
      <c r="U1108" s="46"/>
      <c r="V1108" s="46"/>
      <c r="W1108" s="46"/>
      <c r="X1108" s="46"/>
    </row>
    <row r="1109" spans="1:24" x14ac:dyDescent="0.2">
      <c r="A1109" s="45"/>
      <c r="B1109" s="46"/>
      <c r="C1109" s="46"/>
      <c r="D1109" s="46"/>
      <c r="E1109" s="46"/>
      <c r="F1109" s="46"/>
      <c r="G1109" s="46"/>
      <c r="H1109" s="46"/>
      <c r="I1109" s="46"/>
      <c r="J1109" s="46"/>
      <c r="K1109" s="46"/>
      <c r="L1109" s="46"/>
      <c r="M1109" s="46"/>
      <c r="N1109" s="46"/>
      <c r="O1109" s="46"/>
      <c r="P1109" s="46"/>
      <c r="Q1109" s="46"/>
      <c r="R1109" s="46"/>
      <c r="S1109" s="46"/>
      <c r="T1109" s="46"/>
      <c r="U1109" s="46"/>
      <c r="V1109" s="46"/>
      <c r="W1109" s="46"/>
      <c r="X1109" s="46"/>
    </row>
    <row r="1110" spans="1:24" x14ac:dyDescent="0.2">
      <c r="A1110" s="45"/>
      <c r="B1110" s="46"/>
      <c r="C1110" s="46"/>
      <c r="D1110" s="46"/>
      <c r="E1110" s="46"/>
      <c r="F1110" s="46"/>
      <c r="G1110" s="46"/>
      <c r="H1110" s="46"/>
      <c r="I1110" s="46"/>
      <c r="J1110" s="46"/>
      <c r="K1110" s="46"/>
      <c r="L1110" s="46"/>
      <c r="M1110" s="46"/>
      <c r="N1110" s="46"/>
      <c r="O1110" s="46"/>
      <c r="P1110" s="46"/>
      <c r="Q1110" s="46"/>
      <c r="R1110" s="46"/>
      <c r="S1110" s="46"/>
      <c r="T1110" s="46"/>
      <c r="U1110" s="46"/>
      <c r="V1110" s="46"/>
      <c r="W1110" s="46"/>
      <c r="X1110" s="46"/>
    </row>
    <row r="1111" spans="1:24" x14ac:dyDescent="0.2">
      <c r="A1111" s="45"/>
      <c r="B1111" s="46"/>
      <c r="C1111" s="46"/>
      <c r="D1111" s="46"/>
      <c r="E1111" s="46"/>
      <c r="F1111" s="46"/>
      <c r="G1111" s="46"/>
      <c r="H1111" s="46"/>
      <c r="I1111" s="46"/>
      <c r="J1111" s="46"/>
      <c r="K1111" s="46"/>
      <c r="L1111" s="46"/>
      <c r="M1111" s="46"/>
      <c r="N1111" s="46"/>
      <c r="O1111" s="46"/>
      <c r="P1111" s="46"/>
      <c r="Q1111" s="46"/>
      <c r="R1111" s="46"/>
      <c r="S1111" s="46"/>
      <c r="T1111" s="46"/>
      <c r="U1111" s="46"/>
      <c r="V1111" s="46"/>
      <c r="W1111" s="46"/>
      <c r="X1111" s="46"/>
    </row>
    <row r="1112" spans="1:24" x14ac:dyDescent="0.2">
      <c r="A1112" s="45"/>
      <c r="B1112" s="46"/>
      <c r="C1112" s="46"/>
      <c r="D1112" s="46"/>
      <c r="E1112" s="46"/>
      <c r="F1112" s="46"/>
      <c r="G1112" s="46"/>
      <c r="H1112" s="46"/>
      <c r="I1112" s="46"/>
      <c r="J1112" s="46"/>
      <c r="K1112" s="46"/>
      <c r="L1112" s="46"/>
      <c r="M1112" s="46"/>
      <c r="N1112" s="46"/>
      <c r="O1112" s="46"/>
      <c r="P1112" s="46"/>
      <c r="Q1112" s="46"/>
      <c r="R1112" s="46"/>
      <c r="S1112" s="46"/>
      <c r="T1112" s="46"/>
      <c r="U1112" s="46"/>
      <c r="V1112" s="46"/>
      <c r="W1112" s="46"/>
      <c r="X1112" s="46"/>
    </row>
    <row r="1113" spans="1:24" x14ac:dyDescent="0.2">
      <c r="A1113" s="45"/>
      <c r="B1113" s="46"/>
      <c r="C1113" s="46"/>
      <c r="D1113" s="46"/>
      <c r="E1113" s="46"/>
      <c r="F1113" s="46"/>
      <c r="G1113" s="46"/>
      <c r="H1113" s="46"/>
      <c r="I1113" s="46"/>
      <c r="J1113" s="46"/>
      <c r="K1113" s="46"/>
      <c r="L1113" s="46"/>
      <c r="M1113" s="46"/>
      <c r="N1113" s="46"/>
      <c r="O1113" s="46"/>
      <c r="P1113" s="46"/>
      <c r="Q1113" s="46"/>
      <c r="R1113" s="46"/>
      <c r="S1113" s="46"/>
      <c r="T1113" s="46"/>
      <c r="U1113" s="46"/>
      <c r="V1113" s="46"/>
      <c r="W1113" s="46"/>
      <c r="X1113" s="46"/>
    </row>
    <row r="1114" spans="1:24" x14ac:dyDescent="0.2">
      <c r="A1114" s="45"/>
      <c r="B1114" s="46"/>
      <c r="C1114" s="46"/>
      <c r="D1114" s="46"/>
      <c r="E1114" s="46"/>
      <c r="F1114" s="46"/>
      <c r="G1114" s="46"/>
      <c r="H1114" s="46"/>
      <c r="I1114" s="46"/>
      <c r="J1114" s="46"/>
      <c r="K1114" s="46"/>
      <c r="L1114" s="46"/>
      <c r="M1114" s="46"/>
      <c r="N1114" s="46"/>
      <c r="O1114" s="46"/>
      <c r="P1114" s="46"/>
      <c r="Q1114" s="46"/>
      <c r="R1114" s="46"/>
      <c r="S1114" s="46"/>
      <c r="T1114" s="46"/>
      <c r="U1114" s="46"/>
      <c r="V1114" s="46"/>
      <c r="W1114" s="46"/>
      <c r="X1114" s="46"/>
    </row>
    <row r="1115" spans="1:24" x14ac:dyDescent="0.2">
      <c r="A1115" s="45"/>
      <c r="B1115" s="46"/>
      <c r="C1115" s="46"/>
      <c r="D1115" s="46"/>
      <c r="E1115" s="46"/>
      <c r="F1115" s="46"/>
      <c r="G1115" s="46"/>
      <c r="H1115" s="46"/>
      <c r="I1115" s="46"/>
      <c r="J1115" s="46"/>
      <c r="K1115" s="46"/>
      <c r="L1115" s="46"/>
      <c r="M1115" s="46"/>
      <c r="N1115" s="46"/>
      <c r="O1115" s="46"/>
      <c r="P1115" s="46"/>
      <c r="Q1115" s="46"/>
      <c r="R1115" s="46"/>
      <c r="S1115" s="46"/>
      <c r="T1115" s="46"/>
      <c r="U1115" s="46"/>
      <c r="V1115" s="46"/>
      <c r="W1115" s="46"/>
      <c r="X1115" s="46"/>
    </row>
    <row r="1116" spans="1:24" x14ac:dyDescent="0.2">
      <c r="A1116" s="45"/>
      <c r="B1116" s="46"/>
      <c r="C1116" s="46"/>
      <c r="D1116" s="46"/>
      <c r="E1116" s="46"/>
      <c r="F1116" s="46"/>
      <c r="G1116" s="46"/>
      <c r="H1116" s="46"/>
      <c r="I1116" s="46"/>
      <c r="J1116" s="46"/>
      <c r="K1116" s="46"/>
      <c r="L1116" s="46"/>
      <c r="M1116" s="46"/>
      <c r="N1116" s="46"/>
      <c r="O1116" s="46"/>
      <c r="P1116" s="46"/>
      <c r="Q1116" s="46"/>
      <c r="R1116" s="46"/>
      <c r="S1116" s="46"/>
      <c r="T1116" s="46"/>
      <c r="U1116" s="46"/>
      <c r="V1116" s="46"/>
      <c r="W1116" s="46"/>
      <c r="X1116" s="46"/>
    </row>
    <row r="1117" spans="1:24" x14ac:dyDescent="0.2">
      <c r="A1117" s="45"/>
      <c r="B1117" s="46"/>
      <c r="C1117" s="46"/>
      <c r="D1117" s="46"/>
      <c r="E1117" s="46"/>
      <c r="F1117" s="46"/>
      <c r="G1117" s="46"/>
      <c r="H1117" s="46"/>
      <c r="I1117" s="46"/>
      <c r="J1117" s="46"/>
      <c r="K1117" s="46"/>
      <c r="L1117" s="46"/>
      <c r="M1117" s="46"/>
      <c r="N1117" s="46"/>
      <c r="O1117" s="46"/>
      <c r="P1117" s="46"/>
      <c r="Q1117" s="46"/>
      <c r="R1117" s="46"/>
      <c r="S1117" s="46"/>
      <c r="T1117" s="46"/>
      <c r="U1117" s="46"/>
      <c r="V1117" s="46"/>
      <c r="W1117" s="46"/>
      <c r="X1117" s="46"/>
    </row>
    <row r="1118" spans="1:24" x14ac:dyDescent="0.2">
      <c r="A1118" s="45"/>
      <c r="B1118" s="46"/>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46"/>
    </row>
    <row r="1119" spans="1:24" x14ac:dyDescent="0.2">
      <c r="A1119" s="45"/>
      <c r="B1119" s="46"/>
      <c r="C1119" s="46"/>
      <c r="D1119" s="46"/>
      <c r="E1119" s="46"/>
      <c r="F1119" s="46"/>
      <c r="G1119" s="46"/>
      <c r="H1119" s="46"/>
      <c r="I1119" s="46"/>
      <c r="J1119" s="46"/>
      <c r="K1119" s="46"/>
      <c r="L1119" s="46"/>
      <c r="M1119" s="46"/>
      <c r="N1119" s="46"/>
      <c r="O1119" s="46"/>
      <c r="P1119" s="46"/>
      <c r="Q1119" s="46"/>
      <c r="R1119" s="46"/>
      <c r="S1119" s="46"/>
      <c r="T1119" s="46"/>
      <c r="U1119" s="46"/>
      <c r="V1119" s="46"/>
      <c r="W1119" s="46"/>
      <c r="X1119" s="46"/>
    </row>
    <row r="1120" spans="1:24" x14ac:dyDescent="0.2">
      <c r="A1120" s="45"/>
      <c r="B1120" s="46"/>
      <c r="C1120" s="46"/>
      <c r="D1120" s="46"/>
      <c r="E1120" s="46"/>
      <c r="F1120" s="46"/>
      <c r="G1120" s="46"/>
      <c r="H1120" s="46"/>
      <c r="I1120" s="46"/>
      <c r="J1120" s="46"/>
      <c r="K1120" s="46"/>
      <c r="L1120" s="46"/>
      <c r="M1120" s="46"/>
      <c r="N1120" s="46"/>
      <c r="O1120" s="46"/>
      <c r="P1120" s="46"/>
      <c r="Q1120" s="46"/>
      <c r="R1120" s="46"/>
      <c r="S1120" s="46"/>
      <c r="T1120" s="46"/>
      <c r="U1120" s="46"/>
      <c r="V1120" s="46"/>
      <c r="W1120" s="46"/>
      <c r="X1120" s="46"/>
    </row>
    <row r="1121" spans="1:24" x14ac:dyDescent="0.2">
      <c r="A1121" s="45"/>
      <c r="B1121" s="46"/>
      <c r="C1121" s="46"/>
      <c r="D1121" s="46"/>
      <c r="E1121" s="46"/>
      <c r="F1121" s="46"/>
      <c r="G1121" s="46"/>
      <c r="H1121" s="46"/>
      <c r="I1121" s="46"/>
      <c r="J1121" s="46"/>
      <c r="K1121" s="46"/>
      <c r="L1121" s="46"/>
      <c r="M1121" s="46"/>
      <c r="N1121" s="46"/>
      <c r="O1121" s="46"/>
      <c r="P1121" s="46"/>
      <c r="Q1121" s="46"/>
      <c r="R1121" s="46"/>
      <c r="S1121" s="46"/>
      <c r="T1121" s="46"/>
      <c r="U1121" s="46"/>
      <c r="V1121" s="46"/>
      <c r="W1121" s="46"/>
      <c r="X1121" s="46"/>
    </row>
    <row r="1122" spans="1:24" x14ac:dyDescent="0.2">
      <c r="A1122" s="45"/>
      <c r="B1122" s="46"/>
      <c r="C1122" s="46"/>
      <c r="D1122" s="46"/>
      <c r="E1122" s="46"/>
      <c r="F1122" s="46"/>
      <c r="G1122" s="46"/>
      <c r="H1122" s="46"/>
      <c r="I1122" s="46"/>
      <c r="J1122" s="46"/>
      <c r="K1122" s="46"/>
      <c r="L1122" s="46"/>
      <c r="M1122" s="46"/>
      <c r="N1122" s="46"/>
      <c r="O1122" s="46"/>
      <c r="P1122" s="46"/>
      <c r="Q1122" s="46"/>
      <c r="R1122" s="46"/>
      <c r="S1122" s="46"/>
      <c r="T1122" s="46"/>
      <c r="U1122" s="46"/>
      <c r="V1122" s="46"/>
      <c r="W1122" s="46"/>
      <c r="X1122" s="46"/>
    </row>
    <row r="1123" spans="1:24" x14ac:dyDescent="0.2">
      <c r="A1123" s="45"/>
      <c r="B1123" s="46"/>
      <c r="C1123" s="46"/>
      <c r="D1123" s="46"/>
      <c r="E1123" s="46"/>
      <c r="F1123" s="46"/>
      <c r="G1123" s="46"/>
      <c r="H1123" s="46"/>
      <c r="I1123" s="46"/>
      <c r="J1123" s="46"/>
      <c r="K1123" s="46"/>
      <c r="L1123" s="46"/>
      <c r="M1123" s="46"/>
      <c r="N1123" s="46"/>
      <c r="O1123" s="46"/>
      <c r="P1123" s="46"/>
      <c r="Q1123" s="46"/>
      <c r="R1123" s="46"/>
      <c r="S1123" s="46"/>
      <c r="T1123" s="46"/>
      <c r="U1123" s="46"/>
      <c r="V1123" s="46"/>
      <c r="W1123" s="46"/>
      <c r="X1123" s="46"/>
    </row>
    <row r="1124" spans="1:24" x14ac:dyDescent="0.2">
      <c r="A1124" s="45"/>
      <c r="B1124" s="46"/>
      <c r="C1124" s="46"/>
      <c r="D1124" s="46"/>
      <c r="E1124" s="46"/>
      <c r="F1124" s="46"/>
      <c r="G1124" s="46"/>
      <c r="H1124" s="46"/>
      <c r="I1124" s="46"/>
      <c r="J1124" s="46"/>
      <c r="K1124" s="46"/>
      <c r="L1124" s="46"/>
      <c r="M1124" s="46"/>
      <c r="N1124" s="46"/>
      <c r="O1124" s="46"/>
      <c r="P1124" s="46"/>
      <c r="Q1124" s="46"/>
      <c r="R1124" s="46"/>
      <c r="S1124" s="46"/>
      <c r="T1124" s="46"/>
      <c r="U1124" s="46"/>
      <c r="V1124" s="46"/>
      <c r="W1124" s="46"/>
      <c r="X1124" s="46"/>
    </row>
    <row r="1125" spans="1:24" x14ac:dyDescent="0.2">
      <c r="A1125" s="45"/>
      <c r="B1125" s="46"/>
      <c r="C1125" s="46"/>
      <c r="D1125" s="46"/>
      <c r="E1125" s="46"/>
      <c r="F1125" s="46"/>
      <c r="G1125" s="46"/>
      <c r="H1125" s="46"/>
      <c r="I1125" s="46"/>
      <c r="J1125" s="46"/>
      <c r="K1125" s="46"/>
      <c r="L1125" s="46"/>
      <c r="M1125" s="46"/>
      <c r="N1125" s="46"/>
      <c r="O1125" s="46"/>
      <c r="P1125" s="46"/>
      <c r="Q1125" s="46"/>
      <c r="R1125" s="46"/>
      <c r="S1125" s="46"/>
      <c r="T1125" s="46"/>
      <c r="U1125" s="46"/>
      <c r="V1125" s="46"/>
      <c r="W1125" s="46"/>
      <c r="X1125" s="46"/>
    </row>
    <row r="1126" spans="1:24" x14ac:dyDescent="0.2">
      <c r="A1126" s="45"/>
      <c r="B1126" s="46"/>
      <c r="C1126" s="46"/>
      <c r="D1126" s="46"/>
      <c r="E1126" s="46"/>
      <c r="F1126" s="46"/>
      <c r="G1126" s="46"/>
      <c r="H1126" s="46"/>
      <c r="I1126" s="46"/>
      <c r="J1126" s="46"/>
      <c r="K1126" s="46"/>
      <c r="L1126" s="46"/>
      <c r="M1126" s="46"/>
      <c r="N1126" s="46"/>
      <c r="O1126" s="46"/>
      <c r="P1126" s="46"/>
      <c r="Q1126" s="46"/>
      <c r="R1126" s="46"/>
      <c r="S1126" s="46"/>
      <c r="T1126" s="46"/>
      <c r="U1126" s="46"/>
      <c r="V1126" s="46"/>
      <c r="W1126" s="46"/>
      <c r="X1126" s="46"/>
    </row>
    <row r="1127" spans="1:24" x14ac:dyDescent="0.2">
      <c r="A1127" s="45"/>
      <c r="B1127" s="46"/>
      <c r="C1127" s="46"/>
      <c r="D1127" s="46"/>
      <c r="E1127" s="46"/>
      <c r="F1127" s="46"/>
      <c r="G1127" s="46"/>
      <c r="H1127" s="46"/>
      <c r="I1127" s="46"/>
      <c r="J1127" s="46"/>
      <c r="K1127" s="46"/>
      <c r="L1127" s="46"/>
      <c r="M1127" s="46"/>
      <c r="N1127" s="46"/>
      <c r="O1127" s="46"/>
      <c r="P1127" s="46"/>
      <c r="Q1127" s="46"/>
      <c r="R1127" s="46"/>
      <c r="S1127" s="46"/>
      <c r="T1127" s="46"/>
      <c r="U1127" s="46"/>
      <c r="V1127" s="46"/>
      <c r="W1127" s="46"/>
      <c r="X1127" s="46"/>
    </row>
    <row r="1128" spans="1:24" x14ac:dyDescent="0.2">
      <c r="A1128" s="45"/>
      <c r="B1128" s="46"/>
      <c r="C1128" s="46"/>
      <c r="D1128" s="46"/>
      <c r="E1128" s="46"/>
      <c r="F1128" s="46"/>
      <c r="G1128" s="46"/>
      <c r="H1128" s="46"/>
      <c r="I1128" s="46"/>
      <c r="J1128" s="46"/>
      <c r="K1128" s="46"/>
      <c r="L1128" s="46"/>
      <c r="M1128" s="46"/>
      <c r="N1128" s="46"/>
      <c r="O1128" s="46"/>
      <c r="P1128" s="46"/>
      <c r="Q1128" s="46"/>
      <c r="R1128" s="46"/>
      <c r="S1128" s="46"/>
      <c r="T1128" s="46"/>
      <c r="U1128" s="46"/>
      <c r="V1128" s="46"/>
      <c r="W1128" s="46"/>
      <c r="X1128" s="46"/>
    </row>
    <row r="1129" spans="1:24" x14ac:dyDescent="0.2">
      <c r="A1129" s="45"/>
      <c r="B1129" s="46"/>
      <c r="C1129" s="46"/>
      <c r="D1129" s="46"/>
      <c r="E1129" s="46"/>
      <c r="F1129" s="46"/>
      <c r="G1129" s="46"/>
      <c r="H1129" s="46"/>
      <c r="I1129" s="46"/>
      <c r="J1129" s="46"/>
      <c r="K1129" s="46"/>
      <c r="L1129" s="46"/>
      <c r="M1129" s="46"/>
      <c r="N1129" s="46"/>
      <c r="O1129" s="46"/>
      <c r="P1129" s="46"/>
      <c r="Q1129" s="46"/>
      <c r="R1129" s="46"/>
      <c r="S1129" s="46"/>
      <c r="T1129" s="46"/>
      <c r="U1129" s="46"/>
      <c r="V1129" s="46"/>
      <c r="W1129" s="46"/>
      <c r="X1129" s="46"/>
    </row>
    <row r="1130" spans="1:24" x14ac:dyDescent="0.2">
      <c r="A1130" s="45"/>
      <c r="B1130" s="46"/>
      <c r="C1130" s="46"/>
      <c r="D1130" s="46"/>
      <c r="E1130" s="46"/>
      <c r="F1130" s="46"/>
      <c r="G1130" s="46"/>
      <c r="H1130" s="46"/>
      <c r="I1130" s="46"/>
      <c r="J1130" s="46"/>
      <c r="K1130" s="46"/>
      <c r="L1130" s="46"/>
      <c r="M1130" s="46"/>
      <c r="N1130" s="46"/>
      <c r="O1130" s="46"/>
      <c r="P1130" s="46"/>
      <c r="Q1130" s="46"/>
      <c r="R1130" s="46"/>
      <c r="S1130" s="46"/>
      <c r="T1130" s="46"/>
      <c r="U1130" s="46"/>
      <c r="V1130" s="46"/>
      <c r="W1130" s="46"/>
      <c r="X1130" s="46"/>
    </row>
    <row r="1131" spans="1:24" x14ac:dyDescent="0.2">
      <c r="A1131" s="45"/>
      <c r="B1131" s="46"/>
      <c r="C1131" s="46"/>
      <c r="D1131" s="46"/>
      <c r="E1131" s="46"/>
      <c r="F1131" s="46"/>
      <c r="G1131" s="46"/>
      <c r="H1131" s="46"/>
      <c r="I1131" s="46"/>
      <c r="J1131" s="46"/>
      <c r="K1131" s="46"/>
      <c r="L1131" s="46"/>
      <c r="M1131" s="46"/>
      <c r="N1131" s="46"/>
      <c r="O1131" s="46"/>
      <c r="P1131" s="46"/>
      <c r="Q1131" s="46"/>
      <c r="R1131" s="46"/>
      <c r="S1131" s="46"/>
      <c r="T1131" s="46"/>
      <c r="U1131" s="46"/>
      <c r="V1131" s="46"/>
      <c r="W1131" s="46"/>
      <c r="X1131" s="46"/>
    </row>
    <row r="1132" spans="1:24" x14ac:dyDescent="0.2">
      <c r="A1132" s="45"/>
      <c r="B1132" s="46"/>
      <c r="C1132" s="46"/>
      <c r="D1132" s="46"/>
      <c r="E1132" s="46"/>
      <c r="F1132" s="46"/>
      <c r="G1132" s="46"/>
      <c r="H1132" s="46"/>
      <c r="I1132" s="46"/>
      <c r="J1132" s="46"/>
      <c r="K1132" s="46"/>
      <c r="L1132" s="46"/>
      <c r="M1132" s="46"/>
      <c r="N1132" s="46"/>
      <c r="O1132" s="46"/>
      <c r="P1132" s="46"/>
      <c r="Q1132" s="46"/>
      <c r="R1132" s="46"/>
      <c r="S1132" s="46"/>
      <c r="T1132" s="46"/>
      <c r="U1132" s="46"/>
      <c r="V1132" s="46"/>
      <c r="W1132" s="46"/>
      <c r="X1132" s="46"/>
    </row>
    <row r="1133" spans="1:24" x14ac:dyDescent="0.2">
      <c r="A1133" s="45"/>
      <c r="B1133" s="46"/>
      <c r="C1133" s="46"/>
      <c r="D1133" s="46"/>
      <c r="E1133" s="46"/>
      <c r="F1133" s="46"/>
      <c r="G1133" s="46"/>
      <c r="H1133" s="46"/>
      <c r="I1133" s="46"/>
      <c r="J1133" s="46"/>
      <c r="K1133" s="46"/>
      <c r="L1133" s="46"/>
      <c r="M1133" s="46"/>
      <c r="N1133" s="46"/>
      <c r="O1133" s="46"/>
      <c r="P1133" s="46"/>
      <c r="Q1133" s="46"/>
      <c r="R1133" s="46"/>
      <c r="S1133" s="46"/>
      <c r="T1133" s="46"/>
      <c r="U1133" s="46"/>
      <c r="V1133" s="46"/>
      <c r="W1133" s="46"/>
      <c r="X1133" s="46"/>
    </row>
    <row r="1134" spans="1:24" x14ac:dyDescent="0.2">
      <c r="A1134" s="45"/>
      <c r="B1134" s="46"/>
      <c r="C1134" s="46"/>
      <c r="D1134" s="46"/>
      <c r="E1134" s="46"/>
      <c r="F1134" s="46"/>
      <c r="G1134" s="46"/>
      <c r="H1134" s="46"/>
      <c r="I1134" s="46"/>
      <c r="J1134" s="46"/>
      <c r="K1134" s="46"/>
      <c r="L1134" s="46"/>
      <c r="M1134" s="46"/>
      <c r="N1134" s="46"/>
      <c r="O1134" s="46"/>
      <c r="P1134" s="46"/>
      <c r="Q1134" s="46"/>
      <c r="R1134" s="46"/>
      <c r="S1134" s="46"/>
      <c r="T1134" s="46"/>
      <c r="U1134" s="46"/>
      <c r="V1134" s="46"/>
      <c r="W1134" s="46"/>
      <c r="X1134" s="46"/>
    </row>
    <row r="1135" spans="1:24" x14ac:dyDescent="0.2">
      <c r="A1135" s="45"/>
      <c r="B1135" s="46"/>
      <c r="C1135" s="46"/>
      <c r="D1135" s="46"/>
      <c r="E1135" s="46"/>
      <c r="F1135" s="46"/>
      <c r="G1135" s="46"/>
      <c r="H1135" s="46"/>
      <c r="I1135" s="46"/>
      <c r="J1135" s="46"/>
      <c r="K1135" s="46"/>
      <c r="L1135" s="46"/>
      <c r="M1135" s="46"/>
      <c r="N1135" s="46"/>
      <c r="O1135" s="46"/>
      <c r="P1135" s="46"/>
      <c r="Q1135" s="46"/>
      <c r="R1135" s="46"/>
      <c r="S1135" s="46"/>
      <c r="T1135" s="46"/>
      <c r="U1135" s="46"/>
      <c r="V1135" s="46"/>
      <c r="W1135" s="46"/>
      <c r="X1135" s="46"/>
    </row>
    <row r="1136" spans="1:24" x14ac:dyDescent="0.2">
      <c r="A1136" s="45"/>
      <c r="B1136" s="46"/>
      <c r="C1136" s="46"/>
      <c r="D1136" s="46"/>
      <c r="E1136" s="46"/>
      <c r="F1136" s="46"/>
      <c r="G1136" s="46"/>
      <c r="H1136" s="46"/>
      <c r="I1136" s="46"/>
      <c r="J1136" s="46"/>
      <c r="K1136" s="46"/>
      <c r="L1136" s="46"/>
      <c r="M1136" s="46"/>
      <c r="N1136" s="46"/>
      <c r="O1136" s="46"/>
      <c r="P1136" s="46"/>
      <c r="Q1136" s="46"/>
      <c r="R1136" s="46"/>
      <c r="S1136" s="46"/>
      <c r="T1136" s="46"/>
      <c r="U1136" s="46"/>
      <c r="V1136" s="46"/>
      <c r="W1136" s="46"/>
      <c r="X1136" s="46"/>
    </row>
    <row r="1137" spans="1:24" x14ac:dyDescent="0.2">
      <c r="A1137" s="45"/>
      <c r="B1137" s="46"/>
      <c r="C1137" s="46"/>
      <c r="D1137" s="46"/>
      <c r="E1137" s="46"/>
      <c r="F1137" s="46"/>
      <c r="G1137" s="46"/>
      <c r="H1137" s="46"/>
      <c r="I1137" s="46"/>
      <c r="J1137" s="46"/>
      <c r="K1137" s="46"/>
      <c r="L1137" s="46"/>
      <c r="M1137" s="46"/>
      <c r="N1137" s="46"/>
      <c r="O1137" s="46"/>
      <c r="P1137" s="46"/>
      <c r="Q1137" s="46"/>
      <c r="R1137" s="46"/>
      <c r="S1137" s="46"/>
      <c r="T1137" s="46"/>
      <c r="U1137" s="46"/>
      <c r="V1137" s="46"/>
      <c r="W1137" s="46"/>
      <c r="X1137" s="46"/>
    </row>
    <row r="1138" spans="1:24" x14ac:dyDescent="0.2">
      <c r="A1138" s="45"/>
      <c r="B1138" s="46"/>
      <c r="C1138" s="46"/>
      <c r="D1138" s="46"/>
      <c r="E1138" s="46"/>
      <c r="F1138" s="46"/>
      <c r="G1138" s="46"/>
      <c r="H1138" s="46"/>
      <c r="I1138" s="46"/>
      <c r="J1138" s="46"/>
      <c r="K1138" s="46"/>
      <c r="L1138" s="46"/>
      <c r="M1138" s="46"/>
      <c r="N1138" s="46"/>
      <c r="O1138" s="46"/>
      <c r="P1138" s="46"/>
      <c r="Q1138" s="46"/>
      <c r="R1138" s="46"/>
      <c r="S1138" s="46"/>
      <c r="T1138" s="46"/>
      <c r="U1138" s="46"/>
      <c r="V1138" s="46"/>
      <c r="W1138" s="46"/>
      <c r="X1138" s="46"/>
    </row>
    <row r="1139" spans="1:24" x14ac:dyDescent="0.2">
      <c r="A1139" s="45"/>
      <c r="B1139" s="46"/>
      <c r="C1139" s="46"/>
      <c r="D1139" s="46"/>
      <c r="E1139" s="46"/>
      <c r="F1139" s="46"/>
      <c r="G1139" s="46"/>
      <c r="H1139" s="46"/>
      <c r="I1139" s="46"/>
      <c r="J1139" s="46"/>
      <c r="K1139" s="46"/>
      <c r="L1139" s="46"/>
      <c r="M1139" s="46"/>
      <c r="N1139" s="46"/>
      <c r="O1139" s="46"/>
      <c r="P1139" s="46"/>
      <c r="Q1139" s="46"/>
      <c r="R1139" s="46"/>
      <c r="S1139" s="46"/>
      <c r="T1139" s="46"/>
      <c r="U1139" s="46"/>
      <c r="V1139" s="46"/>
      <c r="W1139" s="46"/>
      <c r="X1139" s="46"/>
    </row>
    <row r="1140" spans="1:24" x14ac:dyDescent="0.2">
      <c r="A1140" s="45"/>
      <c r="B1140" s="46"/>
      <c r="C1140" s="46"/>
      <c r="D1140" s="46"/>
      <c r="E1140" s="46"/>
      <c r="F1140" s="46"/>
      <c r="G1140" s="46"/>
      <c r="H1140" s="46"/>
      <c r="I1140" s="46"/>
      <c r="J1140" s="46"/>
      <c r="K1140" s="46"/>
      <c r="L1140" s="46"/>
      <c r="M1140" s="46"/>
      <c r="N1140" s="46"/>
      <c r="O1140" s="46"/>
      <c r="P1140" s="46"/>
      <c r="Q1140" s="46"/>
      <c r="R1140" s="46"/>
      <c r="S1140" s="46"/>
      <c r="T1140" s="46"/>
      <c r="U1140" s="46"/>
      <c r="V1140" s="46"/>
      <c r="W1140" s="46"/>
      <c r="X1140" s="46"/>
    </row>
    <row r="1141" spans="1:24" x14ac:dyDescent="0.2">
      <c r="A1141" s="45"/>
      <c r="B1141" s="46"/>
      <c r="C1141" s="46"/>
      <c r="D1141" s="46"/>
      <c r="E1141" s="46"/>
      <c r="F1141" s="46"/>
      <c r="G1141" s="46"/>
      <c r="H1141" s="46"/>
      <c r="I1141" s="46"/>
      <c r="J1141" s="46"/>
      <c r="K1141" s="46"/>
      <c r="L1141" s="46"/>
      <c r="M1141" s="46"/>
      <c r="N1141" s="46"/>
      <c r="O1141" s="46"/>
      <c r="P1141" s="46"/>
      <c r="Q1141" s="46"/>
      <c r="R1141" s="46"/>
      <c r="S1141" s="46"/>
      <c r="T1141" s="46"/>
      <c r="U1141" s="46"/>
      <c r="V1141" s="46"/>
      <c r="W1141" s="46"/>
      <c r="X1141" s="46"/>
    </row>
    <row r="1142" spans="1:24" x14ac:dyDescent="0.2">
      <c r="A1142" s="45"/>
      <c r="B1142" s="46"/>
      <c r="C1142" s="46"/>
      <c r="D1142" s="46"/>
      <c r="E1142" s="46"/>
      <c r="F1142" s="46"/>
      <c r="G1142" s="46"/>
      <c r="H1142" s="46"/>
      <c r="I1142" s="46"/>
      <c r="J1142" s="46"/>
      <c r="K1142" s="46"/>
      <c r="L1142" s="46"/>
      <c r="M1142" s="46"/>
      <c r="N1142" s="46"/>
      <c r="O1142" s="46"/>
      <c r="P1142" s="46"/>
      <c r="Q1142" s="46"/>
      <c r="R1142" s="46"/>
      <c r="S1142" s="46"/>
      <c r="T1142" s="46"/>
      <c r="U1142" s="46"/>
      <c r="V1142" s="46"/>
      <c r="W1142" s="46"/>
      <c r="X1142" s="46"/>
    </row>
    <row r="1143" spans="1:24" x14ac:dyDescent="0.2">
      <c r="A1143" s="45"/>
      <c r="B1143" s="46"/>
      <c r="C1143" s="46"/>
      <c r="D1143" s="46"/>
      <c r="E1143" s="46"/>
      <c r="F1143" s="46"/>
      <c r="G1143" s="46"/>
      <c r="H1143" s="46"/>
      <c r="I1143" s="46"/>
      <c r="J1143" s="46"/>
      <c r="K1143" s="46"/>
      <c r="L1143" s="46"/>
      <c r="M1143" s="46"/>
      <c r="N1143" s="46"/>
      <c r="O1143" s="46"/>
      <c r="P1143" s="46"/>
      <c r="Q1143" s="46"/>
      <c r="R1143" s="46"/>
      <c r="S1143" s="46"/>
      <c r="T1143" s="46"/>
      <c r="U1143" s="46"/>
      <c r="V1143" s="46"/>
      <c r="W1143" s="46"/>
      <c r="X1143" s="46"/>
    </row>
    <row r="1144" spans="1:24" x14ac:dyDescent="0.2">
      <c r="A1144" s="45"/>
      <c r="B1144" s="46"/>
      <c r="C1144" s="46"/>
      <c r="D1144" s="46"/>
      <c r="E1144" s="46"/>
      <c r="F1144" s="46"/>
      <c r="G1144" s="46"/>
      <c r="H1144" s="46"/>
      <c r="I1144" s="46"/>
      <c r="J1144" s="46"/>
      <c r="K1144" s="46"/>
      <c r="L1144" s="46"/>
      <c r="M1144" s="46"/>
      <c r="N1144" s="46"/>
      <c r="O1144" s="46"/>
      <c r="P1144" s="46"/>
      <c r="Q1144" s="46"/>
      <c r="R1144" s="46"/>
      <c r="S1144" s="46"/>
      <c r="T1144" s="46"/>
      <c r="U1144" s="46"/>
      <c r="V1144" s="46"/>
      <c r="W1144" s="46"/>
      <c r="X1144" s="46"/>
    </row>
    <row r="1145" spans="1:24" x14ac:dyDescent="0.2">
      <c r="A1145" s="45"/>
      <c r="B1145" s="46"/>
      <c r="C1145" s="46"/>
      <c r="D1145" s="46"/>
      <c r="E1145" s="46"/>
      <c r="F1145" s="46"/>
      <c r="G1145" s="46"/>
      <c r="H1145" s="46"/>
      <c r="I1145" s="46"/>
      <c r="J1145" s="46"/>
      <c r="K1145" s="46"/>
      <c r="L1145" s="46"/>
      <c r="M1145" s="46"/>
      <c r="N1145" s="46"/>
      <c r="O1145" s="46"/>
      <c r="P1145" s="46"/>
      <c r="Q1145" s="46"/>
      <c r="R1145" s="46"/>
      <c r="S1145" s="46"/>
      <c r="T1145" s="46"/>
      <c r="U1145" s="46"/>
      <c r="V1145" s="46"/>
      <c r="W1145" s="46"/>
      <c r="X1145" s="46"/>
    </row>
    <row r="1146" spans="1:24" x14ac:dyDescent="0.2">
      <c r="A1146" s="45"/>
      <c r="B1146" s="46"/>
      <c r="C1146" s="46"/>
      <c r="D1146" s="46"/>
      <c r="E1146" s="46"/>
      <c r="F1146" s="46"/>
      <c r="G1146" s="46"/>
      <c r="H1146" s="46"/>
      <c r="I1146" s="46"/>
      <c r="J1146" s="46"/>
      <c r="K1146" s="46"/>
      <c r="L1146" s="46"/>
      <c r="M1146" s="46"/>
      <c r="N1146" s="46"/>
      <c r="O1146" s="46"/>
      <c r="P1146" s="46"/>
      <c r="Q1146" s="46"/>
      <c r="R1146" s="46"/>
      <c r="S1146" s="46"/>
      <c r="T1146" s="46"/>
      <c r="U1146" s="46"/>
      <c r="V1146" s="46"/>
      <c r="W1146" s="46"/>
      <c r="X1146" s="46"/>
    </row>
    <row r="1147" spans="1:24" x14ac:dyDescent="0.2">
      <c r="A1147" s="45"/>
      <c r="B1147" s="46"/>
      <c r="C1147" s="46"/>
      <c r="D1147" s="46"/>
      <c r="E1147" s="46"/>
      <c r="F1147" s="46"/>
      <c r="G1147" s="46"/>
      <c r="H1147" s="46"/>
      <c r="I1147" s="46"/>
      <c r="J1147" s="46"/>
      <c r="K1147" s="46"/>
      <c r="L1147" s="46"/>
      <c r="M1147" s="46"/>
      <c r="N1147" s="46"/>
      <c r="O1147" s="46"/>
      <c r="P1147" s="46"/>
      <c r="Q1147" s="46"/>
      <c r="R1147" s="46"/>
      <c r="S1147" s="46"/>
      <c r="T1147" s="46"/>
      <c r="U1147" s="46"/>
      <c r="V1147" s="46"/>
      <c r="W1147" s="46"/>
      <c r="X1147" s="46"/>
    </row>
    <row r="1148" spans="1:24" x14ac:dyDescent="0.2">
      <c r="A1148" s="45"/>
      <c r="B1148" s="46"/>
      <c r="C1148" s="46"/>
      <c r="D1148" s="46"/>
      <c r="E1148" s="46"/>
      <c r="F1148" s="46"/>
      <c r="G1148" s="46"/>
      <c r="H1148" s="46"/>
      <c r="I1148" s="46"/>
      <c r="J1148" s="46"/>
      <c r="K1148" s="46"/>
      <c r="L1148" s="46"/>
      <c r="M1148" s="46"/>
      <c r="N1148" s="46"/>
      <c r="O1148" s="46"/>
      <c r="P1148" s="46"/>
      <c r="Q1148" s="46"/>
      <c r="R1148" s="46"/>
      <c r="S1148" s="46"/>
      <c r="T1148" s="46"/>
      <c r="U1148" s="46"/>
      <c r="V1148" s="46"/>
      <c r="W1148" s="46"/>
      <c r="X1148" s="46"/>
    </row>
    <row r="1149" spans="1:24" x14ac:dyDescent="0.2">
      <c r="A1149" s="45"/>
      <c r="B1149" s="46"/>
      <c r="C1149" s="46"/>
      <c r="D1149" s="46"/>
      <c r="E1149" s="46"/>
      <c r="F1149" s="46"/>
      <c r="G1149" s="46"/>
      <c r="H1149" s="46"/>
      <c r="I1149" s="46"/>
      <c r="J1149" s="46"/>
      <c r="K1149" s="46"/>
      <c r="L1149" s="46"/>
      <c r="M1149" s="46"/>
      <c r="N1149" s="46"/>
      <c r="O1149" s="46"/>
      <c r="P1149" s="46"/>
      <c r="Q1149" s="46"/>
      <c r="R1149" s="46"/>
      <c r="S1149" s="46"/>
      <c r="T1149" s="46"/>
      <c r="U1149" s="46"/>
      <c r="V1149" s="46"/>
      <c r="W1149" s="46"/>
      <c r="X1149" s="46"/>
    </row>
    <row r="1150" spans="1:24" x14ac:dyDescent="0.2">
      <c r="A1150" s="45"/>
      <c r="B1150" s="46"/>
      <c r="C1150" s="46"/>
      <c r="D1150" s="46"/>
      <c r="E1150" s="46"/>
      <c r="F1150" s="46"/>
      <c r="G1150" s="46"/>
      <c r="H1150" s="46"/>
      <c r="I1150" s="46"/>
      <c r="J1150" s="46"/>
      <c r="K1150" s="46"/>
      <c r="L1150" s="46"/>
      <c r="M1150" s="46"/>
      <c r="N1150" s="46"/>
      <c r="O1150" s="46"/>
      <c r="P1150" s="46"/>
      <c r="Q1150" s="46"/>
      <c r="R1150" s="46"/>
      <c r="S1150" s="46"/>
      <c r="T1150" s="46"/>
      <c r="U1150" s="46"/>
      <c r="V1150" s="46"/>
      <c r="W1150" s="46"/>
      <c r="X1150" s="46"/>
    </row>
    <row r="1151" spans="1:24" x14ac:dyDescent="0.2">
      <c r="A1151" s="45"/>
      <c r="B1151" s="46"/>
      <c r="C1151" s="46"/>
      <c r="D1151" s="46"/>
      <c r="E1151" s="46"/>
      <c r="F1151" s="46"/>
      <c r="G1151" s="46"/>
      <c r="H1151" s="46"/>
      <c r="I1151" s="46"/>
      <c r="J1151" s="46"/>
      <c r="K1151" s="46"/>
      <c r="L1151" s="46"/>
      <c r="M1151" s="46"/>
      <c r="N1151" s="46"/>
      <c r="O1151" s="46"/>
      <c r="P1151" s="46"/>
      <c r="Q1151" s="46"/>
      <c r="R1151" s="46"/>
      <c r="S1151" s="46"/>
      <c r="T1151" s="46"/>
      <c r="U1151" s="46"/>
      <c r="V1151" s="46"/>
      <c r="W1151" s="46"/>
      <c r="X1151" s="46"/>
    </row>
    <row r="1152" spans="1:24" x14ac:dyDescent="0.2">
      <c r="A1152" s="45"/>
      <c r="B1152" s="46"/>
      <c r="C1152" s="46"/>
      <c r="D1152" s="46"/>
      <c r="E1152" s="46"/>
      <c r="F1152" s="46"/>
      <c r="G1152" s="46"/>
      <c r="H1152" s="46"/>
      <c r="I1152" s="46"/>
      <c r="J1152" s="46"/>
      <c r="K1152" s="46"/>
      <c r="L1152" s="46"/>
      <c r="M1152" s="46"/>
      <c r="N1152" s="46"/>
      <c r="O1152" s="46"/>
      <c r="P1152" s="46"/>
      <c r="Q1152" s="46"/>
      <c r="R1152" s="46"/>
      <c r="S1152" s="46"/>
      <c r="T1152" s="46"/>
      <c r="U1152" s="46"/>
      <c r="V1152" s="46"/>
      <c r="W1152" s="46"/>
      <c r="X1152" s="46"/>
    </row>
    <row r="1153" spans="1:24" x14ac:dyDescent="0.2">
      <c r="A1153" s="45"/>
      <c r="B1153" s="46"/>
      <c r="C1153" s="46"/>
      <c r="D1153" s="46"/>
      <c r="E1153" s="46"/>
      <c r="F1153" s="46"/>
      <c r="G1153" s="46"/>
      <c r="H1153" s="46"/>
      <c r="I1153" s="46"/>
      <c r="J1153" s="46"/>
      <c r="K1153" s="46"/>
      <c r="L1153" s="46"/>
      <c r="M1153" s="46"/>
      <c r="N1153" s="46"/>
      <c r="O1153" s="46"/>
      <c r="P1153" s="46"/>
      <c r="Q1153" s="46"/>
      <c r="R1153" s="46"/>
      <c r="S1153" s="46"/>
      <c r="T1153" s="46"/>
      <c r="U1153" s="46"/>
      <c r="V1153" s="46"/>
      <c r="W1153" s="46"/>
      <c r="X1153" s="46"/>
    </row>
    <row r="1154" spans="1:24" x14ac:dyDescent="0.2">
      <c r="A1154" s="45"/>
      <c r="B1154" s="46"/>
      <c r="C1154" s="46"/>
      <c r="D1154" s="46"/>
      <c r="E1154" s="46"/>
      <c r="F1154" s="46"/>
      <c r="G1154" s="46"/>
      <c r="H1154" s="46"/>
      <c r="I1154" s="46"/>
      <c r="J1154" s="46"/>
      <c r="K1154" s="46"/>
      <c r="L1154" s="46"/>
      <c r="M1154" s="46"/>
      <c r="N1154" s="46"/>
      <c r="O1154" s="46"/>
      <c r="P1154" s="46"/>
      <c r="Q1154" s="46"/>
      <c r="R1154" s="46"/>
      <c r="S1154" s="46"/>
      <c r="T1154" s="46"/>
      <c r="U1154" s="46"/>
      <c r="V1154" s="46"/>
      <c r="W1154" s="46"/>
      <c r="X1154" s="46"/>
    </row>
    <row r="1155" spans="1:24" x14ac:dyDescent="0.2">
      <c r="A1155" s="45"/>
      <c r="B1155" s="46"/>
      <c r="C1155" s="46"/>
      <c r="D1155" s="46"/>
      <c r="E1155" s="46"/>
      <c r="F1155" s="46"/>
      <c r="G1155" s="46"/>
      <c r="H1155" s="46"/>
      <c r="I1155" s="46"/>
      <c r="J1155" s="46"/>
      <c r="K1155" s="46"/>
      <c r="L1155" s="46"/>
      <c r="M1155" s="46"/>
      <c r="N1155" s="46"/>
      <c r="O1155" s="46"/>
      <c r="P1155" s="46"/>
      <c r="Q1155" s="46"/>
      <c r="R1155" s="46"/>
      <c r="S1155" s="46"/>
      <c r="T1155" s="46"/>
      <c r="U1155" s="46"/>
      <c r="V1155" s="46"/>
      <c r="W1155" s="46"/>
      <c r="X1155" s="46"/>
    </row>
    <row r="1156" spans="1:24" x14ac:dyDescent="0.2">
      <c r="A1156" s="45"/>
      <c r="B1156" s="46"/>
      <c r="C1156" s="46"/>
      <c r="D1156" s="46"/>
      <c r="E1156" s="46"/>
      <c r="F1156" s="46"/>
      <c r="G1156" s="46"/>
      <c r="H1156" s="46"/>
      <c r="I1156" s="46"/>
      <c r="J1156" s="46"/>
      <c r="K1156" s="46"/>
      <c r="L1156" s="46"/>
      <c r="M1156" s="46"/>
      <c r="N1156" s="46"/>
      <c r="O1156" s="46"/>
      <c r="P1156" s="46"/>
      <c r="Q1156" s="46"/>
      <c r="R1156" s="46"/>
      <c r="S1156" s="46"/>
      <c r="T1156" s="46"/>
      <c r="U1156" s="46"/>
      <c r="V1156" s="46"/>
      <c r="W1156" s="46"/>
      <c r="X1156" s="46"/>
    </row>
    <row r="1157" spans="1:24" x14ac:dyDescent="0.2">
      <c r="A1157" s="45"/>
      <c r="B1157" s="46"/>
      <c r="C1157" s="46"/>
      <c r="D1157" s="46"/>
      <c r="E1157" s="46"/>
      <c r="F1157" s="46"/>
      <c r="G1157" s="46"/>
      <c r="H1157" s="46"/>
      <c r="I1157" s="46"/>
      <c r="J1157" s="46"/>
      <c r="K1157" s="46"/>
      <c r="L1157" s="46"/>
      <c r="M1157" s="46"/>
      <c r="N1157" s="46"/>
      <c r="O1157" s="46"/>
      <c r="P1157" s="46"/>
      <c r="Q1157" s="46"/>
      <c r="R1157" s="46"/>
      <c r="S1157" s="46"/>
      <c r="T1157" s="46"/>
      <c r="U1157" s="46"/>
      <c r="V1157" s="46"/>
      <c r="W1157" s="46"/>
      <c r="X1157" s="46"/>
    </row>
    <row r="1158" spans="1:24" x14ac:dyDescent="0.2">
      <c r="A1158" s="45"/>
      <c r="B1158" s="46"/>
      <c r="C1158" s="46"/>
      <c r="D1158" s="46"/>
      <c r="E1158" s="46"/>
      <c r="F1158" s="46"/>
      <c r="G1158" s="46"/>
      <c r="H1158" s="46"/>
      <c r="I1158" s="46"/>
      <c r="J1158" s="46"/>
      <c r="K1158" s="46"/>
      <c r="L1158" s="46"/>
      <c r="M1158" s="46"/>
      <c r="N1158" s="46"/>
      <c r="O1158" s="46"/>
      <c r="P1158" s="46"/>
      <c r="Q1158" s="46"/>
      <c r="R1158" s="46"/>
      <c r="S1158" s="46"/>
      <c r="T1158" s="46"/>
      <c r="U1158" s="46"/>
      <c r="V1158" s="46"/>
      <c r="W1158" s="46"/>
      <c r="X1158" s="46"/>
    </row>
    <row r="1159" spans="1:24" x14ac:dyDescent="0.2">
      <c r="A1159" s="45"/>
      <c r="B1159" s="46"/>
      <c r="C1159" s="46"/>
      <c r="D1159" s="46"/>
      <c r="E1159" s="46"/>
      <c r="F1159" s="46"/>
      <c r="G1159" s="46"/>
      <c r="H1159" s="46"/>
      <c r="I1159" s="46"/>
      <c r="J1159" s="46"/>
      <c r="K1159" s="46"/>
      <c r="L1159" s="46"/>
      <c r="M1159" s="46"/>
      <c r="N1159" s="46"/>
      <c r="O1159" s="46"/>
      <c r="P1159" s="46"/>
      <c r="Q1159" s="46"/>
      <c r="R1159" s="46"/>
      <c r="S1159" s="46"/>
      <c r="T1159" s="46"/>
      <c r="U1159" s="46"/>
      <c r="V1159" s="46"/>
      <c r="W1159" s="46"/>
      <c r="X1159" s="46"/>
    </row>
    <row r="1160" spans="1:24" x14ac:dyDescent="0.2">
      <c r="A1160" s="45"/>
      <c r="B1160" s="46"/>
      <c r="C1160" s="46"/>
      <c r="D1160" s="46"/>
      <c r="E1160" s="46"/>
      <c r="F1160" s="46"/>
      <c r="G1160" s="46"/>
      <c r="H1160" s="46"/>
      <c r="I1160" s="46"/>
      <c r="J1160" s="46"/>
      <c r="K1160" s="46"/>
      <c r="L1160" s="46"/>
      <c r="M1160" s="46"/>
      <c r="N1160" s="46"/>
      <c r="O1160" s="46"/>
      <c r="P1160" s="46"/>
      <c r="Q1160" s="46"/>
      <c r="R1160" s="46"/>
      <c r="S1160" s="46"/>
      <c r="T1160" s="46"/>
      <c r="U1160" s="46"/>
      <c r="V1160" s="46"/>
      <c r="W1160" s="46"/>
      <c r="X1160" s="46"/>
    </row>
    <row r="1161" spans="1:24" x14ac:dyDescent="0.2">
      <c r="A1161" s="45"/>
      <c r="B1161" s="46"/>
      <c r="C1161" s="46"/>
      <c r="D1161" s="46"/>
      <c r="E1161" s="46"/>
      <c r="F1161" s="46"/>
      <c r="G1161" s="46"/>
      <c r="H1161" s="46"/>
      <c r="I1161" s="46"/>
      <c r="J1161" s="46"/>
      <c r="K1161" s="46"/>
      <c r="L1161" s="46"/>
      <c r="M1161" s="46"/>
      <c r="N1161" s="46"/>
      <c r="O1161" s="46"/>
      <c r="P1161" s="46"/>
      <c r="Q1161" s="46"/>
      <c r="R1161" s="46"/>
      <c r="S1161" s="46"/>
      <c r="T1161" s="46"/>
      <c r="U1161" s="46"/>
      <c r="V1161" s="46"/>
      <c r="W1161" s="46"/>
      <c r="X1161" s="46"/>
    </row>
    <row r="1162" spans="1:24" x14ac:dyDescent="0.2">
      <c r="A1162" s="45"/>
      <c r="B1162" s="46"/>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row>
    <row r="1163" spans="1:24" x14ac:dyDescent="0.2">
      <c r="A1163" s="45"/>
      <c r="B1163" s="46"/>
      <c r="C1163" s="46"/>
      <c r="D1163" s="46"/>
      <c r="E1163" s="46"/>
      <c r="F1163" s="46"/>
      <c r="G1163" s="46"/>
      <c r="H1163" s="46"/>
      <c r="I1163" s="46"/>
      <c r="J1163" s="46"/>
      <c r="K1163" s="46"/>
      <c r="L1163" s="46"/>
      <c r="M1163" s="46"/>
      <c r="N1163" s="46"/>
      <c r="O1163" s="46"/>
      <c r="P1163" s="46"/>
      <c r="Q1163" s="46"/>
      <c r="R1163" s="46"/>
      <c r="S1163" s="46"/>
      <c r="T1163" s="46"/>
      <c r="U1163" s="46"/>
      <c r="V1163" s="46"/>
      <c r="W1163" s="46"/>
      <c r="X1163" s="46"/>
    </row>
    <row r="1164" spans="1:24" x14ac:dyDescent="0.2">
      <c r="A1164" s="45"/>
      <c r="B1164" s="46"/>
      <c r="C1164" s="46"/>
      <c r="D1164" s="46"/>
      <c r="E1164" s="46"/>
      <c r="F1164" s="46"/>
      <c r="G1164" s="46"/>
      <c r="H1164" s="46"/>
      <c r="I1164" s="46"/>
      <c r="J1164" s="46"/>
      <c r="K1164" s="46"/>
      <c r="L1164" s="46"/>
      <c r="M1164" s="46"/>
      <c r="N1164" s="46"/>
      <c r="O1164" s="46"/>
      <c r="P1164" s="46"/>
      <c r="Q1164" s="46"/>
      <c r="R1164" s="46"/>
      <c r="S1164" s="46"/>
      <c r="T1164" s="46"/>
      <c r="U1164" s="46"/>
      <c r="V1164" s="46"/>
      <c r="W1164" s="46"/>
      <c r="X1164" s="46"/>
    </row>
    <row r="1165" spans="1:24" x14ac:dyDescent="0.2">
      <c r="A1165" s="45"/>
      <c r="B1165" s="46"/>
      <c r="C1165" s="46"/>
      <c r="D1165" s="46"/>
      <c r="E1165" s="46"/>
      <c r="F1165" s="46"/>
      <c r="G1165" s="46"/>
      <c r="H1165" s="46"/>
      <c r="I1165" s="46"/>
      <c r="J1165" s="46"/>
      <c r="K1165" s="46"/>
      <c r="L1165" s="46"/>
      <c r="M1165" s="46"/>
      <c r="N1165" s="46"/>
      <c r="O1165" s="46"/>
      <c r="P1165" s="46"/>
      <c r="Q1165" s="46"/>
      <c r="R1165" s="46"/>
      <c r="S1165" s="46"/>
      <c r="T1165" s="46"/>
      <c r="U1165" s="46"/>
      <c r="V1165" s="46"/>
      <c r="W1165" s="46"/>
      <c r="X1165" s="46"/>
    </row>
    <row r="1166" spans="1:24" x14ac:dyDescent="0.2">
      <c r="A1166" s="45"/>
      <c r="B1166" s="46"/>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row>
    <row r="1167" spans="1:24" x14ac:dyDescent="0.2">
      <c r="A1167" s="45"/>
      <c r="B1167" s="46"/>
      <c r="C1167" s="46"/>
      <c r="D1167" s="46"/>
      <c r="E1167" s="46"/>
      <c r="F1167" s="46"/>
      <c r="G1167" s="46"/>
      <c r="H1167" s="46"/>
      <c r="I1167" s="46"/>
      <c r="J1167" s="46"/>
      <c r="K1167" s="46"/>
      <c r="L1167" s="46"/>
      <c r="M1167" s="46"/>
      <c r="N1167" s="46"/>
      <c r="O1167" s="46"/>
      <c r="P1167" s="46"/>
      <c r="Q1167" s="46"/>
      <c r="R1167" s="46"/>
      <c r="S1167" s="46"/>
      <c r="T1167" s="46"/>
      <c r="U1167" s="46"/>
      <c r="V1167" s="46"/>
      <c r="W1167" s="46"/>
      <c r="X1167" s="46"/>
    </row>
    <row r="1168" spans="1:24" x14ac:dyDescent="0.2">
      <c r="A1168" s="45"/>
      <c r="B1168" s="46"/>
      <c r="C1168" s="46"/>
      <c r="D1168" s="46"/>
      <c r="E1168" s="46"/>
      <c r="F1168" s="46"/>
      <c r="G1168" s="46"/>
      <c r="H1168" s="46"/>
      <c r="I1168" s="46"/>
      <c r="J1168" s="46"/>
      <c r="K1168" s="46"/>
      <c r="L1168" s="46"/>
      <c r="M1168" s="46"/>
      <c r="N1168" s="46"/>
      <c r="O1168" s="46"/>
      <c r="P1168" s="46"/>
      <c r="Q1168" s="46"/>
      <c r="R1168" s="46"/>
      <c r="S1168" s="46"/>
      <c r="T1168" s="46"/>
      <c r="U1168" s="46"/>
      <c r="V1168" s="46"/>
      <c r="W1168" s="46"/>
      <c r="X1168" s="46"/>
    </row>
    <row r="1169" spans="1:24" x14ac:dyDescent="0.2">
      <c r="A1169" s="45"/>
      <c r="B1169" s="46"/>
      <c r="C1169" s="46"/>
      <c r="D1169" s="46"/>
      <c r="E1169" s="46"/>
      <c r="F1169" s="46"/>
      <c r="G1169" s="46"/>
      <c r="H1169" s="46"/>
      <c r="I1169" s="46"/>
      <c r="J1169" s="46"/>
      <c r="K1169" s="46"/>
      <c r="L1169" s="46"/>
      <c r="M1169" s="46"/>
      <c r="N1169" s="46"/>
      <c r="O1169" s="46"/>
      <c r="P1169" s="46"/>
      <c r="Q1169" s="46"/>
      <c r="R1169" s="46"/>
      <c r="S1169" s="46"/>
      <c r="T1169" s="46"/>
      <c r="U1169" s="46"/>
      <c r="V1169" s="46"/>
      <c r="W1169" s="46"/>
      <c r="X1169" s="46"/>
    </row>
    <row r="1170" spans="1:24" x14ac:dyDescent="0.2">
      <c r="A1170" s="45"/>
      <c r="B1170" s="46"/>
      <c r="C1170" s="46"/>
      <c r="D1170" s="46"/>
      <c r="E1170" s="46"/>
      <c r="F1170" s="46"/>
      <c r="G1170" s="46"/>
      <c r="H1170" s="46"/>
      <c r="I1170" s="46"/>
      <c r="J1170" s="46"/>
      <c r="K1170" s="46"/>
      <c r="L1170" s="46"/>
      <c r="M1170" s="46"/>
      <c r="N1170" s="46"/>
      <c r="O1170" s="46"/>
      <c r="P1170" s="46"/>
      <c r="Q1170" s="46"/>
      <c r="R1170" s="46"/>
      <c r="S1170" s="46"/>
      <c r="T1170" s="46"/>
      <c r="U1170" s="46"/>
      <c r="V1170" s="46"/>
      <c r="W1170" s="46"/>
      <c r="X1170" s="46"/>
    </row>
    <row r="1171" spans="1:24" x14ac:dyDescent="0.2">
      <c r="A1171" s="45"/>
      <c r="B1171" s="46"/>
      <c r="C1171" s="46"/>
      <c r="D1171" s="46"/>
      <c r="E1171" s="46"/>
      <c r="F1171" s="46"/>
      <c r="G1171" s="46"/>
      <c r="H1171" s="46"/>
      <c r="I1171" s="46"/>
      <c r="J1171" s="46"/>
      <c r="K1171" s="46"/>
      <c r="L1171" s="46"/>
      <c r="M1171" s="46"/>
      <c r="N1171" s="46"/>
      <c r="O1171" s="46"/>
      <c r="P1171" s="46"/>
      <c r="Q1171" s="46"/>
      <c r="R1171" s="46"/>
      <c r="S1171" s="46"/>
      <c r="T1171" s="46"/>
      <c r="U1171" s="46"/>
      <c r="V1171" s="46"/>
      <c r="W1171" s="46"/>
      <c r="X1171" s="46"/>
    </row>
    <row r="1172" spans="1:24" x14ac:dyDescent="0.2">
      <c r="A1172" s="45"/>
      <c r="B1172" s="46"/>
      <c r="C1172" s="46"/>
      <c r="D1172" s="46"/>
      <c r="E1172" s="46"/>
      <c r="F1172" s="46"/>
      <c r="G1172" s="46"/>
      <c r="H1172" s="46"/>
      <c r="I1172" s="46"/>
      <c r="J1172" s="46"/>
      <c r="K1172" s="46"/>
      <c r="L1172" s="46"/>
      <c r="M1172" s="46"/>
      <c r="N1172" s="46"/>
      <c r="O1172" s="46"/>
      <c r="P1172" s="46"/>
      <c r="Q1172" s="46"/>
      <c r="R1172" s="46"/>
      <c r="S1172" s="46"/>
      <c r="T1172" s="46"/>
      <c r="U1172" s="46"/>
      <c r="V1172" s="46"/>
      <c r="W1172" s="46"/>
      <c r="X1172" s="46"/>
    </row>
    <row r="1173" spans="1:24" x14ac:dyDescent="0.2">
      <c r="A1173" s="45"/>
      <c r="B1173" s="46"/>
      <c r="C1173" s="46"/>
      <c r="D1173" s="46"/>
      <c r="E1173" s="46"/>
      <c r="F1173" s="46"/>
      <c r="G1173" s="46"/>
      <c r="H1173" s="46"/>
      <c r="I1173" s="46"/>
      <c r="J1173" s="46"/>
      <c r="K1173" s="46"/>
      <c r="L1173" s="46"/>
      <c r="M1173" s="46"/>
      <c r="N1173" s="46"/>
      <c r="O1173" s="46"/>
      <c r="P1173" s="46"/>
      <c r="Q1173" s="46"/>
      <c r="R1173" s="46"/>
      <c r="S1173" s="46"/>
      <c r="T1173" s="46"/>
      <c r="U1173" s="46"/>
      <c r="V1173" s="46"/>
      <c r="W1173" s="46"/>
      <c r="X1173" s="46"/>
    </row>
    <row r="1174" spans="1:24" x14ac:dyDescent="0.2">
      <c r="A1174" s="45"/>
      <c r="B1174" s="46"/>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46"/>
    </row>
    <row r="1175" spans="1:24" x14ac:dyDescent="0.2">
      <c r="A1175" s="45"/>
      <c r="B1175" s="46"/>
      <c r="C1175" s="46"/>
      <c r="D1175" s="46"/>
      <c r="E1175" s="46"/>
      <c r="F1175" s="46"/>
      <c r="G1175" s="46"/>
      <c r="H1175" s="46"/>
      <c r="I1175" s="46"/>
      <c r="J1175" s="46"/>
      <c r="K1175" s="46"/>
      <c r="L1175" s="46"/>
      <c r="M1175" s="46"/>
      <c r="N1175" s="46"/>
      <c r="O1175" s="46"/>
      <c r="P1175" s="46"/>
      <c r="Q1175" s="46"/>
      <c r="R1175" s="46"/>
      <c r="S1175" s="46"/>
      <c r="T1175" s="46"/>
      <c r="U1175" s="46"/>
      <c r="V1175" s="46"/>
      <c r="W1175" s="46"/>
      <c r="X1175" s="46"/>
    </row>
    <row r="1176" spans="1:24" x14ac:dyDescent="0.2">
      <c r="A1176" s="45"/>
      <c r="B1176" s="46"/>
      <c r="C1176" s="46"/>
      <c r="D1176" s="46"/>
      <c r="E1176" s="46"/>
      <c r="F1176" s="46"/>
      <c r="G1176" s="46"/>
      <c r="H1176" s="46"/>
      <c r="I1176" s="46"/>
      <c r="J1176" s="46"/>
      <c r="K1176" s="46"/>
      <c r="L1176" s="46"/>
      <c r="M1176" s="46"/>
      <c r="N1176" s="46"/>
      <c r="O1176" s="46"/>
      <c r="P1176" s="46"/>
      <c r="Q1176" s="46"/>
      <c r="R1176" s="46"/>
      <c r="S1176" s="46"/>
      <c r="T1176" s="46"/>
      <c r="U1176" s="46"/>
      <c r="V1176" s="46"/>
      <c r="W1176" s="46"/>
      <c r="X1176" s="46"/>
    </row>
    <row r="1177" spans="1:24" x14ac:dyDescent="0.2">
      <c r="A1177" s="45"/>
      <c r="B1177" s="46"/>
      <c r="C1177" s="46"/>
      <c r="D1177" s="46"/>
      <c r="E1177" s="46"/>
      <c r="F1177" s="46"/>
      <c r="G1177" s="46"/>
      <c r="H1177" s="46"/>
      <c r="I1177" s="46"/>
      <c r="J1177" s="46"/>
      <c r="K1177" s="46"/>
      <c r="L1177" s="46"/>
      <c r="M1177" s="46"/>
      <c r="N1177" s="46"/>
      <c r="O1177" s="46"/>
      <c r="P1177" s="46"/>
      <c r="Q1177" s="46"/>
      <c r="R1177" s="46"/>
      <c r="S1177" s="46"/>
      <c r="T1177" s="46"/>
      <c r="U1177" s="46"/>
      <c r="V1177" s="46"/>
      <c r="W1177" s="46"/>
      <c r="X1177" s="46"/>
    </row>
    <row r="1178" spans="1:24" x14ac:dyDescent="0.2">
      <c r="A1178" s="45"/>
      <c r="B1178" s="46"/>
      <c r="C1178" s="46"/>
      <c r="D1178" s="46"/>
      <c r="E1178" s="46"/>
      <c r="F1178" s="46"/>
      <c r="G1178" s="46"/>
      <c r="H1178" s="46"/>
      <c r="I1178" s="46"/>
      <c r="J1178" s="46"/>
      <c r="K1178" s="46"/>
      <c r="L1178" s="46"/>
      <c r="M1178" s="46"/>
      <c r="N1178" s="46"/>
      <c r="O1178" s="46"/>
      <c r="P1178" s="46"/>
      <c r="Q1178" s="46"/>
      <c r="R1178" s="46"/>
      <c r="S1178" s="46"/>
      <c r="T1178" s="46"/>
      <c r="U1178" s="46"/>
      <c r="V1178" s="46"/>
      <c r="W1178" s="46"/>
      <c r="X1178" s="46"/>
    </row>
    <row r="1179" spans="1:24" x14ac:dyDescent="0.2">
      <c r="A1179" s="45"/>
      <c r="B1179" s="46"/>
      <c r="C1179" s="46"/>
      <c r="D1179" s="46"/>
      <c r="E1179" s="46"/>
      <c r="F1179" s="46"/>
      <c r="G1179" s="46"/>
      <c r="H1179" s="46"/>
      <c r="I1179" s="46"/>
      <c r="J1179" s="46"/>
      <c r="K1179" s="46"/>
      <c r="L1179" s="46"/>
      <c r="M1179" s="46"/>
      <c r="N1179" s="46"/>
      <c r="O1179" s="46"/>
      <c r="P1179" s="46"/>
      <c r="Q1179" s="46"/>
      <c r="R1179" s="46"/>
      <c r="S1179" s="46"/>
      <c r="T1179" s="46"/>
      <c r="U1179" s="46"/>
      <c r="V1179" s="46"/>
      <c r="W1179" s="46"/>
      <c r="X1179" s="46"/>
    </row>
    <row r="1180" spans="1:24" x14ac:dyDescent="0.2">
      <c r="A1180" s="45"/>
      <c r="B1180" s="46"/>
      <c r="C1180" s="46"/>
      <c r="D1180" s="46"/>
      <c r="E1180" s="46"/>
      <c r="F1180" s="46"/>
      <c r="G1180" s="46"/>
      <c r="H1180" s="46"/>
      <c r="I1180" s="46"/>
      <c r="J1180" s="46"/>
      <c r="K1180" s="46"/>
      <c r="L1180" s="46"/>
      <c r="M1180" s="46"/>
      <c r="N1180" s="46"/>
      <c r="O1180" s="46"/>
      <c r="P1180" s="46"/>
      <c r="Q1180" s="46"/>
      <c r="R1180" s="46"/>
      <c r="S1180" s="46"/>
      <c r="T1180" s="46"/>
      <c r="U1180" s="46"/>
      <c r="V1180" s="46"/>
      <c r="W1180" s="46"/>
      <c r="X1180" s="46"/>
    </row>
    <row r="1181" spans="1:24" x14ac:dyDescent="0.2">
      <c r="A1181" s="45"/>
      <c r="B1181" s="46"/>
      <c r="C1181" s="46"/>
      <c r="D1181" s="46"/>
      <c r="E1181" s="46"/>
      <c r="F1181" s="46"/>
      <c r="G1181" s="46"/>
      <c r="H1181" s="46"/>
      <c r="I1181" s="46"/>
      <c r="J1181" s="46"/>
      <c r="K1181" s="46"/>
      <c r="L1181" s="46"/>
      <c r="M1181" s="46"/>
      <c r="N1181" s="46"/>
      <c r="O1181" s="46"/>
      <c r="P1181" s="46"/>
      <c r="Q1181" s="46"/>
      <c r="R1181" s="46"/>
      <c r="S1181" s="46"/>
      <c r="T1181" s="46"/>
      <c r="U1181" s="46"/>
      <c r="V1181" s="46"/>
      <c r="W1181" s="46"/>
      <c r="X1181" s="46"/>
    </row>
    <row r="1182" spans="1:24" x14ac:dyDescent="0.2">
      <c r="A1182" s="45"/>
      <c r="B1182" s="46"/>
      <c r="C1182" s="46"/>
      <c r="D1182" s="46"/>
      <c r="E1182" s="46"/>
      <c r="F1182" s="46"/>
      <c r="G1182" s="46"/>
      <c r="H1182" s="46"/>
      <c r="I1182" s="46"/>
      <c r="J1182" s="46"/>
      <c r="K1182" s="46"/>
      <c r="L1182" s="46"/>
      <c r="M1182" s="46"/>
      <c r="N1182" s="46"/>
      <c r="O1182" s="46"/>
      <c r="P1182" s="46"/>
      <c r="Q1182" s="46"/>
      <c r="R1182" s="46"/>
      <c r="S1182" s="46"/>
      <c r="T1182" s="46"/>
      <c r="U1182" s="46"/>
      <c r="V1182" s="46"/>
      <c r="W1182" s="46"/>
      <c r="X1182" s="46"/>
    </row>
    <row r="1183" spans="1:24" x14ac:dyDescent="0.2">
      <c r="A1183" s="45"/>
      <c r="B1183" s="46"/>
      <c r="C1183" s="46"/>
      <c r="D1183" s="46"/>
      <c r="E1183" s="46"/>
      <c r="F1183" s="46"/>
      <c r="G1183" s="46"/>
      <c r="H1183" s="46"/>
      <c r="I1183" s="46"/>
      <c r="J1183" s="46"/>
      <c r="K1183" s="46"/>
      <c r="L1183" s="46"/>
      <c r="M1183" s="46"/>
      <c r="N1183" s="46"/>
      <c r="O1183" s="46"/>
      <c r="P1183" s="46"/>
      <c r="Q1183" s="46"/>
      <c r="R1183" s="46"/>
      <c r="S1183" s="46"/>
      <c r="T1183" s="46"/>
      <c r="U1183" s="46"/>
      <c r="V1183" s="46"/>
      <c r="W1183" s="46"/>
      <c r="X1183" s="46"/>
    </row>
    <row r="1184" spans="1:24" x14ac:dyDescent="0.2">
      <c r="A1184" s="45"/>
      <c r="B1184" s="46"/>
      <c r="C1184" s="46"/>
      <c r="D1184" s="46"/>
      <c r="E1184" s="46"/>
      <c r="F1184" s="46"/>
      <c r="G1184" s="46"/>
      <c r="H1184" s="46"/>
      <c r="I1184" s="46"/>
      <c r="J1184" s="46"/>
      <c r="K1184" s="46"/>
      <c r="L1184" s="46"/>
      <c r="M1184" s="46"/>
      <c r="N1184" s="46"/>
      <c r="O1184" s="46"/>
      <c r="P1184" s="46"/>
      <c r="Q1184" s="46"/>
      <c r="R1184" s="46"/>
      <c r="S1184" s="46"/>
      <c r="T1184" s="46"/>
      <c r="U1184" s="46"/>
      <c r="V1184" s="46"/>
      <c r="W1184" s="46"/>
      <c r="X1184" s="46"/>
    </row>
    <row r="1185" spans="1:24" x14ac:dyDescent="0.2">
      <c r="A1185" s="45"/>
      <c r="B1185" s="46"/>
      <c r="C1185" s="46"/>
      <c r="D1185" s="46"/>
      <c r="E1185" s="46"/>
      <c r="F1185" s="46"/>
      <c r="G1185" s="46"/>
      <c r="H1185" s="46"/>
      <c r="I1185" s="46"/>
      <c r="J1185" s="46"/>
      <c r="K1185" s="46"/>
      <c r="L1185" s="46"/>
      <c r="M1185" s="46"/>
      <c r="N1185" s="46"/>
      <c r="O1185" s="46"/>
      <c r="P1185" s="46"/>
      <c r="Q1185" s="46"/>
      <c r="R1185" s="46"/>
      <c r="S1185" s="46"/>
      <c r="T1185" s="46"/>
      <c r="U1185" s="46"/>
      <c r="V1185" s="46"/>
      <c r="W1185" s="46"/>
      <c r="X1185" s="46"/>
    </row>
    <row r="1186" spans="1:24" x14ac:dyDescent="0.2">
      <c r="A1186" s="45"/>
      <c r="B1186" s="46"/>
      <c r="C1186" s="46"/>
      <c r="D1186" s="46"/>
      <c r="E1186" s="46"/>
      <c r="F1186" s="46"/>
      <c r="G1186" s="46"/>
      <c r="H1186" s="46"/>
      <c r="I1186" s="46"/>
      <c r="J1186" s="46"/>
      <c r="K1186" s="46"/>
      <c r="L1186" s="46"/>
      <c r="M1186" s="46"/>
      <c r="N1186" s="46"/>
      <c r="O1186" s="46"/>
      <c r="P1186" s="46"/>
      <c r="Q1186" s="46"/>
      <c r="R1186" s="46"/>
      <c r="S1186" s="46"/>
      <c r="T1186" s="46"/>
      <c r="U1186" s="46"/>
      <c r="V1186" s="46"/>
      <c r="W1186" s="46"/>
      <c r="X1186" s="46"/>
    </row>
    <row r="1187" spans="1:24" x14ac:dyDescent="0.2">
      <c r="A1187" s="45"/>
      <c r="B1187" s="46"/>
      <c r="C1187" s="46"/>
      <c r="D1187" s="46"/>
      <c r="E1187" s="46"/>
      <c r="F1187" s="46"/>
      <c r="G1187" s="46"/>
      <c r="H1187" s="46"/>
      <c r="I1187" s="46"/>
      <c r="J1187" s="46"/>
      <c r="K1187" s="46"/>
      <c r="L1187" s="46"/>
      <c r="M1187" s="46"/>
      <c r="N1187" s="46"/>
      <c r="O1187" s="46"/>
      <c r="P1187" s="46"/>
      <c r="Q1187" s="46"/>
      <c r="R1187" s="46"/>
      <c r="S1187" s="46"/>
      <c r="T1187" s="46"/>
      <c r="U1187" s="46"/>
      <c r="V1187" s="46"/>
      <c r="W1187" s="46"/>
      <c r="X1187" s="46"/>
    </row>
    <row r="1188" spans="1:24" x14ac:dyDescent="0.2">
      <c r="A1188" s="45"/>
      <c r="B1188" s="46"/>
      <c r="C1188" s="46"/>
      <c r="D1188" s="46"/>
      <c r="E1188" s="46"/>
      <c r="F1188" s="46"/>
      <c r="G1188" s="46"/>
      <c r="H1188" s="46"/>
      <c r="I1188" s="46"/>
      <c r="J1188" s="46"/>
      <c r="K1188" s="46"/>
      <c r="L1188" s="46"/>
      <c r="M1188" s="46"/>
      <c r="N1188" s="46"/>
      <c r="O1188" s="46"/>
      <c r="P1188" s="46"/>
      <c r="Q1188" s="46"/>
      <c r="R1188" s="46"/>
      <c r="S1188" s="46"/>
      <c r="T1188" s="46"/>
      <c r="U1188" s="46"/>
      <c r="V1188" s="46"/>
      <c r="W1188" s="46"/>
      <c r="X1188" s="46"/>
    </row>
    <row r="1189" spans="1:24" x14ac:dyDescent="0.2">
      <c r="A1189" s="45"/>
      <c r="B1189" s="46"/>
      <c r="C1189" s="46"/>
      <c r="D1189" s="46"/>
      <c r="E1189" s="46"/>
      <c r="F1189" s="46"/>
      <c r="G1189" s="46"/>
      <c r="H1189" s="46"/>
      <c r="I1189" s="46"/>
      <c r="J1189" s="46"/>
      <c r="K1189" s="46"/>
      <c r="L1189" s="46"/>
      <c r="M1189" s="46"/>
      <c r="N1189" s="46"/>
      <c r="O1189" s="46"/>
      <c r="P1189" s="46"/>
      <c r="Q1189" s="46"/>
      <c r="R1189" s="46"/>
      <c r="S1189" s="46"/>
      <c r="T1189" s="46"/>
      <c r="U1189" s="46"/>
      <c r="V1189" s="46"/>
      <c r="W1189" s="46"/>
      <c r="X1189" s="46"/>
    </row>
    <row r="1190" spans="1:24" x14ac:dyDescent="0.2">
      <c r="A1190" s="45"/>
      <c r="B1190" s="46"/>
      <c r="C1190" s="46"/>
      <c r="D1190" s="46"/>
      <c r="E1190" s="46"/>
      <c r="F1190" s="46"/>
      <c r="G1190" s="46"/>
      <c r="H1190" s="46"/>
      <c r="I1190" s="46"/>
      <c r="J1190" s="46"/>
      <c r="K1190" s="46"/>
      <c r="L1190" s="46"/>
      <c r="M1190" s="46"/>
      <c r="N1190" s="46"/>
      <c r="O1190" s="46"/>
      <c r="P1190" s="46"/>
      <c r="Q1190" s="46"/>
      <c r="R1190" s="46"/>
      <c r="S1190" s="46"/>
      <c r="T1190" s="46"/>
      <c r="U1190" s="46"/>
      <c r="V1190" s="46"/>
      <c r="W1190" s="46"/>
      <c r="X1190" s="46"/>
    </row>
    <row r="1191" spans="1:24" x14ac:dyDescent="0.2">
      <c r="A1191" s="45"/>
      <c r="B1191" s="46"/>
      <c r="C1191" s="46"/>
      <c r="D1191" s="46"/>
      <c r="E1191" s="46"/>
      <c r="F1191" s="46"/>
      <c r="G1191" s="46"/>
      <c r="H1191" s="46"/>
      <c r="I1191" s="46"/>
      <c r="J1191" s="46"/>
      <c r="K1191" s="46"/>
      <c r="L1191" s="46"/>
      <c r="M1191" s="46"/>
      <c r="N1191" s="46"/>
      <c r="O1191" s="46"/>
      <c r="P1191" s="46"/>
      <c r="Q1191" s="46"/>
      <c r="R1191" s="46"/>
      <c r="S1191" s="46"/>
      <c r="T1191" s="46"/>
      <c r="U1191" s="46"/>
      <c r="V1191" s="46"/>
      <c r="W1191" s="46"/>
      <c r="X1191" s="46"/>
    </row>
    <row r="1192" spans="1:24" x14ac:dyDescent="0.2">
      <c r="A1192" s="45"/>
      <c r="B1192" s="46"/>
      <c r="C1192" s="46"/>
      <c r="D1192" s="46"/>
      <c r="E1192" s="46"/>
      <c r="F1192" s="46"/>
      <c r="G1192" s="46"/>
      <c r="H1192" s="46"/>
      <c r="I1192" s="46"/>
      <c r="J1192" s="46"/>
      <c r="K1192" s="46"/>
      <c r="L1192" s="46"/>
      <c r="M1192" s="46"/>
      <c r="N1192" s="46"/>
      <c r="O1192" s="46"/>
      <c r="P1192" s="46"/>
      <c r="Q1192" s="46"/>
      <c r="R1192" s="46"/>
      <c r="S1192" s="46"/>
      <c r="T1192" s="46"/>
      <c r="U1192" s="46"/>
      <c r="V1192" s="46"/>
      <c r="W1192" s="46"/>
      <c r="X1192" s="46"/>
    </row>
    <row r="1193" spans="1:24" x14ac:dyDescent="0.2">
      <c r="A1193" s="45"/>
      <c r="B1193" s="46"/>
      <c r="C1193" s="46"/>
      <c r="D1193" s="46"/>
      <c r="E1193" s="46"/>
      <c r="F1193" s="46"/>
      <c r="G1193" s="46"/>
      <c r="H1193" s="46"/>
      <c r="I1193" s="46"/>
      <c r="J1193" s="46"/>
      <c r="K1193" s="46"/>
      <c r="L1193" s="46"/>
      <c r="M1193" s="46"/>
      <c r="N1193" s="46"/>
      <c r="O1193" s="46"/>
      <c r="P1193" s="46"/>
      <c r="Q1193" s="46"/>
      <c r="R1193" s="46"/>
      <c r="S1193" s="46"/>
      <c r="T1193" s="46"/>
      <c r="U1193" s="46"/>
      <c r="V1193" s="46"/>
      <c r="W1193" s="46"/>
      <c r="X1193" s="46"/>
    </row>
    <row r="1194" spans="1:24" x14ac:dyDescent="0.2">
      <c r="A1194" s="45"/>
      <c r="B1194" s="46"/>
      <c r="C1194" s="46"/>
      <c r="D1194" s="46"/>
      <c r="E1194" s="46"/>
      <c r="F1194" s="46"/>
      <c r="G1194" s="46"/>
      <c r="H1194" s="46"/>
      <c r="I1194" s="46"/>
      <c r="J1194" s="46"/>
      <c r="K1194" s="46"/>
      <c r="L1194" s="46"/>
      <c r="M1194" s="46"/>
      <c r="N1194" s="46"/>
      <c r="O1194" s="46"/>
      <c r="P1194" s="46"/>
      <c r="Q1194" s="46"/>
      <c r="R1194" s="46"/>
      <c r="S1194" s="46"/>
      <c r="T1194" s="46"/>
      <c r="U1194" s="46"/>
      <c r="V1194" s="46"/>
      <c r="W1194" s="46"/>
      <c r="X1194" s="46"/>
    </row>
    <row r="1195" spans="1:24" x14ac:dyDescent="0.2">
      <c r="A1195" s="45"/>
      <c r="B1195" s="46"/>
      <c r="C1195" s="46"/>
      <c r="D1195" s="46"/>
      <c r="E1195" s="46"/>
      <c r="F1195" s="46"/>
      <c r="G1195" s="46"/>
      <c r="H1195" s="46"/>
      <c r="I1195" s="46"/>
      <c r="J1195" s="46"/>
      <c r="K1195" s="46"/>
      <c r="L1195" s="46"/>
      <c r="M1195" s="46"/>
      <c r="N1195" s="46"/>
      <c r="O1195" s="46"/>
      <c r="P1195" s="46"/>
      <c r="Q1195" s="46"/>
      <c r="R1195" s="46"/>
      <c r="S1195" s="46"/>
      <c r="T1195" s="46"/>
      <c r="U1195" s="46"/>
      <c r="V1195" s="46"/>
      <c r="W1195" s="46"/>
      <c r="X1195" s="46"/>
    </row>
    <row r="1196" spans="1:24" x14ac:dyDescent="0.2">
      <c r="A1196" s="45"/>
      <c r="B1196" s="46"/>
      <c r="C1196" s="46"/>
      <c r="D1196" s="46"/>
      <c r="E1196" s="46"/>
      <c r="F1196" s="46"/>
      <c r="G1196" s="46"/>
      <c r="H1196" s="46"/>
      <c r="I1196" s="46"/>
      <c r="J1196" s="46"/>
      <c r="K1196" s="46"/>
      <c r="L1196" s="46"/>
      <c r="M1196" s="46"/>
      <c r="N1196" s="46"/>
      <c r="O1196" s="46"/>
      <c r="P1196" s="46"/>
      <c r="Q1196" s="46"/>
      <c r="R1196" s="46"/>
      <c r="S1196" s="46"/>
      <c r="T1196" s="46"/>
      <c r="U1196" s="46"/>
      <c r="V1196" s="46"/>
      <c r="W1196" s="46"/>
      <c r="X1196" s="46"/>
    </row>
    <row r="1197" spans="1:24" x14ac:dyDescent="0.2">
      <c r="A1197" s="45"/>
      <c r="B1197" s="46"/>
      <c r="C1197" s="46"/>
      <c r="D1197" s="46"/>
      <c r="E1197" s="46"/>
      <c r="F1197" s="46"/>
      <c r="G1197" s="46"/>
      <c r="H1197" s="46"/>
      <c r="I1197" s="46"/>
      <c r="J1197" s="46"/>
      <c r="K1197" s="46"/>
      <c r="L1197" s="46"/>
      <c r="M1197" s="46"/>
      <c r="N1197" s="46"/>
      <c r="O1197" s="46"/>
      <c r="P1197" s="46"/>
      <c r="Q1197" s="46"/>
      <c r="R1197" s="46"/>
      <c r="S1197" s="46"/>
      <c r="T1197" s="46"/>
      <c r="U1197" s="46"/>
      <c r="V1197" s="46"/>
      <c r="W1197" s="46"/>
      <c r="X1197" s="46"/>
    </row>
    <row r="1198" spans="1:24" x14ac:dyDescent="0.2">
      <c r="A1198" s="45"/>
      <c r="B1198" s="46"/>
      <c r="C1198" s="46"/>
      <c r="D1198" s="46"/>
      <c r="E1198" s="46"/>
      <c r="F1198" s="46"/>
      <c r="G1198" s="46"/>
      <c r="H1198" s="46"/>
      <c r="I1198" s="46"/>
      <c r="J1198" s="46"/>
      <c r="K1198" s="46"/>
      <c r="L1198" s="46"/>
      <c r="M1198" s="46"/>
      <c r="N1198" s="46"/>
      <c r="O1198" s="46"/>
      <c r="P1198" s="46"/>
      <c r="Q1198" s="46"/>
      <c r="R1198" s="46"/>
      <c r="S1198" s="46"/>
      <c r="T1198" s="46"/>
      <c r="U1198" s="46"/>
      <c r="V1198" s="46"/>
      <c r="W1198" s="46"/>
      <c r="X1198" s="46"/>
    </row>
    <row r="1199" spans="1:24" x14ac:dyDescent="0.2">
      <c r="A1199" s="45"/>
      <c r="B1199" s="46"/>
      <c r="C1199" s="46"/>
      <c r="D1199" s="46"/>
      <c r="E1199" s="46"/>
      <c r="F1199" s="46"/>
      <c r="G1199" s="46"/>
      <c r="H1199" s="46"/>
      <c r="I1199" s="46"/>
      <c r="J1199" s="46"/>
      <c r="K1199" s="46"/>
      <c r="L1199" s="46"/>
      <c r="M1199" s="46"/>
      <c r="N1199" s="46"/>
      <c r="O1199" s="46"/>
      <c r="P1199" s="46"/>
      <c r="Q1199" s="46"/>
      <c r="R1199" s="46"/>
      <c r="S1199" s="46"/>
      <c r="T1199" s="46"/>
      <c r="U1199" s="46"/>
      <c r="V1199" s="46"/>
      <c r="W1199" s="46"/>
      <c r="X1199" s="46"/>
    </row>
    <row r="1200" spans="1:24" x14ac:dyDescent="0.2">
      <c r="A1200" s="45"/>
      <c r="B1200" s="46"/>
      <c r="C1200" s="46"/>
      <c r="D1200" s="46"/>
      <c r="E1200" s="46"/>
      <c r="F1200" s="46"/>
      <c r="G1200" s="46"/>
      <c r="H1200" s="46"/>
      <c r="I1200" s="46"/>
      <c r="J1200" s="46"/>
      <c r="K1200" s="46"/>
      <c r="L1200" s="46"/>
      <c r="M1200" s="46"/>
      <c r="N1200" s="46"/>
      <c r="O1200" s="46"/>
      <c r="P1200" s="46"/>
      <c r="Q1200" s="46"/>
      <c r="R1200" s="46"/>
      <c r="S1200" s="46"/>
      <c r="T1200" s="46"/>
      <c r="U1200" s="46"/>
      <c r="V1200" s="46"/>
      <c r="W1200" s="46"/>
      <c r="X1200" s="46"/>
    </row>
    <row r="1201" spans="1:24" x14ac:dyDescent="0.2">
      <c r="A1201" s="45"/>
      <c r="B1201" s="46"/>
      <c r="C1201" s="46"/>
      <c r="D1201" s="46"/>
      <c r="E1201" s="46"/>
      <c r="F1201" s="46"/>
      <c r="G1201" s="46"/>
      <c r="H1201" s="46"/>
      <c r="I1201" s="46"/>
      <c r="J1201" s="46"/>
      <c r="K1201" s="46"/>
      <c r="L1201" s="46"/>
      <c r="M1201" s="46"/>
      <c r="N1201" s="46"/>
      <c r="O1201" s="46"/>
      <c r="P1201" s="46"/>
      <c r="Q1201" s="46"/>
      <c r="R1201" s="46"/>
      <c r="S1201" s="46"/>
      <c r="T1201" s="46"/>
      <c r="U1201" s="46"/>
      <c r="V1201" s="46"/>
      <c r="W1201" s="46"/>
      <c r="X1201" s="46"/>
    </row>
    <row r="1202" spans="1:24" x14ac:dyDescent="0.2">
      <c r="A1202" s="45"/>
      <c r="B1202" s="46"/>
      <c r="C1202" s="46"/>
      <c r="D1202" s="46"/>
      <c r="E1202" s="46"/>
      <c r="F1202" s="46"/>
      <c r="G1202" s="46"/>
      <c r="H1202" s="46"/>
      <c r="I1202" s="46"/>
      <c r="J1202" s="46"/>
      <c r="K1202" s="46"/>
      <c r="L1202" s="46"/>
      <c r="M1202" s="46"/>
      <c r="N1202" s="46"/>
      <c r="O1202" s="46"/>
      <c r="P1202" s="46"/>
      <c r="Q1202" s="46"/>
      <c r="R1202" s="46"/>
      <c r="S1202" s="46"/>
      <c r="T1202" s="46"/>
      <c r="U1202" s="46"/>
      <c r="V1202" s="46"/>
      <c r="W1202" s="46"/>
      <c r="X1202" s="46"/>
    </row>
    <row r="1203" spans="1:24" x14ac:dyDescent="0.2">
      <c r="A1203" s="45"/>
      <c r="B1203" s="46"/>
      <c r="C1203" s="46"/>
      <c r="D1203" s="46"/>
      <c r="E1203" s="46"/>
      <c r="F1203" s="46"/>
      <c r="G1203" s="46"/>
      <c r="H1203" s="46"/>
      <c r="I1203" s="46"/>
      <c r="J1203" s="46"/>
      <c r="K1203" s="46"/>
      <c r="L1203" s="46"/>
      <c r="M1203" s="46"/>
      <c r="N1203" s="46"/>
      <c r="O1203" s="46"/>
      <c r="P1203" s="46"/>
      <c r="Q1203" s="46"/>
      <c r="R1203" s="46"/>
      <c r="S1203" s="46"/>
      <c r="T1203" s="46"/>
      <c r="U1203" s="46"/>
      <c r="V1203" s="46"/>
      <c r="W1203" s="46"/>
      <c r="X1203" s="46"/>
    </row>
    <row r="1204" spans="1:24" x14ac:dyDescent="0.2">
      <c r="A1204" s="45"/>
      <c r="B1204" s="46"/>
      <c r="C1204" s="46"/>
      <c r="D1204" s="46"/>
      <c r="E1204" s="46"/>
      <c r="F1204" s="46"/>
      <c r="G1204" s="46"/>
      <c r="H1204" s="46"/>
      <c r="I1204" s="46"/>
      <c r="J1204" s="46"/>
      <c r="K1204" s="46"/>
      <c r="L1204" s="46"/>
      <c r="M1204" s="46"/>
      <c r="N1204" s="46"/>
      <c r="O1204" s="46"/>
      <c r="P1204" s="46"/>
      <c r="Q1204" s="46"/>
      <c r="R1204" s="46"/>
      <c r="S1204" s="46"/>
      <c r="T1204" s="46"/>
      <c r="U1204" s="46"/>
      <c r="V1204" s="46"/>
      <c r="W1204" s="46"/>
      <c r="X1204" s="46"/>
    </row>
    <row r="1205" spans="1:24" x14ac:dyDescent="0.2">
      <c r="A1205" s="45"/>
      <c r="B1205" s="46"/>
      <c r="C1205" s="46"/>
      <c r="D1205" s="46"/>
      <c r="E1205" s="46"/>
      <c r="F1205" s="46"/>
      <c r="G1205" s="46"/>
      <c r="H1205" s="46"/>
      <c r="I1205" s="46"/>
      <c r="J1205" s="46"/>
      <c r="K1205" s="46"/>
      <c r="L1205" s="46"/>
      <c r="M1205" s="46"/>
      <c r="N1205" s="46"/>
      <c r="O1205" s="46"/>
      <c r="P1205" s="46"/>
      <c r="Q1205" s="46"/>
      <c r="R1205" s="46"/>
      <c r="S1205" s="46"/>
      <c r="T1205" s="46"/>
      <c r="U1205" s="46"/>
      <c r="V1205" s="46"/>
      <c r="W1205" s="46"/>
      <c r="X1205" s="46"/>
    </row>
    <row r="1206" spans="1:24" x14ac:dyDescent="0.2">
      <c r="A1206" s="45"/>
      <c r="B1206" s="46"/>
      <c r="C1206" s="46"/>
      <c r="D1206" s="46"/>
      <c r="E1206" s="46"/>
      <c r="F1206" s="46"/>
      <c r="G1206" s="46"/>
      <c r="H1206" s="46"/>
      <c r="I1206" s="46"/>
      <c r="J1206" s="46"/>
      <c r="K1206" s="46"/>
      <c r="L1206" s="46"/>
      <c r="M1206" s="46"/>
      <c r="N1206" s="46"/>
      <c r="O1206" s="46"/>
      <c r="P1206" s="46"/>
      <c r="Q1206" s="46"/>
      <c r="R1206" s="46"/>
      <c r="S1206" s="46"/>
      <c r="T1206" s="46"/>
      <c r="U1206" s="46"/>
      <c r="V1206" s="46"/>
      <c r="W1206" s="46"/>
      <c r="X1206" s="46"/>
    </row>
    <row r="1207" spans="1:24" x14ac:dyDescent="0.2">
      <c r="A1207" s="45"/>
      <c r="B1207" s="46"/>
      <c r="C1207" s="46"/>
      <c r="D1207" s="46"/>
      <c r="E1207" s="46"/>
      <c r="F1207" s="46"/>
      <c r="G1207" s="46"/>
      <c r="H1207" s="46"/>
      <c r="I1207" s="46"/>
      <c r="J1207" s="46"/>
      <c r="K1207" s="46"/>
      <c r="L1207" s="46"/>
      <c r="M1207" s="46"/>
      <c r="N1207" s="46"/>
      <c r="O1207" s="46"/>
      <c r="P1207" s="46"/>
      <c r="Q1207" s="46"/>
      <c r="R1207" s="46"/>
      <c r="S1207" s="46"/>
      <c r="T1207" s="46"/>
      <c r="U1207" s="46"/>
      <c r="V1207" s="46"/>
      <c r="W1207" s="46"/>
      <c r="X1207" s="46"/>
    </row>
    <row r="1208" spans="1:24" x14ac:dyDescent="0.2">
      <c r="A1208" s="45"/>
      <c r="B1208" s="46"/>
      <c r="C1208" s="46"/>
      <c r="D1208" s="46"/>
      <c r="E1208" s="46"/>
      <c r="F1208" s="46"/>
      <c r="G1208" s="46"/>
      <c r="H1208" s="46"/>
      <c r="I1208" s="46"/>
      <c r="J1208" s="46"/>
      <c r="K1208" s="46"/>
      <c r="L1208" s="46"/>
      <c r="M1208" s="46"/>
      <c r="N1208" s="46"/>
      <c r="O1208" s="46"/>
      <c r="P1208" s="46"/>
      <c r="Q1208" s="46"/>
      <c r="R1208" s="46"/>
      <c r="S1208" s="46"/>
      <c r="T1208" s="46"/>
      <c r="U1208" s="46"/>
      <c r="V1208" s="46"/>
      <c r="W1208" s="46"/>
      <c r="X1208" s="46"/>
    </row>
    <row r="1209" spans="1:24" x14ac:dyDescent="0.2">
      <c r="A1209" s="45"/>
      <c r="B1209" s="46"/>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46"/>
    </row>
    <row r="1210" spans="1:24" x14ac:dyDescent="0.2">
      <c r="A1210" s="45"/>
      <c r="B1210" s="46"/>
      <c r="C1210" s="46"/>
      <c r="D1210" s="46"/>
      <c r="E1210" s="46"/>
      <c r="F1210" s="46"/>
      <c r="G1210" s="46"/>
      <c r="H1210" s="46"/>
      <c r="I1210" s="46"/>
      <c r="J1210" s="46"/>
      <c r="K1210" s="46"/>
      <c r="L1210" s="46"/>
      <c r="M1210" s="46"/>
      <c r="N1210" s="46"/>
      <c r="O1210" s="46"/>
      <c r="P1210" s="46"/>
      <c r="Q1210" s="46"/>
      <c r="R1210" s="46"/>
      <c r="S1210" s="46"/>
      <c r="T1210" s="46"/>
      <c r="U1210" s="46"/>
      <c r="V1210" s="46"/>
      <c r="W1210" s="46"/>
      <c r="X1210" s="46"/>
    </row>
    <row r="1211" spans="1:24" x14ac:dyDescent="0.2">
      <c r="A1211" s="45"/>
      <c r="B1211" s="46"/>
      <c r="C1211" s="46"/>
      <c r="D1211" s="46"/>
      <c r="E1211" s="46"/>
      <c r="F1211" s="46"/>
      <c r="G1211" s="46"/>
      <c r="H1211" s="46"/>
      <c r="I1211" s="46"/>
      <c r="J1211" s="46"/>
      <c r="K1211" s="46"/>
      <c r="L1211" s="46"/>
      <c r="M1211" s="46"/>
      <c r="N1211" s="46"/>
      <c r="O1211" s="46"/>
      <c r="P1211" s="46"/>
      <c r="Q1211" s="46"/>
      <c r="R1211" s="46"/>
      <c r="S1211" s="46"/>
      <c r="T1211" s="46"/>
      <c r="U1211" s="46"/>
      <c r="V1211" s="46"/>
      <c r="W1211" s="46"/>
      <c r="X1211" s="46"/>
    </row>
    <row r="1212" spans="1:24" x14ac:dyDescent="0.2">
      <c r="A1212" s="45"/>
      <c r="B1212" s="46"/>
      <c r="C1212" s="46"/>
      <c r="D1212" s="46"/>
      <c r="E1212" s="46"/>
      <c r="F1212" s="46"/>
      <c r="G1212" s="46"/>
      <c r="H1212" s="46"/>
      <c r="I1212" s="46"/>
      <c r="J1212" s="46"/>
      <c r="K1212" s="46"/>
      <c r="L1212" s="46"/>
      <c r="M1212" s="46"/>
      <c r="N1212" s="46"/>
      <c r="O1212" s="46"/>
      <c r="P1212" s="46"/>
      <c r="Q1212" s="46"/>
      <c r="R1212" s="46"/>
      <c r="S1212" s="46"/>
      <c r="T1212" s="46"/>
      <c r="U1212" s="46"/>
      <c r="V1212" s="46"/>
      <c r="W1212" s="46"/>
      <c r="X1212" s="46"/>
    </row>
    <row r="1213" spans="1:24" x14ac:dyDescent="0.2">
      <c r="A1213" s="45"/>
      <c r="B1213" s="46"/>
      <c r="C1213" s="46"/>
      <c r="D1213" s="46"/>
      <c r="E1213" s="46"/>
      <c r="F1213" s="46"/>
      <c r="G1213" s="46"/>
      <c r="H1213" s="46"/>
      <c r="I1213" s="46"/>
      <c r="J1213" s="46"/>
      <c r="K1213" s="46"/>
      <c r="L1213" s="46"/>
      <c r="M1213" s="46"/>
      <c r="N1213" s="46"/>
      <c r="O1213" s="46"/>
      <c r="P1213" s="46"/>
      <c r="Q1213" s="46"/>
      <c r="R1213" s="46"/>
      <c r="S1213" s="46"/>
      <c r="T1213" s="46"/>
      <c r="U1213" s="46"/>
      <c r="V1213" s="46"/>
      <c r="W1213" s="46"/>
      <c r="X1213" s="46"/>
    </row>
    <row r="1214" spans="1:24" x14ac:dyDescent="0.2">
      <c r="A1214" s="45"/>
      <c r="B1214" s="46"/>
      <c r="C1214" s="46"/>
      <c r="D1214" s="46"/>
      <c r="E1214" s="46"/>
      <c r="F1214" s="46"/>
      <c r="G1214" s="46"/>
      <c r="H1214" s="46"/>
      <c r="I1214" s="46"/>
      <c r="J1214" s="46"/>
      <c r="K1214" s="46"/>
      <c r="L1214" s="46"/>
      <c r="M1214" s="46"/>
      <c r="N1214" s="46"/>
      <c r="O1214" s="46"/>
      <c r="P1214" s="46"/>
      <c r="Q1214" s="46"/>
      <c r="R1214" s="46"/>
      <c r="S1214" s="46"/>
      <c r="T1214" s="46"/>
      <c r="U1214" s="46"/>
      <c r="V1214" s="46"/>
      <c r="W1214" s="46"/>
      <c r="X1214" s="46"/>
    </row>
    <row r="1215" spans="1:24" x14ac:dyDescent="0.2">
      <c r="A1215" s="45"/>
      <c r="B1215" s="46"/>
      <c r="C1215" s="46"/>
      <c r="D1215" s="46"/>
      <c r="E1215" s="46"/>
      <c r="F1215" s="46"/>
      <c r="G1215" s="46"/>
      <c r="H1215" s="46"/>
      <c r="I1215" s="46"/>
      <c r="J1215" s="46"/>
      <c r="K1215" s="46"/>
      <c r="L1215" s="46"/>
      <c r="M1215" s="46"/>
      <c r="N1215" s="46"/>
      <c r="O1215" s="46"/>
      <c r="P1215" s="46"/>
      <c r="Q1215" s="46"/>
      <c r="R1215" s="46"/>
      <c r="S1215" s="46"/>
      <c r="T1215" s="46"/>
      <c r="U1215" s="46"/>
      <c r="V1215" s="46"/>
      <c r="W1215" s="46"/>
      <c r="X1215" s="46"/>
    </row>
    <row r="1216" spans="1:24" x14ac:dyDescent="0.2">
      <c r="A1216" s="45"/>
      <c r="B1216" s="46"/>
      <c r="C1216" s="46"/>
      <c r="D1216" s="46"/>
      <c r="E1216" s="46"/>
      <c r="F1216" s="46"/>
      <c r="G1216" s="46"/>
      <c r="H1216" s="46"/>
      <c r="I1216" s="46"/>
      <c r="J1216" s="46"/>
      <c r="K1216" s="46"/>
      <c r="L1216" s="46"/>
      <c r="M1216" s="46"/>
      <c r="N1216" s="46"/>
      <c r="O1216" s="46"/>
      <c r="P1216" s="46"/>
      <c r="Q1216" s="46"/>
      <c r="R1216" s="46"/>
      <c r="S1216" s="46"/>
      <c r="T1216" s="46"/>
      <c r="U1216" s="46"/>
      <c r="V1216" s="46"/>
      <c r="W1216" s="46"/>
      <c r="X1216" s="46"/>
    </row>
    <row r="1217" spans="1:24" x14ac:dyDescent="0.2">
      <c r="A1217" s="45"/>
      <c r="B1217" s="46"/>
      <c r="C1217" s="46"/>
      <c r="D1217" s="46"/>
      <c r="E1217" s="46"/>
      <c r="F1217" s="46"/>
      <c r="G1217" s="46"/>
      <c r="H1217" s="46"/>
      <c r="I1217" s="46"/>
      <c r="J1217" s="46"/>
      <c r="K1217" s="46"/>
      <c r="L1217" s="46"/>
      <c r="M1217" s="46"/>
      <c r="N1217" s="46"/>
      <c r="O1217" s="46"/>
      <c r="P1217" s="46"/>
      <c r="Q1217" s="46"/>
      <c r="R1217" s="46"/>
      <c r="S1217" s="46"/>
      <c r="T1217" s="46"/>
      <c r="U1217" s="46"/>
      <c r="V1217" s="46"/>
      <c r="W1217" s="46"/>
      <c r="X1217" s="46"/>
    </row>
    <row r="1218" spans="1:24" x14ac:dyDescent="0.2">
      <c r="A1218" s="45"/>
      <c r="B1218" s="46"/>
      <c r="C1218" s="46"/>
      <c r="D1218" s="46"/>
      <c r="E1218" s="46"/>
      <c r="F1218" s="46"/>
      <c r="G1218" s="46"/>
      <c r="H1218" s="46"/>
      <c r="I1218" s="46"/>
      <c r="J1218" s="46"/>
      <c r="K1218" s="46"/>
      <c r="L1218" s="46"/>
      <c r="M1218" s="46"/>
      <c r="N1218" s="46"/>
      <c r="O1218" s="46"/>
      <c r="P1218" s="46"/>
      <c r="Q1218" s="46"/>
      <c r="R1218" s="46"/>
      <c r="S1218" s="46"/>
      <c r="T1218" s="46"/>
      <c r="U1218" s="46"/>
      <c r="V1218" s="46"/>
      <c r="W1218" s="46"/>
      <c r="X1218" s="46"/>
    </row>
    <row r="1219" spans="1:24" x14ac:dyDescent="0.2">
      <c r="A1219" s="45"/>
      <c r="B1219" s="46"/>
      <c r="C1219" s="46"/>
      <c r="D1219" s="46"/>
      <c r="E1219" s="46"/>
      <c r="F1219" s="46"/>
      <c r="G1219" s="46"/>
      <c r="H1219" s="46"/>
      <c r="I1219" s="46"/>
      <c r="J1219" s="46"/>
      <c r="K1219" s="46"/>
      <c r="L1219" s="46"/>
      <c r="M1219" s="46"/>
      <c r="N1219" s="46"/>
      <c r="O1219" s="46"/>
      <c r="P1219" s="46"/>
      <c r="Q1219" s="46"/>
      <c r="R1219" s="46"/>
      <c r="S1219" s="46"/>
      <c r="T1219" s="46"/>
      <c r="U1219" s="46"/>
      <c r="V1219" s="46"/>
      <c r="W1219" s="46"/>
      <c r="X1219" s="46"/>
    </row>
    <row r="1220" spans="1:24" x14ac:dyDescent="0.2">
      <c r="A1220" s="45"/>
      <c r="B1220" s="46"/>
      <c r="C1220" s="46"/>
      <c r="D1220" s="46"/>
      <c r="E1220" s="46"/>
      <c r="F1220" s="46"/>
      <c r="G1220" s="46"/>
      <c r="H1220" s="46"/>
      <c r="I1220" s="46"/>
      <c r="J1220" s="46"/>
      <c r="K1220" s="46"/>
      <c r="L1220" s="46"/>
      <c r="M1220" s="46"/>
      <c r="N1220" s="46"/>
      <c r="O1220" s="46"/>
      <c r="P1220" s="46"/>
      <c r="Q1220" s="46"/>
      <c r="R1220" s="46"/>
      <c r="S1220" s="46"/>
      <c r="T1220" s="46"/>
      <c r="U1220" s="46"/>
      <c r="V1220" s="46"/>
      <c r="W1220" s="46"/>
      <c r="X1220" s="46"/>
    </row>
    <row r="1221" spans="1:24" x14ac:dyDescent="0.2">
      <c r="A1221" s="45"/>
      <c r="B1221" s="46"/>
      <c r="C1221" s="46"/>
      <c r="D1221" s="46"/>
      <c r="E1221" s="46"/>
      <c r="F1221" s="46"/>
      <c r="G1221" s="46"/>
      <c r="H1221" s="46"/>
      <c r="I1221" s="46"/>
      <c r="J1221" s="46"/>
      <c r="K1221" s="46"/>
      <c r="L1221" s="46"/>
      <c r="M1221" s="46"/>
      <c r="N1221" s="46"/>
      <c r="O1221" s="46"/>
      <c r="P1221" s="46"/>
      <c r="Q1221" s="46"/>
      <c r="R1221" s="46"/>
      <c r="S1221" s="46"/>
      <c r="T1221" s="46"/>
      <c r="U1221" s="46"/>
      <c r="V1221" s="46"/>
      <c r="W1221" s="46"/>
      <c r="X1221" s="46"/>
    </row>
    <row r="1222" spans="1:24" x14ac:dyDescent="0.2">
      <c r="A1222" s="45"/>
      <c r="B1222" s="46"/>
      <c r="C1222" s="46"/>
      <c r="D1222" s="46"/>
      <c r="E1222" s="46"/>
      <c r="F1222" s="46"/>
      <c r="G1222" s="46"/>
      <c r="H1222" s="46"/>
      <c r="I1222" s="46"/>
      <c r="J1222" s="46"/>
      <c r="K1222" s="46"/>
      <c r="L1222" s="46"/>
      <c r="M1222" s="46"/>
      <c r="N1222" s="46"/>
      <c r="O1222" s="46"/>
      <c r="P1222" s="46"/>
      <c r="Q1222" s="46"/>
      <c r="R1222" s="46"/>
      <c r="S1222" s="46"/>
      <c r="T1222" s="46"/>
      <c r="U1222" s="46"/>
      <c r="V1222" s="46"/>
      <c r="W1222" s="46"/>
      <c r="X1222" s="46"/>
    </row>
    <row r="1223" spans="1:24" x14ac:dyDescent="0.2">
      <c r="A1223" s="45"/>
      <c r="B1223" s="46"/>
      <c r="C1223" s="46"/>
      <c r="D1223" s="46"/>
      <c r="E1223" s="46"/>
      <c r="F1223" s="46"/>
      <c r="G1223" s="46"/>
      <c r="H1223" s="46"/>
      <c r="I1223" s="46"/>
      <c r="J1223" s="46"/>
      <c r="K1223" s="46"/>
      <c r="L1223" s="46"/>
      <c r="M1223" s="46"/>
      <c r="N1223" s="46"/>
      <c r="O1223" s="46"/>
      <c r="P1223" s="46"/>
      <c r="Q1223" s="46"/>
      <c r="R1223" s="46"/>
      <c r="S1223" s="46"/>
      <c r="T1223" s="46"/>
      <c r="U1223" s="46"/>
      <c r="V1223" s="46"/>
      <c r="W1223" s="46"/>
      <c r="X1223" s="46"/>
    </row>
    <row r="1224" spans="1:24" x14ac:dyDescent="0.2">
      <c r="A1224" s="45"/>
      <c r="B1224" s="46"/>
      <c r="C1224" s="46"/>
      <c r="D1224" s="46"/>
      <c r="E1224" s="46"/>
      <c r="F1224" s="46"/>
      <c r="G1224" s="46"/>
      <c r="H1224" s="46"/>
      <c r="I1224" s="46"/>
      <c r="J1224" s="46"/>
      <c r="K1224" s="46"/>
      <c r="L1224" s="46"/>
      <c r="M1224" s="46"/>
      <c r="N1224" s="46"/>
      <c r="O1224" s="46"/>
      <c r="P1224" s="46"/>
      <c r="Q1224" s="46"/>
      <c r="R1224" s="46"/>
      <c r="S1224" s="46"/>
      <c r="T1224" s="46"/>
      <c r="U1224" s="46"/>
      <c r="V1224" s="46"/>
      <c r="W1224" s="46"/>
      <c r="X1224" s="46"/>
    </row>
    <row r="1225" spans="1:24" x14ac:dyDescent="0.2">
      <c r="A1225" s="45"/>
      <c r="B1225" s="46"/>
      <c r="C1225" s="46"/>
      <c r="D1225" s="46"/>
      <c r="E1225" s="46"/>
      <c r="F1225" s="46"/>
      <c r="G1225" s="46"/>
      <c r="H1225" s="46"/>
      <c r="I1225" s="46"/>
      <c r="J1225" s="46"/>
      <c r="K1225" s="46"/>
      <c r="L1225" s="46"/>
      <c r="M1225" s="46"/>
      <c r="N1225" s="46"/>
      <c r="O1225" s="46"/>
      <c r="P1225" s="46"/>
      <c r="Q1225" s="46"/>
      <c r="R1225" s="46"/>
      <c r="S1225" s="46"/>
      <c r="T1225" s="46"/>
      <c r="U1225" s="46"/>
      <c r="V1225" s="46"/>
      <c r="W1225" s="46"/>
      <c r="X1225" s="46"/>
    </row>
    <row r="1226" spans="1:24" x14ac:dyDescent="0.2">
      <c r="A1226" s="45"/>
      <c r="B1226" s="46"/>
      <c r="C1226" s="46"/>
      <c r="D1226" s="46"/>
      <c r="E1226" s="46"/>
      <c r="F1226" s="46"/>
      <c r="G1226" s="46"/>
      <c r="H1226" s="46"/>
      <c r="I1226" s="46"/>
      <c r="J1226" s="46"/>
      <c r="K1226" s="46"/>
      <c r="L1226" s="46"/>
      <c r="M1226" s="46"/>
      <c r="N1226" s="46"/>
      <c r="O1226" s="46"/>
      <c r="P1226" s="46"/>
      <c r="Q1226" s="46"/>
      <c r="R1226" s="46"/>
      <c r="S1226" s="46"/>
      <c r="T1226" s="46"/>
      <c r="U1226" s="46"/>
      <c r="V1226" s="46"/>
      <c r="W1226" s="46"/>
      <c r="X1226" s="46"/>
    </row>
    <row r="1227" spans="1:24" x14ac:dyDescent="0.2">
      <c r="A1227" s="45"/>
      <c r="B1227" s="46"/>
      <c r="C1227" s="46"/>
      <c r="D1227" s="46"/>
      <c r="E1227" s="46"/>
      <c r="F1227" s="46"/>
      <c r="G1227" s="46"/>
      <c r="H1227" s="46"/>
      <c r="I1227" s="46"/>
      <c r="J1227" s="46"/>
      <c r="K1227" s="46"/>
      <c r="L1227" s="46"/>
      <c r="M1227" s="46"/>
      <c r="N1227" s="46"/>
      <c r="O1227" s="46"/>
      <c r="P1227" s="46"/>
      <c r="Q1227" s="46"/>
      <c r="R1227" s="46"/>
      <c r="S1227" s="46"/>
      <c r="T1227" s="46"/>
      <c r="U1227" s="46"/>
      <c r="V1227" s="46"/>
      <c r="W1227" s="46"/>
      <c r="X1227" s="46"/>
    </row>
    <row r="1228" spans="1:24" x14ac:dyDescent="0.2">
      <c r="A1228" s="45"/>
      <c r="B1228" s="46"/>
      <c r="C1228" s="46"/>
      <c r="D1228" s="46"/>
      <c r="E1228" s="46"/>
      <c r="F1228" s="46"/>
      <c r="G1228" s="46"/>
      <c r="H1228" s="46"/>
      <c r="I1228" s="46"/>
      <c r="J1228" s="46"/>
      <c r="K1228" s="46"/>
      <c r="L1228" s="46"/>
      <c r="M1228" s="46"/>
      <c r="N1228" s="46"/>
      <c r="O1228" s="46"/>
      <c r="P1228" s="46"/>
      <c r="Q1228" s="46"/>
      <c r="R1228" s="46"/>
      <c r="S1228" s="46"/>
      <c r="T1228" s="46"/>
      <c r="U1228" s="46"/>
      <c r="V1228" s="46"/>
      <c r="W1228" s="46"/>
      <c r="X1228" s="46"/>
    </row>
    <row r="1229" spans="1:24" x14ac:dyDescent="0.2">
      <c r="A1229" s="45"/>
      <c r="B1229" s="46"/>
      <c r="C1229" s="46"/>
      <c r="D1229" s="46"/>
      <c r="E1229" s="46"/>
      <c r="F1229" s="46"/>
      <c r="G1229" s="46"/>
      <c r="H1229" s="46"/>
      <c r="I1229" s="46"/>
      <c r="J1229" s="46"/>
      <c r="K1229" s="46"/>
      <c r="L1229" s="46"/>
      <c r="M1229" s="46"/>
      <c r="N1229" s="46"/>
      <c r="O1229" s="46"/>
      <c r="P1229" s="46"/>
      <c r="Q1229" s="46"/>
      <c r="R1229" s="46"/>
      <c r="S1229" s="46"/>
      <c r="T1229" s="46"/>
      <c r="U1229" s="46"/>
      <c r="V1229" s="46"/>
      <c r="W1229" s="46"/>
      <c r="X1229" s="46"/>
    </row>
    <row r="1230" spans="1:24" x14ac:dyDescent="0.2">
      <c r="A1230" s="45"/>
      <c r="B1230" s="46"/>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46"/>
    </row>
    <row r="1231" spans="1:24" x14ac:dyDescent="0.2">
      <c r="A1231" s="45"/>
      <c r="B1231" s="46"/>
      <c r="C1231" s="46"/>
      <c r="D1231" s="46"/>
      <c r="E1231" s="46"/>
      <c r="F1231" s="46"/>
      <c r="G1231" s="46"/>
      <c r="H1231" s="46"/>
      <c r="I1231" s="46"/>
      <c r="J1231" s="46"/>
      <c r="K1231" s="46"/>
      <c r="L1231" s="46"/>
      <c r="M1231" s="46"/>
      <c r="N1231" s="46"/>
      <c r="O1231" s="46"/>
      <c r="P1231" s="46"/>
      <c r="Q1231" s="46"/>
      <c r="R1231" s="46"/>
      <c r="S1231" s="46"/>
      <c r="T1231" s="46"/>
      <c r="U1231" s="46"/>
      <c r="V1231" s="46"/>
      <c r="W1231" s="46"/>
      <c r="X1231" s="46"/>
    </row>
    <row r="1232" spans="1:24" x14ac:dyDescent="0.2">
      <c r="A1232" s="45"/>
      <c r="B1232" s="46"/>
      <c r="C1232" s="46"/>
      <c r="D1232" s="46"/>
      <c r="E1232" s="46"/>
      <c r="F1232" s="46"/>
      <c r="G1232" s="46"/>
      <c r="H1232" s="46"/>
      <c r="I1232" s="46"/>
      <c r="J1232" s="46"/>
      <c r="K1232" s="46"/>
      <c r="L1232" s="46"/>
      <c r="M1232" s="46"/>
      <c r="N1232" s="46"/>
      <c r="O1232" s="46"/>
      <c r="P1232" s="46"/>
      <c r="Q1232" s="46"/>
      <c r="R1232" s="46"/>
      <c r="S1232" s="46"/>
      <c r="T1232" s="46"/>
      <c r="U1232" s="46"/>
      <c r="V1232" s="46"/>
      <c r="W1232" s="46"/>
      <c r="X1232" s="46"/>
    </row>
    <row r="1233" spans="1:24" x14ac:dyDescent="0.2">
      <c r="A1233" s="45"/>
      <c r="B1233" s="46"/>
      <c r="C1233" s="46"/>
      <c r="D1233" s="46"/>
      <c r="E1233" s="46"/>
      <c r="F1233" s="46"/>
      <c r="G1233" s="46"/>
      <c r="H1233" s="46"/>
      <c r="I1233" s="46"/>
      <c r="J1233" s="46"/>
      <c r="K1233" s="46"/>
      <c r="L1233" s="46"/>
      <c r="M1233" s="46"/>
      <c r="N1233" s="46"/>
      <c r="O1233" s="46"/>
      <c r="P1233" s="46"/>
      <c r="Q1233" s="46"/>
      <c r="R1233" s="46"/>
      <c r="S1233" s="46"/>
      <c r="T1233" s="46"/>
      <c r="U1233" s="46"/>
      <c r="V1233" s="46"/>
      <c r="W1233" s="46"/>
      <c r="X1233" s="46"/>
    </row>
    <row r="1234" spans="1:24" x14ac:dyDescent="0.2">
      <c r="A1234" s="45"/>
      <c r="B1234" s="46"/>
      <c r="C1234" s="46"/>
      <c r="D1234" s="46"/>
      <c r="E1234" s="46"/>
      <c r="F1234" s="46"/>
      <c r="G1234" s="46"/>
      <c r="H1234" s="46"/>
      <c r="I1234" s="46"/>
      <c r="J1234" s="46"/>
      <c r="K1234" s="46"/>
      <c r="L1234" s="46"/>
      <c r="M1234" s="46"/>
      <c r="N1234" s="46"/>
      <c r="O1234" s="46"/>
      <c r="P1234" s="46"/>
      <c r="Q1234" s="46"/>
      <c r="R1234" s="46"/>
      <c r="S1234" s="46"/>
      <c r="T1234" s="46"/>
      <c r="U1234" s="46"/>
      <c r="V1234" s="46"/>
      <c r="W1234" s="46"/>
      <c r="X1234" s="46"/>
    </row>
    <row r="1235" spans="1:24" x14ac:dyDescent="0.2">
      <c r="A1235" s="45"/>
      <c r="B1235" s="46"/>
      <c r="C1235" s="46"/>
      <c r="D1235" s="46"/>
      <c r="E1235" s="46"/>
      <c r="F1235" s="46"/>
      <c r="G1235" s="46"/>
      <c r="H1235" s="46"/>
      <c r="I1235" s="46"/>
      <c r="J1235" s="46"/>
      <c r="K1235" s="46"/>
      <c r="L1235" s="46"/>
      <c r="M1235" s="46"/>
      <c r="N1235" s="46"/>
      <c r="O1235" s="46"/>
      <c r="P1235" s="46"/>
      <c r="Q1235" s="46"/>
      <c r="R1235" s="46"/>
      <c r="S1235" s="46"/>
      <c r="T1235" s="46"/>
      <c r="U1235" s="46"/>
      <c r="V1235" s="46"/>
      <c r="W1235" s="46"/>
      <c r="X1235" s="46"/>
    </row>
    <row r="1236" spans="1:24" x14ac:dyDescent="0.2">
      <c r="A1236" s="45"/>
      <c r="B1236" s="46"/>
      <c r="C1236" s="46"/>
      <c r="D1236" s="46"/>
      <c r="E1236" s="46"/>
      <c r="F1236" s="46"/>
      <c r="G1236" s="46"/>
      <c r="H1236" s="46"/>
      <c r="I1236" s="46"/>
      <c r="J1236" s="46"/>
      <c r="K1236" s="46"/>
      <c r="L1236" s="46"/>
      <c r="M1236" s="46"/>
      <c r="N1236" s="46"/>
      <c r="O1236" s="46"/>
      <c r="P1236" s="46"/>
      <c r="Q1236" s="46"/>
      <c r="R1236" s="46"/>
      <c r="S1236" s="46"/>
      <c r="T1236" s="46"/>
      <c r="U1236" s="46"/>
      <c r="V1236" s="46"/>
      <c r="W1236" s="46"/>
      <c r="X1236" s="46"/>
    </row>
    <row r="1237" spans="1:24" x14ac:dyDescent="0.2">
      <c r="A1237" s="45"/>
      <c r="B1237" s="46"/>
      <c r="C1237" s="46"/>
      <c r="D1237" s="46"/>
      <c r="E1237" s="46"/>
      <c r="F1237" s="46"/>
      <c r="G1237" s="46"/>
      <c r="H1237" s="46"/>
      <c r="I1237" s="46"/>
      <c r="J1237" s="46"/>
      <c r="K1237" s="46"/>
      <c r="L1237" s="46"/>
      <c r="M1237" s="46"/>
      <c r="N1237" s="46"/>
      <c r="O1237" s="46"/>
      <c r="P1237" s="46"/>
      <c r="Q1237" s="46"/>
      <c r="R1237" s="46"/>
      <c r="S1237" s="46"/>
      <c r="T1237" s="46"/>
      <c r="U1237" s="46"/>
      <c r="V1237" s="46"/>
      <c r="W1237" s="46"/>
      <c r="X1237" s="46"/>
    </row>
    <row r="1238" spans="1:24" x14ac:dyDescent="0.2">
      <c r="A1238" s="45"/>
      <c r="B1238" s="46"/>
      <c r="C1238" s="46"/>
      <c r="D1238" s="46"/>
      <c r="E1238" s="46"/>
      <c r="F1238" s="46"/>
      <c r="G1238" s="46"/>
      <c r="H1238" s="46"/>
      <c r="I1238" s="46"/>
      <c r="J1238" s="46"/>
      <c r="K1238" s="46"/>
      <c r="L1238" s="46"/>
      <c r="M1238" s="46"/>
      <c r="N1238" s="46"/>
      <c r="O1238" s="46"/>
      <c r="P1238" s="46"/>
      <c r="Q1238" s="46"/>
      <c r="R1238" s="46"/>
      <c r="S1238" s="46"/>
      <c r="T1238" s="46"/>
      <c r="U1238" s="46"/>
      <c r="V1238" s="46"/>
      <c r="W1238" s="46"/>
      <c r="X1238" s="46"/>
    </row>
    <row r="1239" spans="1:24" x14ac:dyDescent="0.2">
      <c r="A1239" s="45"/>
      <c r="B1239" s="46"/>
      <c r="C1239" s="46"/>
      <c r="D1239" s="46"/>
      <c r="E1239" s="46"/>
      <c r="F1239" s="46"/>
      <c r="G1239" s="46"/>
      <c r="H1239" s="46"/>
      <c r="I1239" s="46"/>
      <c r="J1239" s="46"/>
      <c r="K1239" s="46"/>
      <c r="L1239" s="46"/>
      <c r="M1239" s="46"/>
      <c r="N1239" s="46"/>
      <c r="O1239" s="46"/>
      <c r="P1239" s="46"/>
      <c r="Q1239" s="46"/>
      <c r="R1239" s="46"/>
      <c r="S1239" s="46"/>
      <c r="T1239" s="46"/>
      <c r="U1239" s="46"/>
      <c r="V1239" s="46"/>
      <c r="W1239" s="46"/>
      <c r="X1239" s="46"/>
    </row>
    <row r="1240" spans="1:24" x14ac:dyDescent="0.2">
      <c r="A1240" s="45"/>
      <c r="B1240" s="46"/>
      <c r="C1240" s="46"/>
      <c r="D1240" s="46"/>
      <c r="E1240" s="46"/>
      <c r="F1240" s="46"/>
      <c r="G1240" s="46"/>
      <c r="H1240" s="46"/>
      <c r="I1240" s="46"/>
      <c r="J1240" s="46"/>
      <c r="K1240" s="46"/>
      <c r="L1240" s="46"/>
      <c r="M1240" s="46"/>
      <c r="N1240" s="46"/>
      <c r="O1240" s="46"/>
      <c r="P1240" s="46"/>
      <c r="Q1240" s="46"/>
      <c r="R1240" s="46"/>
      <c r="S1240" s="46"/>
      <c r="T1240" s="46"/>
      <c r="U1240" s="46"/>
      <c r="V1240" s="46"/>
      <c r="W1240" s="46"/>
      <c r="X1240" s="46"/>
    </row>
    <row r="1241" spans="1:24" x14ac:dyDescent="0.2">
      <c r="A1241" s="45"/>
      <c r="B1241" s="46"/>
      <c r="C1241" s="46"/>
      <c r="D1241" s="46"/>
      <c r="E1241" s="46"/>
      <c r="F1241" s="46"/>
      <c r="G1241" s="46"/>
      <c r="H1241" s="46"/>
      <c r="I1241" s="46"/>
      <c r="J1241" s="46"/>
      <c r="K1241" s="46"/>
      <c r="L1241" s="46"/>
      <c r="M1241" s="46"/>
      <c r="N1241" s="46"/>
      <c r="O1241" s="46"/>
      <c r="P1241" s="46"/>
      <c r="Q1241" s="46"/>
      <c r="R1241" s="46"/>
      <c r="S1241" s="46"/>
      <c r="T1241" s="46"/>
      <c r="U1241" s="46"/>
      <c r="V1241" s="46"/>
      <c r="W1241" s="46"/>
      <c r="X1241" s="46"/>
    </row>
    <row r="1242" spans="1:24" x14ac:dyDescent="0.2">
      <c r="A1242" s="45"/>
      <c r="B1242" s="46"/>
      <c r="C1242" s="46"/>
      <c r="D1242" s="46"/>
      <c r="E1242" s="46"/>
      <c r="F1242" s="46"/>
      <c r="G1242" s="46"/>
      <c r="H1242" s="46"/>
      <c r="I1242" s="46"/>
      <c r="J1242" s="46"/>
      <c r="K1242" s="46"/>
      <c r="L1242" s="46"/>
      <c r="M1242" s="46"/>
      <c r="N1242" s="46"/>
      <c r="O1242" s="46"/>
      <c r="P1242" s="46"/>
      <c r="Q1242" s="46"/>
      <c r="R1242" s="46"/>
      <c r="S1242" s="46"/>
      <c r="T1242" s="46"/>
      <c r="U1242" s="46"/>
      <c r="V1242" s="46"/>
      <c r="W1242" s="46"/>
      <c r="X1242" s="46"/>
    </row>
    <row r="1243" spans="1:24" x14ac:dyDescent="0.2">
      <c r="A1243" s="45"/>
      <c r="B1243" s="46"/>
      <c r="C1243" s="46"/>
      <c r="D1243" s="46"/>
      <c r="E1243" s="46"/>
      <c r="F1243" s="46"/>
      <c r="G1243" s="46"/>
      <c r="H1243" s="46"/>
      <c r="I1243" s="46"/>
      <c r="J1243" s="46"/>
      <c r="K1243" s="46"/>
      <c r="L1243" s="46"/>
      <c r="M1243" s="46"/>
      <c r="N1243" s="46"/>
      <c r="O1243" s="46"/>
      <c r="P1243" s="46"/>
      <c r="Q1243" s="46"/>
      <c r="R1243" s="46"/>
      <c r="S1243" s="46"/>
      <c r="T1243" s="46"/>
      <c r="U1243" s="46"/>
      <c r="V1243" s="46"/>
      <c r="W1243" s="46"/>
      <c r="X1243" s="46"/>
    </row>
    <row r="1244" spans="1:24" x14ac:dyDescent="0.2">
      <c r="A1244" s="45"/>
      <c r="B1244" s="46"/>
      <c r="C1244" s="46"/>
      <c r="D1244" s="46"/>
      <c r="E1244" s="46"/>
      <c r="F1244" s="46"/>
      <c r="G1244" s="46"/>
      <c r="H1244" s="46"/>
      <c r="I1244" s="46"/>
      <c r="J1244" s="46"/>
      <c r="K1244" s="46"/>
      <c r="L1244" s="46"/>
      <c r="M1244" s="46"/>
      <c r="N1244" s="46"/>
      <c r="O1244" s="46"/>
      <c r="P1244" s="46"/>
      <c r="Q1244" s="46"/>
      <c r="R1244" s="46"/>
      <c r="S1244" s="46"/>
      <c r="T1244" s="46"/>
      <c r="U1244" s="46"/>
      <c r="V1244" s="46"/>
      <c r="W1244" s="46"/>
      <c r="X1244" s="46"/>
    </row>
    <row r="1245" spans="1:24" x14ac:dyDescent="0.2">
      <c r="A1245" s="45"/>
      <c r="B1245" s="46"/>
      <c r="C1245" s="46"/>
      <c r="D1245" s="46"/>
      <c r="E1245" s="46"/>
      <c r="F1245" s="46"/>
      <c r="G1245" s="46"/>
      <c r="H1245" s="46"/>
      <c r="I1245" s="46"/>
      <c r="J1245" s="46"/>
      <c r="K1245" s="46"/>
      <c r="L1245" s="46"/>
      <c r="M1245" s="46"/>
      <c r="N1245" s="46"/>
      <c r="O1245" s="46"/>
      <c r="P1245" s="46"/>
      <c r="Q1245" s="46"/>
      <c r="R1245" s="46"/>
      <c r="S1245" s="46"/>
      <c r="T1245" s="46"/>
      <c r="U1245" s="46"/>
      <c r="V1245" s="46"/>
      <c r="W1245" s="46"/>
      <c r="X1245" s="46"/>
    </row>
    <row r="1246" spans="1:24" x14ac:dyDescent="0.2">
      <c r="A1246" s="45"/>
      <c r="B1246" s="46"/>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row>
    <row r="1247" spans="1:24" x14ac:dyDescent="0.2">
      <c r="A1247" s="45"/>
      <c r="B1247" s="46"/>
      <c r="C1247" s="46"/>
      <c r="D1247" s="46"/>
      <c r="E1247" s="46"/>
      <c r="F1247" s="46"/>
      <c r="G1247" s="46"/>
      <c r="H1247" s="46"/>
      <c r="I1247" s="46"/>
      <c r="J1247" s="46"/>
      <c r="K1247" s="46"/>
      <c r="L1247" s="46"/>
      <c r="M1247" s="46"/>
      <c r="N1247" s="46"/>
      <c r="O1247" s="46"/>
      <c r="P1247" s="46"/>
      <c r="Q1247" s="46"/>
      <c r="R1247" s="46"/>
      <c r="S1247" s="46"/>
      <c r="T1247" s="46"/>
      <c r="U1247" s="46"/>
      <c r="V1247" s="46"/>
      <c r="W1247" s="46"/>
      <c r="X1247" s="46"/>
    </row>
    <row r="1248" spans="1:24" x14ac:dyDescent="0.2">
      <c r="A1248" s="45"/>
      <c r="B1248" s="46"/>
      <c r="C1248" s="46"/>
      <c r="D1248" s="46"/>
      <c r="E1248" s="46"/>
      <c r="F1248" s="46"/>
      <c r="G1248" s="46"/>
      <c r="H1248" s="46"/>
      <c r="I1248" s="46"/>
      <c r="J1248" s="46"/>
      <c r="K1248" s="46"/>
      <c r="L1248" s="46"/>
      <c r="M1248" s="46"/>
      <c r="N1248" s="46"/>
      <c r="O1248" s="46"/>
      <c r="P1248" s="46"/>
      <c r="Q1248" s="46"/>
      <c r="R1248" s="46"/>
      <c r="S1248" s="46"/>
      <c r="T1248" s="46"/>
      <c r="U1248" s="46"/>
      <c r="V1248" s="46"/>
      <c r="W1248" s="46"/>
      <c r="X1248" s="46"/>
    </row>
    <row r="1249" spans="1:24" x14ac:dyDescent="0.2">
      <c r="A1249" s="45"/>
      <c r="B1249" s="46"/>
      <c r="C1249" s="46"/>
      <c r="D1249" s="46"/>
      <c r="E1249" s="46"/>
      <c r="F1249" s="46"/>
      <c r="G1249" s="46"/>
      <c r="H1249" s="46"/>
      <c r="I1249" s="46"/>
      <c r="J1249" s="46"/>
      <c r="K1249" s="46"/>
      <c r="L1249" s="46"/>
      <c r="M1249" s="46"/>
      <c r="N1249" s="46"/>
      <c r="O1249" s="46"/>
      <c r="P1249" s="46"/>
      <c r="Q1249" s="46"/>
      <c r="R1249" s="46"/>
      <c r="S1249" s="46"/>
      <c r="T1249" s="46"/>
      <c r="U1249" s="46"/>
      <c r="V1249" s="46"/>
      <c r="W1249" s="46"/>
      <c r="X1249" s="46"/>
    </row>
    <row r="1250" spans="1:24" x14ac:dyDescent="0.2">
      <c r="A1250" s="45"/>
      <c r="B1250" s="46"/>
      <c r="C1250" s="46"/>
      <c r="D1250" s="46"/>
      <c r="E1250" s="46"/>
      <c r="F1250" s="46"/>
      <c r="G1250" s="46"/>
      <c r="H1250" s="46"/>
      <c r="I1250" s="46"/>
      <c r="J1250" s="46"/>
      <c r="K1250" s="46"/>
      <c r="L1250" s="46"/>
      <c r="M1250" s="46"/>
      <c r="N1250" s="46"/>
      <c r="O1250" s="46"/>
      <c r="P1250" s="46"/>
      <c r="Q1250" s="46"/>
      <c r="R1250" s="46"/>
      <c r="S1250" s="46"/>
      <c r="T1250" s="46"/>
      <c r="U1250" s="46"/>
      <c r="V1250" s="46"/>
      <c r="W1250" s="46"/>
      <c r="X1250" s="46"/>
    </row>
    <row r="1251" spans="1:24" x14ac:dyDescent="0.2">
      <c r="A1251" s="45"/>
      <c r="B1251" s="46"/>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46"/>
    </row>
    <row r="1252" spans="1:24" x14ac:dyDescent="0.2">
      <c r="A1252" s="45"/>
      <c r="B1252" s="46"/>
      <c r="C1252" s="46"/>
      <c r="D1252" s="46"/>
      <c r="E1252" s="46"/>
      <c r="F1252" s="46"/>
      <c r="G1252" s="46"/>
      <c r="H1252" s="46"/>
      <c r="I1252" s="46"/>
      <c r="J1252" s="46"/>
      <c r="K1252" s="46"/>
      <c r="L1252" s="46"/>
      <c r="M1252" s="46"/>
      <c r="N1252" s="46"/>
      <c r="O1252" s="46"/>
      <c r="P1252" s="46"/>
      <c r="Q1252" s="46"/>
      <c r="R1252" s="46"/>
      <c r="S1252" s="46"/>
      <c r="T1252" s="46"/>
      <c r="U1252" s="46"/>
      <c r="V1252" s="46"/>
      <c r="W1252" s="46"/>
      <c r="X1252" s="46"/>
    </row>
    <row r="1253" spans="1:24" x14ac:dyDescent="0.2">
      <c r="A1253" s="45"/>
      <c r="B1253" s="46"/>
      <c r="C1253" s="46"/>
      <c r="D1253" s="46"/>
      <c r="E1253" s="46"/>
      <c r="F1253" s="46"/>
      <c r="G1253" s="46"/>
      <c r="H1253" s="46"/>
      <c r="I1253" s="46"/>
      <c r="J1253" s="46"/>
      <c r="K1253" s="46"/>
      <c r="L1253" s="46"/>
      <c r="M1253" s="46"/>
      <c r="N1253" s="46"/>
      <c r="O1253" s="46"/>
      <c r="P1253" s="46"/>
      <c r="Q1253" s="46"/>
      <c r="R1253" s="46"/>
      <c r="S1253" s="46"/>
      <c r="T1253" s="46"/>
      <c r="U1253" s="46"/>
      <c r="V1253" s="46"/>
      <c r="W1253" s="46"/>
      <c r="X1253" s="46"/>
    </row>
    <row r="1254" spans="1:24" x14ac:dyDescent="0.2">
      <c r="A1254" s="45"/>
      <c r="B1254" s="46"/>
      <c r="C1254" s="46"/>
      <c r="D1254" s="46"/>
      <c r="E1254" s="46"/>
      <c r="F1254" s="46"/>
      <c r="G1254" s="46"/>
      <c r="H1254" s="46"/>
      <c r="I1254" s="46"/>
      <c r="J1254" s="46"/>
      <c r="K1254" s="46"/>
      <c r="L1254" s="46"/>
      <c r="M1254" s="46"/>
      <c r="N1254" s="46"/>
      <c r="O1254" s="46"/>
      <c r="P1254" s="46"/>
      <c r="Q1254" s="46"/>
      <c r="R1254" s="46"/>
      <c r="S1254" s="46"/>
      <c r="T1254" s="46"/>
      <c r="U1254" s="46"/>
      <c r="V1254" s="46"/>
      <c r="W1254" s="46"/>
      <c r="X1254" s="46"/>
    </row>
    <row r="1255" spans="1:24" x14ac:dyDescent="0.2">
      <c r="A1255" s="45"/>
      <c r="B1255" s="46"/>
      <c r="C1255" s="46"/>
      <c r="D1255" s="46"/>
      <c r="E1255" s="46"/>
      <c r="F1255" s="46"/>
      <c r="G1255" s="46"/>
      <c r="H1255" s="46"/>
      <c r="I1255" s="46"/>
      <c r="J1255" s="46"/>
      <c r="K1255" s="46"/>
      <c r="L1255" s="46"/>
      <c r="M1255" s="46"/>
      <c r="N1255" s="46"/>
      <c r="O1255" s="46"/>
      <c r="P1255" s="46"/>
      <c r="Q1255" s="46"/>
      <c r="R1255" s="46"/>
      <c r="S1255" s="46"/>
      <c r="T1255" s="46"/>
      <c r="U1255" s="46"/>
      <c r="V1255" s="46"/>
      <c r="W1255" s="46"/>
      <c r="X1255" s="46"/>
    </row>
    <row r="1256" spans="1:24" x14ac:dyDescent="0.2">
      <c r="A1256" s="45"/>
      <c r="B1256" s="46"/>
      <c r="C1256" s="46"/>
      <c r="D1256" s="46"/>
      <c r="E1256" s="46"/>
      <c r="F1256" s="46"/>
      <c r="G1256" s="46"/>
      <c r="H1256" s="46"/>
      <c r="I1256" s="46"/>
      <c r="J1256" s="46"/>
      <c r="K1256" s="46"/>
      <c r="L1256" s="46"/>
      <c r="M1256" s="46"/>
      <c r="N1256" s="46"/>
      <c r="O1256" s="46"/>
      <c r="P1256" s="46"/>
      <c r="Q1256" s="46"/>
      <c r="R1256" s="46"/>
      <c r="S1256" s="46"/>
      <c r="T1256" s="46"/>
      <c r="U1256" s="46"/>
      <c r="V1256" s="46"/>
      <c r="W1256" s="46"/>
      <c r="X1256" s="46"/>
    </row>
    <row r="1257" spans="1:24" x14ac:dyDescent="0.2">
      <c r="A1257" s="45"/>
      <c r="B1257" s="46"/>
      <c r="C1257" s="46"/>
      <c r="D1257" s="46"/>
      <c r="E1257" s="46"/>
      <c r="F1257" s="46"/>
      <c r="G1257" s="46"/>
      <c r="H1257" s="46"/>
      <c r="I1257" s="46"/>
      <c r="J1257" s="46"/>
      <c r="K1257" s="46"/>
      <c r="L1257" s="46"/>
      <c r="M1257" s="46"/>
      <c r="N1257" s="46"/>
      <c r="O1257" s="46"/>
      <c r="P1257" s="46"/>
      <c r="Q1257" s="46"/>
      <c r="R1257" s="46"/>
      <c r="S1257" s="46"/>
      <c r="T1257" s="46"/>
      <c r="U1257" s="46"/>
      <c r="V1257" s="46"/>
      <c r="W1257" s="46"/>
      <c r="X1257" s="46"/>
    </row>
    <row r="1258" spans="1:24" x14ac:dyDescent="0.2">
      <c r="A1258" s="45"/>
      <c r="B1258" s="46"/>
      <c r="C1258" s="46"/>
      <c r="D1258" s="46"/>
      <c r="E1258" s="46"/>
      <c r="F1258" s="46"/>
      <c r="G1258" s="46"/>
      <c r="H1258" s="46"/>
      <c r="I1258" s="46"/>
      <c r="J1258" s="46"/>
      <c r="K1258" s="46"/>
      <c r="L1258" s="46"/>
      <c r="M1258" s="46"/>
      <c r="N1258" s="46"/>
      <c r="O1258" s="46"/>
      <c r="P1258" s="46"/>
      <c r="Q1258" s="46"/>
      <c r="R1258" s="46"/>
      <c r="S1258" s="46"/>
      <c r="T1258" s="46"/>
      <c r="U1258" s="46"/>
      <c r="V1258" s="46"/>
      <c r="W1258" s="46"/>
      <c r="X1258" s="46"/>
    </row>
    <row r="1259" spans="1:24" x14ac:dyDescent="0.2">
      <c r="A1259" s="45"/>
      <c r="B1259" s="46"/>
      <c r="C1259" s="46"/>
      <c r="D1259" s="46"/>
      <c r="E1259" s="46"/>
      <c r="F1259" s="46"/>
      <c r="G1259" s="46"/>
      <c r="H1259" s="46"/>
      <c r="I1259" s="46"/>
      <c r="J1259" s="46"/>
      <c r="K1259" s="46"/>
      <c r="L1259" s="46"/>
      <c r="M1259" s="46"/>
      <c r="N1259" s="46"/>
      <c r="O1259" s="46"/>
      <c r="P1259" s="46"/>
      <c r="Q1259" s="46"/>
      <c r="R1259" s="46"/>
      <c r="S1259" s="46"/>
      <c r="T1259" s="46"/>
      <c r="U1259" s="46"/>
      <c r="V1259" s="46"/>
      <c r="W1259" s="46"/>
      <c r="X1259" s="46"/>
    </row>
    <row r="1260" spans="1:24" x14ac:dyDescent="0.2">
      <c r="A1260" s="45"/>
      <c r="B1260" s="46"/>
      <c r="C1260" s="46"/>
      <c r="D1260" s="46"/>
      <c r="E1260" s="46"/>
      <c r="F1260" s="46"/>
      <c r="G1260" s="46"/>
      <c r="H1260" s="46"/>
      <c r="I1260" s="46"/>
      <c r="J1260" s="46"/>
      <c r="K1260" s="46"/>
      <c r="L1260" s="46"/>
      <c r="M1260" s="46"/>
      <c r="N1260" s="46"/>
      <c r="O1260" s="46"/>
      <c r="P1260" s="46"/>
      <c r="Q1260" s="46"/>
      <c r="R1260" s="46"/>
      <c r="S1260" s="46"/>
      <c r="T1260" s="46"/>
      <c r="U1260" s="46"/>
      <c r="V1260" s="46"/>
      <c r="W1260" s="46"/>
      <c r="X1260" s="46"/>
    </row>
    <row r="1261" spans="1:24" x14ac:dyDescent="0.2">
      <c r="A1261" s="45"/>
      <c r="B1261" s="46"/>
      <c r="C1261" s="46"/>
      <c r="D1261" s="46"/>
      <c r="E1261" s="46"/>
      <c r="F1261" s="46"/>
      <c r="G1261" s="46"/>
      <c r="H1261" s="46"/>
      <c r="I1261" s="46"/>
      <c r="J1261" s="46"/>
      <c r="K1261" s="46"/>
      <c r="L1261" s="46"/>
      <c r="M1261" s="46"/>
      <c r="N1261" s="46"/>
      <c r="O1261" s="46"/>
      <c r="P1261" s="46"/>
      <c r="Q1261" s="46"/>
      <c r="R1261" s="46"/>
      <c r="S1261" s="46"/>
      <c r="T1261" s="46"/>
      <c r="U1261" s="46"/>
      <c r="V1261" s="46"/>
      <c r="W1261" s="46"/>
      <c r="X1261" s="46"/>
    </row>
    <row r="1262" spans="1:24" x14ac:dyDescent="0.2">
      <c r="A1262" s="45"/>
      <c r="B1262" s="46"/>
      <c r="C1262" s="46"/>
      <c r="D1262" s="46"/>
      <c r="E1262" s="46"/>
      <c r="F1262" s="46"/>
      <c r="G1262" s="46"/>
      <c r="H1262" s="46"/>
      <c r="I1262" s="46"/>
      <c r="J1262" s="46"/>
      <c r="K1262" s="46"/>
      <c r="L1262" s="46"/>
      <c r="M1262" s="46"/>
      <c r="N1262" s="46"/>
      <c r="O1262" s="46"/>
      <c r="P1262" s="46"/>
      <c r="Q1262" s="46"/>
      <c r="R1262" s="46"/>
      <c r="S1262" s="46"/>
      <c r="T1262" s="46"/>
      <c r="U1262" s="46"/>
      <c r="V1262" s="46"/>
      <c r="W1262" s="46"/>
      <c r="X1262" s="46"/>
    </row>
    <row r="1263" spans="1:24" x14ac:dyDescent="0.2">
      <c r="A1263" s="45"/>
      <c r="B1263" s="46"/>
      <c r="C1263" s="46"/>
      <c r="D1263" s="46"/>
      <c r="E1263" s="46"/>
      <c r="F1263" s="46"/>
      <c r="G1263" s="46"/>
      <c r="H1263" s="46"/>
      <c r="I1263" s="46"/>
      <c r="J1263" s="46"/>
      <c r="K1263" s="46"/>
      <c r="L1263" s="46"/>
      <c r="M1263" s="46"/>
      <c r="N1263" s="46"/>
      <c r="O1263" s="46"/>
      <c r="P1263" s="46"/>
      <c r="Q1263" s="46"/>
      <c r="R1263" s="46"/>
      <c r="S1263" s="46"/>
      <c r="T1263" s="46"/>
      <c r="U1263" s="46"/>
      <c r="V1263" s="46"/>
      <c r="W1263" s="46"/>
      <c r="X1263" s="46"/>
    </row>
    <row r="1264" spans="1:24" x14ac:dyDescent="0.2">
      <c r="A1264" s="45"/>
      <c r="B1264" s="46"/>
      <c r="C1264" s="46"/>
      <c r="D1264" s="46"/>
      <c r="E1264" s="46"/>
      <c r="F1264" s="46"/>
      <c r="G1264" s="46"/>
      <c r="H1264" s="46"/>
      <c r="I1264" s="46"/>
      <c r="J1264" s="46"/>
      <c r="K1264" s="46"/>
      <c r="L1264" s="46"/>
      <c r="M1264" s="46"/>
      <c r="N1264" s="46"/>
      <c r="O1264" s="46"/>
      <c r="P1264" s="46"/>
      <c r="Q1264" s="46"/>
      <c r="R1264" s="46"/>
      <c r="S1264" s="46"/>
      <c r="T1264" s="46"/>
      <c r="U1264" s="46"/>
      <c r="V1264" s="46"/>
      <c r="W1264" s="46"/>
      <c r="X1264" s="46"/>
    </row>
    <row r="1265" spans="1:24" x14ac:dyDescent="0.2">
      <c r="A1265" s="45"/>
      <c r="B1265" s="46"/>
      <c r="C1265" s="46"/>
      <c r="D1265" s="46"/>
      <c r="E1265" s="46"/>
      <c r="F1265" s="46"/>
      <c r="G1265" s="46"/>
      <c r="H1265" s="46"/>
      <c r="I1265" s="46"/>
      <c r="J1265" s="46"/>
      <c r="K1265" s="46"/>
      <c r="L1265" s="46"/>
      <c r="M1265" s="46"/>
      <c r="N1265" s="46"/>
      <c r="O1265" s="46"/>
      <c r="P1265" s="46"/>
      <c r="Q1265" s="46"/>
      <c r="R1265" s="46"/>
      <c r="S1265" s="46"/>
      <c r="T1265" s="46"/>
      <c r="U1265" s="46"/>
      <c r="V1265" s="46"/>
      <c r="W1265" s="46"/>
      <c r="X1265" s="46"/>
    </row>
    <row r="1266" spans="1:24" x14ac:dyDescent="0.2">
      <c r="A1266" s="45"/>
      <c r="B1266" s="46"/>
      <c r="C1266" s="46"/>
      <c r="D1266" s="46"/>
      <c r="E1266" s="46"/>
      <c r="F1266" s="46"/>
      <c r="G1266" s="46"/>
      <c r="H1266" s="46"/>
      <c r="I1266" s="46"/>
      <c r="J1266" s="46"/>
      <c r="K1266" s="46"/>
      <c r="L1266" s="46"/>
      <c r="M1266" s="46"/>
      <c r="N1266" s="46"/>
      <c r="O1266" s="46"/>
      <c r="P1266" s="46"/>
      <c r="Q1266" s="46"/>
      <c r="R1266" s="46"/>
      <c r="S1266" s="46"/>
      <c r="T1266" s="46"/>
      <c r="U1266" s="46"/>
      <c r="V1266" s="46"/>
      <c r="W1266" s="46"/>
      <c r="X1266" s="46"/>
    </row>
    <row r="1267" spans="1:24" x14ac:dyDescent="0.2">
      <c r="A1267" s="45"/>
      <c r="B1267" s="46"/>
      <c r="C1267" s="46"/>
      <c r="D1267" s="46"/>
      <c r="E1267" s="46"/>
      <c r="F1267" s="46"/>
      <c r="G1267" s="46"/>
      <c r="H1267" s="46"/>
      <c r="I1267" s="46"/>
      <c r="J1267" s="46"/>
      <c r="K1267" s="46"/>
      <c r="L1267" s="46"/>
      <c r="M1267" s="46"/>
      <c r="N1267" s="46"/>
      <c r="O1267" s="46"/>
      <c r="P1267" s="46"/>
      <c r="Q1267" s="46"/>
      <c r="R1267" s="46"/>
      <c r="S1267" s="46"/>
      <c r="T1267" s="46"/>
      <c r="U1267" s="46"/>
      <c r="V1267" s="46"/>
      <c r="W1267" s="46"/>
      <c r="X1267" s="46"/>
    </row>
    <row r="1268" spans="1:24" x14ac:dyDescent="0.2">
      <c r="A1268" s="45"/>
      <c r="B1268" s="46"/>
      <c r="C1268" s="46"/>
      <c r="D1268" s="46"/>
      <c r="E1268" s="46"/>
      <c r="F1268" s="46"/>
      <c r="G1268" s="46"/>
      <c r="H1268" s="46"/>
      <c r="I1268" s="46"/>
      <c r="J1268" s="46"/>
      <c r="K1268" s="46"/>
      <c r="L1268" s="46"/>
      <c r="M1268" s="46"/>
      <c r="N1268" s="46"/>
      <c r="O1268" s="46"/>
      <c r="P1268" s="46"/>
      <c r="Q1268" s="46"/>
      <c r="R1268" s="46"/>
      <c r="S1268" s="46"/>
      <c r="T1268" s="46"/>
      <c r="U1268" s="46"/>
      <c r="V1268" s="46"/>
      <c r="W1268" s="46"/>
      <c r="X1268" s="46"/>
    </row>
    <row r="1269" spans="1:24" x14ac:dyDescent="0.2">
      <c r="A1269" s="45"/>
      <c r="B1269" s="46"/>
      <c r="C1269" s="46"/>
      <c r="D1269" s="46"/>
      <c r="E1269" s="46"/>
      <c r="F1269" s="46"/>
      <c r="G1269" s="46"/>
      <c r="H1269" s="46"/>
      <c r="I1269" s="46"/>
      <c r="J1269" s="46"/>
      <c r="K1269" s="46"/>
      <c r="L1269" s="46"/>
      <c r="M1269" s="46"/>
      <c r="N1269" s="46"/>
      <c r="O1269" s="46"/>
      <c r="P1269" s="46"/>
      <c r="Q1269" s="46"/>
      <c r="R1269" s="46"/>
      <c r="S1269" s="46"/>
      <c r="T1269" s="46"/>
      <c r="U1269" s="46"/>
      <c r="V1269" s="46"/>
      <c r="W1269" s="46"/>
      <c r="X1269" s="46"/>
    </row>
    <row r="1270" spans="1:24" x14ac:dyDescent="0.2">
      <c r="A1270" s="45"/>
      <c r="B1270" s="46"/>
      <c r="C1270" s="46"/>
      <c r="D1270" s="46"/>
      <c r="E1270" s="46"/>
      <c r="F1270" s="46"/>
      <c r="G1270" s="46"/>
      <c r="H1270" s="46"/>
      <c r="I1270" s="46"/>
      <c r="J1270" s="46"/>
      <c r="K1270" s="46"/>
      <c r="L1270" s="46"/>
      <c r="M1270" s="46"/>
      <c r="N1270" s="46"/>
      <c r="O1270" s="46"/>
      <c r="P1270" s="46"/>
      <c r="Q1270" s="46"/>
      <c r="R1270" s="46"/>
      <c r="S1270" s="46"/>
      <c r="T1270" s="46"/>
      <c r="U1270" s="46"/>
      <c r="V1270" s="46"/>
      <c r="W1270" s="46"/>
      <c r="X1270" s="46"/>
    </row>
    <row r="1271" spans="1:24" x14ac:dyDescent="0.2">
      <c r="A1271" s="45"/>
      <c r="B1271" s="46"/>
      <c r="C1271" s="46"/>
      <c r="D1271" s="46"/>
      <c r="E1271" s="46"/>
      <c r="F1271" s="46"/>
      <c r="G1271" s="46"/>
      <c r="H1271" s="46"/>
      <c r="I1271" s="46"/>
      <c r="J1271" s="46"/>
      <c r="K1271" s="46"/>
      <c r="L1271" s="46"/>
      <c r="M1271" s="46"/>
      <c r="N1271" s="46"/>
      <c r="O1271" s="46"/>
      <c r="P1271" s="46"/>
      <c r="Q1271" s="46"/>
      <c r="R1271" s="46"/>
      <c r="S1271" s="46"/>
      <c r="T1271" s="46"/>
      <c r="U1271" s="46"/>
      <c r="V1271" s="46"/>
      <c r="W1271" s="46"/>
      <c r="X1271" s="46"/>
    </row>
    <row r="1272" spans="1:24" x14ac:dyDescent="0.2">
      <c r="A1272" s="45"/>
      <c r="B1272" s="46"/>
      <c r="C1272" s="46"/>
      <c r="D1272" s="46"/>
      <c r="E1272" s="46"/>
      <c r="F1272" s="46"/>
      <c r="G1272" s="46"/>
      <c r="H1272" s="46"/>
      <c r="I1272" s="46"/>
      <c r="J1272" s="46"/>
      <c r="K1272" s="46"/>
      <c r="L1272" s="46"/>
      <c r="M1272" s="46"/>
      <c r="N1272" s="46"/>
      <c r="O1272" s="46"/>
      <c r="P1272" s="46"/>
      <c r="Q1272" s="46"/>
      <c r="R1272" s="46"/>
      <c r="S1272" s="46"/>
      <c r="T1272" s="46"/>
      <c r="U1272" s="46"/>
      <c r="V1272" s="46"/>
      <c r="W1272" s="46"/>
      <c r="X1272" s="46"/>
    </row>
    <row r="1273" spans="1:24" x14ac:dyDescent="0.2">
      <c r="A1273" s="45"/>
      <c r="B1273" s="46"/>
      <c r="C1273" s="46"/>
      <c r="D1273" s="46"/>
      <c r="E1273" s="46"/>
      <c r="F1273" s="46"/>
      <c r="G1273" s="46"/>
      <c r="H1273" s="46"/>
      <c r="I1273" s="46"/>
      <c r="J1273" s="46"/>
      <c r="K1273" s="46"/>
      <c r="L1273" s="46"/>
      <c r="M1273" s="46"/>
      <c r="N1273" s="46"/>
      <c r="O1273" s="46"/>
      <c r="P1273" s="46"/>
      <c r="Q1273" s="46"/>
      <c r="R1273" s="46"/>
      <c r="S1273" s="46"/>
      <c r="T1273" s="46"/>
      <c r="U1273" s="46"/>
      <c r="V1273" s="46"/>
      <c r="W1273" s="46"/>
      <c r="X1273" s="46"/>
    </row>
    <row r="1274" spans="1:24" x14ac:dyDescent="0.2">
      <c r="A1274" s="45"/>
      <c r="B1274" s="46"/>
      <c r="C1274" s="46"/>
      <c r="D1274" s="46"/>
      <c r="E1274" s="46"/>
      <c r="F1274" s="46"/>
      <c r="G1274" s="46"/>
      <c r="H1274" s="46"/>
      <c r="I1274" s="46"/>
      <c r="J1274" s="46"/>
      <c r="K1274" s="46"/>
      <c r="L1274" s="46"/>
      <c r="M1274" s="46"/>
      <c r="N1274" s="46"/>
      <c r="O1274" s="46"/>
      <c r="P1274" s="46"/>
      <c r="Q1274" s="46"/>
      <c r="R1274" s="46"/>
      <c r="S1274" s="46"/>
      <c r="T1274" s="46"/>
      <c r="U1274" s="46"/>
      <c r="V1274" s="46"/>
      <c r="W1274" s="46"/>
      <c r="X1274" s="46"/>
    </row>
    <row r="1275" spans="1:24" x14ac:dyDescent="0.2">
      <c r="A1275" s="45"/>
      <c r="B1275" s="46"/>
      <c r="C1275" s="46"/>
      <c r="D1275" s="46"/>
      <c r="E1275" s="46"/>
      <c r="F1275" s="46"/>
      <c r="G1275" s="46"/>
      <c r="H1275" s="46"/>
      <c r="I1275" s="46"/>
      <c r="J1275" s="46"/>
      <c r="K1275" s="46"/>
      <c r="L1275" s="46"/>
      <c r="M1275" s="46"/>
      <c r="N1275" s="46"/>
      <c r="O1275" s="46"/>
      <c r="P1275" s="46"/>
      <c r="Q1275" s="46"/>
      <c r="R1275" s="46"/>
      <c r="S1275" s="46"/>
      <c r="T1275" s="46"/>
      <c r="U1275" s="46"/>
      <c r="V1275" s="46"/>
      <c r="W1275" s="46"/>
      <c r="X1275" s="46"/>
    </row>
    <row r="1276" spans="1:24" x14ac:dyDescent="0.2">
      <c r="A1276" s="45"/>
      <c r="B1276" s="46"/>
      <c r="C1276" s="46"/>
      <c r="D1276" s="46"/>
      <c r="E1276" s="46"/>
      <c r="F1276" s="46"/>
      <c r="G1276" s="46"/>
      <c r="H1276" s="46"/>
      <c r="I1276" s="46"/>
      <c r="J1276" s="46"/>
      <c r="K1276" s="46"/>
      <c r="L1276" s="46"/>
      <c r="M1276" s="46"/>
      <c r="N1276" s="46"/>
      <c r="O1276" s="46"/>
      <c r="P1276" s="46"/>
      <c r="Q1276" s="46"/>
      <c r="R1276" s="46"/>
      <c r="S1276" s="46"/>
      <c r="T1276" s="46"/>
      <c r="U1276" s="46"/>
      <c r="V1276" s="46"/>
      <c r="W1276" s="46"/>
      <c r="X1276" s="46"/>
    </row>
    <row r="1277" spans="1:24" x14ac:dyDescent="0.2">
      <c r="A1277" s="45"/>
      <c r="B1277" s="46"/>
      <c r="C1277" s="46"/>
      <c r="D1277" s="46"/>
      <c r="E1277" s="46"/>
      <c r="F1277" s="46"/>
      <c r="G1277" s="46"/>
      <c r="H1277" s="46"/>
      <c r="I1277" s="46"/>
      <c r="J1277" s="46"/>
      <c r="K1277" s="46"/>
      <c r="L1277" s="46"/>
      <c r="M1277" s="46"/>
      <c r="N1277" s="46"/>
      <c r="O1277" s="46"/>
      <c r="P1277" s="46"/>
      <c r="Q1277" s="46"/>
      <c r="R1277" s="46"/>
      <c r="S1277" s="46"/>
      <c r="T1277" s="46"/>
      <c r="U1277" s="46"/>
      <c r="V1277" s="46"/>
      <c r="W1277" s="46"/>
      <c r="X1277" s="46"/>
    </row>
    <row r="1278" spans="1:24" x14ac:dyDescent="0.2">
      <c r="A1278" s="45"/>
      <c r="B1278" s="46"/>
      <c r="C1278" s="46"/>
      <c r="D1278" s="46"/>
      <c r="E1278" s="46"/>
      <c r="F1278" s="46"/>
      <c r="G1278" s="46"/>
      <c r="H1278" s="46"/>
      <c r="I1278" s="46"/>
      <c r="J1278" s="46"/>
      <c r="K1278" s="46"/>
      <c r="L1278" s="46"/>
      <c r="M1278" s="46"/>
      <c r="N1278" s="46"/>
      <c r="O1278" s="46"/>
      <c r="P1278" s="46"/>
      <c r="Q1278" s="46"/>
      <c r="R1278" s="46"/>
      <c r="S1278" s="46"/>
      <c r="T1278" s="46"/>
      <c r="U1278" s="46"/>
      <c r="V1278" s="46"/>
      <c r="W1278" s="46"/>
      <c r="X1278" s="46"/>
    </row>
    <row r="1279" spans="1:24" x14ac:dyDescent="0.2">
      <c r="A1279" s="45"/>
      <c r="B1279" s="46"/>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46"/>
    </row>
    <row r="1280" spans="1:24" x14ac:dyDescent="0.2">
      <c r="A1280" s="45"/>
      <c r="B1280" s="46"/>
      <c r="C1280" s="46"/>
      <c r="D1280" s="46"/>
      <c r="E1280" s="46"/>
      <c r="F1280" s="46"/>
      <c r="G1280" s="46"/>
      <c r="H1280" s="46"/>
      <c r="I1280" s="46"/>
      <c r="J1280" s="46"/>
      <c r="K1280" s="46"/>
      <c r="L1280" s="46"/>
      <c r="M1280" s="46"/>
      <c r="N1280" s="46"/>
      <c r="O1280" s="46"/>
      <c r="P1280" s="46"/>
      <c r="Q1280" s="46"/>
      <c r="R1280" s="46"/>
      <c r="S1280" s="46"/>
      <c r="T1280" s="46"/>
      <c r="U1280" s="46"/>
      <c r="V1280" s="46"/>
      <c r="W1280" s="46"/>
      <c r="X1280" s="46"/>
    </row>
    <row r="1281" spans="1:24" x14ac:dyDescent="0.2">
      <c r="A1281" s="45"/>
      <c r="B1281" s="46"/>
      <c r="C1281" s="46"/>
      <c r="D1281" s="46"/>
      <c r="E1281" s="46"/>
      <c r="F1281" s="46"/>
      <c r="G1281" s="46"/>
      <c r="H1281" s="46"/>
      <c r="I1281" s="46"/>
      <c r="J1281" s="46"/>
      <c r="K1281" s="46"/>
      <c r="L1281" s="46"/>
      <c r="M1281" s="46"/>
      <c r="N1281" s="46"/>
      <c r="O1281" s="46"/>
      <c r="P1281" s="46"/>
      <c r="Q1281" s="46"/>
      <c r="R1281" s="46"/>
      <c r="S1281" s="46"/>
      <c r="T1281" s="46"/>
      <c r="U1281" s="46"/>
      <c r="V1281" s="46"/>
      <c r="W1281" s="46"/>
      <c r="X1281" s="46"/>
    </row>
    <row r="1282" spans="1:24" x14ac:dyDescent="0.2">
      <c r="A1282" s="45"/>
      <c r="B1282" s="46"/>
      <c r="C1282" s="46"/>
      <c r="D1282" s="46"/>
      <c r="E1282" s="46"/>
      <c r="F1282" s="46"/>
      <c r="G1282" s="46"/>
      <c r="H1282" s="46"/>
      <c r="I1282" s="46"/>
      <c r="J1282" s="46"/>
      <c r="K1282" s="46"/>
      <c r="L1282" s="46"/>
      <c r="M1282" s="46"/>
      <c r="N1282" s="46"/>
      <c r="O1282" s="46"/>
      <c r="P1282" s="46"/>
      <c r="Q1282" s="46"/>
      <c r="R1282" s="46"/>
      <c r="S1282" s="46"/>
      <c r="T1282" s="46"/>
      <c r="U1282" s="46"/>
      <c r="V1282" s="46"/>
      <c r="W1282" s="46"/>
      <c r="X1282" s="46"/>
    </row>
    <row r="1283" spans="1:24" x14ac:dyDescent="0.2">
      <c r="A1283" s="45"/>
      <c r="B1283" s="46"/>
      <c r="C1283" s="46"/>
      <c r="D1283" s="46"/>
      <c r="E1283" s="46"/>
      <c r="F1283" s="46"/>
      <c r="G1283" s="46"/>
      <c r="H1283" s="46"/>
      <c r="I1283" s="46"/>
      <c r="J1283" s="46"/>
      <c r="K1283" s="46"/>
      <c r="L1283" s="46"/>
      <c r="M1283" s="46"/>
      <c r="N1283" s="46"/>
      <c r="O1283" s="46"/>
      <c r="P1283" s="46"/>
      <c r="Q1283" s="46"/>
      <c r="R1283" s="46"/>
      <c r="S1283" s="46"/>
      <c r="T1283" s="46"/>
      <c r="U1283" s="46"/>
      <c r="V1283" s="46"/>
      <c r="W1283" s="46"/>
      <c r="X1283" s="46"/>
    </row>
    <row r="1284" spans="1:24" x14ac:dyDescent="0.2">
      <c r="A1284" s="45"/>
      <c r="B1284" s="46"/>
      <c r="C1284" s="46"/>
      <c r="D1284" s="46"/>
      <c r="E1284" s="46"/>
      <c r="F1284" s="46"/>
      <c r="G1284" s="46"/>
      <c r="H1284" s="46"/>
      <c r="I1284" s="46"/>
      <c r="J1284" s="46"/>
      <c r="K1284" s="46"/>
      <c r="L1284" s="46"/>
      <c r="M1284" s="46"/>
      <c r="N1284" s="46"/>
      <c r="O1284" s="46"/>
      <c r="P1284" s="46"/>
      <c r="Q1284" s="46"/>
      <c r="R1284" s="46"/>
      <c r="S1284" s="46"/>
      <c r="T1284" s="46"/>
      <c r="U1284" s="46"/>
      <c r="V1284" s="46"/>
      <c r="W1284" s="46"/>
      <c r="X1284" s="46"/>
    </row>
    <row r="1285" spans="1:24" x14ac:dyDescent="0.2">
      <c r="A1285" s="45"/>
      <c r="B1285" s="46"/>
      <c r="C1285" s="46"/>
      <c r="D1285" s="46"/>
      <c r="E1285" s="46"/>
      <c r="F1285" s="46"/>
      <c r="G1285" s="46"/>
      <c r="H1285" s="46"/>
      <c r="I1285" s="46"/>
      <c r="J1285" s="46"/>
      <c r="K1285" s="46"/>
      <c r="L1285" s="46"/>
      <c r="M1285" s="46"/>
      <c r="N1285" s="46"/>
      <c r="O1285" s="46"/>
      <c r="P1285" s="46"/>
      <c r="Q1285" s="46"/>
      <c r="R1285" s="46"/>
      <c r="S1285" s="46"/>
      <c r="T1285" s="46"/>
      <c r="U1285" s="46"/>
      <c r="V1285" s="46"/>
      <c r="W1285" s="46"/>
      <c r="X1285" s="46"/>
    </row>
    <row r="1286" spans="1:24" x14ac:dyDescent="0.2">
      <c r="A1286" s="45"/>
      <c r="B1286" s="46"/>
      <c r="C1286" s="46"/>
      <c r="D1286" s="46"/>
      <c r="E1286" s="46"/>
      <c r="F1286" s="46"/>
      <c r="G1286" s="46"/>
      <c r="H1286" s="46"/>
      <c r="I1286" s="46"/>
      <c r="J1286" s="46"/>
      <c r="K1286" s="46"/>
      <c r="L1286" s="46"/>
      <c r="M1286" s="46"/>
      <c r="N1286" s="46"/>
      <c r="O1286" s="46"/>
      <c r="P1286" s="46"/>
      <c r="Q1286" s="46"/>
      <c r="R1286" s="46"/>
      <c r="S1286" s="46"/>
      <c r="T1286" s="46"/>
      <c r="U1286" s="46"/>
      <c r="V1286" s="46"/>
      <c r="W1286" s="46"/>
      <c r="X1286" s="46"/>
    </row>
    <row r="1287" spans="1:24" x14ac:dyDescent="0.2">
      <c r="A1287" s="45"/>
      <c r="B1287" s="46"/>
      <c r="C1287" s="46"/>
      <c r="D1287" s="46"/>
      <c r="E1287" s="46"/>
      <c r="F1287" s="46"/>
      <c r="G1287" s="46"/>
      <c r="H1287" s="46"/>
      <c r="I1287" s="46"/>
      <c r="J1287" s="46"/>
      <c r="K1287" s="46"/>
      <c r="L1287" s="46"/>
      <c r="M1287" s="46"/>
      <c r="N1287" s="46"/>
      <c r="O1287" s="46"/>
      <c r="P1287" s="46"/>
      <c r="Q1287" s="46"/>
      <c r="R1287" s="46"/>
      <c r="S1287" s="46"/>
      <c r="T1287" s="46"/>
      <c r="U1287" s="46"/>
      <c r="V1287" s="46"/>
      <c r="W1287" s="46"/>
      <c r="X1287" s="46"/>
    </row>
    <row r="1288" spans="1:24" x14ac:dyDescent="0.2">
      <c r="A1288" s="45"/>
      <c r="B1288" s="46"/>
      <c r="C1288" s="46"/>
      <c r="D1288" s="46"/>
      <c r="E1288" s="46"/>
      <c r="F1288" s="46"/>
      <c r="G1288" s="46"/>
      <c r="H1288" s="46"/>
      <c r="I1288" s="46"/>
      <c r="J1288" s="46"/>
      <c r="K1288" s="46"/>
      <c r="L1288" s="46"/>
      <c r="M1288" s="46"/>
      <c r="N1288" s="46"/>
      <c r="O1288" s="46"/>
      <c r="P1288" s="46"/>
      <c r="Q1288" s="46"/>
      <c r="R1288" s="46"/>
      <c r="S1288" s="46"/>
      <c r="T1288" s="46"/>
      <c r="U1288" s="46"/>
      <c r="V1288" s="46"/>
      <c r="W1288" s="46"/>
      <c r="X1288" s="46"/>
    </row>
    <row r="1289" spans="1:24" x14ac:dyDescent="0.2">
      <c r="A1289" s="45"/>
      <c r="B1289" s="46"/>
      <c r="C1289" s="46"/>
      <c r="D1289" s="46"/>
      <c r="E1289" s="46"/>
      <c r="F1289" s="46"/>
      <c r="G1289" s="46"/>
      <c r="H1289" s="46"/>
      <c r="I1289" s="46"/>
      <c r="J1289" s="46"/>
      <c r="K1289" s="46"/>
      <c r="L1289" s="46"/>
      <c r="M1289" s="46"/>
      <c r="N1289" s="46"/>
      <c r="O1289" s="46"/>
      <c r="P1289" s="46"/>
      <c r="Q1289" s="46"/>
      <c r="R1289" s="46"/>
      <c r="S1289" s="46"/>
      <c r="T1289" s="46"/>
      <c r="U1289" s="46"/>
      <c r="V1289" s="46"/>
      <c r="W1289" s="46"/>
      <c r="X1289" s="46"/>
    </row>
    <row r="1290" spans="1:24" x14ac:dyDescent="0.2">
      <c r="A1290" s="45"/>
      <c r="B1290" s="46"/>
      <c r="C1290" s="46"/>
      <c r="D1290" s="46"/>
      <c r="E1290" s="46"/>
      <c r="F1290" s="46"/>
      <c r="G1290" s="46"/>
      <c r="H1290" s="46"/>
      <c r="I1290" s="46"/>
      <c r="J1290" s="46"/>
      <c r="K1290" s="46"/>
      <c r="L1290" s="46"/>
      <c r="M1290" s="46"/>
      <c r="N1290" s="46"/>
      <c r="O1290" s="46"/>
      <c r="P1290" s="46"/>
      <c r="Q1290" s="46"/>
      <c r="R1290" s="46"/>
      <c r="S1290" s="46"/>
      <c r="T1290" s="46"/>
      <c r="U1290" s="46"/>
      <c r="V1290" s="46"/>
      <c r="W1290" s="46"/>
      <c r="X1290" s="46"/>
    </row>
    <row r="1291" spans="1:24" x14ac:dyDescent="0.2">
      <c r="A1291" s="45"/>
      <c r="B1291" s="46"/>
      <c r="C1291" s="46"/>
      <c r="D1291" s="46"/>
      <c r="E1291" s="46"/>
      <c r="F1291" s="46"/>
      <c r="G1291" s="46"/>
      <c r="H1291" s="46"/>
      <c r="I1291" s="46"/>
      <c r="J1291" s="46"/>
      <c r="K1291" s="46"/>
      <c r="L1291" s="46"/>
      <c r="M1291" s="46"/>
      <c r="N1291" s="46"/>
      <c r="O1291" s="46"/>
      <c r="P1291" s="46"/>
      <c r="Q1291" s="46"/>
      <c r="R1291" s="46"/>
      <c r="S1291" s="46"/>
      <c r="T1291" s="46"/>
      <c r="U1291" s="46"/>
      <c r="V1291" s="46"/>
      <c r="W1291" s="46"/>
      <c r="X1291" s="46"/>
    </row>
    <row r="1292" spans="1:24" x14ac:dyDescent="0.2">
      <c r="A1292" s="45"/>
      <c r="B1292" s="46"/>
      <c r="C1292" s="46"/>
      <c r="D1292" s="46"/>
      <c r="E1292" s="46"/>
      <c r="F1292" s="46"/>
      <c r="G1292" s="46"/>
      <c r="H1292" s="46"/>
      <c r="I1292" s="46"/>
      <c r="J1292" s="46"/>
      <c r="K1292" s="46"/>
      <c r="L1292" s="46"/>
      <c r="M1292" s="46"/>
      <c r="N1292" s="46"/>
      <c r="O1292" s="46"/>
      <c r="P1292" s="46"/>
      <c r="Q1292" s="46"/>
      <c r="R1292" s="46"/>
      <c r="S1292" s="46"/>
      <c r="T1292" s="46"/>
      <c r="U1292" s="46"/>
      <c r="V1292" s="46"/>
      <c r="W1292" s="46"/>
      <c r="X1292" s="46"/>
    </row>
    <row r="1293" spans="1:24" x14ac:dyDescent="0.2">
      <c r="A1293" s="45"/>
      <c r="B1293" s="46"/>
      <c r="C1293" s="46"/>
      <c r="D1293" s="46"/>
      <c r="E1293" s="46"/>
      <c r="F1293" s="46"/>
      <c r="G1293" s="46"/>
      <c r="H1293" s="46"/>
      <c r="I1293" s="46"/>
      <c r="J1293" s="46"/>
      <c r="K1293" s="46"/>
      <c r="L1293" s="46"/>
      <c r="M1293" s="46"/>
      <c r="N1293" s="46"/>
      <c r="O1293" s="46"/>
      <c r="P1293" s="46"/>
      <c r="Q1293" s="46"/>
      <c r="R1293" s="46"/>
      <c r="S1293" s="46"/>
      <c r="T1293" s="46"/>
      <c r="U1293" s="46"/>
      <c r="V1293" s="46"/>
      <c r="W1293" s="46"/>
      <c r="X1293" s="46"/>
    </row>
    <row r="1294" spans="1:24" x14ac:dyDescent="0.2">
      <c r="A1294" s="45"/>
      <c r="B1294" s="46"/>
      <c r="C1294" s="46"/>
      <c r="D1294" s="46"/>
      <c r="E1294" s="46"/>
      <c r="F1294" s="46"/>
      <c r="G1294" s="46"/>
      <c r="H1294" s="46"/>
      <c r="I1294" s="46"/>
      <c r="J1294" s="46"/>
      <c r="K1294" s="46"/>
      <c r="L1294" s="46"/>
      <c r="M1294" s="46"/>
      <c r="N1294" s="46"/>
      <c r="O1294" s="46"/>
      <c r="P1294" s="46"/>
      <c r="Q1294" s="46"/>
      <c r="R1294" s="46"/>
      <c r="S1294" s="46"/>
      <c r="T1294" s="46"/>
      <c r="U1294" s="46"/>
      <c r="V1294" s="46"/>
      <c r="W1294" s="46"/>
      <c r="X1294" s="46"/>
    </row>
    <row r="1295" spans="1:24" x14ac:dyDescent="0.2">
      <c r="A1295" s="45"/>
      <c r="B1295" s="46"/>
      <c r="C1295" s="46"/>
      <c r="D1295" s="46"/>
      <c r="E1295" s="46"/>
      <c r="F1295" s="46"/>
      <c r="G1295" s="46"/>
      <c r="H1295" s="46"/>
      <c r="I1295" s="46"/>
      <c r="J1295" s="46"/>
      <c r="K1295" s="46"/>
      <c r="L1295" s="46"/>
      <c r="M1295" s="46"/>
      <c r="N1295" s="46"/>
      <c r="O1295" s="46"/>
      <c r="P1295" s="46"/>
      <c r="Q1295" s="46"/>
      <c r="R1295" s="46"/>
      <c r="S1295" s="46"/>
      <c r="T1295" s="46"/>
      <c r="U1295" s="46"/>
      <c r="V1295" s="46"/>
      <c r="W1295" s="46"/>
      <c r="X1295" s="46"/>
    </row>
    <row r="1296" spans="1:24" x14ac:dyDescent="0.2">
      <c r="A1296" s="45"/>
      <c r="B1296" s="46"/>
      <c r="C1296" s="46"/>
      <c r="D1296" s="46"/>
      <c r="E1296" s="46"/>
      <c r="F1296" s="46"/>
      <c r="G1296" s="46"/>
      <c r="H1296" s="46"/>
      <c r="I1296" s="46"/>
      <c r="J1296" s="46"/>
      <c r="K1296" s="46"/>
      <c r="L1296" s="46"/>
      <c r="M1296" s="46"/>
      <c r="N1296" s="46"/>
      <c r="O1296" s="46"/>
      <c r="P1296" s="46"/>
      <c r="Q1296" s="46"/>
      <c r="R1296" s="46"/>
      <c r="S1296" s="46"/>
      <c r="T1296" s="46"/>
      <c r="U1296" s="46"/>
      <c r="V1296" s="46"/>
      <c r="W1296" s="46"/>
      <c r="X1296" s="46"/>
    </row>
    <row r="1297" spans="1:24" x14ac:dyDescent="0.2">
      <c r="A1297" s="45"/>
      <c r="B1297" s="46"/>
      <c r="C1297" s="46"/>
      <c r="D1297" s="46"/>
      <c r="E1297" s="46"/>
      <c r="F1297" s="46"/>
      <c r="G1297" s="46"/>
      <c r="H1297" s="46"/>
      <c r="I1297" s="46"/>
      <c r="J1297" s="46"/>
      <c r="K1297" s="46"/>
      <c r="L1297" s="46"/>
      <c r="M1297" s="46"/>
      <c r="N1297" s="46"/>
      <c r="O1297" s="46"/>
      <c r="P1297" s="46"/>
      <c r="Q1297" s="46"/>
      <c r="R1297" s="46"/>
      <c r="S1297" s="46"/>
      <c r="T1297" s="46"/>
      <c r="U1297" s="46"/>
      <c r="V1297" s="46"/>
      <c r="W1297" s="46"/>
      <c r="X1297" s="46"/>
    </row>
    <row r="1298" spans="1:24" x14ac:dyDescent="0.2">
      <c r="A1298" s="45"/>
      <c r="B1298" s="46"/>
      <c r="C1298" s="46"/>
      <c r="D1298" s="46"/>
      <c r="E1298" s="46"/>
      <c r="F1298" s="46"/>
      <c r="G1298" s="46"/>
      <c r="H1298" s="46"/>
      <c r="I1298" s="46"/>
      <c r="J1298" s="46"/>
      <c r="K1298" s="46"/>
      <c r="L1298" s="46"/>
      <c r="M1298" s="46"/>
      <c r="N1298" s="46"/>
      <c r="O1298" s="46"/>
      <c r="P1298" s="46"/>
      <c r="Q1298" s="46"/>
      <c r="R1298" s="46"/>
      <c r="S1298" s="46"/>
      <c r="T1298" s="46"/>
      <c r="U1298" s="46"/>
      <c r="V1298" s="46"/>
      <c r="W1298" s="46"/>
      <c r="X1298" s="46"/>
    </row>
    <row r="1299" spans="1:24" x14ac:dyDescent="0.2">
      <c r="A1299" s="45"/>
      <c r="B1299" s="46"/>
      <c r="C1299" s="46"/>
      <c r="D1299" s="46"/>
      <c r="E1299" s="46"/>
      <c r="F1299" s="46"/>
      <c r="G1299" s="46"/>
      <c r="H1299" s="46"/>
      <c r="I1299" s="46"/>
      <c r="J1299" s="46"/>
      <c r="K1299" s="46"/>
      <c r="L1299" s="46"/>
      <c r="M1299" s="46"/>
      <c r="N1299" s="46"/>
      <c r="O1299" s="46"/>
      <c r="P1299" s="46"/>
      <c r="Q1299" s="46"/>
      <c r="R1299" s="46"/>
      <c r="S1299" s="46"/>
      <c r="T1299" s="46"/>
      <c r="U1299" s="46"/>
      <c r="V1299" s="46"/>
      <c r="W1299" s="46"/>
      <c r="X1299" s="46"/>
    </row>
    <row r="1300" spans="1:24" x14ac:dyDescent="0.2">
      <c r="A1300" s="45"/>
      <c r="B1300" s="46"/>
      <c r="C1300" s="46"/>
      <c r="D1300" s="46"/>
      <c r="E1300" s="46"/>
      <c r="F1300" s="46"/>
      <c r="G1300" s="46"/>
      <c r="H1300" s="46"/>
      <c r="I1300" s="46"/>
      <c r="J1300" s="46"/>
      <c r="K1300" s="46"/>
      <c r="L1300" s="46"/>
      <c r="M1300" s="46"/>
      <c r="N1300" s="46"/>
      <c r="O1300" s="46"/>
      <c r="P1300" s="46"/>
      <c r="Q1300" s="46"/>
      <c r="R1300" s="46"/>
      <c r="S1300" s="46"/>
      <c r="T1300" s="46"/>
      <c r="U1300" s="46"/>
      <c r="V1300" s="46"/>
      <c r="W1300" s="46"/>
      <c r="X1300" s="46"/>
    </row>
    <row r="1301" spans="1:24" x14ac:dyDescent="0.2">
      <c r="A1301" s="45"/>
      <c r="B1301" s="46"/>
      <c r="C1301" s="46"/>
      <c r="D1301" s="46"/>
      <c r="E1301" s="46"/>
      <c r="F1301" s="46"/>
      <c r="G1301" s="46"/>
      <c r="H1301" s="46"/>
      <c r="I1301" s="46"/>
      <c r="J1301" s="46"/>
      <c r="K1301" s="46"/>
      <c r="L1301" s="46"/>
      <c r="M1301" s="46"/>
      <c r="N1301" s="46"/>
      <c r="O1301" s="46"/>
      <c r="P1301" s="46"/>
      <c r="Q1301" s="46"/>
      <c r="R1301" s="46"/>
      <c r="S1301" s="46"/>
      <c r="T1301" s="46"/>
      <c r="U1301" s="46"/>
      <c r="V1301" s="46"/>
      <c r="W1301" s="46"/>
      <c r="X1301" s="46"/>
    </row>
    <row r="1302" spans="1:24" x14ac:dyDescent="0.2">
      <c r="A1302" s="45"/>
      <c r="B1302" s="46"/>
      <c r="C1302" s="46"/>
      <c r="D1302" s="46"/>
      <c r="E1302" s="46"/>
      <c r="F1302" s="46"/>
      <c r="G1302" s="46"/>
      <c r="H1302" s="46"/>
      <c r="I1302" s="46"/>
      <c r="J1302" s="46"/>
      <c r="K1302" s="46"/>
      <c r="L1302" s="46"/>
      <c r="M1302" s="46"/>
      <c r="N1302" s="46"/>
      <c r="O1302" s="46"/>
      <c r="P1302" s="46"/>
      <c r="Q1302" s="46"/>
      <c r="R1302" s="46"/>
      <c r="S1302" s="46"/>
      <c r="T1302" s="46"/>
      <c r="U1302" s="46"/>
      <c r="V1302" s="46"/>
      <c r="W1302" s="46"/>
      <c r="X1302" s="46"/>
    </row>
    <row r="1303" spans="1:24" x14ac:dyDescent="0.2">
      <c r="A1303" s="45"/>
      <c r="B1303" s="46"/>
      <c r="C1303" s="46"/>
      <c r="D1303" s="46"/>
      <c r="E1303" s="46"/>
      <c r="F1303" s="46"/>
      <c r="G1303" s="46"/>
      <c r="H1303" s="46"/>
      <c r="I1303" s="46"/>
      <c r="J1303" s="46"/>
      <c r="K1303" s="46"/>
      <c r="L1303" s="46"/>
      <c r="M1303" s="46"/>
      <c r="N1303" s="46"/>
      <c r="O1303" s="46"/>
      <c r="P1303" s="46"/>
      <c r="Q1303" s="46"/>
      <c r="R1303" s="46"/>
      <c r="S1303" s="46"/>
      <c r="T1303" s="46"/>
      <c r="U1303" s="46"/>
      <c r="V1303" s="46"/>
      <c r="W1303" s="46"/>
      <c r="X1303" s="46"/>
    </row>
    <row r="1304" spans="1:24" x14ac:dyDescent="0.2">
      <c r="A1304" s="45"/>
      <c r="B1304" s="46"/>
      <c r="C1304" s="46"/>
      <c r="D1304" s="46"/>
      <c r="E1304" s="46"/>
      <c r="F1304" s="46"/>
      <c r="G1304" s="46"/>
      <c r="H1304" s="46"/>
      <c r="I1304" s="46"/>
      <c r="J1304" s="46"/>
      <c r="K1304" s="46"/>
      <c r="L1304" s="46"/>
      <c r="M1304" s="46"/>
      <c r="N1304" s="46"/>
      <c r="O1304" s="46"/>
      <c r="P1304" s="46"/>
      <c r="Q1304" s="46"/>
      <c r="R1304" s="46"/>
      <c r="S1304" s="46"/>
      <c r="T1304" s="46"/>
      <c r="U1304" s="46"/>
      <c r="V1304" s="46"/>
      <c r="W1304" s="46"/>
      <c r="X1304" s="46"/>
    </row>
    <row r="1305" spans="1:24" x14ac:dyDescent="0.2">
      <c r="A1305" s="45"/>
      <c r="B1305" s="46"/>
      <c r="C1305" s="46"/>
      <c r="D1305" s="46"/>
      <c r="E1305" s="46"/>
      <c r="F1305" s="46"/>
      <c r="G1305" s="46"/>
      <c r="H1305" s="46"/>
      <c r="I1305" s="46"/>
      <c r="J1305" s="46"/>
      <c r="K1305" s="46"/>
      <c r="L1305" s="46"/>
      <c r="M1305" s="46"/>
      <c r="N1305" s="46"/>
      <c r="O1305" s="46"/>
      <c r="P1305" s="46"/>
      <c r="Q1305" s="46"/>
      <c r="R1305" s="46"/>
      <c r="S1305" s="46"/>
      <c r="T1305" s="46"/>
      <c r="U1305" s="46"/>
      <c r="V1305" s="46"/>
      <c r="W1305" s="46"/>
      <c r="X1305" s="46"/>
    </row>
    <row r="1306" spans="1:24" x14ac:dyDescent="0.2">
      <c r="A1306" s="45"/>
      <c r="B1306" s="46"/>
      <c r="C1306" s="46"/>
      <c r="D1306" s="46"/>
      <c r="E1306" s="46"/>
      <c r="F1306" s="46"/>
      <c r="G1306" s="46"/>
      <c r="H1306" s="46"/>
      <c r="I1306" s="46"/>
      <c r="J1306" s="46"/>
      <c r="K1306" s="46"/>
      <c r="L1306" s="46"/>
      <c r="M1306" s="46"/>
      <c r="N1306" s="46"/>
      <c r="O1306" s="46"/>
      <c r="P1306" s="46"/>
      <c r="Q1306" s="46"/>
      <c r="R1306" s="46"/>
      <c r="S1306" s="46"/>
      <c r="T1306" s="46"/>
      <c r="U1306" s="46"/>
      <c r="V1306" s="46"/>
      <c r="W1306" s="46"/>
      <c r="X1306" s="46"/>
    </row>
    <row r="1307" spans="1:24" x14ac:dyDescent="0.2">
      <c r="A1307" s="45"/>
      <c r="B1307" s="46"/>
      <c r="C1307" s="46"/>
      <c r="D1307" s="46"/>
      <c r="E1307" s="46"/>
      <c r="F1307" s="46"/>
      <c r="G1307" s="46"/>
      <c r="H1307" s="46"/>
      <c r="I1307" s="46"/>
      <c r="J1307" s="46"/>
      <c r="K1307" s="46"/>
      <c r="L1307" s="46"/>
      <c r="M1307" s="46"/>
      <c r="N1307" s="46"/>
      <c r="O1307" s="46"/>
      <c r="P1307" s="46"/>
      <c r="Q1307" s="46"/>
      <c r="R1307" s="46"/>
      <c r="S1307" s="46"/>
      <c r="T1307" s="46"/>
      <c r="U1307" s="46"/>
      <c r="V1307" s="46"/>
      <c r="W1307" s="46"/>
      <c r="X1307" s="46"/>
    </row>
    <row r="1308" spans="1:24" x14ac:dyDescent="0.2">
      <c r="A1308" s="45"/>
      <c r="B1308" s="46"/>
      <c r="C1308" s="46"/>
      <c r="D1308" s="46"/>
      <c r="E1308" s="46"/>
      <c r="F1308" s="46"/>
      <c r="G1308" s="46"/>
      <c r="H1308" s="46"/>
      <c r="I1308" s="46"/>
      <c r="J1308" s="46"/>
      <c r="K1308" s="46"/>
      <c r="L1308" s="46"/>
      <c r="M1308" s="46"/>
      <c r="N1308" s="46"/>
      <c r="O1308" s="46"/>
      <c r="P1308" s="46"/>
      <c r="Q1308" s="46"/>
      <c r="R1308" s="46"/>
      <c r="S1308" s="46"/>
      <c r="T1308" s="46"/>
      <c r="U1308" s="46"/>
      <c r="V1308" s="46"/>
      <c r="W1308" s="46"/>
      <c r="X1308" s="46"/>
    </row>
    <row r="1309" spans="1:24" x14ac:dyDescent="0.2">
      <c r="A1309" s="45"/>
      <c r="B1309" s="46"/>
      <c r="C1309" s="46"/>
      <c r="D1309" s="46"/>
      <c r="E1309" s="46"/>
      <c r="F1309" s="46"/>
      <c r="G1309" s="46"/>
      <c r="H1309" s="46"/>
      <c r="I1309" s="46"/>
      <c r="J1309" s="46"/>
      <c r="K1309" s="46"/>
      <c r="L1309" s="46"/>
      <c r="M1309" s="46"/>
      <c r="N1309" s="46"/>
      <c r="O1309" s="46"/>
      <c r="P1309" s="46"/>
      <c r="Q1309" s="46"/>
      <c r="R1309" s="46"/>
      <c r="S1309" s="46"/>
      <c r="T1309" s="46"/>
      <c r="U1309" s="46"/>
      <c r="V1309" s="46"/>
      <c r="W1309" s="46"/>
      <c r="X1309" s="46"/>
    </row>
    <row r="1310" spans="1:24" x14ac:dyDescent="0.2">
      <c r="A1310" s="45"/>
      <c r="B1310" s="46"/>
      <c r="C1310" s="46"/>
      <c r="D1310" s="46"/>
      <c r="E1310" s="46"/>
      <c r="F1310" s="46"/>
      <c r="G1310" s="46"/>
      <c r="H1310" s="46"/>
      <c r="I1310" s="46"/>
      <c r="J1310" s="46"/>
      <c r="K1310" s="46"/>
      <c r="L1310" s="46"/>
      <c r="M1310" s="46"/>
      <c r="N1310" s="46"/>
      <c r="O1310" s="46"/>
      <c r="P1310" s="46"/>
      <c r="Q1310" s="46"/>
      <c r="R1310" s="46"/>
      <c r="S1310" s="46"/>
      <c r="T1310" s="46"/>
      <c r="U1310" s="46"/>
      <c r="V1310" s="46"/>
      <c r="W1310" s="46"/>
      <c r="X1310" s="46"/>
    </row>
    <row r="1311" spans="1:24" x14ac:dyDescent="0.2">
      <c r="A1311" s="45"/>
      <c r="B1311" s="46"/>
      <c r="C1311" s="46"/>
      <c r="D1311" s="46"/>
      <c r="E1311" s="46"/>
      <c r="F1311" s="46"/>
      <c r="G1311" s="46"/>
      <c r="H1311" s="46"/>
      <c r="I1311" s="46"/>
      <c r="J1311" s="46"/>
      <c r="K1311" s="46"/>
      <c r="L1311" s="46"/>
      <c r="M1311" s="46"/>
      <c r="N1311" s="46"/>
      <c r="O1311" s="46"/>
      <c r="P1311" s="46"/>
      <c r="Q1311" s="46"/>
      <c r="R1311" s="46"/>
      <c r="S1311" s="46"/>
      <c r="T1311" s="46"/>
      <c r="U1311" s="46"/>
      <c r="V1311" s="46"/>
      <c r="W1311" s="46"/>
      <c r="X1311" s="46"/>
    </row>
    <row r="1312" spans="1:24" x14ac:dyDescent="0.2">
      <c r="A1312" s="45"/>
      <c r="B1312" s="46"/>
      <c r="C1312" s="46"/>
      <c r="D1312" s="46"/>
      <c r="E1312" s="46"/>
      <c r="F1312" s="46"/>
      <c r="G1312" s="46"/>
      <c r="H1312" s="46"/>
      <c r="I1312" s="46"/>
      <c r="J1312" s="46"/>
      <c r="K1312" s="46"/>
      <c r="L1312" s="46"/>
      <c r="M1312" s="46"/>
      <c r="N1312" s="46"/>
      <c r="O1312" s="46"/>
      <c r="P1312" s="46"/>
      <c r="Q1312" s="46"/>
      <c r="R1312" s="46"/>
      <c r="S1312" s="46"/>
      <c r="T1312" s="46"/>
      <c r="U1312" s="46"/>
      <c r="V1312" s="46"/>
      <c r="W1312" s="46"/>
      <c r="X1312" s="46"/>
    </row>
    <row r="1313" spans="1:24" x14ac:dyDescent="0.2">
      <c r="A1313" s="45"/>
      <c r="B1313" s="46"/>
      <c r="C1313" s="46"/>
      <c r="D1313" s="46"/>
      <c r="E1313" s="46"/>
      <c r="F1313" s="46"/>
      <c r="G1313" s="46"/>
      <c r="H1313" s="46"/>
      <c r="I1313" s="46"/>
      <c r="J1313" s="46"/>
      <c r="K1313" s="46"/>
      <c r="L1313" s="46"/>
      <c r="M1313" s="46"/>
      <c r="N1313" s="46"/>
      <c r="O1313" s="46"/>
      <c r="P1313" s="46"/>
      <c r="Q1313" s="46"/>
      <c r="R1313" s="46"/>
      <c r="S1313" s="46"/>
      <c r="T1313" s="46"/>
      <c r="U1313" s="46"/>
      <c r="V1313" s="46"/>
      <c r="W1313" s="46"/>
      <c r="X1313" s="46"/>
    </row>
    <row r="1314" spans="1:24" x14ac:dyDescent="0.2">
      <c r="A1314" s="45"/>
      <c r="B1314" s="46"/>
      <c r="C1314" s="46"/>
      <c r="D1314" s="46"/>
      <c r="E1314" s="46"/>
      <c r="F1314" s="46"/>
      <c r="G1314" s="46"/>
      <c r="H1314" s="46"/>
      <c r="I1314" s="46"/>
      <c r="J1314" s="46"/>
      <c r="K1314" s="46"/>
      <c r="L1314" s="46"/>
      <c r="M1314" s="46"/>
      <c r="N1314" s="46"/>
      <c r="O1314" s="46"/>
      <c r="P1314" s="46"/>
      <c r="Q1314" s="46"/>
      <c r="R1314" s="46"/>
      <c r="S1314" s="46"/>
      <c r="T1314" s="46"/>
      <c r="U1314" s="46"/>
      <c r="V1314" s="46"/>
      <c r="W1314" s="46"/>
      <c r="X1314" s="46"/>
    </row>
    <row r="1315" spans="1:24" x14ac:dyDescent="0.2">
      <c r="A1315" s="45"/>
      <c r="B1315" s="46"/>
      <c r="C1315" s="46"/>
      <c r="D1315" s="46"/>
      <c r="E1315" s="46"/>
      <c r="F1315" s="46"/>
      <c r="G1315" s="46"/>
      <c r="H1315" s="46"/>
      <c r="I1315" s="46"/>
      <c r="J1315" s="46"/>
      <c r="K1315" s="46"/>
      <c r="L1315" s="46"/>
      <c r="M1315" s="46"/>
      <c r="N1315" s="46"/>
      <c r="O1315" s="46"/>
      <c r="P1315" s="46"/>
      <c r="Q1315" s="46"/>
      <c r="R1315" s="46"/>
      <c r="S1315" s="46"/>
      <c r="T1315" s="46"/>
      <c r="U1315" s="46"/>
      <c r="V1315" s="46"/>
      <c r="W1315" s="46"/>
      <c r="X1315" s="46"/>
    </row>
    <row r="1316" spans="1:24" x14ac:dyDescent="0.2">
      <c r="A1316" s="45"/>
      <c r="B1316" s="46"/>
      <c r="C1316" s="46"/>
      <c r="D1316" s="46"/>
      <c r="E1316" s="46"/>
      <c r="F1316" s="46"/>
      <c r="G1316" s="46"/>
      <c r="H1316" s="46"/>
      <c r="I1316" s="46"/>
      <c r="J1316" s="46"/>
      <c r="K1316" s="46"/>
      <c r="L1316" s="46"/>
      <c r="M1316" s="46"/>
      <c r="N1316" s="46"/>
      <c r="O1316" s="46"/>
      <c r="P1316" s="46"/>
      <c r="Q1316" s="46"/>
      <c r="R1316" s="46"/>
      <c r="S1316" s="46"/>
      <c r="T1316" s="46"/>
      <c r="U1316" s="46"/>
      <c r="V1316" s="46"/>
      <c r="W1316" s="46"/>
      <c r="X1316" s="46"/>
    </row>
    <row r="1317" spans="1:24" x14ac:dyDescent="0.2">
      <c r="A1317" s="45"/>
      <c r="B1317" s="46"/>
      <c r="C1317" s="46"/>
      <c r="D1317" s="46"/>
      <c r="E1317" s="46"/>
      <c r="F1317" s="46"/>
      <c r="G1317" s="46"/>
      <c r="H1317" s="46"/>
      <c r="I1317" s="46"/>
      <c r="J1317" s="46"/>
      <c r="K1317" s="46"/>
      <c r="L1317" s="46"/>
      <c r="M1317" s="46"/>
      <c r="N1317" s="46"/>
      <c r="O1317" s="46"/>
      <c r="P1317" s="46"/>
      <c r="Q1317" s="46"/>
      <c r="R1317" s="46"/>
      <c r="S1317" s="46"/>
      <c r="T1317" s="46"/>
      <c r="U1317" s="46"/>
      <c r="V1317" s="46"/>
      <c r="W1317" s="46"/>
      <c r="X1317" s="46"/>
    </row>
    <row r="1318" spans="1:24" x14ac:dyDescent="0.2">
      <c r="A1318" s="45"/>
      <c r="B1318" s="46"/>
      <c r="C1318" s="46"/>
      <c r="D1318" s="46"/>
      <c r="E1318" s="46"/>
      <c r="F1318" s="46"/>
      <c r="G1318" s="46"/>
      <c r="H1318" s="46"/>
      <c r="I1318" s="46"/>
      <c r="J1318" s="46"/>
      <c r="K1318" s="46"/>
      <c r="L1318" s="46"/>
      <c r="M1318" s="46"/>
      <c r="N1318" s="46"/>
      <c r="O1318" s="46"/>
      <c r="P1318" s="46"/>
      <c r="Q1318" s="46"/>
      <c r="R1318" s="46"/>
      <c r="S1318" s="46"/>
      <c r="T1318" s="46"/>
      <c r="U1318" s="46"/>
      <c r="V1318" s="46"/>
      <c r="W1318" s="46"/>
      <c r="X1318" s="46"/>
    </row>
    <row r="1319" spans="1:24" x14ac:dyDescent="0.2">
      <c r="A1319" s="45"/>
      <c r="B1319" s="46"/>
      <c r="C1319" s="46"/>
      <c r="D1319" s="46"/>
      <c r="E1319" s="46"/>
      <c r="F1319" s="46"/>
      <c r="G1319" s="46"/>
      <c r="H1319" s="46"/>
      <c r="I1319" s="46"/>
      <c r="J1319" s="46"/>
      <c r="K1319" s="46"/>
      <c r="L1319" s="46"/>
      <c r="M1319" s="46"/>
      <c r="N1319" s="46"/>
      <c r="O1319" s="46"/>
      <c r="P1319" s="46"/>
      <c r="Q1319" s="46"/>
      <c r="R1319" s="46"/>
      <c r="S1319" s="46"/>
      <c r="T1319" s="46"/>
      <c r="U1319" s="46"/>
      <c r="V1319" s="46"/>
      <c r="W1319" s="46"/>
      <c r="X1319" s="46"/>
    </row>
    <row r="1320" spans="1:24" x14ac:dyDescent="0.2">
      <c r="A1320" s="45"/>
      <c r="B1320" s="46"/>
      <c r="C1320" s="46"/>
      <c r="D1320" s="46"/>
      <c r="E1320" s="46"/>
      <c r="F1320" s="46"/>
      <c r="G1320" s="46"/>
      <c r="H1320" s="46"/>
      <c r="I1320" s="46"/>
      <c r="J1320" s="46"/>
      <c r="K1320" s="46"/>
      <c r="L1320" s="46"/>
      <c r="M1320" s="46"/>
      <c r="N1320" s="46"/>
      <c r="O1320" s="46"/>
      <c r="P1320" s="46"/>
      <c r="Q1320" s="46"/>
      <c r="R1320" s="46"/>
      <c r="S1320" s="46"/>
      <c r="T1320" s="46"/>
      <c r="U1320" s="46"/>
      <c r="V1320" s="46"/>
      <c r="W1320" s="46"/>
      <c r="X1320" s="46"/>
    </row>
    <row r="1321" spans="1:24" x14ac:dyDescent="0.2">
      <c r="A1321" s="45"/>
      <c r="B1321" s="46"/>
      <c r="C1321" s="46"/>
      <c r="D1321" s="46"/>
      <c r="E1321" s="46"/>
      <c r="F1321" s="46"/>
      <c r="G1321" s="46"/>
      <c r="H1321" s="46"/>
      <c r="I1321" s="46"/>
      <c r="J1321" s="46"/>
      <c r="K1321" s="46"/>
      <c r="L1321" s="46"/>
      <c r="M1321" s="46"/>
      <c r="N1321" s="46"/>
      <c r="O1321" s="46"/>
      <c r="P1321" s="46"/>
      <c r="Q1321" s="46"/>
      <c r="R1321" s="46"/>
      <c r="S1321" s="46"/>
      <c r="T1321" s="46"/>
      <c r="U1321" s="46"/>
      <c r="V1321" s="46"/>
      <c r="W1321" s="46"/>
      <c r="X1321" s="46"/>
    </row>
    <row r="1322" spans="1:24" x14ac:dyDescent="0.2">
      <c r="A1322" s="45"/>
      <c r="B1322" s="46"/>
      <c r="C1322" s="46"/>
      <c r="D1322" s="46"/>
      <c r="E1322" s="46"/>
      <c r="F1322" s="46"/>
      <c r="G1322" s="46"/>
      <c r="H1322" s="46"/>
      <c r="I1322" s="46"/>
      <c r="J1322" s="46"/>
      <c r="K1322" s="46"/>
      <c r="L1322" s="46"/>
      <c r="M1322" s="46"/>
      <c r="N1322" s="46"/>
      <c r="O1322" s="46"/>
      <c r="P1322" s="46"/>
      <c r="Q1322" s="46"/>
      <c r="R1322" s="46"/>
      <c r="S1322" s="46"/>
      <c r="T1322" s="46"/>
      <c r="U1322" s="46"/>
      <c r="V1322" s="46"/>
      <c r="W1322" s="46"/>
      <c r="X1322" s="46"/>
    </row>
    <row r="1323" spans="1:24" x14ac:dyDescent="0.2">
      <c r="A1323" s="45"/>
      <c r="B1323" s="46"/>
      <c r="C1323" s="46"/>
      <c r="D1323" s="46"/>
      <c r="E1323" s="46"/>
      <c r="F1323" s="46"/>
      <c r="G1323" s="46"/>
      <c r="H1323" s="46"/>
      <c r="I1323" s="46"/>
      <c r="J1323" s="46"/>
      <c r="K1323" s="46"/>
      <c r="L1323" s="46"/>
      <c r="M1323" s="46"/>
      <c r="N1323" s="46"/>
      <c r="O1323" s="46"/>
      <c r="P1323" s="46"/>
      <c r="Q1323" s="46"/>
      <c r="R1323" s="46"/>
      <c r="S1323" s="46"/>
      <c r="T1323" s="46"/>
      <c r="U1323" s="46"/>
      <c r="V1323" s="46"/>
      <c r="W1323" s="46"/>
      <c r="X1323" s="46"/>
    </row>
    <row r="1324" spans="1:24" x14ac:dyDescent="0.2">
      <c r="A1324" s="45"/>
      <c r="B1324" s="46"/>
      <c r="C1324" s="46"/>
      <c r="D1324" s="46"/>
      <c r="E1324" s="46"/>
      <c r="F1324" s="46"/>
      <c r="G1324" s="46"/>
      <c r="H1324" s="46"/>
      <c r="I1324" s="46"/>
      <c r="J1324" s="46"/>
      <c r="K1324" s="46"/>
      <c r="L1324" s="46"/>
      <c r="M1324" s="46"/>
      <c r="N1324" s="46"/>
      <c r="O1324" s="46"/>
      <c r="P1324" s="46"/>
      <c r="Q1324" s="46"/>
      <c r="R1324" s="46"/>
      <c r="S1324" s="46"/>
      <c r="T1324" s="46"/>
      <c r="U1324" s="46"/>
      <c r="V1324" s="46"/>
      <c r="W1324" s="46"/>
      <c r="X1324" s="46"/>
    </row>
    <row r="1325" spans="1:24" x14ac:dyDescent="0.2">
      <c r="A1325" s="45"/>
      <c r="B1325" s="46"/>
      <c r="C1325" s="46"/>
      <c r="D1325" s="46"/>
      <c r="E1325" s="46"/>
      <c r="F1325" s="46"/>
      <c r="G1325" s="46"/>
      <c r="H1325" s="46"/>
      <c r="I1325" s="46"/>
      <c r="J1325" s="46"/>
      <c r="K1325" s="46"/>
      <c r="L1325" s="46"/>
      <c r="M1325" s="46"/>
      <c r="N1325" s="46"/>
      <c r="O1325" s="46"/>
      <c r="P1325" s="46"/>
      <c r="Q1325" s="46"/>
      <c r="R1325" s="46"/>
      <c r="S1325" s="46"/>
      <c r="T1325" s="46"/>
      <c r="U1325" s="46"/>
      <c r="V1325" s="46"/>
      <c r="W1325" s="46"/>
      <c r="X1325" s="46"/>
    </row>
    <row r="1326" spans="1:24" x14ac:dyDescent="0.2">
      <c r="A1326" s="45"/>
      <c r="B1326" s="46"/>
      <c r="C1326" s="46"/>
      <c r="D1326" s="46"/>
      <c r="E1326" s="46"/>
      <c r="F1326" s="46"/>
      <c r="G1326" s="46"/>
      <c r="H1326" s="46"/>
      <c r="I1326" s="46"/>
      <c r="J1326" s="46"/>
      <c r="K1326" s="46"/>
      <c r="L1326" s="46"/>
      <c r="M1326" s="46"/>
      <c r="N1326" s="46"/>
      <c r="O1326" s="46"/>
      <c r="P1326" s="46"/>
      <c r="Q1326" s="46"/>
      <c r="R1326" s="46"/>
      <c r="S1326" s="46"/>
      <c r="T1326" s="46"/>
      <c r="U1326" s="46"/>
      <c r="V1326" s="46"/>
      <c r="W1326" s="46"/>
      <c r="X1326" s="46"/>
    </row>
    <row r="1327" spans="1:24" x14ac:dyDescent="0.2">
      <c r="A1327" s="45"/>
      <c r="B1327" s="46"/>
      <c r="C1327" s="46"/>
      <c r="D1327" s="46"/>
      <c r="E1327" s="46"/>
      <c r="F1327" s="46"/>
      <c r="G1327" s="46"/>
      <c r="H1327" s="46"/>
      <c r="I1327" s="46"/>
      <c r="J1327" s="46"/>
      <c r="K1327" s="46"/>
      <c r="L1327" s="46"/>
      <c r="M1327" s="46"/>
      <c r="N1327" s="46"/>
      <c r="O1327" s="46"/>
      <c r="P1327" s="46"/>
      <c r="Q1327" s="46"/>
      <c r="R1327" s="46"/>
      <c r="S1327" s="46"/>
      <c r="T1327" s="46"/>
      <c r="U1327" s="46"/>
      <c r="V1327" s="46"/>
      <c r="W1327" s="46"/>
      <c r="X1327" s="46"/>
    </row>
    <row r="1328" spans="1:24" x14ac:dyDescent="0.2">
      <c r="A1328" s="45"/>
      <c r="B1328" s="46"/>
      <c r="C1328" s="46"/>
      <c r="D1328" s="46"/>
      <c r="E1328" s="46"/>
      <c r="F1328" s="46"/>
      <c r="G1328" s="46"/>
      <c r="H1328" s="46"/>
      <c r="I1328" s="46"/>
      <c r="J1328" s="46"/>
      <c r="K1328" s="46"/>
      <c r="L1328" s="46"/>
      <c r="M1328" s="46"/>
      <c r="N1328" s="46"/>
      <c r="O1328" s="46"/>
      <c r="P1328" s="46"/>
      <c r="Q1328" s="46"/>
      <c r="R1328" s="46"/>
      <c r="S1328" s="46"/>
      <c r="T1328" s="46"/>
      <c r="U1328" s="46"/>
      <c r="V1328" s="46"/>
      <c r="W1328" s="46"/>
      <c r="X1328" s="46"/>
    </row>
    <row r="1329" spans="1:24" x14ac:dyDescent="0.2">
      <c r="A1329" s="45"/>
      <c r="B1329" s="46"/>
      <c r="C1329" s="46"/>
      <c r="D1329" s="46"/>
      <c r="E1329" s="46"/>
      <c r="F1329" s="46"/>
      <c r="G1329" s="46"/>
      <c r="H1329" s="46"/>
      <c r="I1329" s="46"/>
      <c r="J1329" s="46"/>
      <c r="K1329" s="46"/>
      <c r="L1329" s="46"/>
      <c r="M1329" s="46"/>
      <c r="N1329" s="46"/>
      <c r="O1329" s="46"/>
      <c r="P1329" s="46"/>
      <c r="Q1329" s="46"/>
      <c r="R1329" s="46"/>
      <c r="S1329" s="46"/>
      <c r="T1329" s="46"/>
      <c r="U1329" s="46"/>
      <c r="V1329" s="46"/>
      <c r="W1329" s="46"/>
      <c r="X1329" s="46"/>
    </row>
    <row r="1330" spans="1:24" x14ac:dyDescent="0.2">
      <c r="A1330" s="45"/>
      <c r="B1330" s="46"/>
      <c r="C1330" s="46"/>
      <c r="D1330" s="46"/>
      <c r="E1330" s="46"/>
      <c r="F1330" s="46"/>
      <c r="G1330" s="46"/>
      <c r="H1330" s="46"/>
      <c r="I1330" s="46"/>
      <c r="J1330" s="46"/>
      <c r="K1330" s="46"/>
      <c r="L1330" s="46"/>
      <c r="M1330" s="46"/>
      <c r="N1330" s="46"/>
      <c r="O1330" s="46"/>
      <c r="P1330" s="46"/>
      <c r="Q1330" s="46"/>
      <c r="R1330" s="46"/>
      <c r="S1330" s="46"/>
      <c r="T1330" s="46"/>
      <c r="U1330" s="46"/>
      <c r="V1330" s="46"/>
      <c r="W1330" s="46"/>
      <c r="X1330" s="46"/>
    </row>
    <row r="1331" spans="1:24" x14ac:dyDescent="0.2">
      <c r="A1331" s="45"/>
      <c r="B1331" s="46"/>
      <c r="C1331" s="46"/>
      <c r="D1331" s="46"/>
      <c r="E1331" s="46"/>
      <c r="F1331" s="46"/>
      <c r="G1331" s="46"/>
      <c r="H1331" s="46"/>
      <c r="I1331" s="46"/>
      <c r="J1331" s="46"/>
      <c r="K1331" s="46"/>
      <c r="L1331" s="46"/>
      <c r="M1331" s="46"/>
      <c r="N1331" s="46"/>
      <c r="O1331" s="46"/>
      <c r="P1331" s="46"/>
      <c r="Q1331" s="46"/>
      <c r="R1331" s="46"/>
      <c r="S1331" s="46"/>
      <c r="T1331" s="46"/>
      <c r="U1331" s="46"/>
      <c r="V1331" s="46"/>
      <c r="W1331" s="46"/>
      <c r="X1331" s="46"/>
    </row>
    <row r="1332" spans="1:24" x14ac:dyDescent="0.2">
      <c r="A1332" s="45"/>
      <c r="B1332" s="46"/>
      <c r="C1332" s="46"/>
      <c r="D1332" s="46"/>
      <c r="E1332" s="46"/>
      <c r="F1332" s="46"/>
      <c r="G1332" s="46"/>
      <c r="H1332" s="46"/>
      <c r="I1332" s="46"/>
      <c r="J1332" s="46"/>
      <c r="K1332" s="46"/>
      <c r="L1332" s="46"/>
      <c r="M1332" s="46"/>
      <c r="N1332" s="46"/>
      <c r="O1332" s="46"/>
      <c r="P1332" s="46"/>
      <c r="Q1332" s="46"/>
      <c r="R1332" s="46"/>
      <c r="S1332" s="46"/>
      <c r="T1332" s="46"/>
      <c r="U1332" s="46"/>
      <c r="V1332" s="46"/>
      <c r="W1332" s="46"/>
      <c r="X1332" s="46"/>
    </row>
    <row r="1333" spans="1:24" x14ac:dyDescent="0.2">
      <c r="A1333" s="45"/>
      <c r="B1333" s="46"/>
      <c r="C1333" s="46"/>
      <c r="D1333" s="46"/>
      <c r="E1333" s="46"/>
      <c r="F1333" s="46"/>
      <c r="G1333" s="46"/>
      <c r="H1333" s="46"/>
      <c r="I1333" s="46"/>
      <c r="J1333" s="46"/>
      <c r="K1333" s="46"/>
      <c r="L1333" s="46"/>
      <c r="M1333" s="46"/>
      <c r="N1333" s="46"/>
      <c r="O1333" s="46"/>
      <c r="P1333" s="46"/>
      <c r="Q1333" s="46"/>
      <c r="R1333" s="46"/>
      <c r="S1333" s="46"/>
      <c r="T1333" s="46"/>
      <c r="U1333" s="46"/>
      <c r="V1333" s="46"/>
      <c r="W1333" s="46"/>
      <c r="X1333" s="46"/>
    </row>
    <row r="1334" spans="1:24" x14ac:dyDescent="0.2">
      <c r="A1334" s="45"/>
      <c r="B1334" s="46"/>
      <c r="C1334" s="46"/>
      <c r="D1334" s="46"/>
      <c r="E1334" s="46"/>
      <c r="F1334" s="46"/>
      <c r="G1334" s="46"/>
      <c r="H1334" s="46"/>
      <c r="I1334" s="46"/>
      <c r="J1334" s="46"/>
      <c r="K1334" s="46"/>
      <c r="L1334" s="46"/>
      <c r="M1334" s="46"/>
      <c r="N1334" s="46"/>
      <c r="O1334" s="46"/>
      <c r="P1334" s="46"/>
      <c r="Q1334" s="46"/>
      <c r="R1334" s="46"/>
      <c r="S1334" s="46"/>
      <c r="T1334" s="46"/>
      <c r="U1334" s="46"/>
      <c r="V1334" s="46"/>
      <c r="W1334" s="46"/>
      <c r="X1334" s="46"/>
    </row>
    <row r="1335" spans="1:24" x14ac:dyDescent="0.2">
      <c r="A1335" s="45"/>
      <c r="B1335" s="46"/>
      <c r="C1335" s="46"/>
      <c r="D1335" s="46"/>
      <c r="E1335" s="46"/>
      <c r="F1335" s="46"/>
      <c r="G1335" s="46"/>
      <c r="H1335" s="46"/>
      <c r="I1335" s="46"/>
      <c r="J1335" s="46"/>
      <c r="K1335" s="46"/>
      <c r="L1335" s="46"/>
      <c r="M1335" s="46"/>
      <c r="N1335" s="46"/>
      <c r="O1335" s="46"/>
      <c r="P1335" s="46"/>
      <c r="Q1335" s="46"/>
      <c r="R1335" s="46"/>
      <c r="S1335" s="46"/>
      <c r="T1335" s="46"/>
      <c r="U1335" s="46"/>
      <c r="V1335" s="46"/>
      <c r="W1335" s="46"/>
      <c r="X1335" s="46"/>
    </row>
    <row r="1336" spans="1:24" x14ac:dyDescent="0.2">
      <c r="A1336" s="45"/>
      <c r="B1336" s="46"/>
      <c r="C1336" s="46"/>
      <c r="D1336" s="46"/>
      <c r="E1336" s="46"/>
      <c r="F1336" s="46"/>
      <c r="G1336" s="46"/>
      <c r="H1336" s="46"/>
      <c r="I1336" s="46"/>
      <c r="J1336" s="46"/>
      <c r="K1336" s="46"/>
      <c r="L1336" s="46"/>
      <c r="M1336" s="46"/>
      <c r="N1336" s="46"/>
      <c r="O1336" s="46"/>
      <c r="P1336" s="46"/>
      <c r="Q1336" s="46"/>
      <c r="R1336" s="46"/>
      <c r="S1336" s="46"/>
      <c r="T1336" s="46"/>
      <c r="U1336" s="46"/>
      <c r="V1336" s="46"/>
      <c r="W1336" s="46"/>
      <c r="X1336" s="46"/>
    </row>
    <row r="1337" spans="1:24" x14ac:dyDescent="0.2">
      <c r="A1337" s="45"/>
      <c r="B1337" s="46"/>
      <c r="C1337" s="46"/>
      <c r="D1337" s="46"/>
      <c r="E1337" s="46"/>
      <c r="F1337" s="46"/>
      <c r="G1337" s="46"/>
      <c r="H1337" s="46"/>
      <c r="I1337" s="46"/>
      <c r="J1337" s="46"/>
      <c r="K1337" s="46"/>
      <c r="L1337" s="46"/>
      <c r="M1337" s="46"/>
      <c r="N1337" s="46"/>
      <c r="O1337" s="46"/>
      <c r="P1337" s="46"/>
      <c r="Q1337" s="46"/>
      <c r="R1337" s="46"/>
      <c r="S1337" s="46"/>
      <c r="T1337" s="46"/>
      <c r="U1337" s="46"/>
      <c r="V1337" s="46"/>
      <c r="W1337" s="46"/>
      <c r="X1337" s="46"/>
    </row>
    <row r="1338" spans="1:24" x14ac:dyDescent="0.2">
      <c r="A1338" s="45"/>
      <c r="B1338" s="46"/>
      <c r="C1338" s="46"/>
      <c r="D1338" s="46"/>
      <c r="E1338" s="46"/>
      <c r="F1338" s="46"/>
      <c r="G1338" s="46"/>
      <c r="H1338" s="46"/>
      <c r="I1338" s="46"/>
      <c r="J1338" s="46"/>
      <c r="K1338" s="46"/>
      <c r="L1338" s="46"/>
      <c r="M1338" s="46"/>
      <c r="N1338" s="46"/>
      <c r="O1338" s="46"/>
      <c r="P1338" s="46"/>
      <c r="Q1338" s="46"/>
      <c r="R1338" s="46"/>
      <c r="S1338" s="46"/>
      <c r="T1338" s="46"/>
      <c r="U1338" s="46"/>
      <c r="V1338" s="46"/>
      <c r="W1338" s="46"/>
      <c r="X1338" s="46"/>
    </row>
    <row r="1339" spans="1:24" x14ac:dyDescent="0.2">
      <c r="A1339" s="45"/>
      <c r="B1339" s="46"/>
      <c r="C1339" s="46"/>
      <c r="D1339" s="46"/>
      <c r="E1339" s="46"/>
      <c r="F1339" s="46"/>
      <c r="G1339" s="46"/>
      <c r="H1339" s="46"/>
      <c r="I1339" s="46"/>
      <c r="J1339" s="46"/>
      <c r="K1339" s="46"/>
      <c r="L1339" s="46"/>
      <c r="M1339" s="46"/>
      <c r="N1339" s="46"/>
      <c r="O1339" s="46"/>
      <c r="P1339" s="46"/>
      <c r="Q1339" s="46"/>
      <c r="R1339" s="46"/>
      <c r="S1339" s="46"/>
      <c r="T1339" s="46"/>
      <c r="U1339" s="46"/>
      <c r="V1339" s="46"/>
      <c r="W1339" s="46"/>
      <c r="X1339" s="46"/>
    </row>
    <row r="1340" spans="1:24" x14ac:dyDescent="0.2">
      <c r="A1340" s="45"/>
      <c r="B1340" s="46"/>
      <c r="C1340" s="46"/>
      <c r="D1340" s="46"/>
      <c r="E1340" s="46"/>
      <c r="F1340" s="46"/>
      <c r="G1340" s="46"/>
      <c r="H1340" s="46"/>
      <c r="I1340" s="46"/>
      <c r="J1340" s="46"/>
      <c r="K1340" s="46"/>
      <c r="L1340" s="46"/>
      <c r="M1340" s="46"/>
      <c r="N1340" s="46"/>
      <c r="O1340" s="46"/>
      <c r="P1340" s="46"/>
      <c r="Q1340" s="46"/>
      <c r="R1340" s="46"/>
      <c r="S1340" s="46"/>
      <c r="T1340" s="46"/>
      <c r="U1340" s="46"/>
      <c r="V1340" s="46"/>
      <c r="W1340" s="46"/>
      <c r="X1340" s="46"/>
    </row>
    <row r="1341" spans="1:24" x14ac:dyDescent="0.2">
      <c r="A1341" s="45"/>
      <c r="B1341" s="46"/>
      <c r="C1341" s="46"/>
      <c r="D1341" s="46"/>
      <c r="E1341" s="46"/>
      <c r="F1341" s="46"/>
      <c r="G1341" s="46"/>
      <c r="H1341" s="46"/>
      <c r="I1341" s="46"/>
      <c r="J1341" s="46"/>
      <c r="K1341" s="46"/>
      <c r="L1341" s="46"/>
      <c r="M1341" s="46"/>
      <c r="N1341" s="46"/>
      <c r="O1341" s="46"/>
      <c r="P1341" s="46"/>
      <c r="Q1341" s="46"/>
      <c r="R1341" s="46"/>
      <c r="S1341" s="46"/>
      <c r="T1341" s="46"/>
      <c r="U1341" s="46"/>
      <c r="V1341" s="46"/>
      <c r="W1341" s="46"/>
      <c r="X1341" s="46"/>
    </row>
    <row r="1342" spans="1:24" x14ac:dyDescent="0.2">
      <c r="A1342" s="45"/>
      <c r="B1342" s="46"/>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46"/>
    </row>
    <row r="1343" spans="1:24" x14ac:dyDescent="0.2">
      <c r="A1343" s="45"/>
      <c r="B1343" s="46"/>
      <c r="C1343" s="46"/>
      <c r="D1343" s="46"/>
      <c r="E1343" s="46"/>
      <c r="F1343" s="46"/>
      <c r="G1343" s="46"/>
      <c r="H1343" s="46"/>
      <c r="I1343" s="46"/>
      <c r="J1343" s="46"/>
      <c r="K1343" s="46"/>
      <c r="L1343" s="46"/>
      <c r="M1343" s="46"/>
      <c r="N1343" s="46"/>
      <c r="O1343" s="46"/>
      <c r="P1343" s="46"/>
      <c r="Q1343" s="46"/>
      <c r="R1343" s="46"/>
      <c r="S1343" s="46"/>
      <c r="T1343" s="46"/>
      <c r="U1343" s="46"/>
      <c r="V1343" s="46"/>
      <c r="W1343" s="46"/>
      <c r="X1343" s="46"/>
    </row>
    <row r="1344" spans="1:24" x14ac:dyDescent="0.2">
      <c r="A1344" s="45"/>
      <c r="B1344" s="46"/>
      <c r="C1344" s="46"/>
      <c r="D1344" s="46"/>
      <c r="E1344" s="46"/>
      <c r="F1344" s="46"/>
      <c r="G1344" s="46"/>
      <c r="H1344" s="46"/>
      <c r="I1344" s="46"/>
      <c r="J1344" s="46"/>
      <c r="K1344" s="46"/>
      <c r="L1344" s="46"/>
      <c r="M1344" s="46"/>
      <c r="N1344" s="46"/>
      <c r="O1344" s="46"/>
      <c r="P1344" s="46"/>
      <c r="Q1344" s="46"/>
      <c r="R1344" s="46"/>
      <c r="S1344" s="46"/>
      <c r="T1344" s="46"/>
      <c r="U1344" s="46"/>
      <c r="V1344" s="46"/>
      <c r="W1344" s="46"/>
      <c r="X1344" s="46"/>
    </row>
    <row r="1345" spans="1:24" x14ac:dyDescent="0.2">
      <c r="A1345" s="45"/>
      <c r="B1345" s="46"/>
      <c r="C1345" s="46"/>
      <c r="D1345" s="46"/>
      <c r="E1345" s="46"/>
      <c r="F1345" s="46"/>
      <c r="G1345" s="46"/>
      <c r="H1345" s="46"/>
      <c r="I1345" s="46"/>
      <c r="J1345" s="46"/>
      <c r="K1345" s="46"/>
      <c r="L1345" s="46"/>
      <c r="M1345" s="46"/>
      <c r="N1345" s="46"/>
      <c r="O1345" s="46"/>
      <c r="P1345" s="46"/>
      <c r="Q1345" s="46"/>
      <c r="R1345" s="46"/>
      <c r="S1345" s="46"/>
      <c r="T1345" s="46"/>
      <c r="U1345" s="46"/>
      <c r="V1345" s="46"/>
      <c r="W1345" s="46"/>
      <c r="X1345" s="46"/>
    </row>
    <row r="1346" spans="1:24" x14ac:dyDescent="0.2">
      <c r="A1346" s="45"/>
      <c r="B1346" s="46"/>
      <c r="C1346" s="46"/>
      <c r="D1346" s="46"/>
      <c r="E1346" s="46"/>
      <c r="F1346" s="46"/>
      <c r="G1346" s="46"/>
      <c r="H1346" s="46"/>
      <c r="I1346" s="46"/>
      <c r="J1346" s="46"/>
      <c r="K1346" s="46"/>
      <c r="L1346" s="46"/>
      <c r="M1346" s="46"/>
      <c r="N1346" s="46"/>
      <c r="O1346" s="46"/>
      <c r="P1346" s="46"/>
      <c r="Q1346" s="46"/>
      <c r="R1346" s="46"/>
      <c r="S1346" s="46"/>
      <c r="T1346" s="46"/>
      <c r="U1346" s="46"/>
      <c r="V1346" s="46"/>
      <c r="W1346" s="46"/>
      <c r="X1346" s="46"/>
    </row>
    <row r="1347" spans="1:24" x14ac:dyDescent="0.2">
      <c r="A1347" s="45"/>
      <c r="B1347" s="46"/>
      <c r="C1347" s="46"/>
      <c r="D1347" s="46"/>
      <c r="E1347" s="46"/>
      <c r="F1347" s="46"/>
      <c r="G1347" s="46"/>
      <c r="H1347" s="46"/>
      <c r="I1347" s="46"/>
      <c r="J1347" s="46"/>
      <c r="K1347" s="46"/>
      <c r="L1347" s="46"/>
      <c r="M1347" s="46"/>
      <c r="N1347" s="46"/>
      <c r="O1347" s="46"/>
      <c r="P1347" s="46"/>
      <c r="Q1347" s="46"/>
      <c r="R1347" s="46"/>
      <c r="S1347" s="46"/>
      <c r="T1347" s="46"/>
      <c r="U1347" s="46"/>
      <c r="V1347" s="46"/>
      <c r="W1347" s="46"/>
      <c r="X1347" s="46"/>
    </row>
    <row r="1348" spans="1:24" x14ac:dyDescent="0.2">
      <c r="A1348" s="45"/>
      <c r="B1348" s="46"/>
      <c r="C1348" s="46"/>
      <c r="D1348" s="46"/>
      <c r="E1348" s="46"/>
      <c r="F1348" s="46"/>
      <c r="G1348" s="46"/>
      <c r="H1348" s="46"/>
      <c r="I1348" s="46"/>
      <c r="J1348" s="46"/>
      <c r="K1348" s="46"/>
      <c r="L1348" s="46"/>
      <c r="M1348" s="46"/>
      <c r="N1348" s="46"/>
      <c r="O1348" s="46"/>
      <c r="P1348" s="46"/>
      <c r="Q1348" s="46"/>
      <c r="R1348" s="46"/>
      <c r="S1348" s="46"/>
      <c r="T1348" s="46"/>
      <c r="U1348" s="46"/>
      <c r="V1348" s="46"/>
      <c r="W1348" s="46"/>
      <c r="X1348" s="46"/>
    </row>
    <row r="1349" spans="1:24" x14ac:dyDescent="0.2">
      <c r="A1349" s="45"/>
      <c r="B1349" s="46"/>
      <c r="C1349" s="46"/>
      <c r="D1349" s="46"/>
      <c r="E1349" s="46"/>
      <c r="F1349" s="46"/>
      <c r="G1349" s="46"/>
      <c r="H1349" s="46"/>
      <c r="I1349" s="46"/>
      <c r="J1349" s="46"/>
      <c r="K1349" s="46"/>
      <c r="L1349" s="46"/>
      <c r="M1349" s="46"/>
      <c r="N1349" s="46"/>
      <c r="O1349" s="46"/>
      <c r="P1349" s="46"/>
      <c r="Q1349" s="46"/>
      <c r="R1349" s="46"/>
      <c r="S1349" s="46"/>
      <c r="T1349" s="46"/>
      <c r="U1349" s="46"/>
      <c r="V1349" s="46"/>
      <c r="W1349" s="46"/>
      <c r="X1349" s="46"/>
    </row>
    <row r="1350" spans="1:24" x14ac:dyDescent="0.2">
      <c r="A1350" s="45"/>
      <c r="B1350" s="46"/>
      <c r="C1350" s="46"/>
      <c r="D1350" s="46"/>
      <c r="E1350" s="46"/>
      <c r="F1350" s="46"/>
      <c r="G1350" s="46"/>
      <c r="H1350" s="46"/>
      <c r="I1350" s="46"/>
      <c r="J1350" s="46"/>
      <c r="K1350" s="46"/>
      <c r="L1350" s="46"/>
      <c r="M1350" s="46"/>
      <c r="N1350" s="46"/>
      <c r="O1350" s="46"/>
      <c r="P1350" s="46"/>
      <c r="Q1350" s="46"/>
      <c r="R1350" s="46"/>
      <c r="S1350" s="46"/>
      <c r="T1350" s="46"/>
      <c r="U1350" s="46"/>
      <c r="V1350" s="46"/>
      <c r="W1350" s="46"/>
      <c r="X1350" s="46"/>
    </row>
    <row r="1351" spans="1:24" x14ac:dyDescent="0.2">
      <c r="A1351" s="45"/>
      <c r="B1351" s="46"/>
      <c r="C1351" s="46"/>
      <c r="D1351" s="46"/>
      <c r="E1351" s="46"/>
      <c r="F1351" s="46"/>
      <c r="G1351" s="46"/>
      <c r="H1351" s="46"/>
      <c r="I1351" s="46"/>
      <c r="J1351" s="46"/>
      <c r="K1351" s="46"/>
      <c r="L1351" s="46"/>
      <c r="M1351" s="46"/>
      <c r="N1351" s="46"/>
      <c r="O1351" s="46"/>
      <c r="P1351" s="46"/>
      <c r="Q1351" s="46"/>
      <c r="R1351" s="46"/>
      <c r="S1351" s="46"/>
      <c r="T1351" s="46"/>
      <c r="U1351" s="46"/>
      <c r="V1351" s="46"/>
      <c r="W1351" s="46"/>
      <c r="X1351" s="46"/>
    </row>
    <row r="1352" spans="1:24" x14ac:dyDescent="0.2">
      <c r="A1352" s="45"/>
      <c r="B1352" s="46"/>
      <c r="C1352" s="46"/>
      <c r="D1352" s="46"/>
      <c r="E1352" s="46"/>
      <c r="F1352" s="46"/>
      <c r="G1352" s="46"/>
      <c r="H1352" s="46"/>
      <c r="I1352" s="46"/>
      <c r="J1352" s="46"/>
      <c r="K1352" s="46"/>
      <c r="L1352" s="46"/>
      <c r="M1352" s="46"/>
      <c r="N1352" s="46"/>
      <c r="O1352" s="46"/>
      <c r="P1352" s="46"/>
      <c r="Q1352" s="46"/>
      <c r="R1352" s="46"/>
      <c r="S1352" s="46"/>
      <c r="T1352" s="46"/>
      <c r="U1352" s="46"/>
      <c r="V1352" s="46"/>
      <c r="W1352" s="46"/>
      <c r="X1352" s="46"/>
    </row>
    <row r="1353" spans="1:24" x14ac:dyDescent="0.2">
      <c r="A1353" s="45"/>
      <c r="B1353" s="46"/>
      <c r="C1353" s="46"/>
      <c r="D1353" s="46"/>
      <c r="E1353" s="46"/>
      <c r="F1353" s="46"/>
      <c r="G1353" s="46"/>
      <c r="H1353" s="46"/>
      <c r="I1353" s="46"/>
      <c r="J1353" s="46"/>
      <c r="K1353" s="46"/>
      <c r="L1353" s="46"/>
      <c r="M1353" s="46"/>
      <c r="N1353" s="46"/>
      <c r="O1353" s="46"/>
      <c r="P1353" s="46"/>
      <c r="Q1353" s="46"/>
      <c r="R1353" s="46"/>
      <c r="S1353" s="46"/>
      <c r="T1353" s="46"/>
      <c r="U1353" s="46"/>
      <c r="V1353" s="46"/>
      <c r="W1353" s="46"/>
      <c r="X1353" s="46"/>
    </row>
    <row r="1354" spans="1:24" x14ac:dyDescent="0.2">
      <c r="A1354" s="45"/>
      <c r="B1354" s="46"/>
      <c r="C1354" s="46"/>
      <c r="D1354" s="46"/>
      <c r="E1354" s="46"/>
      <c r="F1354" s="46"/>
      <c r="G1354" s="46"/>
      <c r="H1354" s="46"/>
      <c r="I1354" s="46"/>
      <c r="J1354" s="46"/>
      <c r="K1354" s="46"/>
      <c r="L1354" s="46"/>
      <c r="M1354" s="46"/>
      <c r="N1354" s="46"/>
      <c r="O1354" s="46"/>
      <c r="P1354" s="46"/>
      <c r="Q1354" s="46"/>
      <c r="R1354" s="46"/>
      <c r="S1354" s="46"/>
      <c r="T1354" s="46"/>
      <c r="U1354" s="46"/>
      <c r="V1354" s="46"/>
      <c r="W1354" s="46"/>
      <c r="X1354" s="46"/>
    </row>
    <row r="1355" spans="1:24" x14ac:dyDescent="0.2">
      <c r="A1355" s="45"/>
      <c r="B1355" s="46"/>
      <c r="C1355" s="46"/>
      <c r="D1355" s="46"/>
      <c r="E1355" s="46"/>
      <c r="F1355" s="46"/>
      <c r="G1355" s="46"/>
      <c r="H1355" s="46"/>
      <c r="I1355" s="46"/>
      <c r="J1355" s="46"/>
      <c r="K1355" s="46"/>
      <c r="L1355" s="46"/>
      <c r="M1355" s="46"/>
      <c r="N1355" s="46"/>
      <c r="O1355" s="46"/>
      <c r="P1355" s="46"/>
      <c r="Q1355" s="46"/>
      <c r="R1355" s="46"/>
      <c r="S1355" s="46"/>
      <c r="T1355" s="46"/>
      <c r="U1355" s="46"/>
      <c r="V1355" s="46"/>
      <c r="W1355" s="46"/>
      <c r="X1355" s="46"/>
    </row>
    <row r="1356" spans="1:24" x14ac:dyDescent="0.2">
      <c r="A1356" s="45"/>
      <c r="B1356" s="46"/>
      <c r="C1356" s="46"/>
      <c r="D1356" s="46"/>
      <c r="E1356" s="46"/>
      <c r="F1356" s="46"/>
      <c r="G1356" s="46"/>
      <c r="H1356" s="46"/>
      <c r="I1356" s="46"/>
      <c r="J1356" s="46"/>
      <c r="K1356" s="46"/>
      <c r="L1356" s="46"/>
      <c r="M1356" s="46"/>
      <c r="N1356" s="46"/>
      <c r="O1356" s="46"/>
      <c r="P1356" s="46"/>
      <c r="Q1356" s="46"/>
      <c r="R1356" s="46"/>
      <c r="S1356" s="46"/>
      <c r="T1356" s="46"/>
      <c r="U1356" s="46"/>
      <c r="V1356" s="46"/>
      <c r="W1356" s="46"/>
      <c r="X1356" s="46"/>
    </row>
    <row r="1357" spans="1:24" x14ac:dyDescent="0.2">
      <c r="A1357" s="45"/>
      <c r="B1357" s="46"/>
      <c r="C1357" s="46"/>
      <c r="D1357" s="46"/>
      <c r="E1357" s="46"/>
      <c r="F1357" s="46"/>
      <c r="G1357" s="46"/>
      <c r="H1357" s="46"/>
      <c r="I1357" s="46"/>
      <c r="J1357" s="46"/>
      <c r="K1357" s="46"/>
      <c r="L1357" s="46"/>
      <c r="M1357" s="46"/>
      <c r="N1357" s="46"/>
      <c r="O1357" s="46"/>
      <c r="P1357" s="46"/>
      <c r="Q1357" s="46"/>
      <c r="R1357" s="46"/>
      <c r="S1357" s="46"/>
      <c r="T1357" s="46"/>
      <c r="U1357" s="46"/>
      <c r="V1357" s="46"/>
      <c r="W1357" s="46"/>
      <c r="X1357" s="46"/>
    </row>
    <row r="1358" spans="1:24" x14ac:dyDescent="0.2">
      <c r="A1358" s="45"/>
      <c r="B1358" s="46"/>
      <c r="C1358" s="46"/>
      <c r="D1358" s="46"/>
      <c r="E1358" s="46"/>
      <c r="F1358" s="46"/>
      <c r="G1358" s="46"/>
      <c r="H1358" s="46"/>
      <c r="I1358" s="46"/>
      <c r="J1358" s="46"/>
      <c r="K1358" s="46"/>
      <c r="L1358" s="46"/>
      <c r="M1358" s="46"/>
      <c r="N1358" s="46"/>
      <c r="O1358" s="46"/>
      <c r="P1358" s="46"/>
      <c r="Q1358" s="46"/>
      <c r="R1358" s="46"/>
      <c r="S1358" s="46"/>
      <c r="T1358" s="46"/>
      <c r="U1358" s="46"/>
      <c r="V1358" s="46"/>
      <c r="W1358" s="46"/>
      <c r="X1358" s="46"/>
    </row>
    <row r="1359" spans="1:24" x14ac:dyDescent="0.2">
      <c r="A1359" s="45"/>
      <c r="B1359" s="46"/>
      <c r="C1359" s="46"/>
      <c r="D1359" s="46"/>
      <c r="E1359" s="46"/>
      <c r="F1359" s="46"/>
      <c r="G1359" s="46"/>
      <c r="H1359" s="46"/>
      <c r="I1359" s="46"/>
      <c r="J1359" s="46"/>
      <c r="K1359" s="46"/>
      <c r="L1359" s="46"/>
      <c r="M1359" s="46"/>
      <c r="N1359" s="46"/>
      <c r="O1359" s="46"/>
      <c r="P1359" s="46"/>
      <c r="Q1359" s="46"/>
      <c r="R1359" s="46"/>
      <c r="S1359" s="46"/>
      <c r="T1359" s="46"/>
      <c r="U1359" s="46"/>
      <c r="V1359" s="46"/>
      <c r="W1359" s="46"/>
      <c r="X1359" s="46"/>
    </row>
    <row r="1360" spans="1:24" x14ac:dyDescent="0.2">
      <c r="A1360" s="45"/>
      <c r="B1360" s="46"/>
      <c r="C1360" s="46"/>
      <c r="D1360" s="46"/>
      <c r="E1360" s="46"/>
      <c r="F1360" s="46"/>
      <c r="G1360" s="46"/>
      <c r="H1360" s="46"/>
      <c r="I1360" s="46"/>
      <c r="J1360" s="46"/>
      <c r="K1360" s="46"/>
      <c r="L1360" s="46"/>
      <c r="M1360" s="46"/>
      <c r="N1360" s="46"/>
      <c r="O1360" s="46"/>
      <c r="P1360" s="46"/>
      <c r="Q1360" s="46"/>
      <c r="R1360" s="46"/>
      <c r="S1360" s="46"/>
      <c r="T1360" s="46"/>
      <c r="U1360" s="46"/>
      <c r="V1360" s="46"/>
      <c r="W1360" s="46"/>
      <c r="X1360" s="46"/>
    </row>
    <row r="1361" spans="1:24" x14ac:dyDescent="0.2">
      <c r="A1361" s="45"/>
      <c r="B1361" s="46"/>
      <c r="C1361" s="46"/>
      <c r="D1361" s="46"/>
      <c r="E1361" s="46"/>
      <c r="F1361" s="46"/>
      <c r="G1361" s="46"/>
      <c r="H1361" s="46"/>
      <c r="I1361" s="46"/>
      <c r="J1361" s="46"/>
      <c r="K1361" s="46"/>
      <c r="L1361" s="46"/>
      <c r="M1361" s="46"/>
      <c r="N1361" s="46"/>
      <c r="O1361" s="46"/>
      <c r="P1361" s="46"/>
      <c r="Q1361" s="46"/>
      <c r="R1361" s="46"/>
      <c r="S1361" s="46"/>
      <c r="T1361" s="46"/>
      <c r="U1361" s="46"/>
      <c r="V1361" s="46"/>
      <c r="W1361" s="46"/>
      <c r="X1361" s="46"/>
    </row>
    <row r="1362" spans="1:24" x14ac:dyDescent="0.2">
      <c r="A1362" s="45"/>
      <c r="B1362" s="46"/>
      <c r="C1362" s="46"/>
      <c r="D1362" s="46"/>
      <c r="E1362" s="46"/>
      <c r="F1362" s="46"/>
      <c r="G1362" s="46"/>
      <c r="H1362" s="46"/>
      <c r="I1362" s="46"/>
      <c r="J1362" s="46"/>
      <c r="K1362" s="46"/>
      <c r="L1362" s="46"/>
      <c r="M1362" s="46"/>
      <c r="N1362" s="46"/>
      <c r="O1362" s="46"/>
      <c r="P1362" s="46"/>
      <c r="Q1362" s="46"/>
      <c r="R1362" s="46"/>
      <c r="S1362" s="46"/>
      <c r="T1362" s="46"/>
      <c r="U1362" s="46"/>
      <c r="V1362" s="46"/>
      <c r="W1362" s="46"/>
      <c r="X1362" s="46"/>
    </row>
    <row r="1363" spans="1:24" x14ac:dyDescent="0.2">
      <c r="A1363" s="45"/>
      <c r="B1363" s="46"/>
      <c r="C1363" s="46"/>
      <c r="D1363" s="46"/>
      <c r="E1363" s="46"/>
      <c r="F1363" s="46"/>
      <c r="G1363" s="46"/>
      <c r="H1363" s="46"/>
      <c r="I1363" s="46"/>
      <c r="J1363" s="46"/>
      <c r="K1363" s="46"/>
      <c r="L1363" s="46"/>
      <c r="M1363" s="46"/>
      <c r="N1363" s="46"/>
      <c r="O1363" s="46"/>
      <c r="P1363" s="46"/>
      <c r="Q1363" s="46"/>
      <c r="R1363" s="46"/>
      <c r="S1363" s="46"/>
      <c r="T1363" s="46"/>
      <c r="U1363" s="46"/>
      <c r="V1363" s="46"/>
      <c r="W1363" s="46"/>
      <c r="X1363" s="46"/>
    </row>
    <row r="1364" spans="1:24" x14ac:dyDescent="0.2">
      <c r="A1364" s="45"/>
      <c r="B1364" s="46"/>
      <c r="C1364" s="46"/>
      <c r="D1364" s="46"/>
      <c r="E1364" s="46"/>
      <c r="F1364" s="46"/>
      <c r="G1364" s="46"/>
      <c r="H1364" s="46"/>
      <c r="I1364" s="46"/>
      <c r="J1364" s="46"/>
      <c r="K1364" s="46"/>
      <c r="L1364" s="46"/>
      <c r="M1364" s="46"/>
      <c r="N1364" s="46"/>
      <c r="O1364" s="46"/>
      <c r="P1364" s="46"/>
      <c r="Q1364" s="46"/>
      <c r="R1364" s="46"/>
      <c r="S1364" s="46"/>
      <c r="T1364" s="46"/>
      <c r="U1364" s="46"/>
      <c r="V1364" s="46"/>
      <c r="W1364" s="46"/>
      <c r="X1364" s="46"/>
    </row>
    <row r="1365" spans="1:24" x14ac:dyDescent="0.2">
      <c r="A1365" s="45"/>
      <c r="B1365" s="46"/>
      <c r="C1365" s="46"/>
      <c r="D1365" s="46"/>
      <c r="E1365" s="46"/>
      <c r="F1365" s="46"/>
      <c r="G1365" s="46"/>
      <c r="H1365" s="46"/>
      <c r="I1365" s="46"/>
      <c r="J1365" s="46"/>
      <c r="K1365" s="46"/>
      <c r="L1365" s="46"/>
      <c r="M1365" s="46"/>
      <c r="N1365" s="46"/>
      <c r="O1365" s="46"/>
      <c r="P1365" s="46"/>
      <c r="Q1365" s="46"/>
      <c r="R1365" s="46"/>
      <c r="S1365" s="46"/>
      <c r="T1365" s="46"/>
      <c r="U1365" s="46"/>
      <c r="V1365" s="46"/>
      <c r="W1365" s="46"/>
      <c r="X1365" s="46"/>
    </row>
    <row r="1366" spans="1:24" x14ac:dyDescent="0.2">
      <c r="A1366" s="45"/>
      <c r="B1366" s="46"/>
      <c r="C1366" s="46"/>
      <c r="D1366" s="46"/>
      <c r="E1366" s="46"/>
      <c r="F1366" s="46"/>
      <c r="G1366" s="46"/>
      <c r="H1366" s="46"/>
      <c r="I1366" s="46"/>
      <c r="J1366" s="46"/>
      <c r="K1366" s="46"/>
      <c r="L1366" s="46"/>
      <c r="M1366" s="46"/>
      <c r="N1366" s="46"/>
      <c r="O1366" s="46"/>
      <c r="P1366" s="46"/>
      <c r="Q1366" s="46"/>
      <c r="R1366" s="46"/>
      <c r="S1366" s="46"/>
      <c r="T1366" s="46"/>
      <c r="U1366" s="46"/>
      <c r="V1366" s="46"/>
      <c r="W1366" s="46"/>
      <c r="X1366" s="46"/>
    </row>
    <row r="1367" spans="1:24" x14ac:dyDescent="0.2">
      <c r="A1367" s="45"/>
      <c r="B1367" s="46"/>
      <c r="C1367" s="46"/>
      <c r="D1367" s="46"/>
      <c r="E1367" s="46"/>
      <c r="F1367" s="46"/>
      <c r="G1367" s="46"/>
      <c r="H1367" s="46"/>
      <c r="I1367" s="46"/>
      <c r="J1367" s="46"/>
      <c r="K1367" s="46"/>
      <c r="L1367" s="46"/>
      <c r="M1367" s="46"/>
      <c r="N1367" s="46"/>
      <c r="O1367" s="46"/>
      <c r="P1367" s="46"/>
      <c r="Q1367" s="46"/>
      <c r="R1367" s="46"/>
      <c r="S1367" s="46"/>
      <c r="T1367" s="46"/>
      <c r="U1367" s="46"/>
      <c r="V1367" s="46"/>
      <c r="W1367" s="46"/>
      <c r="X1367" s="46"/>
    </row>
    <row r="1368" spans="1:24" x14ac:dyDescent="0.2">
      <c r="A1368" s="45"/>
      <c r="B1368" s="46"/>
      <c r="C1368" s="46"/>
      <c r="D1368" s="46"/>
      <c r="E1368" s="46"/>
      <c r="F1368" s="46"/>
      <c r="G1368" s="46"/>
      <c r="H1368" s="46"/>
      <c r="I1368" s="46"/>
      <c r="J1368" s="46"/>
      <c r="K1368" s="46"/>
      <c r="L1368" s="46"/>
      <c r="M1368" s="46"/>
      <c r="N1368" s="46"/>
      <c r="O1368" s="46"/>
      <c r="P1368" s="46"/>
      <c r="Q1368" s="46"/>
      <c r="R1368" s="46"/>
      <c r="S1368" s="46"/>
      <c r="T1368" s="46"/>
      <c r="U1368" s="46"/>
      <c r="V1368" s="46"/>
      <c r="W1368" s="46"/>
      <c r="X1368" s="46"/>
    </row>
    <row r="1369" spans="1:24" x14ac:dyDescent="0.2">
      <c r="A1369" s="45"/>
      <c r="B1369" s="46"/>
      <c r="C1369" s="46"/>
      <c r="D1369" s="46"/>
      <c r="E1369" s="46"/>
      <c r="F1369" s="46"/>
      <c r="G1369" s="46"/>
      <c r="H1369" s="46"/>
      <c r="I1369" s="46"/>
      <c r="J1369" s="46"/>
      <c r="K1369" s="46"/>
      <c r="L1369" s="46"/>
      <c r="M1369" s="46"/>
      <c r="N1369" s="46"/>
      <c r="O1369" s="46"/>
      <c r="P1369" s="46"/>
      <c r="Q1369" s="46"/>
      <c r="R1369" s="46"/>
      <c r="S1369" s="46"/>
      <c r="T1369" s="46"/>
      <c r="U1369" s="46"/>
      <c r="V1369" s="46"/>
      <c r="W1369" s="46"/>
      <c r="X1369" s="46"/>
    </row>
    <row r="1370" spans="1:24" x14ac:dyDescent="0.2">
      <c r="A1370" s="45"/>
      <c r="B1370" s="46"/>
      <c r="C1370" s="46"/>
      <c r="D1370" s="46"/>
      <c r="E1370" s="46"/>
      <c r="F1370" s="46"/>
      <c r="G1370" s="46"/>
      <c r="H1370" s="46"/>
      <c r="I1370" s="46"/>
      <c r="J1370" s="46"/>
      <c r="K1370" s="46"/>
      <c r="L1370" s="46"/>
      <c r="M1370" s="46"/>
      <c r="N1370" s="46"/>
      <c r="O1370" s="46"/>
      <c r="P1370" s="46"/>
      <c r="Q1370" s="46"/>
      <c r="R1370" s="46"/>
      <c r="S1370" s="46"/>
      <c r="T1370" s="46"/>
      <c r="U1370" s="46"/>
      <c r="V1370" s="46"/>
      <c r="W1370" s="46"/>
      <c r="X1370" s="46"/>
    </row>
    <row r="1371" spans="1:24" x14ac:dyDescent="0.2">
      <c r="A1371" s="45"/>
      <c r="B1371" s="46"/>
      <c r="C1371" s="46"/>
      <c r="D1371" s="46"/>
      <c r="E1371" s="46"/>
      <c r="F1371" s="46"/>
      <c r="G1371" s="46"/>
      <c r="H1371" s="46"/>
      <c r="I1371" s="46"/>
      <c r="J1371" s="46"/>
      <c r="K1371" s="46"/>
      <c r="L1371" s="46"/>
      <c r="M1371" s="46"/>
      <c r="N1371" s="46"/>
      <c r="O1371" s="46"/>
      <c r="P1371" s="46"/>
      <c r="Q1371" s="46"/>
      <c r="R1371" s="46"/>
      <c r="S1371" s="46"/>
      <c r="T1371" s="46"/>
      <c r="U1371" s="46"/>
      <c r="V1371" s="46"/>
      <c r="W1371" s="46"/>
      <c r="X1371" s="46"/>
    </row>
    <row r="1372" spans="1:24" x14ac:dyDescent="0.2">
      <c r="A1372" s="45"/>
      <c r="B1372" s="46"/>
      <c r="C1372" s="46"/>
      <c r="D1372" s="46"/>
      <c r="E1372" s="46"/>
      <c r="F1372" s="46"/>
      <c r="G1372" s="46"/>
      <c r="H1372" s="46"/>
      <c r="I1372" s="46"/>
      <c r="J1372" s="46"/>
      <c r="K1372" s="46"/>
      <c r="L1372" s="46"/>
      <c r="M1372" s="46"/>
      <c r="N1372" s="46"/>
      <c r="O1372" s="46"/>
      <c r="P1372" s="46"/>
      <c r="Q1372" s="46"/>
      <c r="R1372" s="46"/>
      <c r="S1372" s="46"/>
      <c r="T1372" s="46"/>
      <c r="U1372" s="46"/>
      <c r="V1372" s="46"/>
      <c r="W1372" s="46"/>
      <c r="X1372" s="46"/>
    </row>
    <row r="1373" spans="1:24" x14ac:dyDescent="0.2">
      <c r="A1373" s="45"/>
      <c r="B1373" s="46"/>
      <c r="C1373" s="46"/>
      <c r="D1373" s="46"/>
      <c r="E1373" s="46"/>
      <c r="F1373" s="46"/>
      <c r="G1373" s="46"/>
      <c r="H1373" s="46"/>
      <c r="I1373" s="46"/>
      <c r="J1373" s="46"/>
      <c r="K1373" s="46"/>
      <c r="L1373" s="46"/>
      <c r="M1373" s="46"/>
      <c r="N1373" s="46"/>
      <c r="O1373" s="46"/>
      <c r="P1373" s="46"/>
      <c r="Q1373" s="46"/>
      <c r="R1373" s="46"/>
      <c r="S1373" s="46"/>
      <c r="T1373" s="46"/>
      <c r="U1373" s="46"/>
      <c r="V1373" s="46"/>
      <c r="W1373" s="46"/>
      <c r="X1373" s="46"/>
    </row>
    <row r="1374" spans="1:24" x14ac:dyDescent="0.2">
      <c r="A1374" s="45"/>
      <c r="B1374" s="46"/>
      <c r="C1374" s="46"/>
      <c r="D1374" s="46"/>
      <c r="E1374" s="46"/>
      <c r="F1374" s="46"/>
      <c r="G1374" s="46"/>
      <c r="H1374" s="46"/>
      <c r="I1374" s="46"/>
      <c r="J1374" s="46"/>
      <c r="K1374" s="46"/>
      <c r="L1374" s="46"/>
      <c r="M1374" s="46"/>
      <c r="N1374" s="46"/>
      <c r="O1374" s="46"/>
      <c r="P1374" s="46"/>
      <c r="Q1374" s="46"/>
      <c r="R1374" s="46"/>
      <c r="S1374" s="46"/>
      <c r="T1374" s="46"/>
      <c r="U1374" s="46"/>
      <c r="V1374" s="46"/>
      <c r="W1374" s="46"/>
      <c r="X1374" s="46"/>
    </row>
    <row r="1375" spans="1:24" x14ac:dyDescent="0.2">
      <c r="A1375" s="45"/>
      <c r="B1375" s="46"/>
      <c r="C1375" s="46"/>
      <c r="D1375" s="46"/>
      <c r="E1375" s="46"/>
      <c r="F1375" s="46"/>
      <c r="G1375" s="46"/>
      <c r="H1375" s="46"/>
      <c r="I1375" s="46"/>
      <c r="J1375" s="46"/>
      <c r="K1375" s="46"/>
      <c r="L1375" s="46"/>
      <c r="M1375" s="46"/>
      <c r="N1375" s="46"/>
      <c r="O1375" s="46"/>
      <c r="P1375" s="46"/>
      <c r="Q1375" s="46"/>
      <c r="R1375" s="46"/>
      <c r="S1375" s="46"/>
      <c r="T1375" s="46"/>
      <c r="U1375" s="46"/>
      <c r="V1375" s="46"/>
      <c r="W1375" s="46"/>
      <c r="X1375" s="46"/>
    </row>
    <row r="1376" spans="1:24" x14ac:dyDescent="0.2">
      <c r="A1376" s="45"/>
      <c r="B1376" s="46"/>
      <c r="C1376" s="46"/>
      <c r="D1376" s="46"/>
      <c r="E1376" s="46"/>
      <c r="F1376" s="46"/>
      <c r="G1376" s="46"/>
      <c r="H1376" s="46"/>
      <c r="I1376" s="46"/>
      <c r="J1376" s="46"/>
      <c r="K1376" s="46"/>
      <c r="L1376" s="46"/>
      <c r="M1376" s="46"/>
      <c r="N1376" s="46"/>
      <c r="O1376" s="46"/>
      <c r="P1376" s="46"/>
      <c r="Q1376" s="46"/>
      <c r="R1376" s="46"/>
      <c r="S1376" s="46"/>
      <c r="T1376" s="46"/>
      <c r="U1376" s="46"/>
      <c r="V1376" s="46"/>
      <c r="W1376" s="46"/>
      <c r="X1376" s="46"/>
    </row>
    <row r="1377" spans="1:24" x14ac:dyDescent="0.2">
      <c r="A1377" s="45"/>
      <c r="B1377" s="46"/>
      <c r="C1377" s="46"/>
      <c r="D1377" s="46"/>
      <c r="E1377" s="46"/>
      <c r="F1377" s="46"/>
      <c r="G1377" s="46"/>
      <c r="H1377" s="46"/>
      <c r="I1377" s="46"/>
      <c r="J1377" s="46"/>
      <c r="K1377" s="46"/>
      <c r="L1377" s="46"/>
      <c r="M1377" s="46"/>
      <c r="N1377" s="46"/>
      <c r="O1377" s="46"/>
      <c r="P1377" s="46"/>
      <c r="Q1377" s="46"/>
      <c r="R1377" s="46"/>
      <c r="S1377" s="46"/>
      <c r="T1377" s="46"/>
      <c r="U1377" s="46"/>
      <c r="V1377" s="46"/>
      <c r="W1377" s="46"/>
      <c r="X1377" s="46"/>
    </row>
    <row r="1378" spans="1:24" x14ac:dyDescent="0.2">
      <c r="A1378" s="45"/>
      <c r="B1378" s="46"/>
      <c r="C1378" s="46"/>
      <c r="D1378" s="46"/>
      <c r="E1378" s="46"/>
      <c r="F1378" s="46"/>
      <c r="G1378" s="46"/>
      <c r="H1378" s="46"/>
      <c r="I1378" s="46"/>
      <c r="J1378" s="46"/>
      <c r="K1378" s="46"/>
      <c r="L1378" s="46"/>
      <c r="M1378" s="46"/>
      <c r="N1378" s="46"/>
      <c r="O1378" s="46"/>
      <c r="P1378" s="46"/>
      <c r="Q1378" s="46"/>
      <c r="R1378" s="46"/>
      <c r="S1378" s="46"/>
      <c r="T1378" s="46"/>
      <c r="U1378" s="46"/>
      <c r="V1378" s="46"/>
      <c r="W1378" s="46"/>
      <c r="X1378" s="46"/>
    </row>
    <row r="1379" spans="1:24" x14ac:dyDescent="0.2">
      <c r="A1379" s="45"/>
      <c r="B1379" s="46"/>
      <c r="C1379" s="46"/>
      <c r="D1379" s="46"/>
      <c r="E1379" s="46"/>
      <c r="F1379" s="46"/>
      <c r="G1379" s="46"/>
      <c r="H1379" s="46"/>
      <c r="I1379" s="46"/>
      <c r="J1379" s="46"/>
      <c r="K1379" s="46"/>
      <c r="L1379" s="46"/>
      <c r="M1379" s="46"/>
      <c r="N1379" s="46"/>
      <c r="O1379" s="46"/>
      <c r="P1379" s="46"/>
      <c r="Q1379" s="46"/>
      <c r="R1379" s="46"/>
      <c r="S1379" s="46"/>
      <c r="T1379" s="46"/>
      <c r="U1379" s="46"/>
      <c r="V1379" s="46"/>
      <c r="W1379" s="46"/>
      <c r="X1379" s="46"/>
    </row>
    <row r="1380" spans="1:24" x14ac:dyDescent="0.2">
      <c r="A1380" s="45"/>
      <c r="B1380" s="46"/>
      <c r="C1380" s="46"/>
      <c r="D1380" s="46"/>
      <c r="E1380" s="46"/>
      <c r="F1380" s="46"/>
      <c r="G1380" s="46"/>
      <c r="H1380" s="46"/>
      <c r="I1380" s="46"/>
      <c r="J1380" s="46"/>
      <c r="K1380" s="46"/>
      <c r="L1380" s="46"/>
      <c r="M1380" s="46"/>
      <c r="N1380" s="46"/>
      <c r="O1380" s="46"/>
      <c r="P1380" s="46"/>
      <c r="Q1380" s="46"/>
      <c r="R1380" s="46"/>
      <c r="S1380" s="46"/>
      <c r="T1380" s="46"/>
      <c r="U1380" s="46"/>
      <c r="V1380" s="46"/>
      <c r="W1380" s="46"/>
      <c r="X1380" s="46"/>
    </row>
    <row r="1381" spans="1:24" x14ac:dyDescent="0.2">
      <c r="A1381" s="45"/>
      <c r="B1381" s="46"/>
      <c r="C1381" s="46"/>
      <c r="D1381" s="46"/>
      <c r="E1381" s="46"/>
      <c r="F1381" s="46"/>
      <c r="G1381" s="46"/>
      <c r="H1381" s="46"/>
      <c r="I1381" s="46"/>
      <c r="J1381" s="46"/>
      <c r="K1381" s="46"/>
      <c r="L1381" s="46"/>
      <c r="M1381" s="46"/>
      <c r="N1381" s="46"/>
      <c r="O1381" s="46"/>
      <c r="P1381" s="46"/>
      <c r="Q1381" s="46"/>
      <c r="R1381" s="46"/>
      <c r="S1381" s="46"/>
      <c r="T1381" s="46"/>
      <c r="U1381" s="46"/>
      <c r="V1381" s="46"/>
      <c r="W1381" s="46"/>
      <c r="X1381" s="46"/>
    </row>
    <row r="1382" spans="1:24" x14ac:dyDescent="0.2">
      <c r="A1382" s="45"/>
      <c r="B1382" s="46"/>
      <c r="C1382" s="46"/>
      <c r="D1382" s="46"/>
      <c r="E1382" s="46"/>
      <c r="F1382" s="46"/>
      <c r="G1382" s="46"/>
      <c r="H1382" s="46"/>
      <c r="I1382" s="46"/>
      <c r="J1382" s="46"/>
      <c r="K1382" s="46"/>
      <c r="L1382" s="46"/>
      <c r="M1382" s="46"/>
      <c r="N1382" s="46"/>
      <c r="O1382" s="46"/>
      <c r="P1382" s="46"/>
      <c r="Q1382" s="46"/>
      <c r="R1382" s="46"/>
      <c r="S1382" s="46"/>
      <c r="T1382" s="46"/>
      <c r="U1382" s="46"/>
      <c r="V1382" s="46"/>
      <c r="W1382" s="46"/>
      <c r="X1382" s="46"/>
    </row>
    <row r="1383" spans="1:24" x14ac:dyDescent="0.2">
      <c r="A1383" s="45"/>
      <c r="B1383" s="46"/>
      <c r="C1383" s="46"/>
      <c r="D1383" s="46"/>
      <c r="E1383" s="46"/>
      <c r="F1383" s="46"/>
      <c r="G1383" s="46"/>
      <c r="H1383" s="46"/>
      <c r="I1383" s="46"/>
      <c r="J1383" s="46"/>
      <c r="K1383" s="46"/>
      <c r="L1383" s="46"/>
      <c r="M1383" s="46"/>
      <c r="N1383" s="46"/>
      <c r="O1383" s="46"/>
      <c r="P1383" s="46"/>
      <c r="Q1383" s="46"/>
      <c r="R1383" s="46"/>
      <c r="S1383" s="46"/>
      <c r="T1383" s="46"/>
      <c r="U1383" s="46"/>
      <c r="V1383" s="46"/>
      <c r="W1383" s="46"/>
      <c r="X1383" s="46"/>
    </row>
    <row r="1384" spans="1:24" x14ac:dyDescent="0.2">
      <c r="A1384" s="45"/>
      <c r="B1384" s="46"/>
      <c r="C1384" s="46"/>
      <c r="D1384" s="46"/>
      <c r="E1384" s="46"/>
      <c r="F1384" s="46"/>
      <c r="G1384" s="46"/>
      <c r="H1384" s="46"/>
      <c r="I1384" s="46"/>
      <c r="J1384" s="46"/>
      <c r="K1384" s="46"/>
      <c r="L1384" s="46"/>
      <c r="M1384" s="46"/>
      <c r="N1384" s="46"/>
      <c r="O1384" s="46"/>
      <c r="P1384" s="46"/>
      <c r="Q1384" s="46"/>
      <c r="R1384" s="46"/>
      <c r="S1384" s="46"/>
      <c r="T1384" s="46"/>
      <c r="U1384" s="46"/>
      <c r="V1384" s="46"/>
      <c r="W1384" s="46"/>
      <c r="X1384" s="46"/>
    </row>
    <row r="1385" spans="1:24" x14ac:dyDescent="0.2">
      <c r="A1385" s="45"/>
      <c r="B1385" s="46"/>
      <c r="C1385" s="46"/>
      <c r="D1385" s="46"/>
      <c r="E1385" s="46"/>
      <c r="F1385" s="46"/>
      <c r="G1385" s="46"/>
      <c r="H1385" s="46"/>
      <c r="I1385" s="46"/>
      <c r="J1385" s="46"/>
      <c r="K1385" s="46"/>
      <c r="L1385" s="46"/>
      <c r="M1385" s="46"/>
      <c r="N1385" s="46"/>
      <c r="O1385" s="46"/>
      <c r="P1385" s="46"/>
      <c r="Q1385" s="46"/>
      <c r="R1385" s="46"/>
      <c r="S1385" s="46"/>
      <c r="T1385" s="46"/>
      <c r="U1385" s="46"/>
      <c r="V1385" s="46"/>
      <c r="W1385" s="46"/>
      <c r="X1385" s="46"/>
    </row>
    <row r="1386" spans="1:24" x14ac:dyDescent="0.2">
      <c r="A1386" s="45"/>
      <c r="B1386" s="46"/>
      <c r="C1386" s="46"/>
      <c r="D1386" s="46"/>
      <c r="E1386" s="46"/>
      <c r="F1386" s="46"/>
      <c r="G1386" s="46"/>
      <c r="H1386" s="46"/>
      <c r="I1386" s="46"/>
      <c r="J1386" s="46"/>
      <c r="K1386" s="46"/>
      <c r="L1386" s="46"/>
      <c r="M1386" s="46"/>
      <c r="N1386" s="46"/>
      <c r="O1386" s="46"/>
      <c r="P1386" s="46"/>
      <c r="Q1386" s="46"/>
      <c r="R1386" s="46"/>
      <c r="S1386" s="46"/>
      <c r="T1386" s="46"/>
      <c r="U1386" s="46"/>
      <c r="V1386" s="46"/>
      <c r="W1386" s="46"/>
      <c r="X1386" s="46"/>
    </row>
    <row r="1387" spans="1:24" x14ac:dyDescent="0.2">
      <c r="A1387" s="45"/>
      <c r="B1387" s="46"/>
      <c r="C1387" s="46"/>
      <c r="D1387" s="46"/>
      <c r="E1387" s="46"/>
      <c r="F1387" s="46"/>
      <c r="G1387" s="46"/>
      <c r="H1387" s="46"/>
      <c r="I1387" s="46"/>
      <c r="J1387" s="46"/>
      <c r="K1387" s="46"/>
      <c r="L1387" s="46"/>
      <c r="M1387" s="46"/>
      <c r="N1387" s="46"/>
      <c r="O1387" s="46"/>
      <c r="P1387" s="46"/>
      <c r="Q1387" s="46"/>
      <c r="R1387" s="46"/>
      <c r="S1387" s="46"/>
      <c r="T1387" s="46"/>
      <c r="U1387" s="46"/>
      <c r="V1387" s="46"/>
      <c r="W1387" s="46"/>
      <c r="X1387" s="46"/>
    </row>
    <row r="1388" spans="1:24" x14ac:dyDescent="0.2">
      <c r="A1388" s="45"/>
      <c r="B1388" s="46"/>
      <c r="C1388" s="46"/>
      <c r="D1388" s="46"/>
      <c r="E1388" s="46"/>
      <c r="F1388" s="46"/>
      <c r="G1388" s="46"/>
      <c r="H1388" s="46"/>
      <c r="I1388" s="46"/>
      <c r="J1388" s="46"/>
      <c r="K1388" s="46"/>
      <c r="L1388" s="46"/>
      <c r="M1388" s="46"/>
      <c r="N1388" s="46"/>
      <c r="O1388" s="46"/>
      <c r="P1388" s="46"/>
      <c r="Q1388" s="46"/>
      <c r="R1388" s="46"/>
      <c r="S1388" s="46"/>
      <c r="T1388" s="46"/>
      <c r="U1388" s="46"/>
      <c r="V1388" s="46"/>
      <c r="W1388" s="46"/>
      <c r="X1388" s="46"/>
    </row>
    <row r="1389" spans="1:24" x14ac:dyDescent="0.2">
      <c r="A1389" s="45"/>
      <c r="B1389" s="46"/>
      <c r="C1389" s="46"/>
      <c r="D1389" s="46"/>
      <c r="E1389" s="46"/>
      <c r="F1389" s="46"/>
      <c r="G1389" s="46"/>
      <c r="H1389" s="46"/>
      <c r="I1389" s="46"/>
      <c r="J1389" s="46"/>
      <c r="K1389" s="46"/>
      <c r="L1389" s="46"/>
      <c r="M1389" s="46"/>
      <c r="N1389" s="46"/>
      <c r="O1389" s="46"/>
      <c r="P1389" s="46"/>
      <c r="Q1389" s="46"/>
      <c r="R1389" s="46"/>
      <c r="S1389" s="46"/>
      <c r="T1389" s="46"/>
      <c r="U1389" s="46"/>
      <c r="V1389" s="46"/>
      <c r="W1389" s="46"/>
      <c r="X1389" s="46"/>
    </row>
    <row r="1390" spans="1:24" x14ac:dyDescent="0.2">
      <c r="A1390" s="45"/>
      <c r="B1390" s="46"/>
      <c r="C1390" s="46"/>
      <c r="D1390" s="46"/>
      <c r="E1390" s="46"/>
      <c r="F1390" s="46"/>
      <c r="G1390" s="46"/>
      <c r="H1390" s="46"/>
      <c r="I1390" s="46"/>
      <c r="J1390" s="46"/>
      <c r="K1390" s="46"/>
      <c r="L1390" s="46"/>
      <c r="M1390" s="46"/>
      <c r="N1390" s="46"/>
      <c r="O1390" s="46"/>
      <c r="P1390" s="46"/>
      <c r="Q1390" s="46"/>
      <c r="R1390" s="46"/>
      <c r="S1390" s="46"/>
      <c r="T1390" s="46"/>
      <c r="U1390" s="46"/>
      <c r="V1390" s="46"/>
      <c r="W1390" s="46"/>
      <c r="X1390" s="46"/>
    </row>
    <row r="1391" spans="1:24" x14ac:dyDescent="0.2">
      <c r="A1391" s="45"/>
      <c r="B1391" s="46"/>
      <c r="C1391" s="46"/>
      <c r="D1391" s="46"/>
      <c r="E1391" s="46"/>
      <c r="F1391" s="46"/>
      <c r="G1391" s="46"/>
      <c r="H1391" s="46"/>
      <c r="I1391" s="46"/>
      <c r="J1391" s="46"/>
      <c r="K1391" s="46"/>
      <c r="L1391" s="46"/>
      <c r="M1391" s="46"/>
      <c r="N1391" s="46"/>
      <c r="O1391" s="46"/>
      <c r="P1391" s="46"/>
      <c r="Q1391" s="46"/>
      <c r="R1391" s="46"/>
      <c r="S1391" s="46"/>
      <c r="T1391" s="46"/>
      <c r="U1391" s="46"/>
      <c r="V1391" s="46"/>
      <c r="W1391" s="46"/>
      <c r="X1391" s="46"/>
    </row>
    <row r="1392" spans="1:24" x14ac:dyDescent="0.2">
      <c r="A1392" s="45"/>
      <c r="B1392" s="46"/>
      <c r="C1392" s="46"/>
      <c r="D1392" s="46"/>
      <c r="E1392" s="46"/>
      <c r="F1392" s="46"/>
      <c r="G1392" s="46"/>
      <c r="H1392" s="46"/>
      <c r="I1392" s="46"/>
      <c r="J1392" s="46"/>
      <c r="K1392" s="46"/>
      <c r="L1392" s="46"/>
      <c r="M1392" s="46"/>
      <c r="N1392" s="46"/>
      <c r="O1392" s="46"/>
      <c r="P1392" s="46"/>
      <c r="Q1392" s="46"/>
      <c r="R1392" s="46"/>
      <c r="S1392" s="46"/>
      <c r="T1392" s="46"/>
      <c r="U1392" s="46"/>
      <c r="V1392" s="46"/>
      <c r="W1392" s="46"/>
      <c r="X1392" s="46"/>
    </row>
    <row r="1393" spans="1:24" x14ac:dyDescent="0.2">
      <c r="A1393" s="45"/>
      <c r="B1393" s="46"/>
      <c r="C1393" s="46"/>
      <c r="D1393" s="46"/>
      <c r="E1393" s="46"/>
      <c r="F1393" s="46"/>
      <c r="G1393" s="46"/>
      <c r="H1393" s="46"/>
      <c r="I1393" s="46"/>
      <c r="J1393" s="46"/>
      <c r="K1393" s="46"/>
      <c r="L1393" s="46"/>
      <c r="M1393" s="46"/>
      <c r="N1393" s="46"/>
      <c r="O1393" s="46"/>
      <c r="P1393" s="46"/>
      <c r="Q1393" s="46"/>
      <c r="R1393" s="46"/>
      <c r="S1393" s="46"/>
      <c r="T1393" s="46"/>
      <c r="U1393" s="46"/>
      <c r="V1393" s="46"/>
      <c r="W1393" s="46"/>
      <c r="X1393" s="46"/>
    </row>
    <row r="1394" spans="1:24" x14ac:dyDescent="0.2">
      <c r="A1394" s="45"/>
      <c r="B1394" s="46"/>
      <c r="C1394" s="46"/>
      <c r="D1394" s="46"/>
      <c r="E1394" s="46"/>
      <c r="F1394" s="46"/>
      <c r="G1394" s="46"/>
      <c r="H1394" s="46"/>
      <c r="I1394" s="46"/>
      <c r="J1394" s="46"/>
      <c r="K1394" s="46"/>
      <c r="L1394" s="46"/>
      <c r="M1394" s="46"/>
      <c r="N1394" s="46"/>
      <c r="O1394" s="46"/>
      <c r="P1394" s="46"/>
      <c r="Q1394" s="46"/>
      <c r="R1394" s="46"/>
      <c r="S1394" s="46"/>
      <c r="T1394" s="46"/>
      <c r="U1394" s="46"/>
      <c r="V1394" s="46"/>
      <c r="W1394" s="46"/>
      <c r="X1394" s="46"/>
    </row>
    <row r="1395" spans="1:24" x14ac:dyDescent="0.2">
      <c r="A1395" s="45"/>
      <c r="B1395" s="46"/>
      <c r="C1395" s="46"/>
      <c r="D1395" s="46"/>
      <c r="E1395" s="46"/>
      <c r="F1395" s="46"/>
      <c r="G1395" s="46"/>
      <c r="H1395" s="46"/>
      <c r="I1395" s="46"/>
      <c r="J1395" s="46"/>
      <c r="K1395" s="46"/>
      <c r="L1395" s="46"/>
      <c r="M1395" s="46"/>
      <c r="N1395" s="46"/>
      <c r="O1395" s="46"/>
      <c r="P1395" s="46"/>
      <c r="Q1395" s="46"/>
      <c r="R1395" s="46"/>
      <c r="S1395" s="46"/>
      <c r="T1395" s="46"/>
      <c r="U1395" s="46"/>
      <c r="V1395" s="46"/>
      <c r="W1395" s="46"/>
      <c r="X1395" s="46"/>
    </row>
    <row r="1396" spans="1:24" x14ac:dyDescent="0.2">
      <c r="A1396" s="45"/>
      <c r="B1396" s="46"/>
      <c r="C1396" s="46"/>
      <c r="D1396" s="46"/>
      <c r="E1396" s="46"/>
      <c r="F1396" s="46"/>
      <c r="G1396" s="46"/>
      <c r="H1396" s="46"/>
      <c r="I1396" s="46"/>
      <c r="J1396" s="46"/>
      <c r="K1396" s="46"/>
      <c r="L1396" s="46"/>
      <c r="M1396" s="46"/>
      <c r="N1396" s="46"/>
      <c r="O1396" s="46"/>
      <c r="P1396" s="46"/>
      <c r="Q1396" s="46"/>
      <c r="R1396" s="46"/>
      <c r="S1396" s="46"/>
      <c r="T1396" s="46"/>
      <c r="U1396" s="46"/>
      <c r="V1396" s="46"/>
      <c r="W1396" s="46"/>
      <c r="X1396" s="46"/>
    </row>
    <row r="1397" spans="1:24" x14ac:dyDescent="0.2">
      <c r="A1397" s="45"/>
      <c r="B1397" s="46"/>
      <c r="C1397" s="46"/>
      <c r="D1397" s="46"/>
      <c r="E1397" s="46"/>
      <c r="F1397" s="46"/>
      <c r="G1397" s="46"/>
      <c r="H1397" s="46"/>
      <c r="I1397" s="46"/>
      <c r="J1397" s="46"/>
      <c r="K1397" s="46"/>
      <c r="L1397" s="46"/>
      <c r="M1397" s="46"/>
      <c r="N1397" s="46"/>
      <c r="O1397" s="46"/>
      <c r="P1397" s="46"/>
      <c r="Q1397" s="46"/>
      <c r="R1397" s="46"/>
      <c r="S1397" s="46"/>
      <c r="T1397" s="46"/>
      <c r="U1397" s="46"/>
      <c r="V1397" s="46"/>
      <c r="W1397" s="46"/>
      <c r="X1397" s="46"/>
    </row>
    <row r="1398" spans="1:24" x14ac:dyDescent="0.2">
      <c r="A1398" s="45"/>
      <c r="B1398" s="46"/>
      <c r="C1398" s="46"/>
      <c r="D1398" s="46"/>
      <c r="E1398" s="46"/>
      <c r="F1398" s="46"/>
      <c r="G1398" s="46"/>
      <c r="H1398" s="46"/>
      <c r="I1398" s="46"/>
      <c r="J1398" s="46"/>
      <c r="K1398" s="46"/>
      <c r="L1398" s="46"/>
      <c r="M1398" s="46"/>
      <c r="N1398" s="46"/>
      <c r="O1398" s="46"/>
      <c r="P1398" s="46"/>
      <c r="Q1398" s="46"/>
      <c r="R1398" s="46"/>
      <c r="S1398" s="46"/>
      <c r="T1398" s="46"/>
      <c r="U1398" s="46"/>
      <c r="V1398" s="46"/>
      <c r="W1398" s="46"/>
      <c r="X1398" s="46"/>
    </row>
    <row r="1399" spans="1:24" x14ac:dyDescent="0.2">
      <c r="A1399" s="45"/>
      <c r="B1399" s="46"/>
      <c r="C1399" s="46"/>
      <c r="D1399" s="46"/>
      <c r="E1399" s="46"/>
      <c r="F1399" s="46"/>
      <c r="G1399" s="46"/>
      <c r="H1399" s="46"/>
      <c r="I1399" s="46"/>
      <c r="J1399" s="46"/>
      <c r="K1399" s="46"/>
      <c r="L1399" s="46"/>
      <c r="M1399" s="46"/>
      <c r="N1399" s="46"/>
      <c r="O1399" s="46"/>
      <c r="P1399" s="46"/>
      <c r="Q1399" s="46"/>
      <c r="R1399" s="46"/>
      <c r="S1399" s="46"/>
      <c r="T1399" s="46"/>
      <c r="U1399" s="46"/>
      <c r="V1399" s="46"/>
      <c r="W1399" s="46"/>
      <c r="X1399" s="46"/>
    </row>
    <row r="1400" spans="1:24" x14ac:dyDescent="0.2">
      <c r="A1400" s="45"/>
      <c r="B1400" s="46"/>
      <c r="C1400" s="46"/>
      <c r="D1400" s="46"/>
      <c r="E1400" s="46"/>
      <c r="F1400" s="46"/>
      <c r="G1400" s="46"/>
      <c r="H1400" s="46"/>
      <c r="I1400" s="46"/>
      <c r="J1400" s="46"/>
      <c r="K1400" s="46"/>
      <c r="L1400" s="46"/>
      <c r="M1400" s="46"/>
      <c r="N1400" s="46"/>
      <c r="O1400" s="46"/>
      <c r="P1400" s="46"/>
      <c r="Q1400" s="46"/>
      <c r="R1400" s="46"/>
      <c r="S1400" s="46"/>
      <c r="T1400" s="46"/>
      <c r="U1400" s="46"/>
      <c r="V1400" s="46"/>
      <c r="W1400" s="46"/>
      <c r="X1400" s="46"/>
    </row>
    <row r="1401" spans="1:24" x14ac:dyDescent="0.2">
      <c r="A1401" s="45"/>
      <c r="B1401" s="46"/>
      <c r="C1401" s="46"/>
      <c r="D1401" s="46"/>
      <c r="E1401" s="46"/>
      <c r="F1401" s="46"/>
      <c r="G1401" s="46"/>
      <c r="H1401" s="46"/>
      <c r="I1401" s="46"/>
      <c r="J1401" s="46"/>
      <c r="K1401" s="46"/>
      <c r="L1401" s="46"/>
      <c r="M1401" s="46"/>
      <c r="N1401" s="46"/>
      <c r="O1401" s="46"/>
      <c r="P1401" s="46"/>
      <c r="Q1401" s="46"/>
      <c r="R1401" s="46"/>
      <c r="S1401" s="46"/>
      <c r="T1401" s="46"/>
      <c r="U1401" s="46"/>
      <c r="V1401" s="46"/>
      <c r="W1401" s="46"/>
      <c r="X1401" s="46"/>
    </row>
    <row r="1402" spans="1:24" x14ac:dyDescent="0.2">
      <c r="A1402" s="45"/>
      <c r="B1402" s="46"/>
      <c r="C1402" s="46"/>
      <c r="D1402" s="46"/>
      <c r="E1402" s="46"/>
      <c r="F1402" s="46"/>
      <c r="G1402" s="46"/>
      <c r="H1402" s="46"/>
      <c r="I1402" s="46"/>
      <c r="J1402" s="46"/>
      <c r="K1402" s="46"/>
      <c r="L1402" s="46"/>
      <c r="M1402" s="46"/>
      <c r="N1402" s="46"/>
      <c r="O1402" s="46"/>
      <c r="P1402" s="46"/>
      <c r="Q1402" s="46"/>
      <c r="R1402" s="46"/>
      <c r="S1402" s="46"/>
      <c r="T1402" s="46"/>
      <c r="U1402" s="46"/>
      <c r="V1402" s="46"/>
      <c r="W1402" s="46"/>
      <c r="X1402" s="46"/>
    </row>
    <row r="1403" spans="1:24" x14ac:dyDescent="0.2">
      <c r="A1403" s="45"/>
      <c r="B1403" s="46"/>
      <c r="C1403" s="46"/>
      <c r="D1403" s="46"/>
      <c r="E1403" s="46"/>
      <c r="F1403" s="46"/>
      <c r="G1403" s="46"/>
      <c r="H1403" s="46"/>
      <c r="I1403" s="46"/>
      <c r="J1403" s="46"/>
      <c r="K1403" s="46"/>
      <c r="L1403" s="46"/>
      <c r="M1403" s="46"/>
      <c r="N1403" s="46"/>
      <c r="O1403" s="46"/>
      <c r="P1403" s="46"/>
      <c r="Q1403" s="46"/>
      <c r="R1403" s="46"/>
      <c r="S1403" s="46"/>
      <c r="T1403" s="46"/>
      <c r="U1403" s="46"/>
      <c r="V1403" s="46"/>
      <c r="W1403" s="46"/>
      <c r="X1403" s="46"/>
    </row>
    <row r="1404" spans="1:24" x14ac:dyDescent="0.2">
      <c r="A1404" s="45"/>
      <c r="B1404" s="46"/>
      <c r="C1404" s="46"/>
      <c r="D1404" s="46"/>
      <c r="E1404" s="46"/>
      <c r="F1404" s="46"/>
      <c r="G1404" s="46"/>
      <c r="H1404" s="46"/>
      <c r="I1404" s="46"/>
      <c r="J1404" s="46"/>
      <c r="K1404" s="46"/>
      <c r="L1404" s="46"/>
      <c r="M1404" s="46"/>
      <c r="N1404" s="46"/>
      <c r="O1404" s="46"/>
      <c r="P1404" s="46"/>
      <c r="Q1404" s="46"/>
      <c r="R1404" s="46"/>
      <c r="S1404" s="46"/>
      <c r="T1404" s="46"/>
      <c r="U1404" s="46"/>
      <c r="V1404" s="46"/>
      <c r="W1404" s="46"/>
      <c r="X1404" s="46"/>
    </row>
    <row r="1405" spans="1:24" x14ac:dyDescent="0.2">
      <c r="A1405" s="45"/>
      <c r="B1405" s="46"/>
      <c r="C1405" s="46"/>
      <c r="D1405" s="46"/>
      <c r="E1405" s="46"/>
      <c r="F1405" s="46"/>
      <c r="G1405" s="46"/>
      <c r="H1405" s="46"/>
      <c r="I1405" s="46"/>
      <c r="J1405" s="46"/>
      <c r="K1405" s="46"/>
      <c r="L1405" s="46"/>
      <c r="M1405" s="46"/>
      <c r="N1405" s="46"/>
      <c r="O1405" s="46"/>
      <c r="P1405" s="46"/>
      <c r="Q1405" s="46"/>
      <c r="R1405" s="46"/>
      <c r="S1405" s="46"/>
      <c r="T1405" s="46"/>
      <c r="U1405" s="46"/>
      <c r="V1405" s="46"/>
      <c r="W1405" s="46"/>
      <c r="X1405" s="46"/>
    </row>
    <row r="1406" spans="1:24" x14ac:dyDescent="0.2">
      <c r="A1406" s="45"/>
      <c r="B1406" s="46"/>
      <c r="C1406" s="46"/>
      <c r="D1406" s="46"/>
      <c r="E1406" s="46"/>
      <c r="F1406" s="46"/>
      <c r="G1406" s="46"/>
      <c r="H1406" s="46"/>
      <c r="I1406" s="46"/>
      <c r="J1406" s="46"/>
      <c r="K1406" s="46"/>
      <c r="L1406" s="46"/>
      <c r="M1406" s="46"/>
      <c r="N1406" s="46"/>
      <c r="O1406" s="46"/>
      <c r="P1406" s="46"/>
      <c r="Q1406" s="46"/>
      <c r="R1406" s="46"/>
      <c r="S1406" s="46"/>
      <c r="T1406" s="46"/>
      <c r="U1406" s="46"/>
      <c r="V1406" s="46"/>
      <c r="W1406" s="46"/>
      <c r="X1406" s="46"/>
    </row>
    <row r="1407" spans="1:24" x14ac:dyDescent="0.2">
      <c r="A1407" s="45"/>
      <c r="B1407" s="46"/>
      <c r="C1407" s="46"/>
      <c r="D1407" s="46"/>
      <c r="E1407" s="46"/>
      <c r="F1407" s="46"/>
      <c r="G1407" s="46"/>
      <c r="H1407" s="46"/>
      <c r="I1407" s="46"/>
      <c r="J1407" s="46"/>
      <c r="K1407" s="46"/>
      <c r="L1407" s="46"/>
      <c r="M1407" s="46"/>
      <c r="N1407" s="46"/>
      <c r="O1407" s="46"/>
      <c r="P1407" s="46"/>
      <c r="Q1407" s="46"/>
      <c r="R1407" s="46"/>
      <c r="S1407" s="46"/>
      <c r="T1407" s="46"/>
      <c r="U1407" s="46"/>
      <c r="V1407" s="46"/>
      <c r="W1407" s="46"/>
      <c r="X1407" s="46"/>
    </row>
    <row r="1408" spans="1:24" x14ac:dyDescent="0.2">
      <c r="A1408" s="45"/>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row>
    <row r="1409" spans="1:24" x14ac:dyDescent="0.2">
      <c r="A1409" s="45"/>
      <c r="B1409" s="46"/>
      <c r="C1409" s="46"/>
      <c r="D1409" s="46"/>
      <c r="E1409" s="46"/>
      <c r="F1409" s="46"/>
      <c r="G1409" s="46"/>
      <c r="H1409" s="46"/>
      <c r="I1409" s="46"/>
      <c r="J1409" s="46"/>
      <c r="K1409" s="46"/>
      <c r="L1409" s="46"/>
      <c r="M1409" s="46"/>
      <c r="N1409" s="46"/>
      <c r="O1409" s="46"/>
      <c r="P1409" s="46"/>
      <c r="Q1409" s="46"/>
      <c r="R1409" s="46"/>
      <c r="S1409" s="46"/>
      <c r="T1409" s="46"/>
      <c r="U1409" s="46"/>
      <c r="V1409" s="46"/>
      <c r="W1409" s="46"/>
      <c r="X1409" s="46"/>
    </row>
    <row r="1410" spans="1:24" x14ac:dyDescent="0.2">
      <c r="A1410" s="45"/>
      <c r="B1410" s="46"/>
      <c r="C1410" s="46"/>
      <c r="D1410" s="46"/>
      <c r="E1410" s="46"/>
      <c r="F1410" s="46"/>
      <c r="G1410" s="46"/>
      <c r="H1410" s="46"/>
      <c r="I1410" s="46"/>
      <c r="J1410" s="46"/>
      <c r="K1410" s="46"/>
      <c r="L1410" s="46"/>
      <c r="M1410" s="46"/>
      <c r="N1410" s="46"/>
      <c r="O1410" s="46"/>
      <c r="P1410" s="46"/>
      <c r="Q1410" s="46"/>
      <c r="R1410" s="46"/>
      <c r="S1410" s="46"/>
      <c r="T1410" s="46"/>
      <c r="U1410" s="46"/>
      <c r="V1410" s="46"/>
      <c r="W1410" s="46"/>
      <c r="X1410" s="46"/>
    </row>
    <row r="1411" spans="1:24" x14ac:dyDescent="0.2">
      <c r="A1411" s="45"/>
      <c r="B1411" s="46"/>
      <c r="C1411" s="46"/>
      <c r="D1411" s="46"/>
      <c r="E1411" s="46"/>
      <c r="F1411" s="46"/>
      <c r="G1411" s="46"/>
      <c r="H1411" s="46"/>
      <c r="I1411" s="46"/>
      <c r="J1411" s="46"/>
      <c r="K1411" s="46"/>
      <c r="L1411" s="46"/>
      <c r="M1411" s="46"/>
      <c r="N1411" s="46"/>
      <c r="O1411" s="46"/>
      <c r="P1411" s="46"/>
      <c r="Q1411" s="46"/>
      <c r="R1411" s="46"/>
      <c r="S1411" s="46"/>
      <c r="T1411" s="46"/>
      <c r="U1411" s="46"/>
      <c r="V1411" s="46"/>
      <c r="W1411" s="46"/>
      <c r="X1411" s="46"/>
    </row>
    <row r="1412" spans="1:24" x14ac:dyDescent="0.2">
      <c r="A1412" s="45"/>
      <c r="B1412" s="46"/>
      <c r="C1412" s="46"/>
      <c r="D1412" s="46"/>
      <c r="E1412" s="46"/>
      <c r="F1412" s="46"/>
      <c r="G1412" s="46"/>
      <c r="H1412" s="46"/>
      <c r="I1412" s="46"/>
      <c r="J1412" s="46"/>
      <c r="K1412" s="46"/>
      <c r="L1412" s="46"/>
      <c r="M1412" s="46"/>
      <c r="N1412" s="46"/>
      <c r="O1412" s="46"/>
      <c r="P1412" s="46"/>
      <c r="Q1412" s="46"/>
      <c r="R1412" s="46"/>
      <c r="S1412" s="46"/>
      <c r="T1412" s="46"/>
      <c r="U1412" s="46"/>
      <c r="V1412" s="46"/>
      <c r="W1412" s="46"/>
      <c r="X1412" s="46"/>
    </row>
    <row r="1413" spans="1:24" x14ac:dyDescent="0.2">
      <c r="A1413" s="45"/>
      <c r="B1413" s="46"/>
      <c r="C1413" s="46"/>
      <c r="D1413" s="46"/>
      <c r="E1413" s="46"/>
      <c r="F1413" s="46"/>
      <c r="G1413" s="46"/>
      <c r="H1413" s="46"/>
      <c r="I1413" s="46"/>
      <c r="J1413" s="46"/>
      <c r="K1413" s="46"/>
      <c r="L1413" s="46"/>
      <c r="M1413" s="46"/>
      <c r="N1413" s="46"/>
      <c r="O1413" s="46"/>
      <c r="P1413" s="46"/>
      <c r="Q1413" s="46"/>
      <c r="R1413" s="46"/>
      <c r="S1413" s="46"/>
      <c r="T1413" s="46"/>
      <c r="U1413" s="46"/>
      <c r="V1413" s="46"/>
      <c r="W1413" s="46"/>
      <c r="X1413" s="46"/>
    </row>
    <row r="1414" spans="1:24" x14ac:dyDescent="0.2">
      <c r="A1414" s="45"/>
      <c r="B1414" s="46"/>
      <c r="C1414" s="46"/>
      <c r="D1414" s="46"/>
      <c r="E1414" s="46"/>
      <c r="F1414" s="46"/>
      <c r="G1414" s="46"/>
      <c r="H1414" s="46"/>
      <c r="I1414" s="46"/>
      <c r="J1414" s="46"/>
      <c r="K1414" s="46"/>
      <c r="L1414" s="46"/>
      <c r="M1414" s="46"/>
      <c r="N1414" s="46"/>
      <c r="O1414" s="46"/>
      <c r="P1414" s="46"/>
      <c r="Q1414" s="46"/>
      <c r="R1414" s="46"/>
      <c r="S1414" s="46"/>
      <c r="T1414" s="46"/>
      <c r="U1414" s="46"/>
      <c r="V1414" s="46"/>
      <c r="W1414" s="46"/>
      <c r="X1414" s="46"/>
    </row>
    <row r="1415" spans="1:24" x14ac:dyDescent="0.2">
      <c r="A1415" s="45"/>
      <c r="B1415" s="46"/>
      <c r="C1415" s="46"/>
      <c r="D1415" s="46"/>
      <c r="E1415" s="46"/>
      <c r="F1415" s="46"/>
      <c r="G1415" s="46"/>
      <c r="H1415" s="46"/>
      <c r="I1415" s="46"/>
      <c r="J1415" s="46"/>
      <c r="K1415" s="46"/>
      <c r="L1415" s="46"/>
      <c r="M1415" s="46"/>
      <c r="N1415" s="46"/>
      <c r="O1415" s="46"/>
      <c r="P1415" s="46"/>
      <c r="Q1415" s="46"/>
      <c r="R1415" s="46"/>
      <c r="S1415" s="46"/>
      <c r="T1415" s="46"/>
      <c r="U1415" s="46"/>
      <c r="V1415" s="46"/>
      <c r="W1415" s="46"/>
      <c r="X1415" s="46"/>
    </row>
    <row r="1416" spans="1:24" x14ac:dyDescent="0.2">
      <c r="A1416" s="45"/>
      <c r="B1416" s="46"/>
      <c r="C1416" s="46"/>
      <c r="D1416" s="46"/>
      <c r="E1416" s="46"/>
      <c r="F1416" s="46"/>
      <c r="G1416" s="46"/>
      <c r="H1416" s="46"/>
      <c r="I1416" s="46"/>
      <c r="J1416" s="46"/>
      <c r="K1416" s="46"/>
      <c r="L1416" s="46"/>
      <c r="M1416" s="46"/>
      <c r="N1416" s="46"/>
      <c r="O1416" s="46"/>
      <c r="P1416" s="46"/>
      <c r="Q1416" s="46"/>
      <c r="R1416" s="46"/>
      <c r="S1416" s="46"/>
      <c r="T1416" s="46"/>
      <c r="U1416" s="46"/>
      <c r="V1416" s="46"/>
      <c r="W1416" s="46"/>
      <c r="X1416" s="46"/>
    </row>
    <row r="1417" spans="1:24" x14ac:dyDescent="0.2">
      <c r="A1417" s="45"/>
      <c r="B1417" s="46"/>
      <c r="C1417" s="46"/>
      <c r="D1417" s="46"/>
      <c r="E1417" s="46"/>
      <c r="F1417" s="46"/>
      <c r="G1417" s="46"/>
      <c r="H1417" s="46"/>
      <c r="I1417" s="46"/>
      <c r="J1417" s="46"/>
      <c r="K1417" s="46"/>
      <c r="L1417" s="46"/>
      <c r="M1417" s="46"/>
      <c r="N1417" s="46"/>
      <c r="O1417" s="46"/>
      <c r="P1417" s="46"/>
      <c r="Q1417" s="46"/>
      <c r="R1417" s="46"/>
      <c r="S1417" s="46"/>
      <c r="T1417" s="46"/>
      <c r="U1417" s="46"/>
      <c r="V1417" s="46"/>
      <c r="W1417" s="46"/>
      <c r="X1417" s="46"/>
    </row>
    <row r="1418" spans="1:24" x14ac:dyDescent="0.2">
      <c r="A1418" s="45"/>
      <c r="B1418" s="46"/>
      <c r="C1418" s="46"/>
      <c r="D1418" s="46"/>
      <c r="E1418" s="46"/>
      <c r="F1418" s="46"/>
      <c r="G1418" s="46"/>
      <c r="H1418" s="46"/>
      <c r="I1418" s="46"/>
      <c r="J1418" s="46"/>
      <c r="K1418" s="46"/>
      <c r="L1418" s="46"/>
      <c r="M1418" s="46"/>
      <c r="N1418" s="46"/>
      <c r="O1418" s="46"/>
      <c r="P1418" s="46"/>
      <c r="Q1418" s="46"/>
      <c r="R1418" s="46"/>
      <c r="S1418" s="46"/>
      <c r="T1418" s="46"/>
      <c r="U1418" s="46"/>
      <c r="V1418" s="46"/>
      <c r="W1418" s="46"/>
      <c r="X1418" s="46"/>
    </row>
    <row r="1419" spans="1:24" x14ac:dyDescent="0.2">
      <c r="A1419" s="45"/>
      <c r="B1419" s="46"/>
      <c r="C1419" s="46"/>
      <c r="D1419" s="46"/>
      <c r="E1419" s="46"/>
      <c r="F1419" s="46"/>
      <c r="G1419" s="46"/>
      <c r="H1419" s="46"/>
      <c r="I1419" s="46"/>
      <c r="J1419" s="46"/>
      <c r="K1419" s="46"/>
      <c r="L1419" s="46"/>
      <c r="M1419" s="46"/>
      <c r="N1419" s="46"/>
      <c r="O1419" s="46"/>
      <c r="P1419" s="46"/>
      <c r="Q1419" s="46"/>
      <c r="R1419" s="46"/>
      <c r="S1419" s="46"/>
      <c r="T1419" s="46"/>
      <c r="U1419" s="46"/>
      <c r="V1419" s="46"/>
      <c r="W1419" s="46"/>
      <c r="X1419" s="46"/>
    </row>
    <row r="1420" spans="1:24" x14ac:dyDescent="0.2">
      <c r="A1420" s="45"/>
      <c r="B1420" s="46"/>
      <c r="C1420" s="46"/>
      <c r="D1420" s="46"/>
      <c r="E1420" s="46"/>
      <c r="F1420" s="46"/>
      <c r="G1420" s="46"/>
      <c r="H1420" s="46"/>
      <c r="I1420" s="46"/>
      <c r="J1420" s="46"/>
      <c r="K1420" s="46"/>
      <c r="L1420" s="46"/>
      <c r="M1420" s="46"/>
      <c r="N1420" s="46"/>
      <c r="O1420" s="46"/>
      <c r="P1420" s="46"/>
      <c r="Q1420" s="46"/>
      <c r="R1420" s="46"/>
      <c r="S1420" s="46"/>
      <c r="T1420" s="46"/>
      <c r="U1420" s="46"/>
      <c r="V1420" s="46"/>
      <c r="W1420" s="46"/>
      <c r="X1420" s="46"/>
    </row>
    <row r="1421" spans="1:24" x14ac:dyDescent="0.2">
      <c r="A1421" s="45"/>
      <c r="B1421" s="46"/>
      <c r="C1421" s="46"/>
      <c r="D1421" s="46"/>
      <c r="E1421" s="46"/>
      <c r="F1421" s="46"/>
      <c r="G1421" s="46"/>
      <c r="H1421" s="46"/>
      <c r="I1421" s="46"/>
      <c r="J1421" s="46"/>
      <c r="K1421" s="46"/>
      <c r="L1421" s="46"/>
      <c r="M1421" s="46"/>
      <c r="N1421" s="46"/>
      <c r="O1421" s="46"/>
      <c r="P1421" s="46"/>
      <c r="Q1421" s="46"/>
      <c r="R1421" s="46"/>
      <c r="S1421" s="46"/>
      <c r="T1421" s="46"/>
      <c r="U1421" s="46"/>
      <c r="V1421" s="46"/>
      <c r="W1421" s="46"/>
      <c r="X1421" s="46"/>
    </row>
    <row r="1422" spans="1:24" x14ac:dyDescent="0.2">
      <c r="A1422" s="45"/>
      <c r="B1422" s="46"/>
      <c r="C1422" s="46"/>
      <c r="D1422" s="46"/>
      <c r="E1422" s="46"/>
      <c r="F1422" s="46"/>
      <c r="G1422" s="46"/>
      <c r="H1422" s="46"/>
      <c r="I1422" s="46"/>
      <c r="J1422" s="46"/>
      <c r="K1422" s="46"/>
      <c r="L1422" s="46"/>
      <c r="M1422" s="46"/>
      <c r="N1422" s="46"/>
      <c r="O1422" s="46"/>
      <c r="P1422" s="46"/>
      <c r="Q1422" s="46"/>
      <c r="R1422" s="46"/>
      <c r="S1422" s="46"/>
      <c r="T1422" s="46"/>
      <c r="U1422" s="46"/>
      <c r="V1422" s="46"/>
      <c r="W1422" s="46"/>
      <c r="X1422" s="46"/>
    </row>
    <row r="1423" spans="1:24" x14ac:dyDescent="0.2">
      <c r="A1423" s="45"/>
      <c r="B1423" s="46"/>
      <c r="C1423" s="46"/>
      <c r="D1423" s="46"/>
      <c r="E1423" s="46"/>
      <c r="F1423" s="46"/>
      <c r="G1423" s="46"/>
      <c r="H1423" s="46"/>
      <c r="I1423" s="46"/>
      <c r="J1423" s="46"/>
      <c r="K1423" s="46"/>
      <c r="L1423" s="46"/>
      <c r="M1423" s="46"/>
      <c r="N1423" s="46"/>
      <c r="O1423" s="46"/>
      <c r="P1423" s="46"/>
      <c r="Q1423" s="46"/>
      <c r="R1423" s="46"/>
      <c r="S1423" s="46"/>
      <c r="T1423" s="46"/>
      <c r="U1423" s="46"/>
      <c r="V1423" s="46"/>
      <c r="W1423" s="46"/>
      <c r="X1423" s="46"/>
    </row>
    <row r="1424" spans="1:24" x14ac:dyDescent="0.2">
      <c r="A1424" s="45"/>
      <c r="B1424" s="46"/>
      <c r="C1424" s="46"/>
      <c r="D1424" s="46"/>
      <c r="E1424" s="46"/>
      <c r="F1424" s="46"/>
      <c r="G1424" s="46"/>
      <c r="H1424" s="46"/>
      <c r="I1424" s="46"/>
      <c r="J1424" s="46"/>
      <c r="K1424" s="46"/>
      <c r="L1424" s="46"/>
      <c r="M1424" s="46"/>
      <c r="N1424" s="46"/>
      <c r="O1424" s="46"/>
      <c r="P1424" s="46"/>
      <c r="Q1424" s="46"/>
      <c r="R1424" s="46"/>
      <c r="S1424" s="46"/>
      <c r="T1424" s="46"/>
      <c r="U1424" s="46"/>
      <c r="V1424" s="46"/>
      <c r="W1424" s="46"/>
      <c r="X1424" s="46"/>
    </row>
    <row r="1425" spans="1:24" x14ac:dyDescent="0.2">
      <c r="A1425" s="45"/>
      <c r="B1425" s="46"/>
      <c r="C1425" s="46"/>
      <c r="D1425" s="46"/>
      <c r="E1425" s="46"/>
      <c r="F1425" s="46"/>
      <c r="G1425" s="46"/>
      <c r="H1425" s="46"/>
      <c r="I1425" s="46"/>
      <c r="J1425" s="46"/>
      <c r="K1425" s="46"/>
      <c r="L1425" s="46"/>
      <c r="M1425" s="46"/>
      <c r="N1425" s="46"/>
      <c r="O1425" s="46"/>
      <c r="P1425" s="46"/>
      <c r="Q1425" s="46"/>
      <c r="R1425" s="46"/>
      <c r="S1425" s="46"/>
      <c r="T1425" s="46"/>
      <c r="U1425" s="46"/>
      <c r="V1425" s="46"/>
      <c r="W1425" s="46"/>
      <c r="X1425" s="46"/>
    </row>
    <row r="1426" spans="1:24" x14ac:dyDescent="0.2">
      <c r="A1426" s="45"/>
      <c r="B1426" s="46"/>
      <c r="C1426" s="46"/>
      <c r="D1426" s="46"/>
      <c r="E1426" s="46"/>
      <c r="F1426" s="46"/>
      <c r="G1426" s="46"/>
      <c r="H1426" s="46"/>
      <c r="I1426" s="46"/>
      <c r="J1426" s="46"/>
      <c r="K1426" s="46"/>
      <c r="L1426" s="46"/>
      <c r="M1426" s="46"/>
      <c r="N1426" s="46"/>
      <c r="O1426" s="46"/>
      <c r="P1426" s="46"/>
      <c r="Q1426" s="46"/>
      <c r="R1426" s="46"/>
      <c r="S1426" s="46"/>
      <c r="T1426" s="46"/>
      <c r="U1426" s="46"/>
      <c r="V1426" s="46"/>
      <c r="W1426" s="46"/>
      <c r="X1426" s="46"/>
    </row>
    <row r="1427" spans="1:24" x14ac:dyDescent="0.2">
      <c r="A1427" s="45"/>
      <c r="B1427" s="46"/>
      <c r="C1427" s="46"/>
      <c r="D1427" s="46"/>
      <c r="E1427" s="46"/>
      <c r="F1427" s="46"/>
      <c r="G1427" s="46"/>
      <c r="H1427" s="46"/>
      <c r="I1427" s="46"/>
      <c r="J1427" s="46"/>
      <c r="K1427" s="46"/>
      <c r="L1427" s="46"/>
      <c r="M1427" s="46"/>
      <c r="N1427" s="46"/>
      <c r="O1427" s="46"/>
      <c r="P1427" s="46"/>
      <c r="Q1427" s="46"/>
      <c r="R1427" s="46"/>
      <c r="S1427" s="46"/>
      <c r="T1427" s="46"/>
      <c r="U1427" s="46"/>
      <c r="V1427" s="46"/>
      <c r="W1427" s="46"/>
      <c r="X1427" s="46"/>
    </row>
    <row r="1428" spans="1:24" x14ac:dyDescent="0.2">
      <c r="A1428" s="45"/>
      <c r="B1428" s="46"/>
      <c r="C1428" s="46"/>
      <c r="D1428" s="46"/>
      <c r="E1428" s="46"/>
      <c r="F1428" s="46"/>
      <c r="G1428" s="46"/>
      <c r="H1428" s="46"/>
      <c r="I1428" s="46"/>
      <c r="J1428" s="46"/>
      <c r="K1428" s="46"/>
      <c r="L1428" s="46"/>
      <c r="M1428" s="46"/>
      <c r="N1428" s="46"/>
      <c r="O1428" s="46"/>
      <c r="P1428" s="46"/>
      <c r="Q1428" s="46"/>
      <c r="R1428" s="46"/>
      <c r="S1428" s="46"/>
      <c r="T1428" s="46"/>
      <c r="U1428" s="46"/>
      <c r="V1428" s="46"/>
      <c r="W1428" s="46"/>
      <c r="X1428" s="46"/>
    </row>
    <row r="1429" spans="1:24" x14ac:dyDescent="0.2">
      <c r="A1429" s="45"/>
      <c r="B1429" s="46"/>
      <c r="C1429" s="46"/>
      <c r="D1429" s="46"/>
      <c r="E1429" s="46"/>
      <c r="F1429" s="46"/>
      <c r="G1429" s="46"/>
      <c r="H1429" s="46"/>
      <c r="I1429" s="46"/>
      <c r="J1429" s="46"/>
      <c r="K1429" s="46"/>
      <c r="L1429" s="46"/>
      <c r="M1429" s="46"/>
      <c r="N1429" s="46"/>
      <c r="O1429" s="46"/>
      <c r="P1429" s="46"/>
      <c r="Q1429" s="46"/>
      <c r="R1429" s="46"/>
      <c r="S1429" s="46"/>
      <c r="T1429" s="46"/>
      <c r="U1429" s="46"/>
      <c r="V1429" s="46"/>
      <c r="W1429" s="46"/>
      <c r="X1429" s="46"/>
    </row>
    <row r="1430" spans="1:24" x14ac:dyDescent="0.2">
      <c r="A1430" s="45"/>
      <c r="B1430" s="46"/>
      <c r="C1430" s="46"/>
      <c r="D1430" s="46"/>
      <c r="E1430" s="46"/>
      <c r="F1430" s="46"/>
      <c r="G1430" s="46"/>
      <c r="H1430" s="46"/>
      <c r="I1430" s="46"/>
      <c r="J1430" s="46"/>
      <c r="K1430" s="46"/>
      <c r="L1430" s="46"/>
      <c r="M1430" s="46"/>
      <c r="N1430" s="46"/>
      <c r="O1430" s="46"/>
      <c r="P1430" s="46"/>
      <c r="Q1430" s="46"/>
      <c r="R1430" s="46"/>
      <c r="S1430" s="46"/>
      <c r="T1430" s="46"/>
      <c r="U1430" s="46"/>
      <c r="V1430" s="46"/>
      <c r="W1430" s="46"/>
      <c r="X1430" s="46"/>
    </row>
    <row r="1431" spans="1:24" x14ac:dyDescent="0.2">
      <c r="A1431" s="45"/>
      <c r="B1431" s="46"/>
      <c r="C1431" s="46"/>
      <c r="D1431" s="46"/>
      <c r="E1431" s="46"/>
      <c r="F1431" s="46"/>
      <c r="G1431" s="46"/>
      <c r="H1431" s="46"/>
      <c r="I1431" s="46"/>
      <c r="J1431" s="46"/>
      <c r="K1431" s="46"/>
      <c r="L1431" s="46"/>
      <c r="M1431" s="46"/>
      <c r="N1431" s="46"/>
      <c r="O1431" s="46"/>
      <c r="P1431" s="46"/>
      <c r="Q1431" s="46"/>
      <c r="R1431" s="46"/>
      <c r="S1431" s="46"/>
      <c r="T1431" s="46"/>
      <c r="U1431" s="46"/>
      <c r="V1431" s="46"/>
      <c r="W1431" s="46"/>
      <c r="X1431" s="46"/>
    </row>
    <row r="1432" spans="1:24" x14ac:dyDescent="0.2">
      <c r="A1432" s="45"/>
      <c r="B1432" s="46"/>
      <c r="C1432" s="46"/>
      <c r="D1432" s="46"/>
      <c r="E1432" s="46"/>
      <c r="F1432" s="46"/>
      <c r="G1432" s="46"/>
      <c r="H1432" s="46"/>
      <c r="I1432" s="46"/>
      <c r="J1432" s="46"/>
      <c r="K1432" s="46"/>
      <c r="L1432" s="46"/>
      <c r="M1432" s="46"/>
      <c r="N1432" s="46"/>
      <c r="O1432" s="46"/>
      <c r="P1432" s="46"/>
      <c r="Q1432" s="46"/>
      <c r="R1432" s="46"/>
      <c r="S1432" s="46"/>
      <c r="T1432" s="46"/>
      <c r="U1432" s="46"/>
      <c r="V1432" s="46"/>
      <c r="W1432" s="46"/>
      <c r="X1432" s="46"/>
    </row>
    <row r="1433" spans="1:24" x14ac:dyDescent="0.2">
      <c r="A1433" s="45"/>
      <c r="B1433" s="46"/>
      <c r="C1433" s="46"/>
      <c r="D1433" s="46"/>
      <c r="E1433" s="46"/>
      <c r="F1433" s="46"/>
      <c r="G1433" s="46"/>
      <c r="H1433" s="46"/>
      <c r="I1433" s="46"/>
      <c r="J1433" s="46"/>
      <c r="K1433" s="46"/>
      <c r="L1433" s="46"/>
      <c r="M1433" s="46"/>
      <c r="N1433" s="46"/>
      <c r="O1433" s="46"/>
      <c r="P1433" s="46"/>
      <c r="Q1433" s="46"/>
      <c r="R1433" s="46"/>
      <c r="S1433" s="46"/>
      <c r="T1433" s="46"/>
      <c r="U1433" s="46"/>
      <c r="V1433" s="46"/>
      <c r="W1433" s="46"/>
      <c r="X1433" s="46"/>
    </row>
    <row r="1434" spans="1:24" x14ac:dyDescent="0.2">
      <c r="A1434" s="45"/>
      <c r="B1434" s="46"/>
      <c r="C1434" s="46"/>
      <c r="D1434" s="46"/>
      <c r="E1434" s="46"/>
      <c r="F1434" s="46"/>
      <c r="G1434" s="46"/>
      <c r="H1434" s="46"/>
      <c r="I1434" s="46"/>
      <c r="J1434" s="46"/>
      <c r="K1434" s="46"/>
      <c r="L1434" s="46"/>
      <c r="M1434" s="46"/>
      <c r="N1434" s="46"/>
      <c r="O1434" s="46"/>
      <c r="P1434" s="46"/>
      <c r="Q1434" s="46"/>
      <c r="R1434" s="46"/>
      <c r="S1434" s="46"/>
      <c r="T1434" s="46"/>
      <c r="U1434" s="46"/>
      <c r="V1434" s="46"/>
      <c r="W1434" s="46"/>
      <c r="X1434" s="46"/>
    </row>
    <row r="1435" spans="1:24" x14ac:dyDescent="0.2">
      <c r="A1435" s="45"/>
      <c r="B1435" s="46"/>
      <c r="C1435" s="46"/>
      <c r="D1435" s="46"/>
      <c r="E1435" s="46"/>
      <c r="F1435" s="46"/>
      <c r="G1435" s="46"/>
      <c r="H1435" s="46"/>
      <c r="I1435" s="46"/>
      <c r="J1435" s="46"/>
      <c r="K1435" s="46"/>
      <c r="L1435" s="46"/>
      <c r="M1435" s="46"/>
      <c r="N1435" s="46"/>
      <c r="O1435" s="46"/>
      <c r="P1435" s="46"/>
      <c r="Q1435" s="46"/>
      <c r="R1435" s="46"/>
      <c r="S1435" s="46"/>
      <c r="T1435" s="46"/>
      <c r="U1435" s="46"/>
      <c r="V1435" s="46"/>
      <c r="W1435" s="46"/>
      <c r="X1435" s="46"/>
    </row>
    <row r="1436" spans="1:24" x14ac:dyDescent="0.2">
      <c r="A1436" s="45"/>
      <c r="B1436" s="46"/>
      <c r="C1436" s="46"/>
      <c r="D1436" s="46"/>
      <c r="E1436" s="46"/>
      <c r="F1436" s="46"/>
      <c r="G1436" s="46"/>
      <c r="H1436" s="46"/>
      <c r="I1436" s="46"/>
      <c r="J1436" s="46"/>
      <c r="K1436" s="46"/>
      <c r="L1436" s="46"/>
      <c r="M1436" s="46"/>
      <c r="N1436" s="46"/>
      <c r="O1436" s="46"/>
      <c r="P1436" s="46"/>
      <c r="Q1436" s="46"/>
      <c r="R1436" s="46"/>
      <c r="S1436" s="46"/>
      <c r="T1436" s="46"/>
      <c r="U1436" s="46"/>
      <c r="V1436" s="46"/>
      <c r="W1436" s="46"/>
      <c r="X1436" s="46"/>
    </row>
    <row r="1437" spans="1:24" x14ac:dyDescent="0.2">
      <c r="A1437" s="45"/>
      <c r="B1437" s="46"/>
      <c r="C1437" s="46"/>
      <c r="D1437" s="46"/>
      <c r="E1437" s="46"/>
      <c r="F1437" s="46"/>
      <c r="G1437" s="46"/>
      <c r="H1437" s="46"/>
      <c r="I1437" s="46"/>
      <c r="J1437" s="46"/>
      <c r="K1437" s="46"/>
      <c r="L1437" s="46"/>
      <c r="M1437" s="46"/>
      <c r="N1437" s="46"/>
      <c r="O1437" s="46"/>
      <c r="P1437" s="46"/>
      <c r="Q1437" s="46"/>
      <c r="R1437" s="46"/>
      <c r="S1437" s="46"/>
      <c r="T1437" s="46"/>
      <c r="U1437" s="46"/>
      <c r="V1437" s="46"/>
      <c r="W1437" s="46"/>
      <c r="X1437" s="46"/>
    </row>
    <row r="1438" spans="1:24" x14ac:dyDescent="0.2">
      <c r="A1438" s="45"/>
      <c r="B1438" s="46"/>
      <c r="C1438" s="46"/>
      <c r="D1438" s="46"/>
      <c r="E1438" s="46"/>
      <c r="F1438" s="46"/>
      <c r="G1438" s="46"/>
      <c r="H1438" s="46"/>
      <c r="I1438" s="46"/>
      <c r="J1438" s="46"/>
      <c r="K1438" s="46"/>
      <c r="L1438" s="46"/>
      <c r="M1438" s="46"/>
      <c r="N1438" s="46"/>
      <c r="O1438" s="46"/>
      <c r="P1438" s="46"/>
      <c r="Q1438" s="46"/>
      <c r="R1438" s="46"/>
      <c r="S1438" s="46"/>
      <c r="T1438" s="46"/>
      <c r="U1438" s="46"/>
      <c r="V1438" s="46"/>
      <c r="W1438" s="46"/>
      <c r="X1438" s="46"/>
    </row>
    <row r="1439" spans="1:24" x14ac:dyDescent="0.2">
      <c r="A1439" s="45"/>
      <c r="B1439" s="46"/>
      <c r="C1439" s="46"/>
      <c r="D1439" s="46"/>
      <c r="E1439" s="46"/>
      <c r="F1439" s="46"/>
      <c r="G1439" s="46"/>
      <c r="H1439" s="46"/>
      <c r="I1439" s="46"/>
      <c r="J1439" s="46"/>
      <c r="K1439" s="46"/>
      <c r="L1439" s="46"/>
      <c r="M1439" s="46"/>
      <c r="N1439" s="46"/>
      <c r="O1439" s="46"/>
      <c r="P1439" s="46"/>
      <c r="Q1439" s="46"/>
      <c r="R1439" s="46"/>
      <c r="S1439" s="46"/>
      <c r="T1439" s="46"/>
      <c r="U1439" s="46"/>
      <c r="V1439" s="46"/>
      <c r="W1439" s="46"/>
      <c r="X1439" s="46"/>
    </row>
    <row r="1440" spans="1:24" x14ac:dyDescent="0.2">
      <c r="A1440" s="45"/>
      <c r="B1440" s="46"/>
      <c r="C1440" s="46"/>
      <c r="D1440" s="46"/>
      <c r="E1440" s="46"/>
      <c r="F1440" s="46"/>
      <c r="G1440" s="46"/>
      <c r="H1440" s="46"/>
      <c r="I1440" s="46"/>
      <c r="J1440" s="46"/>
      <c r="K1440" s="46"/>
      <c r="L1440" s="46"/>
      <c r="M1440" s="46"/>
      <c r="N1440" s="46"/>
      <c r="O1440" s="46"/>
      <c r="P1440" s="46"/>
      <c r="Q1440" s="46"/>
      <c r="R1440" s="46"/>
      <c r="S1440" s="46"/>
      <c r="T1440" s="46"/>
      <c r="U1440" s="46"/>
      <c r="V1440" s="46"/>
      <c r="W1440" s="46"/>
      <c r="X1440" s="46"/>
    </row>
    <row r="1441" spans="1:24" x14ac:dyDescent="0.2">
      <c r="A1441" s="45"/>
      <c r="B1441" s="46"/>
      <c r="C1441" s="46"/>
      <c r="D1441" s="46"/>
      <c r="E1441" s="46"/>
      <c r="F1441" s="46"/>
      <c r="G1441" s="46"/>
      <c r="H1441" s="46"/>
      <c r="I1441" s="46"/>
      <c r="J1441" s="46"/>
      <c r="K1441" s="46"/>
      <c r="L1441" s="46"/>
      <c r="M1441" s="46"/>
      <c r="N1441" s="46"/>
      <c r="O1441" s="46"/>
      <c r="P1441" s="46"/>
      <c r="Q1441" s="46"/>
      <c r="R1441" s="46"/>
      <c r="S1441" s="46"/>
      <c r="T1441" s="46"/>
      <c r="U1441" s="46"/>
      <c r="V1441" s="46"/>
      <c r="W1441" s="46"/>
      <c r="X1441" s="46"/>
    </row>
    <row r="1442" spans="1:24" x14ac:dyDescent="0.2">
      <c r="A1442" s="45"/>
      <c r="B1442" s="46"/>
      <c r="C1442" s="46"/>
      <c r="D1442" s="46"/>
      <c r="E1442" s="46"/>
      <c r="F1442" s="46"/>
      <c r="G1442" s="46"/>
      <c r="H1442" s="46"/>
      <c r="I1442" s="46"/>
      <c r="J1442" s="46"/>
      <c r="K1442" s="46"/>
      <c r="L1442" s="46"/>
      <c r="M1442" s="46"/>
      <c r="N1442" s="46"/>
      <c r="O1442" s="46"/>
      <c r="P1442" s="46"/>
      <c r="Q1442" s="46"/>
      <c r="R1442" s="46"/>
      <c r="S1442" s="46"/>
      <c r="T1442" s="46"/>
      <c r="U1442" s="46"/>
      <c r="V1442" s="46"/>
      <c r="W1442" s="46"/>
      <c r="X1442" s="46"/>
    </row>
    <row r="1443" spans="1:24" x14ac:dyDescent="0.2">
      <c r="A1443" s="45"/>
      <c r="B1443" s="46"/>
      <c r="C1443" s="46"/>
      <c r="D1443" s="46"/>
      <c r="E1443" s="46"/>
      <c r="F1443" s="46"/>
      <c r="G1443" s="46"/>
      <c r="H1443" s="46"/>
      <c r="I1443" s="46"/>
      <c r="J1443" s="46"/>
      <c r="K1443" s="46"/>
      <c r="L1443" s="46"/>
      <c r="M1443" s="46"/>
      <c r="N1443" s="46"/>
      <c r="O1443" s="46"/>
      <c r="P1443" s="46"/>
      <c r="Q1443" s="46"/>
      <c r="R1443" s="46"/>
      <c r="S1443" s="46"/>
      <c r="T1443" s="46"/>
      <c r="U1443" s="46"/>
      <c r="V1443" s="46"/>
      <c r="W1443" s="46"/>
      <c r="X1443" s="46"/>
    </row>
    <row r="1444" spans="1:24" x14ac:dyDescent="0.2">
      <c r="A1444" s="45"/>
      <c r="B1444" s="46"/>
      <c r="C1444" s="46"/>
      <c r="D1444" s="46"/>
      <c r="E1444" s="46"/>
      <c r="F1444" s="46"/>
      <c r="G1444" s="46"/>
      <c r="H1444" s="46"/>
      <c r="I1444" s="46"/>
      <c r="J1444" s="46"/>
      <c r="K1444" s="46"/>
      <c r="L1444" s="46"/>
      <c r="M1444" s="46"/>
      <c r="N1444" s="46"/>
      <c r="O1444" s="46"/>
      <c r="P1444" s="46"/>
      <c r="Q1444" s="46"/>
      <c r="R1444" s="46"/>
      <c r="S1444" s="46"/>
      <c r="T1444" s="46"/>
      <c r="U1444" s="46"/>
      <c r="V1444" s="46"/>
      <c r="W1444" s="46"/>
      <c r="X1444" s="46"/>
    </row>
    <row r="1445" spans="1:24" x14ac:dyDescent="0.2">
      <c r="A1445" s="45"/>
      <c r="B1445" s="46"/>
      <c r="C1445" s="46"/>
      <c r="D1445" s="46"/>
      <c r="E1445" s="46"/>
      <c r="F1445" s="46"/>
      <c r="G1445" s="46"/>
      <c r="H1445" s="46"/>
      <c r="I1445" s="46"/>
      <c r="J1445" s="46"/>
      <c r="K1445" s="46"/>
      <c r="L1445" s="46"/>
      <c r="M1445" s="46"/>
      <c r="N1445" s="46"/>
      <c r="O1445" s="46"/>
      <c r="P1445" s="46"/>
      <c r="Q1445" s="46"/>
      <c r="R1445" s="46"/>
      <c r="S1445" s="46"/>
      <c r="T1445" s="46"/>
      <c r="U1445" s="46"/>
      <c r="V1445" s="46"/>
      <c r="W1445" s="46"/>
      <c r="X1445" s="46"/>
    </row>
    <row r="1446" spans="1:24" x14ac:dyDescent="0.2">
      <c r="A1446" s="45"/>
      <c r="B1446" s="46"/>
      <c r="C1446" s="46"/>
      <c r="D1446" s="46"/>
      <c r="E1446" s="46"/>
      <c r="F1446" s="46"/>
      <c r="G1446" s="46"/>
      <c r="H1446" s="46"/>
      <c r="I1446" s="46"/>
      <c r="J1446" s="46"/>
      <c r="K1446" s="46"/>
      <c r="L1446" s="46"/>
      <c r="M1446" s="46"/>
      <c r="N1446" s="46"/>
      <c r="O1446" s="46"/>
      <c r="P1446" s="46"/>
      <c r="Q1446" s="46"/>
      <c r="R1446" s="46"/>
      <c r="S1446" s="46"/>
      <c r="T1446" s="46"/>
      <c r="U1446" s="46"/>
      <c r="V1446" s="46"/>
      <c r="W1446" s="46"/>
      <c r="X1446" s="46"/>
    </row>
    <row r="1447" spans="1:24" x14ac:dyDescent="0.2">
      <c r="A1447" s="45"/>
      <c r="B1447" s="46"/>
      <c r="C1447" s="46"/>
      <c r="D1447" s="46"/>
      <c r="E1447" s="46"/>
      <c r="F1447" s="46"/>
      <c r="G1447" s="46"/>
      <c r="H1447" s="46"/>
      <c r="I1447" s="46"/>
      <c r="J1447" s="46"/>
      <c r="K1447" s="46"/>
      <c r="L1447" s="46"/>
      <c r="M1447" s="46"/>
      <c r="N1447" s="46"/>
      <c r="O1447" s="46"/>
      <c r="P1447" s="46"/>
      <c r="Q1447" s="46"/>
      <c r="R1447" s="46"/>
      <c r="S1447" s="46"/>
      <c r="T1447" s="46"/>
      <c r="U1447" s="46"/>
      <c r="V1447" s="46"/>
      <c r="W1447" s="46"/>
      <c r="X1447" s="46"/>
    </row>
    <row r="1448" spans="1:24" x14ac:dyDescent="0.2">
      <c r="A1448" s="45"/>
      <c r="B1448" s="46"/>
      <c r="C1448" s="46"/>
      <c r="D1448" s="46"/>
      <c r="E1448" s="46"/>
      <c r="F1448" s="46"/>
      <c r="G1448" s="46"/>
      <c r="H1448" s="46"/>
      <c r="I1448" s="46"/>
      <c r="J1448" s="46"/>
      <c r="K1448" s="46"/>
      <c r="L1448" s="46"/>
      <c r="M1448" s="46"/>
      <c r="N1448" s="46"/>
      <c r="O1448" s="46"/>
      <c r="P1448" s="46"/>
      <c r="Q1448" s="46"/>
      <c r="R1448" s="46"/>
      <c r="S1448" s="46"/>
      <c r="T1448" s="46"/>
      <c r="U1448" s="46"/>
      <c r="V1448" s="46"/>
      <c r="W1448" s="46"/>
      <c r="X1448" s="46"/>
    </row>
    <row r="1449" spans="1:24" x14ac:dyDescent="0.2">
      <c r="A1449" s="45"/>
      <c r="B1449" s="46"/>
      <c r="C1449" s="46"/>
      <c r="D1449" s="46"/>
      <c r="E1449" s="46"/>
      <c r="F1449" s="46"/>
      <c r="G1449" s="46"/>
      <c r="H1449" s="46"/>
      <c r="I1449" s="46"/>
      <c r="J1449" s="46"/>
      <c r="K1449" s="46"/>
      <c r="L1449" s="46"/>
      <c r="M1449" s="46"/>
      <c r="N1449" s="46"/>
      <c r="O1449" s="46"/>
      <c r="P1449" s="46"/>
      <c r="Q1449" s="46"/>
      <c r="R1449" s="46"/>
      <c r="S1449" s="46"/>
      <c r="T1449" s="46"/>
      <c r="U1449" s="46"/>
      <c r="V1449" s="46"/>
      <c r="W1449" s="46"/>
      <c r="X1449" s="46"/>
    </row>
    <row r="1450" spans="1:24" x14ac:dyDescent="0.2">
      <c r="A1450" s="45"/>
      <c r="B1450" s="46"/>
      <c r="C1450" s="46"/>
      <c r="D1450" s="46"/>
      <c r="E1450" s="46"/>
      <c r="F1450" s="46"/>
      <c r="G1450" s="46"/>
      <c r="H1450" s="46"/>
      <c r="I1450" s="46"/>
      <c r="J1450" s="46"/>
      <c r="K1450" s="46"/>
      <c r="L1450" s="46"/>
      <c r="M1450" s="46"/>
      <c r="N1450" s="46"/>
      <c r="O1450" s="46"/>
      <c r="P1450" s="46"/>
      <c r="Q1450" s="46"/>
      <c r="R1450" s="46"/>
      <c r="S1450" s="46"/>
      <c r="T1450" s="46"/>
      <c r="U1450" s="46"/>
      <c r="V1450" s="46"/>
      <c r="W1450" s="46"/>
      <c r="X1450" s="46"/>
    </row>
    <row r="1451" spans="1:24" x14ac:dyDescent="0.2">
      <c r="A1451" s="45"/>
      <c r="B1451" s="46"/>
      <c r="C1451" s="46"/>
      <c r="D1451" s="46"/>
      <c r="E1451" s="46"/>
      <c r="F1451" s="46"/>
      <c r="G1451" s="46"/>
      <c r="H1451" s="46"/>
      <c r="I1451" s="46"/>
      <c r="J1451" s="46"/>
      <c r="K1451" s="46"/>
      <c r="L1451" s="46"/>
      <c r="M1451" s="46"/>
      <c r="N1451" s="46"/>
      <c r="O1451" s="46"/>
      <c r="P1451" s="46"/>
      <c r="Q1451" s="46"/>
      <c r="R1451" s="46"/>
      <c r="S1451" s="46"/>
      <c r="T1451" s="46"/>
      <c r="U1451" s="46"/>
      <c r="V1451" s="46"/>
      <c r="W1451" s="46"/>
      <c r="X1451" s="46"/>
    </row>
    <row r="1452" spans="1:24" x14ac:dyDescent="0.2">
      <c r="A1452" s="45"/>
      <c r="B1452" s="46"/>
      <c r="C1452" s="46"/>
      <c r="D1452" s="46"/>
      <c r="E1452" s="46"/>
      <c r="F1452" s="46"/>
      <c r="G1452" s="46"/>
      <c r="H1452" s="46"/>
      <c r="I1452" s="46"/>
      <c r="J1452" s="46"/>
      <c r="K1452" s="46"/>
      <c r="L1452" s="46"/>
      <c r="M1452" s="46"/>
      <c r="N1452" s="46"/>
      <c r="O1452" s="46"/>
      <c r="P1452" s="46"/>
      <c r="Q1452" s="46"/>
      <c r="R1452" s="46"/>
      <c r="S1452" s="46"/>
      <c r="T1452" s="46"/>
      <c r="U1452" s="46"/>
      <c r="V1452" s="46"/>
      <c r="W1452" s="46"/>
      <c r="X1452" s="46"/>
    </row>
    <row r="1453" spans="1:24" x14ac:dyDescent="0.2">
      <c r="A1453" s="45"/>
      <c r="B1453" s="46"/>
      <c r="C1453" s="46"/>
      <c r="D1453" s="46"/>
      <c r="E1453" s="46"/>
      <c r="F1453" s="46"/>
      <c r="G1453" s="46"/>
      <c r="H1453" s="46"/>
      <c r="I1453" s="46"/>
      <c r="J1453" s="46"/>
      <c r="K1453" s="46"/>
      <c r="L1453" s="46"/>
      <c r="M1453" s="46"/>
      <c r="N1453" s="46"/>
      <c r="O1453" s="46"/>
      <c r="P1453" s="46"/>
      <c r="Q1453" s="46"/>
      <c r="R1453" s="46"/>
      <c r="S1453" s="46"/>
      <c r="T1453" s="46"/>
      <c r="U1453" s="46"/>
      <c r="V1453" s="46"/>
      <c r="W1453" s="46"/>
      <c r="X1453" s="46"/>
    </row>
    <row r="1454" spans="1:24" x14ac:dyDescent="0.2">
      <c r="A1454" s="45"/>
      <c r="B1454" s="46"/>
      <c r="C1454" s="46"/>
      <c r="D1454" s="46"/>
      <c r="E1454" s="46"/>
      <c r="F1454" s="46"/>
      <c r="G1454" s="46"/>
      <c r="H1454" s="46"/>
      <c r="I1454" s="46"/>
      <c r="J1454" s="46"/>
      <c r="K1454" s="46"/>
      <c r="L1454" s="46"/>
      <c r="M1454" s="46"/>
      <c r="N1454" s="46"/>
      <c r="O1454" s="46"/>
      <c r="P1454" s="46"/>
      <c r="Q1454" s="46"/>
      <c r="R1454" s="46"/>
      <c r="S1454" s="46"/>
      <c r="T1454" s="46"/>
      <c r="U1454" s="46"/>
      <c r="V1454" s="46"/>
      <c r="W1454" s="46"/>
      <c r="X1454" s="46"/>
    </row>
    <row r="1455" spans="1:24" x14ac:dyDescent="0.2">
      <c r="A1455" s="45"/>
      <c r="B1455" s="46"/>
      <c r="C1455" s="46"/>
      <c r="D1455" s="46"/>
      <c r="E1455" s="46"/>
      <c r="F1455" s="46"/>
      <c r="G1455" s="46"/>
      <c r="H1455" s="46"/>
      <c r="I1455" s="46"/>
      <c r="J1455" s="46"/>
      <c r="K1455" s="46"/>
      <c r="L1455" s="46"/>
      <c r="M1455" s="46"/>
      <c r="N1455" s="46"/>
      <c r="O1455" s="46"/>
      <c r="P1455" s="46"/>
      <c r="Q1455" s="46"/>
      <c r="R1455" s="46"/>
      <c r="S1455" s="46"/>
      <c r="T1455" s="46"/>
      <c r="U1455" s="46"/>
      <c r="V1455" s="46"/>
      <c r="W1455" s="46"/>
      <c r="X1455" s="46"/>
    </row>
    <row r="1456" spans="1:24" x14ac:dyDescent="0.2">
      <c r="A1456" s="45"/>
      <c r="B1456" s="46"/>
      <c r="C1456" s="46"/>
      <c r="D1456" s="46"/>
      <c r="E1456" s="46"/>
      <c r="F1456" s="46"/>
      <c r="G1456" s="46"/>
      <c r="H1456" s="46"/>
      <c r="I1456" s="46"/>
      <c r="J1456" s="46"/>
      <c r="K1456" s="46"/>
      <c r="L1456" s="46"/>
      <c r="M1456" s="46"/>
      <c r="N1456" s="46"/>
      <c r="O1456" s="46"/>
      <c r="P1456" s="46"/>
      <c r="Q1456" s="46"/>
      <c r="R1456" s="46"/>
      <c r="S1456" s="46"/>
      <c r="T1456" s="46"/>
      <c r="U1456" s="46"/>
      <c r="V1456" s="46"/>
      <c r="W1456" s="46"/>
      <c r="X1456" s="46"/>
    </row>
    <row r="1457" spans="1:24" x14ac:dyDescent="0.2">
      <c r="A1457" s="45"/>
      <c r="B1457" s="46"/>
      <c r="C1457" s="46"/>
      <c r="D1457" s="46"/>
      <c r="E1457" s="46"/>
      <c r="F1457" s="46"/>
      <c r="G1457" s="46"/>
      <c r="H1457" s="46"/>
      <c r="I1457" s="46"/>
      <c r="J1457" s="46"/>
      <c r="K1457" s="46"/>
      <c r="L1457" s="46"/>
      <c r="M1457" s="46"/>
      <c r="N1457" s="46"/>
      <c r="O1457" s="46"/>
      <c r="P1457" s="46"/>
      <c r="Q1457" s="46"/>
      <c r="R1457" s="46"/>
      <c r="S1457" s="46"/>
      <c r="T1457" s="46"/>
      <c r="U1457" s="46"/>
      <c r="V1457" s="46"/>
      <c r="W1457" s="46"/>
      <c r="X1457" s="46"/>
    </row>
    <row r="1458" spans="1:24" x14ac:dyDescent="0.2">
      <c r="A1458" s="45"/>
      <c r="B1458" s="46"/>
      <c r="C1458" s="46"/>
      <c r="D1458" s="46"/>
      <c r="E1458" s="46"/>
      <c r="F1458" s="46"/>
      <c r="G1458" s="46"/>
      <c r="H1458" s="46"/>
      <c r="I1458" s="46"/>
      <c r="J1458" s="46"/>
      <c r="K1458" s="46"/>
      <c r="L1458" s="46"/>
      <c r="M1458" s="46"/>
      <c r="N1458" s="46"/>
      <c r="O1458" s="46"/>
      <c r="P1458" s="46"/>
      <c r="Q1458" s="46"/>
      <c r="R1458" s="46"/>
      <c r="S1458" s="46"/>
      <c r="T1458" s="46"/>
      <c r="U1458" s="46"/>
      <c r="V1458" s="46"/>
      <c r="W1458" s="46"/>
      <c r="X1458" s="46"/>
    </row>
    <row r="1459" spans="1:24" x14ac:dyDescent="0.2">
      <c r="A1459" s="45"/>
      <c r="B1459" s="46"/>
      <c r="C1459" s="46"/>
      <c r="D1459" s="46"/>
      <c r="E1459" s="46"/>
      <c r="F1459" s="46"/>
      <c r="G1459" s="46"/>
      <c r="H1459" s="46"/>
      <c r="I1459" s="46"/>
      <c r="J1459" s="46"/>
      <c r="K1459" s="46"/>
      <c r="L1459" s="46"/>
      <c r="M1459" s="46"/>
      <c r="N1459" s="46"/>
      <c r="O1459" s="46"/>
      <c r="P1459" s="46"/>
      <c r="Q1459" s="46"/>
      <c r="R1459" s="46"/>
      <c r="S1459" s="46"/>
      <c r="T1459" s="46"/>
      <c r="U1459" s="46"/>
      <c r="V1459" s="46"/>
      <c r="W1459" s="46"/>
      <c r="X1459" s="46"/>
    </row>
    <row r="1460" spans="1:24" x14ac:dyDescent="0.2">
      <c r="A1460" s="45"/>
      <c r="B1460" s="46"/>
      <c r="C1460" s="46"/>
      <c r="D1460" s="46"/>
      <c r="E1460" s="46"/>
      <c r="F1460" s="46"/>
      <c r="G1460" s="46"/>
      <c r="H1460" s="46"/>
      <c r="I1460" s="46"/>
      <c r="J1460" s="46"/>
      <c r="K1460" s="46"/>
      <c r="L1460" s="46"/>
      <c r="M1460" s="46"/>
      <c r="N1460" s="46"/>
      <c r="O1460" s="46"/>
      <c r="P1460" s="46"/>
      <c r="Q1460" s="46"/>
      <c r="R1460" s="46"/>
      <c r="S1460" s="46"/>
      <c r="T1460" s="46"/>
      <c r="U1460" s="46"/>
      <c r="V1460" s="46"/>
      <c r="W1460" s="46"/>
      <c r="X1460" s="46"/>
    </row>
    <row r="1461" spans="1:24" x14ac:dyDescent="0.2">
      <c r="A1461" s="45"/>
      <c r="B1461" s="46"/>
      <c r="C1461" s="46"/>
      <c r="D1461" s="46"/>
      <c r="E1461" s="46"/>
      <c r="F1461" s="46"/>
      <c r="G1461" s="46"/>
      <c r="H1461" s="46"/>
      <c r="I1461" s="46"/>
      <c r="J1461" s="46"/>
      <c r="K1461" s="46"/>
      <c r="L1461" s="46"/>
      <c r="M1461" s="46"/>
      <c r="N1461" s="46"/>
      <c r="O1461" s="46"/>
      <c r="P1461" s="46"/>
      <c r="Q1461" s="46"/>
      <c r="R1461" s="46"/>
      <c r="S1461" s="46"/>
      <c r="T1461" s="46"/>
      <c r="U1461" s="46"/>
      <c r="V1461" s="46"/>
      <c r="W1461" s="46"/>
      <c r="X1461" s="46"/>
    </row>
    <row r="1462" spans="1:24" x14ac:dyDescent="0.2">
      <c r="A1462" s="45"/>
      <c r="B1462" s="46"/>
      <c r="C1462" s="46"/>
      <c r="D1462" s="46"/>
      <c r="E1462" s="46"/>
      <c r="F1462" s="46"/>
      <c r="G1462" s="46"/>
      <c r="H1462" s="46"/>
      <c r="I1462" s="46"/>
      <c r="J1462" s="46"/>
      <c r="K1462" s="46"/>
      <c r="L1462" s="46"/>
      <c r="M1462" s="46"/>
      <c r="N1462" s="46"/>
      <c r="O1462" s="46"/>
      <c r="P1462" s="46"/>
      <c r="Q1462" s="46"/>
      <c r="R1462" s="46"/>
      <c r="S1462" s="46"/>
      <c r="T1462" s="46"/>
      <c r="U1462" s="46"/>
      <c r="V1462" s="46"/>
      <c r="W1462" s="46"/>
      <c r="X1462" s="46"/>
    </row>
    <row r="1463" spans="1:24" x14ac:dyDescent="0.2">
      <c r="A1463" s="45"/>
      <c r="B1463" s="46"/>
      <c r="C1463" s="46"/>
      <c r="D1463" s="46"/>
      <c r="E1463" s="46"/>
      <c r="F1463" s="46"/>
      <c r="G1463" s="46"/>
      <c r="H1463" s="46"/>
      <c r="I1463" s="46"/>
      <c r="J1463" s="46"/>
      <c r="K1463" s="46"/>
      <c r="L1463" s="46"/>
      <c r="M1463" s="46"/>
      <c r="N1463" s="46"/>
      <c r="O1463" s="46"/>
      <c r="P1463" s="46"/>
      <c r="Q1463" s="46"/>
      <c r="R1463" s="46"/>
      <c r="S1463" s="46"/>
      <c r="T1463" s="46"/>
      <c r="U1463" s="46"/>
      <c r="V1463" s="46"/>
      <c r="W1463" s="46"/>
      <c r="X1463" s="46"/>
    </row>
    <row r="1464" spans="1:24" x14ac:dyDescent="0.2">
      <c r="A1464" s="45"/>
      <c r="B1464" s="46"/>
      <c r="C1464" s="46"/>
      <c r="D1464" s="46"/>
      <c r="E1464" s="46"/>
      <c r="F1464" s="46"/>
      <c r="G1464" s="46"/>
      <c r="H1464" s="46"/>
      <c r="I1464" s="46"/>
      <c r="J1464" s="46"/>
      <c r="K1464" s="46"/>
      <c r="L1464" s="46"/>
      <c r="M1464" s="46"/>
      <c r="N1464" s="46"/>
      <c r="O1464" s="46"/>
      <c r="P1464" s="46"/>
      <c r="Q1464" s="46"/>
      <c r="R1464" s="46"/>
      <c r="S1464" s="46"/>
      <c r="T1464" s="46"/>
      <c r="U1464" s="46"/>
      <c r="V1464" s="46"/>
      <c r="W1464" s="46"/>
      <c r="X1464" s="46"/>
    </row>
    <row r="1465" spans="1:24" x14ac:dyDescent="0.2">
      <c r="A1465" s="45"/>
      <c r="B1465" s="46"/>
      <c r="C1465" s="46"/>
      <c r="D1465" s="46"/>
      <c r="E1465" s="46"/>
      <c r="F1465" s="46"/>
      <c r="G1465" s="46"/>
      <c r="H1465" s="46"/>
      <c r="I1465" s="46"/>
      <c r="J1465" s="46"/>
      <c r="K1465" s="46"/>
      <c r="L1465" s="46"/>
      <c r="M1465" s="46"/>
      <c r="N1465" s="46"/>
      <c r="O1465" s="46"/>
      <c r="P1465" s="46"/>
      <c r="Q1465" s="46"/>
      <c r="R1465" s="46"/>
      <c r="S1465" s="46"/>
      <c r="T1465" s="46"/>
      <c r="U1465" s="46"/>
      <c r="V1465" s="46"/>
      <c r="W1465" s="46"/>
      <c r="X1465" s="46"/>
    </row>
    <row r="1466" spans="1:24" x14ac:dyDescent="0.2">
      <c r="A1466" s="45"/>
      <c r="B1466" s="46"/>
      <c r="C1466" s="46"/>
      <c r="D1466" s="46"/>
      <c r="E1466" s="46"/>
      <c r="F1466" s="46"/>
      <c r="G1466" s="46"/>
      <c r="H1466" s="46"/>
      <c r="I1466" s="46"/>
      <c r="J1466" s="46"/>
      <c r="K1466" s="46"/>
      <c r="L1466" s="46"/>
      <c r="M1466" s="46"/>
      <c r="N1466" s="46"/>
      <c r="O1466" s="46"/>
      <c r="P1466" s="46"/>
      <c r="Q1466" s="46"/>
      <c r="R1466" s="46"/>
      <c r="S1466" s="46"/>
      <c r="T1466" s="46"/>
      <c r="U1466" s="46"/>
      <c r="V1466" s="46"/>
      <c r="W1466" s="46"/>
      <c r="X1466" s="46"/>
    </row>
    <row r="1467" spans="1:24" x14ac:dyDescent="0.2">
      <c r="A1467" s="45"/>
      <c r="B1467" s="46"/>
      <c r="C1467" s="46"/>
      <c r="D1467" s="46"/>
      <c r="E1467" s="46"/>
      <c r="F1467" s="46"/>
      <c r="G1467" s="46"/>
      <c r="H1467" s="46"/>
      <c r="I1467" s="46"/>
      <c r="J1467" s="46"/>
      <c r="K1467" s="46"/>
      <c r="L1467" s="46"/>
      <c r="M1467" s="46"/>
      <c r="N1467" s="46"/>
      <c r="O1467" s="46"/>
      <c r="P1467" s="46"/>
      <c r="Q1467" s="46"/>
      <c r="R1467" s="46"/>
      <c r="S1467" s="46"/>
      <c r="T1467" s="46"/>
      <c r="U1467" s="46"/>
      <c r="V1467" s="46"/>
      <c r="W1467" s="46"/>
      <c r="X1467" s="46"/>
    </row>
    <row r="1468" spans="1:24" x14ac:dyDescent="0.2">
      <c r="A1468" s="45"/>
      <c r="B1468" s="46"/>
      <c r="C1468" s="46"/>
      <c r="D1468" s="46"/>
      <c r="E1468" s="46"/>
      <c r="F1468" s="46"/>
      <c r="G1468" s="46"/>
      <c r="H1468" s="46"/>
      <c r="I1468" s="46"/>
      <c r="J1468" s="46"/>
      <c r="K1468" s="46"/>
      <c r="L1468" s="46"/>
      <c r="M1468" s="46"/>
      <c r="N1468" s="46"/>
      <c r="O1468" s="46"/>
      <c r="P1468" s="46"/>
      <c r="Q1468" s="46"/>
      <c r="R1468" s="46"/>
      <c r="S1468" s="46"/>
      <c r="T1468" s="46"/>
      <c r="U1468" s="46"/>
      <c r="V1468" s="46"/>
      <c r="W1468" s="46"/>
      <c r="X1468" s="46"/>
    </row>
    <row r="1469" spans="1:24" x14ac:dyDescent="0.2">
      <c r="A1469" s="45"/>
      <c r="B1469" s="46"/>
      <c r="C1469" s="46"/>
      <c r="D1469" s="46"/>
      <c r="E1469" s="46"/>
      <c r="F1469" s="46"/>
      <c r="G1469" s="46"/>
      <c r="H1469" s="46"/>
      <c r="I1469" s="46"/>
      <c r="J1469" s="46"/>
      <c r="K1469" s="46"/>
      <c r="L1469" s="46"/>
      <c r="M1469" s="46"/>
      <c r="N1469" s="46"/>
      <c r="O1469" s="46"/>
      <c r="P1469" s="46"/>
      <c r="Q1469" s="46"/>
      <c r="R1469" s="46"/>
      <c r="S1469" s="46"/>
      <c r="T1469" s="46"/>
      <c r="U1469" s="46"/>
      <c r="V1469" s="46"/>
      <c r="W1469" s="46"/>
      <c r="X1469" s="46"/>
    </row>
    <row r="1470" spans="1:24" x14ac:dyDescent="0.2">
      <c r="A1470" s="45"/>
      <c r="B1470" s="46"/>
      <c r="C1470" s="46"/>
      <c r="D1470" s="46"/>
      <c r="E1470" s="46"/>
      <c r="F1470" s="46"/>
      <c r="G1470" s="46"/>
      <c r="H1470" s="46"/>
      <c r="I1470" s="46"/>
      <c r="J1470" s="46"/>
      <c r="K1470" s="46"/>
      <c r="L1470" s="46"/>
      <c r="M1470" s="46"/>
      <c r="N1470" s="46"/>
      <c r="O1470" s="46"/>
      <c r="P1470" s="46"/>
      <c r="Q1470" s="46"/>
      <c r="R1470" s="46"/>
      <c r="S1470" s="46"/>
      <c r="T1470" s="46"/>
      <c r="U1470" s="46"/>
      <c r="V1470" s="46"/>
      <c r="W1470" s="46"/>
      <c r="X1470" s="46"/>
    </row>
    <row r="1471" spans="1:24" x14ac:dyDescent="0.2">
      <c r="A1471" s="45"/>
      <c r="B1471" s="46"/>
      <c r="C1471" s="46"/>
      <c r="D1471" s="46"/>
      <c r="E1471" s="46"/>
      <c r="F1471" s="46"/>
      <c r="G1471" s="46"/>
      <c r="H1471" s="46"/>
      <c r="I1471" s="46"/>
      <c r="J1471" s="46"/>
      <c r="K1471" s="46"/>
      <c r="L1471" s="46"/>
      <c r="M1471" s="46"/>
      <c r="N1471" s="46"/>
      <c r="O1471" s="46"/>
      <c r="P1471" s="46"/>
      <c r="Q1471" s="46"/>
      <c r="R1471" s="46"/>
      <c r="S1471" s="46"/>
      <c r="T1471" s="46"/>
      <c r="U1471" s="46"/>
      <c r="V1471" s="46"/>
      <c r="W1471" s="46"/>
      <c r="X1471" s="46"/>
    </row>
    <row r="1472" spans="1:24" x14ac:dyDescent="0.2">
      <c r="A1472" s="45"/>
      <c r="B1472" s="46"/>
      <c r="C1472" s="46"/>
      <c r="D1472" s="46"/>
      <c r="E1472" s="46"/>
      <c r="F1472" s="46"/>
      <c r="G1472" s="46"/>
      <c r="H1472" s="46"/>
      <c r="I1472" s="46"/>
      <c r="J1472" s="46"/>
      <c r="K1472" s="46"/>
      <c r="L1472" s="46"/>
      <c r="M1472" s="46"/>
      <c r="N1472" s="46"/>
      <c r="O1472" s="46"/>
      <c r="P1472" s="46"/>
      <c r="Q1472" s="46"/>
      <c r="R1472" s="46"/>
      <c r="S1472" s="46"/>
      <c r="T1472" s="46"/>
      <c r="U1472" s="46"/>
      <c r="V1472" s="46"/>
      <c r="W1472" s="46"/>
      <c r="X1472" s="46"/>
    </row>
    <row r="1473" spans="1:24" x14ac:dyDescent="0.2">
      <c r="A1473" s="45"/>
      <c r="B1473" s="46"/>
      <c r="C1473" s="46"/>
      <c r="D1473" s="46"/>
      <c r="E1473" s="46"/>
      <c r="F1473" s="46"/>
      <c r="G1473" s="46"/>
      <c r="H1473" s="46"/>
      <c r="I1473" s="46"/>
      <c r="J1473" s="46"/>
      <c r="K1473" s="46"/>
      <c r="L1473" s="46"/>
      <c r="M1473" s="46"/>
      <c r="N1473" s="46"/>
      <c r="O1473" s="46"/>
      <c r="P1473" s="46"/>
      <c r="Q1473" s="46"/>
      <c r="R1473" s="46"/>
      <c r="S1473" s="46"/>
      <c r="T1473" s="46"/>
      <c r="U1473" s="46"/>
      <c r="V1473" s="46"/>
      <c r="W1473" s="46"/>
      <c r="X1473" s="46"/>
    </row>
    <row r="1474" spans="1:24" x14ac:dyDescent="0.2">
      <c r="A1474" s="45"/>
      <c r="B1474" s="46"/>
      <c r="C1474" s="46"/>
      <c r="D1474" s="46"/>
      <c r="E1474" s="46"/>
      <c r="F1474" s="46"/>
      <c r="G1474" s="46"/>
      <c r="H1474" s="46"/>
      <c r="I1474" s="46"/>
      <c r="J1474" s="46"/>
      <c r="K1474" s="46"/>
      <c r="L1474" s="46"/>
      <c r="M1474" s="46"/>
      <c r="N1474" s="46"/>
      <c r="O1474" s="46"/>
      <c r="P1474" s="46"/>
      <c r="Q1474" s="46"/>
      <c r="R1474" s="46"/>
      <c r="S1474" s="46"/>
      <c r="T1474" s="46"/>
      <c r="U1474" s="46"/>
      <c r="V1474" s="46"/>
      <c r="W1474" s="46"/>
      <c r="X1474" s="46"/>
    </row>
    <row r="1475" spans="1:24" x14ac:dyDescent="0.2">
      <c r="A1475" s="45"/>
      <c r="B1475" s="46"/>
      <c r="C1475" s="46"/>
      <c r="D1475" s="46"/>
      <c r="E1475" s="46"/>
      <c r="F1475" s="46"/>
      <c r="G1475" s="46"/>
      <c r="H1475" s="46"/>
      <c r="I1475" s="46"/>
      <c r="J1475" s="46"/>
      <c r="K1475" s="46"/>
      <c r="L1475" s="46"/>
      <c r="M1475" s="46"/>
      <c r="N1475" s="46"/>
      <c r="O1475" s="46"/>
      <c r="P1475" s="46"/>
      <c r="Q1475" s="46"/>
      <c r="R1475" s="46"/>
      <c r="S1475" s="46"/>
      <c r="T1475" s="46"/>
      <c r="U1475" s="46"/>
      <c r="V1475" s="46"/>
      <c r="W1475" s="46"/>
      <c r="X1475" s="46"/>
    </row>
    <row r="1476" spans="1:24" x14ac:dyDescent="0.2">
      <c r="A1476" s="45"/>
      <c r="B1476" s="46"/>
      <c r="C1476" s="46"/>
      <c r="D1476" s="46"/>
      <c r="E1476" s="46"/>
      <c r="F1476" s="46"/>
      <c r="G1476" s="46"/>
      <c r="H1476" s="46"/>
      <c r="I1476" s="46"/>
      <c r="J1476" s="46"/>
      <c r="K1476" s="46"/>
      <c r="L1476" s="46"/>
      <c r="M1476" s="46"/>
      <c r="N1476" s="46"/>
      <c r="O1476" s="46"/>
      <c r="P1476" s="46"/>
      <c r="Q1476" s="46"/>
      <c r="R1476" s="46"/>
      <c r="S1476" s="46"/>
      <c r="T1476" s="46"/>
      <c r="U1476" s="46"/>
      <c r="V1476" s="46"/>
      <c r="W1476" s="46"/>
      <c r="X1476" s="46"/>
    </row>
    <row r="1477" spans="1:24" x14ac:dyDescent="0.2">
      <c r="A1477" s="45"/>
      <c r="B1477" s="46"/>
      <c r="C1477" s="46"/>
      <c r="D1477" s="46"/>
      <c r="E1477" s="46"/>
      <c r="F1477" s="46"/>
      <c r="G1477" s="46"/>
      <c r="H1477" s="46"/>
      <c r="I1477" s="46"/>
      <c r="J1477" s="46"/>
      <c r="K1477" s="46"/>
      <c r="L1477" s="46"/>
      <c r="M1477" s="46"/>
      <c r="N1477" s="46"/>
      <c r="O1477" s="46"/>
      <c r="P1477" s="46"/>
      <c r="Q1477" s="46"/>
      <c r="R1477" s="46"/>
      <c r="S1477" s="46"/>
      <c r="T1477" s="46"/>
      <c r="U1477" s="46"/>
      <c r="V1477" s="46"/>
      <c r="W1477" s="46"/>
      <c r="X1477" s="46"/>
    </row>
    <row r="1478" spans="1:24" x14ac:dyDescent="0.2">
      <c r="A1478" s="45"/>
      <c r="B1478" s="46"/>
      <c r="C1478" s="46"/>
      <c r="D1478" s="46"/>
      <c r="E1478" s="46"/>
      <c r="F1478" s="46"/>
      <c r="G1478" s="46"/>
      <c r="H1478" s="46"/>
      <c r="I1478" s="46"/>
      <c r="J1478" s="46"/>
      <c r="K1478" s="46"/>
      <c r="L1478" s="46"/>
      <c r="M1478" s="46"/>
      <c r="N1478" s="46"/>
      <c r="O1478" s="46"/>
      <c r="P1478" s="46"/>
      <c r="Q1478" s="46"/>
      <c r="R1478" s="46"/>
      <c r="S1478" s="46"/>
      <c r="T1478" s="46"/>
      <c r="U1478" s="46"/>
      <c r="V1478" s="46"/>
      <c r="W1478" s="46"/>
      <c r="X1478" s="46"/>
    </row>
    <row r="1479" spans="1:24" x14ac:dyDescent="0.2">
      <c r="A1479" s="45"/>
      <c r="B1479" s="46"/>
      <c r="C1479" s="46"/>
      <c r="D1479" s="46"/>
      <c r="E1479" s="46"/>
      <c r="F1479" s="46"/>
      <c r="G1479" s="46"/>
      <c r="H1479" s="46"/>
      <c r="I1479" s="46"/>
      <c r="J1479" s="46"/>
      <c r="K1479" s="46"/>
      <c r="L1479" s="46"/>
      <c r="M1479" s="46"/>
      <c r="N1479" s="46"/>
      <c r="O1479" s="46"/>
      <c r="P1479" s="46"/>
      <c r="Q1479" s="46"/>
      <c r="R1479" s="46"/>
      <c r="S1479" s="46"/>
      <c r="T1479" s="46"/>
      <c r="U1479" s="46"/>
      <c r="V1479" s="46"/>
      <c r="W1479" s="46"/>
      <c r="X1479" s="46"/>
    </row>
    <row r="1480" spans="1:24" x14ac:dyDescent="0.2">
      <c r="A1480" s="45"/>
      <c r="B1480" s="46"/>
      <c r="C1480" s="46"/>
      <c r="D1480" s="46"/>
      <c r="E1480" s="46"/>
      <c r="F1480" s="46"/>
      <c r="G1480" s="46"/>
      <c r="H1480" s="46"/>
      <c r="I1480" s="46"/>
      <c r="J1480" s="46"/>
      <c r="K1480" s="46"/>
      <c r="L1480" s="46"/>
      <c r="M1480" s="46"/>
      <c r="N1480" s="46"/>
      <c r="O1480" s="46"/>
      <c r="P1480" s="46"/>
      <c r="Q1480" s="46"/>
      <c r="R1480" s="46"/>
      <c r="S1480" s="46"/>
      <c r="T1480" s="46"/>
      <c r="U1480" s="46"/>
      <c r="V1480" s="46"/>
      <c r="W1480" s="46"/>
      <c r="X1480" s="46"/>
    </row>
    <row r="1481" spans="1:24" x14ac:dyDescent="0.2">
      <c r="A1481" s="45"/>
      <c r="B1481" s="46"/>
      <c r="C1481" s="46"/>
      <c r="D1481" s="46"/>
      <c r="E1481" s="46"/>
      <c r="F1481" s="46"/>
      <c r="G1481" s="46"/>
      <c r="H1481" s="46"/>
      <c r="I1481" s="46"/>
      <c r="J1481" s="46"/>
      <c r="K1481" s="46"/>
      <c r="L1481" s="46"/>
      <c r="M1481" s="46"/>
      <c r="N1481" s="46"/>
      <c r="O1481" s="46"/>
      <c r="P1481" s="46"/>
      <c r="Q1481" s="46"/>
      <c r="R1481" s="46"/>
      <c r="S1481" s="46"/>
      <c r="T1481" s="46"/>
      <c r="U1481" s="46"/>
      <c r="V1481" s="46"/>
      <c r="W1481" s="46"/>
      <c r="X1481" s="46"/>
    </row>
    <row r="1482" spans="1:24" x14ac:dyDescent="0.2">
      <c r="A1482" s="45"/>
      <c r="B1482" s="46"/>
      <c r="C1482" s="46"/>
      <c r="D1482" s="46"/>
      <c r="E1482" s="46"/>
      <c r="F1482" s="46"/>
      <c r="G1482" s="46"/>
      <c r="H1482" s="46"/>
      <c r="I1482" s="46"/>
      <c r="J1482" s="46"/>
      <c r="K1482" s="46"/>
      <c r="L1482" s="46"/>
      <c r="M1482" s="46"/>
      <c r="N1482" s="46"/>
      <c r="O1482" s="46"/>
      <c r="P1482" s="46"/>
      <c r="Q1482" s="46"/>
      <c r="R1482" s="46"/>
      <c r="S1482" s="46"/>
      <c r="T1482" s="46"/>
      <c r="U1482" s="46"/>
      <c r="V1482" s="46"/>
      <c r="W1482" s="46"/>
      <c r="X1482" s="46"/>
    </row>
    <row r="1483" spans="1:24" x14ac:dyDescent="0.2">
      <c r="A1483" s="45"/>
      <c r="B1483" s="46"/>
      <c r="C1483" s="46"/>
      <c r="D1483" s="46"/>
      <c r="E1483" s="46"/>
      <c r="F1483" s="46"/>
      <c r="G1483" s="46"/>
      <c r="H1483" s="46"/>
      <c r="I1483" s="46"/>
      <c r="J1483" s="46"/>
      <c r="K1483" s="46"/>
      <c r="L1483" s="46"/>
      <c r="M1483" s="46"/>
      <c r="N1483" s="46"/>
      <c r="O1483" s="46"/>
      <c r="P1483" s="46"/>
      <c r="Q1483" s="46"/>
      <c r="R1483" s="46"/>
      <c r="S1483" s="46"/>
      <c r="T1483" s="46"/>
      <c r="U1483" s="46"/>
      <c r="V1483" s="46"/>
      <c r="W1483" s="46"/>
      <c r="X1483" s="46"/>
    </row>
    <row r="1484" spans="1:24" x14ac:dyDescent="0.2">
      <c r="A1484" s="45"/>
      <c r="B1484" s="46"/>
      <c r="C1484" s="46"/>
      <c r="D1484" s="46"/>
      <c r="E1484" s="46"/>
      <c r="F1484" s="46"/>
      <c r="G1484" s="46"/>
      <c r="H1484" s="46"/>
      <c r="I1484" s="46"/>
      <c r="J1484" s="46"/>
      <c r="K1484" s="46"/>
      <c r="L1484" s="46"/>
      <c r="M1484" s="46"/>
      <c r="N1484" s="46"/>
      <c r="O1484" s="46"/>
      <c r="P1484" s="46"/>
      <c r="Q1484" s="46"/>
      <c r="R1484" s="46"/>
      <c r="S1484" s="46"/>
      <c r="T1484" s="46"/>
      <c r="U1484" s="46"/>
      <c r="V1484" s="46"/>
      <c r="W1484" s="46"/>
      <c r="X1484" s="46"/>
    </row>
    <row r="1485" spans="1:24" x14ac:dyDescent="0.2">
      <c r="A1485" s="45"/>
      <c r="B1485" s="46"/>
      <c r="C1485" s="46"/>
      <c r="D1485" s="46"/>
      <c r="E1485" s="46"/>
      <c r="F1485" s="46"/>
      <c r="G1485" s="46"/>
      <c r="H1485" s="46"/>
      <c r="I1485" s="46"/>
      <c r="J1485" s="46"/>
      <c r="K1485" s="46"/>
      <c r="L1485" s="46"/>
      <c r="M1485" s="46"/>
      <c r="N1485" s="46"/>
      <c r="O1485" s="46"/>
      <c r="P1485" s="46"/>
      <c r="Q1485" s="46"/>
      <c r="R1485" s="46"/>
      <c r="S1485" s="46"/>
      <c r="T1485" s="46"/>
      <c r="U1485" s="46"/>
      <c r="V1485" s="46"/>
      <c r="W1485" s="46"/>
      <c r="X1485" s="46"/>
    </row>
    <row r="1486" spans="1:24" x14ac:dyDescent="0.2">
      <c r="A1486" s="45"/>
      <c r="B1486" s="46"/>
      <c r="C1486" s="46"/>
      <c r="D1486" s="46"/>
      <c r="E1486" s="46"/>
      <c r="F1486" s="46"/>
      <c r="G1486" s="46"/>
      <c r="H1486" s="46"/>
      <c r="I1486" s="46"/>
      <c r="J1486" s="46"/>
      <c r="K1486" s="46"/>
      <c r="L1486" s="46"/>
      <c r="M1486" s="46"/>
      <c r="N1486" s="46"/>
      <c r="O1486" s="46"/>
      <c r="P1486" s="46"/>
      <c r="Q1486" s="46"/>
      <c r="R1486" s="46"/>
      <c r="S1486" s="46"/>
      <c r="T1486" s="46"/>
      <c r="U1486" s="46"/>
      <c r="V1486" s="46"/>
      <c r="W1486" s="46"/>
      <c r="X1486" s="46"/>
    </row>
    <row r="1487" spans="1:24" x14ac:dyDescent="0.2">
      <c r="A1487" s="45"/>
      <c r="B1487" s="46"/>
      <c r="C1487" s="46"/>
      <c r="D1487" s="46"/>
      <c r="E1487" s="46"/>
      <c r="F1487" s="46"/>
      <c r="G1487" s="46"/>
      <c r="H1487" s="46"/>
      <c r="I1487" s="46"/>
      <c r="J1487" s="46"/>
      <c r="K1487" s="46"/>
      <c r="L1487" s="46"/>
      <c r="M1487" s="46"/>
      <c r="N1487" s="46"/>
      <c r="O1487" s="46"/>
      <c r="P1487" s="46"/>
      <c r="Q1487" s="46"/>
      <c r="R1487" s="46"/>
      <c r="S1487" s="46"/>
      <c r="T1487" s="46"/>
      <c r="U1487" s="46"/>
      <c r="V1487" s="46"/>
      <c r="W1487" s="46"/>
      <c r="X1487" s="46"/>
    </row>
    <row r="1488" spans="1:24" x14ac:dyDescent="0.2">
      <c r="A1488" s="45"/>
      <c r="B1488" s="46"/>
      <c r="C1488" s="46"/>
      <c r="D1488" s="46"/>
      <c r="E1488" s="46"/>
      <c r="F1488" s="46"/>
      <c r="G1488" s="46"/>
      <c r="H1488" s="46"/>
      <c r="I1488" s="46"/>
      <c r="J1488" s="46"/>
      <c r="K1488" s="46"/>
      <c r="L1488" s="46"/>
      <c r="M1488" s="46"/>
      <c r="N1488" s="46"/>
      <c r="O1488" s="46"/>
      <c r="P1488" s="46"/>
      <c r="Q1488" s="46"/>
      <c r="R1488" s="46"/>
      <c r="S1488" s="46"/>
      <c r="T1488" s="46"/>
      <c r="U1488" s="46"/>
      <c r="V1488" s="46"/>
      <c r="W1488" s="46"/>
      <c r="X1488" s="46"/>
    </row>
    <row r="1489" spans="1:24" x14ac:dyDescent="0.2">
      <c r="A1489" s="45"/>
      <c r="B1489" s="46"/>
      <c r="C1489" s="46"/>
      <c r="D1489" s="46"/>
      <c r="E1489" s="46"/>
      <c r="F1489" s="46"/>
      <c r="G1489" s="46"/>
      <c r="H1489" s="46"/>
      <c r="I1489" s="46"/>
      <c r="J1489" s="46"/>
      <c r="K1489" s="46"/>
      <c r="L1489" s="46"/>
      <c r="M1489" s="46"/>
      <c r="N1489" s="46"/>
      <c r="O1489" s="46"/>
      <c r="P1489" s="46"/>
      <c r="Q1489" s="46"/>
      <c r="R1489" s="46"/>
      <c r="S1489" s="46"/>
      <c r="T1489" s="46"/>
      <c r="U1489" s="46"/>
      <c r="V1489" s="46"/>
      <c r="W1489" s="46"/>
      <c r="X1489" s="46"/>
    </row>
    <row r="1490" spans="1:24" x14ac:dyDescent="0.2">
      <c r="A1490" s="45"/>
      <c r="B1490" s="46"/>
      <c r="C1490" s="46"/>
      <c r="D1490" s="46"/>
      <c r="E1490" s="46"/>
      <c r="F1490" s="46"/>
      <c r="G1490" s="46"/>
      <c r="H1490" s="46"/>
      <c r="I1490" s="46"/>
      <c r="J1490" s="46"/>
      <c r="K1490" s="46"/>
      <c r="L1490" s="46"/>
      <c r="M1490" s="46"/>
      <c r="N1490" s="46"/>
      <c r="O1490" s="46"/>
      <c r="P1490" s="46"/>
      <c r="Q1490" s="46"/>
      <c r="R1490" s="46"/>
      <c r="S1490" s="46"/>
      <c r="T1490" s="46"/>
      <c r="U1490" s="46"/>
      <c r="V1490" s="46"/>
      <c r="W1490" s="46"/>
      <c r="X1490" s="46"/>
    </row>
    <row r="1491" spans="1:24" x14ac:dyDescent="0.2">
      <c r="A1491" s="45"/>
      <c r="B1491" s="46"/>
      <c r="C1491" s="46"/>
      <c r="D1491" s="46"/>
      <c r="E1491" s="46"/>
      <c r="F1491" s="46"/>
      <c r="G1491" s="46"/>
      <c r="H1491" s="46"/>
      <c r="I1491" s="46"/>
      <c r="J1491" s="46"/>
      <c r="K1491" s="46"/>
      <c r="L1491" s="46"/>
      <c r="M1491" s="46"/>
      <c r="N1491" s="46"/>
      <c r="O1491" s="46"/>
      <c r="P1491" s="46"/>
      <c r="Q1491" s="46"/>
      <c r="R1491" s="46"/>
      <c r="S1491" s="46"/>
      <c r="T1491" s="46"/>
      <c r="U1491" s="46"/>
      <c r="V1491" s="46"/>
      <c r="W1491" s="46"/>
      <c r="X1491" s="46"/>
    </row>
    <row r="1492" spans="1:24" x14ac:dyDescent="0.2">
      <c r="A1492" s="45"/>
      <c r="B1492" s="46"/>
      <c r="C1492" s="46"/>
      <c r="D1492" s="46"/>
      <c r="E1492" s="46"/>
      <c r="F1492" s="46"/>
      <c r="G1492" s="46"/>
      <c r="H1492" s="46"/>
      <c r="I1492" s="46"/>
      <c r="J1492" s="46"/>
      <c r="K1492" s="46"/>
      <c r="L1492" s="46"/>
      <c r="M1492" s="46"/>
      <c r="N1492" s="46"/>
      <c r="O1492" s="46"/>
      <c r="P1492" s="46"/>
      <c r="Q1492" s="46"/>
      <c r="R1492" s="46"/>
      <c r="S1492" s="46"/>
      <c r="T1492" s="46"/>
      <c r="U1492" s="46"/>
      <c r="V1492" s="46"/>
      <c r="W1492" s="46"/>
      <c r="X1492" s="46"/>
    </row>
    <row r="1493" spans="1:24" x14ac:dyDescent="0.2">
      <c r="A1493" s="45"/>
      <c r="B1493" s="46"/>
      <c r="C1493" s="46"/>
      <c r="D1493" s="46"/>
      <c r="E1493" s="46"/>
      <c r="F1493" s="46"/>
      <c r="G1493" s="46"/>
      <c r="H1493" s="46"/>
      <c r="I1493" s="46"/>
      <c r="J1493" s="46"/>
      <c r="K1493" s="46"/>
      <c r="L1493" s="46"/>
      <c r="M1493" s="46"/>
      <c r="N1493" s="46"/>
      <c r="O1493" s="46"/>
      <c r="P1493" s="46"/>
      <c r="Q1493" s="46"/>
      <c r="R1493" s="46"/>
      <c r="S1493" s="46"/>
      <c r="T1493" s="46"/>
      <c r="U1493" s="46"/>
      <c r="V1493" s="46"/>
      <c r="W1493" s="46"/>
      <c r="X1493" s="46"/>
    </row>
    <row r="1494" spans="1:24" x14ac:dyDescent="0.2">
      <c r="A1494" s="45"/>
      <c r="B1494" s="46"/>
      <c r="C1494" s="46"/>
      <c r="D1494" s="46"/>
      <c r="E1494" s="46"/>
      <c r="F1494" s="46"/>
      <c r="G1494" s="46"/>
      <c r="H1494" s="46"/>
      <c r="I1494" s="46"/>
      <c r="J1494" s="46"/>
      <c r="K1494" s="46"/>
      <c r="L1494" s="46"/>
      <c r="M1494" s="46"/>
      <c r="N1494" s="46"/>
      <c r="O1494" s="46"/>
      <c r="P1494" s="46"/>
      <c r="Q1494" s="46"/>
      <c r="R1494" s="46"/>
      <c r="S1494" s="46"/>
      <c r="T1494" s="46"/>
      <c r="U1494" s="46"/>
      <c r="V1494" s="46"/>
      <c r="W1494" s="46"/>
      <c r="X1494" s="46"/>
    </row>
    <row r="1495" spans="1:24" x14ac:dyDescent="0.2">
      <c r="A1495" s="45"/>
      <c r="B1495" s="46"/>
      <c r="C1495" s="46"/>
      <c r="D1495" s="46"/>
      <c r="E1495" s="46"/>
      <c r="F1495" s="46"/>
      <c r="G1495" s="46"/>
      <c r="H1495" s="46"/>
      <c r="I1495" s="46"/>
      <c r="J1495" s="46"/>
      <c r="K1495" s="46"/>
      <c r="L1495" s="46"/>
      <c r="M1495" s="46"/>
      <c r="N1495" s="46"/>
      <c r="O1495" s="46"/>
      <c r="P1495" s="46"/>
      <c r="Q1495" s="46"/>
      <c r="R1495" s="46"/>
      <c r="S1495" s="46"/>
      <c r="T1495" s="46"/>
      <c r="U1495" s="46"/>
      <c r="V1495" s="46"/>
      <c r="W1495" s="46"/>
      <c r="X1495" s="46"/>
    </row>
    <row r="1496" spans="1:24" x14ac:dyDescent="0.2">
      <c r="A1496" s="45"/>
      <c r="B1496" s="46"/>
      <c r="C1496" s="46"/>
      <c r="D1496" s="46"/>
      <c r="E1496" s="46"/>
      <c r="F1496" s="46"/>
      <c r="G1496" s="46"/>
      <c r="H1496" s="46"/>
      <c r="I1496" s="46"/>
      <c r="J1496" s="46"/>
      <c r="K1496" s="46"/>
      <c r="L1496" s="46"/>
      <c r="M1496" s="46"/>
      <c r="N1496" s="46"/>
      <c r="O1496" s="46"/>
      <c r="P1496" s="46"/>
      <c r="Q1496" s="46"/>
      <c r="R1496" s="46"/>
      <c r="S1496" s="46"/>
      <c r="T1496" s="46"/>
      <c r="U1496" s="46"/>
      <c r="V1496" s="46"/>
      <c r="W1496" s="46"/>
      <c r="X1496" s="46"/>
    </row>
    <row r="1497" spans="1:24" x14ac:dyDescent="0.2">
      <c r="A1497" s="45"/>
      <c r="B1497" s="46"/>
      <c r="C1497" s="46"/>
      <c r="D1497" s="46"/>
      <c r="E1497" s="46"/>
      <c r="F1497" s="46"/>
      <c r="G1497" s="46"/>
      <c r="H1497" s="46"/>
      <c r="I1497" s="46"/>
      <c r="J1497" s="46"/>
      <c r="K1497" s="46"/>
      <c r="L1497" s="46"/>
      <c r="M1497" s="46"/>
      <c r="N1497" s="46"/>
      <c r="O1497" s="46"/>
      <c r="P1497" s="46"/>
      <c r="Q1497" s="46"/>
      <c r="R1497" s="46"/>
      <c r="S1497" s="46"/>
      <c r="T1497" s="46"/>
      <c r="U1497" s="46"/>
      <c r="V1497" s="46"/>
      <c r="W1497" s="46"/>
      <c r="X1497" s="46"/>
    </row>
    <row r="1498" spans="1:24" x14ac:dyDescent="0.2">
      <c r="A1498" s="45"/>
      <c r="B1498" s="46"/>
      <c r="C1498" s="46"/>
      <c r="D1498" s="46"/>
      <c r="E1498" s="46"/>
      <c r="F1498" s="46"/>
      <c r="G1498" s="46"/>
      <c r="H1498" s="46"/>
      <c r="I1498" s="46"/>
      <c r="J1498" s="46"/>
      <c r="K1498" s="46"/>
      <c r="L1498" s="46"/>
      <c r="M1498" s="46"/>
      <c r="N1498" s="46"/>
      <c r="O1498" s="46"/>
      <c r="P1498" s="46"/>
      <c r="Q1498" s="46"/>
      <c r="R1498" s="46"/>
      <c r="S1498" s="46"/>
      <c r="T1498" s="46"/>
      <c r="U1498" s="46"/>
      <c r="V1498" s="46"/>
      <c r="W1498" s="46"/>
      <c r="X1498" s="46"/>
    </row>
    <row r="1499" spans="1:24" x14ac:dyDescent="0.2">
      <c r="A1499" s="45"/>
      <c r="B1499" s="46"/>
      <c r="C1499" s="46"/>
      <c r="D1499" s="46"/>
      <c r="E1499" s="46"/>
      <c r="F1499" s="46"/>
      <c r="G1499" s="46"/>
      <c r="H1499" s="46"/>
      <c r="I1499" s="46"/>
      <c r="J1499" s="46"/>
      <c r="K1499" s="46"/>
      <c r="L1499" s="46"/>
      <c r="M1499" s="46"/>
      <c r="N1499" s="46"/>
      <c r="O1499" s="46"/>
      <c r="P1499" s="46"/>
      <c r="Q1499" s="46"/>
      <c r="R1499" s="46"/>
      <c r="S1499" s="46"/>
      <c r="T1499" s="46"/>
      <c r="U1499" s="46"/>
      <c r="V1499" s="46"/>
      <c r="W1499" s="46"/>
      <c r="X1499" s="46"/>
    </row>
    <row r="1500" spans="1:24" x14ac:dyDescent="0.2">
      <c r="A1500" s="45"/>
      <c r="B1500" s="46"/>
      <c r="C1500" s="46"/>
      <c r="D1500" s="46"/>
      <c r="E1500" s="46"/>
      <c r="F1500" s="46"/>
      <c r="G1500" s="46"/>
      <c r="H1500" s="46"/>
      <c r="I1500" s="46"/>
      <c r="J1500" s="46"/>
      <c r="K1500" s="46"/>
      <c r="L1500" s="46"/>
      <c r="M1500" s="46"/>
      <c r="N1500" s="46"/>
      <c r="O1500" s="46"/>
      <c r="P1500" s="46"/>
      <c r="Q1500" s="46"/>
      <c r="R1500" s="46"/>
      <c r="S1500" s="46"/>
      <c r="T1500" s="46"/>
      <c r="U1500" s="46"/>
      <c r="V1500" s="46"/>
      <c r="W1500" s="46"/>
      <c r="X1500" s="46"/>
    </row>
    <row r="1501" spans="1:24" x14ac:dyDescent="0.2">
      <c r="A1501" s="45"/>
      <c r="B1501" s="46"/>
      <c r="C1501" s="46"/>
      <c r="D1501" s="46"/>
      <c r="E1501" s="46"/>
      <c r="F1501" s="46"/>
      <c r="G1501" s="46"/>
      <c r="H1501" s="46"/>
      <c r="I1501" s="46"/>
      <c r="J1501" s="46"/>
      <c r="K1501" s="46"/>
      <c r="L1501" s="46"/>
      <c r="M1501" s="46"/>
      <c r="N1501" s="46"/>
      <c r="O1501" s="46"/>
      <c r="P1501" s="46"/>
      <c r="Q1501" s="46"/>
      <c r="R1501" s="46"/>
      <c r="S1501" s="46"/>
      <c r="T1501" s="46"/>
      <c r="U1501" s="46"/>
      <c r="V1501" s="46"/>
      <c r="W1501" s="46"/>
      <c r="X1501" s="46"/>
    </row>
    <row r="1502" spans="1:24" x14ac:dyDescent="0.2">
      <c r="A1502" s="45"/>
      <c r="B1502" s="46"/>
      <c r="C1502" s="46"/>
      <c r="D1502" s="46"/>
      <c r="E1502" s="46"/>
      <c r="F1502" s="46"/>
      <c r="G1502" s="46"/>
      <c r="H1502" s="46"/>
      <c r="I1502" s="46"/>
      <c r="J1502" s="46"/>
      <c r="K1502" s="46"/>
      <c r="L1502" s="46"/>
      <c r="M1502" s="46"/>
      <c r="N1502" s="46"/>
      <c r="O1502" s="46"/>
      <c r="P1502" s="46"/>
      <c r="Q1502" s="46"/>
      <c r="R1502" s="46"/>
      <c r="S1502" s="46"/>
      <c r="T1502" s="46"/>
      <c r="U1502" s="46"/>
      <c r="V1502" s="46"/>
      <c r="W1502" s="46"/>
      <c r="X1502" s="46"/>
    </row>
    <row r="1503" spans="1:24" x14ac:dyDescent="0.2">
      <c r="A1503" s="45"/>
      <c r="B1503" s="46"/>
      <c r="C1503" s="46"/>
      <c r="D1503" s="46"/>
      <c r="E1503" s="46"/>
      <c r="F1503" s="46"/>
      <c r="G1503" s="46"/>
      <c r="H1503" s="46"/>
      <c r="I1503" s="46"/>
      <c r="J1503" s="46"/>
      <c r="K1503" s="46"/>
      <c r="L1503" s="46"/>
      <c r="M1503" s="46"/>
      <c r="N1503" s="46"/>
      <c r="O1503" s="46"/>
      <c r="P1503" s="46"/>
      <c r="Q1503" s="46"/>
      <c r="R1503" s="46"/>
      <c r="S1503" s="46"/>
      <c r="T1503" s="46"/>
      <c r="U1503" s="46"/>
      <c r="V1503" s="46"/>
      <c r="W1503" s="46"/>
      <c r="X1503" s="46"/>
    </row>
    <row r="1504" spans="1:24" x14ac:dyDescent="0.2">
      <c r="A1504" s="45"/>
      <c r="B1504" s="46"/>
      <c r="C1504" s="46"/>
      <c r="D1504" s="46"/>
      <c r="E1504" s="46"/>
      <c r="F1504" s="46"/>
      <c r="G1504" s="46"/>
      <c r="H1504" s="46"/>
      <c r="I1504" s="46"/>
      <c r="J1504" s="46"/>
      <c r="K1504" s="46"/>
      <c r="L1504" s="46"/>
      <c r="M1504" s="46"/>
      <c r="N1504" s="46"/>
      <c r="O1504" s="46"/>
      <c r="P1504" s="46"/>
      <c r="Q1504" s="46"/>
      <c r="R1504" s="46"/>
      <c r="S1504" s="46"/>
      <c r="T1504" s="46"/>
      <c r="U1504" s="46"/>
      <c r="V1504" s="46"/>
      <c r="W1504" s="46"/>
      <c r="X1504" s="46"/>
    </row>
    <row r="1505" spans="1:24" x14ac:dyDescent="0.2">
      <c r="A1505" s="45"/>
      <c r="B1505" s="46"/>
      <c r="C1505" s="46"/>
      <c r="D1505" s="46"/>
      <c r="E1505" s="46"/>
      <c r="F1505" s="46"/>
      <c r="G1505" s="46"/>
      <c r="H1505" s="46"/>
      <c r="I1505" s="46"/>
      <c r="J1505" s="46"/>
      <c r="K1505" s="46"/>
      <c r="L1505" s="46"/>
      <c r="M1505" s="46"/>
      <c r="N1505" s="46"/>
      <c r="O1505" s="46"/>
      <c r="P1505" s="46"/>
      <c r="Q1505" s="46"/>
      <c r="R1505" s="46"/>
      <c r="S1505" s="46"/>
      <c r="T1505" s="46"/>
      <c r="U1505" s="46"/>
      <c r="V1505" s="46"/>
      <c r="W1505" s="46"/>
      <c r="X1505" s="46"/>
    </row>
    <row r="1506" spans="1:24" x14ac:dyDescent="0.2">
      <c r="A1506" s="45"/>
      <c r="B1506" s="46"/>
      <c r="C1506" s="46"/>
      <c r="D1506" s="46"/>
      <c r="E1506" s="46"/>
      <c r="F1506" s="46"/>
      <c r="G1506" s="46"/>
      <c r="H1506" s="46"/>
      <c r="I1506" s="46"/>
      <c r="J1506" s="46"/>
      <c r="K1506" s="46"/>
      <c r="L1506" s="46"/>
      <c r="M1506" s="46"/>
      <c r="N1506" s="46"/>
      <c r="O1506" s="46"/>
      <c r="P1506" s="46"/>
      <c r="Q1506" s="46"/>
      <c r="R1506" s="46"/>
      <c r="S1506" s="46"/>
      <c r="T1506" s="46"/>
      <c r="U1506" s="46"/>
      <c r="V1506" s="46"/>
      <c r="W1506" s="46"/>
      <c r="X1506" s="46"/>
    </row>
    <row r="1507" spans="1:24" x14ac:dyDescent="0.2">
      <c r="A1507" s="45"/>
      <c r="B1507" s="46"/>
      <c r="C1507" s="46"/>
      <c r="D1507" s="46"/>
      <c r="E1507" s="46"/>
      <c r="F1507" s="46"/>
      <c r="G1507" s="46"/>
      <c r="H1507" s="46"/>
      <c r="I1507" s="46"/>
      <c r="J1507" s="46"/>
      <c r="K1507" s="46"/>
      <c r="L1507" s="46"/>
      <c r="M1507" s="46"/>
      <c r="N1507" s="46"/>
      <c r="O1507" s="46"/>
      <c r="P1507" s="46"/>
      <c r="Q1507" s="46"/>
      <c r="R1507" s="46"/>
      <c r="S1507" s="46"/>
      <c r="T1507" s="46"/>
      <c r="U1507" s="46"/>
      <c r="V1507" s="46"/>
      <c r="W1507" s="46"/>
      <c r="X1507" s="46"/>
    </row>
    <row r="1508" spans="1:24" x14ac:dyDescent="0.2">
      <c r="A1508" s="45"/>
      <c r="B1508" s="46"/>
      <c r="C1508" s="46"/>
      <c r="D1508" s="46"/>
      <c r="E1508" s="46"/>
      <c r="F1508" s="46"/>
      <c r="G1508" s="46"/>
      <c r="H1508" s="46"/>
      <c r="I1508" s="46"/>
      <c r="J1508" s="46"/>
      <c r="K1508" s="46"/>
      <c r="L1508" s="46"/>
      <c r="M1508" s="46"/>
      <c r="N1508" s="46"/>
      <c r="O1508" s="46"/>
      <c r="P1508" s="46"/>
      <c r="Q1508" s="46"/>
      <c r="R1508" s="46"/>
      <c r="S1508" s="46"/>
      <c r="T1508" s="46"/>
      <c r="U1508" s="46"/>
      <c r="V1508" s="46"/>
      <c r="W1508" s="46"/>
      <c r="X1508" s="46"/>
    </row>
    <row r="1509" spans="1:24" x14ac:dyDescent="0.2">
      <c r="A1509" s="45"/>
      <c r="B1509" s="46"/>
      <c r="C1509" s="46"/>
      <c r="D1509" s="46"/>
      <c r="E1509" s="46"/>
      <c r="F1509" s="46"/>
      <c r="G1509" s="46"/>
      <c r="H1509" s="46"/>
      <c r="I1509" s="46"/>
      <c r="J1509" s="46"/>
      <c r="K1509" s="46"/>
      <c r="L1509" s="46"/>
      <c r="M1509" s="46"/>
      <c r="N1509" s="46"/>
      <c r="O1509" s="46"/>
      <c r="P1509" s="46"/>
      <c r="Q1509" s="46"/>
      <c r="R1509" s="46"/>
      <c r="S1509" s="46"/>
      <c r="T1509" s="46"/>
      <c r="U1509" s="46"/>
      <c r="V1509" s="46"/>
      <c r="W1509" s="46"/>
      <c r="X1509" s="46"/>
    </row>
    <row r="1510" spans="1:24" x14ac:dyDescent="0.2">
      <c r="A1510" s="45"/>
      <c r="B1510" s="46"/>
      <c r="C1510" s="46"/>
      <c r="D1510" s="46"/>
      <c r="E1510" s="46"/>
      <c r="F1510" s="46"/>
      <c r="G1510" s="46"/>
      <c r="H1510" s="46"/>
      <c r="I1510" s="46"/>
      <c r="J1510" s="46"/>
      <c r="K1510" s="46"/>
      <c r="L1510" s="46"/>
      <c r="M1510" s="46"/>
      <c r="N1510" s="46"/>
      <c r="O1510" s="46"/>
      <c r="P1510" s="46"/>
      <c r="Q1510" s="46"/>
      <c r="R1510" s="46"/>
      <c r="S1510" s="46"/>
      <c r="T1510" s="46"/>
      <c r="U1510" s="46"/>
      <c r="V1510" s="46"/>
      <c r="W1510" s="46"/>
      <c r="X1510" s="46"/>
    </row>
    <row r="1511" spans="1:24" x14ac:dyDescent="0.2">
      <c r="A1511" s="45"/>
      <c r="B1511" s="46"/>
      <c r="C1511" s="46"/>
      <c r="D1511" s="46"/>
      <c r="E1511" s="46"/>
      <c r="F1511" s="46"/>
      <c r="G1511" s="46"/>
      <c r="H1511" s="46"/>
      <c r="I1511" s="46"/>
      <c r="J1511" s="46"/>
      <c r="K1511" s="46"/>
      <c r="L1511" s="46"/>
      <c r="M1511" s="46"/>
      <c r="N1511" s="46"/>
      <c r="O1511" s="46"/>
      <c r="P1511" s="46"/>
      <c r="Q1511" s="46"/>
      <c r="R1511" s="46"/>
      <c r="S1511" s="46"/>
      <c r="T1511" s="46"/>
      <c r="U1511" s="46"/>
      <c r="V1511" s="46"/>
      <c r="W1511" s="46"/>
      <c r="X1511" s="46"/>
    </row>
    <row r="1512" spans="1:24" x14ac:dyDescent="0.2">
      <c r="A1512" s="45"/>
      <c r="B1512" s="46"/>
      <c r="C1512" s="46"/>
      <c r="D1512" s="46"/>
      <c r="E1512" s="46"/>
      <c r="F1512" s="46"/>
      <c r="G1512" s="46"/>
      <c r="H1512" s="46"/>
      <c r="I1512" s="46"/>
      <c r="J1512" s="46"/>
      <c r="K1512" s="46"/>
      <c r="L1512" s="46"/>
      <c r="M1512" s="46"/>
      <c r="N1512" s="46"/>
      <c r="O1512" s="46"/>
      <c r="P1512" s="46"/>
      <c r="Q1512" s="46"/>
      <c r="R1512" s="46"/>
      <c r="S1512" s="46"/>
      <c r="T1512" s="46"/>
      <c r="U1512" s="46"/>
      <c r="V1512" s="46"/>
      <c r="W1512" s="46"/>
      <c r="X1512" s="46"/>
    </row>
    <row r="1513" spans="1:24" x14ac:dyDescent="0.2">
      <c r="A1513" s="45"/>
      <c r="B1513" s="46"/>
      <c r="C1513" s="46"/>
      <c r="D1513" s="46"/>
      <c r="E1513" s="46"/>
      <c r="F1513" s="46"/>
      <c r="G1513" s="46"/>
      <c r="H1513" s="46"/>
      <c r="I1513" s="46"/>
      <c r="J1513" s="46"/>
      <c r="K1513" s="46"/>
      <c r="L1513" s="46"/>
      <c r="M1513" s="46"/>
      <c r="N1513" s="46"/>
      <c r="O1513" s="46"/>
      <c r="P1513" s="46"/>
      <c r="Q1513" s="46"/>
      <c r="R1513" s="46"/>
      <c r="S1513" s="46"/>
      <c r="T1513" s="46"/>
      <c r="U1513" s="46"/>
      <c r="V1513" s="46"/>
      <c r="W1513" s="46"/>
      <c r="X1513" s="46"/>
    </row>
    <row r="1514" spans="1:24" x14ac:dyDescent="0.2">
      <c r="A1514" s="45"/>
      <c r="B1514" s="46"/>
      <c r="C1514" s="46"/>
      <c r="D1514" s="46"/>
      <c r="E1514" s="46"/>
      <c r="F1514" s="46"/>
      <c r="G1514" s="46"/>
      <c r="H1514" s="46"/>
      <c r="I1514" s="46"/>
      <c r="J1514" s="46"/>
      <c r="K1514" s="46"/>
      <c r="L1514" s="46"/>
      <c r="M1514" s="46"/>
      <c r="N1514" s="46"/>
      <c r="O1514" s="46"/>
      <c r="P1514" s="46"/>
      <c r="Q1514" s="46"/>
      <c r="R1514" s="46"/>
      <c r="S1514" s="46"/>
      <c r="T1514" s="46"/>
      <c r="U1514" s="46"/>
      <c r="V1514" s="46"/>
      <c r="W1514" s="46"/>
      <c r="X1514" s="46"/>
    </row>
    <row r="1515" spans="1:24" x14ac:dyDescent="0.2">
      <c r="A1515" s="45"/>
      <c r="B1515" s="46"/>
      <c r="C1515" s="46"/>
      <c r="D1515" s="46"/>
      <c r="E1515" s="46"/>
      <c r="F1515" s="46"/>
      <c r="G1515" s="46"/>
      <c r="H1515" s="46"/>
      <c r="I1515" s="46"/>
      <c r="J1515" s="46"/>
      <c r="K1515" s="46"/>
      <c r="L1515" s="46"/>
      <c r="M1515" s="46"/>
      <c r="N1515" s="46"/>
      <c r="O1515" s="46"/>
      <c r="P1515" s="46"/>
      <c r="Q1515" s="46"/>
      <c r="R1515" s="46"/>
      <c r="S1515" s="46"/>
      <c r="T1515" s="46"/>
      <c r="U1515" s="46"/>
      <c r="V1515" s="46"/>
      <c r="W1515" s="46"/>
      <c r="X1515" s="46"/>
    </row>
    <row r="1516" spans="1:24" x14ac:dyDescent="0.2">
      <c r="A1516" s="45"/>
      <c r="B1516" s="46"/>
      <c r="C1516" s="46"/>
      <c r="D1516" s="46"/>
      <c r="E1516" s="46"/>
      <c r="F1516" s="46"/>
      <c r="G1516" s="46"/>
      <c r="H1516" s="46"/>
      <c r="I1516" s="46"/>
      <c r="J1516" s="46"/>
      <c r="K1516" s="46"/>
      <c r="L1516" s="46"/>
      <c r="M1516" s="46"/>
      <c r="N1516" s="46"/>
      <c r="O1516" s="46"/>
      <c r="P1516" s="46"/>
      <c r="Q1516" s="46"/>
      <c r="R1516" s="46"/>
      <c r="S1516" s="46"/>
      <c r="T1516" s="46"/>
      <c r="U1516" s="46"/>
      <c r="V1516" s="46"/>
      <c r="W1516" s="46"/>
      <c r="X1516" s="46"/>
    </row>
    <row r="1517" spans="1:24" x14ac:dyDescent="0.2">
      <c r="A1517" s="45"/>
      <c r="B1517" s="46"/>
      <c r="C1517" s="46"/>
      <c r="D1517" s="46"/>
      <c r="E1517" s="46"/>
      <c r="F1517" s="46"/>
      <c r="G1517" s="46"/>
      <c r="H1517" s="46"/>
      <c r="I1517" s="46"/>
      <c r="J1517" s="46"/>
      <c r="K1517" s="46"/>
      <c r="L1517" s="46"/>
      <c r="M1517" s="46"/>
      <c r="N1517" s="46"/>
      <c r="O1517" s="46"/>
      <c r="P1517" s="46"/>
      <c r="Q1517" s="46"/>
      <c r="R1517" s="46"/>
      <c r="S1517" s="46"/>
      <c r="T1517" s="46"/>
      <c r="U1517" s="46"/>
      <c r="V1517" s="46"/>
      <c r="W1517" s="46"/>
      <c r="X1517" s="46"/>
    </row>
    <row r="1518" spans="1:24" x14ac:dyDescent="0.2">
      <c r="A1518" s="45"/>
      <c r="B1518" s="46"/>
      <c r="C1518" s="46"/>
      <c r="D1518" s="46"/>
      <c r="E1518" s="46"/>
      <c r="F1518" s="46"/>
      <c r="G1518" s="46"/>
      <c r="H1518" s="46"/>
      <c r="I1518" s="46"/>
      <c r="J1518" s="46"/>
      <c r="K1518" s="46"/>
      <c r="L1518" s="46"/>
      <c r="M1518" s="46"/>
      <c r="N1518" s="46"/>
      <c r="O1518" s="46"/>
      <c r="P1518" s="46"/>
      <c r="Q1518" s="46"/>
      <c r="R1518" s="46"/>
      <c r="S1518" s="46"/>
      <c r="T1518" s="46"/>
      <c r="U1518" s="46"/>
      <c r="V1518" s="46"/>
      <c r="W1518" s="46"/>
      <c r="X1518" s="46"/>
    </row>
    <row r="1519" spans="1:24" x14ac:dyDescent="0.2">
      <c r="A1519" s="45"/>
      <c r="B1519" s="46"/>
      <c r="C1519" s="46"/>
      <c r="D1519" s="46"/>
      <c r="E1519" s="46"/>
      <c r="F1519" s="46"/>
      <c r="G1519" s="46"/>
      <c r="H1519" s="46"/>
      <c r="I1519" s="46"/>
      <c r="J1519" s="46"/>
      <c r="K1519" s="46"/>
      <c r="L1519" s="46"/>
      <c r="M1519" s="46"/>
      <c r="N1519" s="46"/>
      <c r="O1519" s="46"/>
      <c r="P1519" s="46"/>
      <c r="Q1519" s="46"/>
      <c r="R1519" s="46"/>
      <c r="S1519" s="46"/>
      <c r="T1519" s="46"/>
      <c r="U1519" s="46"/>
      <c r="V1519" s="46"/>
      <c r="W1519" s="46"/>
      <c r="X1519" s="46"/>
    </row>
    <row r="1520" spans="1:24" x14ac:dyDescent="0.2">
      <c r="A1520" s="45"/>
      <c r="B1520" s="46"/>
      <c r="C1520" s="46"/>
      <c r="D1520" s="46"/>
      <c r="E1520" s="46"/>
      <c r="F1520" s="46"/>
      <c r="G1520" s="46"/>
      <c r="H1520" s="46"/>
      <c r="I1520" s="46"/>
      <c r="J1520" s="46"/>
      <c r="K1520" s="46"/>
      <c r="L1520" s="46"/>
      <c r="M1520" s="46"/>
      <c r="N1520" s="46"/>
      <c r="O1520" s="46"/>
      <c r="P1520" s="46"/>
      <c r="Q1520" s="46"/>
      <c r="R1520" s="46"/>
      <c r="S1520" s="46"/>
      <c r="T1520" s="46"/>
      <c r="U1520" s="46"/>
      <c r="V1520" s="46"/>
      <c r="W1520" s="46"/>
      <c r="X1520" s="46"/>
    </row>
    <row r="1521" spans="1:24" x14ac:dyDescent="0.2">
      <c r="A1521" s="45"/>
      <c r="B1521" s="46"/>
      <c r="C1521" s="46"/>
      <c r="D1521" s="46"/>
      <c r="E1521" s="46"/>
      <c r="F1521" s="46"/>
      <c r="G1521" s="46"/>
      <c r="H1521" s="46"/>
      <c r="I1521" s="46"/>
      <c r="J1521" s="46"/>
      <c r="K1521" s="46"/>
      <c r="L1521" s="46"/>
      <c r="M1521" s="46"/>
      <c r="N1521" s="46"/>
      <c r="O1521" s="46"/>
      <c r="P1521" s="46"/>
      <c r="Q1521" s="46"/>
      <c r="R1521" s="46"/>
      <c r="S1521" s="46"/>
      <c r="T1521" s="46"/>
      <c r="U1521" s="46"/>
      <c r="V1521" s="46"/>
      <c r="W1521" s="46"/>
      <c r="X1521" s="46"/>
    </row>
    <row r="1522" spans="1:24" x14ac:dyDescent="0.2">
      <c r="A1522" s="45"/>
      <c r="B1522" s="46"/>
      <c r="C1522" s="46"/>
      <c r="D1522" s="46"/>
      <c r="E1522" s="46"/>
      <c r="F1522" s="46"/>
      <c r="G1522" s="46"/>
      <c r="H1522" s="46"/>
      <c r="I1522" s="46"/>
      <c r="J1522" s="46"/>
      <c r="K1522" s="46"/>
      <c r="L1522" s="46"/>
      <c r="M1522" s="46"/>
      <c r="N1522" s="46"/>
      <c r="O1522" s="46"/>
      <c r="P1522" s="46"/>
      <c r="Q1522" s="46"/>
      <c r="R1522" s="46"/>
      <c r="S1522" s="46"/>
      <c r="T1522" s="46"/>
      <c r="U1522" s="46"/>
      <c r="V1522" s="46"/>
      <c r="W1522" s="46"/>
      <c r="X1522" s="46"/>
    </row>
    <row r="1523" spans="1:24" x14ac:dyDescent="0.2">
      <c r="A1523" s="45"/>
      <c r="B1523" s="46"/>
      <c r="C1523" s="46"/>
      <c r="D1523" s="46"/>
      <c r="E1523" s="46"/>
      <c r="F1523" s="46"/>
      <c r="G1523" s="46"/>
      <c r="H1523" s="46"/>
      <c r="I1523" s="46"/>
      <c r="J1523" s="46"/>
      <c r="K1523" s="46"/>
      <c r="L1523" s="46"/>
      <c r="M1523" s="46"/>
      <c r="N1523" s="46"/>
      <c r="O1523" s="46"/>
      <c r="P1523" s="46"/>
      <c r="Q1523" s="46"/>
      <c r="R1523" s="46"/>
      <c r="S1523" s="46"/>
      <c r="T1523" s="46"/>
      <c r="U1523" s="46"/>
      <c r="V1523" s="46"/>
      <c r="W1523" s="46"/>
      <c r="X1523" s="46"/>
    </row>
    <row r="1524" spans="1:24" x14ac:dyDescent="0.2">
      <c r="A1524" s="45"/>
      <c r="B1524" s="46"/>
      <c r="C1524" s="46"/>
      <c r="D1524" s="46"/>
      <c r="E1524" s="46"/>
      <c r="F1524" s="46"/>
      <c r="G1524" s="46"/>
      <c r="H1524" s="46"/>
      <c r="I1524" s="46"/>
      <c r="J1524" s="46"/>
      <c r="K1524" s="46"/>
      <c r="L1524" s="46"/>
      <c r="M1524" s="46"/>
      <c r="N1524" s="46"/>
      <c r="O1524" s="46"/>
      <c r="P1524" s="46"/>
      <c r="Q1524" s="46"/>
      <c r="R1524" s="46"/>
      <c r="S1524" s="46"/>
      <c r="T1524" s="46"/>
      <c r="U1524" s="46"/>
      <c r="V1524" s="46"/>
      <c r="W1524" s="46"/>
      <c r="X1524" s="46"/>
    </row>
    <row r="1525" spans="1:24" x14ac:dyDescent="0.2">
      <c r="A1525" s="45"/>
      <c r="B1525" s="46"/>
      <c r="C1525" s="46"/>
      <c r="D1525" s="46"/>
      <c r="E1525" s="46"/>
      <c r="F1525" s="46"/>
      <c r="G1525" s="46"/>
      <c r="H1525" s="46"/>
      <c r="I1525" s="46"/>
      <c r="J1525" s="46"/>
      <c r="K1525" s="46"/>
      <c r="L1525" s="46"/>
      <c r="M1525" s="46"/>
      <c r="N1525" s="46"/>
      <c r="O1525" s="46"/>
      <c r="P1525" s="46"/>
      <c r="Q1525" s="46"/>
      <c r="R1525" s="46"/>
      <c r="S1525" s="46"/>
      <c r="T1525" s="46"/>
      <c r="U1525" s="46"/>
      <c r="V1525" s="46"/>
      <c r="W1525" s="46"/>
      <c r="X1525" s="46"/>
    </row>
    <row r="1526" spans="1:24" x14ac:dyDescent="0.2">
      <c r="A1526" s="45"/>
      <c r="B1526" s="46"/>
      <c r="C1526" s="46"/>
      <c r="D1526" s="46"/>
      <c r="E1526" s="46"/>
      <c r="F1526" s="46"/>
      <c r="G1526" s="46"/>
      <c r="H1526" s="46"/>
      <c r="I1526" s="46"/>
      <c r="J1526" s="46"/>
      <c r="K1526" s="46"/>
      <c r="L1526" s="46"/>
      <c r="M1526" s="46"/>
      <c r="N1526" s="46"/>
      <c r="O1526" s="46"/>
      <c r="P1526" s="46"/>
      <c r="Q1526" s="46"/>
      <c r="R1526" s="46"/>
      <c r="S1526" s="46"/>
      <c r="T1526" s="46"/>
      <c r="U1526" s="46"/>
      <c r="V1526" s="46"/>
      <c r="W1526" s="46"/>
      <c r="X1526" s="46"/>
    </row>
    <row r="1527" spans="1:24" x14ac:dyDescent="0.2">
      <c r="A1527" s="45"/>
      <c r="B1527" s="46"/>
      <c r="C1527" s="46"/>
      <c r="D1527" s="46"/>
      <c r="E1527" s="46"/>
      <c r="F1527" s="46"/>
      <c r="G1527" s="46"/>
      <c r="H1527" s="46"/>
      <c r="I1527" s="46"/>
      <c r="J1527" s="46"/>
      <c r="K1527" s="46"/>
      <c r="L1527" s="46"/>
      <c r="M1527" s="46"/>
      <c r="N1527" s="46"/>
      <c r="O1527" s="46"/>
      <c r="P1527" s="46"/>
      <c r="Q1527" s="46"/>
      <c r="R1527" s="46"/>
      <c r="S1527" s="46"/>
      <c r="T1527" s="46"/>
      <c r="U1527" s="46"/>
      <c r="V1527" s="46"/>
      <c r="W1527" s="46"/>
      <c r="X1527" s="46"/>
    </row>
    <row r="1528" spans="1:24" x14ac:dyDescent="0.2">
      <c r="A1528" s="45"/>
      <c r="B1528" s="46"/>
      <c r="C1528" s="46"/>
      <c r="D1528" s="46"/>
      <c r="E1528" s="46"/>
      <c r="F1528" s="46"/>
      <c r="G1528" s="46"/>
      <c r="H1528" s="46"/>
      <c r="I1528" s="46"/>
      <c r="J1528" s="46"/>
      <c r="K1528" s="46"/>
      <c r="L1528" s="46"/>
      <c r="M1528" s="46"/>
      <c r="N1528" s="46"/>
      <c r="O1528" s="46"/>
      <c r="P1528" s="46"/>
      <c r="Q1528" s="46"/>
      <c r="R1528" s="46"/>
      <c r="S1528" s="46"/>
      <c r="T1528" s="46"/>
      <c r="U1528" s="46"/>
      <c r="V1528" s="46"/>
      <c r="W1528" s="46"/>
      <c r="X1528" s="46"/>
    </row>
    <row r="1529" spans="1:24" x14ac:dyDescent="0.2">
      <c r="A1529" s="45"/>
      <c r="B1529" s="46"/>
      <c r="C1529" s="46"/>
      <c r="D1529" s="46"/>
      <c r="E1529" s="46"/>
      <c r="F1529" s="46"/>
      <c r="G1529" s="46"/>
      <c r="H1529" s="46"/>
      <c r="I1529" s="46"/>
      <c r="J1529" s="46"/>
      <c r="K1529" s="46"/>
      <c r="L1529" s="46"/>
      <c r="M1529" s="46"/>
      <c r="N1529" s="46"/>
      <c r="O1529" s="46"/>
      <c r="P1529" s="46"/>
      <c r="Q1529" s="46"/>
      <c r="R1529" s="46"/>
      <c r="S1529" s="46"/>
      <c r="T1529" s="46"/>
      <c r="U1529" s="46"/>
      <c r="V1529" s="46"/>
      <c r="W1529" s="46"/>
      <c r="X1529" s="46"/>
    </row>
    <row r="1530" spans="1:24" x14ac:dyDescent="0.2">
      <c r="A1530" s="45"/>
      <c r="B1530" s="46"/>
      <c r="C1530" s="46"/>
      <c r="D1530" s="46"/>
      <c r="E1530" s="46"/>
      <c r="F1530" s="46"/>
      <c r="G1530" s="46"/>
      <c r="H1530" s="46"/>
      <c r="I1530" s="46"/>
      <c r="J1530" s="46"/>
      <c r="K1530" s="46"/>
      <c r="L1530" s="46"/>
      <c r="M1530" s="46"/>
      <c r="N1530" s="46"/>
      <c r="O1530" s="46"/>
      <c r="P1530" s="46"/>
      <c r="Q1530" s="46"/>
      <c r="R1530" s="46"/>
      <c r="S1530" s="46"/>
      <c r="T1530" s="46"/>
      <c r="U1530" s="46"/>
      <c r="V1530" s="46"/>
      <c r="W1530" s="46"/>
      <c r="X1530" s="46"/>
    </row>
    <row r="1531" spans="1:24" x14ac:dyDescent="0.2">
      <c r="A1531" s="45"/>
      <c r="B1531" s="46"/>
      <c r="C1531" s="46"/>
      <c r="D1531" s="46"/>
      <c r="E1531" s="46"/>
      <c r="F1531" s="46"/>
      <c r="G1531" s="46"/>
      <c r="H1531" s="46"/>
      <c r="I1531" s="46"/>
      <c r="J1531" s="46"/>
      <c r="K1531" s="46"/>
      <c r="L1531" s="46"/>
      <c r="M1531" s="46"/>
      <c r="N1531" s="46"/>
      <c r="O1531" s="46"/>
      <c r="P1531" s="46"/>
      <c r="Q1531" s="46"/>
      <c r="R1531" s="46"/>
      <c r="S1531" s="46"/>
      <c r="T1531" s="46"/>
      <c r="U1531" s="46"/>
      <c r="V1531" s="46"/>
      <c r="W1531" s="46"/>
      <c r="X1531" s="46"/>
    </row>
    <row r="1532" spans="1:24" x14ac:dyDescent="0.2">
      <c r="A1532" s="45"/>
      <c r="B1532" s="46"/>
      <c r="C1532" s="46"/>
      <c r="D1532" s="46"/>
      <c r="E1532" s="46"/>
      <c r="F1532" s="46"/>
      <c r="G1532" s="46"/>
      <c r="H1532" s="46"/>
      <c r="I1532" s="46"/>
      <c r="J1532" s="46"/>
      <c r="K1532" s="46"/>
      <c r="L1532" s="46"/>
      <c r="M1532" s="46"/>
      <c r="N1532" s="46"/>
      <c r="O1532" s="46"/>
      <c r="P1532" s="46"/>
      <c r="Q1532" s="46"/>
      <c r="R1532" s="46"/>
      <c r="S1532" s="46"/>
      <c r="T1532" s="46"/>
      <c r="U1532" s="46"/>
      <c r="V1532" s="46"/>
      <c r="W1532" s="46"/>
      <c r="X1532" s="46"/>
    </row>
    <row r="1533" spans="1:24" x14ac:dyDescent="0.2">
      <c r="A1533" s="45"/>
      <c r="B1533" s="46"/>
      <c r="C1533" s="46"/>
      <c r="D1533" s="46"/>
      <c r="E1533" s="46"/>
      <c r="F1533" s="46"/>
      <c r="G1533" s="46"/>
      <c r="H1533" s="46"/>
      <c r="I1533" s="46"/>
      <c r="J1533" s="46"/>
      <c r="K1533" s="46"/>
      <c r="L1533" s="46"/>
      <c r="M1533" s="46"/>
      <c r="N1533" s="46"/>
      <c r="O1533" s="46"/>
      <c r="P1533" s="46"/>
      <c r="Q1533" s="46"/>
      <c r="R1533" s="46"/>
      <c r="S1533" s="46"/>
      <c r="T1533" s="46"/>
      <c r="U1533" s="46"/>
      <c r="V1533" s="46"/>
      <c r="W1533" s="46"/>
      <c r="X1533" s="46"/>
    </row>
    <row r="1534" spans="1:24" x14ac:dyDescent="0.2">
      <c r="A1534" s="45"/>
      <c r="B1534" s="46"/>
      <c r="C1534" s="46"/>
      <c r="D1534" s="46"/>
      <c r="E1534" s="46"/>
      <c r="F1534" s="46"/>
      <c r="G1534" s="46"/>
      <c r="H1534" s="46"/>
      <c r="I1534" s="46"/>
      <c r="J1534" s="46"/>
      <c r="K1534" s="46"/>
      <c r="L1534" s="46"/>
      <c r="M1534" s="46"/>
      <c r="N1534" s="46"/>
      <c r="O1534" s="46"/>
      <c r="P1534" s="46"/>
      <c r="Q1534" s="46"/>
      <c r="R1534" s="46"/>
      <c r="S1534" s="46"/>
      <c r="T1534" s="46"/>
      <c r="U1534" s="46"/>
      <c r="V1534" s="46"/>
      <c r="W1534" s="46"/>
      <c r="X1534" s="46"/>
    </row>
    <row r="1535" spans="1:24" x14ac:dyDescent="0.2">
      <c r="A1535" s="45"/>
      <c r="B1535" s="46"/>
      <c r="C1535" s="46"/>
      <c r="D1535" s="46"/>
      <c r="E1535" s="46"/>
      <c r="F1535" s="46"/>
      <c r="G1535" s="46"/>
      <c r="H1535" s="46"/>
      <c r="I1535" s="46"/>
      <c r="J1535" s="46"/>
      <c r="K1535" s="46"/>
      <c r="L1535" s="46"/>
      <c r="M1535" s="46"/>
      <c r="N1535" s="46"/>
      <c r="O1535" s="46"/>
      <c r="P1535" s="46"/>
      <c r="Q1535" s="46"/>
      <c r="R1535" s="46"/>
      <c r="S1535" s="46"/>
      <c r="T1535" s="46"/>
      <c r="U1535" s="46"/>
      <c r="V1535" s="46"/>
      <c r="W1535" s="46"/>
      <c r="X1535" s="46"/>
    </row>
    <row r="1536" spans="1:24" x14ac:dyDescent="0.2">
      <c r="A1536" s="45"/>
      <c r="B1536" s="46"/>
      <c r="C1536" s="46"/>
      <c r="D1536" s="46"/>
      <c r="E1536" s="46"/>
      <c r="F1536" s="46"/>
      <c r="G1536" s="46"/>
      <c r="H1536" s="46"/>
      <c r="I1536" s="46"/>
      <c r="J1536" s="46"/>
      <c r="K1536" s="46"/>
      <c r="L1536" s="46"/>
      <c r="M1536" s="46"/>
      <c r="N1536" s="46"/>
      <c r="O1536" s="46"/>
      <c r="P1536" s="46"/>
      <c r="Q1536" s="46"/>
      <c r="R1536" s="46"/>
      <c r="S1536" s="46"/>
      <c r="T1536" s="46"/>
      <c r="U1536" s="46"/>
      <c r="V1536" s="46"/>
      <c r="W1536" s="46"/>
      <c r="X1536" s="46"/>
    </row>
    <row r="1537" spans="1:24" x14ac:dyDescent="0.2">
      <c r="A1537" s="45"/>
      <c r="B1537" s="46"/>
      <c r="C1537" s="46"/>
      <c r="D1537" s="46"/>
      <c r="E1537" s="46"/>
      <c r="F1537" s="46"/>
      <c r="G1537" s="46"/>
      <c r="H1537" s="46"/>
      <c r="I1537" s="46"/>
      <c r="J1537" s="46"/>
      <c r="K1537" s="46"/>
      <c r="L1537" s="46"/>
      <c r="M1537" s="46"/>
      <c r="N1537" s="46"/>
      <c r="O1537" s="46"/>
      <c r="P1537" s="46"/>
      <c r="Q1537" s="46"/>
      <c r="R1537" s="46"/>
      <c r="S1537" s="46"/>
      <c r="T1537" s="46"/>
      <c r="U1537" s="46"/>
      <c r="V1537" s="46"/>
      <c r="W1537" s="46"/>
      <c r="X1537" s="46"/>
    </row>
    <row r="1538" spans="1:24" x14ac:dyDescent="0.2">
      <c r="A1538" s="45"/>
      <c r="B1538" s="46"/>
      <c r="C1538" s="46"/>
      <c r="D1538" s="46"/>
      <c r="E1538" s="46"/>
      <c r="F1538" s="46"/>
      <c r="G1538" s="46"/>
      <c r="H1538" s="46"/>
      <c r="I1538" s="46"/>
      <c r="J1538" s="46"/>
      <c r="K1538" s="46"/>
      <c r="L1538" s="46"/>
      <c r="M1538" s="46"/>
      <c r="N1538" s="46"/>
      <c r="O1538" s="46"/>
      <c r="P1538" s="46"/>
      <c r="Q1538" s="46"/>
      <c r="R1538" s="46"/>
      <c r="S1538" s="46"/>
      <c r="T1538" s="46"/>
      <c r="U1538" s="46"/>
      <c r="V1538" s="46"/>
      <c r="W1538" s="46"/>
      <c r="X1538" s="46"/>
    </row>
    <row r="1539" spans="1:24" x14ac:dyDescent="0.2">
      <c r="A1539" s="45"/>
      <c r="B1539" s="46"/>
      <c r="C1539" s="46"/>
      <c r="D1539" s="46"/>
      <c r="E1539" s="46"/>
      <c r="F1539" s="46"/>
      <c r="G1539" s="46"/>
      <c r="H1539" s="46"/>
      <c r="I1539" s="46"/>
      <c r="J1539" s="46"/>
      <c r="K1539" s="46"/>
      <c r="L1539" s="46"/>
      <c r="M1539" s="46"/>
      <c r="N1539" s="46"/>
      <c r="O1539" s="46"/>
      <c r="P1539" s="46"/>
      <c r="Q1539" s="46"/>
      <c r="R1539" s="46"/>
      <c r="S1539" s="46"/>
      <c r="T1539" s="46"/>
      <c r="U1539" s="46"/>
      <c r="V1539" s="46"/>
      <c r="W1539" s="46"/>
      <c r="X1539" s="46"/>
    </row>
    <row r="1540" spans="1:24" x14ac:dyDescent="0.2">
      <c r="A1540" s="45"/>
      <c r="B1540" s="46"/>
      <c r="C1540" s="46"/>
      <c r="D1540" s="46"/>
      <c r="E1540" s="46"/>
      <c r="F1540" s="46"/>
      <c r="G1540" s="46"/>
      <c r="H1540" s="46"/>
      <c r="I1540" s="46"/>
      <c r="J1540" s="46"/>
      <c r="K1540" s="46"/>
      <c r="L1540" s="46"/>
      <c r="M1540" s="46"/>
      <c r="N1540" s="46"/>
      <c r="O1540" s="46"/>
      <c r="P1540" s="46"/>
      <c r="Q1540" s="46"/>
      <c r="R1540" s="46"/>
      <c r="S1540" s="46"/>
      <c r="T1540" s="46"/>
      <c r="U1540" s="46"/>
      <c r="V1540" s="46"/>
      <c r="W1540" s="46"/>
      <c r="X1540" s="46"/>
    </row>
    <row r="1541" spans="1:24" x14ac:dyDescent="0.2">
      <c r="A1541" s="45"/>
      <c r="B1541" s="46"/>
      <c r="C1541" s="46"/>
      <c r="D1541" s="46"/>
      <c r="E1541" s="46"/>
      <c r="F1541" s="46"/>
      <c r="G1541" s="46"/>
      <c r="H1541" s="46"/>
      <c r="I1541" s="46"/>
      <c r="J1541" s="46"/>
      <c r="K1541" s="46"/>
      <c r="L1541" s="46"/>
      <c r="M1541" s="46"/>
      <c r="N1541" s="46"/>
      <c r="O1541" s="46"/>
      <c r="P1541" s="46"/>
      <c r="Q1541" s="46"/>
      <c r="R1541" s="46"/>
      <c r="S1541" s="46"/>
      <c r="T1541" s="46"/>
      <c r="U1541" s="46"/>
      <c r="V1541" s="46"/>
      <c r="W1541" s="46"/>
      <c r="X1541" s="46"/>
    </row>
    <row r="1542" spans="1:24" x14ac:dyDescent="0.2">
      <c r="A1542" s="45"/>
      <c r="B1542" s="46"/>
      <c r="C1542" s="46"/>
      <c r="D1542" s="46"/>
      <c r="E1542" s="46"/>
      <c r="F1542" s="46"/>
      <c r="G1542" s="46"/>
      <c r="H1542" s="46"/>
      <c r="I1542" s="46"/>
      <c r="J1542" s="46"/>
      <c r="K1542" s="46"/>
      <c r="L1542" s="46"/>
      <c r="M1542" s="46"/>
      <c r="N1542" s="46"/>
      <c r="O1542" s="46"/>
      <c r="P1542" s="46"/>
      <c r="Q1542" s="46"/>
      <c r="R1542" s="46"/>
      <c r="S1542" s="46"/>
      <c r="T1542" s="46"/>
      <c r="U1542" s="46"/>
      <c r="V1542" s="46"/>
      <c r="W1542" s="46"/>
      <c r="X1542" s="46"/>
    </row>
    <row r="1543" spans="1:24" x14ac:dyDescent="0.2">
      <c r="A1543" s="45"/>
      <c r="B1543" s="46"/>
      <c r="C1543" s="46"/>
      <c r="D1543" s="46"/>
      <c r="E1543" s="46"/>
      <c r="F1543" s="46"/>
      <c r="G1543" s="46"/>
      <c r="H1543" s="46"/>
      <c r="I1543" s="46"/>
      <c r="J1543" s="46"/>
      <c r="K1543" s="46"/>
      <c r="L1543" s="46"/>
      <c r="M1543" s="46"/>
      <c r="N1543" s="46"/>
      <c r="O1543" s="46"/>
      <c r="P1543" s="46"/>
      <c r="Q1543" s="46"/>
      <c r="R1543" s="46"/>
      <c r="S1543" s="46"/>
      <c r="T1543" s="46"/>
      <c r="U1543" s="46"/>
      <c r="V1543" s="46"/>
      <c r="W1543" s="46"/>
      <c r="X1543" s="46"/>
    </row>
    <row r="1544" spans="1:24" x14ac:dyDescent="0.2">
      <c r="A1544" s="45"/>
      <c r="B1544" s="46"/>
      <c r="C1544" s="46"/>
      <c r="D1544" s="46"/>
      <c r="E1544" s="46"/>
      <c r="F1544" s="46"/>
      <c r="G1544" s="46"/>
      <c r="H1544" s="46"/>
      <c r="I1544" s="46"/>
      <c r="J1544" s="46"/>
      <c r="K1544" s="46"/>
      <c r="L1544" s="46"/>
      <c r="M1544" s="46"/>
      <c r="N1544" s="46"/>
      <c r="O1544" s="46"/>
      <c r="P1544" s="46"/>
      <c r="Q1544" s="46"/>
      <c r="R1544" s="46"/>
      <c r="S1544" s="46"/>
      <c r="T1544" s="46"/>
      <c r="U1544" s="46"/>
      <c r="V1544" s="46"/>
      <c r="W1544" s="46"/>
      <c r="X1544" s="46"/>
    </row>
    <row r="1545" spans="1:24" x14ac:dyDescent="0.2">
      <c r="A1545" s="45"/>
      <c r="B1545" s="46"/>
      <c r="C1545" s="46"/>
      <c r="D1545" s="46"/>
      <c r="E1545" s="46"/>
      <c r="F1545" s="46"/>
      <c r="G1545" s="46"/>
      <c r="H1545" s="46"/>
      <c r="I1545" s="46"/>
      <c r="J1545" s="46"/>
      <c r="K1545" s="46"/>
      <c r="L1545" s="46"/>
      <c r="M1545" s="46"/>
      <c r="N1545" s="46"/>
      <c r="O1545" s="46"/>
      <c r="P1545" s="46"/>
      <c r="Q1545" s="46"/>
      <c r="R1545" s="46"/>
      <c r="S1545" s="46"/>
      <c r="T1545" s="46"/>
      <c r="U1545" s="46"/>
      <c r="V1545" s="46"/>
      <c r="W1545" s="46"/>
      <c r="X1545" s="46"/>
    </row>
    <row r="1546" spans="1:24" x14ac:dyDescent="0.2">
      <c r="A1546" s="45"/>
      <c r="B1546" s="46"/>
      <c r="C1546" s="46"/>
      <c r="D1546" s="46"/>
      <c r="E1546" s="46"/>
      <c r="F1546" s="46"/>
      <c r="G1546" s="46"/>
      <c r="H1546" s="46"/>
      <c r="I1546" s="46"/>
      <c r="J1546" s="46"/>
      <c r="K1546" s="46"/>
      <c r="L1546" s="46"/>
      <c r="M1546" s="46"/>
      <c r="N1546" s="46"/>
      <c r="O1546" s="46"/>
      <c r="P1546" s="46"/>
      <c r="Q1546" s="46"/>
      <c r="R1546" s="46"/>
      <c r="S1546" s="46"/>
      <c r="T1546" s="46"/>
      <c r="U1546" s="46"/>
      <c r="V1546" s="46"/>
      <c r="W1546" s="46"/>
      <c r="X1546" s="46"/>
    </row>
    <row r="1547" spans="1:24" x14ac:dyDescent="0.2">
      <c r="A1547" s="45"/>
      <c r="B1547" s="46"/>
      <c r="C1547" s="46"/>
      <c r="D1547" s="46"/>
      <c r="E1547" s="46"/>
      <c r="F1547" s="46"/>
      <c r="G1547" s="46"/>
      <c r="H1547" s="46"/>
      <c r="I1547" s="46"/>
      <c r="J1547" s="46"/>
      <c r="K1547" s="46"/>
      <c r="L1547" s="46"/>
      <c r="M1547" s="46"/>
      <c r="N1547" s="46"/>
      <c r="O1547" s="46"/>
      <c r="P1547" s="46"/>
      <c r="Q1547" s="46"/>
      <c r="R1547" s="46"/>
      <c r="S1547" s="46"/>
      <c r="T1547" s="46"/>
      <c r="U1547" s="46"/>
      <c r="V1547" s="46"/>
      <c r="W1547" s="46"/>
      <c r="X1547" s="46"/>
    </row>
    <row r="1548" spans="1:24" x14ac:dyDescent="0.2">
      <c r="A1548" s="45"/>
      <c r="B1548" s="46"/>
      <c r="C1548" s="46"/>
      <c r="D1548" s="46"/>
      <c r="E1548" s="46"/>
      <c r="F1548" s="46"/>
      <c r="G1548" s="46"/>
      <c r="H1548" s="46"/>
      <c r="I1548" s="46"/>
      <c r="J1548" s="46"/>
      <c r="K1548" s="46"/>
      <c r="L1548" s="46"/>
      <c r="M1548" s="46"/>
      <c r="N1548" s="46"/>
      <c r="O1548" s="46"/>
      <c r="P1548" s="46"/>
      <c r="Q1548" s="46"/>
      <c r="R1548" s="46"/>
      <c r="S1548" s="46"/>
      <c r="T1548" s="46"/>
      <c r="U1548" s="46"/>
      <c r="V1548" s="46"/>
      <c r="W1548" s="46"/>
      <c r="X1548" s="46"/>
    </row>
    <row r="1549" spans="1:24" x14ac:dyDescent="0.2">
      <c r="A1549" s="45"/>
      <c r="B1549" s="46"/>
      <c r="C1549" s="46"/>
      <c r="D1549" s="46"/>
      <c r="E1549" s="46"/>
      <c r="F1549" s="46"/>
      <c r="G1549" s="46"/>
      <c r="H1549" s="46"/>
      <c r="I1549" s="46"/>
      <c r="J1549" s="46"/>
      <c r="K1549" s="46"/>
      <c r="L1549" s="46"/>
      <c r="M1549" s="46"/>
      <c r="N1549" s="46"/>
      <c r="O1549" s="46"/>
      <c r="P1549" s="46"/>
      <c r="Q1549" s="46"/>
      <c r="R1549" s="46"/>
      <c r="S1549" s="46"/>
      <c r="T1549" s="46"/>
      <c r="U1549" s="46"/>
      <c r="V1549" s="46"/>
      <c r="W1549" s="46"/>
      <c r="X1549" s="46"/>
    </row>
    <row r="1550" spans="1:24" x14ac:dyDescent="0.2">
      <c r="A1550" s="45"/>
      <c r="B1550" s="46"/>
      <c r="C1550" s="46"/>
      <c r="D1550" s="46"/>
      <c r="E1550" s="46"/>
      <c r="F1550" s="46"/>
      <c r="G1550" s="46"/>
      <c r="H1550" s="46"/>
      <c r="I1550" s="46"/>
      <c r="J1550" s="46"/>
      <c r="K1550" s="46"/>
      <c r="L1550" s="46"/>
      <c r="M1550" s="46"/>
      <c r="N1550" s="46"/>
      <c r="O1550" s="46"/>
      <c r="P1550" s="46"/>
      <c r="Q1550" s="46"/>
      <c r="R1550" s="46"/>
      <c r="S1550" s="46"/>
      <c r="T1550" s="46"/>
      <c r="U1550" s="46"/>
      <c r="V1550" s="46"/>
      <c r="W1550" s="46"/>
      <c r="X1550" s="46"/>
    </row>
    <row r="1551" spans="1:24" x14ac:dyDescent="0.2">
      <c r="A1551" s="45"/>
      <c r="B1551" s="46"/>
      <c r="C1551" s="46"/>
      <c r="D1551" s="46"/>
      <c r="E1551" s="46"/>
      <c r="F1551" s="46"/>
      <c r="G1551" s="46"/>
      <c r="H1551" s="46"/>
      <c r="I1551" s="46"/>
      <c r="J1551" s="46"/>
      <c r="K1551" s="46"/>
      <c r="L1551" s="46"/>
      <c r="M1551" s="46"/>
      <c r="N1551" s="46"/>
      <c r="O1551" s="46"/>
      <c r="P1551" s="46"/>
      <c r="Q1551" s="46"/>
      <c r="R1551" s="46"/>
      <c r="S1551" s="46"/>
      <c r="T1551" s="46"/>
      <c r="U1551" s="46"/>
      <c r="V1551" s="46"/>
      <c r="W1551" s="46"/>
      <c r="X1551" s="46"/>
    </row>
    <row r="1552" spans="1:24" x14ac:dyDescent="0.2">
      <c r="A1552" s="45"/>
      <c r="B1552" s="46"/>
      <c r="C1552" s="46"/>
      <c r="D1552" s="46"/>
      <c r="E1552" s="46"/>
      <c r="F1552" s="46"/>
      <c r="G1552" s="46"/>
      <c r="H1552" s="46"/>
      <c r="I1552" s="46"/>
      <c r="J1552" s="46"/>
      <c r="K1552" s="46"/>
      <c r="L1552" s="46"/>
      <c r="M1552" s="46"/>
      <c r="N1552" s="46"/>
      <c r="O1552" s="46"/>
      <c r="P1552" s="46"/>
      <c r="Q1552" s="46"/>
      <c r="R1552" s="46"/>
      <c r="S1552" s="46"/>
      <c r="T1552" s="46"/>
      <c r="U1552" s="46"/>
      <c r="V1552" s="46"/>
      <c r="W1552" s="46"/>
      <c r="X1552" s="46"/>
    </row>
    <row r="1553" spans="1:24" x14ac:dyDescent="0.2">
      <c r="A1553" s="45"/>
      <c r="B1553" s="46"/>
      <c r="C1553" s="46"/>
      <c r="D1553" s="46"/>
      <c r="E1553" s="46"/>
      <c r="F1553" s="46"/>
      <c r="G1553" s="46"/>
      <c r="H1553" s="46"/>
      <c r="I1553" s="46"/>
      <c r="J1553" s="46"/>
      <c r="K1553" s="46"/>
      <c r="L1553" s="46"/>
      <c r="M1553" s="46"/>
      <c r="N1553" s="46"/>
      <c r="O1553" s="46"/>
      <c r="P1553" s="46"/>
      <c r="Q1553" s="46"/>
      <c r="R1553" s="46"/>
      <c r="S1553" s="46"/>
      <c r="T1553" s="46"/>
      <c r="U1553" s="46"/>
      <c r="V1553" s="46"/>
      <c r="W1553" s="46"/>
      <c r="X1553" s="46"/>
    </row>
    <row r="1554" spans="1:24" x14ac:dyDescent="0.2">
      <c r="A1554" s="45"/>
      <c r="B1554" s="46"/>
      <c r="C1554" s="46"/>
      <c r="D1554" s="46"/>
      <c r="E1554" s="46"/>
      <c r="F1554" s="46"/>
      <c r="G1554" s="46"/>
      <c r="H1554" s="46"/>
      <c r="I1554" s="46"/>
      <c r="J1554" s="46"/>
      <c r="K1554" s="46"/>
      <c r="L1554" s="46"/>
      <c r="M1554" s="46"/>
      <c r="N1554" s="46"/>
      <c r="O1554" s="46"/>
      <c r="P1554" s="46"/>
      <c r="Q1554" s="46"/>
      <c r="R1554" s="46"/>
      <c r="S1554" s="46"/>
      <c r="T1554" s="46"/>
      <c r="U1554" s="46"/>
      <c r="V1554" s="46"/>
      <c r="W1554" s="46"/>
      <c r="X1554" s="46"/>
    </row>
    <row r="1555" spans="1:24" x14ac:dyDescent="0.2">
      <c r="A1555" s="45"/>
      <c r="B1555" s="46"/>
      <c r="C1555" s="46"/>
      <c r="D1555" s="46"/>
      <c r="E1555" s="46"/>
      <c r="F1555" s="46"/>
      <c r="G1555" s="46"/>
      <c r="H1555" s="46"/>
      <c r="I1555" s="46"/>
      <c r="J1555" s="46"/>
      <c r="K1555" s="46"/>
      <c r="L1555" s="46"/>
      <c r="M1555" s="46"/>
      <c r="N1555" s="46"/>
      <c r="O1555" s="46"/>
      <c r="P1555" s="46"/>
      <c r="Q1555" s="46"/>
      <c r="R1555" s="46"/>
      <c r="S1555" s="46"/>
      <c r="T1555" s="46"/>
      <c r="U1555" s="46"/>
      <c r="V1555" s="46"/>
      <c r="W1555" s="46"/>
      <c r="X1555" s="46"/>
    </row>
    <row r="1556" spans="1:24" x14ac:dyDescent="0.2">
      <c r="A1556" s="45"/>
      <c r="B1556" s="46"/>
      <c r="C1556" s="46"/>
      <c r="D1556" s="46"/>
      <c r="E1556" s="46"/>
      <c r="F1556" s="46"/>
      <c r="G1556" s="46"/>
      <c r="H1556" s="46"/>
      <c r="I1556" s="46"/>
      <c r="J1556" s="46"/>
      <c r="K1556" s="46"/>
      <c r="L1556" s="46"/>
      <c r="M1556" s="46"/>
      <c r="N1556" s="46"/>
      <c r="O1556" s="46"/>
      <c r="P1556" s="46"/>
      <c r="Q1556" s="46"/>
      <c r="R1556" s="46"/>
      <c r="S1556" s="46"/>
      <c r="T1556" s="46"/>
      <c r="U1556" s="46"/>
      <c r="V1556" s="46"/>
      <c r="W1556" s="46"/>
      <c r="X1556" s="46"/>
    </row>
    <row r="1557" spans="1:24" x14ac:dyDescent="0.2">
      <c r="A1557" s="45"/>
      <c r="B1557" s="46"/>
      <c r="C1557" s="46"/>
      <c r="D1557" s="46"/>
      <c r="E1557" s="46"/>
      <c r="F1557" s="46"/>
      <c r="G1557" s="46"/>
      <c r="H1557" s="46"/>
      <c r="I1557" s="46"/>
      <c r="J1557" s="46"/>
      <c r="K1557" s="46"/>
      <c r="L1557" s="46"/>
      <c r="M1557" s="46"/>
      <c r="N1557" s="46"/>
      <c r="O1557" s="46"/>
      <c r="P1557" s="46"/>
      <c r="Q1557" s="46"/>
      <c r="R1557" s="46"/>
      <c r="S1557" s="46"/>
      <c r="T1557" s="46"/>
      <c r="U1557" s="46"/>
      <c r="V1557" s="46"/>
      <c r="W1557" s="46"/>
      <c r="X1557" s="46"/>
    </row>
    <row r="1558" spans="1:24" x14ac:dyDescent="0.2">
      <c r="A1558" s="45"/>
      <c r="B1558" s="46"/>
      <c r="C1558" s="46"/>
      <c r="D1558" s="46"/>
      <c r="E1558" s="46"/>
      <c r="F1558" s="46"/>
      <c r="G1558" s="46"/>
      <c r="H1558" s="46"/>
      <c r="I1558" s="46"/>
      <c r="J1558" s="46"/>
      <c r="K1558" s="46"/>
      <c r="L1558" s="46"/>
      <c r="M1558" s="46"/>
      <c r="N1558" s="46"/>
      <c r="O1558" s="46"/>
      <c r="P1558" s="46"/>
      <c r="Q1558" s="46"/>
      <c r="R1558" s="46"/>
      <c r="S1558" s="46"/>
      <c r="T1558" s="46"/>
      <c r="U1558" s="46"/>
      <c r="V1558" s="46"/>
      <c r="W1558" s="46"/>
      <c r="X1558" s="46"/>
    </row>
    <row r="1559" spans="1:24" x14ac:dyDescent="0.2">
      <c r="A1559" s="45"/>
      <c r="B1559" s="46"/>
      <c r="C1559" s="46"/>
      <c r="D1559" s="46"/>
      <c r="E1559" s="46"/>
      <c r="F1559" s="46"/>
      <c r="G1559" s="46"/>
      <c r="H1559" s="46"/>
      <c r="I1559" s="46"/>
      <c r="J1559" s="46"/>
      <c r="K1559" s="46"/>
      <c r="L1559" s="46"/>
      <c r="M1559" s="46"/>
      <c r="N1559" s="46"/>
      <c r="O1559" s="46"/>
      <c r="P1559" s="46"/>
      <c r="Q1559" s="46"/>
      <c r="R1559" s="46"/>
      <c r="S1559" s="46"/>
      <c r="T1559" s="46"/>
      <c r="U1559" s="46"/>
      <c r="V1559" s="46"/>
      <c r="W1559" s="46"/>
      <c r="X1559" s="46"/>
    </row>
    <row r="1560" spans="1:24" x14ac:dyDescent="0.2">
      <c r="A1560" s="45"/>
      <c r="B1560" s="46"/>
      <c r="C1560" s="46"/>
      <c r="D1560" s="46"/>
      <c r="E1560" s="46"/>
      <c r="F1560" s="46"/>
      <c r="G1560" s="46"/>
      <c r="H1560" s="46"/>
      <c r="I1560" s="46"/>
      <c r="J1560" s="46"/>
      <c r="K1560" s="46"/>
      <c r="L1560" s="46"/>
      <c r="M1560" s="46"/>
      <c r="N1560" s="46"/>
      <c r="O1560" s="46"/>
      <c r="P1560" s="46"/>
      <c r="Q1560" s="46"/>
      <c r="R1560" s="46"/>
      <c r="S1560" s="46"/>
      <c r="T1560" s="46"/>
      <c r="U1560" s="46"/>
      <c r="V1560" s="46"/>
      <c r="W1560" s="46"/>
      <c r="X1560" s="46"/>
    </row>
    <row r="1561" spans="1:24" x14ac:dyDescent="0.2">
      <c r="A1561" s="45"/>
      <c r="B1561" s="46"/>
      <c r="C1561" s="46"/>
      <c r="D1561" s="46"/>
      <c r="E1561" s="46"/>
      <c r="F1561" s="46"/>
      <c r="G1561" s="46"/>
      <c r="H1561" s="46"/>
      <c r="I1561" s="46"/>
      <c r="J1561" s="46"/>
      <c r="K1561" s="46"/>
      <c r="L1561" s="46"/>
      <c r="M1561" s="46"/>
      <c r="N1561" s="46"/>
      <c r="O1561" s="46"/>
      <c r="P1561" s="46"/>
      <c r="Q1561" s="46"/>
      <c r="R1561" s="46"/>
      <c r="S1561" s="46"/>
      <c r="T1561" s="46"/>
      <c r="U1561" s="46"/>
      <c r="V1561" s="46"/>
      <c r="W1561" s="46"/>
      <c r="X1561" s="46"/>
    </row>
    <row r="1562" spans="1:24" x14ac:dyDescent="0.2">
      <c r="A1562" s="45"/>
      <c r="B1562" s="46"/>
      <c r="C1562" s="46"/>
      <c r="D1562" s="46"/>
      <c r="E1562" s="46"/>
      <c r="F1562" s="46"/>
      <c r="G1562" s="46"/>
      <c r="H1562" s="46"/>
      <c r="I1562" s="46"/>
      <c r="J1562" s="46"/>
      <c r="K1562" s="46"/>
      <c r="L1562" s="46"/>
      <c r="M1562" s="46"/>
      <c r="N1562" s="46"/>
      <c r="O1562" s="46"/>
      <c r="P1562" s="46"/>
      <c r="Q1562" s="46"/>
      <c r="R1562" s="46"/>
      <c r="S1562" s="46"/>
      <c r="T1562" s="46"/>
      <c r="U1562" s="46"/>
      <c r="V1562" s="46"/>
      <c r="W1562" s="46"/>
      <c r="X1562" s="46"/>
    </row>
    <row r="1563" spans="1:24" x14ac:dyDescent="0.2">
      <c r="A1563" s="45"/>
      <c r="B1563" s="46"/>
      <c r="C1563" s="46"/>
      <c r="D1563" s="46"/>
      <c r="E1563" s="46"/>
      <c r="F1563" s="46"/>
      <c r="G1563" s="46"/>
      <c r="H1563" s="46"/>
      <c r="I1563" s="46"/>
      <c r="J1563" s="46"/>
      <c r="K1563" s="46"/>
      <c r="L1563" s="46"/>
      <c r="M1563" s="46"/>
      <c r="N1563" s="46"/>
      <c r="O1563" s="46"/>
      <c r="P1563" s="46"/>
      <c r="Q1563" s="46"/>
      <c r="R1563" s="46"/>
      <c r="S1563" s="46"/>
      <c r="T1563" s="46"/>
      <c r="U1563" s="46"/>
      <c r="V1563" s="46"/>
      <c r="W1563" s="46"/>
      <c r="X1563" s="46"/>
    </row>
    <row r="1564" spans="1:24" x14ac:dyDescent="0.2">
      <c r="A1564" s="45"/>
      <c r="B1564" s="46"/>
      <c r="C1564" s="46"/>
      <c r="D1564" s="46"/>
      <c r="E1564" s="46"/>
      <c r="F1564" s="46"/>
      <c r="G1564" s="46"/>
      <c r="H1564" s="46"/>
      <c r="I1564" s="46"/>
      <c r="J1564" s="46"/>
      <c r="K1564" s="46"/>
      <c r="L1564" s="46"/>
      <c r="M1564" s="46"/>
      <c r="N1564" s="46"/>
      <c r="O1564" s="46"/>
      <c r="P1564" s="46"/>
      <c r="Q1564" s="46"/>
      <c r="R1564" s="46"/>
      <c r="S1564" s="46"/>
      <c r="T1564" s="46"/>
      <c r="U1564" s="46"/>
      <c r="V1564" s="46"/>
      <c r="W1564" s="46"/>
      <c r="X1564" s="46"/>
    </row>
    <row r="1565" spans="1:24" x14ac:dyDescent="0.2">
      <c r="A1565" s="45"/>
      <c r="B1565" s="46"/>
      <c r="C1565" s="46"/>
      <c r="D1565" s="46"/>
      <c r="E1565" s="46"/>
      <c r="F1565" s="46"/>
      <c r="G1565" s="46"/>
      <c r="H1565" s="46"/>
      <c r="I1565" s="46"/>
      <c r="J1565" s="46"/>
      <c r="K1565" s="46"/>
      <c r="L1565" s="46"/>
      <c r="M1565" s="46"/>
      <c r="N1565" s="46"/>
      <c r="O1565" s="46"/>
      <c r="P1565" s="46"/>
      <c r="Q1565" s="46"/>
      <c r="R1565" s="46"/>
      <c r="S1565" s="46"/>
      <c r="T1565" s="46"/>
      <c r="U1565" s="46"/>
      <c r="V1565" s="46"/>
      <c r="W1565" s="46"/>
      <c r="X1565" s="46"/>
    </row>
    <row r="1566" spans="1:24" x14ac:dyDescent="0.2">
      <c r="A1566" s="45"/>
      <c r="B1566" s="46"/>
      <c r="C1566" s="46"/>
      <c r="D1566" s="46"/>
      <c r="E1566" s="46"/>
      <c r="F1566" s="46"/>
      <c r="G1566" s="46"/>
      <c r="H1566" s="46"/>
      <c r="I1566" s="46"/>
      <c r="J1566" s="46"/>
      <c r="K1566" s="46"/>
      <c r="L1566" s="46"/>
      <c r="M1566" s="46"/>
      <c r="N1566" s="46"/>
      <c r="O1566" s="46"/>
      <c r="P1566" s="46"/>
      <c r="Q1566" s="46"/>
      <c r="R1566" s="46"/>
      <c r="S1566" s="46"/>
      <c r="T1566" s="46"/>
      <c r="U1566" s="46"/>
      <c r="V1566" s="46"/>
      <c r="W1566" s="46"/>
      <c r="X1566" s="46"/>
    </row>
    <row r="1567" spans="1:24" x14ac:dyDescent="0.2">
      <c r="A1567" s="45"/>
      <c r="B1567" s="46"/>
      <c r="C1567" s="46"/>
      <c r="D1567" s="46"/>
      <c r="E1567" s="46"/>
      <c r="F1567" s="46"/>
      <c r="G1567" s="46"/>
      <c r="H1567" s="46"/>
      <c r="I1567" s="46"/>
      <c r="J1567" s="46"/>
      <c r="K1567" s="46"/>
      <c r="L1567" s="46"/>
      <c r="M1567" s="46"/>
      <c r="N1567" s="46"/>
      <c r="O1567" s="46"/>
      <c r="P1567" s="46"/>
      <c r="Q1567" s="46"/>
      <c r="R1567" s="46"/>
      <c r="S1567" s="46"/>
      <c r="T1567" s="46"/>
      <c r="U1567" s="46"/>
      <c r="V1567" s="46"/>
      <c r="W1567" s="46"/>
      <c r="X1567" s="46"/>
    </row>
    <row r="1568" spans="1:24" x14ac:dyDescent="0.2">
      <c r="A1568" s="45"/>
      <c r="B1568" s="46"/>
      <c r="C1568" s="46"/>
      <c r="D1568" s="46"/>
      <c r="E1568" s="46"/>
      <c r="F1568" s="46"/>
      <c r="G1568" s="46"/>
      <c r="H1568" s="46"/>
      <c r="I1568" s="46"/>
      <c r="J1568" s="46"/>
      <c r="K1568" s="46"/>
      <c r="L1568" s="46"/>
      <c r="M1568" s="46"/>
      <c r="N1568" s="46"/>
      <c r="O1568" s="46"/>
      <c r="P1568" s="46"/>
      <c r="Q1568" s="46"/>
      <c r="R1568" s="46"/>
      <c r="S1568" s="46"/>
      <c r="T1568" s="46"/>
      <c r="U1568" s="46"/>
      <c r="V1568" s="46"/>
      <c r="W1568" s="46"/>
      <c r="X1568" s="46"/>
    </row>
    <row r="1569" spans="1:24" x14ac:dyDescent="0.2">
      <c r="A1569" s="45"/>
      <c r="B1569" s="46"/>
      <c r="C1569" s="46"/>
      <c r="D1569" s="46"/>
      <c r="E1569" s="46"/>
      <c r="F1569" s="46"/>
      <c r="G1569" s="46"/>
      <c r="H1569" s="46"/>
      <c r="I1569" s="46"/>
      <c r="J1569" s="46"/>
      <c r="K1569" s="46"/>
      <c r="L1569" s="46"/>
      <c r="M1569" s="46"/>
      <c r="N1569" s="46"/>
      <c r="O1569" s="46"/>
      <c r="P1569" s="46"/>
      <c r="Q1569" s="46"/>
      <c r="R1569" s="46"/>
      <c r="S1569" s="46"/>
      <c r="T1569" s="46"/>
      <c r="U1569" s="46"/>
      <c r="V1569" s="46"/>
      <c r="W1569" s="46"/>
      <c r="X1569" s="46"/>
    </row>
    <row r="1570" spans="1:24" x14ac:dyDescent="0.2">
      <c r="A1570" s="45"/>
      <c r="B1570" s="46"/>
      <c r="C1570" s="46"/>
      <c r="D1570" s="46"/>
      <c r="E1570" s="46"/>
      <c r="F1570" s="46"/>
      <c r="G1570" s="46"/>
      <c r="H1570" s="46"/>
      <c r="I1570" s="46"/>
      <c r="J1570" s="46"/>
      <c r="K1570" s="46"/>
      <c r="L1570" s="46"/>
      <c r="M1570" s="46"/>
      <c r="N1570" s="46"/>
      <c r="O1570" s="46"/>
      <c r="P1570" s="46"/>
      <c r="Q1570" s="46"/>
      <c r="R1570" s="46"/>
      <c r="S1570" s="46"/>
      <c r="T1570" s="46"/>
      <c r="U1570" s="46"/>
      <c r="V1570" s="46"/>
      <c r="W1570" s="46"/>
      <c r="X1570" s="46"/>
    </row>
    <row r="1571" spans="1:24" x14ac:dyDescent="0.2">
      <c r="A1571" s="45"/>
      <c r="B1571" s="46"/>
      <c r="C1571" s="46"/>
      <c r="D1571" s="46"/>
      <c r="E1571" s="46"/>
      <c r="F1571" s="46"/>
      <c r="G1571" s="46"/>
      <c r="H1571" s="46"/>
      <c r="I1571" s="46"/>
      <c r="J1571" s="46"/>
      <c r="K1571" s="46"/>
      <c r="L1571" s="46"/>
      <c r="M1571" s="46"/>
      <c r="N1571" s="46"/>
      <c r="O1571" s="46"/>
      <c r="P1571" s="46"/>
      <c r="Q1571" s="46"/>
      <c r="R1571" s="46"/>
      <c r="S1571" s="46"/>
      <c r="T1571" s="46"/>
      <c r="U1571" s="46"/>
      <c r="V1571" s="46"/>
      <c r="W1571" s="46"/>
      <c r="X1571" s="46"/>
    </row>
    <row r="1572" spans="1:24" x14ac:dyDescent="0.2">
      <c r="A1572" s="45"/>
      <c r="B1572" s="46"/>
      <c r="C1572" s="46"/>
      <c r="D1572" s="46"/>
      <c r="E1572" s="46"/>
      <c r="F1572" s="46"/>
      <c r="G1572" s="46"/>
      <c r="H1572" s="46"/>
      <c r="I1572" s="46"/>
      <c r="J1572" s="46"/>
      <c r="K1572" s="46"/>
      <c r="L1572" s="46"/>
      <c r="M1572" s="46"/>
      <c r="N1572" s="46"/>
      <c r="O1572" s="46"/>
      <c r="P1572" s="46"/>
      <c r="Q1572" s="46"/>
      <c r="R1572" s="46"/>
      <c r="S1572" s="46"/>
      <c r="T1572" s="46"/>
      <c r="U1572" s="46"/>
      <c r="V1572" s="46"/>
      <c r="W1572" s="46"/>
      <c r="X1572" s="46"/>
    </row>
    <row r="1573" spans="1:24" x14ac:dyDescent="0.2">
      <c r="A1573" s="45"/>
      <c r="B1573" s="46"/>
      <c r="C1573" s="46"/>
      <c r="D1573" s="46"/>
      <c r="E1573" s="46"/>
      <c r="F1573" s="46"/>
      <c r="G1573" s="46"/>
      <c r="H1573" s="46"/>
      <c r="I1573" s="46"/>
      <c r="J1573" s="46"/>
      <c r="K1573" s="46"/>
      <c r="L1573" s="46"/>
      <c r="M1573" s="46"/>
      <c r="N1573" s="46"/>
      <c r="O1573" s="46"/>
      <c r="P1573" s="46"/>
      <c r="Q1573" s="46"/>
      <c r="R1573" s="46"/>
      <c r="S1573" s="46"/>
      <c r="T1573" s="46"/>
      <c r="U1573" s="46"/>
      <c r="V1573" s="46"/>
      <c r="W1573" s="46"/>
      <c r="X1573" s="46"/>
    </row>
    <row r="1574" spans="1:24" x14ac:dyDescent="0.2">
      <c r="A1574" s="45"/>
      <c r="B1574" s="46"/>
      <c r="C1574" s="46"/>
      <c r="D1574" s="46"/>
      <c r="E1574" s="46"/>
      <c r="F1574" s="46"/>
      <c r="G1574" s="46"/>
      <c r="H1574" s="46"/>
      <c r="I1574" s="46"/>
      <c r="J1574" s="46"/>
      <c r="K1574" s="46"/>
      <c r="L1574" s="46"/>
      <c r="M1574" s="46"/>
      <c r="N1574" s="46"/>
      <c r="O1574" s="46"/>
      <c r="P1574" s="46"/>
      <c r="Q1574" s="46"/>
      <c r="R1574" s="46"/>
      <c r="S1574" s="46"/>
      <c r="T1574" s="46"/>
      <c r="U1574" s="46"/>
      <c r="V1574" s="46"/>
      <c r="W1574" s="46"/>
      <c r="X1574" s="46"/>
    </row>
    <row r="1575" spans="1:24" x14ac:dyDescent="0.2">
      <c r="A1575" s="45"/>
      <c r="B1575" s="46"/>
      <c r="C1575" s="46"/>
      <c r="D1575" s="46"/>
      <c r="E1575" s="46"/>
      <c r="F1575" s="46"/>
      <c r="G1575" s="46"/>
      <c r="H1575" s="46"/>
      <c r="I1575" s="46"/>
      <c r="J1575" s="46"/>
      <c r="K1575" s="46"/>
      <c r="L1575" s="46"/>
      <c r="M1575" s="46"/>
      <c r="N1575" s="46"/>
      <c r="O1575" s="46"/>
      <c r="P1575" s="46"/>
      <c r="Q1575" s="46"/>
      <c r="R1575" s="46"/>
      <c r="S1575" s="46"/>
      <c r="T1575" s="46"/>
      <c r="U1575" s="46"/>
      <c r="V1575" s="46"/>
      <c r="W1575" s="46"/>
      <c r="X1575" s="46"/>
    </row>
    <row r="1576" spans="1:24" x14ac:dyDescent="0.2">
      <c r="A1576" s="45"/>
      <c r="B1576" s="46"/>
      <c r="C1576" s="46"/>
      <c r="D1576" s="46"/>
      <c r="E1576" s="46"/>
      <c r="F1576" s="46"/>
      <c r="G1576" s="46"/>
      <c r="H1576" s="46"/>
      <c r="I1576" s="46"/>
      <c r="J1576" s="46"/>
      <c r="K1576" s="46"/>
      <c r="L1576" s="46"/>
      <c r="M1576" s="46"/>
      <c r="N1576" s="46"/>
      <c r="O1576" s="46"/>
      <c r="P1576" s="46"/>
      <c r="Q1576" s="46"/>
      <c r="R1576" s="46"/>
      <c r="S1576" s="46"/>
      <c r="T1576" s="46"/>
      <c r="U1576" s="46"/>
      <c r="V1576" s="46"/>
      <c r="W1576" s="46"/>
      <c r="X1576" s="46"/>
    </row>
    <row r="1577" spans="1:24" x14ac:dyDescent="0.2">
      <c r="A1577" s="45"/>
      <c r="B1577" s="46"/>
      <c r="C1577" s="46"/>
      <c r="D1577" s="46"/>
      <c r="E1577" s="46"/>
      <c r="F1577" s="46"/>
      <c r="G1577" s="46"/>
      <c r="H1577" s="46"/>
      <c r="I1577" s="46"/>
      <c r="J1577" s="46"/>
      <c r="K1577" s="46"/>
      <c r="L1577" s="46"/>
      <c r="M1577" s="46"/>
      <c r="N1577" s="46"/>
      <c r="O1577" s="46"/>
      <c r="P1577" s="46"/>
      <c r="Q1577" s="46"/>
      <c r="R1577" s="46"/>
      <c r="S1577" s="46"/>
      <c r="T1577" s="46"/>
      <c r="U1577" s="46"/>
      <c r="V1577" s="46"/>
      <c r="W1577" s="46"/>
      <c r="X1577" s="46"/>
    </row>
    <row r="1578" spans="1:24" x14ac:dyDescent="0.2">
      <c r="A1578" s="45"/>
      <c r="B1578" s="46"/>
      <c r="C1578" s="46"/>
      <c r="D1578" s="46"/>
      <c r="E1578" s="46"/>
      <c r="F1578" s="46"/>
      <c r="G1578" s="46"/>
      <c r="H1578" s="46"/>
      <c r="I1578" s="46"/>
      <c r="J1578" s="46"/>
      <c r="K1578" s="46"/>
      <c r="L1578" s="46"/>
      <c r="M1578" s="46"/>
      <c r="N1578" s="46"/>
      <c r="O1578" s="46"/>
      <c r="P1578" s="46"/>
      <c r="Q1578" s="46"/>
      <c r="R1578" s="46"/>
      <c r="S1578" s="46"/>
      <c r="T1578" s="46"/>
      <c r="U1578" s="46"/>
      <c r="V1578" s="46"/>
      <c r="W1578" s="46"/>
      <c r="X1578" s="46"/>
    </row>
    <row r="1579" spans="1:24" x14ac:dyDescent="0.2">
      <c r="A1579" s="45"/>
      <c r="B1579" s="46"/>
      <c r="C1579" s="46"/>
      <c r="D1579" s="46"/>
      <c r="E1579" s="46"/>
      <c r="F1579" s="46"/>
      <c r="G1579" s="46"/>
      <c r="H1579" s="46"/>
      <c r="I1579" s="46"/>
      <c r="J1579" s="46"/>
      <c r="K1579" s="46"/>
      <c r="L1579" s="46"/>
      <c r="M1579" s="46"/>
      <c r="N1579" s="46"/>
      <c r="O1579" s="46"/>
      <c r="P1579" s="46"/>
      <c r="Q1579" s="46"/>
      <c r="R1579" s="46"/>
      <c r="S1579" s="46"/>
      <c r="T1579" s="46"/>
      <c r="U1579" s="46"/>
      <c r="V1579" s="46"/>
      <c r="W1579" s="46"/>
      <c r="X1579" s="46"/>
    </row>
    <row r="1580" spans="1:24" x14ac:dyDescent="0.2">
      <c r="A1580" s="45"/>
      <c r="B1580" s="46"/>
      <c r="C1580" s="46"/>
      <c r="D1580" s="46"/>
      <c r="E1580" s="46"/>
      <c r="F1580" s="46"/>
      <c r="G1580" s="46"/>
      <c r="H1580" s="46"/>
      <c r="I1580" s="46"/>
      <c r="J1580" s="46"/>
      <c r="K1580" s="46"/>
      <c r="L1580" s="46"/>
      <c r="M1580" s="46"/>
      <c r="N1580" s="46"/>
      <c r="O1580" s="46"/>
      <c r="P1580" s="46"/>
      <c r="Q1580" s="46"/>
      <c r="R1580" s="46"/>
      <c r="S1580" s="46"/>
      <c r="T1580" s="46"/>
      <c r="U1580" s="46"/>
      <c r="V1580" s="46"/>
      <c r="W1580" s="46"/>
      <c r="X1580" s="46"/>
    </row>
    <row r="1581" spans="1:24" x14ac:dyDescent="0.2">
      <c r="A1581" s="45"/>
      <c r="B1581" s="46"/>
      <c r="C1581" s="46"/>
      <c r="D1581" s="46"/>
      <c r="E1581" s="46"/>
      <c r="F1581" s="46"/>
      <c r="G1581" s="46"/>
      <c r="H1581" s="46"/>
      <c r="I1581" s="46"/>
      <c r="J1581" s="46"/>
      <c r="K1581" s="46"/>
      <c r="L1581" s="46"/>
      <c r="M1581" s="46"/>
      <c r="N1581" s="46"/>
      <c r="O1581" s="46"/>
      <c r="P1581" s="46"/>
      <c r="Q1581" s="46"/>
      <c r="R1581" s="46"/>
      <c r="S1581" s="46"/>
      <c r="T1581" s="46"/>
      <c r="U1581" s="46"/>
      <c r="V1581" s="46"/>
      <c r="W1581" s="46"/>
      <c r="X1581" s="46"/>
    </row>
    <row r="1582" spans="1:24" x14ac:dyDescent="0.2">
      <c r="A1582" s="45"/>
      <c r="B1582" s="46"/>
      <c r="C1582" s="46"/>
      <c r="D1582" s="46"/>
      <c r="E1582" s="46"/>
      <c r="F1582" s="46"/>
      <c r="G1582" s="46"/>
      <c r="H1582" s="46"/>
      <c r="I1582" s="46"/>
      <c r="J1582" s="46"/>
      <c r="K1582" s="46"/>
      <c r="L1582" s="46"/>
      <c r="M1582" s="46"/>
      <c r="N1582" s="46"/>
      <c r="O1582" s="46"/>
      <c r="P1582" s="46"/>
      <c r="Q1582" s="46"/>
      <c r="R1582" s="46"/>
      <c r="S1582" s="46"/>
      <c r="T1582" s="46"/>
      <c r="U1582" s="46"/>
      <c r="V1582" s="46"/>
      <c r="W1582" s="46"/>
      <c r="X1582" s="46"/>
    </row>
    <row r="1583" spans="1:24" x14ac:dyDescent="0.2">
      <c r="A1583" s="45"/>
      <c r="B1583" s="46"/>
      <c r="C1583" s="46"/>
      <c r="D1583" s="46"/>
      <c r="E1583" s="46"/>
      <c r="F1583" s="46"/>
      <c r="G1583" s="46"/>
      <c r="H1583" s="46"/>
      <c r="I1583" s="46"/>
      <c r="J1583" s="46"/>
      <c r="K1583" s="46"/>
      <c r="L1583" s="46"/>
      <c r="M1583" s="46"/>
      <c r="N1583" s="46"/>
      <c r="O1583" s="46"/>
      <c r="P1583" s="46"/>
      <c r="Q1583" s="46"/>
      <c r="R1583" s="46"/>
      <c r="S1583" s="46"/>
      <c r="T1583" s="46"/>
      <c r="U1583" s="46"/>
      <c r="V1583" s="46"/>
      <c r="W1583" s="46"/>
      <c r="X1583" s="46"/>
    </row>
    <row r="1584" spans="1:24" x14ac:dyDescent="0.2">
      <c r="A1584" s="45"/>
      <c r="B1584" s="46"/>
      <c r="C1584" s="46"/>
      <c r="D1584" s="46"/>
      <c r="E1584" s="46"/>
      <c r="F1584" s="46"/>
      <c r="G1584" s="46"/>
      <c r="H1584" s="46"/>
      <c r="I1584" s="46"/>
      <c r="J1584" s="46"/>
      <c r="K1584" s="46"/>
      <c r="L1584" s="46"/>
      <c r="M1584" s="46"/>
      <c r="N1584" s="46"/>
      <c r="O1584" s="46"/>
      <c r="P1584" s="46"/>
      <c r="Q1584" s="46"/>
      <c r="R1584" s="46"/>
      <c r="S1584" s="46"/>
      <c r="T1584" s="46"/>
      <c r="U1584" s="46"/>
      <c r="V1584" s="46"/>
      <c r="W1584" s="46"/>
      <c r="X1584" s="46"/>
    </row>
    <row r="1585" spans="1:24" x14ac:dyDescent="0.2">
      <c r="A1585" s="45"/>
      <c r="B1585" s="46"/>
      <c r="C1585" s="46"/>
      <c r="D1585" s="46"/>
      <c r="E1585" s="46"/>
      <c r="F1585" s="46"/>
      <c r="G1585" s="46"/>
      <c r="H1585" s="46"/>
      <c r="I1585" s="46"/>
      <c r="J1585" s="46"/>
      <c r="K1585" s="46"/>
      <c r="L1585" s="46"/>
      <c r="M1585" s="46"/>
      <c r="N1585" s="46"/>
      <c r="O1585" s="46"/>
      <c r="P1585" s="46"/>
      <c r="Q1585" s="46"/>
      <c r="R1585" s="46"/>
      <c r="S1585" s="46"/>
      <c r="T1585" s="46"/>
      <c r="U1585" s="46"/>
      <c r="V1585" s="46"/>
      <c r="W1585" s="46"/>
      <c r="X1585" s="46"/>
    </row>
    <row r="1586" spans="1:24" x14ac:dyDescent="0.2">
      <c r="A1586" s="45"/>
      <c r="B1586" s="46"/>
      <c r="C1586" s="46"/>
      <c r="D1586" s="46"/>
      <c r="E1586" s="46"/>
      <c r="F1586" s="46"/>
      <c r="G1586" s="46"/>
      <c r="H1586" s="46"/>
      <c r="I1586" s="46"/>
      <c r="J1586" s="46"/>
      <c r="K1586" s="46"/>
      <c r="L1586" s="46"/>
      <c r="M1586" s="46"/>
      <c r="N1586" s="46"/>
      <c r="O1586" s="46"/>
      <c r="P1586" s="46"/>
      <c r="Q1586" s="46"/>
      <c r="R1586" s="46"/>
      <c r="S1586" s="46"/>
      <c r="T1586" s="46"/>
      <c r="U1586" s="46"/>
      <c r="V1586" s="46"/>
      <c r="W1586" s="46"/>
      <c r="X1586" s="46"/>
    </row>
    <row r="1587" spans="1:24" x14ac:dyDescent="0.2">
      <c r="A1587" s="45"/>
      <c r="B1587" s="46"/>
      <c r="C1587" s="46"/>
      <c r="D1587" s="46"/>
      <c r="E1587" s="46"/>
      <c r="F1587" s="46"/>
      <c r="G1587" s="46"/>
      <c r="H1587" s="46"/>
      <c r="I1587" s="46"/>
      <c r="J1587" s="46"/>
      <c r="K1587" s="46"/>
      <c r="L1587" s="46"/>
      <c r="M1587" s="46"/>
      <c r="N1587" s="46"/>
      <c r="O1587" s="46"/>
      <c r="P1587" s="46"/>
      <c r="Q1587" s="46"/>
      <c r="R1587" s="46"/>
      <c r="S1587" s="46"/>
      <c r="T1587" s="46"/>
      <c r="U1587" s="46"/>
      <c r="V1587" s="46"/>
      <c r="W1587" s="46"/>
      <c r="X1587" s="46"/>
    </row>
    <row r="1588" spans="1:24" x14ac:dyDescent="0.2">
      <c r="A1588" s="45"/>
      <c r="B1588" s="46"/>
      <c r="C1588" s="46"/>
      <c r="D1588" s="46"/>
      <c r="E1588" s="46"/>
      <c r="F1588" s="46"/>
      <c r="G1588" s="46"/>
      <c r="H1588" s="46"/>
      <c r="I1588" s="46"/>
      <c r="J1588" s="46"/>
      <c r="K1588" s="46"/>
      <c r="L1588" s="46"/>
      <c r="M1588" s="46"/>
      <c r="N1588" s="46"/>
      <c r="O1588" s="46"/>
      <c r="P1588" s="46"/>
      <c r="Q1588" s="46"/>
      <c r="R1588" s="46"/>
      <c r="S1588" s="46"/>
      <c r="T1588" s="46"/>
      <c r="U1588" s="46"/>
      <c r="V1588" s="46"/>
      <c r="W1588" s="46"/>
      <c r="X1588" s="46"/>
    </row>
    <row r="1589" spans="1:24" x14ac:dyDescent="0.2">
      <c r="A1589" s="45"/>
      <c r="B1589" s="46"/>
      <c r="C1589" s="46"/>
      <c r="D1589" s="46"/>
      <c r="E1589" s="46"/>
      <c r="F1589" s="46"/>
      <c r="G1589" s="46"/>
      <c r="H1589" s="46"/>
      <c r="I1589" s="46"/>
      <c r="J1589" s="46"/>
      <c r="K1589" s="46"/>
      <c r="L1589" s="46"/>
      <c r="M1589" s="46"/>
      <c r="N1589" s="46"/>
      <c r="O1589" s="46"/>
      <c r="P1589" s="46"/>
      <c r="Q1589" s="46"/>
      <c r="R1589" s="46"/>
      <c r="S1589" s="46"/>
      <c r="T1589" s="46"/>
      <c r="U1589" s="46"/>
      <c r="V1589" s="46"/>
      <c r="W1589" s="46"/>
      <c r="X1589" s="46"/>
    </row>
    <row r="1590" spans="1:24" x14ac:dyDescent="0.2">
      <c r="A1590" s="45"/>
      <c r="B1590" s="46"/>
      <c r="C1590" s="46"/>
      <c r="D1590" s="46"/>
      <c r="E1590" s="46"/>
      <c r="F1590" s="46"/>
      <c r="G1590" s="46"/>
      <c r="H1590" s="46"/>
      <c r="I1590" s="46"/>
      <c r="J1590" s="46"/>
      <c r="K1590" s="46"/>
      <c r="L1590" s="46"/>
      <c r="M1590" s="46"/>
      <c r="N1590" s="46"/>
      <c r="O1590" s="46"/>
      <c r="P1590" s="46"/>
      <c r="Q1590" s="46"/>
      <c r="R1590" s="46"/>
      <c r="S1590" s="46"/>
      <c r="T1590" s="46"/>
      <c r="U1590" s="46"/>
      <c r="V1590" s="46"/>
      <c r="W1590" s="46"/>
      <c r="X1590" s="46"/>
    </row>
    <row r="1591" spans="1:24" x14ac:dyDescent="0.2">
      <c r="A1591" s="45"/>
      <c r="B1591" s="46"/>
      <c r="C1591" s="46"/>
      <c r="D1591" s="46"/>
      <c r="E1591" s="46"/>
      <c r="F1591" s="46"/>
      <c r="G1591" s="46"/>
      <c r="H1591" s="46"/>
      <c r="I1591" s="46"/>
      <c r="J1591" s="46"/>
      <c r="K1591" s="46"/>
      <c r="L1591" s="46"/>
      <c r="M1591" s="46"/>
      <c r="N1591" s="46"/>
      <c r="O1591" s="46"/>
      <c r="P1591" s="46"/>
      <c r="Q1591" s="46"/>
      <c r="R1591" s="46"/>
      <c r="S1591" s="46"/>
      <c r="T1591" s="46"/>
      <c r="U1591" s="46"/>
      <c r="V1591" s="46"/>
      <c r="W1591" s="46"/>
      <c r="X1591" s="46"/>
    </row>
    <row r="1592" spans="1:24" x14ac:dyDescent="0.2">
      <c r="A1592" s="45"/>
      <c r="B1592" s="46"/>
      <c r="C1592" s="46"/>
      <c r="D1592" s="46"/>
      <c r="E1592" s="46"/>
      <c r="F1592" s="46"/>
      <c r="G1592" s="46"/>
      <c r="H1592" s="46"/>
      <c r="I1592" s="46"/>
      <c r="J1592" s="46"/>
      <c r="K1592" s="46"/>
      <c r="L1592" s="46"/>
      <c r="M1592" s="46"/>
      <c r="N1592" s="46"/>
      <c r="O1592" s="46"/>
      <c r="P1592" s="46"/>
      <c r="Q1592" s="46"/>
      <c r="R1592" s="46"/>
      <c r="S1592" s="46"/>
      <c r="T1592" s="46"/>
      <c r="U1592" s="46"/>
      <c r="V1592" s="46"/>
      <c r="W1592" s="46"/>
      <c r="X1592" s="46"/>
    </row>
    <row r="1593" spans="1:24" x14ac:dyDescent="0.2">
      <c r="A1593" s="45"/>
      <c r="B1593" s="46"/>
      <c r="C1593" s="46"/>
      <c r="D1593" s="46"/>
      <c r="E1593" s="46"/>
      <c r="F1593" s="46"/>
      <c r="G1593" s="46"/>
      <c r="H1593" s="46"/>
      <c r="I1593" s="46"/>
      <c r="J1593" s="46"/>
      <c r="K1593" s="46"/>
      <c r="L1593" s="46"/>
      <c r="M1593" s="46"/>
      <c r="N1593" s="46"/>
      <c r="O1593" s="46"/>
      <c r="P1593" s="46"/>
      <c r="Q1593" s="46"/>
      <c r="R1593" s="46"/>
      <c r="S1593" s="46"/>
      <c r="T1593" s="46"/>
      <c r="U1593" s="46"/>
      <c r="V1593" s="46"/>
      <c r="W1593" s="46"/>
      <c r="X1593" s="46"/>
    </row>
    <row r="1594" spans="1:24" x14ac:dyDescent="0.2">
      <c r="A1594" s="45"/>
      <c r="B1594" s="46"/>
      <c r="C1594" s="46"/>
      <c r="D1594" s="46"/>
      <c r="E1594" s="46"/>
      <c r="F1594" s="46"/>
      <c r="G1594" s="46"/>
      <c r="H1594" s="46"/>
      <c r="I1594" s="46"/>
      <c r="J1594" s="46"/>
      <c r="K1594" s="46"/>
      <c r="L1594" s="46"/>
      <c r="M1594" s="46"/>
      <c r="N1594" s="46"/>
      <c r="O1594" s="46"/>
      <c r="P1594" s="46"/>
      <c r="Q1594" s="46"/>
      <c r="R1594" s="46"/>
      <c r="S1594" s="46"/>
      <c r="T1594" s="46"/>
      <c r="U1594" s="46"/>
      <c r="V1594" s="46"/>
      <c r="W1594" s="46"/>
      <c r="X1594" s="46"/>
    </row>
    <row r="1595" spans="1:24" x14ac:dyDescent="0.2">
      <c r="A1595" s="45"/>
      <c r="B1595" s="46"/>
      <c r="C1595" s="46"/>
      <c r="D1595" s="46"/>
      <c r="E1595" s="46"/>
      <c r="F1595" s="46"/>
      <c r="G1595" s="46"/>
      <c r="H1595" s="46"/>
      <c r="I1595" s="46"/>
      <c r="J1595" s="46"/>
      <c r="K1595" s="46"/>
      <c r="L1595" s="46"/>
      <c r="M1595" s="46"/>
      <c r="N1595" s="46"/>
      <c r="O1595" s="46"/>
      <c r="P1595" s="46"/>
      <c r="Q1595" s="46"/>
      <c r="R1595" s="46"/>
      <c r="S1595" s="46"/>
      <c r="T1595" s="46"/>
      <c r="U1595" s="46"/>
      <c r="V1595" s="46"/>
      <c r="W1595" s="46"/>
      <c r="X1595" s="46"/>
    </row>
    <row r="1596" spans="1:24" x14ac:dyDescent="0.2">
      <c r="A1596" s="45"/>
      <c r="B1596" s="46"/>
      <c r="C1596" s="46"/>
      <c r="D1596" s="46"/>
      <c r="E1596" s="46"/>
      <c r="F1596" s="46"/>
      <c r="G1596" s="46"/>
      <c r="H1596" s="46"/>
      <c r="I1596" s="46"/>
      <c r="J1596" s="46"/>
      <c r="K1596" s="46"/>
      <c r="L1596" s="46"/>
      <c r="M1596" s="46"/>
      <c r="N1596" s="46"/>
      <c r="O1596" s="46"/>
      <c r="P1596" s="46"/>
      <c r="Q1596" s="46"/>
      <c r="R1596" s="46"/>
      <c r="S1596" s="46"/>
      <c r="T1596" s="46"/>
      <c r="U1596" s="46"/>
      <c r="V1596" s="46"/>
      <c r="W1596" s="46"/>
      <c r="X1596" s="46"/>
    </row>
    <row r="1597" spans="1:24" x14ac:dyDescent="0.2">
      <c r="A1597" s="45"/>
      <c r="B1597" s="46"/>
      <c r="C1597" s="46"/>
      <c r="D1597" s="46"/>
      <c r="E1597" s="46"/>
      <c r="F1597" s="46"/>
      <c r="G1597" s="46"/>
      <c r="H1597" s="46"/>
      <c r="I1597" s="46"/>
      <c r="J1597" s="46"/>
      <c r="K1597" s="46"/>
      <c r="L1597" s="46"/>
      <c r="M1597" s="46"/>
      <c r="N1597" s="46"/>
      <c r="O1597" s="46"/>
      <c r="P1597" s="46"/>
      <c r="Q1597" s="46"/>
      <c r="R1597" s="46"/>
      <c r="S1597" s="46"/>
      <c r="T1597" s="46"/>
      <c r="U1597" s="46"/>
      <c r="V1597" s="46"/>
      <c r="W1597" s="46"/>
      <c r="X1597" s="46"/>
    </row>
    <row r="1598" spans="1:24" x14ac:dyDescent="0.2">
      <c r="A1598" s="45"/>
      <c r="B1598" s="46"/>
      <c r="C1598" s="46"/>
      <c r="D1598" s="46"/>
      <c r="E1598" s="46"/>
      <c r="F1598" s="46"/>
      <c r="G1598" s="46"/>
      <c r="H1598" s="46"/>
      <c r="I1598" s="46"/>
      <c r="J1598" s="46"/>
      <c r="K1598" s="46"/>
      <c r="L1598" s="46"/>
      <c r="M1598" s="46"/>
      <c r="N1598" s="46"/>
      <c r="O1598" s="46"/>
      <c r="P1598" s="46"/>
      <c r="Q1598" s="46"/>
      <c r="R1598" s="46"/>
      <c r="S1598" s="46"/>
      <c r="T1598" s="46"/>
      <c r="U1598" s="46"/>
      <c r="V1598" s="46"/>
      <c r="W1598" s="46"/>
      <c r="X1598" s="46"/>
    </row>
    <row r="1599" spans="1:24" x14ac:dyDescent="0.2">
      <c r="A1599" s="45"/>
      <c r="B1599" s="46"/>
      <c r="C1599" s="46"/>
      <c r="D1599" s="46"/>
      <c r="E1599" s="46"/>
      <c r="F1599" s="46"/>
      <c r="G1599" s="46"/>
      <c r="H1599" s="46"/>
      <c r="I1599" s="46"/>
      <c r="J1599" s="46"/>
      <c r="K1599" s="46"/>
      <c r="L1599" s="46"/>
      <c r="M1599" s="46"/>
      <c r="N1599" s="46"/>
      <c r="O1599" s="46"/>
      <c r="P1599" s="46"/>
      <c r="Q1599" s="46"/>
      <c r="R1599" s="46"/>
      <c r="S1599" s="46"/>
      <c r="T1599" s="46"/>
      <c r="U1599" s="46"/>
      <c r="V1599" s="46"/>
      <c r="W1599" s="46"/>
      <c r="X1599" s="46"/>
    </row>
    <row r="1600" spans="1:24" x14ac:dyDescent="0.2">
      <c r="A1600" s="45"/>
      <c r="B1600" s="46"/>
      <c r="C1600" s="46"/>
      <c r="D1600" s="46"/>
      <c r="E1600" s="46"/>
      <c r="F1600" s="46"/>
      <c r="G1600" s="46"/>
      <c r="H1600" s="46"/>
      <c r="I1600" s="46"/>
      <c r="J1600" s="46"/>
      <c r="K1600" s="46"/>
      <c r="L1600" s="46"/>
      <c r="M1600" s="46"/>
      <c r="N1600" s="46"/>
      <c r="O1600" s="46"/>
      <c r="P1600" s="46"/>
      <c r="Q1600" s="46"/>
      <c r="R1600" s="46"/>
      <c r="S1600" s="46"/>
      <c r="T1600" s="46"/>
      <c r="U1600" s="46"/>
      <c r="V1600" s="46"/>
      <c r="W1600" s="46"/>
      <c r="X1600" s="46"/>
    </row>
    <row r="1601" spans="1:24" x14ac:dyDescent="0.2">
      <c r="A1601" s="45"/>
      <c r="B1601" s="46"/>
      <c r="C1601" s="46"/>
      <c r="D1601" s="46"/>
      <c r="E1601" s="46"/>
      <c r="F1601" s="46"/>
      <c r="G1601" s="46"/>
      <c r="H1601" s="46"/>
      <c r="I1601" s="46"/>
      <c r="J1601" s="46"/>
      <c r="K1601" s="46"/>
      <c r="L1601" s="46"/>
      <c r="M1601" s="46"/>
      <c r="N1601" s="46"/>
      <c r="O1601" s="46"/>
      <c r="P1601" s="46"/>
      <c r="Q1601" s="46"/>
      <c r="R1601" s="46"/>
      <c r="S1601" s="46"/>
      <c r="T1601" s="46"/>
      <c r="U1601" s="46"/>
      <c r="V1601" s="46"/>
      <c r="W1601" s="46"/>
      <c r="X1601" s="46"/>
    </row>
    <row r="1602" spans="1:24" x14ac:dyDescent="0.2">
      <c r="A1602" s="45"/>
      <c r="B1602" s="46"/>
      <c r="C1602" s="46"/>
      <c r="D1602" s="46"/>
      <c r="E1602" s="46"/>
      <c r="F1602" s="46"/>
      <c r="G1602" s="46"/>
      <c r="H1602" s="46"/>
      <c r="I1602" s="46"/>
      <c r="J1602" s="46"/>
      <c r="K1602" s="46"/>
      <c r="L1602" s="46"/>
      <c r="M1602" s="46"/>
      <c r="N1602" s="46"/>
      <c r="O1602" s="46"/>
      <c r="P1602" s="46"/>
      <c r="Q1602" s="46"/>
      <c r="R1602" s="46"/>
      <c r="S1602" s="46"/>
      <c r="T1602" s="46"/>
      <c r="U1602" s="46"/>
      <c r="V1602" s="46"/>
      <c r="W1602" s="46"/>
      <c r="X1602" s="46"/>
    </row>
    <row r="1603" spans="1:24" x14ac:dyDescent="0.2">
      <c r="A1603" s="45"/>
      <c r="B1603" s="46"/>
      <c r="C1603" s="46"/>
      <c r="D1603" s="46"/>
      <c r="E1603" s="46"/>
      <c r="F1603" s="46"/>
      <c r="G1603" s="46"/>
      <c r="H1603" s="46"/>
      <c r="I1603" s="46"/>
      <c r="J1603" s="46"/>
      <c r="K1603" s="46"/>
      <c r="L1603" s="46"/>
      <c r="M1603" s="46"/>
      <c r="N1603" s="46"/>
      <c r="O1603" s="46"/>
      <c r="P1603" s="46"/>
      <c r="Q1603" s="46"/>
      <c r="R1603" s="46"/>
      <c r="S1603" s="46"/>
      <c r="T1603" s="46"/>
      <c r="U1603" s="46"/>
      <c r="V1603" s="46"/>
      <c r="W1603" s="46"/>
      <c r="X1603" s="46"/>
    </row>
    <row r="1604" spans="1:24" x14ac:dyDescent="0.2">
      <c r="A1604" s="45"/>
      <c r="B1604" s="46"/>
      <c r="C1604" s="46"/>
      <c r="D1604" s="46"/>
      <c r="E1604" s="46"/>
      <c r="F1604" s="46"/>
      <c r="G1604" s="46"/>
      <c r="H1604" s="46"/>
      <c r="I1604" s="46"/>
      <c r="J1604" s="46"/>
      <c r="K1604" s="46"/>
      <c r="L1604" s="46"/>
      <c r="M1604" s="46"/>
      <c r="N1604" s="46"/>
      <c r="O1604" s="46"/>
      <c r="P1604" s="46"/>
      <c r="Q1604" s="46"/>
      <c r="R1604" s="46"/>
      <c r="S1604" s="46"/>
      <c r="T1604" s="46"/>
      <c r="U1604" s="46"/>
      <c r="V1604" s="46"/>
      <c r="W1604" s="46"/>
      <c r="X1604" s="46"/>
    </row>
    <row r="1605" spans="1:24" x14ac:dyDescent="0.2">
      <c r="A1605" s="45"/>
      <c r="B1605" s="46"/>
      <c r="C1605" s="46"/>
      <c r="D1605" s="46"/>
      <c r="E1605" s="46"/>
      <c r="F1605" s="46"/>
      <c r="G1605" s="46"/>
      <c r="H1605" s="46"/>
      <c r="I1605" s="46"/>
      <c r="J1605" s="46"/>
      <c r="K1605" s="46"/>
      <c r="L1605" s="46"/>
      <c r="M1605" s="46"/>
      <c r="N1605" s="46"/>
      <c r="O1605" s="46"/>
      <c r="P1605" s="46"/>
      <c r="Q1605" s="46"/>
      <c r="R1605" s="46"/>
      <c r="S1605" s="46"/>
      <c r="T1605" s="46"/>
      <c r="U1605" s="46"/>
      <c r="V1605" s="46"/>
      <c r="W1605" s="46"/>
      <c r="X1605" s="46"/>
    </row>
    <row r="1606" spans="1:24" x14ac:dyDescent="0.2">
      <c r="A1606" s="45"/>
      <c r="B1606" s="46"/>
      <c r="C1606" s="46"/>
      <c r="D1606" s="46"/>
      <c r="E1606" s="46"/>
      <c r="F1606" s="46"/>
      <c r="G1606" s="46"/>
      <c r="H1606" s="46"/>
      <c r="I1606" s="46"/>
      <c r="J1606" s="46"/>
      <c r="K1606" s="46"/>
      <c r="L1606" s="46"/>
      <c r="M1606" s="46"/>
      <c r="N1606" s="46"/>
      <c r="O1606" s="46"/>
      <c r="P1606" s="46"/>
      <c r="Q1606" s="46"/>
      <c r="R1606" s="46"/>
      <c r="S1606" s="46"/>
      <c r="T1606" s="46"/>
      <c r="U1606" s="46"/>
      <c r="V1606" s="46"/>
      <c r="W1606" s="46"/>
      <c r="X1606" s="46"/>
    </row>
    <row r="1607" spans="1:24" x14ac:dyDescent="0.2">
      <c r="A1607" s="45"/>
      <c r="B1607" s="46"/>
      <c r="C1607" s="46"/>
      <c r="D1607" s="46"/>
      <c r="E1607" s="46"/>
      <c r="F1607" s="46"/>
      <c r="G1607" s="46"/>
      <c r="H1607" s="46"/>
      <c r="I1607" s="46"/>
      <c r="J1607" s="46"/>
      <c r="K1607" s="46"/>
      <c r="L1607" s="46"/>
      <c r="M1607" s="46"/>
      <c r="N1607" s="46"/>
      <c r="O1607" s="46"/>
      <c r="P1607" s="46"/>
      <c r="Q1607" s="46"/>
      <c r="R1607" s="46"/>
      <c r="S1607" s="46"/>
      <c r="T1607" s="46"/>
      <c r="U1607" s="46"/>
      <c r="V1607" s="46"/>
      <c r="W1607" s="46"/>
      <c r="X1607" s="46"/>
    </row>
    <row r="1608" spans="1:24" x14ac:dyDescent="0.2">
      <c r="A1608" s="45"/>
      <c r="B1608" s="46"/>
      <c r="C1608" s="46"/>
      <c r="D1608" s="46"/>
      <c r="E1608" s="46"/>
      <c r="F1608" s="46"/>
      <c r="G1608" s="46"/>
      <c r="H1608" s="46"/>
      <c r="I1608" s="46"/>
      <c r="J1608" s="46"/>
      <c r="K1608" s="46"/>
      <c r="L1608" s="46"/>
      <c r="M1608" s="46"/>
      <c r="N1608" s="46"/>
      <c r="O1608" s="46"/>
      <c r="P1608" s="46"/>
      <c r="Q1608" s="46"/>
      <c r="R1608" s="46"/>
      <c r="S1608" s="46"/>
      <c r="T1608" s="46"/>
      <c r="U1608" s="46"/>
      <c r="V1608" s="46"/>
      <c r="W1608" s="46"/>
      <c r="X1608" s="46"/>
    </row>
    <row r="1609" spans="1:24" x14ac:dyDescent="0.2">
      <c r="A1609" s="45"/>
      <c r="B1609" s="46"/>
      <c r="C1609" s="46"/>
      <c r="D1609" s="46"/>
      <c r="E1609" s="46"/>
      <c r="F1609" s="46"/>
      <c r="G1609" s="46"/>
      <c r="H1609" s="46"/>
      <c r="I1609" s="46"/>
      <c r="J1609" s="46"/>
      <c r="K1609" s="46"/>
      <c r="L1609" s="46"/>
      <c r="M1609" s="46"/>
      <c r="N1609" s="46"/>
      <c r="O1609" s="46"/>
      <c r="P1609" s="46"/>
      <c r="Q1609" s="46"/>
      <c r="R1609" s="46"/>
      <c r="S1609" s="46"/>
      <c r="T1609" s="46"/>
      <c r="U1609" s="46"/>
      <c r="V1609" s="46"/>
      <c r="W1609" s="46"/>
      <c r="X1609" s="46"/>
    </row>
    <row r="1610" spans="1:24" x14ac:dyDescent="0.2">
      <c r="A1610" s="45"/>
      <c r="B1610" s="46"/>
      <c r="C1610" s="46"/>
      <c r="D1610" s="46"/>
      <c r="E1610" s="46"/>
      <c r="F1610" s="46"/>
      <c r="G1610" s="46"/>
      <c r="H1610" s="46"/>
      <c r="I1610" s="46"/>
      <c r="J1610" s="46"/>
      <c r="K1610" s="46"/>
      <c r="L1610" s="46"/>
      <c r="M1610" s="46"/>
      <c r="N1610" s="46"/>
      <c r="O1610" s="46"/>
      <c r="P1610" s="46"/>
      <c r="Q1610" s="46"/>
      <c r="R1610" s="46"/>
      <c r="S1610" s="46"/>
      <c r="T1610" s="46"/>
      <c r="U1610" s="46"/>
      <c r="V1610" s="46"/>
      <c r="W1610" s="46"/>
      <c r="X1610" s="46"/>
    </row>
    <row r="1611" spans="1:24" x14ac:dyDescent="0.2">
      <c r="A1611" s="45"/>
      <c r="B1611" s="46"/>
      <c r="C1611" s="46"/>
      <c r="D1611" s="46"/>
      <c r="E1611" s="46"/>
      <c r="F1611" s="46"/>
      <c r="G1611" s="46"/>
      <c r="H1611" s="46"/>
      <c r="I1611" s="46"/>
      <c r="J1611" s="46"/>
      <c r="K1611" s="46"/>
      <c r="L1611" s="46"/>
      <c r="M1611" s="46"/>
      <c r="N1611" s="46"/>
      <c r="O1611" s="46"/>
      <c r="P1611" s="46"/>
      <c r="Q1611" s="46"/>
      <c r="R1611" s="46"/>
      <c r="S1611" s="46"/>
      <c r="T1611" s="46"/>
      <c r="U1611" s="46"/>
      <c r="V1611" s="46"/>
      <c r="W1611" s="46"/>
      <c r="X1611" s="46"/>
    </row>
    <row r="1612" spans="1:24" x14ac:dyDescent="0.2">
      <c r="A1612" s="45"/>
      <c r="B1612" s="46"/>
      <c r="C1612" s="46"/>
      <c r="D1612" s="46"/>
      <c r="E1612" s="46"/>
      <c r="F1612" s="46"/>
      <c r="G1612" s="46"/>
      <c r="H1612" s="46"/>
      <c r="I1612" s="46"/>
      <c r="J1612" s="46"/>
      <c r="K1612" s="46"/>
      <c r="L1612" s="46"/>
      <c r="M1612" s="46"/>
      <c r="N1612" s="46"/>
      <c r="O1612" s="46"/>
      <c r="P1612" s="46"/>
      <c r="Q1612" s="46"/>
      <c r="R1612" s="46"/>
      <c r="S1612" s="46"/>
      <c r="T1612" s="46"/>
      <c r="U1612" s="46"/>
      <c r="V1612" s="46"/>
      <c r="W1612" s="46"/>
      <c r="X1612" s="46"/>
    </row>
    <row r="1613" spans="1:24" x14ac:dyDescent="0.2">
      <c r="A1613" s="45"/>
      <c r="B1613" s="46"/>
      <c r="C1613" s="46"/>
      <c r="D1613" s="46"/>
      <c r="E1613" s="46"/>
      <c r="F1613" s="46"/>
      <c r="G1613" s="46"/>
      <c r="H1613" s="46"/>
      <c r="I1613" s="46"/>
      <c r="J1613" s="46"/>
      <c r="K1613" s="46"/>
      <c r="L1613" s="46"/>
      <c r="M1613" s="46"/>
      <c r="N1613" s="46"/>
      <c r="O1613" s="46"/>
      <c r="P1613" s="46"/>
      <c r="Q1613" s="46"/>
      <c r="R1613" s="46"/>
      <c r="S1613" s="46"/>
      <c r="T1613" s="46"/>
      <c r="U1613" s="46"/>
      <c r="V1613" s="46"/>
      <c r="W1613" s="46"/>
      <c r="X1613" s="46"/>
    </row>
    <row r="1614" spans="1:24" x14ac:dyDescent="0.2">
      <c r="A1614" s="45"/>
      <c r="B1614" s="46"/>
      <c r="C1614" s="46"/>
      <c r="D1614" s="46"/>
      <c r="E1614" s="46"/>
      <c r="F1614" s="46"/>
      <c r="G1614" s="46"/>
      <c r="H1614" s="46"/>
      <c r="I1614" s="46"/>
      <c r="J1614" s="46"/>
      <c r="K1614" s="46"/>
      <c r="L1614" s="46"/>
      <c r="M1614" s="46"/>
      <c r="N1614" s="46"/>
      <c r="O1614" s="46"/>
      <c r="P1614" s="46"/>
      <c r="Q1614" s="46"/>
      <c r="R1614" s="46"/>
      <c r="S1614" s="46"/>
      <c r="T1614" s="46"/>
      <c r="U1614" s="46"/>
      <c r="V1614" s="46"/>
      <c r="W1614" s="46"/>
      <c r="X1614" s="46"/>
    </row>
    <row r="1615" spans="1:24" x14ac:dyDescent="0.2">
      <c r="A1615" s="45"/>
      <c r="B1615" s="46"/>
      <c r="C1615" s="46"/>
      <c r="D1615" s="46"/>
      <c r="E1615" s="46"/>
      <c r="F1615" s="46"/>
      <c r="G1615" s="46"/>
      <c r="H1615" s="46"/>
      <c r="I1615" s="46"/>
      <c r="J1615" s="46"/>
      <c r="K1615" s="46"/>
      <c r="L1615" s="46"/>
      <c r="M1615" s="46"/>
      <c r="N1615" s="46"/>
      <c r="O1615" s="46"/>
      <c r="P1615" s="46"/>
      <c r="Q1615" s="46"/>
      <c r="R1615" s="46"/>
      <c r="S1615" s="46"/>
      <c r="T1615" s="46"/>
      <c r="U1615" s="46"/>
      <c r="V1615" s="46"/>
      <c r="W1615" s="46"/>
      <c r="X1615" s="46"/>
    </row>
    <row r="1616" spans="1:24" x14ac:dyDescent="0.2">
      <c r="A1616" s="45"/>
      <c r="B1616" s="46"/>
      <c r="C1616" s="46"/>
      <c r="D1616" s="46"/>
      <c r="E1616" s="46"/>
      <c r="F1616" s="46"/>
      <c r="G1616" s="46"/>
      <c r="H1616" s="46"/>
      <c r="I1616" s="46"/>
      <c r="J1616" s="46"/>
      <c r="K1616" s="46"/>
      <c r="L1616" s="46"/>
      <c r="M1616" s="46"/>
      <c r="N1616" s="46"/>
      <c r="O1616" s="46"/>
      <c r="P1616" s="46"/>
      <c r="Q1616" s="46"/>
      <c r="R1616" s="46"/>
      <c r="S1616" s="46"/>
      <c r="T1616" s="46"/>
      <c r="U1616" s="46"/>
      <c r="V1616" s="46"/>
      <c r="W1616" s="46"/>
      <c r="X1616" s="46"/>
    </row>
    <row r="1617" spans="1:24" x14ac:dyDescent="0.2">
      <c r="A1617" s="45"/>
      <c r="B1617" s="46"/>
      <c r="C1617" s="46"/>
      <c r="D1617" s="46"/>
      <c r="E1617" s="46"/>
      <c r="F1617" s="46"/>
      <c r="G1617" s="46"/>
      <c r="H1617" s="46"/>
      <c r="I1617" s="46"/>
      <c r="J1617" s="46"/>
      <c r="K1617" s="46"/>
      <c r="L1617" s="46"/>
      <c r="M1617" s="46"/>
      <c r="N1617" s="46"/>
      <c r="O1617" s="46"/>
      <c r="P1617" s="46"/>
      <c r="Q1617" s="46"/>
      <c r="R1617" s="46"/>
      <c r="S1617" s="46"/>
      <c r="T1617" s="46"/>
      <c r="U1617" s="46"/>
      <c r="V1617" s="46"/>
      <c r="W1617" s="46"/>
      <c r="X1617" s="46"/>
    </row>
    <row r="1618" spans="1:24" x14ac:dyDescent="0.2">
      <c r="A1618" s="45"/>
      <c r="B1618" s="46"/>
      <c r="C1618" s="46"/>
      <c r="D1618" s="46"/>
      <c r="E1618" s="46"/>
      <c r="F1618" s="46"/>
      <c r="G1618" s="46"/>
      <c r="H1618" s="46"/>
      <c r="I1618" s="46"/>
      <c r="J1618" s="46"/>
      <c r="K1618" s="46"/>
      <c r="L1618" s="46"/>
      <c r="M1618" s="46"/>
      <c r="N1618" s="46"/>
      <c r="O1618" s="46"/>
      <c r="P1618" s="46"/>
      <c r="Q1618" s="46"/>
      <c r="R1618" s="46"/>
      <c r="S1618" s="46"/>
      <c r="T1618" s="46"/>
      <c r="U1618" s="46"/>
      <c r="V1618" s="46"/>
      <c r="W1618" s="46"/>
      <c r="X1618" s="46"/>
    </row>
    <row r="1619" spans="1:24" x14ac:dyDescent="0.2">
      <c r="A1619" s="45"/>
      <c r="B1619" s="46"/>
      <c r="C1619" s="46"/>
      <c r="D1619" s="46"/>
      <c r="E1619" s="46"/>
      <c r="F1619" s="46"/>
      <c r="G1619" s="46"/>
      <c r="H1619" s="46"/>
      <c r="I1619" s="46"/>
      <c r="J1619" s="46"/>
      <c r="K1619" s="46"/>
      <c r="L1619" s="46"/>
      <c r="M1619" s="46"/>
      <c r="N1619" s="46"/>
      <c r="O1619" s="46"/>
      <c r="P1619" s="46"/>
      <c r="Q1619" s="46"/>
      <c r="R1619" s="46"/>
      <c r="S1619" s="46"/>
      <c r="T1619" s="46"/>
      <c r="U1619" s="46"/>
      <c r="V1619" s="46"/>
      <c r="W1619" s="46"/>
      <c r="X1619" s="46"/>
    </row>
    <row r="1620" spans="1:24" x14ac:dyDescent="0.2">
      <c r="A1620" s="45"/>
      <c r="B1620" s="46"/>
      <c r="C1620" s="46"/>
      <c r="D1620" s="46"/>
      <c r="E1620" s="46"/>
      <c r="F1620" s="46"/>
      <c r="G1620" s="46"/>
      <c r="H1620" s="46"/>
      <c r="I1620" s="46"/>
      <c r="J1620" s="46"/>
      <c r="K1620" s="46"/>
      <c r="L1620" s="46"/>
      <c r="M1620" s="46"/>
      <c r="N1620" s="46"/>
      <c r="O1620" s="46"/>
      <c r="P1620" s="46"/>
      <c r="Q1620" s="46"/>
      <c r="R1620" s="46"/>
      <c r="S1620" s="46"/>
      <c r="T1620" s="46"/>
      <c r="U1620" s="46"/>
      <c r="V1620" s="46"/>
      <c r="W1620" s="46"/>
      <c r="X1620" s="46"/>
    </row>
    <row r="1621" spans="1:24" x14ac:dyDescent="0.2">
      <c r="A1621" s="45"/>
      <c r="B1621" s="46"/>
      <c r="C1621" s="46"/>
      <c r="D1621" s="46"/>
      <c r="E1621" s="46"/>
      <c r="F1621" s="46"/>
      <c r="G1621" s="46"/>
      <c r="H1621" s="46"/>
      <c r="I1621" s="46"/>
      <c r="J1621" s="46"/>
      <c r="K1621" s="46"/>
      <c r="L1621" s="46"/>
      <c r="M1621" s="46"/>
      <c r="N1621" s="46"/>
      <c r="O1621" s="46"/>
      <c r="P1621" s="46"/>
      <c r="Q1621" s="46"/>
      <c r="R1621" s="46"/>
      <c r="S1621" s="46"/>
      <c r="T1621" s="46"/>
      <c r="U1621" s="46"/>
      <c r="V1621" s="46"/>
      <c r="W1621" s="46"/>
      <c r="X1621" s="46"/>
    </row>
    <row r="1622" spans="1:24" x14ac:dyDescent="0.2">
      <c r="A1622" s="45"/>
      <c r="B1622" s="46"/>
      <c r="C1622" s="46"/>
      <c r="D1622" s="46"/>
      <c r="E1622" s="46"/>
      <c r="F1622" s="46"/>
      <c r="G1622" s="46"/>
      <c r="H1622" s="46"/>
      <c r="I1622" s="46"/>
      <c r="J1622" s="46"/>
      <c r="K1622" s="46"/>
      <c r="L1622" s="46"/>
      <c r="M1622" s="46"/>
      <c r="N1622" s="46"/>
      <c r="O1622" s="46"/>
      <c r="P1622" s="46"/>
      <c r="Q1622" s="46"/>
      <c r="R1622" s="46"/>
      <c r="S1622" s="46"/>
      <c r="T1622" s="46"/>
      <c r="U1622" s="46"/>
      <c r="V1622" s="46"/>
      <c r="W1622" s="46"/>
      <c r="X1622" s="46"/>
    </row>
    <row r="1623" spans="1:24" x14ac:dyDescent="0.2">
      <c r="A1623" s="45"/>
      <c r="B1623" s="46"/>
      <c r="C1623" s="46"/>
      <c r="D1623" s="46"/>
      <c r="E1623" s="46"/>
      <c r="F1623" s="46"/>
      <c r="G1623" s="46"/>
      <c r="H1623" s="46"/>
      <c r="I1623" s="46"/>
      <c r="J1623" s="46"/>
      <c r="K1623" s="46"/>
      <c r="L1623" s="46"/>
      <c r="M1623" s="46"/>
      <c r="N1623" s="46"/>
      <c r="O1623" s="46"/>
      <c r="P1623" s="46"/>
      <c r="Q1623" s="46"/>
      <c r="R1623" s="46"/>
      <c r="S1623" s="46"/>
      <c r="T1623" s="46"/>
      <c r="U1623" s="46"/>
      <c r="V1623" s="46"/>
      <c r="W1623" s="46"/>
      <c r="X1623" s="46"/>
    </row>
    <row r="1624" spans="1:24" x14ac:dyDescent="0.2">
      <c r="A1624" s="45"/>
      <c r="B1624" s="46"/>
      <c r="C1624" s="46"/>
      <c r="D1624" s="46"/>
      <c r="E1624" s="46"/>
      <c r="F1624" s="46"/>
      <c r="G1624" s="46"/>
      <c r="H1624" s="46"/>
      <c r="I1624" s="46"/>
      <c r="J1624" s="46"/>
      <c r="K1624" s="46"/>
      <c r="L1624" s="46"/>
      <c r="M1624" s="46"/>
      <c r="N1624" s="46"/>
      <c r="O1624" s="46"/>
      <c r="P1624" s="46"/>
      <c r="Q1624" s="46"/>
      <c r="R1624" s="46"/>
      <c r="S1624" s="46"/>
      <c r="T1624" s="46"/>
      <c r="U1624" s="46"/>
      <c r="V1624" s="46"/>
      <c r="W1624" s="46"/>
      <c r="X1624" s="46"/>
    </row>
    <row r="1625" spans="1:24" x14ac:dyDescent="0.2">
      <c r="A1625" s="45"/>
      <c r="B1625" s="46"/>
      <c r="C1625" s="46"/>
      <c r="D1625" s="46"/>
      <c r="E1625" s="46"/>
      <c r="F1625" s="46"/>
      <c r="G1625" s="46"/>
      <c r="H1625" s="46"/>
      <c r="I1625" s="46"/>
      <c r="J1625" s="46"/>
      <c r="K1625" s="46"/>
      <c r="L1625" s="46"/>
      <c r="M1625" s="46"/>
      <c r="N1625" s="46"/>
      <c r="O1625" s="46"/>
      <c r="P1625" s="46"/>
      <c r="Q1625" s="46"/>
      <c r="R1625" s="46"/>
      <c r="S1625" s="46"/>
      <c r="T1625" s="46"/>
      <c r="U1625" s="46"/>
      <c r="V1625" s="46"/>
      <c r="W1625" s="46"/>
      <c r="X1625" s="46"/>
    </row>
    <row r="1626" spans="1:24" x14ac:dyDescent="0.2">
      <c r="A1626" s="45"/>
      <c r="B1626" s="46"/>
      <c r="C1626" s="46"/>
      <c r="D1626" s="46"/>
      <c r="E1626" s="46"/>
      <c r="F1626" s="46"/>
      <c r="G1626" s="46"/>
      <c r="H1626" s="46"/>
      <c r="I1626" s="46"/>
      <c r="J1626" s="46"/>
      <c r="K1626" s="46"/>
      <c r="L1626" s="46"/>
      <c r="M1626" s="46"/>
      <c r="N1626" s="46"/>
      <c r="O1626" s="46"/>
      <c r="P1626" s="46"/>
      <c r="Q1626" s="46"/>
      <c r="R1626" s="46"/>
      <c r="S1626" s="46"/>
      <c r="T1626" s="46"/>
      <c r="U1626" s="46"/>
      <c r="V1626" s="46"/>
      <c r="W1626" s="46"/>
      <c r="X1626" s="46"/>
    </row>
    <row r="1627" spans="1:24" x14ac:dyDescent="0.2">
      <c r="A1627" s="45"/>
      <c r="B1627" s="46"/>
      <c r="C1627" s="46"/>
      <c r="D1627" s="46"/>
      <c r="E1627" s="46"/>
      <c r="F1627" s="46"/>
      <c r="G1627" s="46"/>
      <c r="H1627" s="46"/>
      <c r="I1627" s="46"/>
      <c r="J1627" s="46"/>
      <c r="K1627" s="46"/>
      <c r="L1627" s="46"/>
      <c r="M1627" s="46"/>
      <c r="N1627" s="46"/>
      <c r="O1627" s="46"/>
      <c r="P1627" s="46"/>
      <c r="Q1627" s="46"/>
      <c r="R1627" s="46"/>
      <c r="S1627" s="46"/>
      <c r="T1627" s="46"/>
      <c r="U1627" s="46"/>
      <c r="V1627" s="46"/>
      <c r="W1627" s="46"/>
      <c r="X1627" s="46"/>
    </row>
    <row r="1628" spans="1:24" x14ac:dyDescent="0.2">
      <c r="A1628" s="45"/>
      <c r="B1628" s="46"/>
      <c r="C1628" s="46"/>
      <c r="D1628" s="46"/>
      <c r="E1628" s="46"/>
      <c r="F1628" s="46"/>
      <c r="G1628" s="46"/>
      <c r="H1628" s="46"/>
      <c r="I1628" s="46"/>
      <c r="J1628" s="46"/>
      <c r="K1628" s="46"/>
      <c r="L1628" s="46"/>
      <c r="M1628" s="46"/>
      <c r="N1628" s="46"/>
      <c r="O1628" s="46"/>
      <c r="P1628" s="46"/>
      <c r="Q1628" s="46"/>
      <c r="R1628" s="46"/>
      <c r="S1628" s="46"/>
      <c r="T1628" s="46"/>
      <c r="U1628" s="46"/>
      <c r="V1628" s="46"/>
      <c r="W1628" s="46"/>
      <c r="X1628" s="46"/>
    </row>
    <row r="1629" spans="1:24" x14ac:dyDescent="0.2">
      <c r="A1629" s="45"/>
      <c r="B1629" s="46"/>
      <c r="C1629" s="46"/>
      <c r="D1629" s="46"/>
      <c r="E1629" s="46"/>
      <c r="F1629" s="46"/>
      <c r="G1629" s="46"/>
      <c r="H1629" s="46"/>
      <c r="I1629" s="46"/>
      <c r="J1629" s="46"/>
      <c r="K1629" s="46"/>
      <c r="L1629" s="46"/>
      <c r="M1629" s="46"/>
      <c r="N1629" s="46"/>
      <c r="O1629" s="46"/>
      <c r="P1629" s="46"/>
      <c r="Q1629" s="46"/>
      <c r="R1629" s="46"/>
      <c r="S1629" s="46"/>
      <c r="T1629" s="46"/>
      <c r="U1629" s="46"/>
      <c r="V1629" s="46"/>
      <c r="W1629" s="46"/>
      <c r="X1629" s="46"/>
    </row>
    <row r="1630" spans="1:24" x14ac:dyDescent="0.2">
      <c r="A1630" s="45"/>
      <c r="B1630" s="46"/>
      <c r="C1630" s="46"/>
      <c r="D1630" s="46"/>
      <c r="E1630" s="46"/>
      <c r="F1630" s="46"/>
      <c r="G1630" s="46"/>
      <c r="H1630" s="46"/>
      <c r="I1630" s="46"/>
      <c r="J1630" s="46"/>
      <c r="K1630" s="46"/>
      <c r="L1630" s="46"/>
      <c r="M1630" s="46"/>
      <c r="N1630" s="46"/>
      <c r="O1630" s="46"/>
      <c r="P1630" s="46"/>
      <c r="Q1630" s="46"/>
      <c r="R1630" s="46"/>
      <c r="S1630" s="46"/>
      <c r="T1630" s="46"/>
      <c r="U1630" s="46"/>
      <c r="V1630" s="46"/>
      <c r="W1630" s="46"/>
      <c r="X1630" s="46"/>
    </row>
    <row r="1631" spans="1:24" x14ac:dyDescent="0.2">
      <c r="A1631" s="45"/>
      <c r="B1631" s="46"/>
      <c r="C1631" s="46"/>
      <c r="D1631" s="46"/>
      <c r="E1631" s="46"/>
      <c r="F1631" s="46"/>
      <c r="G1631" s="46"/>
      <c r="H1631" s="46"/>
      <c r="I1631" s="46"/>
      <c r="J1631" s="46"/>
      <c r="K1631" s="46"/>
      <c r="L1631" s="46"/>
      <c r="M1631" s="46"/>
      <c r="N1631" s="46"/>
      <c r="O1631" s="46"/>
      <c r="P1631" s="46"/>
      <c r="Q1631" s="46"/>
      <c r="R1631" s="46"/>
      <c r="S1631" s="46"/>
      <c r="T1631" s="46"/>
      <c r="U1631" s="46"/>
      <c r="V1631" s="46"/>
      <c r="W1631" s="46"/>
      <c r="X1631" s="46"/>
    </row>
    <row r="1632" spans="1:24" x14ac:dyDescent="0.2">
      <c r="A1632" s="45"/>
      <c r="B1632" s="46"/>
      <c r="C1632" s="46"/>
      <c r="D1632" s="46"/>
      <c r="E1632" s="46"/>
      <c r="F1632" s="46"/>
      <c r="G1632" s="46"/>
      <c r="H1632" s="46"/>
      <c r="I1632" s="46"/>
      <c r="J1632" s="46"/>
      <c r="K1632" s="46"/>
      <c r="L1632" s="46"/>
      <c r="M1632" s="46"/>
      <c r="N1632" s="46"/>
      <c r="O1632" s="46"/>
      <c r="P1632" s="46"/>
      <c r="Q1632" s="46"/>
      <c r="R1632" s="46"/>
      <c r="S1632" s="46"/>
      <c r="T1632" s="46"/>
      <c r="U1632" s="46"/>
      <c r="V1632" s="46"/>
      <c r="W1632" s="46"/>
      <c r="X1632" s="46"/>
    </row>
    <row r="1633" spans="1:24" x14ac:dyDescent="0.2">
      <c r="A1633" s="45"/>
      <c r="B1633" s="46"/>
      <c r="C1633" s="46"/>
      <c r="D1633" s="46"/>
      <c r="E1633" s="46"/>
      <c r="F1633" s="46"/>
      <c r="G1633" s="46"/>
      <c r="H1633" s="46"/>
      <c r="I1633" s="46"/>
      <c r="J1633" s="46"/>
      <c r="K1633" s="46"/>
      <c r="L1633" s="46"/>
      <c r="M1633" s="46"/>
      <c r="N1633" s="46"/>
      <c r="O1633" s="46"/>
      <c r="P1633" s="46"/>
      <c r="Q1633" s="46"/>
      <c r="R1633" s="46"/>
      <c r="S1633" s="46"/>
      <c r="T1633" s="46"/>
      <c r="U1633" s="46"/>
      <c r="V1633" s="46"/>
      <c r="W1633" s="46"/>
      <c r="X1633" s="46"/>
    </row>
    <row r="1634" spans="1:24" x14ac:dyDescent="0.2">
      <c r="A1634" s="45"/>
      <c r="B1634" s="46"/>
      <c r="C1634" s="46"/>
      <c r="D1634" s="46"/>
      <c r="E1634" s="46"/>
      <c r="F1634" s="46"/>
      <c r="G1634" s="46"/>
      <c r="H1634" s="46"/>
      <c r="I1634" s="46"/>
      <c r="J1634" s="46"/>
      <c r="K1634" s="46"/>
      <c r="L1634" s="46"/>
      <c r="M1634" s="46"/>
      <c r="N1634" s="46"/>
      <c r="O1634" s="46"/>
      <c r="P1634" s="46"/>
      <c r="Q1634" s="46"/>
      <c r="R1634" s="46"/>
      <c r="S1634" s="46"/>
      <c r="T1634" s="46"/>
      <c r="U1634" s="46"/>
      <c r="V1634" s="46"/>
      <c r="W1634" s="46"/>
      <c r="X1634" s="46"/>
    </row>
    <row r="1635" spans="1:24" x14ac:dyDescent="0.2">
      <c r="A1635" s="45"/>
      <c r="B1635" s="46"/>
      <c r="C1635" s="46"/>
      <c r="D1635" s="46"/>
      <c r="E1635" s="46"/>
      <c r="F1635" s="46"/>
      <c r="G1635" s="46"/>
      <c r="H1635" s="46"/>
      <c r="I1635" s="46"/>
      <c r="J1635" s="46"/>
      <c r="K1635" s="46"/>
      <c r="L1635" s="46"/>
      <c r="M1635" s="46"/>
      <c r="N1635" s="46"/>
      <c r="O1635" s="46"/>
      <c r="P1635" s="46"/>
      <c r="Q1635" s="46"/>
      <c r="R1635" s="46"/>
      <c r="S1635" s="46"/>
      <c r="T1635" s="46"/>
      <c r="U1635" s="46"/>
      <c r="V1635" s="46"/>
      <c r="W1635" s="46"/>
      <c r="X1635" s="46"/>
    </row>
    <row r="1636" spans="1:24" x14ac:dyDescent="0.2">
      <c r="A1636" s="45"/>
      <c r="B1636" s="46"/>
      <c r="C1636" s="46"/>
      <c r="D1636" s="46"/>
      <c r="E1636" s="46"/>
      <c r="F1636" s="46"/>
      <c r="G1636" s="46"/>
      <c r="H1636" s="46"/>
      <c r="I1636" s="46"/>
      <c r="J1636" s="46"/>
      <c r="K1636" s="46"/>
      <c r="L1636" s="46"/>
      <c r="M1636" s="46"/>
      <c r="N1636" s="46"/>
      <c r="O1636" s="46"/>
      <c r="P1636" s="46"/>
      <c r="Q1636" s="46"/>
      <c r="R1636" s="46"/>
      <c r="S1636" s="46"/>
      <c r="T1636" s="46"/>
      <c r="U1636" s="46"/>
      <c r="V1636" s="46"/>
      <c r="W1636" s="46"/>
      <c r="X1636" s="46"/>
    </row>
    <row r="1637" spans="1:24" x14ac:dyDescent="0.2">
      <c r="A1637" s="45"/>
      <c r="B1637" s="46"/>
      <c r="C1637" s="46"/>
      <c r="D1637" s="46"/>
      <c r="E1637" s="46"/>
      <c r="F1637" s="46"/>
      <c r="G1637" s="46"/>
      <c r="H1637" s="46"/>
      <c r="I1637" s="46"/>
      <c r="J1637" s="46"/>
      <c r="K1637" s="46"/>
      <c r="L1637" s="46"/>
      <c r="M1637" s="46"/>
      <c r="N1637" s="46"/>
      <c r="O1637" s="46"/>
      <c r="P1637" s="46"/>
      <c r="Q1637" s="46"/>
      <c r="R1637" s="46"/>
      <c r="S1637" s="46"/>
      <c r="T1637" s="46"/>
      <c r="U1637" s="46"/>
      <c r="V1637" s="46"/>
      <c r="W1637" s="46"/>
      <c r="X1637" s="46"/>
    </row>
    <row r="1638" spans="1:24" x14ac:dyDescent="0.2">
      <c r="A1638" s="45"/>
      <c r="B1638" s="46"/>
      <c r="C1638" s="46"/>
      <c r="D1638" s="46"/>
      <c r="E1638" s="46"/>
      <c r="F1638" s="46"/>
      <c r="G1638" s="46"/>
      <c r="H1638" s="46"/>
      <c r="I1638" s="46"/>
      <c r="J1638" s="46"/>
      <c r="K1638" s="46"/>
      <c r="L1638" s="46"/>
      <c r="M1638" s="46"/>
      <c r="N1638" s="46"/>
      <c r="O1638" s="46"/>
      <c r="P1638" s="46"/>
      <c r="Q1638" s="46"/>
      <c r="R1638" s="46"/>
      <c r="S1638" s="46"/>
      <c r="T1638" s="46"/>
      <c r="U1638" s="46"/>
      <c r="V1638" s="46"/>
      <c r="W1638" s="46"/>
      <c r="X1638" s="46"/>
    </row>
    <row r="1639" spans="1:24" x14ac:dyDescent="0.2">
      <c r="A1639" s="45"/>
      <c r="B1639" s="46"/>
      <c r="C1639" s="46"/>
      <c r="D1639" s="46"/>
      <c r="E1639" s="46"/>
      <c r="F1639" s="46"/>
      <c r="G1639" s="46"/>
      <c r="H1639" s="46"/>
      <c r="I1639" s="46"/>
      <c r="J1639" s="46"/>
      <c r="K1639" s="46"/>
      <c r="L1639" s="46"/>
      <c r="M1639" s="46"/>
      <c r="N1639" s="46"/>
      <c r="O1639" s="46"/>
      <c r="P1639" s="46"/>
      <c r="Q1639" s="46"/>
      <c r="R1639" s="46"/>
      <c r="S1639" s="46"/>
      <c r="T1639" s="46"/>
      <c r="U1639" s="46"/>
      <c r="V1639" s="46"/>
      <c r="W1639" s="46"/>
      <c r="X1639" s="46"/>
    </row>
    <row r="1640" spans="1:24" x14ac:dyDescent="0.2">
      <c r="A1640" s="45"/>
      <c r="B1640" s="46"/>
      <c r="C1640" s="46"/>
      <c r="D1640" s="46"/>
      <c r="E1640" s="46"/>
      <c r="F1640" s="46"/>
      <c r="G1640" s="46"/>
      <c r="H1640" s="46"/>
      <c r="I1640" s="46"/>
      <c r="J1640" s="46"/>
      <c r="K1640" s="46"/>
      <c r="L1640" s="46"/>
      <c r="M1640" s="46"/>
      <c r="N1640" s="46"/>
      <c r="O1640" s="46"/>
      <c r="P1640" s="46"/>
      <c r="Q1640" s="46"/>
      <c r="R1640" s="46"/>
      <c r="S1640" s="46"/>
      <c r="T1640" s="46"/>
      <c r="U1640" s="46"/>
      <c r="V1640" s="46"/>
      <c r="W1640" s="46"/>
      <c r="X1640" s="46"/>
    </row>
    <row r="1641" spans="1:24" x14ac:dyDescent="0.2">
      <c r="A1641" s="45"/>
      <c r="B1641" s="46"/>
      <c r="C1641" s="46"/>
      <c r="D1641" s="46"/>
      <c r="E1641" s="46"/>
      <c r="F1641" s="46"/>
      <c r="G1641" s="46"/>
      <c r="H1641" s="46"/>
      <c r="I1641" s="46"/>
      <c r="J1641" s="46"/>
      <c r="K1641" s="46"/>
      <c r="L1641" s="46"/>
      <c r="M1641" s="46"/>
      <c r="N1641" s="46"/>
      <c r="O1641" s="46"/>
      <c r="P1641" s="46"/>
      <c r="Q1641" s="46"/>
      <c r="R1641" s="46"/>
      <c r="S1641" s="46"/>
      <c r="T1641" s="46"/>
      <c r="U1641" s="46"/>
      <c r="V1641" s="46"/>
      <c r="W1641" s="46"/>
      <c r="X1641" s="46"/>
    </row>
    <row r="1642" spans="1:24" x14ac:dyDescent="0.2">
      <c r="A1642" s="45"/>
      <c r="B1642" s="46"/>
      <c r="C1642" s="46"/>
      <c r="D1642" s="46"/>
      <c r="E1642" s="46"/>
      <c r="F1642" s="46"/>
      <c r="G1642" s="46"/>
      <c r="H1642" s="46"/>
      <c r="I1642" s="46"/>
      <c r="J1642" s="46"/>
      <c r="K1642" s="46"/>
      <c r="L1642" s="46"/>
      <c r="M1642" s="46"/>
      <c r="N1642" s="46"/>
      <c r="O1642" s="46"/>
      <c r="P1642" s="46"/>
      <c r="Q1642" s="46"/>
      <c r="R1642" s="46"/>
      <c r="S1642" s="46"/>
      <c r="T1642" s="46"/>
      <c r="U1642" s="46"/>
      <c r="V1642" s="46"/>
      <c r="W1642" s="46"/>
      <c r="X1642" s="46"/>
    </row>
    <row r="1643" spans="1:24" x14ac:dyDescent="0.2">
      <c r="A1643" s="45"/>
      <c r="B1643" s="46"/>
      <c r="C1643" s="46"/>
      <c r="D1643" s="46"/>
      <c r="E1643" s="46"/>
      <c r="F1643" s="46"/>
      <c r="G1643" s="46"/>
      <c r="H1643" s="46"/>
      <c r="I1643" s="46"/>
      <c r="J1643" s="46"/>
      <c r="K1643" s="46"/>
      <c r="L1643" s="46"/>
      <c r="M1643" s="46"/>
      <c r="N1643" s="46"/>
      <c r="O1643" s="46"/>
      <c r="P1643" s="46"/>
      <c r="Q1643" s="46"/>
      <c r="R1643" s="46"/>
      <c r="S1643" s="46"/>
      <c r="T1643" s="46"/>
      <c r="U1643" s="46"/>
      <c r="V1643" s="46"/>
      <c r="W1643" s="46"/>
      <c r="X1643" s="46"/>
    </row>
    <row r="1644" spans="1:24" x14ac:dyDescent="0.2">
      <c r="A1644" s="45"/>
      <c r="B1644" s="46"/>
      <c r="C1644" s="46"/>
      <c r="D1644" s="46"/>
      <c r="E1644" s="46"/>
      <c r="F1644" s="46"/>
      <c r="G1644" s="46"/>
      <c r="H1644" s="46"/>
      <c r="I1644" s="46"/>
      <c r="J1644" s="46"/>
      <c r="K1644" s="46"/>
      <c r="L1644" s="46"/>
      <c r="M1644" s="46"/>
      <c r="N1644" s="46"/>
      <c r="O1644" s="46"/>
      <c r="P1644" s="46"/>
      <c r="Q1644" s="46"/>
      <c r="R1644" s="46"/>
      <c r="S1644" s="46"/>
      <c r="T1644" s="46"/>
      <c r="U1644" s="46"/>
      <c r="V1644" s="46"/>
      <c r="W1644" s="46"/>
      <c r="X1644" s="46"/>
    </row>
    <row r="1645" spans="1:24" x14ac:dyDescent="0.2">
      <c r="A1645" s="45"/>
      <c r="B1645" s="46"/>
      <c r="C1645" s="46"/>
      <c r="D1645" s="46"/>
      <c r="E1645" s="46"/>
      <c r="F1645" s="46"/>
      <c r="G1645" s="46"/>
      <c r="H1645" s="46"/>
      <c r="I1645" s="46"/>
      <c r="J1645" s="46"/>
      <c r="K1645" s="46"/>
      <c r="L1645" s="46"/>
      <c r="M1645" s="46"/>
      <c r="N1645" s="46"/>
      <c r="O1645" s="46"/>
      <c r="P1645" s="46"/>
      <c r="Q1645" s="46"/>
      <c r="R1645" s="46"/>
      <c r="S1645" s="46"/>
      <c r="T1645" s="46"/>
      <c r="U1645" s="46"/>
      <c r="V1645" s="46"/>
      <c r="W1645" s="46"/>
      <c r="X1645" s="46"/>
    </row>
    <row r="1646" spans="1:24" x14ac:dyDescent="0.2">
      <c r="A1646" s="45"/>
      <c r="B1646" s="46"/>
      <c r="C1646" s="46"/>
      <c r="D1646" s="46"/>
      <c r="E1646" s="46"/>
      <c r="F1646" s="46"/>
      <c r="G1646" s="46"/>
      <c r="H1646" s="46"/>
      <c r="I1646" s="46"/>
      <c r="J1646" s="46"/>
      <c r="K1646" s="46"/>
      <c r="L1646" s="46"/>
      <c r="M1646" s="46"/>
      <c r="N1646" s="46"/>
      <c r="O1646" s="46"/>
      <c r="P1646" s="46"/>
      <c r="Q1646" s="46"/>
      <c r="R1646" s="46"/>
      <c r="S1646" s="46"/>
      <c r="T1646" s="46"/>
      <c r="U1646" s="46"/>
      <c r="V1646" s="46"/>
      <c r="W1646" s="46"/>
      <c r="X1646" s="46"/>
    </row>
    <row r="1647" spans="1:24" x14ac:dyDescent="0.2">
      <c r="A1647" s="45"/>
      <c r="B1647" s="46"/>
      <c r="C1647" s="46"/>
      <c r="D1647" s="46"/>
      <c r="E1647" s="46"/>
      <c r="F1647" s="46"/>
      <c r="G1647" s="46"/>
      <c r="H1647" s="46"/>
      <c r="I1647" s="46"/>
      <c r="J1647" s="46"/>
      <c r="K1647" s="46"/>
      <c r="L1647" s="46"/>
      <c r="M1647" s="46"/>
      <c r="N1647" s="46"/>
      <c r="O1647" s="46"/>
      <c r="P1647" s="46"/>
      <c r="Q1647" s="46"/>
      <c r="R1647" s="46"/>
      <c r="S1647" s="46"/>
      <c r="T1647" s="46"/>
      <c r="U1647" s="46"/>
      <c r="V1647" s="46"/>
      <c r="W1647" s="46"/>
      <c r="X1647" s="46"/>
    </row>
    <row r="1648" spans="1:24" x14ac:dyDescent="0.2">
      <c r="A1648" s="45"/>
      <c r="B1648" s="46"/>
      <c r="C1648" s="46"/>
      <c r="D1648" s="46"/>
      <c r="E1648" s="46"/>
      <c r="F1648" s="46"/>
      <c r="G1648" s="46"/>
      <c r="H1648" s="46"/>
      <c r="I1648" s="46"/>
      <c r="J1648" s="46"/>
      <c r="K1648" s="46"/>
      <c r="L1648" s="46"/>
      <c r="M1648" s="46"/>
      <c r="N1648" s="46"/>
      <c r="O1648" s="46"/>
      <c r="P1648" s="46"/>
      <c r="Q1648" s="46"/>
      <c r="R1648" s="46"/>
      <c r="S1648" s="46"/>
      <c r="T1648" s="46"/>
      <c r="U1648" s="46"/>
      <c r="V1648" s="46"/>
      <c r="W1648" s="46"/>
      <c r="X1648" s="46"/>
    </row>
    <row r="1649" spans="1:24" x14ac:dyDescent="0.2">
      <c r="A1649" s="45"/>
      <c r="B1649" s="46"/>
      <c r="C1649" s="46"/>
      <c r="D1649" s="46"/>
      <c r="E1649" s="46"/>
      <c r="F1649" s="46"/>
      <c r="G1649" s="46"/>
      <c r="H1649" s="46"/>
      <c r="I1649" s="46"/>
      <c r="J1649" s="46"/>
      <c r="K1649" s="46"/>
      <c r="L1649" s="46"/>
      <c r="M1649" s="46"/>
      <c r="N1649" s="46"/>
      <c r="O1649" s="46"/>
      <c r="P1649" s="46"/>
      <c r="Q1649" s="46"/>
      <c r="R1649" s="46"/>
      <c r="S1649" s="46"/>
      <c r="T1649" s="46"/>
      <c r="U1649" s="46"/>
      <c r="V1649" s="46"/>
      <c r="W1649" s="46"/>
      <c r="X1649" s="46"/>
    </row>
    <row r="1650" spans="1:24" x14ac:dyDescent="0.2">
      <c r="A1650" s="45"/>
      <c r="B1650" s="46"/>
      <c r="C1650" s="46"/>
      <c r="D1650" s="46"/>
      <c r="E1650" s="46"/>
      <c r="F1650" s="46"/>
      <c r="G1650" s="46"/>
      <c r="H1650" s="46"/>
      <c r="I1650" s="46"/>
      <c r="J1650" s="46"/>
      <c r="K1650" s="46"/>
      <c r="L1650" s="46"/>
      <c r="M1650" s="46"/>
      <c r="N1650" s="46"/>
      <c r="O1650" s="46"/>
      <c r="P1650" s="46"/>
      <c r="Q1650" s="46"/>
      <c r="R1650" s="46"/>
      <c r="S1650" s="46"/>
      <c r="T1650" s="46"/>
      <c r="U1650" s="46"/>
      <c r="V1650" s="46"/>
      <c r="W1650" s="46"/>
      <c r="X1650" s="46"/>
    </row>
    <row r="1651" spans="1:24" x14ac:dyDescent="0.2">
      <c r="A1651" s="45"/>
      <c r="B1651" s="46"/>
      <c r="C1651" s="46"/>
      <c r="D1651" s="46"/>
      <c r="E1651" s="46"/>
      <c r="F1651" s="46"/>
      <c r="G1651" s="46"/>
      <c r="H1651" s="46"/>
      <c r="I1651" s="46"/>
      <c r="J1651" s="46"/>
      <c r="K1651" s="46"/>
      <c r="L1651" s="46"/>
      <c r="M1651" s="46"/>
      <c r="N1651" s="46"/>
      <c r="O1651" s="46"/>
      <c r="P1651" s="46"/>
      <c r="Q1651" s="46"/>
      <c r="R1651" s="46"/>
      <c r="S1651" s="46"/>
      <c r="T1651" s="46"/>
      <c r="U1651" s="46"/>
      <c r="V1651" s="46"/>
      <c r="W1651" s="46"/>
      <c r="X1651" s="46"/>
    </row>
    <row r="1652" spans="1:24" x14ac:dyDescent="0.2">
      <c r="A1652" s="45"/>
      <c r="B1652" s="46"/>
      <c r="C1652" s="46"/>
      <c r="D1652" s="46"/>
      <c r="E1652" s="46"/>
      <c r="F1652" s="46"/>
      <c r="G1652" s="46"/>
      <c r="H1652" s="46"/>
      <c r="I1652" s="46"/>
      <c r="J1652" s="46"/>
      <c r="K1652" s="46"/>
      <c r="L1652" s="46"/>
      <c r="M1652" s="46"/>
      <c r="N1652" s="46"/>
      <c r="O1652" s="46"/>
      <c r="P1652" s="46"/>
      <c r="Q1652" s="46"/>
      <c r="R1652" s="46"/>
      <c r="S1652" s="46"/>
      <c r="T1652" s="46"/>
      <c r="U1652" s="46"/>
      <c r="V1652" s="46"/>
      <c r="W1652" s="46"/>
      <c r="X1652" s="46"/>
    </row>
    <row r="1653" spans="1:24" x14ac:dyDescent="0.2">
      <c r="A1653" s="45"/>
      <c r="B1653" s="46"/>
      <c r="C1653" s="46"/>
      <c r="D1653" s="46"/>
      <c r="E1653" s="46"/>
      <c r="F1653" s="46"/>
      <c r="G1653" s="46"/>
      <c r="H1653" s="46"/>
      <c r="I1653" s="46"/>
      <c r="J1653" s="46"/>
      <c r="K1653" s="46"/>
      <c r="L1653" s="46"/>
      <c r="M1653" s="46"/>
      <c r="N1653" s="46"/>
      <c r="O1653" s="46"/>
      <c r="P1653" s="46"/>
      <c r="Q1653" s="46"/>
      <c r="R1653" s="46"/>
      <c r="S1653" s="46"/>
      <c r="T1653" s="46"/>
      <c r="U1653" s="46"/>
      <c r="V1653" s="46"/>
      <c r="W1653" s="46"/>
      <c r="X1653" s="46"/>
    </row>
    <row r="1654" spans="1:24" x14ac:dyDescent="0.2">
      <c r="A1654" s="45"/>
      <c r="B1654" s="46"/>
      <c r="C1654" s="46"/>
      <c r="D1654" s="46"/>
      <c r="E1654" s="46"/>
      <c r="F1654" s="46"/>
      <c r="G1654" s="46"/>
      <c r="H1654" s="46"/>
      <c r="I1654" s="46"/>
      <c r="J1654" s="46"/>
      <c r="K1654" s="46"/>
      <c r="L1654" s="46"/>
      <c r="M1654" s="46"/>
      <c r="N1654" s="46"/>
      <c r="O1654" s="46"/>
      <c r="P1654" s="46"/>
      <c r="Q1654" s="46"/>
      <c r="R1654" s="46"/>
      <c r="S1654" s="46"/>
      <c r="T1654" s="46"/>
      <c r="U1654" s="46"/>
      <c r="V1654" s="46"/>
      <c r="W1654" s="46"/>
      <c r="X1654" s="46"/>
    </row>
    <row r="1655" spans="1:24" x14ac:dyDescent="0.2">
      <c r="A1655" s="45"/>
      <c r="B1655" s="46"/>
      <c r="C1655" s="46"/>
      <c r="D1655" s="46"/>
      <c r="E1655" s="46"/>
      <c r="F1655" s="46"/>
      <c r="G1655" s="46"/>
      <c r="H1655" s="46"/>
      <c r="I1655" s="46"/>
      <c r="J1655" s="46"/>
      <c r="K1655" s="46"/>
      <c r="L1655" s="46"/>
      <c r="M1655" s="46"/>
      <c r="N1655" s="46"/>
      <c r="O1655" s="46"/>
      <c r="P1655" s="46"/>
      <c r="Q1655" s="46"/>
      <c r="R1655" s="46"/>
      <c r="S1655" s="46"/>
      <c r="T1655" s="46"/>
      <c r="U1655" s="46"/>
      <c r="V1655" s="46"/>
      <c r="W1655" s="46"/>
      <c r="X1655" s="46"/>
    </row>
    <row r="1656" spans="1:24" x14ac:dyDescent="0.2">
      <c r="A1656" s="45"/>
      <c r="B1656" s="46"/>
      <c r="C1656" s="46"/>
      <c r="D1656" s="46"/>
      <c r="E1656" s="46"/>
      <c r="F1656" s="46"/>
      <c r="G1656" s="46"/>
      <c r="H1656" s="46"/>
      <c r="I1656" s="46"/>
      <c r="J1656" s="46"/>
      <c r="K1656" s="46"/>
      <c r="L1656" s="46"/>
      <c r="M1656" s="46"/>
      <c r="N1656" s="46"/>
      <c r="O1656" s="46"/>
      <c r="P1656" s="46"/>
      <c r="Q1656" s="46"/>
      <c r="R1656" s="46"/>
      <c r="S1656" s="46"/>
      <c r="T1656" s="46"/>
      <c r="U1656" s="46"/>
      <c r="V1656" s="46"/>
      <c r="W1656" s="46"/>
      <c r="X1656" s="46"/>
    </row>
    <row r="1657" spans="1:24" x14ac:dyDescent="0.2">
      <c r="A1657" s="45"/>
      <c r="B1657" s="46"/>
      <c r="C1657" s="46"/>
      <c r="D1657" s="46"/>
      <c r="E1657" s="46"/>
      <c r="F1657" s="46"/>
      <c r="G1657" s="46"/>
      <c r="H1657" s="46"/>
      <c r="I1657" s="46"/>
      <c r="J1657" s="46"/>
      <c r="K1657" s="46"/>
      <c r="L1657" s="46"/>
      <c r="M1657" s="46"/>
      <c r="N1657" s="46"/>
      <c r="O1657" s="46"/>
      <c r="P1657" s="46"/>
      <c r="Q1657" s="46"/>
      <c r="R1657" s="46"/>
      <c r="S1657" s="46"/>
      <c r="T1657" s="46"/>
      <c r="U1657" s="46"/>
      <c r="V1657" s="46"/>
      <c r="W1657" s="46"/>
      <c r="X1657" s="46"/>
    </row>
    <row r="1658" spans="1:24" x14ac:dyDescent="0.2">
      <c r="A1658" s="45"/>
      <c r="B1658" s="46"/>
      <c r="C1658" s="46"/>
      <c r="D1658" s="46"/>
      <c r="E1658" s="46"/>
      <c r="F1658" s="46"/>
      <c r="G1658" s="46"/>
      <c r="H1658" s="46"/>
      <c r="I1658" s="46"/>
      <c r="J1658" s="46"/>
      <c r="K1658" s="46"/>
      <c r="L1658" s="46"/>
      <c r="M1658" s="46"/>
      <c r="N1658" s="46"/>
      <c r="O1658" s="46"/>
      <c r="P1658" s="46"/>
      <c r="Q1658" s="46"/>
      <c r="R1658" s="46"/>
      <c r="S1658" s="46"/>
      <c r="T1658" s="46"/>
      <c r="U1658" s="46"/>
      <c r="V1658" s="46"/>
      <c r="W1658" s="46"/>
      <c r="X1658" s="46"/>
    </row>
    <row r="1659" spans="1:24" x14ac:dyDescent="0.2">
      <c r="A1659" s="45"/>
      <c r="B1659" s="46"/>
      <c r="C1659" s="46"/>
      <c r="D1659" s="46"/>
      <c r="E1659" s="46"/>
      <c r="F1659" s="46"/>
      <c r="G1659" s="46"/>
      <c r="H1659" s="46"/>
      <c r="I1659" s="46"/>
      <c r="J1659" s="46"/>
      <c r="K1659" s="46"/>
      <c r="L1659" s="46"/>
      <c r="M1659" s="46"/>
      <c r="N1659" s="46"/>
      <c r="O1659" s="46"/>
      <c r="P1659" s="46"/>
      <c r="Q1659" s="46"/>
      <c r="R1659" s="46"/>
      <c r="S1659" s="46"/>
      <c r="T1659" s="46"/>
      <c r="U1659" s="46"/>
      <c r="V1659" s="46"/>
      <c r="W1659" s="46"/>
      <c r="X1659" s="46"/>
    </row>
    <row r="1660" spans="1:24" x14ac:dyDescent="0.2">
      <c r="A1660" s="45"/>
      <c r="B1660" s="46"/>
      <c r="C1660" s="46"/>
      <c r="D1660" s="46"/>
      <c r="E1660" s="46"/>
      <c r="F1660" s="46"/>
      <c r="G1660" s="46"/>
      <c r="H1660" s="46"/>
      <c r="I1660" s="46"/>
      <c r="J1660" s="46"/>
      <c r="K1660" s="46"/>
      <c r="L1660" s="46"/>
      <c r="M1660" s="46"/>
      <c r="N1660" s="46"/>
      <c r="O1660" s="46"/>
      <c r="P1660" s="46"/>
      <c r="Q1660" s="46"/>
      <c r="R1660" s="46"/>
      <c r="S1660" s="46"/>
      <c r="T1660" s="46"/>
      <c r="U1660" s="46"/>
      <c r="V1660" s="46"/>
      <c r="W1660" s="46"/>
      <c r="X1660" s="46"/>
    </row>
    <row r="1661" spans="1:24" x14ac:dyDescent="0.2">
      <c r="A1661" s="45"/>
      <c r="B1661" s="46"/>
      <c r="C1661" s="46"/>
      <c r="D1661" s="46"/>
      <c r="E1661" s="46"/>
      <c r="F1661" s="46"/>
      <c r="G1661" s="46"/>
      <c r="H1661" s="46"/>
      <c r="I1661" s="46"/>
      <c r="J1661" s="46"/>
      <c r="K1661" s="46"/>
      <c r="L1661" s="46"/>
      <c r="M1661" s="46"/>
      <c r="N1661" s="46"/>
      <c r="O1661" s="46"/>
      <c r="P1661" s="46"/>
      <c r="Q1661" s="46"/>
      <c r="R1661" s="46"/>
      <c r="S1661" s="46"/>
      <c r="T1661" s="46"/>
      <c r="U1661" s="46"/>
      <c r="V1661" s="46"/>
      <c r="W1661" s="46"/>
      <c r="X1661" s="46"/>
    </row>
    <row r="1662" spans="1:24" x14ac:dyDescent="0.2">
      <c r="A1662" s="45"/>
      <c r="B1662" s="46"/>
      <c r="C1662" s="46"/>
      <c r="D1662" s="46"/>
      <c r="E1662" s="46"/>
      <c r="F1662" s="46"/>
      <c r="G1662" s="46"/>
      <c r="H1662" s="46"/>
      <c r="I1662" s="46"/>
      <c r="J1662" s="46"/>
      <c r="K1662" s="46"/>
      <c r="L1662" s="46"/>
      <c r="M1662" s="46"/>
      <c r="N1662" s="46"/>
      <c r="O1662" s="46"/>
      <c r="P1662" s="46"/>
      <c r="Q1662" s="46"/>
      <c r="R1662" s="46"/>
      <c r="S1662" s="46"/>
      <c r="T1662" s="46"/>
      <c r="U1662" s="46"/>
      <c r="V1662" s="46"/>
      <c r="W1662" s="46"/>
      <c r="X1662" s="46"/>
    </row>
    <row r="1663" spans="1:24" x14ac:dyDescent="0.2">
      <c r="A1663" s="45"/>
      <c r="B1663" s="46"/>
      <c r="C1663" s="46"/>
      <c r="D1663" s="46"/>
      <c r="E1663" s="46"/>
      <c r="F1663" s="46"/>
      <c r="G1663" s="46"/>
      <c r="H1663" s="46"/>
      <c r="I1663" s="46"/>
      <c r="J1663" s="46"/>
      <c r="K1663" s="46"/>
      <c r="L1663" s="46"/>
      <c r="M1663" s="46"/>
      <c r="N1663" s="46"/>
      <c r="O1663" s="46"/>
      <c r="P1663" s="46"/>
      <c r="Q1663" s="46"/>
      <c r="R1663" s="46"/>
      <c r="S1663" s="46"/>
      <c r="T1663" s="46"/>
      <c r="U1663" s="46"/>
      <c r="V1663" s="46"/>
      <c r="W1663" s="46"/>
      <c r="X1663" s="46"/>
    </row>
    <row r="1664" spans="1:24" x14ac:dyDescent="0.2">
      <c r="A1664" s="45"/>
      <c r="B1664" s="46"/>
      <c r="C1664" s="46"/>
      <c r="D1664" s="46"/>
      <c r="E1664" s="46"/>
      <c r="F1664" s="46"/>
      <c r="G1664" s="46"/>
      <c r="H1664" s="46"/>
      <c r="I1664" s="46"/>
      <c r="J1664" s="46"/>
      <c r="K1664" s="46"/>
      <c r="L1664" s="46"/>
      <c r="M1664" s="46"/>
      <c r="N1664" s="46"/>
      <c r="O1664" s="46"/>
      <c r="P1664" s="46"/>
      <c r="Q1664" s="46"/>
      <c r="R1664" s="46"/>
      <c r="S1664" s="46"/>
      <c r="T1664" s="46"/>
      <c r="U1664" s="46"/>
      <c r="V1664" s="46"/>
      <c r="W1664" s="46"/>
      <c r="X1664" s="46"/>
    </row>
    <row r="1665" spans="1:24" x14ac:dyDescent="0.2">
      <c r="A1665" s="45"/>
      <c r="B1665" s="46"/>
      <c r="C1665" s="46"/>
      <c r="D1665" s="46"/>
      <c r="E1665" s="46"/>
      <c r="F1665" s="46"/>
      <c r="G1665" s="46"/>
      <c r="H1665" s="46"/>
      <c r="I1665" s="46"/>
      <c r="J1665" s="46"/>
      <c r="K1665" s="46"/>
      <c r="L1665" s="46"/>
      <c r="M1665" s="46"/>
      <c r="N1665" s="46"/>
      <c r="O1665" s="46"/>
      <c r="P1665" s="46"/>
      <c r="Q1665" s="46"/>
      <c r="R1665" s="46"/>
      <c r="S1665" s="46"/>
      <c r="T1665" s="46"/>
      <c r="U1665" s="46"/>
      <c r="V1665" s="46"/>
      <c r="W1665" s="46"/>
      <c r="X1665" s="46"/>
    </row>
    <row r="1666" spans="1:24" x14ac:dyDescent="0.2">
      <c r="A1666" s="45"/>
      <c r="B1666" s="46"/>
      <c r="C1666" s="46"/>
      <c r="D1666" s="46"/>
      <c r="E1666" s="46"/>
      <c r="F1666" s="46"/>
      <c r="G1666" s="46"/>
      <c r="H1666" s="46"/>
      <c r="I1666" s="46"/>
      <c r="J1666" s="46"/>
      <c r="K1666" s="46"/>
      <c r="L1666" s="46"/>
      <c r="M1666" s="46"/>
      <c r="N1666" s="46"/>
      <c r="O1666" s="46"/>
      <c r="P1666" s="46"/>
      <c r="Q1666" s="46"/>
      <c r="R1666" s="46"/>
      <c r="S1666" s="46"/>
      <c r="T1666" s="46"/>
      <c r="U1666" s="46"/>
      <c r="V1666" s="46"/>
      <c r="W1666" s="46"/>
      <c r="X1666" s="46"/>
    </row>
    <row r="1667" spans="1:24" x14ac:dyDescent="0.2">
      <c r="A1667" s="45"/>
      <c r="B1667" s="46"/>
      <c r="C1667" s="46"/>
      <c r="D1667" s="46"/>
      <c r="E1667" s="46"/>
      <c r="F1667" s="46"/>
      <c r="G1667" s="46"/>
      <c r="H1667" s="46"/>
      <c r="I1667" s="46"/>
      <c r="J1667" s="46"/>
      <c r="K1667" s="46"/>
      <c r="L1667" s="46"/>
      <c r="M1667" s="46"/>
      <c r="N1667" s="46"/>
      <c r="O1667" s="46"/>
      <c r="P1667" s="46"/>
      <c r="Q1667" s="46"/>
      <c r="R1667" s="46"/>
      <c r="S1667" s="46"/>
      <c r="T1667" s="46"/>
      <c r="U1667" s="46"/>
      <c r="V1667" s="46"/>
      <c r="W1667" s="46"/>
      <c r="X1667" s="46"/>
    </row>
    <row r="1668" spans="1:24" x14ac:dyDescent="0.2">
      <c r="A1668" s="45"/>
      <c r="B1668" s="46"/>
      <c r="C1668" s="46"/>
      <c r="D1668" s="46"/>
      <c r="E1668" s="46"/>
      <c r="F1668" s="46"/>
      <c r="G1668" s="46"/>
      <c r="H1668" s="46"/>
      <c r="I1668" s="46"/>
      <c r="J1668" s="46"/>
      <c r="K1668" s="46"/>
      <c r="L1668" s="46"/>
      <c r="M1668" s="46"/>
      <c r="N1668" s="46"/>
      <c r="O1668" s="46"/>
      <c r="P1668" s="46"/>
      <c r="Q1668" s="46"/>
      <c r="R1668" s="46"/>
      <c r="S1668" s="46"/>
      <c r="T1668" s="46"/>
      <c r="U1668" s="46"/>
      <c r="V1668" s="46"/>
      <c r="W1668" s="46"/>
      <c r="X1668" s="46"/>
    </row>
    <row r="1669" spans="1:24" x14ac:dyDescent="0.2">
      <c r="A1669" s="45"/>
      <c r="B1669" s="46"/>
      <c r="C1669" s="46"/>
      <c r="D1669" s="46"/>
      <c r="E1669" s="46"/>
      <c r="F1669" s="46"/>
      <c r="G1669" s="46"/>
      <c r="H1669" s="46"/>
      <c r="I1669" s="46"/>
      <c r="J1669" s="46"/>
      <c r="K1669" s="46"/>
      <c r="L1669" s="46"/>
      <c r="M1669" s="46"/>
      <c r="N1669" s="46"/>
      <c r="O1669" s="46"/>
      <c r="P1669" s="46"/>
      <c r="Q1669" s="46"/>
      <c r="R1669" s="46"/>
      <c r="S1669" s="46"/>
      <c r="T1669" s="46"/>
      <c r="U1669" s="46"/>
      <c r="V1669" s="46"/>
      <c r="W1669" s="46"/>
      <c r="X1669" s="46"/>
    </row>
    <row r="1670" spans="1:24" x14ac:dyDescent="0.2">
      <c r="A1670" s="45"/>
      <c r="B1670" s="46"/>
      <c r="C1670" s="46"/>
      <c r="D1670" s="46"/>
      <c r="E1670" s="46"/>
      <c r="F1670" s="46"/>
      <c r="G1670" s="46"/>
      <c r="H1670" s="46"/>
      <c r="I1670" s="46"/>
      <c r="J1670" s="46"/>
      <c r="K1670" s="46"/>
      <c r="L1670" s="46"/>
      <c r="M1670" s="46"/>
      <c r="N1670" s="46"/>
      <c r="O1670" s="46"/>
      <c r="P1670" s="46"/>
      <c r="Q1670" s="46"/>
      <c r="R1670" s="46"/>
      <c r="S1670" s="46"/>
      <c r="T1670" s="46"/>
      <c r="U1670" s="46"/>
      <c r="V1670" s="46"/>
      <c r="W1670" s="46"/>
      <c r="X1670" s="46"/>
    </row>
    <row r="1671" spans="1:24" x14ac:dyDescent="0.2">
      <c r="A1671" s="45"/>
      <c r="B1671" s="46"/>
      <c r="C1671" s="46"/>
      <c r="D1671" s="46"/>
      <c r="E1671" s="46"/>
      <c r="F1671" s="46"/>
      <c r="G1671" s="46"/>
      <c r="H1671" s="46"/>
      <c r="I1671" s="46"/>
      <c r="J1671" s="46"/>
      <c r="K1671" s="46"/>
      <c r="L1671" s="46"/>
      <c r="M1671" s="46"/>
      <c r="N1671" s="46"/>
      <c r="O1671" s="46"/>
      <c r="P1671" s="46"/>
      <c r="Q1671" s="46"/>
      <c r="R1671" s="46"/>
      <c r="S1671" s="46"/>
      <c r="T1671" s="46"/>
      <c r="U1671" s="46"/>
      <c r="V1671" s="46"/>
      <c r="W1671" s="46"/>
      <c r="X1671" s="46"/>
    </row>
    <row r="1672" spans="1:24" x14ac:dyDescent="0.2">
      <c r="A1672" s="45"/>
      <c r="B1672" s="46"/>
      <c r="C1672" s="46"/>
      <c r="D1672" s="46"/>
      <c r="E1672" s="46"/>
      <c r="F1672" s="46"/>
      <c r="G1672" s="46"/>
      <c r="H1672" s="46"/>
      <c r="I1672" s="46"/>
      <c r="J1672" s="46"/>
      <c r="K1672" s="46"/>
      <c r="L1672" s="46"/>
      <c r="M1672" s="46"/>
      <c r="N1672" s="46"/>
      <c r="O1672" s="46"/>
      <c r="P1672" s="46"/>
      <c r="Q1672" s="46"/>
      <c r="R1672" s="46"/>
      <c r="S1672" s="46"/>
      <c r="T1672" s="46"/>
      <c r="U1672" s="46"/>
      <c r="V1672" s="46"/>
      <c r="W1672" s="46"/>
      <c r="X1672" s="46"/>
    </row>
    <row r="1673" spans="1:24" x14ac:dyDescent="0.2">
      <c r="A1673" s="45"/>
      <c r="B1673" s="46"/>
      <c r="C1673" s="46"/>
      <c r="D1673" s="46"/>
      <c r="E1673" s="46"/>
      <c r="F1673" s="46"/>
      <c r="G1673" s="46"/>
      <c r="H1673" s="46"/>
      <c r="I1673" s="46"/>
      <c r="J1673" s="46"/>
      <c r="K1673" s="46"/>
      <c r="L1673" s="46"/>
      <c r="M1673" s="46"/>
      <c r="N1673" s="46"/>
      <c r="O1673" s="46"/>
      <c r="P1673" s="46"/>
      <c r="Q1673" s="46"/>
      <c r="R1673" s="46"/>
      <c r="S1673" s="46"/>
      <c r="T1673" s="46"/>
      <c r="U1673" s="46"/>
      <c r="V1673" s="46"/>
      <c r="W1673" s="46"/>
      <c r="X1673" s="46"/>
    </row>
    <row r="1674" spans="1:24" x14ac:dyDescent="0.2">
      <c r="A1674" s="45"/>
      <c r="B1674" s="46"/>
      <c r="C1674" s="46"/>
      <c r="D1674" s="46"/>
      <c r="E1674" s="46"/>
      <c r="F1674" s="46"/>
      <c r="G1674" s="46"/>
      <c r="H1674" s="46"/>
      <c r="I1674" s="46"/>
      <c r="J1674" s="46"/>
      <c r="K1674" s="46"/>
      <c r="L1674" s="46"/>
      <c r="M1674" s="46"/>
      <c r="N1674" s="46"/>
      <c r="O1674" s="46"/>
      <c r="P1674" s="46"/>
      <c r="Q1674" s="46"/>
      <c r="R1674" s="46"/>
      <c r="S1674" s="46"/>
      <c r="T1674" s="46"/>
      <c r="U1674" s="46"/>
      <c r="V1674" s="46"/>
      <c r="W1674" s="46"/>
      <c r="X1674" s="46"/>
    </row>
    <row r="1675" spans="1:24" x14ac:dyDescent="0.2">
      <c r="A1675" s="45"/>
      <c r="B1675" s="46"/>
      <c r="C1675" s="46"/>
      <c r="D1675" s="46"/>
      <c r="E1675" s="46"/>
      <c r="F1675" s="46"/>
      <c r="G1675" s="46"/>
      <c r="H1675" s="46"/>
      <c r="I1675" s="46"/>
      <c r="J1675" s="46"/>
      <c r="K1675" s="46"/>
      <c r="L1675" s="46"/>
      <c r="M1675" s="46"/>
      <c r="N1675" s="46"/>
      <c r="O1675" s="46"/>
      <c r="P1675" s="46"/>
      <c r="Q1675" s="46"/>
      <c r="R1675" s="46"/>
      <c r="S1675" s="46"/>
      <c r="T1675" s="46"/>
      <c r="U1675" s="46"/>
      <c r="V1675" s="46"/>
      <c r="W1675" s="46"/>
      <c r="X1675" s="46"/>
    </row>
    <row r="1676" spans="1:24" x14ac:dyDescent="0.2">
      <c r="A1676" s="45"/>
      <c r="B1676" s="46"/>
      <c r="C1676" s="46"/>
      <c r="D1676" s="46"/>
      <c r="E1676" s="46"/>
      <c r="F1676" s="46"/>
      <c r="G1676" s="46"/>
      <c r="H1676" s="46"/>
      <c r="I1676" s="46"/>
      <c r="J1676" s="46"/>
      <c r="K1676" s="46"/>
      <c r="L1676" s="46"/>
      <c r="M1676" s="46"/>
      <c r="N1676" s="46"/>
      <c r="O1676" s="46"/>
      <c r="P1676" s="46"/>
      <c r="Q1676" s="46"/>
      <c r="R1676" s="46"/>
      <c r="S1676" s="46"/>
      <c r="T1676" s="46"/>
      <c r="U1676" s="46"/>
      <c r="V1676" s="46"/>
      <c r="W1676" s="46"/>
      <c r="X1676" s="46"/>
    </row>
    <row r="1677" spans="1:24" x14ac:dyDescent="0.2">
      <c r="A1677" s="45"/>
      <c r="B1677" s="46"/>
      <c r="C1677" s="46"/>
      <c r="D1677" s="46"/>
      <c r="E1677" s="46"/>
      <c r="F1677" s="46"/>
      <c r="G1677" s="46"/>
      <c r="H1677" s="46"/>
      <c r="I1677" s="46"/>
      <c r="J1677" s="46"/>
      <c r="K1677" s="46"/>
      <c r="L1677" s="46"/>
      <c r="M1677" s="46"/>
      <c r="N1677" s="46"/>
      <c r="O1677" s="46"/>
      <c r="P1677" s="46"/>
      <c r="Q1677" s="46"/>
      <c r="R1677" s="46"/>
      <c r="S1677" s="46"/>
      <c r="T1677" s="46"/>
      <c r="U1677" s="46"/>
      <c r="V1677" s="46"/>
      <c r="W1677" s="46"/>
      <c r="X1677" s="46"/>
    </row>
    <row r="1678" spans="1:24" x14ac:dyDescent="0.2">
      <c r="A1678" s="45"/>
      <c r="B1678" s="46"/>
      <c r="C1678" s="46"/>
      <c r="D1678" s="46"/>
      <c r="E1678" s="46"/>
      <c r="F1678" s="46"/>
      <c r="G1678" s="46"/>
      <c r="H1678" s="46"/>
      <c r="I1678" s="46"/>
      <c r="J1678" s="46"/>
      <c r="K1678" s="46"/>
      <c r="L1678" s="46"/>
      <c r="M1678" s="46"/>
      <c r="N1678" s="46"/>
      <c r="O1678" s="46"/>
      <c r="P1678" s="46"/>
      <c r="Q1678" s="46"/>
      <c r="R1678" s="46"/>
      <c r="S1678" s="46"/>
      <c r="T1678" s="46"/>
      <c r="U1678" s="46"/>
      <c r="V1678" s="46"/>
      <c r="W1678" s="46"/>
      <c r="X1678" s="46"/>
    </row>
    <row r="1679" spans="1:24" x14ac:dyDescent="0.2">
      <c r="A1679" s="45"/>
      <c r="B1679" s="46"/>
      <c r="C1679" s="46"/>
      <c r="D1679" s="46"/>
      <c r="E1679" s="46"/>
      <c r="F1679" s="46"/>
      <c r="G1679" s="46"/>
      <c r="H1679" s="46"/>
      <c r="I1679" s="46"/>
      <c r="J1679" s="46"/>
      <c r="K1679" s="46"/>
      <c r="L1679" s="46"/>
      <c r="M1679" s="46"/>
      <c r="N1679" s="46"/>
      <c r="O1679" s="46"/>
      <c r="P1679" s="46"/>
      <c r="Q1679" s="46"/>
      <c r="R1679" s="46"/>
      <c r="S1679" s="46"/>
      <c r="T1679" s="46"/>
      <c r="U1679" s="46"/>
      <c r="V1679" s="46"/>
      <c r="W1679" s="46"/>
      <c r="X1679" s="46"/>
    </row>
    <row r="1680" spans="1:24" x14ac:dyDescent="0.2">
      <c r="A1680" s="45"/>
      <c r="B1680" s="46"/>
      <c r="C1680" s="46"/>
      <c r="D1680" s="46"/>
      <c r="E1680" s="46"/>
      <c r="F1680" s="46"/>
      <c r="G1680" s="46"/>
      <c r="H1680" s="46"/>
      <c r="I1680" s="46"/>
      <c r="J1680" s="46"/>
      <c r="K1680" s="46"/>
      <c r="L1680" s="46"/>
      <c r="M1680" s="46"/>
      <c r="N1680" s="46"/>
      <c r="O1680" s="46"/>
      <c r="P1680" s="46"/>
      <c r="Q1680" s="46"/>
      <c r="R1680" s="46"/>
      <c r="S1680" s="46"/>
      <c r="T1680" s="46"/>
      <c r="U1680" s="46"/>
      <c r="V1680" s="46"/>
      <c r="W1680" s="46"/>
      <c r="X1680" s="46"/>
    </row>
    <row r="1681" spans="1:24" x14ac:dyDescent="0.2">
      <c r="A1681" s="45"/>
      <c r="B1681" s="46"/>
      <c r="C1681" s="46"/>
      <c r="D1681" s="46"/>
      <c r="E1681" s="46"/>
      <c r="F1681" s="46"/>
      <c r="G1681" s="46"/>
      <c r="H1681" s="46"/>
      <c r="I1681" s="46"/>
      <c r="J1681" s="46"/>
      <c r="K1681" s="46"/>
      <c r="L1681" s="46"/>
      <c r="M1681" s="46"/>
      <c r="N1681" s="46"/>
      <c r="O1681" s="46"/>
      <c r="P1681" s="46"/>
      <c r="Q1681" s="46"/>
      <c r="R1681" s="46"/>
      <c r="S1681" s="46"/>
      <c r="T1681" s="46"/>
      <c r="U1681" s="46"/>
      <c r="V1681" s="46"/>
      <c r="W1681" s="46"/>
      <c r="X1681" s="46"/>
    </row>
    <row r="1682" spans="1:24" x14ac:dyDescent="0.2">
      <c r="A1682" s="45"/>
      <c r="B1682" s="46"/>
      <c r="C1682" s="46"/>
      <c r="D1682" s="46"/>
      <c r="E1682" s="46"/>
      <c r="F1682" s="46"/>
      <c r="G1682" s="46"/>
      <c r="H1682" s="46"/>
      <c r="I1682" s="46"/>
      <c r="J1682" s="46"/>
      <c r="K1682" s="46"/>
      <c r="L1682" s="46"/>
      <c r="M1682" s="46"/>
      <c r="N1682" s="46"/>
      <c r="O1682" s="46"/>
      <c r="P1682" s="46"/>
      <c r="Q1682" s="46"/>
      <c r="R1682" s="46"/>
      <c r="S1682" s="46"/>
      <c r="T1682" s="46"/>
      <c r="U1682" s="46"/>
      <c r="V1682" s="46"/>
      <c r="W1682" s="46"/>
      <c r="X1682" s="46"/>
    </row>
    <row r="1683" spans="1:24" x14ac:dyDescent="0.2">
      <c r="A1683" s="45"/>
      <c r="B1683" s="46"/>
      <c r="C1683" s="46"/>
      <c r="D1683" s="46"/>
      <c r="E1683" s="46"/>
      <c r="F1683" s="46"/>
      <c r="G1683" s="46"/>
      <c r="H1683" s="46"/>
      <c r="I1683" s="46"/>
      <c r="J1683" s="46"/>
      <c r="K1683" s="46"/>
      <c r="L1683" s="46"/>
      <c r="M1683" s="46"/>
      <c r="N1683" s="46"/>
      <c r="O1683" s="46"/>
      <c r="P1683" s="46"/>
      <c r="Q1683" s="46"/>
      <c r="R1683" s="46"/>
      <c r="S1683" s="46"/>
      <c r="T1683" s="46"/>
      <c r="U1683" s="46"/>
      <c r="V1683" s="46"/>
      <c r="W1683" s="46"/>
      <c r="X1683" s="46"/>
    </row>
    <row r="1684" spans="1:24" x14ac:dyDescent="0.2">
      <c r="A1684" s="45"/>
      <c r="B1684" s="46"/>
      <c r="C1684" s="46"/>
      <c r="D1684" s="46"/>
      <c r="E1684" s="46"/>
      <c r="F1684" s="46"/>
      <c r="G1684" s="46"/>
      <c r="H1684" s="46"/>
      <c r="I1684" s="46"/>
      <c r="J1684" s="46"/>
      <c r="K1684" s="46"/>
      <c r="L1684" s="46"/>
      <c r="M1684" s="46"/>
      <c r="N1684" s="46"/>
      <c r="O1684" s="46"/>
      <c r="P1684" s="46"/>
      <c r="Q1684" s="46"/>
      <c r="R1684" s="46"/>
      <c r="S1684" s="46"/>
      <c r="T1684" s="46"/>
      <c r="U1684" s="46"/>
      <c r="V1684" s="46"/>
      <c r="W1684" s="46"/>
      <c r="X1684" s="46"/>
    </row>
    <row r="1685" spans="1:24" x14ac:dyDescent="0.2">
      <c r="A1685" s="45"/>
      <c r="B1685" s="46"/>
      <c r="C1685" s="46"/>
      <c r="D1685" s="46"/>
      <c r="E1685" s="46"/>
      <c r="F1685" s="46"/>
      <c r="G1685" s="46"/>
      <c r="H1685" s="46"/>
      <c r="I1685" s="46"/>
      <c r="J1685" s="46"/>
      <c r="K1685" s="46"/>
      <c r="L1685" s="46"/>
      <c r="M1685" s="46"/>
      <c r="N1685" s="46"/>
      <c r="O1685" s="46"/>
      <c r="P1685" s="46"/>
      <c r="Q1685" s="46"/>
      <c r="R1685" s="46"/>
      <c r="S1685" s="46"/>
      <c r="T1685" s="46"/>
      <c r="U1685" s="46"/>
      <c r="V1685" s="46"/>
      <c r="W1685" s="46"/>
      <c r="X1685" s="46"/>
    </row>
    <row r="1686" spans="1:24" x14ac:dyDescent="0.2">
      <c r="A1686" s="45"/>
      <c r="B1686" s="46"/>
      <c r="C1686" s="46"/>
      <c r="D1686" s="46"/>
      <c r="E1686" s="46"/>
      <c r="F1686" s="46"/>
      <c r="G1686" s="46"/>
      <c r="H1686" s="46"/>
      <c r="I1686" s="46"/>
      <c r="J1686" s="46"/>
      <c r="K1686" s="46"/>
      <c r="L1686" s="46"/>
      <c r="M1686" s="46"/>
      <c r="N1686" s="46"/>
      <c r="O1686" s="46"/>
      <c r="P1686" s="46"/>
      <c r="Q1686" s="46"/>
      <c r="R1686" s="46"/>
      <c r="S1686" s="46"/>
      <c r="T1686" s="46"/>
      <c r="U1686" s="46"/>
      <c r="V1686" s="46"/>
      <c r="W1686" s="46"/>
      <c r="X1686" s="46"/>
    </row>
    <row r="1687" spans="1:24" x14ac:dyDescent="0.2">
      <c r="A1687" s="45"/>
      <c r="B1687" s="46"/>
      <c r="C1687" s="46"/>
      <c r="D1687" s="46"/>
      <c r="E1687" s="46"/>
      <c r="F1687" s="46"/>
      <c r="G1687" s="46"/>
      <c r="H1687" s="46"/>
      <c r="I1687" s="46"/>
      <c r="J1687" s="46"/>
      <c r="K1687" s="46"/>
      <c r="L1687" s="46"/>
      <c r="M1687" s="46"/>
      <c r="N1687" s="46"/>
      <c r="O1687" s="46"/>
      <c r="P1687" s="46"/>
      <c r="Q1687" s="46"/>
      <c r="R1687" s="46"/>
      <c r="S1687" s="46"/>
      <c r="T1687" s="46"/>
      <c r="U1687" s="46"/>
      <c r="V1687" s="46"/>
      <c r="W1687" s="46"/>
      <c r="X1687" s="46"/>
    </row>
    <row r="1688" spans="1:24" x14ac:dyDescent="0.2">
      <c r="A1688" s="45"/>
      <c r="B1688" s="46"/>
      <c r="C1688" s="46"/>
      <c r="D1688" s="46"/>
      <c r="E1688" s="46"/>
      <c r="F1688" s="46"/>
      <c r="G1688" s="46"/>
      <c r="H1688" s="46"/>
      <c r="I1688" s="46"/>
      <c r="J1688" s="46"/>
      <c r="K1688" s="46"/>
      <c r="L1688" s="46"/>
      <c r="M1688" s="46"/>
      <c r="N1688" s="46"/>
      <c r="O1688" s="46"/>
      <c r="P1688" s="46"/>
      <c r="Q1688" s="46"/>
      <c r="R1688" s="46"/>
      <c r="S1688" s="46"/>
      <c r="T1688" s="46"/>
      <c r="U1688" s="46"/>
      <c r="V1688" s="46"/>
      <c r="W1688" s="46"/>
      <c r="X1688" s="46"/>
    </row>
    <row r="1689" spans="1:24" x14ac:dyDescent="0.2">
      <c r="A1689" s="45"/>
      <c r="B1689" s="46"/>
      <c r="C1689" s="46"/>
      <c r="D1689" s="46"/>
      <c r="E1689" s="46"/>
      <c r="F1689" s="46"/>
      <c r="G1689" s="46"/>
      <c r="H1689" s="46"/>
      <c r="I1689" s="46"/>
      <c r="J1689" s="46"/>
      <c r="K1689" s="46"/>
      <c r="L1689" s="46"/>
      <c r="M1689" s="46"/>
      <c r="N1689" s="46"/>
      <c r="O1689" s="46"/>
      <c r="P1689" s="46"/>
      <c r="Q1689" s="46"/>
      <c r="R1689" s="46"/>
      <c r="S1689" s="46"/>
      <c r="T1689" s="46"/>
      <c r="U1689" s="46"/>
      <c r="V1689" s="46"/>
      <c r="W1689" s="46"/>
      <c r="X1689" s="46"/>
    </row>
    <row r="1690" spans="1:24" x14ac:dyDescent="0.2">
      <c r="A1690" s="45"/>
      <c r="B1690" s="46"/>
      <c r="C1690" s="46"/>
      <c r="D1690" s="46"/>
      <c r="E1690" s="46"/>
      <c r="F1690" s="46"/>
      <c r="G1690" s="46"/>
      <c r="H1690" s="46"/>
      <c r="I1690" s="46"/>
      <c r="J1690" s="46"/>
      <c r="K1690" s="46"/>
      <c r="L1690" s="46"/>
      <c r="M1690" s="46"/>
      <c r="N1690" s="46"/>
      <c r="O1690" s="46"/>
      <c r="P1690" s="46"/>
      <c r="Q1690" s="46"/>
      <c r="R1690" s="46"/>
      <c r="S1690" s="46"/>
      <c r="T1690" s="46"/>
      <c r="U1690" s="46"/>
      <c r="V1690" s="46"/>
      <c r="W1690" s="46"/>
      <c r="X1690" s="46"/>
    </row>
    <row r="1691" spans="1:24" x14ac:dyDescent="0.2">
      <c r="A1691" s="45"/>
      <c r="B1691" s="46"/>
      <c r="C1691" s="46"/>
      <c r="D1691" s="46"/>
      <c r="E1691" s="46"/>
      <c r="F1691" s="46"/>
      <c r="G1691" s="46"/>
      <c r="H1691" s="46"/>
      <c r="I1691" s="46"/>
      <c r="J1691" s="46"/>
      <c r="K1691" s="46"/>
      <c r="L1691" s="46"/>
      <c r="M1691" s="46"/>
      <c r="N1691" s="46"/>
      <c r="O1691" s="46"/>
      <c r="P1691" s="46"/>
      <c r="Q1691" s="46"/>
      <c r="R1691" s="46"/>
      <c r="S1691" s="46"/>
      <c r="T1691" s="46"/>
      <c r="U1691" s="46"/>
      <c r="V1691" s="46"/>
      <c r="W1691" s="46"/>
      <c r="X1691" s="46"/>
    </row>
    <row r="1692" spans="1:24" x14ac:dyDescent="0.2">
      <c r="A1692" s="45"/>
      <c r="B1692" s="46"/>
      <c r="C1692" s="46"/>
      <c r="D1692" s="46"/>
      <c r="E1692" s="46"/>
      <c r="F1692" s="46"/>
      <c r="G1692" s="46"/>
      <c r="H1692" s="46"/>
      <c r="I1692" s="46"/>
      <c r="J1692" s="46"/>
      <c r="K1692" s="46"/>
      <c r="L1692" s="46"/>
      <c r="M1692" s="46"/>
      <c r="N1692" s="46"/>
      <c r="O1692" s="46"/>
      <c r="P1692" s="46"/>
      <c r="Q1692" s="46"/>
      <c r="R1692" s="46"/>
      <c r="S1692" s="46"/>
      <c r="T1692" s="46"/>
      <c r="U1692" s="46"/>
      <c r="V1692" s="46"/>
      <c r="W1692" s="46"/>
      <c r="X1692" s="46"/>
    </row>
    <row r="1693" spans="1:24" x14ac:dyDescent="0.2">
      <c r="A1693" s="45"/>
      <c r="B1693" s="46"/>
      <c r="C1693" s="46"/>
      <c r="D1693" s="46"/>
      <c r="E1693" s="46"/>
      <c r="F1693" s="46"/>
      <c r="G1693" s="46"/>
      <c r="H1693" s="46"/>
      <c r="I1693" s="46"/>
      <c r="J1693" s="46"/>
      <c r="K1693" s="46"/>
      <c r="L1693" s="46"/>
      <c r="M1693" s="46"/>
      <c r="N1693" s="46"/>
      <c r="O1693" s="46"/>
      <c r="P1693" s="46"/>
      <c r="Q1693" s="46"/>
      <c r="R1693" s="46"/>
      <c r="S1693" s="46"/>
      <c r="T1693" s="46"/>
      <c r="U1693" s="46"/>
      <c r="V1693" s="46"/>
      <c r="W1693" s="46"/>
      <c r="X1693" s="46"/>
    </row>
    <row r="1694" spans="1:24" x14ac:dyDescent="0.2">
      <c r="A1694" s="45"/>
      <c r="B1694" s="46"/>
      <c r="C1694" s="46"/>
      <c r="D1694" s="46"/>
      <c r="E1694" s="46"/>
      <c r="F1694" s="46"/>
      <c r="G1694" s="46"/>
      <c r="H1694" s="46"/>
      <c r="I1694" s="46"/>
      <c r="J1694" s="46"/>
      <c r="K1694" s="46"/>
      <c r="L1694" s="46"/>
      <c r="M1694" s="46"/>
      <c r="N1694" s="46"/>
      <c r="O1694" s="46"/>
      <c r="P1694" s="46"/>
      <c r="Q1694" s="46"/>
      <c r="R1694" s="46"/>
      <c r="S1694" s="46"/>
      <c r="T1694" s="46"/>
      <c r="U1694" s="46"/>
      <c r="V1694" s="46"/>
      <c r="W1694" s="46"/>
      <c r="X1694" s="46"/>
    </row>
    <row r="1695" spans="1:24" x14ac:dyDescent="0.2">
      <c r="A1695" s="45"/>
      <c r="B1695" s="46"/>
      <c r="C1695" s="46"/>
      <c r="D1695" s="46"/>
      <c r="E1695" s="46"/>
      <c r="F1695" s="46"/>
      <c r="G1695" s="46"/>
      <c r="H1695" s="46"/>
      <c r="I1695" s="46"/>
      <c r="J1695" s="46"/>
      <c r="K1695" s="46"/>
      <c r="L1695" s="46"/>
      <c r="M1695" s="46"/>
      <c r="N1695" s="46"/>
      <c r="O1695" s="46"/>
      <c r="P1695" s="46"/>
      <c r="Q1695" s="46"/>
      <c r="R1695" s="46"/>
      <c r="S1695" s="46"/>
      <c r="T1695" s="46"/>
      <c r="U1695" s="46"/>
      <c r="V1695" s="46"/>
      <c r="W1695" s="46"/>
      <c r="X1695" s="46"/>
    </row>
    <row r="1696" spans="1:24" x14ac:dyDescent="0.2">
      <c r="A1696" s="45"/>
      <c r="B1696" s="46"/>
      <c r="C1696" s="46"/>
      <c r="D1696" s="46"/>
      <c r="E1696" s="46"/>
      <c r="F1696" s="46"/>
      <c r="G1696" s="46"/>
      <c r="H1696" s="46"/>
      <c r="I1696" s="46"/>
      <c r="J1696" s="46"/>
      <c r="K1696" s="46"/>
      <c r="L1696" s="46"/>
      <c r="M1696" s="46"/>
      <c r="N1696" s="46"/>
      <c r="O1696" s="46"/>
      <c r="P1696" s="46"/>
      <c r="Q1696" s="46"/>
      <c r="R1696" s="46"/>
      <c r="S1696" s="46"/>
      <c r="T1696" s="46"/>
      <c r="U1696" s="46"/>
      <c r="V1696" s="46"/>
      <c r="W1696" s="46"/>
      <c r="X1696" s="46"/>
    </row>
    <row r="1697" spans="1:24" x14ac:dyDescent="0.2">
      <c r="A1697" s="45"/>
      <c r="B1697" s="46"/>
      <c r="C1697" s="46"/>
      <c r="D1697" s="46"/>
      <c r="E1697" s="46"/>
      <c r="F1697" s="46"/>
      <c r="G1697" s="46"/>
      <c r="H1697" s="46"/>
      <c r="I1697" s="46"/>
      <c r="J1697" s="46"/>
      <c r="K1697" s="46"/>
      <c r="L1697" s="46"/>
      <c r="M1697" s="46"/>
      <c r="N1697" s="46"/>
      <c r="O1697" s="46"/>
      <c r="P1697" s="46"/>
      <c r="Q1697" s="46"/>
      <c r="R1697" s="46"/>
      <c r="S1697" s="46"/>
      <c r="T1697" s="46"/>
      <c r="U1697" s="46"/>
      <c r="V1697" s="46"/>
      <c r="W1697" s="46"/>
      <c r="X1697" s="46"/>
    </row>
    <row r="1698" spans="1:24" x14ac:dyDescent="0.2">
      <c r="A1698" s="45"/>
      <c r="B1698" s="46"/>
      <c r="C1698" s="46"/>
      <c r="D1698" s="46"/>
      <c r="E1698" s="46"/>
      <c r="F1698" s="46"/>
      <c r="G1698" s="46"/>
      <c r="H1698" s="46"/>
      <c r="I1698" s="46"/>
      <c r="J1698" s="46"/>
      <c r="K1698" s="46"/>
      <c r="L1698" s="46"/>
      <c r="M1698" s="46"/>
      <c r="N1698" s="46"/>
      <c r="O1698" s="46"/>
      <c r="P1698" s="46"/>
      <c r="Q1698" s="46"/>
      <c r="R1698" s="46"/>
      <c r="S1698" s="46"/>
      <c r="T1698" s="46"/>
      <c r="U1698" s="46"/>
      <c r="V1698" s="46"/>
      <c r="W1698" s="46"/>
      <c r="X1698" s="46"/>
    </row>
    <row r="1699" spans="1:24" x14ac:dyDescent="0.2">
      <c r="A1699" s="45"/>
      <c r="B1699" s="46"/>
      <c r="C1699" s="46"/>
      <c r="D1699" s="46"/>
      <c r="E1699" s="46"/>
      <c r="F1699" s="46"/>
      <c r="G1699" s="46"/>
      <c r="H1699" s="46"/>
      <c r="I1699" s="46"/>
      <c r="J1699" s="46"/>
      <c r="K1699" s="46"/>
      <c r="L1699" s="46"/>
      <c r="M1699" s="46"/>
      <c r="N1699" s="46"/>
      <c r="O1699" s="46"/>
      <c r="P1699" s="46"/>
      <c r="Q1699" s="46"/>
      <c r="R1699" s="46"/>
      <c r="S1699" s="46"/>
      <c r="T1699" s="46"/>
      <c r="U1699" s="46"/>
      <c r="V1699" s="46"/>
      <c r="W1699" s="46"/>
      <c r="X1699" s="46"/>
    </row>
    <row r="1700" spans="1:24" x14ac:dyDescent="0.2">
      <c r="A1700" s="45"/>
      <c r="B1700" s="46"/>
      <c r="C1700" s="46"/>
      <c r="D1700" s="46"/>
      <c r="E1700" s="46"/>
      <c r="F1700" s="46"/>
      <c r="G1700" s="46"/>
      <c r="H1700" s="46"/>
      <c r="I1700" s="46"/>
      <c r="J1700" s="46"/>
      <c r="K1700" s="46"/>
      <c r="L1700" s="46"/>
      <c r="M1700" s="46"/>
      <c r="N1700" s="46"/>
      <c r="O1700" s="46"/>
      <c r="P1700" s="46"/>
      <c r="Q1700" s="46"/>
      <c r="R1700" s="46"/>
      <c r="S1700" s="46"/>
      <c r="T1700" s="46"/>
      <c r="U1700" s="46"/>
      <c r="V1700" s="46"/>
      <c r="W1700" s="46"/>
      <c r="X1700" s="46"/>
    </row>
    <row r="1701" spans="1:24" x14ac:dyDescent="0.2">
      <c r="A1701" s="45"/>
      <c r="B1701" s="46"/>
      <c r="C1701" s="46"/>
      <c r="D1701" s="46"/>
      <c r="E1701" s="46"/>
      <c r="F1701" s="46"/>
      <c r="G1701" s="46"/>
      <c r="H1701" s="46"/>
      <c r="I1701" s="46"/>
      <c r="J1701" s="46"/>
      <c r="K1701" s="46"/>
      <c r="L1701" s="46"/>
      <c r="M1701" s="46"/>
      <c r="N1701" s="46"/>
      <c r="O1701" s="46"/>
      <c r="P1701" s="46"/>
      <c r="Q1701" s="46"/>
      <c r="R1701" s="46"/>
      <c r="S1701" s="46"/>
      <c r="T1701" s="46"/>
      <c r="U1701" s="46"/>
      <c r="V1701" s="46"/>
      <c r="W1701" s="46"/>
      <c r="X1701" s="46"/>
    </row>
    <row r="1702" spans="1:24" x14ac:dyDescent="0.2">
      <c r="A1702" s="45"/>
      <c r="B1702" s="46"/>
      <c r="C1702" s="46"/>
      <c r="D1702" s="46"/>
      <c r="E1702" s="46"/>
      <c r="F1702" s="46"/>
      <c r="G1702" s="46"/>
      <c r="H1702" s="46"/>
      <c r="I1702" s="46"/>
      <c r="J1702" s="46"/>
      <c r="K1702" s="46"/>
      <c r="L1702" s="46"/>
      <c r="M1702" s="46"/>
      <c r="N1702" s="46"/>
      <c r="O1702" s="46"/>
      <c r="P1702" s="46"/>
      <c r="Q1702" s="46"/>
      <c r="R1702" s="46"/>
      <c r="S1702" s="46"/>
      <c r="T1702" s="46"/>
      <c r="U1702" s="46"/>
      <c r="V1702" s="46"/>
      <c r="W1702" s="46"/>
      <c r="X1702" s="46"/>
    </row>
    <row r="1703" spans="1:24" x14ac:dyDescent="0.2">
      <c r="A1703" s="45"/>
      <c r="B1703" s="46"/>
      <c r="C1703" s="46"/>
      <c r="D1703" s="46"/>
      <c r="E1703" s="46"/>
      <c r="F1703" s="46"/>
      <c r="G1703" s="46"/>
      <c r="H1703" s="46"/>
      <c r="I1703" s="46"/>
      <c r="J1703" s="46"/>
      <c r="K1703" s="46"/>
      <c r="L1703" s="46"/>
      <c r="M1703" s="46"/>
      <c r="N1703" s="46"/>
      <c r="O1703" s="46"/>
      <c r="P1703" s="46"/>
      <c r="Q1703" s="46"/>
      <c r="R1703" s="46"/>
      <c r="S1703" s="46"/>
      <c r="T1703" s="46"/>
      <c r="U1703" s="46"/>
      <c r="V1703" s="46"/>
      <c r="W1703" s="46"/>
      <c r="X1703" s="46"/>
    </row>
    <row r="1704" spans="1:24" x14ac:dyDescent="0.2">
      <c r="A1704" s="45"/>
      <c r="B1704" s="46"/>
      <c r="C1704" s="46"/>
      <c r="D1704" s="46"/>
      <c r="E1704" s="46"/>
      <c r="F1704" s="46"/>
      <c r="G1704" s="46"/>
      <c r="H1704" s="46"/>
      <c r="I1704" s="46"/>
      <c r="J1704" s="46"/>
      <c r="K1704" s="46"/>
      <c r="L1704" s="46"/>
      <c r="M1704" s="46"/>
      <c r="N1704" s="46"/>
      <c r="O1704" s="46"/>
      <c r="P1704" s="46"/>
      <c r="Q1704" s="46"/>
      <c r="R1704" s="46"/>
      <c r="S1704" s="46"/>
      <c r="T1704" s="46"/>
      <c r="U1704" s="46"/>
      <c r="V1704" s="46"/>
      <c r="W1704" s="46"/>
      <c r="X1704" s="46"/>
    </row>
    <row r="1705" spans="1:24" x14ac:dyDescent="0.2">
      <c r="A1705" s="45"/>
      <c r="B1705" s="46"/>
      <c r="C1705" s="46"/>
      <c r="D1705" s="46"/>
      <c r="E1705" s="46"/>
      <c r="F1705" s="46"/>
      <c r="G1705" s="46"/>
      <c r="H1705" s="46"/>
      <c r="I1705" s="46"/>
      <c r="J1705" s="46"/>
      <c r="K1705" s="46"/>
      <c r="L1705" s="46"/>
      <c r="M1705" s="46"/>
      <c r="N1705" s="46"/>
      <c r="O1705" s="46"/>
      <c r="P1705" s="46"/>
      <c r="Q1705" s="46"/>
      <c r="R1705" s="46"/>
      <c r="S1705" s="46"/>
      <c r="T1705" s="46"/>
      <c r="U1705" s="46"/>
      <c r="V1705" s="46"/>
      <c r="W1705" s="46"/>
      <c r="X1705" s="46"/>
    </row>
    <row r="1706" spans="1:24" x14ac:dyDescent="0.2">
      <c r="A1706" s="45"/>
      <c r="B1706" s="46"/>
      <c r="C1706" s="46"/>
      <c r="D1706" s="46"/>
      <c r="E1706" s="46"/>
      <c r="F1706" s="46"/>
      <c r="G1706" s="46"/>
      <c r="H1706" s="46"/>
      <c r="I1706" s="46"/>
      <c r="J1706" s="46"/>
      <c r="K1706" s="46"/>
      <c r="L1706" s="46"/>
      <c r="M1706" s="46"/>
      <c r="N1706" s="46"/>
      <c r="O1706" s="46"/>
      <c r="P1706" s="46"/>
      <c r="Q1706" s="46"/>
      <c r="R1706" s="46"/>
      <c r="S1706" s="46"/>
      <c r="T1706" s="46"/>
      <c r="U1706" s="46"/>
      <c r="V1706" s="46"/>
      <c r="W1706" s="46"/>
      <c r="X1706" s="46"/>
    </row>
    <row r="1707" spans="1:24" x14ac:dyDescent="0.2">
      <c r="A1707" s="45"/>
      <c r="B1707" s="46"/>
      <c r="C1707" s="46"/>
      <c r="D1707" s="46"/>
      <c r="E1707" s="46"/>
      <c r="F1707" s="46"/>
      <c r="G1707" s="46"/>
      <c r="H1707" s="46"/>
      <c r="I1707" s="46"/>
      <c r="J1707" s="46"/>
      <c r="K1707" s="46"/>
      <c r="L1707" s="46"/>
      <c r="M1707" s="46"/>
      <c r="N1707" s="46"/>
      <c r="O1707" s="46"/>
      <c r="P1707" s="46"/>
      <c r="Q1707" s="46"/>
      <c r="R1707" s="46"/>
      <c r="S1707" s="46"/>
      <c r="T1707" s="46"/>
      <c r="U1707" s="46"/>
      <c r="V1707" s="46"/>
      <c r="W1707" s="46"/>
      <c r="X1707" s="46"/>
    </row>
    <row r="1708" spans="1:24" x14ac:dyDescent="0.2">
      <c r="A1708" s="45"/>
      <c r="B1708" s="46"/>
      <c r="C1708" s="46"/>
      <c r="D1708" s="46"/>
      <c r="E1708" s="46"/>
      <c r="F1708" s="46"/>
      <c r="G1708" s="46"/>
      <c r="H1708" s="46"/>
      <c r="I1708" s="46"/>
      <c r="J1708" s="46"/>
      <c r="K1708" s="46"/>
      <c r="L1708" s="46"/>
      <c r="M1708" s="46"/>
      <c r="N1708" s="46"/>
      <c r="O1708" s="46"/>
      <c r="P1708" s="46"/>
      <c r="Q1708" s="46"/>
      <c r="R1708" s="46"/>
      <c r="S1708" s="46"/>
      <c r="T1708" s="46"/>
      <c r="U1708" s="46"/>
      <c r="V1708" s="46"/>
      <c r="W1708" s="46"/>
      <c r="X1708" s="46"/>
    </row>
    <row r="1709" spans="1:24" x14ac:dyDescent="0.2">
      <c r="A1709" s="45"/>
      <c r="B1709" s="46"/>
      <c r="C1709" s="46"/>
      <c r="D1709" s="46"/>
      <c r="E1709" s="46"/>
      <c r="F1709" s="46"/>
      <c r="G1709" s="46"/>
      <c r="H1709" s="46"/>
      <c r="I1709" s="46"/>
      <c r="J1709" s="46"/>
      <c r="K1709" s="46"/>
      <c r="L1709" s="46"/>
      <c r="M1709" s="46"/>
      <c r="N1709" s="46"/>
      <c r="O1709" s="46"/>
      <c r="P1709" s="46"/>
      <c r="Q1709" s="46"/>
      <c r="R1709" s="46"/>
      <c r="S1709" s="46"/>
      <c r="T1709" s="46"/>
      <c r="U1709" s="46"/>
      <c r="V1709" s="46"/>
      <c r="W1709" s="46"/>
      <c r="X1709" s="46"/>
    </row>
    <row r="1710" spans="1:24" x14ac:dyDescent="0.2">
      <c r="A1710" s="45"/>
      <c r="B1710" s="46"/>
      <c r="C1710" s="46"/>
      <c r="D1710" s="46"/>
      <c r="E1710" s="46"/>
      <c r="F1710" s="46"/>
      <c r="G1710" s="46"/>
      <c r="H1710" s="46"/>
      <c r="I1710" s="46"/>
      <c r="J1710" s="46"/>
      <c r="K1710" s="46"/>
      <c r="L1710" s="46"/>
      <c r="M1710" s="46"/>
      <c r="N1710" s="46"/>
      <c r="O1710" s="46"/>
      <c r="P1710" s="46"/>
      <c r="Q1710" s="46"/>
      <c r="R1710" s="46"/>
      <c r="S1710" s="46"/>
      <c r="T1710" s="46"/>
      <c r="U1710" s="46"/>
      <c r="V1710" s="46"/>
      <c r="W1710" s="46"/>
      <c r="X1710" s="46"/>
    </row>
    <row r="1711" spans="1:24" x14ac:dyDescent="0.2">
      <c r="A1711" s="45"/>
      <c r="B1711" s="46"/>
      <c r="C1711" s="46"/>
      <c r="D1711" s="46"/>
      <c r="E1711" s="46"/>
      <c r="F1711" s="46"/>
      <c r="G1711" s="46"/>
      <c r="H1711" s="46"/>
      <c r="I1711" s="46"/>
      <c r="J1711" s="46"/>
      <c r="K1711" s="46"/>
      <c r="L1711" s="46"/>
      <c r="M1711" s="46"/>
      <c r="N1711" s="46"/>
      <c r="O1711" s="46"/>
      <c r="P1711" s="46"/>
      <c r="Q1711" s="46"/>
      <c r="R1711" s="46"/>
      <c r="S1711" s="46"/>
      <c r="T1711" s="46"/>
      <c r="U1711" s="46"/>
      <c r="V1711" s="46"/>
      <c r="W1711" s="46"/>
      <c r="X1711" s="46"/>
    </row>
    <row r="1712" spans="1:24" x14ac:dyDescent="0.2">
      <c r="A1712" s="45"/>
      <c r="B1712" s="46"/>
      <c r="C1712" s="46"/>
      <c r="D1712" s="46"/>
      <c r="E1712" s="46"/>
      <c r="F1712" s="46"/>
      <c r="G1712" s="46"/>
      <c r="H1712" s="46"/>
      <c r="I1712" s="46"/>
      <c r="J1712" s="46"/>
      <c r="K1712" s="46"/>
      <c r="L1712" s="46"/>
      <c r="M1712" s="46"/>
      <c r="N1712" s="46"/>
      <c r="O1712" s="46"/>
      <c r="P1712" s="46"/>
      <c r="Q1712" s="46"/>
      <c r="R1712" s="46"/>
      <c r="S1712" s="46"/>
      <c r="T1712" s="46"/>
      <c r="U1712" s="46"/>
      <c r="V1712" s="46"/>
      <c r="W1712" s="46"/>
      <c r="X1712" s="46"/>
    </row>
    <row r="1713" spans="1:24" x14ac:dyDescent="0.2">
      <c r="A1713" s="45"/>
      <c r="B1713" s="46"/>
      <c r="C1713" s="46"/>
      <c r="D1713" s="46"/>
      <c r="E1713" s="46"/>
      <c r="F1713" s="46"/>
      <c r="G1713" s="46"/>
      <c r="H1713" s="46"/>
      <c r="I1713" s="46"/>
      <c r="J1713" s="46"/>
      <c r="K1713" s="46"/>
      <c r="L1713" s="46"/>
      <c r="M1713" s="46"/>
      <c r="N1713" s="46"/>
      <c r="O1713" s="46"/>
      <c r="P1713" s="46"/>
      <c r="Q1713" s="46"/>
      <c r="R1713" s="46"/>
      <c r="S1713" s="46"/>
      <c r="T1713" s="46"/>
      <c r="U1713" s="46"/>
      <c r="V1713" s="46"/>
      <c r="W1713" s="46"/>
      <c r="X1713" s="46"/>
    </row>
    <row r="1714" spans="1:24" x14ac:dyDescent="0.2">
      <c r="A1714" s="45"/>
      <c r="B1714" s="46"/>
      <c r="C1714" s="46"/>
      <c r="D1714" s="46"/>
      <c r="E1714" s="46"/>
      <c r="F1714" s="46"/>
      <c r="G1714" s="46"/>
      <c r="H1714" s="46"/>
      <c r="I1714" s="46"/>
      <c r="J1714" s="46"/>
      <c r="K1714" s="46"/>
      <c r="L1714" s="46"/>
      <c r="M1714" s="46"/>
      <c r="N1714" s="46"/>
      <c r="O1714" s="46"/>
      <c r="P1714" s="46"/>
      <c r="Q1714" s="46"/>
      <c r="R1714" s="46"/>
      <c r="S1714" s="46"/>
      <c r="T1714" s="46"/>
      <c r="U1714" s="46"/>
      <c r="V1714" s="46"/>
      <c r="W1714" s="46"/>
      <c r="X1714" s="46"/>
    </row>
    <row r="1715" spans="1:24" x14ac:dyDescent="0.2">
      <c r="A1715" s="45"/>
      <c r="B1715" s="46"/>
      <c r="C1715" s="46"/>
      <c r="D1715" s="46"/>
      <c r="E1715" s="46"/>
      <c r="F1715" s="46"/>
      <c r="G1715" s="46"/>
      <c r="H1715" s="46"/>
      <c r="I1715" s="46"/>
      <c r="J1715" s="46"/>
      <c r="K1715" s="46"/>
      <c r="L1715" s="46"/>
      <c r="M1715" s="46"/>
      <c r="N1715" s="46"/>
      <c r="O1715" s="46"/>
      <c r="P1715" s="46"/>
      <c r="Q1715" s="46"/>
      <c r="R1715" s="46"/>
      <c r="S1715" s="46"/>
      <c r="T1715" s="46"/>
      <c r="U1715" s="46"/>
      <c r="V1715" s="46"/>
      <c r="W1715" s="46"/>
      <c r="X1715" s="46"/>
    </row>
    <row r="1716" spans="1:24" x14ac:dyDescent="0.2">
      <c r="A1716" s="45"/>
      <c r="B1716" s="46"/>
      <c r="C1716" s="46"/>
      <c r="D1716" s="46"/>
      <c r="E1716" s="46"/>
      <c r="F1716" s="46"/>
      <c r="G1716" s="46"/>
      <c r="H1716" s="46"/>
      <c r="I1716" s="46"/>
      <c r="J1716" s="46"/>
      <c r="K1716" s="46"/>
      <c r="L1716" s="46"/>
      <c r="M1716" s="46"/>
      <c r="N1716" s="46"/>
      <c r="O1716" s="46"/>
      <c r="P1716" s="46"/>
      <c r="Q1716" s="46"/>
      <c r="R1716" s="46"/>
      <c r="S1716" s="46"/>
      <c r="T1716" s="46"/>
      <c r="U1716" s="46"/>
      <c r="V1716" s="46"/>
      <c r="W1716" s="46"/>
      <c r="X1716" s="46"/>
    </row>
    <row r="1717" spans="1:24" x14ac:dyDescent="0.2">
      <c r="A1717" s="45"/>
      <c r="B1717" s="46"/>
      <c r="C1717" s="46"/>
      <c r="D1717" s="46"/>
      <c r="E1717" s="46"/>
      <c r="F1717" s="46"/>
      <c r="G1717" s="46"/>
      <c r="H1717" s="46"/>
      <c r="I1717" s="46"/>
      <c r="J1717" s="46"/>
      <c r="K1717" s="46"/>
      <c r="L1717" s="46"/>
      <c r="M1717" s="46"/>
      <c r="N1717" s="46"/>
      <c r="O1717" s="46"/>
      <c r="P1717" s="46"/>
      <c r="Q1717" s="46"/>
      <c r="R1717" s="46"/>
      <c r="S1717" s="46"/>
      <c r="T1717" s="46"/>
      <c r="U1717" s="46"/>
      <c r="V1717" s="46"/>
      <c r="W1717" s="46"/>
      <c r="X1717" s="46"/>
    </row>
    <row r="1718" spans="1:24" x14ac:dyDescent="0.2">
      <c r="A1718" s="45"/>
      <c r="B1718" s="46"/>
      <c r="C1718" s="46"/>
      <c r="D1718" s="46"/>
      <c r="E1718" s="46"/>
      <c r="F1718" s="46"/>
      <c r="G1718" s="46"/>
      <c r="H1718" s="46"/>
      <c r="I1718" s="46"/>
      <c r="J1718" s="46"/>
      <c r="K1718" s="46"/>
      <c r="L1718" s="46"/>
      <c r="M1718" s="46"/>
      <c r="N1718" s="46"/>
      <c r="O1718" s="46"/>
      <c r="P1718" s="46"/>
      <c r="Q1718" s="46"/>
      <c r="R1718" s="46"/>
      <c r="S1718" s="46"/>
      <c r="T1718" s="46"/>
      <c r="U1718" s="46"/>
      <c r="V1718" s="46"/>
      <c r="W1718" s="46"/>
      <c r="X1718" s="46"/>
    </row>
    <row r="1719" spans="1:24" x14ac:dyDescent="0.2">
      <c r="A1719" s="45"/>
      <c r="B1719" s="46"/>
      <c r="C1719" s="46"/>
      <c r="D1719" s="46"/>
      <c r="E1719" s="46"/>
      <c r="F1719" s="46"/>
      <c r="G1719" s="46"/>
      <c r="H1719" s="46"/>
      <c r="I1719" s="46"/>
      <c r="J1719" s="46"/>
      <c r="K1719" s="46"/>
      <c r="L1719" s="46"/>
      <c r="M1719" s="46"/>
      <c r="N1719" s="46"/>
      <c r="O1719" s="46"/>
      <c r="P1719" s="46"/>
      <c r="Q1719" s="46"/>
      <c r="R1719" s="46"/>
      <c r="S1719" s="46"/>
      <c r="T1719" s="46"/>
      <c r="U1719" s="46"/>
      <c r="V1719" s="46"/>
      <c r="W1719" s="46"/>
      <c r="X1719" s="46"/>
    </row>
    <row r="1720" spans="1:24" x14ac:dyDescent="0.2">
      <c r="A1720" s="45"/>
      <c r="B1720" s="46"/>
      <c r="C1720" s="46"/>
      <c r="D1720" s="46"/>
      <c r="E1720" s="46"/>
      <c r="F1720" s="46"/>
      <c r="G1720" s="46"/>
      <c r="H1720" s="46"/>
      <c r="I1720" s="46"/>
      <c r="J1720" s="46"/>
      <c r="K1720" s="46"/>
      <c r="L1720" s="46"/>
      <c r="M1720" s="46"/>
      <c r="N1720" s="46"/>
      <c r="O1720" s="46"/>
      <c r="P1720" s="46"/>
      <c r="Q1720" s="46"/>
      <c r="R1720" s="46"/>
      <c r="S1720" s="46"/>
      <c r="T1720" s="46"/>
      <c r="U1720" s="46"/>
      <c r="V1720" s="46"/>
      <c r="W1720" s="46"/>
      <c r="X1720" s="46"/>
    </row>
    <row r="1721" spans="1:24" x14ac:dyDescent="0.2">
      <c r="A1721" s="45"/>
      <c r="B1721" s="46"/>
      <c r="C1721" s="46"/>
      <c r="D1721" s="46"/>
      <c r="E1721" s="46"/>
      <c r="F1721" s="46"/>
      <c r="G1721" s="46"/>
      <c r="H1721" s="46"/>
      <c r="I1721" s="46"/>
      <c r="J1721" s="46"/>
      <c r="K1721" s="46"/>
      <c r="L1721" s="46"/>
      <c r="M1721" s="46"/>
      <c r="N1721" s="46"/>
      <c r="O1721" s="46"/>
      <c r="P1721" s="46"/>
      <c r="Q1721" s="46"/>
      <c r="R1721" s="46"/>
      <c r="S1721" s="46"/>
      <c r="T1721" s="46"/>
      <c r="U1721" s="46"/>
      <c r="V1721" s="46"/>
      <c r="W1721" s="46"/>
      <c r="X1721" s="46"/>
    </row>
    <row r="1722" spans="1:24" x14ac:dyDescent="0.2">
      <c r="A1722" s="45"/>
      <c r="B1722" s="46"/>
      <c r="C1722" s="46"/>
      <c r="D1722" s="46"/>
      <c r="E1722" s="46"/>
      <c r="F1722" s="46"/>
      <c r="G1722" s="46"/>
      <c r="H1722" s="46"/>
      <c r="I1722" s="46"/>
      <c r="J1722" s="46"/>
      <c r="K1722" s="46"/>
      <c r="L1722" s="46"/>
      <c r="M1722" s="46"/>
      <c r="N1722" s="46"/>
      <c r="O1722" s="46"/>
      <c r="P1722" s="46"/>
      <c r="Q1722" s="46"/>
      <c r="R1722" s="46"/>
      <c r="S1722" s="46"/>
      <c r="T1722" s="46"/>
      <c r="U1722" s="46"/>
      <c r="V1722" s="46"/>
      <c r="W1722" s="46"/>
      <c r="X1722" s="46"/>
    </row>
    <row r="1723" spans="1:24" x14ac:dyDescent="0.2">
      <c r="A1723" s="45"/>
      <c r="B1723" s="46"/>
      <c r="C1723" s="46"/>
      <c r="D1723" s="46"/>
      <c r="E1723" s="46"/>
      <c r="F1723" s="46"/>
      <c r="G1723" s="46"/>
      <c r="H1723" s="46"/>
      <c r="I1723" s="46"/>
      <c r="J1723" s="46"/>
      <c r="K1723" s="46"/>
      <c r="L1723" s="46"/>
      <c r="M1723" s="46"/>
      <c r="N1723" s="46"/>
      <c r="O1723" s="46"/>
      <c r="P1723" s="46"/>
      <c r="Q1723" s="46"/>
      <c r="R1723" s="46"/>
      <c r="S1723" s="46"/>
      <c r="T1723" s="46"/>
      <c r="U1723" s="46"/>
      <c r="V1723" s="46"/>
      <c r="W1723" s="46"/>
      <c r="X1723" s="46"/>
    </row>
    <row r="1724" spans="1:24" x14ac:dyDescent="0.2">
      <c r="A1724" s="45"/>
      <c r="B1724" s="46"/>
      <c r="C1724" s="46"/>
      <c r="D1724" s="46"/>
      <c r="E1724" s="46"/>
      <c r="F1724" s="46"/>
      <c r="G1724" s="46"/>
      <c r="H1724" s="46"/>
      <c r="I1724" s="46"/>
      <c r="J1724" s="46"/>
      <c r="K1724" s="46"/>
      <c r="L1724" s="46"/>
      <c r="M1724" s="46"/>
      <c r="N1724" s="46"/>
      <c r="O1724" s="46"/>
      <c r="P1724" s="46"/>
      <c r="Q1724" s="46"/>
      <c r="R1724" s="46"/>
      <c r="S1724" s="46"/>
      <c r="T1724" s="46"/>
      <c r="U1724" s="46"/>
      <c r="V1724" s="46"/>
      <c r="W1724" s="46"/>
      <c r="X1724" s="46"/>
    </row>
    <row r="1725" spans="1:24" x14ac:dyDescent="0.2">
      <c r="A1725" s="45"/>
      <c r="B1725" s="46"/>
      <c r="C1725" s="46"/>
      <c r="D1725" s="46"/>
      <c r="E1725" s="46"/>
      <c r="F1725" s="46"/>
      <c r="G1725" s="46"/>
      <c r="H1725" s="46"/>
      <c r="I1725" s="46"/>
      <c r="J1725" s="46"/>
      <c r="K1725" s="46"/>
      <c r="L1725" s="46"/>
      <c r="M1725" s="46"/>
      <c r="N1725" s="46"/>
      <c r="O1725" s="46"/>
      <c r="P1725" s="46"/>
      <c r="Q1725" s="46"/>
      <c r="R1725" s="46"/>
      <c r="S1725" s="46"/>
      <c r="T1725" s="46"/>
      <c r="U1725" s="46"/>
      <c r="V1725" s="46"/>
      <c r="W1725" s="46"/>
      <c r="X1725" s="46"/>
    </row>
    <row r="1726" spans="1:24" x14ac:dyDescent="0.2">
      <c r="A1726" s="45"/>
      <c r="B1726" s="46"/>
      <c r="C1726" s="46"/>
      <c r="D1726" s="46"/>
      <c r="E1726" s="46"/>
      <c r="F1726" s="46"/>
      <c r="G1726" s="46"/>
      <c r="H1726" s="46"/>
      <c r="I1726" s="46"/>
      <c r="J1726" s="46"/>
      <c r="K1726" s="46"/>
      <c r="L1726" s="46"/>
      <c r="M1726" s="46"/>
      <c r="N1726" s="46"/>
      <c r="O1726" s="46"/>
      <c r="P1726" s="46"/>
      <c r="Q1726" s="46"/>
      <c r="R1726" s="46"/>
      <c r="S1726" s="46"/>
      <c r="T1726" s="46"/>
      <c r="U1726" s="46"/>
      <c r="V1726" s="46"/>
      <c r="W1726" s="46"/>
      <c r="X1726" s="46"/>
    </row>
    <row r="1727" spans="1:24" x14ac:dyDescent="0.2">
      <c r="A1727" s="45"/>
      <c r="B1727" s="46"/>
      <c r="C1727" s="46"/>
      <c r="D1727" s="46"/>
      <c r="E1727" s="46"/>
      <c r="F1727" s="46"/>
      <c r="G1727" s="46"/>
      <c r="H1727" s="46"/>
      <c r="I1727" s="46"/>
      <c r="J1727" s="46"/>
      <c r="K1727" s="46"/>
      <c r="L1727" s="46"/>
      <c r="M1727" s="46"/>
      <c r="N1727" s="46"/>
      <c r="O1727" s="46"/>
      <c r="P1727" s="46"/>
      <c r="Q1727" s="46"/>
      <c r="R1727" s="46"/>
      <c r="S1727" s="46"/>
      <c r="T1727" s="46"/>
      <c r="U1727" s="46"/>
      <c r="V1727" s="46"/>
      <c r="W1727" s="46"/>
      <c r="X1727" s="46"/>
    </row>
    <row r="1728" spans="1:24" x14ac:dyDescent="0.2">
      <c r="A1728" s="45"/>
      <c r="B1728" s="46"/>
      <c r="C1728" s="46"/>
      <c r="D1728" s="46"/>
      <c r="E1728" s="46"/>
      <c r="F1728" s="46"/>
      <c r="G1728" s="46"/>
      <c r="H1728" s="46"/>
      <c r="I1728" s="46"/>
      <c r="J1728" s="46"/>
      <c r="K1728" s="46"/>
      <c r="L1728" s="46"/>
      <c r="M1728" s="46"/>
      <c r="N1728" s="46"/>
      <c r="O1728" s="46"/>
      <c r="P1728" s="46"/>
      <c r="Q1728" s="46"/>
      <c r="R1728" s="46"/>
      <c r="S1728" s="46"/>
      <c r="T1728" s="46"/>
      <c r="U1728" s="46"/>
      <c r="V1728" s="46"/>
      <c r="W1728" s="46"/>
      <c r="X1728" s="46"/>
    </row>
    <row r="1729" spans="1:24" x14ac:dyDescent="0.2">
      <c r="A1729" s="45"/>
      <c r="B1729" s="46"/>
      <c r="C1729" s="46"/>
      <c r="D1729" s="46"/>
      <c r="E1729" s="46"/>
      <c r="F1729" s="46"/>
      <c r="G1729" s="46"/>
      <c r="H1729" s="46"/>
      <c r="I1729" s="46"/>
      <c r="J1729" s="46"/>
      <c r="K1729" s="46"/>
      <c r="L1729" s="46"/>
      <c r="M1729" s="46"/>
      <c r="N1729" s="46"/>
      <c r="O1729" s="46"/>
      <c r="P1729" s="46"/>
      <c r="Q1729" s="46"/>
      <c r="R1729" s="46"/>
      <c r="S1729" s="46"/>
      <c r="T1729" s="46"/>
      <c r="U1729" s="46"/>
      <c r="V1729" s="46"/>
      <c r="W1729" s="46"/>
      <c r="X1729" s="46"/>
    </row>
    <row r="1730" spans="1:24" x14ac:dyDescent="0.2">
      <c r="A1730" s="45"/>
      <c r="B1730" s="46"/>
      <c r="C1730" s="46"/>
      <c r="D1730" s="46"/>
      <c r="E1730" s="46"/>
      <c r="F1730" s="46"/>
      <c r="G1730" s="46"/>
      <c r="H1730" s="46"/>
      <c r="I1730" s="46"/>
      <c r="J1730" s="46"/>
      <c r="K1730" s="46"/>
      <c r="L1730" s="46"/>
      <c r="M1730" s="46"/>
      <c r="N1730" s="46"/>
      <c r="O1730" s="46"/>
      <c r="P1730" s="46"/>
      <c r="Q1730" s="46"/>
      <c r="R1730" s="46"/>
      <c r="S1730" s="46"/>
      <c r="T1730" s="46"/>
      <c r="U1730" s="46"/>
      <c r="V1730" s="46"/>
      <c r="W1730" s="46"/>
      <c r="X1730" s="46"/>
    </row>
    <row r="1731" spans="1:24" x14ac:dyDescent="0.2">
      <c r="A1731" s="45"/>
      <c r="B1731" s="46"/>
      <c r="C1731" s="46"/>
      <c r="D1731" s="46"/>
      <c r="E1731" s="46"/>
      <c r="F1731" s="46"/>
      <c r="G1731" s="46"/>
      <c r="H1731" s="46"/>
      <c r="I1731" s="46"/>
      <c r="J1731" s="46"/>
      <c r="K1731" s="46"/>
      <c r="L1731" s="46"/>
      <c r="M1731" s="46"/>
      <c r="N1731" s="46"/>
      <c r="O1731" s="46"/>
      <c r="P1731" s="46"/>
      <c r="Q1731" s="46"/>
      <c r="R1731" s="46"/>
      <c r="S1731" s="46"/>
      <c r="T1731" s="46"/>
      <c r="U1731" s="46"/>
      <c r="V1731" s="46"/>
      <c r="W1731" s="46"/>
      <c r="X1731" s="46"/>
    </row>
    <row r="1732" spans="1:24" x14ac:dyDescent="0.2">
      <c r="A1732" s="45"/>
      <c r="B1732" s="46"/>
      <c r="C1732" s="46"/>
      <c r="D1732" s="46"/>
      <c r="E1732" s="46"/>
      <c r="F1732" s="46"/>
      <c r="G1732" s="46"/>
      <c r="H1732" s="46"/>
      <c r="I1732" s="46"/>
      <c r="J1732" s="46"/>
      <c r="K1732" s="46"/>
      <c r="L1732" s="46"/>
      <c r="M1732" s="46"/>
      <c r="N1732" s="46"/>
      <c r="O1732" s="46"/>
      <c r="P1732" s="46"/>
      <c r="Q1732" s="46"/>
      <c r="R1732" s="46"/>
      <c r="S1732" s="46"/>
      <c r="T1732" s="46"/>
      <c r="U1732" s="46"/>
      <c r="V1732" s="46"/>
      <c r="W1732" s="46"/>
      <c r="X1732" s="46"/>
    </row>
    <row r="1733" spans="1:24" x14ac:dyDescent="0.2">
      <c r="A1733" s="45"/>
      <c r="B1733" s="46"/>
      <c r="C1733" s="46"/>
      <c r="D1733" s="46"/>
      <c r="E1733" s="46"/>
      <c r="F1733" s="46"/>
      <c r="G1733" s="46"/>
      <c r="H1733" s="46"/>
      <c r="I1733" s="46"/>
      <c r="J1733" s="46"/>
      <c r="K1733" s="46"/>
      <c r="L1733" s="46"/>
      <c r="M1733" s="46"/>
      <c r="N1733" s="46"/>
      <c r="O1733" s="46"/>
      <c r="P1733" s="46"/>
      <c r="Q1733" s="46"/>
      <c r="R1733" s="46"/>
      <c r="S1733" s="46"/>
      <c r="T1733" s="46"/>
      <c r="U1733" s="46"/>
      <c r="V1733" s="46"/>
      <c r="W1733" s="46"/>
      <c r="X1733" s="46"/>
    </row>
    <row r="1734" spans="1:24" x14ac:dyDescent="0.2">
      <c r="A1734" s="45"/>
      <c r="B1734" s="46"/>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46"/>
    </row>
    <row r="1735" spans="1:24" x14ac:dyDescent="0.2">
      <c r="A1735" s="45"/>
      <c r="B1735" s="46"/>
      <c r="C1735" s="46"/>
      <c r="D1735" s="46"/>
      <c r="E1735" s="46"/>
      <c r="F1735" s="46"/>
      <c r="G1735" s="46"/>
      <c r="H1735" s="46"/>
      <c r="I1735" s="46"/>
      <c r="J1735" s="46"/>
      <c r="K1735" s="46"/>
      <c r="L1735" s="46"/>
      <c r="M1735" s="46"/>
      <c r="N1735" s="46"/>
      <c r="O1735" s="46"/>
      <c r="P1735" s="46"/>
      <c r="Q1735" s="46"/>
      <c r="R1735" s="46"/>
      <c r="S1735" s="46"/>
      <c r="T1735" s="46"/>
      <c r="U1735" s="46"/>
      <c r="V1735" s="46"/>
      <c r="W1735" s="46"/>
      <c r="X1735" s="46"/>
    </row>
    <row r="1736" spans="1:24" x14ac:dyDescent="0.2">
      <c r="A1736" s="45"/>
      <c r="B1736" s="46"/>
      <c r="C1736" s="46"/>
      <c r="D1736" s="46"/>
      <c r="E1736" s="46"/>
      <c r="F1736" s="46"/>
      <c r="G1736" s="46"/>
      <c r="H1736" s="46"/>
      <c r="I1736" s="46"/>
      <c r="J1736" s="46"/>
      <c r="K1736" s="46"/>
      <c r="L1736" s="46"/>
      <c r="M1736" s="46"/>
      <c r="N1736" s="46"/>
      <c r="O1736" s="46"/>
      <c r="P1736" s="46"/>
      <c r="Q1736" s="46"/>
      <c r="R1736" s="46"/>
      <c r="S1736" s="46"/>
      <c r="T1736" s="46"/>
      <c r="U1736" s="46"/>
      <c r="V1736" s="46"/>
      <c r="W1736" s="46"/>
      <c r="X1736" s="46"/>
    </row>
    <row r="1737" spans="1:24" x14ac:dyDescent="0.2">
      <c r="A1737" s="45"/>
      <c r="B1737" s="46"/>
      <c r="C1737" s="46"/>
      <c r="D1737" s="46"/>
      <c r="E1737" s="46"/>
      <c r="F1737" s="46"/>
      <c r="G1737" s="46"/>
      <c r="H1737" s="46"/>
      <c r="I1737" s="46"/>
      <c r="J1737" s="46"/>
      <c r="K1737" s="46"/>
      <c r="L1737" s="46"/>
      <c r="M1737" s="46"/>
      <c r="N1737" s="46"/>
      <c r="O1737" s="46"/>
      <c r="P1737" s="46"/>
      <c r="Q1737" s="46"/>
      <c r="R1737" s="46"/>
      <c r="S1737" s="46"/>
      <c r="T1737" s="46"/>
      <c r="U1737" s="46"/>
      <c r="V1737" s="46"/>
      <c r="W1737" s="46"/>
      <c r="X1737" s="46"/>
    </row>
    <row r="1738" spans="1:24" x14ac:dyDescent="0.2">
      <c r="A1738" s="45"/>
      <c r="B1738" s="46"/>
      <c r="C1738" s="46"/>
      <c r="D1738" s="46"/>
      <c r="E1738" s="46"/>
      <c r="F1738" s="46"/>
      <c r="G1738" s="46"/>
      <c r="H1738" s="46"/>
      <c r="I1738" s="46"/>
      <c r="J1738" s="46"/>
      <c r="K1738" s="46"/>
      <c r="L1738" s="46"/>
      <c r="M1738" s="46"/>
      <c r="N1738" s="46"/>
      <c r="O1738" s="46"/>
      <c r="P1738" s="46"/>
      <c r="Q1738" s="46"/>
      <c r="R1738" s="46"/>
      <c r="S1738" s="46"/>
      <c r="T1738" s="46"/>
      <c r="U1738" s="46"/>
      <c r="V1738" s="46"/>
      <c r="W1738" s="46"/>
      <c r="X1738" s="46"/>
    </row>
    <row r="1739" spans="1:24" x14ac:dyDescent="0.2">
      <c r="A1739" s="45"/>
      <c r="B1739" s="46"/>
      <c r="C1739" s="46"/>
      <c r="D1739" s="46"/>
      <c r="E1739" s="46"/>
      <c r="F1739" s="46"/>
      <c r="G1739" s="46"/>
      <c r="H1739" s="46"/>
      <c r="I1739" s="46"/>
      <c r="J1739" s="46"/>
      <c r="K1739" s="46"/>
      <c r="L1739" s="46"/>
      <c r="M1739" s="46"/>
      <c r="N1739" s="46"/>
      <c r="O1739" s="46"/>
      <c r="P1739" s="46"/>
      <c r="Q1739" s="46"/>
      <c r="R1739" s="46"/>
      <c r="S1739" s="46"/>
      <c r="T1739" s="46"/>
      <c r="U1739" s="46"/>
      <c r="V1739" s="46"/>
      <c r="W1739" s="46"/>
      <c r="X1739" s="46"/>
    </row>
    <row r="1740" spans="1:24" x14ac:dyDescent="0.2">
      <c r="A1740" s="45"/>
      <c r="B1740" s="46"/>
      <c r="C1740" s="46"/>
      <c r="D1740" s="46"/>
      <c r="E1740" s="46"/>
      <c r="F1740" s="46"/>
      <c r="G1740" s="46"/>
      <c r="H1740" s="46"/>
      <c r="I1740" s="46"/>
      <c r="J1740" s="46"/>
      <c r="K1740" s="46"/>
      <c r="L1740" s="46"/>
      <c r="M1740" s="46"/>
      <c r="N1740" s="46"/>
      <c r="O1740" s="46"/>
      <c r="P1740" s="46"/>
      <c r="Q1740" s="46"/>
      <c r="R1740" s="46"/>
      <c r="S1740" s="46"/>
      <c r="T1740" s="46"/>
      <c r="U1740" s="46"/>
      <c r="V1740" s="46"/>
      <c r="W1740" s="46"/>
      <c r="X1740" s="46"/>
    </row>
    <row r="1741" spans="1:24" x14ac:dyDescent="0.2">
      <c r="A1741" s="45"/>
      <c r="B1741" s="46"/>
      <c r="C1741" s="46"/>
      <c r="D1741" s="46"/>
      <c r="E1741" s="46"/>
      <c r="F1741" s="46"/>
      <c r="G1741" s="46"/>
      <c r="H1741" s="46"/>
      <c r="I1741" s="46"/>
      <c r="J1741" s="46"/>
      <c r="K1741" s="46"/>
      <c r="L1741" s="46"/>
      <c r="M1741" s="46"/>
      <c r="N1741" s="46"/>
      <c r="O1741" s="46"/>
      <c r="P1741" s="46"/>
      <c r="Q1741" s="46"/>
      <c r="R1741" s="46"/>
      <c r="S1741" s="46"/>
      <c r="T1741" s="46"/>
      <c r="U1741" s="46"/>
      <c r="V1741" s="46"/>
      <c r="W1741" s="46"/>
      <c r="X1741" s="46"/>
    </row>
    <row r="1742" spans="1:24" x14ac:dyDescent="0.2">
      <c r="A1742" s="45"/>
      <c r="B1742" s="46"/>
      <c r="C1742" s="46"/>
      <c r="D1742" s="46"/>
      <c r="E1742" s="46"/>
      <c r="F1742" s="46"/>
      <c r="G1742" s="46"/>
      <c r="H1742" s="46"/>
      <c r="I1742" s="46"/>
      <c r="J1742" s="46"/>
      <c r="K1742" s="46"/>
      <c r="L1742" s="46"/>
      <c r="M1742" s="46"/>
      <c r="N1742" s="46"/>
      <c r="O1742" s="46"/>
      <c r="P1742" s="46"/>
      <c r="Q1742" s="46"/>
      <c r="R1742" s="46"/>
      <c r="S1742" s="46"/>
      <c r="T1742" s="46"/>
      <c r="U1742" s="46"/>
      <c r="V1742" s="46"/>
      <c r="W1742" s="46"/>
      <c r="X1742" s="46"/>
    </row>
    <row r="1743" spans="1:24" x14ac:dyDescent="0.2">
      <c r="A1743" s="45"/>
      <c r="B1743" s="46"/>
      <c r="C1743" s="46"/>
      <c r="D1743" s="46"/>
      <c r="E1743" s="46"/>
      <c r="F1743" s="46"/>
      <c r="G1743" s="46"/>
      <c r="H1743" s="46"/>
      <c r="I1743" s="46"/>
      <c r="J1743" s="46"/>
      <c r="K1743" s="46"/>
      <c r="L1743" s="46"/>
      <c r="M1743" s="46"/>
      <c r="N1743" s="46"/>
      <c r="O1743" s="46"/>
      <c r="P1743" s="46"/>
      <c r="Q1743" s="46"/>
      <c r="R1743" s="46"/>
      <c r="S1743" s="46"/>
      <c r="T1743" s="46"/>
      <c r="U1743" s="46"/>
      <c r="V1743" s="46"/>
      <c r="W1743" s="46"/>
      <c r="X1743" s="46"/>
    </row>
    <row r="1744" spans="1:24" x14ac:dyDescent="0.2">
      <c r="A1744" s="45"/>
      <c r="B1744" s="46"/>
      <c r="C1744" s="46"/>
      <c r="D1744" s="46"/>
      <c r="E1744" s="46"/>
      <c r="F1744" s="46"/>
      <c r="G1744" s="46"/>
      <c r="H1744" s="46"/>
      <c r="I1744" s="46"/>
      <c r="J1744" s="46"/>
      <c r="K1744" s="46"/>
      <c r="L1744" s="46"/>
      <c r="M1744" s="46"/>
      <c r="N1744" s="46"/>
      <c r="O1744" s="46"/>
      <c r="P1744" s="46"/>
      <c r="Q1744" s="46"/>
      <c r="R1744" s="46"/>
      <c r="S1744" s="46"/>
      <c r="T1744" s="46"/>
      <c r="U1744" s="46"/>
      <c r="V1744" s="46"/>
      <c r="W1744" s="46"/>
      <c r="X1744" s="46"/>
    </row>
    <row r="1745" spans="1:24" x14ac:dyDescent="0.2">
      <c r="A1745" s="45"/>
      <c r="B1745" s="46"/>
      <c r="C1745" s="46"/>
      <c r="D1745" s="46"/>
      <c r="E1745" s="46"/>
      <c r="F1745" s="46"/>
      <c r="G1745" s="46"/>
      <c r="H1745" s="46"/>
      <c r="I1745" s="46"/>
      <c r="J1745" s="46"/>
      <c r="K1745" s="46"/>
      <c r="L1745" s="46"/>
      <c r="M1745" s="46"/>
      <c r="N1745" s="46"/>
      <c r="O1745" s="46"/>
      <c r="P1745" s="46"/>
      <c r="Q1745" s="46"/>
      <c r="R1745" s="46"/>
      <c r="S1745" s="46"/>
      <c r="T1745" s="46"/>
      <c r="U1745" s="46"/>
      <c r="V1745" s="46"/>
      <c r="W1745" s="46"/>
      <c r="X1745" s="46"/>
    </row>
    <row r="1746" spans="1:24" x14ac:dyDescent="0.2">
      <c r="A1746" s="45"/>
      <c r="B1746" s="46"/>
      <c r="C1746" s="46"/>
      <c r="D1746" s="46"/>
      <c r="E1746" s="46"/>
      <c r="F1746" s="46"/>
      <c r="G1746" s="46"/>
      <c r="H1746" s="46"/>
      <c r="I1746" s="46"/>
      <c r="J1746" s="46"/>
      <c r="K1746" s="46"/>
      <c r="L1746" s="46"/>
      <c r="M1746" s="46"/>
      <c r="N1746" s="46"/>
      <c r="O1746" s="46"/>
      <c r="P1746" s="46"/>
      <c r="Q1746" s="46"/>
      <c r="R1746" s="46"/>
      <c r="S1746" s="46"/>
      <c r="T1746" s="46"/>
      <c r="U1746" s="46"/>
      <c r="V1746" s="46"/>
      <c r="W1746" s="46"/>
      <c r="X1746" s="46"/>
    </row>
    <row r="1747" spans="1:24" x14ac:dyDescent="0.2">
      <c r="A1747" s="45"/>
      <c r="B1747" s="46"/>
      <c r="C1747" s="46"/>
      <c r="D1747" s="46"/>
      <c r="E1747" s="46"/>
      <c r="F1747" s="46"/>
      <c r="G1747" s="46"/>
      <c r="H1747" s="46"/>
      <c r="I1747" s="46"/>
      <c r="J1747" s="46"/>
      <c r="K1747" s="46"/>
      <c r="L1747" s="46"/>
      <c r="M1747" s="46"/>
      <c r="N1747" s="46"/>
      <c r="O1747" s="46"/>
      <c r="P1747" s="46"/>
      <c r="Q1747" s="46"/>
      <c r="R1747" s="46"/>
      <c r="S1747" s="46"/>
      <c r="T1747" s="46"/>
      <c r="U1747" s="46"/>
      <c r="V1747" s="46"/>
      <c r="W1747" s="46"/>
      <c r="X1747" s="46"/>
    </row>
    <row r="1748" spans="1:24" x14ac:dyDescent="0.2">
      <c r="A1748" s="45"/>
      <c r="B1748" s="46"/>
      <c r="C1748" s="46"/>
      <c r="D1748" s="46"/>
      <c r="E1748" s="46"/>
      <c r="F1748" s="46"/>
      <c r="G1748" s="46"/>
      <c r="H1748" s="46"/>
      <c r="I1748" s="46"/>
      <c r="J1748" s="46"/>
      <c r="K1748" s="46"/>
      <c r="L1748" s="46"/>
      <c r="M1748" s="46"/>
      <c r="N1748" s="46"/>
      <c r="O1748" s="46"/>
      <c r="P1748" s="46"/>
      <c r="Q1748" s="46"/>
      <c r="R1748" s="46"/>
      <c r="S1748" s="46"/>
      <c r="T1748" s="46"/>
      <c r="U1748" s="46"/>
      <c r="V1748" s="46"/>
      <c r="W1748" s="46"/>
      <c r="X1748" s="46"/>
    </row>
    <row r="1749" spans="1:24" x14ac:dyDescent="0.2">
      <c r="A1749" s="45"/>
      <c r="B1749" s="46"/>
      <c r="C1749" s="46"/>
      <c r="D1749" s="46"/>
      <c r="E1749" s="46"/>
      <c r="F1749" s="46"/>
      <c r="G1749" s="46"/>
      <c r="H1749" s="46"/>
      <c r="I1749" s="46"/>
      <c r="J1749" s="46"/>
      <c r="K1749" s="46"/>
      <c r="L1749" s="46"/>
      <c r="M1749" s="46"/>
      <c r="N1749" s="46"/>
      <c r="O1749" s="46"/>
      <c r="P1749" s="46"/>
      <c r="Q1749" s="46"/>
      <c r="R1749" s="46"/>
      <c r="S1749" s="46"/>
      <c r="T1749" s="46"/>
      <c r="U1749" s="46"/>
      <c r="V1749" s="46"/>
      <c r="W1749" s="46"/>
      <c r="X1749" s="46"/>
    </row>
    <row r="1750" spans="1:24" x14ac:dyDescent="0.2">
      <c r="A1750" s="45"/>
      <c r="B1750" s="46"/>
      <c r="C1750" s="46"/>
      <c r="D1750" s="46"/>
      <c r="E1750" s="46"/>
      <c r="F1750" s="46"/>
      <c r="G1750" s="46"/>
      <c r="H1750" s="46"/>
      <c r="I1750" s="46"/>
      <c r="J1750" s="46"/>
      <c r="K1750" s="46"/>
      <c r="L1750" s="46"/>
      <c r="M1750" s="46"/>
      <c r="N1750" s="46"/>
      <c r="O1750" s="46"/>
      <c r="P1750" s="46"/>
      <c r="Q1750" s="46"/>
      <c r="R1750" s="46"/>
      <c r="S1750" s="46"/>
      <c r="T1750" s="46"/>
      <c r="U1750" s="46"/>
      <c r="V1750" s="46"/>
      <c r="W1750" s="46"/>
      <c r="X1750" s="46"/>
    </row>
    <row r="1751" spans="1:24" x14ac:dyDescent="0.2">
      <c r="A1751" s="45"/>
      <c r="B1751" s="46"/>
      <c r="C1751" s="46"/>
      <c r="D1751" s="46"/>
      <c r="E1751" s="46"/>
      <c r="F1751" s="46"/>
      <c r="G1751" s="46"/>
      <c r="H1751" s="46"/>
      <c r="I1751" s="46"/>
      <c r="J1751" s="46"/>
      <c r="K1751" s="46"/>
      <c r="L1751" s="46"/>
      <c r="M1751" s="46"/>
      <c r="N1751" s="46"/>
      <c r="O1751" s="46"/>
      <c r="P1751" s="46"/>
      <c r="Q1751" s="46"/>
      <c r="R1751" s="46"/>
      <c r="S1751" s="46"/>
      <c r="T1751" s="46"/>
      <c r="U1751" s="46"/>
      <c r="V1751" s="46"/>
      <c r="W1751" s="46"/>
      <c r="X1751" s="46"/>
    </row>
    <row r="1752" spans="1:24" x14ac:dyDescent="0.2">
      <c r="A1752" s="45"/>
      <c r="B1752" s="46"/>
      <c r="C1752" s="46"/>
      <c r="D1752" s="46"/>
      <c r="E1752" s="46"/>
      <c r="F1752" s="46"/>
      <c r="G1752" s="46"/>
      <c r="H1752" s="46"/>
      <c r="I1752" s="46"/>
      <c r="J1752" s="46"/>
      <c r="K1752" s="46"/>
      <c r="L1752" s="46"/>
      <c r="M1752" s="46"/>
      <c r="N1752" s="46"/>
      <c r="O1752" s="46"/>
      <c r="P1752" s="46"/>
      <c r="Q1752" s="46"/>
      <c r="R1752" s="46"/>
      <c r="S1752" s="46"/>
      <c r="T1752" s="46"/>
      <c r="U1752" s="46"/>
      <c r="V1752" s="46"/>
      <c r="W1752" s="46"/>
      <c r="X1752" s="46"/>
    </row>
    <row r="1753" spans="1:24" x14ac:dyDescent="0.2">
      <c r="A1753" s="45"/>
      <c r="B1753" s="46"/>
      <c r="C1753" s="46"/>
      <c r="D1753" s="46"/>
      <c r="E1753" s="46"/>
      <c r="F1753" s="46"/>
      <c r="G1753" s="46"/>
      <c r="H1753" s="46"/>
      <c r="I1753" s="46"/>
      <c r="J1753" s="46"/>
      <c r="K1753" s="46"/>
      <c r="L1753" s="46"/>
      <c r="M1753" s="46"/>
      <c r="N1753" s="46"/>
      <c r="O1753" s="46"/>
      <c r="P1753" s="46"/>
      <c r="Q1753" s="46"/>
      <c r="R1753" s="46"/>
      <c r="S1753" s="46"/>
      <c r="T1753" s="46"/>
      <c r="U1753" s="46"/>
      <c r="V1753" s="46"/>
      <c r="W1753" s="46"/>
      <c r="X1753" s="46"/>
    </row>
    <row r="1754" spans="1:24" x14ac:dyDescent="0.2">
      <c r="A1754" s="45"/>
      <c r="B1754" s="46"/>
      <c r="C1754" s="46"/>
      <c r="D1754" s="46"/>
      <c r="E1754" s="46"/>
      <c r="F1754" s="46"/>
      <c r="G1754" s="46"/>
      <c r="H1754" s="46"/>
      <c r="I1754" s="46"/>
      <c r="J1754" s="46"/>
      <c r="K1754" s="46"/>
      <c r="L1754" s="46"/>
      <c r="M1754" s="46"/>
      <c r="N1754" s="46"/>
      <c r="O1754" s="46"/>
      <c r="P1754" s="46"/>
      <c r="Q1754" s="46"/>
      <c r="R1754" s="46"/>
      <c r="S1754" s="46"/>
      <c r="T1754" s="46"/>
      <c r="U1754" s="46"/>
      <c r="V1754" s="46"/>
      <c r="W1754" s="46"/>
      <c r="X1754" s="46"/>
    </row>
    <row r="1755" spans="1:24" x14ac:dyDescent="0.2">
      <c r="A1755" s="45"/>
      <c r="B1755" s="46"/>
      <c r="C1755" s="46"/>
      <c r="D1755" s="46"/>
      <c r="E1755" s="46"/>
      <c r="F1755" s="46"/>
      <c r="G1755" s="46"/>
      <c r="H1755" s="46"/>
      <c r="I1755" s="46"/>
      <c r="J1755" s="46"/>
      <c r="K1755" s="46"/>
      <c r="L1755" s="46"/>
      <c r="M1755" s="46"/>
      <c r="N1755" s="46"/>
      <c r="O1755" s="46"/>
      <c r="P1755" s="46"/>
      <c r="Q1755" s="46"/>
      <c r="R1755" s="46"/>
      <c r="S1755" s="46"/>
      <c r="T1755" s="46"/>
      <c r="U1755" s="46"/>
      <c r="V1755" s="46"/>
      <c r="W1755" s="46"/>
      <c r="X1755" s="46"/>
    </row>
    <row r="1756" spans="1:24" x14ac:dyDescent="0.2">
      <c r="A1756" s="45"/>
      <c r="B1756" s="46"/>
      <c r="C1756" s="46"/>
      <c r="D1756" s="46"/>
      <c r="E1756" s="46"/>
      <c r="F1756" s="46"/>
      <c r="G1756" s="46"/>
      <c r="H1756" s="46"/>
      <c r="I1756" s="46"/>
      <c r="J1756" s="46"/>
      <c r="K1756" s="46"/>
      <c r="L1756" s="46"/>
      <c r="M1756" s="46"/>
      <c r="N1756" s="46"/>
      <c r="O1756" s="46"/>
      <c r="P1756" s="46"/>
      <c r="Q1756" s="46"/>
      <c r="R1756" s="46"/>
      <c r="S1756" s="46"/>
      <c r="T1756" s="46"/>
      <c r="U1756" s="46"/>
      <c r="V1756" s="46"/>
      <c r="W1756" s="46"/>
      <c r="X1756" s="46"/>
    </row>
    <row r="1757" spans="1:24" x14ac:dyDescent="0.2">
      <c r="A1757" s="45"/>
      <c r="B1757" s="46"/>
      <c r="C1757" s="46"/>
      <c r="D1757" s="46"/>
      <c r="E1757" s="46"/>
      <c r="F1757" s="46"/>
      <c r="G1757" s="46"/>
      <c r="H1757" s="46"/>
      <c r="I1757" s="46"/>
      <c r="J1757" s="46"/>
      <c r="K1757" s="46"/>
      <c r="L1757" s="46"/>
      <c r="M1757" s="46"/>
      <c r="N1757" s="46"/>
      <c r="O1757" s="46"/>
      <c r="P1757" s="46"/>
      <c r="Q1757" s="46"/>
      <c r="R1757" s="46"/>
      <c r="S1757" s="46"/>
      <c r="T1757" s="46"/>
      <c r="U1757" s="46"/>
      <c r="V1757" s="46"/>
      <c r="W1757" s="46"/>
      <c r="X1757" s="46"/>
    </row>
    <row r="1758" spans="1:24" x14ac:dyDescent="0.2">
      <c r="A1758" s="45"/>
      <c r="B1758" s="46"/>
      <c r="C1758" s="46"/>
      <c r="D1758" s="46"/>
      <c r="E1758" s="46"/>
      <c r="F1758" s="46"/>
      <c r="G1758" s="46"/>
      <c r="H1758" s="46"/>
      <c r="I1758" s="46"/>
      <c r="J1758" s="46"/>
      <c r="K1758" s="46"/>
      <c r="L1758" s="46"/>
      <c r="M1758" s="46"/>
      <c r="N1758" s="46"/>
      <c r="O1758" s="46"/>
      <c r="P1758" s="46"/>
      <c r="Q1758" s="46"/>
      <c r="R1758" s="46"/>
      <c r="S1758" s="46"/>
      <c r="T1758" s="46"/>
      <c r="U1758" s="46"/>
      <c r="V1758" s="46"/>
      <c r="W1758" s="46"/>
      <c r="X1758" s="46"/>
    </row>
    <row r="1759" spans="1:24" x14ac:dyDescent="0.2">
      <c r="A1759" s="45"/>
      <c r="B1759" s="46"/>
      <c r="C1759" s="46"/>
      <c r="D1759" s="46"/>
      <c r="E1759" s="46"/>
      <c r="F1759" s="46"/>
      <c r="G1759" s="46"/>
      <c r="H1759" s="46"/>
      <c r="I1759" s="46"/>
      <c r="J1759" s="46"/>
      <c r="K1759" s="46"/>
      <c r="L1759" s="46"/>
      <c r="M1759" s="46"/>
      <c r="N1759" s="46"/>
      <c r="O1759" s="46"/>
      <c r="P1759" s="46"/>
      <c r="Q1759" s="46"/>
      <c r="R1759" s="46"/>
      <c r="S1759" s="46"/>
      <c r="T1759" s="46"/>
      <c r="U1759" s="46"/>
      <c r="V1759" s="46"/>
      <c r="W1759" s="46"/>
      <c r="X1759" s="46"/>
    </row>
    <row r="1760" spans="1:24" x14ac:dyDescent="0.2">
      <c r="A1760" s="45"/>
      <c r="B1760" s="46"/>
      <c r="C1760" s="46"/>
      <c r="D1760" s="46"/>
      <c r="E1760" s="46"/>
      <c r="F1760" s="46"/>
      <c r="G1760" s="46"/>
      <c r="H1760" s="46"/>
      <c r="I1760" s="46"/>
      <c r="J1760" s="46"/>
      <c r="K1760" s="46"/>
      <c r="L1760" s="46"/>
      <c r="M1760" s="46"/>
      <c r="N1760" s="46"/>
      <c r="O1760" s="46"/>
      <c r="P1760" s="46"/>
      <c r="Q1760" s="46"/>
      <c r="R1760" s="46"/>
      <c r="S1760" s="46"/>
      <c r="T1760" s="46"/>
      <c r="U1760" s="46"/>
      <c r="V1760" s="46"/>
      <c r="W1760" s="46"/>
      <c r="X1760" s="46"/>
    </row>
    <row r="1761" spans="1:24" x14ac:dyDescent="0.2">
      <c r="A1761" s="45"/>
      <c r="B1761" s="46"/>
      <c r="C1761" s="46"/>
      <c r="D1761" s="46"/>
      <c r="E1761" s="46"/>
      <c r="F1761" s="46"/>
      <c r="G1761" s="46"/>
      <c r="H1761" s="46"/>
      <c r="I1761" s="46"/>
      <c r="J1761" s="46"/>
      <c r="K1761" s="46"/>
      <c r="L1761" s="46"/>
      <c r="M1761" s="46"/>
      <c r="N1761" s="46"/>
      <c r="O1761" s="46"/>
      <c r="P1761" s="46"/>
      <c r="Q1761" s="46"/>
      <c r="R1761" s="46"/>
      <c r="S1761" s="46"/>
      <c r="T1761" s="46"/>
      <c r="U1761" s="46"/>
      <c r="V1761" s="46"/>
      <c r="W1761" s="46"/>
      <c r="X1761" s="46"/>
    </row>
    <row r="1762" spans="1:24" x14ac:dyDescent="0.2">
      <c r="A1762" s="45"/>
      <c r="B1762" s="46"/>
      <c r="C1762" s="46"/>
      <c r="D1762" s="46"/>
      <c r="E1762" s="46"/>
      <c r="F1762" s="46"/>
      <c r="G1762" s="46"/>
      <c r="H1762" s="46"/>
      <c r="I1762" s="46"/>
      <c r="J1762" s="46"/>
      <c r="K1762" s="46"/>
      <c r="L1762" s="46"/>
      <c r="M1762" s="46"/>
      <c r="N1762" s="46"/>
      <c r="O1762" s="46"/>
      <c r="P1762" s="46"/>
      <c r="Q1762" s="46"/>
      <c r="R1762" s="46"/>
      <c r="S1762" s="46"/>
      <c r="T1762" s="46"/>
      <c r="U1762" s="46"/>
      <c r="V1762" s="46"/>
      <c r="W1762" s="46"/>
      <c r="X1762" s="46"/>
    </row>
    <row r="1763" spans="1:24" x14ac:dyDescent="0.2">
      <c r="A1763" s="45"/>
      <c r="B1763" s="46"/>
      <c r="C1763" s="46"/>
      <c r="D1763" s="46"/>
      <c r="E1763" s="46"/>
      <c r="F1763" s="46"/>
      <c r="G1763" s="46"/>
      <c r="H1763" s="46"/>
      <c r="I1763" s="46"/>
      <c r="J1763" s="46"/>
      <c r="K1763" s="46"/>
      <c r="L1763" s="46"/>
      <c r="M1763" s="46"/>
      <c r="N1763" s="46"/>
      <c r="O1763" s="46"/>
      <c r="P1763" s="46"/>
      <c r="Q1763" s="46"/>
      <c r="R1763" s="46"/>
      <c r="S1763" s="46"/>
      <c r="T1763" s="46"/>
      <c r="U1763" s="46"/>
      <c r="V1763" s="46"/>
      <c r="W1763" s="46"/>
      <c r="X1763" s="46"/>
    </row>
    <row r="1764" spans="1:24" x14ac:dyDescent="0.2">
      <c r="A1764" s="45"/>
      <c r="B1764" s="46"/>
      <c r="C1764" s="46"/>
      <c r="D1764" s="46"/>
      <c r="E1764" s="46"/>
      <c r="F1764" s="46"/>
      <c r="G1764" s="46"/>
      <c r="H1764" s="46"/>
      <c r="I1764" s="46"/>
      <c r="J1764" s="46"/>
      <c r="K1764" s="46"/>
      <c r="L1764" s="46"/>
      <c r="M1764" s="46"/>
      <c r="N1764" s="46"/>
      <c r="O1764" s="46"/>
      <c r="P1764" s="46"/>
      <c r="Q1764" s="46"/>
      <c r="R1764" s="46"/>
      <c r="S1764" s="46"/>
      <c r="T1764" s="46"/>
      <c r="U1764" s="46"/>
      <c r="V1764" s="46"/>
      <c r="W1764" s="46"/>
      <c r="X1764" s="46"/>
    </row>
    <row r="1765" spans="1:24" x14ac:dyDescent="0.2">
      <c r="A1765" s="45"/>
      <c r="B1765" s="46"/>
      <c r="C1765" s="46"/>
      <c r="D1765" s="46"/>
      <c r="E1765" s="46"/>
      <c r="F1765" s="46"/>
      <c r="G1765" s="46"/>
      <c r="H1765" s="46"/>
      <c r="I1765" s="46"/>
      <c r="J1765" s="46"/>
      <c r="K1765" s="46"/>
      <c r="L1765" s="46"/>
      <c r="M1765" s="46"/>
      <c r="N1765" s="46"/>
      <c r="O1765" s="46"/>
      <c r="P1765" s="46"/>
      <c r="Q1765" s="46"/>
      <c r="R1765" s="46"/>
      <c r="S1765" s="46"/>
      <c r="T1765" s="46"/>
      <c r="U1765" s="46"/>
      <c r="V1765" s="46"/>
      <c r="W1765" s="46"/>
      <c r="X1765" s="46"/>
    </row>
    <row r="1766" spans="1:24" x14ac:dyDescent="0.2">
      <c r="A1766" s="45"/>
      <c r="B1766" s="46"/>
      <c r="C1766" s="46"/>
      <c r="D1766" s="46"/>
      <c r="E1766" s="46"/>
      <c r="F1766" s="46"/>
      <c r="G1766" s="46"/>
      <c r="H1766" s="46"/>
      <c r="I1766" s="46"/>
      <c r="J1766" s="46"/>
      <c r="K1766" s="46"/>
      <c r="L1766" s="46"/>
      <c r="M1766" s="46"/>
      <c r="N1766" s="46"/>
      <c r="O1766" s="46"/>
      <c r="P1766" s="46"/>
      <c r="Q1766" s="46"/>
      <c r="R1766" s="46"/>
      <c r="S1766" s="46"/>
      <c r="T1766" s="46"/>
      <c r="U1766" s="46"/>
      <c r="V1766" s="46"/>
      <c r="W1766" s="46"/>
      <c r="X1766" s="46"/>
    </row>
    <row r="1767" spans="1:24" x14ac:dyDescent="0.2">
      <c r="A1767" s="45"/>
      <c r="B1767" s="46"/>
      <c r="C1767" s="46"/>
      <c r="D1767" s="46"/>
      <c r="E1767" s="46"/>
      <c r="F1767" s="46"/>
      <c r="G1767" s="46"/>
      <c r="H1767" s="46"/>
      <c r="I1767" s="46"/>
      <c r="J1767" s="46"/>
      <c r="K1767" s="46"/>
      <c r="L1767" s="46"/>
      <c r="M1767" s="46"/>
      <c r="N1767" s="46"/>
      <c r="O1767" s="46"/>
      <c r="P1767" s="46"/>
      <c r="Q1767" s="46"/>
      <c r="R1767" s="46"/>
      <c r="S1767" s="46"/>
      <c r="T1767" s="46"/>
      <c r="U1767" s="46"/>
      <c r="V1767" s="46"/>
      <c r="W1767" s="46"/>
      <c r="X1767" s="46"/>
    </row>
    <row r="1768" spans="1:24" x14ac:dyDescent="0.2">
      <c r="A1768" s="45"/>
      <c r="B1768" s="46"/>
      <c r="C1768" s="46"/>
      <c r="D1768" s="46"/>
      <c r="E1768" s="46"/>
      <c r="F1768" s="46"/>
      <c r="G1768" s="46"/>
      <c r="H1768" s="46"/>
      <c r="I1768" s="46"/>
      <c r="J1768" s="46"/>
      <c r="K1768" s="46"/>
      <c r="L1768" s="46"/>
      <c r="M1768" s="46"/>
      <c r="N1768" s="46"/>
      <c r="O1768" s="46"/>
      <c r="P1768" s="46"/>
      <c r="Q1768" s="46"/>
      <c r="R1768" s="46"/>
      <c r="S1768" s="46"/>
      <c r="T1768" s="46"/>
      <c r="U1768" s="46"/>
      <c r="V1768" s="46"/>
      <c r="W1768" s="46"/>
      <c r="X1768" s="46"/>
    </row>
    <row r="1769" spans="1:24" x14ac:dyDescent="0.2">
      <c r="A1769" s="45"/>
      <c r="B1769" s="46"/>
      <c r="C1769" s="46"/>
      <c r="D1769" s="46"/>
      <c r="E1769" s="46"/>
      <c r="F1769" s="46"/>
      <c r="G1769" s="46"/>
      <c r="H1769" s="46"/>
      <c r="I1769" s="46"/>
      <c r="J1769" s="46"/>
      <c r="K1769" s="46"/>
      <c r="L1769" s="46"/>
      <c r="M1769" s="46"/>
      <c r="N1769" s="46"/>
      <c r="O1769" s="46"/>
      <c r="P1769" s="46"/>
      <c r="Q1769" s="46"/>
      <c r="R1769" s="46"/>
      <c r="S1769" s="46"/>
      <c r="T1769" s="46"/>
      <c r="U1769" s="46"/>
      <c r="V1769" s="46"/>
      <c r="W1769" s="46"/>
      <c r="X1769" s="46"/>
    </row>
    <row r="1770" spans="1:24" x14ac:dyDescent="0.2">
      <c r="A1770" s="45"/>
      <c r="B1770" s="46"/>
      <c r="C1770" s="46"/>
      <c r="D1770" s="46"/>
      <c r="E1770" s="46"/>
      <c r="F1770" s="46"/>
      <c r="G1770" s="46"/>
      <c r="H1770" s="46"/>
      <c r="I1770" s="46"/>
      <c r="J1770" s="46"/>
      <c r="K1770" s="46"/>
      <c r="L1770" s="46"/>
      <c r="M1770" s="46"/>
      <c r="N1770" s="46"/>
      <c r="O1770" s="46"/>
      <c r="P1770" s="46"/>
      <c r="Q1770" s="46"/>
      <c r="R1770" s="46"/>
      <c r="S1770" s="46"/>
      <c r="T1770" s="46"/>
      <c r="U1770" s="46"/>
      <c r="V1770" s="46"/>
      <c r="W1770" s="46"/>
      <c r="X1770" s="46"/>
    </row>
    <row r="1771" spans="1:24" x14ac:dyDescent="0.2">
      <c r="A1771" s="45"/>
      <c r="B1771" s="46"/>
      <c r="C1771" s="46"/>
      <c r="D1771" s="46"/>
      <c r="E1771" s="46"/>
      <c r="F1771" s="46"/>
      <c r="G1771" s="46"/>
      <c r="H1771" s="46"/>
      <c r="I1771" s="46"/>
      <c r="J1771" s="46"/>
      <c r="K1771" s="46"/>
      <c r="L1771" s="46"/>
      <c r="M1771" s="46"/>
      <c r="N1771" s="46"/>
      <c r="O1771" s="46"/>
      <c r="P1771" s="46"/>
      <c r="Q1771" s="46"/>
      <c r="R1771" s="46"/>
      <c r="S1771" s="46"/>
      <c r="T1771" s="46"/>
      <c r="U1771" s="46"/>
      <c r="V1771" s="46"/>
      <c r="W1771" s="46"/>
      <c r="X1771" s="46"/>
    </row>
    <row r="1772" spans="1:24" x14ac:dyDescent="0.2">
      <c r="A1772" s="45"/>
      <c r="B1772" s="46"/>
      <c r="C1772" s="46"/>
      <c r="D1772" s="46"/>
      <c r="E1772" s="46"/>
      <c r="F1772" s="46"/>
      <c r="G1772" s="46"/>
      <c r="H1772" s="46"/>
      <c r="I1772" s="46"/>
      <c r="J1772" s="46"/>
      <c r="K1772" s="46"/>
      <c r="L1772" s="46"/>
      <c r="M1772" s="46"/>
      <c r="N1772" s="46"/>
      <c r="O1772" s="46"/>
      <c r="P1772" s="46"/>
      <c r="Q1772" s="46"/>
      <c r="R1772" s="46"/>
      <c r="S1772" s="46"/>
      <c r="T1772" s="46"/>
      <c r="U1772" s="46"/>
      <c r="V1772" s="46"/>
      <c r="W1772" s="46"/>
      <c r="X1772" s="46"/>
    </row>
    <row r="1773" spans="1:24" x14ac:dyDescent="0.2">
      <c r="A1773" s="45"/>
      <c r="B1773" s="46"/>
      <c r="C1773" s="46"/>
      <c r="D1773" s="46"/>
      <c r="E1773" s="46"/>
      <c r="F1773" s="46"/>
      <c r="G1773" s="46"/>
      <c r="H1773" s="46"/>
      <c r="I1773" s="46"/>
      <c r="J1773" s="46"/>
      <c r="K1773" s="46"/>
      <c r="L1773" s="46"/>
      <c r="M1773" s="46"/>
      <c r="N1773" s="46"/>
      <c r="O1773" s="46"/>
      <c r="P1773" s="46"/>
      <c r="Q1773" s="46"/>
      <c r="R1773" s="46"/>
      <c r="S1773" s="46"/>
      <c r="T1773" s="46"/>
      <c r="U1773" s="46"/>
      <c r="V1773" s="46"/>
      <c r="W1773" s="46"/>
      <c r="X1773" s="46"/>
    </row>
    <row r="1774" spans="1:24" x14ac:dyDescent="0.2">
      <c r="A1774" s="45"/>
      <c r="B1774" s="46"/>
      <c r="C1774" s="46"/>
      <c r="D1774" s="46"/>
      <c r="E1774" s="46"/>
      <c r="F1774" s="46"/>
      <c r="G1774" s="46"/>
      <c r="H1774" s="46"/>
      <c r="I1774" s="46"/>
      <c r="J1774" s="46"/>
      <c r="K1774" s="46"/>
      <c r="L1774" s="46"/>
      <c r="M1774" s="46"/>
      <c r="N1774" s="46"/>
      <c r="O1774" s="46"/>
      <c r="P1774" s="46"/>
      <c r="Q1774" s="46"/>
      <c r="R1774" s="46"/>
      <c r="S1774" s="46"/>
      <c r="T1774" s="46"/>
      <c r="U1774" s="46"/>
      <c r="V1774" s="46"/>
      <c r="W1774" s="46"/>
      <c r="X1774" s="46"/>
    </row>
    <row r="1775" spans="1:24" x14ac:dyDescent="0.2">
      <c r="A1775" s="45"/>
      <c r="B1775" s="46"/>
      <c r="C1775" s="46"/>
      <c r="D1775" s="46"/>
      <c r="E1775" s="46"/>
      <c r="F1775" s="46"/>
      <c r="G1775" s="46"/>
      <c r="H1775" s="46"/>
      <c r="I1775" s="46"/>
      <c r="J1775" s="46"/>
      <c r="K1775" s="46"/>
      <c r="L1775" s="46"/>
      <c r="M1775" s="46"/>
      <c r="N1775" s="46"/>
      <c r="O1775" s="46"/>
      <c r="P1775" s="46"/>
      <c r="Q1775" s="46"/>
      <c r="R1775" s="46"/>
      <c r="S1775" s="46"/>
      <c r="T1775" s="46"/>
      <c r="U1775" s="46"/>
      <c r="V1775" s="46"/>
      <c r="W1775" s="46"/>
      <c r="X1775" s="46"/>
    </row>
    <row r="1776" spans="1:24" x14ac:dyDescent="0.2">
      <c r="A1776" s="45"/>
      <c r="B1776" s="46"/>
      <c r="C1776" s="46"/>
      <c r="D1776" s="46"/>
      <c r="E1776" s="46"/>
      <c r="F1776" s="46"/>
      <c r="G1776" s="46"/>
      <c r="H1776" s="46"/>
      <c r="I1776" s="46"/>
      <c r="J1776" s="46"/>
      <c r="K1776" s="46"/>
      <c r="L1776" s="46"/>
      <c r="M1776" s="46"/>
      <c r="N1776" s="46"/>
      <c r="O1776" s="46"/>
      <c r="P1776" s="46"/>
      <c r="Q1776" s="46"/>
      <c r="R1776" s="46"/>
      <c r="S1776" s="46"/>
      <c r="T1776" s="46"/>
      <c r="U1776" s="46"/>
      <c r="V1776" s="46"/>
      <c r="W1776" s="46"/>
      <c r="X1776" s="46"/>
    </row>
    <row r="1777" spans="1:24" x14ac:dyDescent="0.2">
      <c r="A1777" s="45"/>
      <c r="B1777" s="46"/>
      <c r="C1777" s="46"/>
      <c r="D1777" s="46"/>
      <c r="E1777" s="46"/>
      <c r="F1777" s="46"/>
      <c r="G1777" s="46"/>
      <c r="H1777" s="46"/>
      <c r="I1777" s="46"/>
      <c r="J1777" s="46"/>
      <c r="K1777" s="46"/>
      <c r="L1777" s="46"/>
      <c r="M1777" s="46"/>
      <c r="N1777" s="46"/>
      <c r="O1777" s="46"/>
      <c r="P1777" s="46"/>
      <c r="Q1777" s="46"/>
      <c r="R1777" s="46"/>
      <c r="S1777" s="46"/>
      <c r="T1777" s="46"/>
      <c r="U1777" s="46"/>
      <c r="V1777" s="46"/>
      <c r="W1777" s="46"/>
      <c r="X1777" s="46"/>
    </row>
    <row r="1778" spans="1:24" x14ac:dyDescent="0.2">
      <c r="A1778" s="45"/>
      <c r="B1778" s="46"/>
      <c r="C1778" s="46"/>
      <c r="D1778" s="46"/>
      <c r="E1778" s="46"/>
      <c r="F1778" s="46"/>
      <c r="G1778" s="46"/>
      <c r="H1778" s="46"/>
      <c r="I1778" s="46"/>
      <c r="J1778" s="46"/>
      <c r="K1778" s="46"/>
      <c r="L1778" s="46"/>
      <c r="M1778" s="46"/>
      <c r="N1778" s="46"/>
      <c r="O1778" s="46"/>
      <c r="P1778" s="46"/>
      <c r="Q1778" s="46"/>
      <c r="R1778" s="46"/>
      <c r="S1778" s="46"/>
      <c r="T1778" s="46"/>
      <c r="U1778" s="46"/>
      <c r="V1778" s="46"/>
      <c r="W1778" s="46"/>
      <c r="X1778" s="46"/>
    </row>
    <row r="1779" spans="1:24" x14ac:dyDescent="0.2">
      <c r="A1779" s="45"/>
      <c r="B1779" s="46"/>
      <c r="C1779" s="46"/>
      <c r="D1779" s="46"/>
      <c r="E1779" s="46"/>
      <c r="F1779" s="46"/>
      <c r="G1779" s="46"/>
      <c r="H1779" s="46"/>
      <c r="I1779" s="46"/>
      <c r="J1779" s="46"/>
      <c r="K1779" s="46"/>
      <c r="L1779" s="46"/>
      <c r="M1779" s="46"/>
      <c r="N1779" s="46"/>
      <c r="O1779" s="46"/>
      <c r="P1779" s="46"/>
      <c r="Q1779" s="46"/>
      <c r="R1779" s="46"/>
      <c r="S1779" s="46"/>
      <c r="T1779" s="46"/>
      <c r="U1779" s="46"/>
      <c r="V1779" s="46"/>
      <c r="W1779" s="46"/>
      <c r="X1779" s="46"/>
    </row>
    <row r="1780" spans="1:24" x14ac:dyDescent="0.2">
      <c r="A1780" s="45"/>
      <c r="B1780" s="46"/>
      <c r="C1780" s="46"/>
      <c r="D1780" s="46"/>
      <c r="E1780" s="46"/>
      <c r="F1780" s="46"/>
      <c r="G1780" s="46"/>
      <c r="H1780" s="46"/>
      <c r="I1780" s="46"/>
      <c r="J1780" s="46"/>
      <c r="K1780" s="46"/>
      <c r="L1780" s="46"/>
      <c r="M1780" s="46"/>
      <c r="N1780" s="46"/>
      <c r="O1780" s="46"/>
      <c r="P1780" s="46"/>
      <c r="Q1780" s="46"/>
      <c r="R1780" s="46"/>
      <c r="S1780" s="46"/>
      <c r="T1780" s="46"/>
      <c r="U1780" s="46"/>
      <c r="V1780" s="46"/>
      <c r="W1780" s="46"/>
      <c r="X1780" s="46"/>
    </row>
    <row r="1781" spans="1:24" x14ac:dyDescent="0.2">
      <c r="A1781" s="45"/>
      <c r="B1781" s="46"/>
      <c r="C1781" s="46"/>
      <c r="D1781" s="46"/>
      <c r="E1781" s="46"/>
      <c r="F1781" s="46"/>
      <c r="G1781" s="46"/>
      <c r="H1781" s="46"/>
      <c r="I1781" s="46"/>
      <c r="J1781" s="46"/>
      <c r="K1781" s="46"/>
      <c r="L1781" s="46"/>
      <c r="M1781" s="46"/>
      <c r="N1781" s="46"/>
      <c r="O1781" s="46"/>
      <c r="P1781" s="46"/>
      <c r="Q1781" s="46"/>
      <c r="R1781" s="46"/>
      <c r="S1781" s="46"/>
      <c r="T1781" s="46"/>
      <c r="U1781" s="46"/>
      <c r="V1781" s="46"/>
      <c r="W1781" s="46"/>
      <c r="X1781" s="46"/>
    </row>
    <row r="1782" spans="1:24" x14ac:dyDescent="0.2">
      <c r="A1782" s="45"/>
      <c r="B1782" s="46"/>
      <c r="C1782" s="46"/>
      <c r="D1782" s="46"/>
      <c r="E1782" s="46"/>
      <c r="F1782" s="46"/>
      <c r="G1782" s="46"/>
      <c r="H1782" s="46"/>
      <c r="I1782" s="46"/>
      <c r="J1782" s="46"/>
      <c r="K1782" s="46"/>
      <c r="L1782" s="46"/>
      <c r="M1782" s="46"/>
      <c r="N1782" s="46"/>
      <c r="O1782" s="46"/>
      <c r="P1782" s="46"/>
      <c r="Q1782" s="46"/>
      <c r="R1782" s="46"/>
      <c r="S1782" s="46"/>
      <c r="T1782" s="46"/>
      <c r="U1782" s="46"/>
      <c r="V1782" s="46"/>
      <c r="W1782" s="46"/>
      <c r="X1782" s="46"/>
    </row>
    <row r="1783" spans="1:24" x14ac:dyDescent="0.2">
      <c r="A1783" s="45"/>
      <c r="B1783" s="46"/>
      <c r="C1783" s="46"/>
      <c r="D1783" s="46"/>
      <c r="E1783" s="46"/>
      <c r="F1783" s="46"/>
      <c r="G1783" s="46"/>
      <c r="H1783" s="46"/>
      <c r="I1783" s="46"/>
      <c r="J1783" s="46"/>
      <c r="K1783" s="46"/>
      <c r="L1783" s="46"/>
      <c r="M1783" s="46"/>
      <c r="N1783" s="46"/>
      <c r="O1783" s="46"/>
      <c r="P1783" s="46"/>
      <c r="Q1783" s="46"/>
      <c r="R1783" s="46"/>
      <c r="S1783" s="46"/>
      <c r="T1783" s="46"/>
      <c r="U1783" s="46"/>
      <c r="V1783" s="46"/>
      <c r="W1783" s="46"/>
      <c r="X1783" s="46"/>
    </row>
    <row r="1784" spans="1:24" x14ac:dyDescent="0.2">
      <c r="A1784" s="45"/>
      <c r="B1784" s="46"/>
      <c r="C1784" s="46"/>
      <c r="D1784" s="46"/>
      <c r="E1784" s="46"/>
      <c r="F1784" s="46"/>
      <c r="G1784" s="46"/>
      <c r="H1784" s="46"/>
      <c r="I1784" s="46"/>
      <c r="J1784" s="46"/>
      <c r="K1784" s="46"/>
      <c r="L1784" s="46"/>
      <c r="M1784" s="46"/>
      <c r="N1784" s="46"/>
      <c r="O1784" s="46"/>
      <c r="P1784" s="46"/>
      <c r="Q1784" s="46"/>
      <c r="R1784" s="46"/>
      <c r="S1784" s="46"/>
      <c r="T1784" s="46"/>
      <c r="U1784" s="46"/>
      <c r="V1784" s="46"/>
      <c r="W1784" s="46"/>
      <c r="X1784" s="46"/>
    </row>
    <row r="1785" spans="1:24" x14ac:dyDescent="0.2">
      <c r="A1785" s="45"/>
      <c r="B1785" s="46"/>
      <c r="C1785" s="46"/>
      <c r="D1785" s="46"/>
      <c r="E1785" s="46"/>
      <c r="F1785" s="46"/>
      <c r="G1785" s="46"/>
      <c r="H1785" s="46"/>
      <c r="I1785" s="46"/>
      <c r="J1785" s="46"/>
      <c r="K1785" s="46"/>
      <c r="L1785" s="46"/>
      <c r="M1785" s="46"/>
      <c r="N1785" s="46"/>
      <c r="O1785" s="46"/>
      <c r="P1785" s="46"/>
      <c r="Q1785" s="46"/>
      <c r="R1785" s="46"/>
      <c r="S1785" s="46"/>
      <c r="T1785" s="46"/>
      <c r="U1785" s="46"/>
      <c r="V1785" s="46"/>
      <c r="W1785" s="46"/>
      <c r="X1785" s="46"/>
    </row>
    <row r="1786" spans="1:24" x14ac:dyDescent="0.2">
      <c r="A1786" s="45"/>
      <c r="B1786" s="46"/>
      <c r="C1786" s="46"/>
      <c r="D1786" s="46"/>
      <c r="E1786" s="46"/>
      <c r="F1786" s="46"/>
      <c r="G1786" s="46"/>
      <c r="H1786" s="46"/>
      <c r="I1786" s="46"/>
      <c r="J1786" s="46"/>
      <c r="K1786" s="46"/>
      <c r="L1786" s="46"/>
      <c r="M1786" s="46"/>
      <c r="N1786" s="46"/>
      <c r="O1786" s="46"/>
      <c r="P1786" s="46"/>
      <c r="Q1786" s="46"/>
      <c r="R1786" s="46"/>
      <c r="S1786" s="46"/>
      <c r="T1786" s="46"/>
      <c r="U1786" s="46"/>
      <c r="V1786" s="46"/>
      <c r="W1786" s="46"/>
      <c r="X1786" s="46"/>
    </row>
    <row r="1787" spans="1:24" x14ac:dyDescent="0.2">
      <c r="A1787" s="45"/>
      <c r="B1787" s="46"/>
      <c r="C1787" s="46"/>
      <c r="D1787" s="46"/>
      <c r="E1787" s="46"/>
      <c r="F1787" s="46"/>
      <c r="G1787" s="46"/>
      <c r="H1787" s="46"/>
      <c r="I1787" s="46"/>
      <c r="J1787" s="46"/>
      <c r="K1787" s="46"/>
      <c r="L1787" s="46"/>
      <c r="M1787" s="46"/>
      <c r="N1787" s="46"/>
      <c r="O1787" s="46"/>
      <c r="P1787" s="46"/>
      <c r="Q1787" s="46"/>
      <c r="R1787" s="46"/>
      <c r="S1787" s="46"/>
      <c r="T1787" s="46"/>
      <c r="U1787" s="46"/>
      <c r="V1787" s="46"/>
      <c r="W1787" s="46"/>
      <c r="X1787" s="46"/>
    </row>
    <row r="1788" spans="1:24" x14ac:dyDescent="0.2">
      <c r="A1788" s="45"/>
      <c r="B1788" s="46"/>
      <c r="C1788" s="46"/>
      <c r="D1788" s="46"/>
      <c r="E1788" s="46"/>
      <c r="F1788" s="46"/>
      <c r="G1788" s="46"/>
      <c r="H1788" s="46"/>
      <c r="I1788" s="46"/>
      <c r="J1788" s="46"/>
      <c r="K1788" s="46"/>
      <c r="L1788" s="46"/>
      <c r="M1788" s="46"/>
      <c r="N1788" s="46"/>
      <c r="O1788" s="46"/>
      <c r="P1788" s="46"/>
      <c r="Q1788" s="46"/>
      <c r="R1788" s="46"/>
      <c r="S1788" s="46"/>
      <c r="T1788" s="46"/>
      <c r="U1788" s="46"/>
      <c r="V1788" s="46"/>
      <c r="W1788" s="46"/>
      <c r="X1788" s="46"/>
    </row>
    <row r="1789" spans="1:24" x14ac:dyDescent="0.2">
      <c r="A1789" s="45"/>
      <c r="B1789" s="46"/>
      <c r="C1789" s="46"/>
      <c r="D1789" s="46"/>
      <c r="E1789" s="46"/>
      <c r="F1789" s="46"/>
      <c r="G1789" s="46"/>
      <c r="H1789" s="46"/>
      <c r="I1789" s="46"/>
      <c r="J1789" s="46"/>
      <c r="K1789" s="46"/>
      <c r="L1789" s="46"/>
      <c r="M1789" s="46"/>
      <c r="N1789" s="46"/>
      <c r="O1789" s="46"/>
      <c r="P1789" s="46"/>
      <c r="Q1789" s="46"/>
      <c r="R1789" s="46"/>
      <c r="S1789" s="46"/>
      <c r="T1789" s="46"/>
      <c r="U1789" s="46"/>
      <c r="V1789" s="46"/>
      <c r="W1789" s="46"/>
      <c r="X1789" s="46"/>
    </row>
    <row r="1790" spans="1:24" x14ac:dyDescent="0.2">
      <c r="A1790" s="45"/>
      <c r="B1790" s="46"/>
      <c r="C1790" s="46"/>
      <c r="D1790" s="46"/>
      <c r="E1790" s="46"/>
      <c r="F1790" s="46"/>
      <c r="G1790" s="46"/>
      <c r="H1790" s="46"/>
      <c r="I1790" s="46"/>
      <c r="J1790" s="46"/>
      <c r="K1790" s="46"/>
      <c r="L1790" s="46"/>
      <c r="M1790" s="46"/>
      <c r="N1790" s="46"/>
      <c r="O1790" s="46"/>
      <c r="P1790" s="46"/>
      <c r="Q1790" s="46"/>
      <c r="R1790" s="46"/>
      <c r="S1790" s="46"/>
      <c r="T1790" s="46"/>
      <c r="U1790" s="46"/>
      <c r="V1790" s="46"/>
      <c r="W1790" s="46"/>
      <c r="X1790" s="46"/>
    </row>
    <row r="1791" spans="1:24" x14ac:dyDescent="0.2">
      <c r="A1791" s="45"/>
      <c r="B1791" s="46"/>
      <c r="C1791" s="46"/>
      <c r="D1791" s="46"/>
      <c r="E1791" s="46"/>
      <c r="F1791" s="46"/>
      <c r="G1791" s="46"/>
      <c r="H1791" s="46"/>
      <c r="I1791" s="46"/>
      <c r="J1791" s="46"/>
      <c r="K1791" s="46"/>
      <c r="L1791" s="46"/>
      <c r="M1791" s="46"/>
      <c r="N1791" s="46"/>
      <c r="O1791" s="46"/>
      <c r="P1791" s="46"/>
      <c r="Q1791" s="46"/>
      <c r="R1791" s="46"/>
      <c r="S1791" s="46"/>
      <c r="T1791" s="46"/>
      <c r="U1791" s="46"/>
      <c r="V1791" s="46"/>
      <c r="W1791" s="46"/>
      <c r="X1791" s="46"/>
    </row>
    <row r="1792" spans="1:24" x14ac:dyDescent="0.2">
      <c r="A1792" s="45"/>
      <c r="B1792" s="46"/>
      <c r="C1792" s="46"/>
      <c r="D1792" s="46"/>
      <c r="E1792" s="46"/>
      <c r="F1792" s="46"/>
      <c r="G1792" s="46"/>
      <c r="H1792" s="46"/>
      <c r="I1792" s="46"/>
      <c r="J1792" s="46"/>
      <c r="K1792" s="46"/>
      <c r="L1792" s="46"/>
      <c r="M1792" s="46"/>
      <c r="N1792" s="46"/>
      <c r="O1792" s="46"/>
      <c r="P1792" s="46"/>
      <c r="Q1792" s="46"/>
      <c r="R1792" s="46"/>
      <c r="S1792" s="46"/>
      <c r="T1792" s="46"/>
      <c r="U1792" s="46"/>
      <c r="V1792" s="46"/>
      <c r="W1792" s="46"/>
      <c r="X1792" s="46"/>
    </row>
    <row r="1793" spans="1:24" x14ac:dyDescent="0.2">
      <c r="A1793" s="45"/>
      <c r="B1793" s="46"/>
      <c r="C1793" s="46"/>
      <c r="D1793" s="46"/>
      <c r="E1793" s="46"/>
      <c r="F1793" s="46"/>
      <c r="G1793" s="46"/>
      <c r="H1793" s="46"/>
      <c r="I1793" s="46"/>
      <c r="J1793" s="46"/>
      <c r="K1793" s="46"/>
      <c r="L1793" s="46"/>
      <c r="M1793" s="46"/>
      <c r="N1793" s="46"/>
      <c r="O1793" s="46"/>
      <c r="P1793" s="46"/>
      <c r="Q1793" s="46"/>
      <c r="R1793" s="46"/>
      <c r="S1793" s="46"/>
      <c r="T1793" s="46"/>
      <c r="U1793" s="46"/>
      <c r="V1793" s="46"/>
      <c r="W1793" s="46"/>
      <c r="X1793" s="46"/>
    </row>
    <row r="1794" spans="1:24" x14ac:dyDescent="0.2">
      <c r="A1794" s="45"/>
      <c r="B1794" s="46"/>
      <c r="C1794" s="46"/>
      <c r="D1794" s="46"/>
      <c r="E1794" s="46"/>
      <c r="F1794" s="46"/>
      <c r="G1794" s="46"/>
      <c r="H1794" s="46"/>
      <c r="I1794" s="46"/>
      <c r="J1794" s="46"/>
      <c r="K1794" s="46"/>
      <c r="L1794" s="46"/>
      <c r="M1794" s="46"/>
      <c r="N1794" s="46"/>
      <c r="O1794" s="46"/>
      <c r="P1794" s="46"/>
      <c r="Q1794" s="46"/>
      <c r="R1794" s="46"/>
      <c r="S1794" s="46"/>
      <c r="T1794" s="46"/>
      <c r="U1794" s="46"/>
      <c r="V1794" s="46"/>
      <c r="W1794" s="46"/>
      <c r="X1794" s="46"/>
    </row>
    <row r="1795" spans="1:24" x14ac:dyDescent="0.2">
      <c r="A1795" s="45"/>
      <c r="B1795" s="46"/>
      <c r="C1795" s="46"/>
      <c r="D1795" s="46"/>
      <c r="E1795" s="46"/>
      <c r="F1795" s="46"/>
      <c r="G1795" s="46"/>
      <c r="H1795" s="46"/>
      <c r="I1795" s="46"/>
      <c r="J1795" s="46"/>
      <c r="K1795" s="46"/>
      <c r="L1795" s="46"/>
      <c r="M1795" s="46"/>
      <c r="N1795" s="46"/>
      <c r="O1795" s="46"/>
      <c r="P1795" s="46"/>
      <c r="Q1795" s="46"/>
      <c r="R1795" s="46"/>
      <c r="S1795" s="46"/>
      <c r="T1795" s="46"/>
      <c r="U1795" s="46"/>
      <c r="V1795" s="46"/>
      <c r="W1795" s="46"/>
      <c r="X1795" s="46"/>
    </row>
    <row r="1796" spans="1:24" x14ac:dyDescent="0.2">
      <c r="A1796" s="45"/>
      <c r="B1796" s="46"/>
      <c r="C1796" s="46"/>
      <c r="D1796" s="46"/>
      <c r="E1796" s="46"/>
      <c r="F1796" s="46"/>
      <c r="G1796" s="46"/>
      <c r="H1796" s="46"/>
      <c r="I1796" s="46"/>
      <c r="J1796" s="46"/>
      <c r="K1796" s="46"/>
      <c r="L1796" s="46"/>
      <c r="M1796" s="46"/>
      <c r="N1796" s="46"/>
      <c r="O1796" s="46"/>
      <c r="P1796" s="46"/>
      <c r="Q1796" s="46"/>
      <c r="R1796" s="46"/>
      <c r="S1796" s="46"/>
      <c r="T1796" s="46"/>
      <c r="U1796" s="46"/>
      <c r="V1796" s="46"/>
      <c r="W1796" s="46"/>
      <c r="X1796" s="46"/>
    </row>
    <row r="1797" spans="1:24" x14ac:dyDescent="0.2">
      <c r="A1797" s="45"/>
      <c r="B1797" s="46"/>
      <c r="C1797" s="46"/>
      <c r="D1797" s="46"/>
      <c r="E1797" s="46"/>
      <c r="F1797" s="46"/>
      <c r="G1797" s="46"/>
      <c r="H1797" s="46"/>
      <c r="I1797" s="46"/>
      <c r="J1797" s="46"/>
      <c r="K1797" s="46"/>
      <c r="L1797" s="46"/>
      <c r="M1797" s="46"/>
      <c r="N1797" s="46"/>
      <c r="O1797" s="46"/>
      <c r="P1797" s="46"/>
      <c r="Q1797" s="46"/>
      <c r="R1797" s="46"/>
      <c r="S1797" s="46"/>
      <c r="T1797" s="46"/>
      <c r="U1797" s="46"/>
      <c r="V1797" s="46"/>
      <c r="W1797" s="46"/>
      <c r="X1797" s="46"/>
    </row>
    <row r="1798" spans="1:24" x14ac:dyDescent="0.2">
      <c r="A1798" s="45"/>
      <c r="B1798" s="46"/>
      <c r="C1798" s="46"/>
      <c r="D1798" s="46"/>
      <c r="E1798" s="46"/>
      <c r="F1798" s="46"/>
      <c r="G1798" s="46"/>
      <c r="H1798" s="46"/>
      <c r="I1798" s="46"/>
      <c r="J1798" s="46"/>
      <c r="K1798" s="46"/>
      <c r="L1798" s="46"/>
      <c r="M1798" s="46"/>
      <c r="N1798" s="46"/>
      <c r="O1798" s="46"/>
      <c r="P1798" s="46"/>
      <c r="Q1798" s="46"/>
      <c r="R1798" s="46"/>
      <c r="S1798" s="46"/>
      <c r="T1798" s="46"/>
      <c r="U1798" s="46"/>
      <c r="V1798" s="46"/>
      <c r="W1798" s="46"/>
      <c r="X1798" s="46"/>
    </row>
    <row r="1799" spans="1:24" x14ac:dyDescent="0.2">
      <c r="A1799" s="45"/>
      <c r="B1799" s="46"/>
      <c r="C1799" s="46"/>
      <c r="D1799" s="46"/>
      <c r="E1799" s="46"/>
      <c r="F1799" s="46"/>
      <c r="G1799" s="46"/>
      <c r="H1799" s="46"/>
      <c r="I1799" s="46"/>
      <c r="J1799" s="46"/>
      <c r="K1799" s="46"/>
      <c r="L1799" s="46"/>
      <c r="M1799" s="46"/>
      <c r="N1799" s="46"/>
      <c r="O1799" s="46"/>
      <c r="P1799" s="46"/>
      <c r="Q1799" s="46"/>
      <c r="R1799" s="46"/>
      <c r="S1799" s="46"/>
      <c r="T1799" s="46"/>
      <c r="U1799" s="46"/>
      <c r="V1799" s="46"/>
      <c r="W1799" s="46"/>
      <c r="X1799" s="46"/>
    </row>
    <row r="1800" spans="1:24" x14ac:dyDescent="0.2">
      <c r="A1800" s="45"/>
      <c r="B1800" s="46"/>
      <c r="C1800" s="46"/>
      <c r="D1800" s="46"/>
      <c r="E1800" s="46"/>
      <c r="F1800" s="46"/>
      <c r="G1800" s="46"/>
      <c r="H1800" s="46"/>
      <c r="I1800" s="46"/>
      <c r="J1800" s="46"/>
      <c r="K1800" s="46"/>
      <c r="L1800" s="46"/>
      <c r="M1800" s="46"/>
      <c r="N1800" s="46"/>
      <c r="O1800" s="46"/>
      <c r="P1800" s="46"/>
      <c r="Q1800" s="46"/>
      <c r="R1800" s="46"/>
      <c r="S1800" s="46"/>
      <c r="T1800" s="46"/>
      <c r="U1800" s="46"/>
      <c r="V1800" s="46"/>
      <c r="W1800" s="46"/>
      <c r="X1800" s="46"/>
    </row>
    <row r="1801" spans="1:24" x14ac:dyDescent="0.2">
      <c r="A1801" s="45"/>
      <c r="B1801" s="46"/>
      <c r="C1801" s="46"/>
      <c r="D1801" s="46"/>
      <c r="E1801" s="46"/>
      <c r="F1801" s="46"/>
      <c r="G1801" s="46"/>
      <c r="H1801" s="46"/>
      <c r="I1801" s="46"/>
      <c r="J1801" s="46"/>
      <c r="K1801" s="46"/>
      <c r="L1801" s="46"/>
      <c r="M1801" s="46"/>
      <c r="N1801" s="46"/>
      <c r="O1801" s="46"/>
      <c r="P1801" s="46"/>
      <c r="Q1801" s="46"/>
      <c r="R1801" s="46"/>
      <c r="S1801" s="46"/>
      <c r="T1801" s="46"/>
      <c r="U1801" s="46"/>
      <c r="V1801" s="46"/>
      <c r="W1801" s="46"/>
      <c r="X1801" s="46"/>
    </row>
    <row r="1802" spans="1:24" x14ac:dyDescent="0.2">
      <c r="A1802" s="45"/>
      <c r="B1802" s="46"/>
      <c r="C1802" s="46"/>
      <c r="D1802" s="46"/>
      <c r="E1802" s="46"/>
      <c r="F1802" s="46"/>
      <c r="G1802" s="46"/>
      <c r="H1802" s="46"/>
      <c r="I1802" s="46"/>
      <c r="J1802" s="46"/>
      <c r="K1802" s="46"/>
      <c r="L1802" s="46"/>
      <c r="M1802" s="46"/>
      <c r="N1802" s="46"/>
      <c r="O1802" s="46"/>
      <c r="P1802" s="46"/>
      <c r="Q1802" s="46"/>
      <c r="R1802" s="46"/>
      <c r="S1802" s="46"/>
      <c r="T1802" s="46"/>
      <c r="U1802" s="46"/>
      <c r="V1802" s="46"/>
      <c r="W1802" s="46"/>
      <c r="X1802" s="46"/>
    </row>
    <row r="1803" spans="1:24" x14ac:dyDescent="0.2">
      <c r="A1803" s="45"/>
      <c r="B1803" s="46"/>
      <c r="C1803" s="46"/>
      <c r="D1803" s="46"/>
      <c r="E1803" s="46"/>
      <c r="F1803" s="46"/>
      <c r="G1803" s="46"/>
      <c r="H1803" s="46"/>
      <c r="I1803" s="46"/>
      <c r="J1803" s="46"/>
      <c r="K1803" s="46"/>
      <c r="L1803" s="46"/>
      <c r="M1803" s="46"/>
      <c r="N1803" s="46"/>
      <c r="O1803" s="46"/>
      <c r="P1803" s="46"/>
      <c r="Q1803" s="46"/>
      <c r="R1803" s="46"/>
      <c r="S1803" s="46"/>
      <c r="T1803" s="46"/>
      <c r="U1803" s="46"/>
      <c r="V1803" s="46"/>
      <c r="W1803" s="46"/>
      <c r="X1803" s="46"/>
    </row>
    <row r="1804" spans="1:24" x14ac:dyDescent="0.2">
      <c r="A1804" s="45"/>
      <c r="B1804" s="46"/>
      <c r="C1804" s="46"/>
      <c r="D1804" s="46"/>
      <c r="E1804" s="46"/>
      <c r="F1804" s="46"/>
      <c r="G1804" s="46"/>
      <c r="H1804" s="46"/>
      <c r="I1804" s="46"/>
      <c r="J1804" s="46"/>
      <c r="K1804" s="46"/>
      <c r="L1804" s="46"/>
      <c r="M1804" s="46"/>
      <c r="N1804" s="46"/>
      <c r="O1804" s="46"/>
      <c r="P1804" s="46"/>
      <c r="Q1804" s="46"/>
      <c r="R1804" s="46"/>
      <c r="S1804" s="46"/>
      <c r="T1804" s="46"/>
      <c r="U1804" s="46"/>
      <c r="V1804" s="46"/>
      <c r="W1804" s="46"/>
      <c r="X1804" s="46"/>
    </row>
    <row r="1805" spans="1:24" x14ac:dyDescent="0.2">
      <c r="A1805" s="45"/>
      <c r="B1805" s="46"/>
      <c r="C1805" s="46"/>
      <c r="D1805" s="46"/>
      <c r="E1805" s="46"/>
      <c r="F1805" s="46"/>
      <c r="G1805" s="46"/>
      <c r="H1805" s="46"/>
      <c r="I1805" s="46"/>
      <c r="J1805" s="46"/>
      <c r="K1805" s="46"/>
      <c r="L1805" s="46"/>
      <c r="M1805" s="46"/>
      <c r="N1805" s="46"/>
      <c r="O1805" s="46"/>
      <c r="P1805" s="46"/>
      <c r="Q1805" s="46"/>
      <c r="R1805" s="46"/>
      <c r="S1805" s="46"/>
      <c r="T1805" s="46"/>
      <c r="U1805" s="46"/>
      <c r="V1805" s="46"/>
      <c r="W1805" s="46"/>
      <c r="X1805" s="46"/>
    </row>
    <row r="1806" spans="1:24" x14ac:dyDescent="0.2">
      <c r="A1806" s="45"/>
      <c r="B1806" s="46"/>
      <c r="C1806" s="46"/>
      <c r="D1806" s="46"/>
      <c r="E1806" s="46"/>
      <c r="F1806" s="46"/>
      <c r="G1806" s="46"/>
      <c r="H1806" s="46"/>
      <c r="I1806" s="46"/>
      <c r="J1806" s="46"/>
      <c r="K1806" s="46"/>
      <c r="L1806" s="46"/>
      <c r="M1806" s="46"/>
      <c r="N1806" s="46"/>
      <c r="O1806" s="46"/>
      <c r="P1806" s="46"/>
      <c r="Q1806" s="46"/>
      <c r="R1806" s="46"/>
      <c r="S1806" s="46"/>
      <c r="T1806" s="46"/>
      <c r="U1806" s="46"/>
      <c r="V1806" s="46"/>
      <c r="W1806" s="46"/>
      <c r="X1806" s="46"/>
    </row>
    <row r="1807" spans="1:24" x14ac:dyDescent="0.2">
      <c r="A1807" s="45"/>
      <c r="B1807" s="46"/>
      <c r="C1807" s="46"/>
      <c r="D1807" s="46"/>
      <c r="E1807" s="46"/>
      <c r="F1807" s="46"/>
      <c r="G1807" s="46"/>
      <c r="H1807" s="46"/>
      <c r="I1807" s="46"/>
      <c r="J1807" s="46"/>
      <c r="K1807" s="46"/>
      <c r="L1807" s="46"/>
      <c r="M1807" s="46"/>
      <c r="N1807" s="46"/>
      <c r="O1807" s="46"/>
      <c r="P1807" s="46"/>
      <c r="Q1807" s="46"/>
      <c r="R1807" s="46"/>
      <c r="S1807" s="46"/>
      <c r="T1807" s="46"/>
      <c r="U1807" s="46"/>
      <c r="V1807" s="46"/>
      <c r="W1807" s="46"/>
      <c r="X1807" s="46"/>
    </row>
    <row r="1808" spans="1:24" x14ac:dyDescent="0.2">
      <c r="A1808" s="45"/>
      <c r="B1808" s="46"/>
      <c r="C1808" s="46"/>
      <c r="D1808" s="46"/>
      <c r="E1808" s="46"/>
      <c r="F1808" s="46"/>
      <c r="G1808" s="46"/>
      <c r="H1808" s="46"/>
      <c r="I1808" s="46"/>
      <c r="J1808" s="46"/>
      <c r="K1808" s="46"/>
      <c r="L1808" s="46"/>
      <c r="M1808" s="46"/>
      <c r="N1808" s="46"/>
      <c r="O1808" s="46"/>
      <c r="P1808" s="46"/>
      <c r="Q1808" s="46"/>
      <c r="R1808" s="46"/>
      <c r="S1808" s="46"/>
      <c r="T1808" s="46"/>
      <c r="U1808" s="46"/>
      <c r="V1808" s="46"/>
      <c r="W1808" s="46"/>
      <c r="X1808" s="46"/>
    </row>
    <row r="1809" spans="1:24" x14ac:dyDescent="0.2">
      <c r="A1809" s="45"/>
      <c r="B1809" s="46"/>
      <c r="C1809" s="46"/>
      <c r="D1809" s="46"/>
      <c r="E1809" s="46"/>
      <c r="F1809" s="46"/>
      <c r="G1809" s="46"/>
      <c r="H1809" s="46"/>
      <c r="I1809" s="46"/>
      <c r="J1809" s="46"/>
      <c r="K1809" s="46"/>
      <c r="L1809" s="46"/>
      <c r="M1809" s="46"/>
      <c r="N1809" s="46"/>
      <c r="O1809" s="46"/>
      <c r="P1809" s="46"/>
      <c r="Q1809" s="46"/>
      <c r="R1809" s="46"/>
      <c r="S1809" s="46"/>
      <c r="T1809" s="46"/>
      <c r="U1809" s="46"/>
      <c r="V1809" s="46"/>
      <c r="W1809" s="46"/>
      <c r="X1809" s="46"/>
    </row>
    <row r="1810" spans="1:24" x14ac:dyDescent="0.2">
      <c r="A1810" s="45"/>
      <c r="B1810" s="46"/>
      <c r="C1810" s="46"/>
      <c r="D1810" s="46"/>
      <c r="E1810" s="46"/>
      <c r="F1810" s="46"/>
      <c r="G1810" s="46"/>
      <c r="H1810" s="46"/>
      <c r="I1810" s="46"/>
      <c r="J1810" s="46"/>
      <c r="K1810" s="46"/>
      <c r="L1810" s="46"/>
      <c r="M1810" s="46"/>
      <c r="N1810" s="46"/>
      <c r="O1810" s="46"/>
      <c r="P1810" s="46"/>
      <c r="Q1810" s="46"/>
      <c r="R1810" s="46"/>
      <c r="S1810" s="46"/>
      <c r="T1810" s="46"/>
      <c r="U1810" s="46"/>
      <c r="V1810" s="46"/>
      <c r="W1810" s="46"/>
      <c r="X1810" s="46"/>
    </row>
    <row r="1811" spans="1:24" x14ac:dyDescent="0.2">
      <c r="A1811" s="45"/>
      <c r="B1811" s="46"/>
      <c r="C1811" s="46"/>
      <c r="D1811" s="46"/>
      <c r="E1811" s="46"/>
      <c r="F1811" s="46"/>
      <c r="G1811" s="46"/>
      <c r="H1811" s="46"/>
      <c r="I1811" s="46"/>
      <c r="J1811" s="46"/>
      <c r="K1811" s="46"/>
      <c r="L1811" s="46"/>
      <c r="M1811" s="46"/>
      <c r="N1811" s="46"/>
      <c r="O1811" s="46"/>
      <c r="P1811" s="46"/>
      <c r="Q1811" s="46"/>
      <c r="R1811" s="46"/>
      <c r="S1811" s="46"/>
      <c r="T1811" s="46"/>
      <c r="U1811" s="46"/>
      <c r="V1811" s="46"/>
      <c r="W1811" s="46"/>
      <c r="X1811" s="46"/>
    </row>
    <row r="1812" spans="1:24" x14ac:dyDescent="0.2">
      <c r="A1812" s="45"/>
      <c r="B1812" s="46"/>
      <c r="C1812" s="46"/>
      <c r="D1812" s="46"/>
      <c r="E1812" s="46"/>
      <c r="F1812" s="46"/>
      <c r="G1812" s="46"/>
      <c r="H1812" s="46"/>
      <c r="I1812" s="46"/>
      <c r="J1812" s="46"/>
      <c r="K1812" s="46"/>
      <c r="L1812" s="46"/>
      <c r="M1812" s="46"/>
      <c r="N1812" s="46"/>
      <c r="O1812" s="46"/>
      <c r="P1812" s="46"/>
      <c r="Q1812" s="46"/>
      <c r="R1812" s="46"/>
      <c r="S1812" s="46"/>
      <c r="T1812" s="46"/>
      <c r="U1812" s="46"/>
      <c r="V1812" s="46"/>
      <c r="W1812" s="46"/>
      <c r="X1812" s="46"/>
    </row>
    <row r="1813" spans="1:24" x14ac:dyDescent="0.2">
      <c r="A1813" s="45"/>
      <c r="B1813" s="46"/>
      <c r="C1813" s="46"/>
      <c r="D1813" s="46"/>
      <c r="E1813" s="46"/>
      <c r="F1813" s="46"/>
      <c r="G1813" s="46"/>
      <c r="H1813" s="46"/>
      <c r="I1813" s="46"/>
      <c r="J1813" s="46"/>
      <c r="K1813" s="46"/>
      <c r="L1813" s="46"/>
      <c r="M1813" s="46"/>
      <c r="N1813" s="46"/>
      <c r="O1813" s="46"/>
      <c r="P1813" s="46"/>
      <c r="Q1813" s="46"/>
      <c r="R1813" s="46"/>
      <c r="S1813" s="46"/>
      <c r="T1813" s="46"/>
      <c r="U1813" s="46"/>
      <c r="V1813" s="46"/>
      <c r="W1813" s="46"/>
      <c r="X1813" s="46"/>
    </row>
    <row r="1814" spans="1:24" x14ac:dyDescent="0.2">
      <c r="A1814" s="45"/>
      <c r="B1814" s="46"/>
      <c r="C1814" s="46"/>
      <c r="D1814" s="46"/>
      <c r="E1814" s="46"/>
      <c r="F1814" s="46"/>
      <c r="G1814" s="46"/>
      <c r="H1814" s="46"/>
      <c r="I1814" s="46"/>
      <c r="J1814" s="46"/>
      <c r="K1814" s="46"/>
      <c r="L1814" s="46"/>
      <c r="M1814" s="46"/>
      <c r="N1814" s="46"/>
      <c r="O1814" s="46"/>
      <c r="P1814" s="46"/>
      <c r="Q1814" s="46"/>
      <c r="R1814" s="46"/>
      <c r="S1814" s="46"/>
      <c r="T1814" s="46"/>
      <c r="U1814" s="46"/>
      <c r="V1814" s="46"/>
      <c r="W1814" s="46"/>
      <c r="X1814" s="46"/>
    </row>
    <row r="1815" spans="1:24" x14ac:dyDescent="0.2">
      <c r="A1815" s="45"/>
      <c r="B1815" s="46"/>
      <c r="C1815" s="46"/>
      <c r="D1815" s="46"/>
      <c r="E1815" s="46"/>
      <c r="F1815" s="46"/>
      <c r="G1815" s="46"/>
      <c r="H1815" s="46"/>
      <c r="I1815" s="46"/>
      <c r="J1815" s="46"/>
      <c r="K1815" s="46"/>
      <c r="L1815" s="46"/>
      <c r="M1815" s="46"/>
      <c r="N1815" s="46"/>
      <c r="O1815" s="46"/>
      <c r="P1815" s="46"/>
      <c r="Q1815" s="46"/>
      <c r="R1815" s="46"/>
      <c r="S1815" s="46"/>
      <c r="T1815" s="46"/>
      <c r="U1815" s="46"/>
      <c r="V1815" s="46"/>
      <c r="W1815" s="46"/>
      <c r="X1815" s="46"/>
    </row>
    <row r="1816" spans="1:24" x14ac:dyDescent="0.2">
      <c r="A1816" s="45"/>
      <c r="B1816" s="46"/>
      <c r="C1816" s="46"/>
      <c r="D1816" s="46"/>
      <c r="E1816" s="46"/>
      <c r="F1816" s="46"/>
      <c r="G1816" s="46"/>
      <c r="H1816" s="46"/>
      <c r="I1816" s="46"/>
      <c r="J1816" s="46"/>
      <c r="K1816" s="46"/>
      <c r="L1816" s="46"/>
      <c r="M1816" s="46"/>
      <c r="N1816" s="46"/>
      <c r="O1816" s="46"/>
      <c r="P1816" s="46"/>
      <c r="Q1816" s="46"/>
      <c r="R1816" s="46"/>
      <c r="S1816" s="46"/>
      <c r="T1816" s="46"/>
      <c r="U1816" s="46"/>
      <c r="V1816" s="46"/>
      <c r="W1816" s="46"/>
      <c r="X1816" s="46"/>
    </row>
    <row r="1817" spans="1:24" x14ac:dyDescent="0.2">
      <c r="A1817" s="45"/>
      <c r="B1817" s="46"/>
      <c r="C1817" s="46"/>
      <c r="D1817" s="46"/>
      <c r="E1817" s="46"/>
      <c r="F1817" s="46"/>
      <c r="G1817" s="46"/>
      <c r="H1817" s="46"/>
      <c r="I1817" s="46"/>
      <c r="J1817" s="46"/>
      <c r="K1817" s="46"/>
      <c r="L1817" s="46"/>
      <c r="M1817" s="46"/>
      <c r="N1817" s="46"/>
      <c r="O1817" s="46"/>
      <c r="P1817" s="46"/>
      <c r="Q1817" s="46"/>
      <c r="R1817" s="46"/>
      <c r="S1817" s="46"/>
      <c r="T1817" s="46"/>
      <c r="U1817" s="46"/>
      <c r="V1817" s="46"/>
      <c r="W1817" s="46"/>
      <c r="X1817" s="46"/>
    </row>
    <row r="1818" spans="1:24" x14ac:dyDescent="0.2">
      <c r="A1818" s="45"/>
      <c r="B1818" s="46"/>
      <c r="C1818" s="46"/>
      <c r="D1818" s="46"/>
      <c r="E1818" s="46"/>
      <c r="F1818" s="46"/>
      <c r="G1818" s="46"/>
      <c r="H1818" s="46"/>
      <c r="I1818" s="46"/>
      <c r="J1818" s="46"/>
      <c r="K1818" s="46"/>
      <c r="L1818" s="46"/>
      <c r="M1818" s="46"/>
      <c r="N1818" s="46"/>
      <c r="O1818" s="46"/>
      <c r="P1818" s="46"/>
      <c r="Q1818" s="46"/>
      <c r="R1818" s="46"/>
      <c r="S1818" s="46"/>
      <c r="T1818" s="46"/>
      <c r="U1818" s="46"/>
      <c r="V1818" s="46"/>
      <c r="W1818" s="46"/>
      <c r="X1818" s="46"/>
    </row>
    <row r="1819" spans="1:24" x14ac:dyDescent="0.2">
      <c r="A1819" s="45"/>
      <c r="B1819" s="46"/>
      <c r="C1819" s="46"/>
      <c r="D1819" s="46"/>
      <c r="E1819" s="46"/>
      <c r="F1819" s="46"/>
      <c r="G1819" s="46"/>
      <c r="H1819" s="46"/>
      <c r="I1819" s="46"/>
      <c r="J1819" s="46"/>
      <c r="K1819" s="46"/>
      <c r="L1819" s="46"/>
      <c r="M1819" s="46"/>
      <c r="N1819" s="46"/>
      <c r="O1819" s="46"/>
      <c r="P1819" s="46"/>
      <c r="Q1819" s="46"/>
      <c r="R1819" s="46"/>
      <c r="S1819" s="46"/>
      <c r="T1819" s="46"/>
      <c r="U1819" s="46"/>
      <c r="V1819" s="46"/>
      <c r="W1819" s="46"/>
      <c r="X1819" s="46"/>
    </row>
    <row r="1820" spans="1:24" x14ac:dyDescent="0.2">
      <c r="A1820" s="45"/>
      <c r="B1820" s="46"/>
      <c r="C1820" s="46"/>
      <c r="D1820" s="46"/>
      <c r="E1820" s="46"/>
      <c r="F1820" s="46"/>
      <c r="G1820" s="46"/>
      <c r="H1820" s="46"/>
      <c r="I1820" s="46"/>
      <c r="J1820" s="46"/>
      <c r="K1820" s="46"/>
      <c r="L1820" s="46"/>
      <c r="M1820" s="46"/>
      <c r="N1820" s="46"/>
      <c r="O1820" s="46"/>
      <c r="P1820" s="46"/>
      <c r="Q1820" s="46"/>
      <c r="R1820" s="46"/>
      <c r="S1820" s="46"/>
      <c r="T1820" s="46"/>
      <c r="U1820" s="46"/>
      <c r="V1820" s="46"/>
      <c r="W1820" s="46"/>
      <c r="X1820" s="46"/>
    </row>
    <row r="1821" spans="1:24" x14ac:dyDescent="0.2">
      <c r="A1821" s="45"/>
      <c r="B1821" s="46"/>
      <c r="C1821" s="46"/>
      <c r="D1821" s="46"/>
      <c r="E1821" s="46"/>
      <c r="F1821" s="46"/>
      <c r="G1821" s="46"/>
      <c r="H1821" s="46"/>
      <c r="I1821" s="46"/>
      <c r="J1821" s="46"/>
      <c r="K1821" s="46"/>
      <c r="L1821" s="46"/>
      <c r="M1821" s="46"/>
      <c r="N1821" s="46"/>
      <c r="O1821" s="46"/>
      <c r="P1821" s="46"/>
      <c r="Q1821" s="46"/>
      <c r="R1821" s="46"/>
      <c r="S1821" s="46"/>
      <c r="T1821" s="46"/>
      <c r="U1821" s="46"/>
      <c r="V1821" s="46"/>
      <c r="W1821" s="46"/>
      <c r="X1821" s="46"/>
    </row>
    <row r="1822" spans="1:24" x14ac:dyDescent="0.2">
      <c r="A1822" s="45"/>
      <c r="B1822" s="46"/>
      <c r="C1822" s="46"/>
      <c r="D1822" s="46"/>
      <c r="E1822" s="46"/>
      <c r="F1822" s="46"/>
      <c r="G1822" s="46"/>
      <c r="H1822" s="46"/>
      <c r="I1822" s="46"/>
      <c r="J1822" s="46"/>
      <c r="K1822" s="46"/>
      <c r="L1822" s="46"/>
      <c r="M1822" s="46"/>
      <c r="N1822" s="46"/>
      <c r="O1822" s="46"/>
      <c r="P1822" s="46"/>
      <c r="Q1822" s="46"/>
      <c r="R1822" s="46"/>
      <c r="S1822" s="46"/>
      <c r="T1822" s="46"/>
      <c r="U1822" s="46"/>
      <c r="V1822" s="46"/>
      <c r="W1822" s="46"/>
      <c r="X1822" s="46"/>
    </row>
    <row r="1823" spans="1:24" x14ac:dyDescent="0.2">
      <c r="A1823" s="45"/>
      <c r="B1823" s="46"/>
      <c r="C1823" s="46"/>
      <c r="D1823" s="46"/>
      <c r="E1823" s="46"/>
      <c r="F1823" s="46"/>
      <c r="G1823" s="46"/>
      <c r="H1823" s="46"/>
      <c r="I1823" s="46"/>
      <c r="J1823" s="46"/>
      <c r="K1823" s="46"/>
      <c r="L1823" s="46"/>
      <c r="M1823" s="46"/>
      <c r="N1823" s="46"/>
      <c r="O1823" s="46"/>
      <c r="P1823" s="46"/>
      <c r="Q1823" s="46"/>
      <c r="R1823" s="46"/>
      <c r="S1823" s="46"/>
      <c r="T1823" s="46"/>
      <c r="U1823" s="46"/>
      <c r="V1823" s="46"/>
      <c r="W1823" s="46"/>
      <c r="X1823" s="46"/>
    </row>
    <row r="1824" spans="1:24" x14ac:dyDescent="0.2">
      <c r="A1824" s="45"/>
      <c r="B1824" s="46"/>
      <c r="C1824" s="46"/>
      <c r="D1824" s="46"/>
      <c r="E1824" s="46"/>
      <c r="F1824" s="46"/>
      <c r="G1824" s="46"/>
      <c r="H1824" s="46"/>
      <c r="I1824" s="46"/>
      <c r="J1824" s="46"/>
      <c r="K1824" s="46"/>
      <c r="L1824" s="46"/>
      <c r="M1824" s="46"/>
      <c r="N1824" s="46"/>
      <c r="O1824" s="46"/>
      <c r="P1824" s="46"/>
      <c r="Q1824" s="46"/>
      <c r="R1824" s="46"/>
      <c r="S1824" s="46"/>
      <c r="T1824" s="46"/>
      <c r="U1824" s="46"/>
      <c r="V1824" s="46"/>
      <c r="W1824" s="46"/>
      <c r="X1824" s="46"/>
    </row>
    <row r="1825" spans="1:24" x14ac:dyDescent="0.2">
      <c r="A1825" s="45"/>
      <c r="B1825" s="46"/>
      <c r="C1825" s="46"/>
      <c r="D1825" s="46"/>
      <c r="E1825" s="46"/>
      <c r="F1825" s="46"/>
      <c r="G1825" s="46"/>
      <c r="H1825" s="46"/>
      <c r="I1825" s="46"/>
      <c r="J1825" s="46"/>
      <c r="K1825" s="46"/>
      <c r="L1825" s="46"/>
      <c r="M1825" s="46"/>
      <c r="N1825" s="46"/>
      <c r="O1825" s="46"/>
      <c r="P1825" s="46"/>
      <c r="Q1825" s="46"/>
      <c r="R1825" s="46"/>
      <c r="S1825" s="46"/>
      <c r="T1825" s="46"/>
      <c r="U1825" s="46"/>
      <c r="V1825" s="46"/>
      <c r="W1825" s="46"/>
      <c r="X1825" s="46"/>
    </row>
    <row r="1826" spans="1:24" x14ac:dyDescent="0.2">
      <c r="A1826" s="45"/>
      <c r="B1826" s="46"/>
      <c r="C1826" s="46"/>
      <c r="D1826" s="46"/>
      <c r="E1826" s="46"/>
      <c r="F1826" s="46"/>
      <c r="G1826" s="46"/>
      <c r="H1826" s="46"/>
      <c r="I1826" s="46"/>
      <c r="J1826" s="46"/>
      <c r="K1826" s="46"/>
      <c r="L1826" s="46"/>
      <c r="M1826" s="46"/>
      <c r="N1826" s="46"/>
      <c r="O1826" s="46"/>
      <c r="P1826" s="46"/>
      <c r="Q1826" s="46"/>
      <c r="R1826" s="46"/>
      <c r="S1826" s="46"/>
      <c r="T1826" s="46"/>
      <c r="U1826" s="46"/>
      <c r="V1826" s="46"/>
      <c r="W1826" s="46"/>
      <c r="X1826" s="46"/>
    </row>
    <row r="1827" spans="1:24" x14ac:dyDescent="0.2">
      <c r="A1827" s="45"/>
      <c r="B1827" s="46"/>
      <c r="C1827" s="46"/>
      <c r="D1827" s="46"/>
      <c r="E1827" s="46"/>
      <c r="F1827" s="46"/>
      <c r="G1827" s="46"/>
      <c r="H1827" s="46"/>
      <c r="I1827" s="46"/>
      <c r="J1827" s="46"/>
      <c r="K1827" s="46"/>
      <c r="L1827" s="46"/>
      <c r="M1827" s="46"/>
      <c r="N1827" s="46"/>
      <c r="O1827" s="46"/>
      <c r="P1827" s="46"/>
      <c r="Q1827" s="46"/>
      <c r="R1827" s="46"/>
      <c r="S1827" s="46"/>
      <c r="T1827" s="46"/>
      <c r="U1827" s="46"/>
      <c r="V1827" s="46"/>
      <c r="W1827" s="46"/>
      <c r="X1827" s="46"/>
    </row>
    <row r="1828" spans="1:24" x14ac:dyDescent="0.2">
      <c r="A1828" s="45"/>
      <c r="B1828" s="46"/>
      <c r="C1828" s="46"/>
      <c r="D1828" s="46"/>
      <c r="E1828" s="46"/>
      <c r="F1828" s="46"/>
      <c r="G1828" s="46"/>
      <c r="H1828" s="46"/>
      <c r="I1828" s="46"/>
      <c r="J1828" s="46"/>
      <c r="K1828" s="46"/>
      <c r="L1828" s="46"/>
      <c r="M1828" s="46"/>
      <c r="N1828" s="46"/>
      <c r="O1828" s="46"/>
      <c r="P1828" s="46"/>
      <c r="Q1828" s="46"/>
      <c r="R1828" s="46"/>
      <c r="S1828" s="46"/>
      <c r="T1828" s="46"/>
      <c r="U1828" s="46"/>
      <c r="V1828" s="46"/>
      <c r="W1828" s="46"/>
      <c r="X1828" s="46"/>
    </row>
    <row r="1829" spans="1:24" x14ac:dyDescent="0.2">
      <c r="A1829" s="45"/>
      <c r="B1829" s="46"/>
      <c r="C1829" s="46"/>
      <c r="D1829" s="46"/>
      <c r="E1829" s="46"/>
      <c r="F1829" s="46"/>
      <c r="G1829" s="46"/>
      <c r="H1829" s="46"/>
      <c r="I1829" s="46"/>
      <c r="J1829" s="46"/>
      <c r="K1829" s="46"/>
      <c r="L1829" s="46"/>
      <c r="M1829" s="46"/>
      <c r="N1829" s="46"/>
      <c r="O1829" s="46"/>
      <c r="P1829" s="46"/>
      <c r="Q1829" s="46"/>
      <c r="R1829" s="46"/>
      <c r="S1829" s="46"/>
      <c r="T1829" s="46"/>
      <c r="U1829" s="46"/>
      <c r="V1829" s="46"/>
      <c r="W1829" s="46"/>
      <c r="X1829" s="46"/>
    </row>
    <row r="1830" spans="1:24" x14ac:dyDescent="0.2">
      <c r="A1830" s="45"/>
      <c r="B1830" s="46"/>
      <c r="C1830" s="46"/>
      <c r="D1830" s="46"/>
      <c r="E1830" s="46"/>
      <c r="F1830" s="46"/>
      <c r="G1830" s="46"/>
      <c r="H1830" s="46"/>
      <c r="I1830" s="46"/>
      <c r="J1830" s="46"/>
      <c r="K1830" s="46"/>
      <c r="L1830" s="46"/>
      <c r="M1830" s="46"/>
      <c r="N1830" s="46"/>
      <c r="O1830" s="46"/>
      <c r="P1830" s="46"/>
      <c r="Q1830" s="46"/>
      <c r="R1830" s="46"/>
      <c r="S1830" s="46"/>
      <c r="T1830" s="46"/>
      <c r="U1830" s="46"/>
      <c r="V1830" s="46"/>
      <c r="W1830" s="46"/>
      <c r="X1830" s="46"/>
    </row>
    <row r="1831" spans="1:24" x14ac:dyDescent="0.2">
      <c r="A1831" s="45"/>
      <c r="B1831" s="46"/>
      <c r="C1831" s="46"/>
      <c r="D1831" s="46"/>
      <c r="E1831" s="46"/>
      <c r="F1831" s="46"/>
      <c r="G1831" s="46"/>
      <c r="H1831" s="46"/>
      <c r="I1831" s="46"/>
      <c r="J1831" s="46"/>
      <c r="K1831" s="46"/>
      <c r="L1831" s="46"/>
      <c r="M1831" s="46"/>
      <c r="N1831" s="46"/>
      <c r="O1831" s="46"/>
      <c r="P1831" s="46"/>
      <c r="Q1831" s="46"/>
      <c r="R1831" s="46"/>
      <c r="S1831" s="46"/>
      <c r="T1831" s="46"/>
      <c r="U1831" s="46"/>
      <c r="V1831" s="46"/>
      <c r="W1831" s="46"/>
      <c r="X1831" s="46"/>
    </row>
    <row r="1832" spans="1:24" x14ac:dyDescent="0.2">
      <c r="A1832" s="45"/>
      <c r="B1832" s="46"/>
      <c r="C1832" s="46"/>
      <c r="D1832" s="46"/>
      <c r="E1832" s="46"/>
      <c r="F1832" s="46"/>
      <c r="G1832" s="46"/>
      <c r="H1832" s="46"/>
      <c r="I1832" s="46"/>
      <c r="J1832" s="46"/>
      <c r="K1832" s="46"/>
      <c r="L1832" s="46"/>
      <c r="M1832" s="46"/>
      <c r="N1832" s="46"/>
      <c r="O1832" s="46"/>
      <c r="P1832" s="46"/>
      <c r="Q1832" s="46"/>
      <c r="R1832" s="46"/>
      <c r="S1832" s="46"/>
      <c r="T1832" s="46"/>
      <c r="U1832" s="46"/>
      <c r="V1832" s="46"/>
      <c r="W1832" s="46"/>
      <c r="X1832" s="46"/>
    </row>
    <row r="1833" spans="1:24" x14ac:dyDescent="0.2">
      <c r="A1833" s="45"/>
      <c r="B1833" s="46"/>
      <c r="C1833" s="46"/>
      <c r="D1833" s="46"/>
      <c r="E1833" s="46"/>
      <c r="F1833" s="46"/>
      <c r="G1833" s="46"/>
      <c r="H1833" s="46"/>
      <c r="I1833" s="46"/>
      <c r="J1833" s="46"/>
      <c r="K1833" s="46"/>
      <c r="L1833" s="46"/>
      <c r="M1833" s="46"/>
      <c r="N1833" s="46"/>
      <c r="O1833" s="46"/>
      <c r="P1833" s="46"/>
      <c r="Q1833" s="46"/>
      <c r="R1833" s="46"/>
      <c r="S1833" s="46"/>
      <c r="T1833" s="46"/>
      <c r="U1833" s="46"/>
      <c r="V1833" s="46"/>
      <c r="W1833" s="46"/>
      <c r="X1833" s="46"/>
    </row>
    <row r="1834" spans="1:24" x14ac:dyDescent="0.2">
      <c r="A1834" s="45"/>
      <c r="B1834" s="46"/>
      <c r="C1834" s="46"/>
      <c r="D1834" s="46"/>
      <c r="E1834" s="46"/>
      <c r="F1834" s="46"/>
      <c r="G1834" s="46"/>
      <c r="H1834" s="46"/>
      <c r="I1834" s="46"/>
      <c r="J1834" s="46"/>
      <c r="K1834" s="46"/>
      <c r="L1834" s="46"/>
      <c r="M1834" s="46"/>
      <c r="N1834" s="46"/>
      <c r="O1834" s="46"/>
      <c r="P1834" s="46"/>
      <c r="Q1834" s="46"/>
      <c r="R1834" s="46"/>
      <c r="S1834" s="46"/>
      <c r="T1834" s="46"/>
      <c r="U1834" s="46"/>
      <c r="V1834" s="46"/>
      <c r="W1834" s="46"/>
      <c r="X1834" s="46"/>
    </row>
    <row r="1835" spans="1:24" x14ac:dyDescent="0.2">
      <c r="A1835" s="45"/>
      <c r="B1835" s="46"/>
      <c r="C1835" s="46"/>
      <c r="D1835" s="46"/>
      <c r="E1835" s="46"/>
      <c r="F1835" s="46"/>
      <c r="G1835" s="46"/>
      <c r="H1835" s="46"/>
      <c r="I1835" s="46"/>
      <c r="J1835" s="46"/>
      <c r="K1835" s="46"/>
      <c r="L1835" s="46"/>
      <c r="M1835" s="46"/>
      <c r="N1835" s="46"/>
      <c r="O1835" s="46"/>
      <c r="P1835" s="46"/>
      <c r="Q1835" s="46"/>
      <c r="R1835" s="46"/>
      <c r="S1835" s="46"/>
      <c r="T1835" s="46"/>
      <c r="U1835" s="46"/>
      <c r="V1835" s="46"/>
      <c r="W1835" s="46"/>
      <c r="X1835" s="46"/>
    </row>
    <row r="1836" spans="1:24" x14ac:dyDescent="0.2">
      <c r="A1836" s="45"/>
      <c r="B1836" s="46"/>
      <c r="C1836" s="46"/>
      <c r="D1836" s="46"/>
      <c r="E1836" s="46"/>
      <c r="F1836" s="46"/>
      <c r="G1836" s="46"/>
      <c r="H1836" s="46"/>
      <c r="I1836" s="46"/>
      <c r="J1836" s="46"/>
      <c r="K1836" s="46"/>
      <c r="L1836" s="46"/>
      <c r="M1836" s="46"/>
      <c r="N1836" s="46"/>
      <c r="O1836" s="46"/>
      <c r="P1836" s="46"/>
      <c r="Q1836" s="46"/>
      <c r="R1836" s="46"/>
      <c r="S1836" s="46"/>
      <c r="T1836" s="46"/>
      <c r="U1836" s="46"/>
      <c r="V1836" s="46"/>
      <c r="W1836" s="46"/>
      <c r="X1836" s="46"/>
    </row>
    <row r="1837" spans="1:24" x14ac:dyDescent="0.2">
      <c r="A1837" s="45"/>
      <c r="B1837" s="46"/>
      <c r="C1837" s="46"/>
      <c r="D1837" s="46"/>
      <c r="E1837" s="46"/>
      <c r="F1837" s="46"/>
      <c r="G1837" s="46"/>
      <c r="H1837" s="46"/>
      <c r="I1837" s="46"/>
      <c r="J1837" s="46"/>
      <c r="K1837" s="46"/>
      <c r="L1837" s="46"/>
      <c r="M1837" s="46"/>
      <c r="N1837" s="46"/>
      <c r="O1837" s="46"/>
      <c r="P1837" s="46"/>
      <c r="Q1837" s="46"/>
      <c r="R1837" s="46"/>
      <c r="S1837" s="46"/>
      <c r="T1837" s="46"/>
      <c r="U1837" s="46"/>
      <c r="V1837" s="46"/>
      <c r="W1837" s="46"/>
      <c r="X1837" s="46"/>
    </row>
    <row r="1838" spans="1:24" x14ac:dyDescent="0.2">
      <c r="A1838" s="45"/>
      <c r="B1838" s="46"/>
      <c r="C1838" s="46"/>
      <c r="D1838" s="46"/>
      <c r="E1838" s="46"/>
      <c r="F1838" s="46"/>
      <c r="G1838" s="46"/>
      <c r="H1838" s="46"/>
      <c r="I1838" s="46"/>
      <c r="J1838" s="46"/>
      <c r="K1838" s="46"/>
      <c r="L1838" s="46"/>
      <c r="M1838" s="46"/>
      <c r="N1838" s="46"/>
      <c r="O1838" s="46"/>
      <c r="P1838" s="46"/>
      <c r="Q1838" s="46"/>
      <c r="R1838" s="46"/>
      <c r="S1838" s="46"/>
      <c r="T1838" s="46"/>
      <c r="U1838" s="46"/>
      <c r="V1838" s="46"/>
      <c r="W1838" s="46"/>
      <c r="X1838" s="46"/>
    </row>
    <row r="1839" spans="1:24" x14ac:dyDescent="0.2">
      <c r="A1839" s="45"/>
      <c r="B1839" s="46"/>
      <c r="C1839" s="46"/>
      <c r="D1839" s="46"/>
      <c r="E1839" s="46"/>
      <c r="F1839" s="46"/>
      <c r="G1839" s="46"/>
      <c r="H1839" s="46"/>
      <c r="I1839" s="46"/>
      <c r="J1839" s="46"/>
      <c r="K1839" s="46"/>
      <c r="L1839" s="46"/>
      <c r="M1839" s="46"/>
      <c r="N1839" s="46"/>
      <c r="O1839" s="46"/>
      <c r="P1839" s="46"/>
      <c r="Q1839" s="46"/>
      <c r="R1839" s="46"/>
      <c r="S1839" s="46"/>
      <c r="T1839" s="46"/>
      <c r="U1839" s="46"/>
      <c r="V1839" s="46"/>
      <c r="W1839" s="46"/>
      <c r="X1839" s="46"/>
    </row>
    <row r="1840" spans="1:24" x14ac:dyDescent="0.2">
      <c r="A1840" s="45"/>
      <c r="B1840" s="46"/>
      <c r="C1840" s="46"/>
      <c r="D1840" s="46"/>
      <c r="E1840" s="46"/>
      <c r="F1840" s="46"/>
      <c r="G1840" s="46"/>
      <c r="H1840" s="46"/>
      <c r="I1840" s="46"/>
      <c r="J1840" s="46"/>
      <c r="K1840" s="46"/>
      <c r="L1840" s="46"/>
      <c r="M1840" s="46"/>
      <c r="N1840" s="46"/>
      <c r="O1840" s="46"/>
      <c r="P1840" s="46"/>
      <c r="Q1840" s="46"/>
      <c r="R1840" s="46"/>
      <c r="S1840" s="46"/>
      <c r="T1840" s="46"/>
      <c r="U1840" s="46"/>
      <c r="V1840" s="46"/>
      <c r="W1840" s="46"/>
      <c r="X1840" s="46"/>
    </row>
    <row r="1841" spans="1:24" x14ac:dyDescent="0.2">
      <c r="A1841" s="45"/>
      <c r="B1841" s="46"/>
      <c r="C1841" s="46"/>
      <c r="D1841" s="46"/>
      <c r="E1841" s="46"/>
      <c r="F1841" s="46"/>
      <c r="G1841" s="46"/>
      <c r="H1841" s="46"/>
      <c r="I1841" s="46"/>
      <c r="J1841" s="46"/>
      <c r="K1841" s="46"/>
      <c r="L1841" s="46"/>
      <c r="M1841" s="46"/>
      <c r="N1841" s="46"/>
      <c r="O1841" s="46"/>
      <c r="P1841" s="46"/>
      <c r="Q1841" s="46"/>
      <c r="R1841" s="46"/>
      <c r="S1841" s="46"/>
      <c r="T1841" s="46"/>
      <c r="U1841" s="46"/>
      <c r="V1841" s="46"/>
      <c r="W1841" s="46"/>
      <c r="X1841" s="46"/>
    </row>
    <row r="1842" spans="1:24" x14ac:dyDescent="0.2">
      <c r="A1842" s="45"/>
      <c r="B1842" s="46"/>
      <c r="C1842" s="46"/>
      <c r="D1842" s="46"/>
      <c r="E1842" s="46"/>
      <c r="F1842" s="46"/>
      <c r="G1842" s="46"/>
      <c r="H1842" s="46"/>
      <c r="I1842" s="46"/>
      <c r="J1842" s="46"/>
      <c r="K1842" s="46"/>
      <c r="L1842" s="46"/>
      <c r="M1842" s="46"/>
      <c r="N1842" s="46"/>
      <c r="O1842" s="46"/>
      <c r="P1842" s="46"/>
      <c r="Q1842" s="46"/>
      <c r="R1842" s="46"/>
      <c r="S1842" s="46"/>
      <c r="T1842" s="46"/>
      <c r="U1842" s="46"/>
      <c r="V1842" s="46"/>
      <c r="W1842" s="46"/>
      <c r="X1842" s="46"/>
    </row>
    <row r="1843" spans="1:24" x14ac:dyDescent="0.2">
      <c r="A1843" s="45"/>
      <c r="B1843" s="46"/>
      <c r="C1843" s="46"/>
      <c r="D1843" s="46"/>
      <c r="E1843" s="46"/>
      <c r="F1843" s="46"/>
      <c r="G1843" s="46"/>
      <c r="H1843" s="46"/>
      <c r="I1843" s="46"/>
      <c r="J1843" s="46"/>
      <c r="K1843" s="46"/>
      <c r="L1843" s="46"/>
      <c r="M1843" s="46"/>
      <c r="N1843" s="46"/>
      <c r="O1843" s="46"/>
      <c r="P1843" s="46"/>
      <c r="Q1843" s="46"/>
      <c r="R1843" s="46"/>
      <c r="S1843" s="46"/>
      <c r="T1843" s="46"/>
      <c r="U1843" s="46"/>
      <c r="V1843" s="46"/>
      <c r="W1843" s="46"/>
      <c r="X1843" s="46"/>
    </row>
    <row r="1844" spans="1:24" x14ac:dyDescent="0.2">
      <c r="A1844" s="45"/>
      <c r="B1844" s="46"/>
      <c r="C1844" s="46"/>
      <c r="D1844" s="46"/>
      <c r="E1844" s="46"/>
      <c r="F1844" s="46"/>
      <c r="G1844" s="46"/>
      <c r="H1844" s="46"/>
      <c r="I1844" s="46"/>
      <c r="J1844" s="46"/>
      <c r="K1844" s="46"/>
      <c r="L1844" s="46"/>
      <c r="M1844" s="46"/>
      <c r="N1844" s="46"/>
      <c r="O1844" s="46"/>
      <c r="P1844" s="46"/>
      <c r="Q1844" s="46"/>
      <c r="R1844" s="46"/>
      <c r="S1844" s="46"/>
      <c r="T1844" s="46"/>
      <c r="U1844" s="46"/>
      <c r="V1844" s="46"/>
      <c r="W1844" s="46"/>
      <c r="X1844" s="46"/>
    </row>
    <row r="1845" spans="1:24" x14ac:dyDescent="0.2">
      <c r="A1845" s="45"/>
      <c r="B1845" s="46"/>
      <c r="C1845" s="46"/>
      <c r="D1845" s="46"/>
      <c r="E1845" s="46"/>
      <c r="F1845" s="46"/>
      <c r="G1845" s="46"/>
      <c r="H1845" s="46"/>
      <c r="I1845" s="46"/>
      <c r="J1845" s="46"/>
      <c r="K1845" s="46"/>
      <c r="L1845" s="46"/>
      <c r="M1845" s="46"/>
      <c r="N1845" s="46"/>
      <c r="O1845" s="46"/>
      <c r="P1845" s="46"/>
      <c r="Q1845" s="46"/>
      <c r="R1845" s="46"/>
      <c r="S1845" s="46"/>
      <c r="T1845" s="46"/>
      <c r="U1845" s="46"/>
      <c r="V1845" s="46"/>
      <c r="W1845" s="46"/>
      <c r="X1845" s="46"/>
    </row>
    <row r="1846" spans="1:24" x14ac:dyDescent="0.2">
      <c r="A1846" s="45"/>
      <c r="B1846" s="46"/>
      <c r="C1846" s="46"/>
      <c r="D1846" s="46"/>
      <c r="E1846" s="46"/>
      <c r="F1846" s="46"/>
      <c r="G1846" s="46"/>
      <c r="H1846" s="46"/>
      <c r="I1846" s="46"/>
      <c r="J1846" s="46"/>
      <c r="K1846" s="46"/>
      <c r="L1846" s="46"/>
      <c r="M1846" s="46"/>
      <c r="N1846" s="46"/>
      <c r="O1846" s="46"/>
      <c r="P1846" s="46"/>
      <c r="Q1846" s="46"/>
      <c r="R1846" s="46"/>
      <c r="S1846" s="46"/>
      <c r="T1846" s="46"/>
      <c r="U1846" s="46"/>
      <c r="V1846" s="46"/>
      <c r="W1846" s="46"/>
      <c r="X1846" s="46"/>
    </row>
    <row r="1847" spans="1:24" x14ac:dyDescent="0.2">
      <c r="A1847" s="45"/>
      <c r="B1847" s="46"/>
      <c r="C1847" s="46"/>
      <c r="D1847" s="46"/>
      <c r="E1847" s="46"/>
      <c r="F1847" s="46"/>
      <c r="G1847" s="46"/>
      <c r="H1847" s="46"/>
      <c r="I1847" s="46"/>
      <c r="J1847" s="46"/>
      <c r="K1847" s="46"/>
      <c r="L1847" s="46"/>
      <c r="M1847" s="46"/>
      <c r="N1847" s="46"/>
      <c r="O1847" s="46"/>
      <c r="P1847" s="46"/>
      <c r="Q1847" s="46"/>
      <c r="R1847" s="46"/>
      <c r="S1847" s="46"/>
      <c r="T1847" s="46"/>
      <c r="U1847" s="46"/>
      <c r="V1847" s="46"/>
      <c r="W1847" s="46"/>
      <c r="X1847" s="46"/>
    </row>
    <row r="1848" spans="1:24" x14ac:dyDescent="0.2">
      <c r="A1848" s="45"/>
      <c r="B1848" s="46"/>
      <c r="C1848" s="46"/>
      <c r="D1848" s="46"/>
      <c r="E1848" s="46"/>
      <c r="F1848" s="46"/>
      <c r="G1848" s="46"/>
      <c r="H1848" s="46"/>
      <c r="I1848" s="46"/>
      <c r="J1848" s="46"/>
      <c r="K1848" s="46"/>
      <c r="L1848" s="46"/>
      <c r="M1848" s="46"/>
      <c r="N1848" s="46"/>
      <c r="O1848" s="46"/>
      <c r="P1848" s="46"/>
      <c r="Q1848" s="46"/>
      <c r="R1848" s="46"/>
      <c r="S1848" s="46"/>
      <c r="T1848" s="46"/>
      <c r="U1848" s="46"/>
      <c r="V1848" s="46"/>
      <c r="W1848" s="46"/>
      <c r="X1848" s="46"/>
    </row>
    <row r="1849" spans="1:24" x14ac:dyDescent="0.2">
      <c r="A1849" s="45"/>
      <c r="B1849" s="46"/>
      <c r="C1849" s="46"/>
      <c r="D1849" s="46"/>
      <c r="E1849" s="46"/>
      <c r="F1849" s="46"/>
      <c r="G1849" s="46"/>
      <c r="H1849" s="46"/>
      <c r="I1849" s="46"/>
      <c r="J1849" s="46"/>
      <c r="K1849" s="46"/>
      <c r="L1849" s="46"/>
      <c r="M1849" s="46"/>
      <c r="N1849" s="46"/>
      <c r="O1849" s="46"/>
      <c r="P1849" s="46"/>
      <c r="Q1849" s="46"/>
      <c r="R1849" s="46"/>
      <c r="S1849" s="46"/>
      <c r="T1849" s="46"/>
      <c r="U1849" s="46"/>
      <c r="V1849" s="46"/>
      <c r="W1849" s="46"/>
      <c r="X1849" s="46"/>
    </row>
    <row r="1850" spans="1:24" x14ac:dyDescent="0.2">
      <c r="A1850" s="45"/>
      <c r="B1850" s="46"/>
      <c r="C1850" s="46"/>
      <c r="D1850" s="46"/>
      <c r="E1850" s="46"/>
      <c r="F1850" s="46"/>
      <c r="G1850" s="46"/>
      <c r="H1850" s="46"/>
      <c r="I1850" s="46"/>
      <c r="J1850" s="46"/>
      <c r="K1850" s="46"/>
      <c r="L1850" s="46"/>
      <c r="M1850" s="46"/>
      <c r="N1850" s="46"/>
      <c r="O1850" s="46"/>
      <c r="P1850" s="46"/>
      <c r="Q1850" s="46"/>
      <c r="R1850" s="46"/>
      <c r="S1850" s="46"/>
      <c r="T1850" s="46"/>
      <c r="U1850" s="46"/>
      <c r="V1850" s="46"/>
      <c r="W1850" s="46"/>
      <c r="X1850" s="46"/>
    </row>
    <row r="1851" spans="1:24" x14ac:dyDescent="0.2">
      <c r="A1851" s="45"/>
      <c r="B1851" s="46"/>
      <c r="C1851" s="46"/>
      <c r="D1851" s="46"/>
      <c r="E1851" s="46"/>
      <c r="F1851" s="46"/>
      <c r="G1851" s="46"/>
      <c r="H1851" s="46"/>
      <c r="I1851" s="46"/>
      <c r="J1851" s="46"/>
      <c r="K1851" s="46"/>
      <c r="L1851" s="46"/>
      <c r="M1851" s="46"/>
      <c r="N1851" s="46"/>
      <c r="O1851" s="46"/>
      <c r="P1851" s="46"/>
      <c r="Q1851" s="46"/>
      <c r="R1851" s="46"/>
      <c r="S1851" s="46"/>
      <c r="T1851" s="46"/>
      <c r="U1851" s="46"/>
      <c r="V1851" s="46"/>
      <c r="W1851" s="46"/>
      <c r="X1851" s="46"/>
    </row>
    <row r="1852" spans="1:24" x14ac:dyDescent="0.2">
      <c r="A1852" s="45"/>
      <c r="B1852" s="46"/>
      <c r="C1852" s="46"/>
      <c r="D1852" s="46"/>
      <c r="E1852" s="46"/>
      <c r="F1852" s="46"/>
      <c r="G1852" s="46"/>
      <c r="H1852" s="46"/>
      <c r="I1852" s="46"/>
      <c r="J1852" s="46"/>
      <c r="K1852" s="46"/>
      <c r="L1852" s="46"/>
      <c r="M1852" s="46"/>
      <c r="N1852" s="46"/>
      <c r="O1852" s="46"/>
      <c r="P1852" s="46"/>
      <c r="Q1852" s="46"/>
      <c r="R1852" s="46"/>
      <c r="S1852" s="46"/>
      <c r="T1852" s="46"/>
      <c r="U1852" s="46"/>
      <c r="V1852" s="46"/>
      <c r="W1852" s="46"/>
      <c r="X1852" s="46"/>
    </row>
    <row r="1853" spans="1:24" x14ac:dyDescent="0.2">
      <c r="A1853" s="45"/>
      <c r="B1853" s="46"/>
      <c r="C1853" s="46"/>
      <c r="D1853" s="46"/>
      <c r="E1853" s="46"/>
      <c r="F1853" s="46"/>
      <c r="G1853" s="46"/>
      <c r="H1853" s="46"/>
      <c r="I1853" s="46"/>
      <c r="J1853" s="46"/>
      <c r="K1853" s="46"/>
      <c r="L1853" s="46"/>
      <c r="M1853" s="46"/>
      <c r="N1853" s="46"/>
      <c r="O1853" s="46"/>
      <c r="P1853" s="46"/>
      <c r="Q1853" s="46"/>
      <c r="R1853" s="46"/>
      <c r="S1853" s="46"/>
      <c r="T1853" s="46"/>
      <c r="U1853" s="46"/>
      <c r="V1853" s="46"/>
      <c r="W1853" s="46"/>
      <c r="X1853" s="46"/>
    </row>
    <row r="1854" spans="1:24" x14ac:dyDescent="0.2">
      <c r="A1854" s="45"/>
      <c r="B1854" s="46"/>
      <c r="C1854" s="46"/>
      <c r="D1854" s="46"/>
      <c r="E1854" s="46"/>
      <c r="F1854" s="46"/>
      <c r="G1854" s="46"/>
      <c r="H1854" s="46"/>
      <c r="I1854" s="46"/>
      <c r="J1854" s="46"/>
      <c r="K1854" s="46"/>
      <c r="L1854" s="46"/>
      <c r="M1854" s="46"/>
      <c r="N1854" s="46"/>
      <c r="O1854" s="46"/>
      <c r="P1854" s="46"/>
      <c r="Q1854" s="46"/>
      <c r="R1854" s="46"/>
      <c r="S1854" s="46"/>
      <c r="T1854" s="46"/>
      <c r="U1854" s="46"/>
      <c r="V1854" s="46"/>
      <c r="W1854" s="46"/>
      <c r="X1854" s="46"/>
    </row>
    <row r="1855" spans="1:24" x14ac:dyDescent="0.2">
      <c r="A1855" s="45"/>
      <c r="B1855" s="46"/>
      <c r="C1855" s="46"/>
      <c r="D1855" s="46"/>
      <c r="E1855" s="46"/>
      <c r="F1855" s="46"/>
      <c r="G1855" s="46"/>
      <c r="H1855" s="46"/>
      <c r="I1855" s="46"/>
      <c r="J1855" s="46"/>
      <c r="K1855" s="46"/>
      <c r="L1855" s="46"/>
      <c r="M1855" s="46"/>
      <c r="N1855" s="46"/>
      <c r="O1855" s="46"/>
      <c r="P1855" s="46"/>
      <c r="Q1855" s="46"/>
      <c r="R1855" s="46"/>
      <c r="S1855" s="46"/>
      <c r="T1855" s="46"/>
      <c r="U1855" s="46"/>
      <c r="V1855" s="46"/>
      <c r="W1855" s="46"/>
      <c r="X1855" s="46"/>
    </row>
    <row r="1856" spans="1:24" x14ac:dyDescent="0.2">
      <c r="A1856" s="45"/>
      <c r="B1856" s="46"/>
      <c r="C1856" s="46"/>
      <c r="D1856" s="46"/>
      <c r="E1856" s="46"/>
      <c r="F1856" s="46"/>
      <c r="G1856" s="46"/>
      <c r="H1856" s="46"/>
      <c r="I1856" s="46"/>
      <c r="J1856" s="46"/>
      <c r="K1856" s="46"/>
      <c r="L1856" s="46"/>
      <c r="M1856" s="46"/>
      <c r="N1856" s="46"/>
      <c r="O1856" s="46"/>
      <c r="P1856" s="46"/>
      <c r="Q1856" s="46"/>
      <c r="R1856" s="46"/>
      <c r="S1856" s="46"/>
      <c r="T1856" s="46"/>
      <c r="U1856" s="46"/>
      <c r="V1856" s="46"/>
      <c r="W1856" s="46"/>
      <c r="X1856" s="46"/>
    </row>
    <row r="1857" spans="1:24" x14ac:dyDescent="0.2">
      <c r="A1857" s="45"/>
      <c r="B1857" s="46"/>
      <c r="C1857" s="46"/>
      <c r="D1857" s="46"/>
      <c r="E1857" s="46"/>
      <c r="F1857" s="46"/>
      <c r="G1857" s="46"/>
      <c r="H1857" s="46"/>
      <c r="I1857" s="46"/>
      <c r="J1857" s="46"/>
      <c r="K1857" s="46"/>
      <c r="L1857" s="46"/>
      <c r="M1857" s="46"/>
      <c r="N1857" s="46"/>
      <c r="O1857" s="46"/>
      <c r="P1857" s="46"/>
      <c r="Q1857" s="46"/>
      <c r="R1857" s="46"/>
      <c r="S1857" s="46"/>
      <c r="T1857" s="46"/>
      <c r="U1857" s="46"/>
      <c r="V1857" s="46"/>
      <c r="W1857" s="46"/>
      <c r="X1857" s="46"/>
    </row>
    <row r="1858" spans="1:24" x14ac:dyDescent="0.2">
      <c r="A1858" s="45"/>
      <c r="B1858" s="46"/>
      <c r="C1858" s="46"/>
      <c r="D1858" s="46"/>
      <c r="E1858" s="46"/>
      <c r="F1858" s="46"/>
      <c r="G1858" s="46"/>
      <c r="H1858" s="46"/>
      <c r="I1858" s="46"/>
      <c r="J1858" s="46"/>
      <c r="K1858" s="46"/>
      <c r="L1858" s="46"/>
      <c r="M1858" s="46"/>
      <c r="N1858" s="46"/>
      <c r="O1858" s="46"/>
      <c r="P1858" s="46"/>
      <c r="Q1858" s="46"/>
      <c r="R1858" s="46"/>
      <c r="S1858" s="46"/>
      <c r="T1858" s="46"/>
      <c r="U1858" s="46"/>
      <c r="V1858" s="46"/>
      <c r="W1858" s="46"/>
      <c r="X1858" s="46"/>
    </row>
    <row r="1859" spans="1:24" x14ac:dyDescent="0.2">
      <c r="A1859" s="45"/>
      <c r="B1859" s="46"/>
      <c r="C1859" s="46"/>
      <c r="D1859" s="46"/>
      <c r="E1859" s="46"/>
      <c r="F1859" s="46"/>
      <c r="G1859" s="46"/>
      <c r="H1859" s="46"/>
      <c r="I1859" s="46"/>
      <c r="J1859" s="46"/>
      <c r="K1859" s="46"/>
      <c r="L1859" s="46"/>
      <c r="M1859" s="46"/>
      <c r="N1859" s="46"/>
      <c r="O1859" s="46"/>
      <c r="P1859" s="46"/>
      <c r="Q1859" s="46"/>
      <c r="R1859" s="46"/>
      <c r="S1859" s="46"/>
      <c r="T1859" s="46"/>
      <c r="U1859" s="46"/>
      <c r="V1859" s="46"/>
      <c r="W1859" s="46"/>
      <c r="X1859" s="46"/>
    </row>
    <row r="1860" spans="1:24" x14ac:dyDescent="0.2">
      <c r="A1860" s="45"/>
      <c r="B1860" s="46"/>
      <c r="C1860" s="46"/>
      <c r="D1860" s="46"/>
      <c r="E1860" s="46"/>
      <c r="F1860" s="46"/>
      <c r="G1860" s="46"/>
      <c r="H1860" s="46"/>
      <c r="I1860" s="46"/>
      <c r="J1860" s="46"/>
      <c r="K1860" s="46"/>
      <c r="L1860" s="46"/>
      <c r="M1860" s="46"/>
      <c r="N1860" s="46"/>
      <c r="O1860" s="46"/>
      <c r="P1860" s="46"/>
      <c r="Q1860" s="46"/>
      <c r="R1860" s="46"/>
      <c r="S1860" s="46"/>
      <c r="T1860" s="46"/>
      <c r="U1860" s="46"/>
      <c r="V1860" s="46"/>
      <c r="W1860" s="46"/>
      <c r="X1860" s="46"/>
    </row>
    <row r="1861" spans="1:24" x14ac:dyDescent="0.2">
      <c r="A1861" s="45"/>
      <c r="B1861" s="46"/>
      <c r="C1861" s="46"/>
      <c r="D1861" s="46"/>
      <c r="E1861" s="46"/>
      <c r="F1861" s="46"/>
      <c r="G1861" s="46"/>
      <c r="H1861" s="46"/>
      <c r="I1861" s="46"/>
      <c r="J1861" s="46"/>
      <c r="K1861" s="46"/>
      <c r="L1861" s="46"/>
      <c r="M1861" s="46"/>
      <c r="N1861" s="46"/>
      <c r="O1861" s="46"/>
      <c r="P1861" s="46"/>
      <c r="Q1861" s="46"/>
      <c r="R1861" s="46"/>
      <c r="S1861" s="46"/>
      <c r="T1861" s="46"/>
      <c r="U1861" s="46"/>
      <c r="V1861" s="46"/>
      <c r="W1861" s="46"/>
      <c r="X1861" s="46"/>
    </row>
    <row r="1862" spans="1:24" x14ac:dyDescent="0.2">
      <c r="A1862" s="45"/>
      <c r="B1862" s="46"/>
      <c r="C1862" s="46"/>
      <c r="D1862" s="46"/>
      <c r="E1862" s="46"/>
      <c r="F1862" s="46"/>
      <c r="G1862" s="46"/>
      <c r="H1862" s="46"/>
      <c r="I1862" s="46"/>
      <c r="J1862" s="46"/>
      <c r="K1862" s="46"/>
      <c r="L1862" s="46"/>
      <c r="M1862" s="46"/>
      <c r="N1862" s="46"/>
      <c r="O1862" s="46"/>
      <c r="P1862" s="46"/>
      <c r="Q1862" s="46"/>
      <c r="R1862" s="46"/>
      <c r="S1862" s="46"/>
      <c r="T1862" s="46"/>
      <c r="U1862" s="46"/>
      <c r="V1862" s="46"/>
      <c r="W1862" s="46"/>
      <c r="X1862" s="46"/>
    </row>
    <row r="1863" spans="1:24" x14ac:dyDescent="0.2">
      <c r="A1863" s="45"/>
      <c r="B1863" s="46"/>
      <c r="C1863" s="46"/>
      <c r="D1863" s="46"/>
      <c r="E1863" s="46"/>
      <c r="F1863" s="46"/>
      <c r="G1863" s="46"/>
      <c r="H1863" s="46"/>
      <c r="I1863" s="46"/>
      <c r="J1863" s="46"/>
      <c r="K1863" s="46"/>
      <c r="L1863" s="46"/>
      <c r="M1863" s="46"/>
      <c r="N1863" s="46"/>
      <c r="O1863" s="46"/>
      <c r="P1863" s="46"/>
      <c r="Q1863" s="46"/>
      <c r="R1863" s="46"/>
      <c r="S1863" s="46"/>
      <c r="T1863" s="46"/>
      <c r="U1863" s="46"/>
      <c r="V1863" s="46"/>
      <c r="W1863" s="46"/>
      <c r="X1863" s="46"/>
    </row>
    <row r="1864" spans="1:24" x14ac:dyDescent="0.2">
      <c r="A1864" s="45"/>
      <c r="B1864" s="46"/>
      <c r="C1864" s="46"/>
      <c r="D1864" s="46"/>
      <c r="E1864" s="46"/>
      <c r="F1864" s="46"/>
      <c r="G1864" s="46"/>
      <c r="H1864" s="46"/>
      <c r="I1864" s="46"/>
      <c r="J1864" s="46"/>
      <c r="K1864" s="46"/>
      <c r="L1864" s="46"/>
      <c r="M1864" s="46"/>
      <c r="N1864" s="46"/>
      <c r="O1864" s="46"/>
      <c r="P1864" s="46"/>
      <c r="Q1864" s="46"/>
      <c r="R1864" s="46"/>
      <c r="S1864" s="46"/>
      <c r="T1864" s="46"/>
      <c r="U1864" s="46"/>
      <c r="V1864" s="46"/>
      <c r="W1864" s="46"/>
      <c r="X1864" s="46"/>
    </row>
    <row r="1865" spans="1:24" x14ac:dyDescent="0.2">
      <c r="A1865" s="45"/>
      <c r="B1865" s="46"/>
      <c r="C1865" s="46"/>
      <c r="D1865" s="46"/>
      <c r="E1865" s="46"/>
      <c r="F1865" s="46"/>
      <c r="G1865" s="46"/>
      <c r="H1865" s="46"/>
      <c r="I1865" s="46"/>
      <c r="J1865" s="46"/>
      <c r="K1865" s="46"/>
      <c r="L1865" s="46"/>
      <c r="M1865" s="46"/>
      <c r="N1865" s="46"/>
      <c r="O1865" s="46"/>
      <c r="P1865" s="46"/>
      <c r="Q1865" s="46"/>
      <c r="R1865" s="46"/>
      <c r="S1865" s="46"/>
      <c r="T1865" s="46"/>
      <c r="U1865" s="46"/>
      <c r="V1865" s="46"/>
      <c r="W1865" s="46"/>
      <c r="X1865" s="46"/>
    </row>
    <row r="1866" spans="1:24" x14ac:dyDescent="0.2">
      <c r="A1866" s="45"/>
      <c r="B1866" s="46"/>
      <c r="C1866" s="46"/>
      <c r="D1866" s="46"/>
      <c r="E1866" s="46"/>
      <c r="F1866" s="46"/>
      <c r="G1866" s="46"/>
      <c r="H1866" s="46"/>
      <c r="I1866" s="46"/>
      <c r="J1866" s="46"/>
      <c r="K1866" s="46"/>
      <c r="L1866" s="46"/>
      <c r="M1866" s="46"/>
      <c r="N1866" s="46"/>
      <c r="O1866" s="46"/>
      <c r="P1866" s="46"/>
      <c r="Q1866" s="46"/>
      <c r="R1866" s="46"/>
      <c r="S1866" s="46"/>
      <c r="T1866" s="46"/>
      <c r="U1866" s="46"/>
      <c r="V1866" s="46"/>
      <c r="W1866" s="46"/>
      <c r="X1866" s="46"/>
    </row>
    <row r="1867" spans="1:24" x14ac:dyDescent="0.2">
      <c r="A1867" s="45"/>
      <c r="B1867" s="46"/>
      <c r="C1867" s="46"/>
      <c r="D1867" s="46"/>
      <c r="E1867" s="46"/>
      <c r="F1867" s="46"/>
      <c r="G1867" s="46"/>
      <c r="H1867" s="46"/>
      <c r="I1867" s="46"/>
      <c r="J1867" s="46"/>
      <c r="K1867" s="46"/>
      <c r="L1867" s="46"/>
      <c r="M1867" s="46"/>
      <c r="N1867" s="46"/>
      <c r="O1867" s="46"/>
      <c r="P1867" s="46"/>
      <c r="Q1867" s="46"/>
      <c r="R1867" s="46"/>
      <c r="S1867" s="46"/>
      <c r="T1867" s="46"/>
      <c r="U1867" s="46"/>
      <c r="V1867" s="46"/>
      <c r="W1867" s="46"/>
      <c r="X1867" s="46"/>
    </row>
    <row r="1868" spans="1:24" x14ac:dyDescent="0.2">
      <c r="A1868" s="45"/>
      <c r="B1868" s="46"/>
      <c r="C1868" s="46"/>
      <c r="D1868" s="46"/>
      <c r="E1868" s="46"/>
      <c r="F1868" s="46"/>
      <c r="G1868" s="46"/>
      <c r="H1868" s="46"/>
      <c r="I1868" s="46"/>
      <c r="J1868" s="46"/>
      <c r="K1868" s="46"/>
      <c r="L1868" s="46"/>
      <c r="M1868" s="46"/>
      <c r="N1868" s="46"/>
      <c r="O1868" s="46"/>
      <c r="P1868" s="46"/>
      <c r="Q1868" s="46"/>
      <c r="R1868" s="46"/>
      <c r="S1868" s="46"/>
      <c r="T1868" s="46"/>
      <c r="U1868" s="46"/>
      <c r="V1868" s="46"/>
      <c r="W1868" s="46"/>
      <c r="X1868" s="46"/>
    </row>
    <row r="1869" spans="1:24" x14ac:dyDescent="0.2">
      <c r="A1869" s="45"/>
      <c r="B1869" s="46"/>
      <c r="C1869" s="46"/>
      <c r="D1869" s="46"/>
      <c r="E1869" s="46"/>
      <c r="F1869" s="46"/>
      <c r="G1869" s="46"/>
      <c r="H1869" s="46"/>
      <c r="I1869" s="46"/>
      <c r="J1869" s="46"/>
      <c r="K1869" s="46"/>
      <c r="L1869" s="46"/>
      <c r="M1869" s="46"/>
      <c r="N1869" s="46"/>
      <c r="O1869" s="46"/>
      <c r="P1869" s="46"/>
      <c r="Q1869" s="46"/>
      <c r="R1869" s="46"/>
      <c r="S1869" s="46"/>
      <c r="T1869" s="46"/>
      <c r="U1869" s="46"/>
      <c r="V1869" s="46"/>
      <c r="W1869" s="46"/>
      <c r="X1869" s="46"/>
    </row>
    <row r="1870" spans="1:24" x14ac:dyDescent="0.2">
      <c r="A1870" s="45"/>
      <c r="B1870" s="46"/>
      <c r="C1870" s="46"/>
      <c r="D1870" s="46"/>
      <c r="E1870" s="46"/>
      <c r="F1870" s="46"/>
      <c r="G1870" s="46"/>
      <c r="H1870" s="46"/>
      <c r="I1870" s="46"/>
      <c r="J1870" s="46"/>
      <c r="K1870" s="46"/>
      <c r="L1870" s="46"/>
      <c r="M1870" s="46"/>
      <c r="N1870" s="46"/>
      <c r="O1870" s="46"/>
      <c r="P1870" s="46"/>
      <c r="Q1870" s="46"/>
      <c r="R1870" s="46"/>
      <c r="S1870" s="46"/>
      <c r="T1870" s="46"/>
      <c r="U1870" s="46"/>
      <c r="V1870" s="46"/>
      <c r="W1870" s="46"/>
      <c r="X1870" s="46"/>
    </row>
    <row r="1871" spans="1:24" x14ac:dyDescent="0.2">
      <c r="A1871" s="45"/>
      <c r="B1871" s="46"/>
      <c r="C1871" s="46"/>
      <c r="D1871" s="46"/>
      <c r="E1871" s="46"/>
      <c r="F1871" s="46"/>
      <c r="G1871" s="46"/>
      <c r="H1871" s="46"/>
      <c r="I1871" s="46"/>
      <c r="J1871" s="46"/>
      <c r="K1871" s="46"/>
      <c r="L1871" s="46"/>
      <c r="M1871" s="46"/>
      <c r="N1871" s="46"/>
      <c r="O1871" s="46"/>
      <c r="P1871" s="46"/>
      <c r="Q1871" s="46"/>
      <c r="R1871" s="46"/>
      <c r="S1871" s="46"/>
      <c r="T1871" s="46"/>
      <c r="U1871" s="46"/>
      <c r="V1871" s="46"/>
      <c r="W1871" s="46"/>
      <c r="X1871" s="46"/>
    </row>
    <row r="1872" spans="1:24" x14ac:dyDescent="0.2">
      <c r="A1872" s="45"/>
      <c r="B1872" s="46"/>
      <c r="C1872" s="46"/>
      <c r="D1872" s="46"/>
      <c r="E1872" s="46"/>
      <c r="F1872" s="46"/>
      <c r="G1872" s="46"/>
      <c r="H1872" s="46"/>
      <c r="I1872" s="46"/>
      <c r="J1872" s="46"/>
      <c r="K1872" s="46"/>
      <c r="L1872" s="46"/>
      <c r="M1872" s="46"/>
      <c r="N1872" s="46"/>
      <c r="O1872" s="46"/>
      <c r="P1872" s="46"/>
      <c r="Q1872" s="46"/>
      <c r="R1872" s="46"/>
      <c r="S1872" s="46"/>
      <c r="T1872" s="46"/>
      <c r="U1872" s="46"/>
      <c r="V1872" s="46"/>
      <c r="W1872" s="46"/>
      <c r="X1872" s="46"/>
    </row>
    <row r="1873" spans="1:24" x14ac:dyDescent="0.2">
      <c r="A1873" s="45"/>
      <c r="B1873" s="46"/>
      <c r="C1873" s="46"/>
      <c r="D1873" s="46"/>
      <c r="E1873" s="46"/>
      <c r="F1873" s="46"/>
      <c r="G1873" s="46"/>
      <c r="H1873" s="46"/>
      <c r="I1873" s="46"/>
      <c r="J1873" s="46"/>
      <c r="K1873" s="46"/>
      <c r="L1873" s="46"/>
      <c r="M1873" s="46"/>
      <c r="N1873" s="46"/>
      <c r="O1873" s="46"/>
      <c r="P1873" s="46"/>
      <c r="Q1873" s="46"/>
      <c r="R1873" s="46"/>
      <c r="S1873" s="46"/>
      <c r="T1873" s="46"/>
      <c r="U1873" s="46"/>
      <c r="V1873" s="46"/>
      <c r="W1873" s="46"/>
      <c r="X1873" s="46"/>
    </row>
    <row r="1874" spans="1:24" x14ac:dyDescent="0.2">
      <c r="A1874" s="45"/>
      <c r="B1874" s="46"/>
      <c r="C1874" s="46"/>
      <c r="D1874" s="46"/>
      <c r="E1874" s="46"/>
      <c r="F1874" s="46"/>
      <c r="G1874" s="46"/>
      <c r="H1874" s="46"/>
      <c r="I1874" s="46"/>
      <c r="J1874" s="46"/>
      <c r="K1874" s="46"/>
      <c r="L1874" s="46"/>
      <c r="M1874" s="46"/>
      <c r="N1874" s="46"/>
      <c r="O1874" s="46"/>
      <c r="P1874" s="46"/>
      <c r="Q1874" s="46"/>
      <c r="R1874" s="46"/>
      <c r="S1874" s="46"/>
      <c r="T1874" s="46"/>
      <c r="U1874" s="46"/>
      <c r="V1874" s="46"/>
      <c r="W1874" s="46"/>
      <c r="X1874" s="46"/>
    </row>
    <row r="1875" spans="1:24" x14ac:dyDescent="0.2">
      <c r="A1875" s="45"/>
      <c r="B1875" s="46"/>
      <c r="C1875" s="46"/>
      <c r="D1875" s="46"/>
      <c r="E1875" s="46"/>
      <c r="F1875" s="46"/>
      <c r="G1875" s="46"/>
      <c r="H1875" s="46"/>
      <c r="I1875" s="46"/>
      <c r="J1875" s="46"/>
      <c r="K1875" s="46"/>
      <c r="L1875" s="46"/>
      <c r="M1875" s="46"/>
      <c r="N1875" s="46"/>
      <c r="O1875" s="46"/>
      <c r="P1875" s="46"/>
      <c r="Q1875" s="46"/>
      <c r="R1875" s="46"/>
      <c r="S1875" s="46"/>
      <c r="T1875" s="46"/>
      <c r="U1875" s="46"/>
      <c r="V1875" s="46"/>
      <c r="W1875" s="46"/>
      <c r="X1875" s="46"/>
    </row>
    <row r="1876" spans="1:24" x14ac:dyDescent="0.2">
      <c r="A1876" s="45"/>
      <c r="B1876" s="46"/>
      <c r="C1876" s="46"/>
      <c r="D1876" s="46"/>
      <c r="E1876" s="46"/>
      <c r="F1876" s="46"/>
      <c r="G1876" s="46"/>
      <c r="H1876" s="46"/>
      <c r="I1876" s="46"/>
      <c r="J1876" s="46"/>
      <c r="K1876" s="46"/>
      <c r="L1876" s="46"/>
      <c r="M1876" s="46"/>
      <c r="N1876" s="46"/>
      <c r="O1876" s="46"/>
      <c r="P1876" s="46"/>
      <c r="Q1876" s="46"/>
      <c r="R1876" s="46"/>
      <c r="S1876" s="46"/>
      <c r="T1876" s="46"/>
      <c r="U1876" s="46"/>
      <c r="V1876" s="46"/>
      <c r="W1876" s="46"/>
      <c r="X1876" s="46"/>
    </row>
    <row r="1877" spans="1:24" x14ac:dyDescent="0.2">
      <c r="A1877" s="45"/>
      <c r="B1877" s="46"/>
      <c r="C1877" s="46"/>
      <c r="D1877" s="46"/>
      <c r="E1877" s="46"/>
      <c r="F1877" s="46"/>
      <c r="G1877" s="46"/>
      <c r="H1877" s="46"/>
      <c r="I1877" s="46"/>
      <c r="J1877" s="46"/>
      <c r="K1877" s="46"/>
      <c r="L1877" s="46"/>
      <c r="M1877" s="46"/>
      <c r="N1877" s="46"/>
      <c r="O1877" s="46"/>
      <c r="P1877" s="46"/>
      <c r="Q1877" s="46"/>
      <c r="R1877" s="46"/>
      <c r="S1877" s="46"/>
      <c r="T1877" s="46"/>
      <c r="U1877" s="46"/>
      <c r="V1877" s="46"/>
      <c r="W1877" s="46"/>
      <c r="X1877" s="46"/>
    </row>
    <row r="1878" spans="1:24" x14ac:dyDescent="0.2">
      <c r="A1878" s="45"/>
      <c r="B1878" s="46"/>
      <c r="C1878" s="46"/>
      <c r="D1878" s="46"/>
      <c r="E1878" s="46"/>
      <c r="F1878" s="46"/>
      <c r="G1878" s="46"/>
      <c r="H1878" s="46"/>
      <c r="I1878" s="46"/>
      <c r="J1878" s="46"/>
      <c r="K1878" s="46"/>
      <c r="L1878" s="46"/>
      <c r="M1878" s="46"/>
      <c r="N1878" s="46"/>
      <c r="O1878" s="46"/>
      <c r="P1878" s="46"/>
      <c r="Q1878" s="46"/>
      <c r="R1878" s="46"/>
      <c r="S1878" s="46"/>
      <c r="T1878" s="46"/>
      <c r="U1878" s="46"/>
      <c r="V1878" s="46"/>
      <c r="W1878" s="46"/>
      <c r="X1878" s="46"/>
    </row>
    <row r="1879" spans="1:24" x14ac:dyDescent="0.2">
      <c r="A1879" s="45"/>
      <c r="B1879" s="46"/>
      <c r="C1879" s="46"/>
      <c r="D1879" s="46"/>
      <c r="E1879" s="46"/>
      <c r="F1879" s="46"/>
      <c r="G1879" s="46"/>
      <c r="H1879" s="46"/>
      <c r="I1879" s="46"/>
      <c r="J1879" s="46"/>
      <c r="K1879" s="46"/>
      <c r="L1879" s="46"/>
      <c r="M1879" s="46"/>
      <c r="N1879" s="46"/>
      <c r="O1879" s="46"/>
      <c r="P1879" s="46"/>
      <c r="Q1879" s="46"/>
      <c r="R1879" s="46"/>
      <c r="S1879" s="46"/>
      <c r="T1879" s="46"/>
      <c r="U1879" s="46"/>
      <c r="V1879" s="46"/>
      <c r="W1879" s="46"/>
      <c r="X1879" s="46"/>
    </row>
    <row r="1880" spans="1:24" x14ac:dyDescent="0.2">
      <c r="A1880" s="45"/>
      <c r="B1880" s="46"/>
      <c r="C1880" s="46"/>
      <c r="D1880" s="46"/>
      <c r="E1880" s="46"/>
      <c r="F1880" s="46"/>
      <c r="G1880" s="46"/>
      <c r="H1880" s="46"/>
      <c r="I1880" s="46"/>
      <c r="J1880" s="46"/>
      <c r="K1880" s="46"/>
      <c r="L1880" s="46"/>
      <c r="M1880" s="46"/>
      <c r="N1880" s="46"/>
      <c r="O1880" s="46"/>
      <c r="P1880" s="46"/>
      <c r="Q1880" s="46"/>
      <c r="R1880" s="46"/>
      <c r="S1880" s="46"/>
      <c r="T1880" s="46"/>
      <c r="U1880" s="46"/>
      <c r="V1880" s="46"/>
      <c r="W1880" s="46"/>
      <c r="X1880" s="46"/>
    </row>
    <row r="1881" spans="1:24" x14ac:dyDescent="0.2">
      <c r="A1881" s="45"/>
      <c r="B1881" s="46"/>
      <c r="C1881" s="46"/>
      <c r="D1881" s="46"/>
      <c r="E1881" s="46"/>
      <c r="F1881" s="46"/>
      <c r="G1881" s="46"/>
      <c r="H1881" s="46"/>
      <c r="I1881" s="46"/>
      <c r="J1881" s="46"/>
      <c r="K1881" s="46"/>
      <c r="L1881" s="46"/>
      <c r="M1881" s="46"/>
      <c r="N1881" s="46"/>
      <c r="O1881" s="46"/>
      <c r="P1881" s="46"/>
      <c r="Q1881" s="46"/>
      <c r="R1881" s="46"/>
      <c r="S1881" s="46"/>
      <c r="T1881" s="46"/>
      <c r="U1881" s="46"/>
      <c r="V1881" s="46"/>
      <c r="W1881" s="46"/>
      <c r="X1881" s="46"/>
    </row>
    <row r="1882" spans="1:24" x14ac:dyDescent="0.2">
      <c r="A1882" s="45"/>
      <c r="B1882" s="46"/>
      <c r="C1882" s="46"/>
      <c r="D1882" s="46"/>
      <c r="E1882" s="46"/>
      <c r="F1882" s="46"/>
      <c r="G1882" s="46"/>
      <c r="H1882" s="46"/>
      <c r="I1882" s="46"/>
      <c r="J1882" s="46"/>
      <c r="K1882" s="46"/>
      <c r="L1882" s="46"/>
      <c r="M1882" s="46"/>
      <c r="N1882" s="46"/>
      <c r="O1882" s="46"/>
      <c r="P1882" s="46"/>
      <c r="Q1882" s="46"/>
      <c r="R1882" s="46"/>
      <c r="S1882" s="46"/>
      <c r="T1882" s="46"/>
      <c r="U1882" s="46"/>
      <c r="V1882" s="46"/>
      <c r="W1882" s="46"/>
      <c r="X1882" s="46"/>
    </row>
    <row r="1883" spans="1:24" x14ac:dyDescent="0.2">
      <c r="A1883" s="45"/>
      <c r="B1883" s="46"/>
      <c r="C1883" s="46"/>
      <c r="D1883" s="46"/>
      <c r="E1883" s="46"/>
      <c r="F1883" s="46"/>
      <c r="G1883" s="46"/>
      <c r="H1883" s="46"/>
      <c r="I1883" s="46"/>
      <c r="J1883" s="46"/>
      <c r="K1883" s="46"/>
      <c r="L1883" s="46"/>
      <c r="M1883" s="46"/>
      <c r="N1883" s="46"/>
      <c r="O1883" s="46"/>
      <c r="P1883" s="46"/>
      <c r="Q1883" s="46"/>
      <c r="R1883" s="46"/>
      <c r="S1883" s="46"/>
      <c r="T1883" s="46"/>
      <c r="U1883" s="46"/>
      <c r="V1883" s="46"/>
      <c r="W1883" s="46"/>
      <c r="X1883" s="46"/>
    </row>
    <row r="1884" spans="1:24" x14ac:dyDescent="0.2">
      <c r="A1884" s="45"/>
      <c r="B1884" s="46"/>
      <c r="C1884" s="46"/>
      <c r="D1884" s="46"/>
      <c r="E1884" s="46"/>
      <c r="F1884" s="46"/>
      <c r="G1884" s="46"/>
      <c r="H1884" s="46"/>
      <c r="I1884" s="46"/>
      <c r="J1884" s="46"/>
      <c r="K1884" s="46"/>
      <c r="L1884" s="46"/>
      <c r="M1884" s="46"/>
      <c r="N1884" s="46"/>
      <c r="O1884" s="46"/>
      <c r="P1884" s="46"/>
      <c r="Q1884" s="46"/>
      <c r="R1884" s="46"/>
      <c r="S1884" s="46"/>
      <c r="T1884" s="46"/>
      <c r="U1884" s="46"/>
      <c r="V1884" s="46"/>
      <c r="W1884" s="46"/>
      <c r="X1884" s="46"/>
    </row>
    <row r="1885" spans="1:24" x14ac:dyDescent="0.2">
      <c r="A1885" s="45"/>
      <c r="B1885" s="46"/>
      <c r="C1885" s="46"/>
      <c r="D1885" s="46"/>
      <c r="E1885" s="46"/>
      <c r="F1885" s="46"/>
      <c r="G1885" s="46"/>
      <c r="H1885" s="46"/>
      <c r="I1885" s="46"/>
      <c r="J1885" s="46"/>
      <c r="K1885" s="46"/>
      <c r="L1885" s="46"/>
      <c r="M1885" s="46"/>
      <c r="N1885" s="46"/>
      <c r="O1885" s="46"/>
      <c r="P1885" s="46"/>
      <c r="Q1885" s="46"/>
      <c r="R1885" s="46"/>
      <c r="S1885" s="46"/>
      <c r="T1885" s="46"/>
      <c r="U1885" s="46"/>
      <c r="V1885" s="46"/>
      <c r="W1885" s="46"/>
      <c r="X1885" s="46"/>
    </row>
    <row r="1886" spans="1:24" x14ac:dyDescent="0.2">
      <c r="A1886" s="45"/>
      <c r="B1886" s="46"/>
      <c r="C1886" s="46"/>
      <c r="D1886" s="46"/>
      <c r="E1886" s="46"/>
      <c r="F1886" s="46"/>
      <c r="G1886" s="46"/>
      <c r="H1886" s="46"/>
      <c r="I1886" s="46"/>
      <c r="J1886" s="46"/>
      <c r="K1886" s="46"/>
      <c r="L1886" s="46"/>
      <c r="M1886" s="46"/>
      <c r="N1886" s="46"/>
      <c r="O1886" s="46"/>
      <c r="P1886" s="46"/>
      <c r="Q1886" s="46"/>
      <c r="R1886" s="46"/>
      <c r="S1886" s="46"/>
      <c r="T1886" s="46"/>
      <c r="U1886" s="46"/>
      <c r="V1886" s="46"/>
      <c r="W1886" s="46"/>
      <c r="X1886" s="46"/>
    </row>
    <row r="1887" spans="1:24" x14ac:dyDescent="0.2">
      <c r="A1887" s="45"/>
      <c r="B1887" s="46"/>
      <c r="C1887" s="46"/>
      <c r="D1887" s="46"/>
      <c r="E1887" s="46"/>
      <c r="F1887" s="46"/>
      <c r="G1887" s="46"/>
      <c r="H1887" s="46"/>
      <c r="I1887" s="46"/>
      <c r="J1887" s="46"/>
      <c r="K1887" s="46"/>
      <c r="L1887" s="46"/>
      <c r="M1887" s="46"/>
      <c r="N1887" s="46"/>
      <c r="O1887" s="46"/>
      <c r="P1887" s="46"/>
      <c r="Q1887" s="46"/>
      <c r="R1887" s="46"/>
      <c r="S1887" s="46"/>
      <c r="T1887" s="46"/>
      <c r="U1887" s="46"/>
      <c r="V1887" s="46"/>
      <c r="W1887" s="46"/>
      <c r="X1887" s="46"/>
    </row>
    <row r="1888" spans="1:24" x14ac:dyDescent="0.2">
      <c r="A1888" s="45"/>
      <c r="B1888" s="46"/>
      <c r="C1888" s="46"/>
      <c r="D1888" s="46"/>
      <c r="E1888" s="46"/>
      <c r="F1888" s="46"/>
      <c r="G1888" s="46"/>
      <c r="H1888" s="46"/>
      <c r="I1888" s="46"/>
      <c r="J1888" s="46"/>
      <c r="K1888" s="46"/>
      <c r="L1888" s="46"/>
      <c r="M1888" s="46"/>
      <c r="N1888" s="46"/>
      <c r="O1888" s="46"/>
      <c r="P1888" s="46"/>
      <c r="Q1888" s="46"/>
      <c r="R1888" s="46"/>
      <c r="S1888" s="46"/>
      <c r="T1888" s="46"/>
      <c r="U1888" s="46"/>
      <c r="V1888" s="46"/>
      <c r="W1888" s="46"/>
      <c r="X1888" s="46"/>
    </row>
    <row r="1889" spans="1:24" x14ac:dyDescent="0.2">
      <c r="A1889" s="45"/>
      <c r="B1889" s="46"/>
      <c r="C1889" s="46"/>
      <c r="D1889" s="46"/>
      <c r="E1889" s="46"/>
      <c r="F1889" s="46"/>
      <c r="G1889" s="46"/>
      <c r="H1889" s="46"/>
      <c r="I1889" s="46"/>
      <c r="J1889" s="46"/>
      <c r="K1889" s="46"/>
      <c r="L1889" s="46"/>
      <c r="M1889" s="46"/>
      <c r="N1889" s="46"/>
      <c r="O1889" s="46"/>
      <c r="P1889" s="46"/>
      <c r="Q1889" s="46"/>
      <c r="R1889" s="46"/>
      <c r="S1889" s="46"/>
      <c r="T1889" s="46"/>
      <c r="U1889" s="46"/>
      <c r="V1889" s="46"/>
      <c r="W1889" s="46"/>
      <c r="X1889" s="46"/>
    </row>
    <row r="1890" spans="1:24" x14ac:dyDescent="0.2">
      <c r="A1890" s="45"/>
      <c r="B1890" s="46"/>
      <c r="C1890" s="46"/>
      <c r="D1890" s="46"/>
      <c r="E1890" s="46"/>
      <c r="F1890" s="46"/>
      <c r="G1890" s="46"/>
      <c r="H1890" s="46"/>
      <c r="I1890" s="46"/>
      <c r="J1890" s="46"/>
      <c r="K1890" s="46"/>
      <c r="L1890" s="46"/>
      <c r="M1890" s="46"/>
      <c r="N1890" s="46"/>
      <c r="O1890" s="46"/>
      <c r="P1890" s="46"/>
      <c r="Q1890" s="46"/>
      <c r="R1890" s="46"/>
      <c r="S1890" s="46"/>
      <c r="T1890" s="46"/>
      <c r="U1890" s="46"/>
      <c r="V1890" s="46"/>
      <c r="W1890" s="46"/>
      <c r="X1890" s="46"/>
    </row>
    <row r="1891" spans="1:24" x14ac:dyDescent="0.2">
      <c r="A1891" s="45"/>
      <c r="B1891" s="46"/>
      <c r="C1891" s="46"/>
      <c r="D1891" s="46"/>
      <c r="E1891" s="46"/>
      <c r="F1891" s="46"/>
      <c r="G1891" s="46"/>
      <c r="H1891" s="46"/>
      <c r="I1891" s="46"/>
      <c r="J1891" s="46"/>
      <c r="K1891" s="46"/>
      <c r="L1891" s="46"/>
      <c r="M1891" s="46"/>
      <c r="N1891" s="46"/>
      <c r="O1891" s="46"/>
      <c r="P1891" s="46"/>
      <c r="Q1891" s="46"/>
      <c r="R1891" s="46"/>
      <c r="S1891" s="46"/>
      <c r="T1891" s="46"/>
      <c r="U1891" s="46"/>
      <c r="V1891" s="46"/>
      <c r="W1891" s="46"/>
      <c r="X1891" s="46"/>
    </row>
    <row r="1892" spans="1:24" x14ac:dyDescent="0.2">
      <c r="A1892" s="45"/>
      <c r="B1892" s="46"/>
      <c r="C1892" s="46"/>
      <c r="D1892" s="46"/>
      <c r="E1892" s="46"/>
      <c r="F1892" s="46"/>
      <c r="G1892" s="46"/>
      <c r="H1892" s="46"/>
      <c r="I1892" s="46"/>
      <c r="J1892" s="46"/>
      <c r="K1892" s="46"/>
      <c r="L1892" s="46"/>
      <c r="M1892" s="46"/>
      <c r="N1892" s="46"/>
      <c r="O1892" s="46"/>
      <c r="P1892" s="46"/>
      <c r="Q1892" s="46"/>
      <c r="R1892" s="46"/>
      <c r="S1892" s="46"/>
      <c r="T1892" s="46"/>
      <c r="U1892" s="46"/>
      <c r="V1892" s="46"/>
      <c r="W1892" s="46"/>
      <c r="X1892" s="46"/>
    </row>
    <row r="1893" spans="1:24" x14ac:dyDescent="0.2">
      <c r="A1893" s="45"/>
      <c r="B1893" s="46"/>
      <c r="C1893" s="46"/>
      <c r="D1893" s="46"/>
      <c r="E1893" s="46"/>
      <c r="F1893" s="46"/>
      <c r="G1893" s="46"/>
      <c r="H1893" s="46"/>
      <c r="I1893" s="46"/>
      <c r="J1893" s="46"/>
      <c r="K1893" s="46"/>
      <c r="L1893" s="46"/>
      <c r="M1893" s="46"/>
      <c r="N1893" s="46"/>
      <c r="O1893" s="46"/>
      <c r="P1893" s="46"/>
      <c r="Q1893" s="46"/>
      <c r="R1893" s="46"/>
      <c r="S1893" s="46"/>
      <c r="T1893" s="46"/>
      <c r="U1893" s="46"/>
      <c r="V1893" s="46"/>
      <c r="W1893" s="46"/>
      <c r="X1893" s="46"/>
    </row>
    <row r="1894" spans="1:24" x14ac:dyDescent="0.2">
      <c r="A1894" s="45"/>
      <c r="B1894" s="46"/>
      <c r="C1894" s="46"/>
      <c r="D1894" s="46"/>
      <c r="E1894" s="46"/>
      <c r="F1894" s="46"/>
      <c r="G1894" s="46"/>
      <c r="H1894" s="46"/>
      <c r="I1894" s="46"/>
      <c r="J1894" s="46"/>
      <c r="K1894" s="46"/>
      <c r="L1894" s="46"/>
      <c r="M1894" s="46"/>
      <c r="N1894" s="46"/>
      <c r="O1894" s="46"/>
      <c r="P1894" s="46"/>
      <c r="Q1894" s="46"/>
      <c r="R1894" s="46"/>
      <c r="S1894" s="46"/>
      <c r="T1894" s="46"/>
      <c r="U1894" s="46"/>
      <c r="V1894" s="46"/>
      <c r="W1894" s="46"/>
      <c r="X1894" s="46"/>
    </row>
    <row r="1895" spans="1:24" x14ac:dyDescent="0.2">
      <c r="A1895" s="45"/>
      <c r="B1895" s="46"/>
      <c r="C1895" s="46"/>
      <c r="D1895" s="46"/>
      <c r="E1895" s="46"/>
      <c r="F1895" s="46"/>
      <c r="G1895" s="46"/>
      <c r="H1895" s="46"/>
      <c r="I1895" s="46"/>
      <c r="J1895" s="46"/>
      <c r="K1895" s="46"/>
      <c r="L1895" s="46"/>
      <c r="M1895" s="46"/>
      <c r="N1895" s="46"/>
      <c r="O1895" s="46"/>
      <c r="P1895" s="46"/>
      <c r="Q1895" s="46"/>
      <c r="R1895" s="46"/>
      <c r="S1895" s="46"/>
      <c r="T1895" s="46"/>
      <c r="U1895" s="46"/>
      <c r="V1895" s="46"/>
      <c r="W1895" s="46"/>
      <c r="X1895" s="46"/>
    </row>
    <row r="1896" spans="1:24" x14ac:dyDescent="0.2">
      <c r="A1896" s="45"/>
      <c r="B1896" s="46"/>
      <c r="C1896" s="46"/>
      <c r="D1896" s="46"/>
      <c r="E1896" s="46"/>
      <c r="F1896" s="46"/>
      <c r="G1896" s="46"/>
      <c r="H1896" s="46"/>
      <c r="I1896" s="46"/>
      <c r="J1896" s="46"/>
      <c r="K1896" s="46"/>
      <c r="L1896" s="46"/>
      <c r="M1896" s="46"/>
      <c r="N1896" s="46"/>
      <c r="O1896" s="46"/>
      <c r="P1896" s="46"/>
      <c r="Q1896" s="46"/>
      <c r="R1896" s="46"/>
      <c r="S1896" s="46"/>
      <c r="T1896" s="46"/>
      <c r="U1896" s="46"/>
      <c r="V1896" s="46"/>
      <c r="W1896" s="46"/>
      <c r="X1896" s="46"/>
    </row>
    <row r="1897" spans="1:24" x14ac:dyDescent="0.2">
      <c r="A1897" s="45"/>
      <c r="B1897" s="46"/>
      <c r="C1897" s="46"/>
      <c r="D1897" s="46"/>
      <c r="E1897" s="46"/>
      <c r="F1897" s="46"/>
      <c r="G1897" s="46"/>
      <c r="H1897" s="46"/>
      <c r="I1897" s="46"/>
      <c r="J1897" s="46"/>
      <c r="K1897" s="46"/>
      <c r="L1897" s="46"/>
      <c r="M1897" s="46"/>
      <c r="N1897" s="46"/>
      <c r="O1897" s="46"/>
      <c r="P1897" s="46"/>
      <c r="Q1897" s="46"/>
      <c r="R1897" s="46"/>
      <c r="S1897" s="46"/>
      <c r="T1897" s="46"/>
      <c r="U1897" s="46"/>
      <c r="V1897" s="46"/>
      <c r="W1897" s="46"/>
      <c r="X1897" s="46"/>
    </row>
    <row r="1898" spans="1:24" x14ac:dyDescent="0.2">
      <c r="A1898" s="45"/>
      <c r="B1898" s="46"/>
      <c r="C1898" s="46"/>
      <c r="D1898" s="46"/>
      <c r="E1898" s="46"/>
      <c r="F1898" s="46"/>
      <c r="G1898" s="46"/>
      <c r="H1898" s="46"/>
      <c r="I1898" s="46"/>
      <c r="J1898" s="46"/>
      <c r="K1898" s="46"/>
      <c r="L1898" s="46"/>
      <c r="M1898" s="46"/>
      <c r="N1898" s="46"/>
      <c r="O1898" s="46"/>
      <c r="P1898" s="46"/>
      <c r="Q1898" s="46"/>
      <c r="R1898" s="46"/>
      <c r="S1898" s="46"/>
      <c r="T1898" s="46"/>
      <c r="U1898" s="46"/>
      <c r="V1898" s="46"/>
      <c r="W1898" s="46"/>
      <c r="X1898" s="46"/>
    </row>
    <row r="1899" spans="1:24" x14ac:dyDescent="0.2">
      <c r="A1899" s="45"/>
      <c r="B1899" s="46"/>
      <c r="C1899" s="46"/>
      <c r="D1899" s="46"/>
      <c r="E1899" s="46"/>
      <c r="F1899" s="46"/>
      <c r="G1899" s="46"/>
      <c r="H1899" s="46"/>
      <c r="I1899" s="46"/>
      <c r="J1899" s="46"/>
      <c r="K1899" s="46"/>
      <c r="L1899" s="46"/>
      <c r="M1899" s="46"/>
      <c r="N1899" s="46"/>
      <c r="O1899" s="46"/>
      <c r="P1899" s="46"/>
      <c r="Q1899" s="46"/>
      <c r="R1899" s="46"/>
      <c r="S1899" s="46"/>
      <c r="T1899" s="46"/>
      <c r="U1899" s="46"/>
      <c r="V1899" s="46"/>
      <c r="W1899" s="46"/>
      <c r="X1899" s="46"/>
    </row>
    <row r="1900" spans="1:24" x14ac:dyDescent="0.2">
      <c r="A1900" s="45"/>
      <c r="B1900" s="46"/>
      <c r="C1900" s="46"/>
      <c r="D1900" s="46"/>
      <c r="E1900" s="46"/>
      <c r="F1900" s="46"/>
      <c r="G1900" s="46"/>
      <c r="H1900" s="46"/>
      <c r="I1900" s="46"/>
      <c r="J1900" s="46"/>
      <c r="K1900" s="46"/>
      <c r="L1900" s="46"/>
      <c r="M1900" s="46"/>
      <c r="N1900" s="46"/>
      <c r="O1900" s="46"/>
      <c r="P1900" s="46"/>
      <c r="Q1900" s="46"/>
      <c r="R1900" s="46"/>
      <c r="S1900" s="46"/>
      <c r="T1900" s="46"/>
      <c r="U1900" s="46"/>
      <c r="V1900" s="46"/>
      <c r="W1900" s="46"/>
      <c r="X1900" s="46"/>
    </row>
    <row r="1901" spans="1:24" x14ac:dyDescent="0.2">
      <c r="A1901" s="45"/>
      <c r="B1901" s="46"/>
      <c r="C1901" s="46"/>
      <c r="D1901" s="46"/>
      <c r="E1901" s="46"/>
      <c r="F1901" s="46"/>
      <c r="G1901" s="46"/>
      <c r="H1901" s="46"/>
      <c r="I1901" s="46"/>
      <c r="J1901" s="46"/>
      <c r="K1901" s="46"/>
      <c r="L1901" s="46"/>
      <c r="M1901" s="46"/>
      <c r="N1901" s="46"/>
      <c r="O1901" s="46"/>
      <c r="P1901" s="46"/>
      <c r="Q1901" s="46"/>
      <c r="R1901" s="46"/>
      <c r="S1901" s="46"/>
      <c r="T1901" s="46"/>
      <c r="U1901" s="46"/>
      <c r="V1901" s="46"/>
      <c r="W1901" s="46"/>
      <c r="X1901" s="46"/>
    </row>
    <row r="1902" spans="1:24" x14ac:dyDescent="0.2">
      <c r="A1902" s="45"/>
      <c r="B1902" s="46"/>
      <c r="C1902" s="46"/>
      <c r="D1902" s="46"/>
      <c r="E1902" s="46"/>
      <c r="F1902" s="46"/>
      <c r="G1902" s="46"/>
      <c r="H1902" s="46"/>
      <c r="I1902" s="46"/>
      <c r="J1902" s="46"/>
      <c r="K1902" s="46"/>
      <c r="L1902" s="46"/>
      <c r="M1902" s="46"/>
      <c r="N1902" s="46"/>
      <c r="O1902" s="46"/>
      <c r="P1902" s="46"/>
      <c r="Q1902" s="46"/>
      <c r="R1902" s="46"/>
      <c r="S1902" s="46"/>
      <c r="T1902" s="46"/>
      <c r="U1902" s="46"/>
      <c r="V1902" s="46"/>
      <c r="W1902" s="46"/>
      <c r="X1902" s="46"/>
    </row>
    <row r="1903" spans="1:24" x14ac:dyDescent="0.2">
      <c r="A1903" s="45"/>
      <c r="B1903" s="46"/>
      <c r="C1903" s="46"/>
      <c r="D1903" s="46"/>
      <c r="E1903" s="46"/>
      <c r="F1903" s="46"/>
      <c r="G1903" s="46"/>
      <c r="H1903" s="46"/>
      <c r="I1903" s="46"/>
      <c r="J1903" s="46"/>
      <c r="K1903" s="46"/>
      <c r="L1903" s="46"/>
      <c r="M1903" s="46"/>
      <c r="N1903" s="46"/>
      <c r="O1903" s="46"/>
      <c r="P1903" s="46"/>
      <c r="Q1903" s="46"/>
      <c r="R1903" s="46"/>
      <c r="S1903" s="46"/>
      <c r="T1903" s="46"/>
      <c r="U1903" s="46"/>
      <c r="V1903" s="46"/>
      <c r="W1903" s="46"/>
      <c r="X1903" s="46"/>
    </row>
    <row r="1904" spans="1:24" x14ac:dyDescent="0.2">
      <c r="A1904" s="45"/>
      <c r="B1904" s="46"/>
      <c r="C1904" s="46"/>
      <c r="D1904" s="46"/>
      <c r="E1904" s="46"/>
      <c r="F1904" s="46"/>
      <c r="G1904" s="46"/>
      <c r="H1904" s="46"/>
      <c r="I1904" s="46"/>
      <c r="J1904" s="46"/>
      <c r="K1904" s="46"/>
      <c r="L1904" s="46"/>
      <c r="M1904" s="46"/>
      <c r="N1904" s="46"/>
      <c r="O1904" s="46"/>
      <c r="P1904" s="46"/>
      <c r="Q1904" s="46"/>
      <c r="R1904" s="46"/>
      <c r="S1904" s="46"/>
      <c r="T1904" s="46"/>
      <c r="U1904" s="46"/>
      <c r="V1904" s="46"/>
      <c r="W1904" s="46"/>
      <c r="X1904" s="46"/>
    </row>
    <row r="1905" spans="1:24" x14ac:dyDescent="0.2">
      <c r="A1905" s="45"/>
      <c r="B1905" s="46"/>
      <c r="C1905" s="46"/>
      <c r="D1905" s="46"/>
      <c r="E1905" s="46"/>
      <c r="F1905" s="46"/>
      <c r="G1905" s="46"/>
      <c r="H1905" s="46"/>
      <c r="I1905" s="46"/>
      <c r="J1905" s="46"/>
      <c r="K1905" s="46"/>
      <c r="L1905" s="46"/>
      <c r="M1905" s="46"/>
      <c r="N1905" s="46"/>
      <c r="O1905" s="46"/>
      <c r="P1905" s="46"/>
      <c r="Q1905" s="46"/>
      <c r="R1905" s="46"/>
      <c r="S1905" s="46"/>
      <c r="T1905" s="46"/>
      <c r="U1905" s="46"/>
      <c r="V1905" s="46"/>
      <c r="W1905" s="46"/>
      <c r="X1905" s="46"/>
    </row>
    <row r="1906" spans="1:24" x14ac:dyDescent="0.2">
      <c r="A1906" s="45"/>
      <c r="B1906" s="46"/>
      <c r="C1906" s="46"/>
      <c r="D1906" s="46"/>
      <c r="E1906" s="46"/>
      <c r="F1906" s="46"/>
      <c r="G1906" s="46"/>
      <c r="H1906" s="46"/>
      <c r="I1906" s="46"/>
      <c r="J1906" s="46"/>
      <c r="K1906" s="46"/>
      <c r="L1906" s="46"/>
      <c r="M1906" s="46"/>
      <c r="N1906" s="46"/>
      <c r="O1906" s="46"/>
      <c r="P1906" s="46"/>
      <c r="Q1906" s="46"/>
      <c r="R1906" s="46"/>
      <c r="S1906" s="46"/>
      <c r="T1906" s="46"/>
      <c r="U1906" s="46"/>
      <c r="V1906" s="46"/>
      <c r="W1906" s="46"/>
      <c r="X1906" s="46"/>
    </row>
    <row r="1907" spans="1:24" x14ac:dyDescent="0.2">
      <c r="A1907" s="45"/>
      <c r="B1907" s="46"/>
      <c r="C1907" s="46"/>
      <c r="D1907" s="46"/>
      <c r="E1907" s="46"/>
      <c r="F1907" s="46"/>
      <c r="G1907" s="46"/>
      <c r="H1907" s="46"/>
      <c r="I1907" s="46"/>
      <c r="J1907" s="46"/>
      <c r="K1907" s="46"/>
      <c r="L1907" s="46"/>
      <c r="M1907" s="46"/>
      <c r="N1907" s="46"/>
      <c r="O1907" s="46"/>
      <c r="P1907" s="46"/>
      <c r="Q1907" s="46"/>
      <c r="R1907" s="46"/>
      <c r="S1907" s="46"/>
      <c r="T1907" s="46"/>
      <c r="U1907" s="46"/>
      <c r="V1907" s="46"/>
      <c r="W1907" s="46"/>
      <c r="X1907" s="46"/>
    </row>
    <row r="1908" spans="1:24" x14ac:dyDescent="0.2">
      <c r="A1908" s="45"/>
      <c r="B1908" s="46"/>
      <c r="C1908" s="46"/>
      <c r="D1908" s="46"/>
      <c r="E1908" s="46"/>
      <c r="F1908" s="46"/>
      <c r="G1908" s="46"/>
      <c r="H1908" s="46"/>
      <c r="I1908" s="46"/>
      <c r="J1908" s="46"/>
      <c r="K1908" s="46"/>
      <c r="L1908" s="46"/>
      <c r="M1908" s="46"/>
      <c r="N1908" s="46"/>
      <c r="O1908" s="46"/>
      <c r="P1908" s="46"/>
      <c r="Q1908" s="46"/>
      <c r="R1908" s="46"/>
      <c r="S1908" s="46"/>
      <c r="T1908" s="46"/>
      <c r="U1908" s="46"/>
      <c r="V1908" s="46"/>
      <c r="W1908" s="46"/>
      <c r="X1908" s="46"/>
    </row>
    <row r="1909" spans="1:24" x14ac:dyDescent="0.2">
      <c r="A1909" s="45"/>
      <c r="B1909" s="46"/>
      <c r="C1909" s="46"/>
      <c r="D1909" s="46"/>
      <c r="E1909" s="46"/>
      <c r="F1909" s="46"/>
      <c r="G1909" s="46"/>
      <c r="H1909" s="46"/>
      <c r="I1909" s="46"/>
      <c r="J1909" s="46"/>
      <c r="K1909" s="46"/>
      <c r="L1909" s="46"/>
      <c r="M1909" s="46"/>
      <c r="N1909" s="46"/>
      <c r="O1909" s="46"/>
      <c r="P1909" s="46"/>
      <c r="Q1909" s="46"/>
      <c r="R1909" s="46"/>
      <c r="S1909" s="46"/>
      <c r="T1909" s="46"/>
      <c r="U1909" s="46"/>
      <c r="V1909" s="46"/>
      <c r="W1909" s="46"/>
      <c r="X1909" s="46"/>
    </row>
    <row r="1910" spans="1:24" x14ac:dyDescent="0.2">
      <c r="A1910" s="45"/>
      <c r="B1910" s="46"/>
      <c r="C1910" s="46"/>
      <c r="D1910" s="46"/>
      <c r="E1910" s="46"/>
      <c r="F1910" s="46"/>
      <c r="G1910" s="46"/>
      <c r="H1910" s="46"/>
      <c r="I1910" s="46"/>
      <c r="J1910" s="46"/>
      <c r="K1910" s="46"/>
      <c r="L1910" s="46"/>
      <c r="M1910" s="46"/>
      <c r="N1910" s="46"/>
      <c r="O1910" s="46"/>
      <c r="P1910" s="46"/>
      <c r="Q1910" s="46"/>
      <c r="R1910" s="46"/>
      <c r="S1910" s="46"/>
      <c r="T1910" s="46"/>
      <c r="U1910" s="46"/>
      <c r="V1910" s="46"/>
      <c r="W1910" s="46"/>
      <c r="X1910" s="46"/>
    </row>
    <row r="1911" spans="1:24" x14ac:dyDescent="0.2">
      <c r="A1911" s="45"/>
      <c r="B1911" s="46"/>
      <c r="C1911" s="46"/>
      <c r="D1911" s="46"/>
      <c r="E1911" s="46"/>
      <c r="F1911" s="46"/>
      <c r="G1911" s="46"/>
      <c r="H1911" s="46"/>
      <c r="I1911" s="46"/>
      <c r="J1911" s="46"/>
      <c r="K1911" s="46"/>
      <c r="L1911" s="46"/>
      <c r="M1911" s="46"/>
      <c r="N1911" s="46"/>
      <c r="O1911" s="46"/>
      <c r="P1911" s="46"/>
      <c r="Q1911" s="46"/>
      <c r="R1911" s="46"/>
      <c r="S1911" s="46"/>
      <c r="T1911" s="46"/>
      <c r="U1911" s="46"/>
      <c r="V1911" s="46"/>
      <c r="W1911" s="46"/>
      <c r="X1911" s="46"/>
    </row>
    <row r="1912" spans="1:24" x14ac:dyDescent="0.2">
      <c r="A1912" s="45"/>
      <c r="B1912" s="46"/>
      <c r="C1912" s="46"/>
      <c r="D1912" s="46"/>
      <c r="E1912" s="46"/>
      <c r="F1912" s="46"/>
      <c r="G1912" s="46"/>
      <c r="H1912" s="46"/>
      <c r="I1912" s="46"/>
      <c r="J1912" s="46"/>
      <c r="K1912" s="46"/>
      <c r="L1912" s="46"/>
      <c r="M1912" s="46"/>
      <c r="N1912" s="46"/>
      <c r="O1912" s="46"/>
      <c r="P1912" s="46"/>
      <c r="Q1912" s="46"/>
      <c r="R1912" s="46"/>
      <c r="S1912" s="46"/>
      <c r="T1912" s="46"/>
      <c r="U1912" s="46"/>
      <c r="V1912" s="46"/>
      <c r="W1912" s="46"/>
      <c r="X1912" s="46"/>
    </row>
    <row r="1913" spans="1:24" x14ac:dyDescent="0.2">
      <c r="A1913" s="45"/>
      <c r="B1913" s="46"/>
      <c r="C1913" s="46"/>
      <c r="D1913" s="46"/>
      <c r="E1913" s="46"/>
      <c r="F1913" s="46"/>
      <c r="G1913" s="46"/>
      <c r="H1913" s="46"/>
      <c r="I1913" s="46"/>
      <c r="J1913" s="46"/>
      <c r="K1913" s="46"/>
      <c r="L1913" s="46"/>
      <c r="M1913" s="46"/>
      <c r="N1913" s="46"/>
      <c r="O1913" s="46"/>
      <c r="P1913" s="46"/>
      <c r="Q1913" s="46"/>
      <c r="R1913" s="46"/>
      <c r="S1913" s="46"/>
      <c r="T1913" s="46"/>
      <c r="U1913" s="46"/>
      <c r="V1913" s="46"/>
      <c r="W1913" s="46"/>
      <c r="X1913" s="46"/>
    </row>
    <row r="1914" spans="1:24" x14ac:dyDescent="0.2">
      <c r="A1914" s="45"/>
      <c r="B1914" s="46"/>
      <c r="C1914" s="46"/>
      <c r="D1914" s="46"/>
      <c r="E1914" s="46"/>
      <c r="F1914" s="46"/>
      <c r="G1914" s="46"/>
      <c r="H1914" s="46"/>
      <c r="I1914" s="46"/>
      <c r="J1914" s="46"/>
      <c r="K1914" s="46"/>
      <c r="L1914" s="46"/>
      <c r="M1914" s="46"/>
      <c r="N1914" s="46"/>
      <c r="O1914" s="46"/>
      <c r="P1914" s="46"/>
      <c r="Q1914" s="46"/>
      <c r="R1914" s="46"/>
      <c r="S1914" s="46"/>
      <c r="T1914" s="46"/>
      <c r="U1914" s="46"/>
      <c r="V1914" s="46"/>
      <c r="W1914" s="46"/>
      <c r="X1914" s="46"/>
    </row>
    <row r="1915" spans="1:24" x14ac:dyDescent="0.2">
      <c r="A1915" s="45"/>
      <c r="B1915" s="46"/>
      <c r="C1915" s="46"/>
      <c r="D1915" s="46"/>
      <c r="E1915" s="46"/>
      <c r="F1915" s="46"/>
      <c r="G1915" s="46"/>
      <c r="H1915" s="46"/>
      <c r="I1915" s="46"/>
      <c r="J1915" s="46"/>
      <c r="K1915" s="46"/>
      <c r="L1915" s="46"/>
      <c r="M1915" s="46"/>
      <c r="N1915" s="46"/>
      <c r="O1915" s="46"/>
      <c r="P1915" s="46"/>
      <c r="Q1915" s="46"/>
      <c r="R1915" s="46"/>
      <c r="S1915" s="46"/>
      <c r="T1915" s="46"/>
      <c r="U1915" s="46"/>
      <c r="V1915" s="46"/>
      <c r="W1915" s="46"/>
      <c r="X1915" s="46"/>
    </row>
    <row r="1916" spans="1:24" x14ac:dyDescent="0.2">
      <c r="A1916" s="45"/>
      <c r="B1916" s="46"/>
      <c r="C1916" s="46"/>
      <c r="D1916" s="46"/>
      <c r="E1916" s="46"/>
      <c r="F1916" s="46"/>
      <c r="G1916" s="46"/>
      <c r="H1916" s="46"/>
      <c r="I1916" s="46"/>
      <c r="J1916" s="46"/>
      <c r="K1916" s="46"/>
      <c r="L1916" s="46"/>
      <c r="M1916" s="46"/>
      <c r="N1916" s="46"/>
      <c r="O1916" s="46"/>
      <c r="P1916" s="46"/>
      <c r="Q1916" s="46"/>
      <c r="R1916" s="46"/>
      <c r="S1916" s="46"/>
      <c r="T1916" s="46"/>
      <c r="U1916" s="46"/>
      <c r="V1916" s="46"/>
      <c r="W1916" s="46"/>
      <c r="X1916" s="46"/>
    </row>
    <row r="1917" spans="1:24" x14ac:dyDescent="0.2">
      <c r="A1917" s="45"/>
      <c r="B1917" s="46"/>
      <c r="C1917" s="46"/>
      <c r="D1917" s="46"/>
      <c r="E1917" s="46"/>
      <c r="F1917" s="46"/>
      <c r="G1917" s="46"/>
      <c r="H1917" s="46"/>
      <c r="I1917" s="46"/>
      <c r="J1917" s="46"/>
      <c r="K1917" s="46"/>
      <c r="L1917" s="46"/>
      <c r="M1917" s="46"/>
      <c r="N1917" s="46"/>
      <c r="O1917" s="46"/>
      <c r="P1917" s="46"/>
      <c r="Q1917" s="46"/>
      <c r="R1917" s="46"/>
      <c r="S1917" s="46"/>
      <c r="T1917" s="46"/>
      <c r="U1917" s="46"/>
      <c r="V1917" s="46"/>
      <c r="W1917" s="46"/>
      <c r="X1917" s="46"/>
    </row>
    <row r="1918" spans="1:24" x14ac:dyDescent="0.2">
      <c r="A1918" s="45"/>
      <c r="B1918" s="46"/>
      <c r="C1918" s="46"/>
      <c r="D1918" s="46"/>
      <c r="E1918" s="46"/>
      <c r="F1918" s="46"/>
      <c r="G1918" s="46"/>
      <c r="H1918" s="46"/>
      <c r="I1918" s="46"/>
      <c r="J1918" s="46"/>
      <c r="K1918" s="46"/>
      <c r="L1918" s="46"/>
      <c r="M1918" s="46"/>
      <c r="N1918" s="46"/>
      <c r="O1918" s="46"/>
      <c r="P1918" s="46"/>
      <c r="Q1918" s="46"/>
      <c r="R1918" s="46"/>
      <c r="S1918" s="46"/>
      <c r="T1918" s="46"/>
      <c r="U1918" s="46"/>
      <c r="V1918" s="46"/>
      <c r="W1918" s="46"/>
      <c r="X1918" s="46"/>
    </row>
    <row r="1919" spans="1:24" x14ac:dyDescent="0.2">
      <c r="A1919" s="45"/>
      <c r="B1919" s="46"/>
      <c r="C1919" s="46"/>
      <c r="D1919" s="46"/>
      <c r="E1919" s="46"/>
      <c r="F1919" s="46"/>
      <c r="G1919" s="46"/>
      <c r="H1919" s="46"/>
      <c r="I1919" s="46"/>
      <c r="J1919" s="46"/>
      <c r="K1919" s="46"/>
      <c r="L1919" s="46"/>
      <c r="M1919" s="46"/>
      <c r="N1919" s="46"/>
      <c r="O1919" s="46"/>
      <c r="P1919" s="46"/>
      <c r="Q1919" s="46"/>
      <c r="R1919" s="46"/>
      <c r="S1919" s="46"/>
      <c r="T1919" s="46"/>
      <c r="U1919" s="46"/>
      <c r="V1919" s="46"/>
      <c r="W1919" s="46"/>
      <c r="X1919" s="46"/>
    </row>
    <row r="1920" spans="1:24" x14ac:dyDescent="0.2">
      <c r="A1920" s="45"/>
      <c r="B1920" s="46"/>
      <c r="C1920" s="46"/>
      <c r="D1920" s="46"/>
      <c r="E1920" s="46"/>
      <c r="F1920" s="46"/>
      <c r="G1920" s="46"/>
      <c r="H1920" s="46"/>
      <c r="I1920" s="46"/>
      <c r="J1920" s="46"/>
      <c r="K1920" s="46"/>
      <c r="L1920" s="46"/>
      <c r="M1920" s="46"/>
      <c r="N1920" s="46"/>
      <c r="O1920" s="46"/>
      <c r="P1920" s="46"/>
      <c r="Q1920" s="46"/>
      <c r="R1920" s="46"/>
      <c r="S1920" s="46"/>
      <c r="T1920" s="46"/>
      <c r="U1920" s="46"/>
      <c r="V1920" s="46"/>
      <c r="W1920" s="46"/>
      <c r="X1920" s="46"/>
    </row>
    <row r="1921" spans="1:24" x14ac:dyDescent="0.2">
      <c r="A1921" s="45"/>
      <c r="B1921" s="46"/>
      <c r="C1921" s="46"/>
      <c r="D1921" s="46"/>
      <c r="E1921" s="46"/>
      <c r="F1921" s="46"/>
      <c r="G1921" s="46"/>
      <c r="H1921" s="46"/>
      <c r="I1921" s="46"/>
      <c r="J1921" s="46"/>
      <c r="K1921" s="46"/>
      <c r="L1921" s="46"/>
      <c r="M1921" s="46"/>
      <c r="N1921" s="46"/>
      <c r="O1921" s="46"/>
      <c r="P1921" s="46"/>
      <c r="Q1921" s="46"/>
      <c r="R1921" s="46"/>
      <c r="S1921" s="46"/>
      <c r="T1921" s="46"/>
      <c r="U1921" s="46"/>
      <c r="V1921" s="46"/>
      <c r="W1921" s="46"/>
      <c r="X1921" s="46"/>
    </row>
    <row r="1922" spans="1:24" x14ac:dyDescent="0.2">
      <c r="A1922" s="45"/>
      <c r="B1922" s="46"/>
      <c r="C1922" s="46"/>
      <c r="D1922" s="46"/>
      <c r="E1922" s="46"/>
      <c r="F1922" s="46"/>
      <c r="G1922" s="46"/>
      <c r="H1922" s="46"/>
      <c r="I1922" s="46"/>
      <c r="J1922" s="46"/>
      <c r="K1922" s="46"/>
      <c r="L1922" s="46"/>
      <c r="M1922" s="46"/>
      <c r="N1922" s="46"/>
      <c r="O1922" s="46"/>
      <c r="P1922" s="46"/>
      <c r="Q1922" s="46"/>
      <c r="R1922" s="46"/>
      <c r="S1922" s="46"/>
      <c r="T1922" s="46"/>
      <c r="U1922" s="46"/>
      <c r="V1922" s="46"/>
      <c r="W1922" s="46"/>
      <c r="X1922" s="46"/>
    </row>
    <row r="1923" spans="1:24" x14ac:dyDescent="0.2">
      <c r="A1923" s="45"/>
      <c r="B1923" s="46"/>
      <c r="C1923" s="46"/>
      <c r="D1923" s="46"/>
      <c r="E1923" s="46"/>
      <c r="F1923" s="46"/>
      <c r="G1923" s="46"/>
      <c r="H1923" s="46"/>
      <c r="I1923" s="46"/>
      <c r="J1923" s="46"/>
      <c r="K1923" s="46"/>
      <c r="L1923" s="46"/>
      <c r="M1923" s="46"/>
      <c r="N1923" s="46"/>
      <c r="O1923" s="46"/>
      <c r="P1923" s="46"/>
      <c r="Q1923" s="46"/>
      <c r="R1923" s="46"/>
      <c r="S1923" s="46"/>
      <c r="T1923" s="46"/>
      <c r="U1923" s="46"/>
      <c r="V1923" s="46"/>
      <c r="W1923" s="46"/>
      <c r="X1923" s="46"/>
    </row>
    <row r="1924" spans="1:24" x14ac:dyDescent="0.2">
      <c r="A1924" s="45"/>
      <c r="B1924" s="46"/>
      <c r="C1924" s="46"/>
      <c r="D1924" s="46"/>
      <c r="E1924" s="46"/>
      <c r="F1924" s="46"/>
      <c r="G1924" s="46"/>
      <c r="H1924" s="46"/>
      <c r="I1924" s="46"/>
      <c r="J1924" s="46"/>
      <c r="K1924" s="46"/>
      <c r="L1924" s="46"/>
      <c r="M1924" s="46"/>
      <c r="N1924" s="46"/>
      <c r="O1924" s="46"/>
      <c r="P1924" s="46"/>
      <c r="Q1924" s="46"/>
      <c r="R1924" s="46"/>
      <c r="S1924" s="46"/>
      <c r="T1924" s="46"/>
      <c r="U1924" s="46"/>
      <c r="V1924" s="46"/>
      <c r="W1924" s="46"/>
      <c r="X1924" s="46"/>
    </row>
    <row r="1925" spans="1:24" x14ac:dyDescent="0.2">
      <c r="A1925" s="45"/>
      <c r="B1925" s="46"/>
      <c r="C1925" s="46"/>
      <c r="D1925" s="46"/>
      <c r="E1925" s="46"/>
      <c r="F1925" s="46"/>
      <c r="G1925" s="46"/>
      <c r="H1925" s="46"/>
      <c r="I1925" s="46"/>
      <c r="J1925" s="46"/>
      <c r="K1925" s="46"/>
      <c r="L1925" s="46"/>
      <c r="M1925" s="46"/>
      <c r="N1925" s="46"/>
      <c r="O1925" s="46"/>
      <c r="P1925" s="46"/>
      <c r="Q1925" s="46"/>
      <c r="R1925" s="46"/>
      <c r="S1925" s="46"/>
      <c r="T1925" s="46"/>
      <c r="U1925" s="46"/>
      <c r="V1925" s="46"/>
      <c r="W1925" s="46"/>
      <c r="X1925" s="46"/>
    </row>
    <row r="1926" spans="1:24" x14ac:dyDescent="0.2">
      <c r="A1926" s="45"/>
      <c r="B1926" s="46"/>
      <c r="C1926" s="46"/>
      <c r="D1926" s="46"/>
      <c r="E1926" s="46"/>
      <c r="F1926" s="46"/>
      <c r="G1926" s="46"/>
      <c r="H1926" s="46"/>
      <c r="I1926" s="46"/>
      <c r="J1926" s="46"/>
      <c r="K1926" s="46"/>
      <c r="L1926" s="46"/>
      <c r="M1926" s="46"/>
      <c r="N1926" s="46"/>
      <c r="O1926" s="46"/>
      <c r="P1926" s="46"/>
      <c r="Q1926" s="46"/>
      <c r="R1926" s="46"/>
      <c r="S1926" s="46"/>
      <c r="T1926" s="46"/>
      <c r="U1926" s="46"/>
      <c r="V1926" s="46"/>
      <c r="W1926" s="46"/>
      <c r="X1926" s="46"/>
    </row>
    <row r="1927" spans="1:24" x14ac:dyDescent="0.2">
      <c r="A1927" s="45"/>
      <c r="B1927" s="46"/>
      <c r="C1927" s="46"/>
      <c r="D1927" s="46"/>
      <c r="E1927" s="46"/>
      <c r="F1927" s="46"/>
      <c r="G1927" s="46"/>
      <c r="H1927" s="46"/>
      <c r="I1927" s="46"/>
      <c r="J1927" s="46"/>
      <c r="K1927" s="46"/>
      <c r="L1927" s="46"/>
      <c r="M1927" s="46"/>
      <c r="N1927" s="46"/>
      <c r="O1927" s="46"/>
      <c r="P1927" s="46"/>
      <c r="Q1927" s="46"/>
      <c r="R1927" s="46"/>
      <c r="S1927" s="46"/>
      <c r="T1927" s="46"/>
      <c r="U1927" s="46"/>
      <c r="V1927" s="46"/>
      <c r="W1927" s="46"/>
      <c r="X1927" s="46"/>
    </row>
    <row r="1928" spans="1:24" x14ac:dyDescent="0.2">
      <c r="A1928" s="45"/>
      <c r="B1928" s="46"/>
      <c r="C1928" s="46"/>
      <c r="D1928" s="46"/>
      <c r="E1928" s="46"/>
      <c r="F1928" s="46"/>
      <c r="G1928" s="46"/>
      <c r="H1928" s="46"/>
      <c r="I1928" s="46"/>
      <c r="J1928" s="46"/>
      <c r="K1928" s="46"/>
      <c r="L1928" s="46"/>
      <c r="M1928" s="46"/>
      <c r="N1928" s="46"/>
      <c r="O1928" s="46"/>
      <c r="P1928" s="46"/>
      <c r="Q1928" s="46"/>
      <c r="R1928" s="46"/>
      <c r="S1928" s="46"/>
      <c r="T1928" s="46"/>
      <c r="U1928" s="46"/>
      <c r="V1928" s="46"/>
      <c r="W1928" s="46"/>
      <c r="X1928" s="46"/>
    </row>
    <row r="1929" spans="1:24" x14ac:dyDescent="0.2">
      <c r="A1929" s="45"/>
      <c r="B1929" s="46"/>
      <c r="C1929" s="46"/>
      <c r="D1929" s="46"/>
      <c r="E1929" s="46"/>
      <c r="F1929" s="46"/>
      <c r="G1929" s="46"/>
      <c r="H1929" s="46"/>
      <c r="I1929" s="46"/>
      <c r="J1929" s="46"/>
      <c r="K1929" s="46"/>
      <c r="L1929" s="46"/>
      <c r="M1929" s="46"/>
      <c r="N1929" s="46"/>
      <c r="O1929" s="46"/>
      <c r="P1929" s="46"/>
      <c r="Q1929" s="46"/>
      <c r="R1929" s="46"/>
      <c r="S1929" s="46"/>
      <c r="T1929" s="46"/>
      <c r="U1929" s="46"/>
      <c r="V1929" s="46"/>
      <c r="W1929" s="46"/>
      <c r="X1929" s="46"/>
    </row>
    <row r="1930" spans="1:24" x14ac:dyDescent="0.2">
      <c r="A1930" s="45"/>
      <c r="B1930" s="46"/>
      <c r="C1930" s="46"/>
      <c r="D1930" s="46"/>
      <c r="E1930" s="46"/>
      <c r="F1930" s="46"/>
      <c r="G1930" s="46"/>
      <c r="H1930" s="46"/>
      <c r="I1930" s="46"/>
      <c r="J1930" s="46"/>
      <c r="K1930" s="46"/>
      <c r="L1930" s="46"/>
      <c r="M1930" s="46"/>
      <c r="N1930" s="46"/>
      <c r="O1930" s="46"/>
      <c r="P1930" s="46"/>
      <c r="Q1930" s="46"/>
      <c r="R1930" s="46"/>
      <c r="S1930" s="46"/>
      <c r="T1930" s="46"/>
      <c r="U1930" s="46"/>
      <c r="V1930" s="46"/>
      <c r="W1930" s="46"/>
      <c r="X1930" s="46"/>
    </row>
    <row r="1931" spans="1:24" x14ac:dyDescent="0.2">
      <c r="A1931" s="45"/>
      <c r="B1931" s="46"/>
      <c r="C1931" s="46"/>
      <c r="D1931" s="46"/>
      <c r="E1931" s="46"/>
      <c r="F1931" s="46"/>
      <c r="G1931" s="46"/>
      <c r="H1931" s="46"/>
      <c r="I1931" s="46"/>
      <c r="J1931" s="46"/>
      <c r="K1931" s="46"/>
      <c r="L1931" s="46"/>
      <c r="M1931" s="46"/>
      <c r="N1931" s="46"/>
      <c r="O1931" s="46"/>
      <c r="P1931" s="46"/>
      <c r="Q1931" s="46"/>
      <c r="R1931" s="46"/>
      <c r="S1931" s="46"/>
      <c r="T1931" s="46"/>
      <c r="U1931" s="46"/>
      <c r="V1931" s="46"/>
      <c r="W1931" s="46"/>
      <c r="X1931" s="46"/>
    </row>
    <row r="1932" spans="1:24" x14ac:dyDescent="0.2">
      <c r="A1932" s="45"/>
      <c r="B1932" s="46"/>
      <c r="C1932" s="46"/>
      <c r="D1932" s="46"/>
      <c r="E1932" s="46"/>
      <c r="F1932" s="46"/>
      <c r="G1932" s="46"/>
      <c r="H1932" s="46"/>
      <c r="I1932" s="46"/>
      <c r="J1932" s="46"/>
      <c r="K1932" s="46"/>
      <c r="L1932" s="46"/>
      <c r="M1932" s="46"/>
      <c r="N1932" s="46"/>
      <c r="O1932" s="46"/>
      <c r="P1932" s="46"/>
      <c r="Q1932" s="46"/>
      <c r="R1932" s="46"/>
      <c r="S1932" s="46"/>
      <c r="T1932" s="46"/>
      <c r="U1932" s="46"/>
      <c r="V1932" s="46"/>
      <c r="W1932" s="46"/>
      <c r="X1932" s="46"/>
    </row>
    <row r="1933" spans="1:24" x14ac:dyDescent="0.2">
      <c r="A1933" s="45"/>
      <c r="B1933" s="46"/>
      <c r="C1933" s="46"/>
      <c r="D1933" s="46"/>
      <c r="E1933" s="46"/>
      <c r="F1933" s="46"/>
      <c r="G1933" s="46"/>
      <c r="H1933" s="46"/>
      <c r="I1933" s="46"/>
      <c r="J1933" s="46"/>
      <c r="K1933" s="46"/>
      <c r="L1933" s="46"/>
      <c r="M1933" s="46"/>
      <c r="N1933" s="46"/>
      <c r="O1933" s="46"/>
      <c r="P1933" s="46"/>
      <c r="Q1933" s="46"/>
      <c r="R1933" s="46"/>
      <c r="S1933" s="46"/>
      <c r="T1933" s="46"/>
      <c r="U1933" s="46"/>
      <c r="V1933" s="46"/>
      <c r="W1933" s="46"/>
      <c r="X1933" s="46"/>
    </row>
    <row r="1934" spans="1:24" x14ac:dyDescent="0.2">
      <c r="A1934" s="45"/>
      <c r="B1934" s="46"/>
      <c r="C1934" s="46"/>
      <c r="D1934" s="46"/>
      <c r="E1934" s="46"/>
      <c r="F1934" s="46"/>
      <c r="G1934" s="46"/>
      <c r="H1934" s="46"/>
      <c r="I1934" s="46"/>
      <c r="J1934" s="46"/>
      <c r="K1934" s="46"/>
      <c r="L1934" s="46"/>
      <c r="M1934" s="46"/>
      <c r="N1934" s="46"/>
      <c r="O1934" s="46"/>
      <c r="P1934" s="46"/>
      <c r="Q1934" s="46"/>
      <c r="R1934" s="46"/>
      <c r="S1934" s="46"/>
      <c r="T1934" s="46"/>
      <c r="U1934" s="46"/>
      <c r="V1934" s="46"/>
      <c r="W1934" s="46"/>
      <c r="X1934" s="46"/>
    </row>
    <row r="1935" spans="1:24" x14ac:dyDescent="0.2">
      <c r="A1935" s="45"/>
      <c r="B1935" s="46"/>
      <c r="C1935" s="46"/>
      <c r="D1935" s="46"/>
      <c r="E1935" s="46"/>
      <c r="F1935" s="46"/>
      <c r="G1935" s="46"/>
      <c r="H1935" s="46"/>
      <c r="I1935" s="46"/>
      <c r="J1935" s="46"/>
      <c r="K1935" s="46"/>
      <c r="L1935" s="46"/>
      <c r="M1935" s="46"/>
      <c r="N1935" s="46"/>
      <c r="O1935" s="46"/>
      <c r="P1935" s="46"/>
      <c r="Q1935" s="46"/>
      <c r="R1935" s="46"/>
      <c r="S1935" s="46"/>
      <c r="T1935" s="46"/>
      <c r="U1935" s="46"/>
      <c r="V1935" s="46"/>
      <c r="W1935" s="46"/>
      <c r="X1935" s="46"/>
    </row>
    <row r="1936" spans="1:24" x14ac:dyDescent="0.2">
      <c r="A1936" s="45"/>
      <c r="B1936" s="46"/>
      <c r="C1936" s="46"/>
      <c r="D1936" s="46"/>
      <c r="E1936" s="46"/>
      <c r="F1936" s="46"/>
      <c r="G1936" s="46"/>
      <c r="H1936" s="46"/>
      <c r="I1936" s="46"/>
      <c r="J1936" s="46"/>
      <c r="K1936" s="46"/>
      <c r="L1936" s="46"/>
      <c r="M1936" s="46"/>
      <c r="N1936" s="46"/>
      <c r="O1936" s="46"/>
      <c r="P1936" s="46"/>
      <c r="Q1936" s="46"/>
      <c r="R1936" s="46"/>
      <c r="S1936" s="46"/>
      <c r="T1936" s="46"/>
      <c r="U1936" s="46"/>
      <c r="V1936" s="46"/>
      <c r="W1936" s="46"/>
      <c r="X1936" s="46"/>
    </row>
    <row r="1937" spans="1:24" x14ac:dyDescent="0.2">
      <c r="A1937" s="45"/>
      <c r="B1937" s="46"/>
      <c r="C1937" s="46"/>
      <c r="D1937" s="46"/>
      <c r="E1937" s="46"/>
      <c r="F1937" s="46"/>
      <c r="G1937" s="46"/>
      <c r="H1937" s="46"/>
      <c r="I1937" s="46"/>
      <c r="J1937" s="46"/>
      <c r="K1937" s="46"/>
      <c r="L1937" s="46"/>
      <c r="M1937" s="46"/>
      <c r="N1937" s="46"/>
      <c r="O1937" s="46"/>
      <c r="P1937" s="46"/>
      <c r="Q1937" s="46"/>
      <c r="R1937" s="46"/>
      <c r="S1937" s="46"/>
      <c r="T1937" s="46"/>
      <c r="U1937" s="46"/>
      <c r="V1937" s="46"/>
      <c r="W1937" s="46"/>
      <c r="X1937" s="46"/>
    </row>
    <row r="1938" spans="1:24" x14ac:dyDescent="0.2">
      <c r="A1938" s="45"/>
      <c r="B1938" s="46"/>
      <c r="C1938" s="46"/>
      <c r="D1938" s="46"/>
      <c r="E1938" s="46"/>
      <c r="F1938" s="46"/>
      <c r="G1938" s="46"/>
      <c r="H1938" s="46"/>
      <c r="I1938" s="46"/>
      <c r="J1938" s="46"/>
      <c r="K1938" s="46"/>
      <c r="L1938" s="46"/>
      <c r="M1938" s="46"/>
      <c r="N1938" s="46"/>
      <c r="O1938" s="46"/>
      <c r="P1938" s="46"/>
      <c r="Q1938" s="46"/>
      <c r="R1938" s="46"/>
      <c r="S1938" s="46"/>
      <c r="T1938" s="46"/>
      <c r="U1938" s="46"/>
      <c r="V1938" s="46"/>
      <c r="W1938" s="46"/>
      <c r="X1938" s="46"/>
    </row>
    <row r="1939" spans="1:24" x14ac:dyDescent="0.2">
      <c r="A1939" s="45"/>
      <c r="B1939" s="46"/>
      <c r="C1939" s="46"/>
      <c r="D1939" s="46"/>
      <c r="E1939" s="46"/>
      <c r="F1939" s="46"/>
      <c r="G1939" s="46"/>
      <c r="H1939" s="46"/>
      <c r="I1939" s="46"/>
      <c r="J1939" s="46"/>
      <c r="K1939" s="46"/>
      <c r="L1939" s="46"/>
      <c r="M1939" s="46"/>
      <c r="N1939" s="46"/>
      <c r="O1939" s="46"/>
      <c r="P1939" s="46"/>
      <c r="Q1939" s="46"/>
      <c r="R1939" s="46"/>
      <c r="S1939" s="46"/>
      <c r="T1939" s="46"/>
      <c r="U1939" s="46"/>
      <c r="V1939" s="46"/>
      <c r="W1939" s="46"/>
      <c r="X1939" s="46"/>
    </row>
    <row r="1940" spans="1:24" x14ac:dyDescent="0.2">
      <c r="A1940" s="45"/>
      <c r="B1940" s="46"/>
      <c r="C1940" s="46"/>
      <c r="D1940" s="46"/>
      <c r="E1940" s="46"/>
      <c r="F1940" s="46"/>
      <c r="G1940" s="46"/>
      <c r="H1940" s="46"/>
      <c r="I1940" s="46"/>
      <c r="J1940" s="46"/>
      <c r="K1940" s="46"/>
      <c r="L1940" s="46"/>
      <c r="M1940" s="46"/>
      <c r="N1940" s="46"/>
      <c r="O1940" s="46"/>
      <c r="P1940" s="46"/>
      <c r="Q1940" s="46"/>
      <c r="R1940" s="46"/>
      <c r="S1940" s="46"/>
      <c r="T1940" s="46"/>
      <c r="U1940" s="46"/>
      <c r="V1940" s="46"/>
      <c r="W1940" s="46"/>
      <c r="X1940" s="46"/>
    </row>
    <row r="1941" spans="1:24" x14ac:dyDescent="0.2">
      <c r="A1941" s="45"/>
      <c r="B1941" s="46"/>
      <c r="C1941" s="46"/>
      <c r="D1941" s="46"/>
      <c r="E1941" s="46"/>
      <c r="F1941" s="46"/>
      <c r="G1941" s="46"/>
      <c r="H1941" s="46"/>
      <c r="I1941" s="46"/>
      <c r="J1941" s="46"/>
      <c r="K1941" s="46"/>
      <c r="L1941" s="46"/>
      <c r="M1941" s="46"/>
      <c r="N1941" s="46"/>
      <c r="O1941" s="46"/>
      <c r="P1941" s="46"/>
      <c r="Q1941" s="46"/>
      <c r="R1941" s="46"/>
      <c r="S1941" s="46"/>
      <c r="T1941" s="46"/>
      <c r="U1941" s="46"/>
      <c r="V1941" s="46"/>
      <c r="W1941" s="46"/>
      <c r="X1941" s="46"/>
    </row>
    <row r="1942" spans="1:24" x14ac:dyDescent="0.2">
      <c r="A1942" s="45"/>
      <c r="B1942" s="46"/>
      <c r="C1942" s="46"/>
      <c r="D1942" s="46"/>
      <c r="E1942" s="46"/>
      <c r="F1942" s="46"/>
      <c r="G1942" s="46"/>
      <c r="H1942" s="46"/>
      <c r="I1942" s="46"/>
      <c r="J1942" s="46"/>
      <c r="K1942" s="46"/>
      <c r="L1942" s="46"/>
      <c r="M1942" s="46"/>
      <c r="N1942" s="46"/>
      <c r="O1942" s="46"/>
      <c r="P1942" s="46"/>
      <c r="Q1942" s="46"/>
      <c r="R1942" s="46"/>
      <c r="S1942" s="46"/>
      <c r="T1942" s="46"/>
      <c r="U1942" s="46"/>
      <c r="V1942" s="46"/>
      <c r="W1942" s="46"/>
      <c r="X1942" s="46"/>
    </row>
    <row r="1943" spans="1:24" x14ac:dyDescent="0.2">
      <c r="A1943" s="45"/>
      <c r="B1943" s="46"/>
      <c r="C1943" s="46"/>
      <c r="D1943" s="46"/>
      <c r="E1943" s="46"/>
      <c r="F1943" s="46"/>
      <c r="G1943" s="46"/>
      <c r="H1943" s="46"/>
      <c r="I1943" s="46"/>
      <c r="J1943" s="46"/>
      <c r="K1943" s="46"/>
      <c r="L1943" s="46"/>
      <c r="M1943" s="46"/>
      <c r="N1943" s="46"/>
      <c r="O1943" s="46"/>
      <c r="P1943" s="46"/>
      <c r="Q1943" s="46"/>
      <c r="R1943" s="46"/>
      <c r="S1943" s="46"/>
      <c r="T1943" s="46"/>
      <c r="U1943" s="46"/>
      <c r="V1943" s="46"/>
      <c r="W1943" s="46"/>
      <c r="X1943" s="46"/>
    </row>
    <row r="1944" spans="1:24" x14ac:dyDescent="0.2">
      <c r="A1944" s="45"/>
      <c r="B1944" s="46"/>
      <c r="C1944" s="46"/>
      <c r="D1944" s="46"/>
      <c r="E1944" s="46"/>
      <c r="F1944" s="46"/>
      <c r="G1944" s="46"/>
      <c r="H1944" s="46"/>
      <c r="I1944" s="46"/>
      <c r="J1944" s="46"/>
      <c r="K1944" s="46"/>
      <c r="L1944" s="46"/>
      <c r="M1944" s="46"/>
      <c r="N1944" s="46"/>
      <c r="O1944" s="46"/>
      <c r="P1944" s="46"/>
      <c r="Q1944" s="46"/>
      <c r="R1944" s="46"/>
      <c r="S1944" s="46"/>
      <c r="T1944" s="46"/>
      <c r="U1944" s="46"/>
      <c r="V1944" s="46"/>
      <c r="W1944" s="46"/>
      <c r="X1944" s="46"/>
    </row>
    <row r="1945" spans="1:24" x14ac:dyDescent="0.2">
      <c r="A1945" s="45"/>
      <c r="B1945" s="46"/>
      <c r="C1945" s="46"/>
      <c r="D1945" s="46"/>
      <c r="E1945" s="46"/>
      <c r="F1945" s="46"/>
      <c r="G1945" s="46"/>
      <c r="H1945" s="46"/>
      <c r="I1945" s="46"/>
      <c r="J1945" s="46"/>
      <c r="K1945" s="46"/>
      <c r="L1945" s="46"/>
      <c r="M1945" s="46"/>
      <c r="N1945" s="46"/>
      <c r="O1945" s="46"/>
      <c r="P1945" s="46"/>
      <c r="Q1945" s="46"/>
      <c r="R1945" s="46"/>
      <c r="S1945" s="46"/>
      <c r="T1945" s="46"/>
      <c r="U1945" s="46"/>
      <c r="V1945" s="46"/>
      <c r="W1945" s="46"/>
      <c r="X1945" s="46"/>
    </row>
    <row r="1946" spans="1:24" x14ac:dyDescent="0.2">
      <c r="A1946" s="45"/>
      <c r="B1946" s="46"/>
      <c r="C1946" s="46"/>
      <c r="D1946" s="46"/>
      <c r="E1946" s="46"/>
      <c r="F1946" s="46"/>
      <c r="G1946" s="46"/>
      <c r="H1946" s="46"/>
      <c r="I1946" s="46"/>
      <c r="J1946" s="46"/>
      <c r="K1946" s="46"/>
      <c r="L1946" s="46"/>
      <c r="M1946" s="46"/>
      <c r="N1946" s="46"/>
      <c r="O1946" s="46"/>
      <c r="P1946" s="46"/>
      <c r="Q1946" s="46"/>
      <c r="R1946" s="46"/>
      <c r="S1946" s="46"/>
      <c r="T1946" s="46"/>
      <c r="U1946" s="46"/>
      <c r="V1946" s="46"/>
      <c r="W1946" s="46"/>
      <c r="X1946" s="46"/>
    </row>
    <row r="1947" spans="1:24" x14ac:dyDescent="0.2">
      <c r="A1947" s="45"/>
      <c r="B1947" s="46"/>
      <c r="C1947" s="46"/>
      <c r="D1947" s="46"/>
      <c r="E1947" s="46"/>
      <c r="F1947" s="46"/>
      <c r="G1947" s="46"/>
      <c r="H1947" s="46"/>
      <c r="I1947" s="46"/>
      <c r="J1947" s="46"/>
      <c r="K1947" s="46"/>
      <c r="L1947" s="46"/>
      <c r="M1947" s="46"/>
      <c r="N1947" s="46"/>
      <c r="O1947" s="46"/>
      <c r="P1947" s="46"/>
      <c r="Q1947" s="46"/>
      <c r="R1947" s="46"/>
      <c r="S1947" s="46"/>
      <c r="T1947" s="46"/>
      <c r="U1947" s="46"/>
      <c r="V1947" s="46"/>
      <c r="W1947" s="46"/>
      <c r="X1947" s="46"/>
    </row>
    <row r="1948" spans="1:24" x14ac:dyDescent="0.2">
      <c r="A1948" s="45"/>
      <c r="B1948" s="46"/>
      <c r="C1948" s="46"/>
      <c r="D1948" s="46"/>
      <c r="E1948" s="46"/>
      <c r="F1948" s="46"/>
      <c r="G1948" s="46"/>
      <c r="H1948" s="46"/>
      <c r="I1948" s="46"/>
      <c r="J1948" s="46"/>
      <c r="K1948" s="46"/>
      <c r="L1948" s="46"/>
      <c r="M1948" s="46"/>
      <c r="N1948" s="46"/>
      <c r="O1948" s="46"/>
      <c r="P1948" s="46"/>
      <c r="Q1948" s="46"/>
      <c r="R1948" s="46"/>
      <c r="S1948" s="46"/>
      <c r="T1948" s="46"/>
      <c r="U1948" s="46"/>
      <c r="V1948" s="46"/>
      <c r="W1948" s="46"/>
      <c r="X1948" s="46"/>
    </row>
    <row r="1949" spans="1:24" x14ac:dyDescent="0.2">
      <c r="A1949" s="45"/>
      <c r="B1949" s="46"/>
      <c r="C1949" s="46"/>
      <c r="D1949" s="46"/>
      <c r="E1949" s="46"/>
      <c r="F1949" s="46"/>
      <c r="G1949" s="46"/>
      <c r="H1949" s="46"/>
      <c r="I1949" s="46"/>
      <c r="J1949" s="46"/>
      <c r="K1949" s="46"/>
      <c r="L1949" s="46"/>
      <c r="M1949" s="46"/>
      <c r="N1949" s="46"/>
      <c r="O1949" s="46"/>
      <c r="P1949" s="46"/>
      <c r="Q1949" s="46"/>
      <c r="R1949" s="46"/>
      <c r="S1949" s="46"/>
      <c r="T1949" s="46"/>
      <c r="U1949" s="46"/>
      <c r="V1949" s="46"/>
      <c r="W1949" s="46"/>
      <c r="X1949" s="46"/>
    </row>
    <row r="1950" spans="1:24" x14ac:dyDescent="0.2">
      <c r="A1950" s="45"/>
      <c r="B1950" s="46"/>
      <c r="C1950" s="46"/>
      <c r="D1950" s="46"/>
      <c r="E1950" s="46"/>
      <c r="F1950" s="46"/>
      <c r="G1950" s="46"/>
      <c r="H1950" s="46"/>
      <c r="I1950" s="46"/>
      <c r="J1950" s="46"/>
      <c r="K1950" s="46"/>
      <c r="L1950" s="46"/>
      <c r="M1950" s="46"/>
      <c r="N1950" s="46"/>
      <c r="O1950" s="46"/>
      <c r="P1950" s="46"/>
      <c r="Q1950" s="46"/>
      <c r="R1950" s="46"/>
      <c r="S1950" s="46"/>
      <c r="T1950" s="46"/>
      <c r="U1950" s="46"/>
      <c r="V1950" s="46"/>
      <c r="W1950" s="46"/>
      <c r="X1950" s="46"/>
    </row>
    <row r="1951" spans="1:24" x14ac:dyDescent="0.2">
      <c r="A1951" s="45"/>
      <c r="B1951" s="46"/>
      <c r="C1951" s="46"/>
      <c r="D1951" s="46"/>
      <c r="E1951" s="46"/>
      <c r="F1951" s="46"/>
      <c r="G1951" s="46"/>
      <c r="H1951" s="46"/>
      <c r="I1951" s="46"/>
      <c r="J1951" s="46"/>
      <c r="K1951" s="46"/>
      <c r="L1951" s="46"/>
      <c r="M1951" s="46"/>
      <c r="N1951" s="46"/>
      <c r="O1951" s="46"/>
      <c r="P1951" s="46"/>
      <c r="Q1951" s="46"/>
      <c r="R1951" s="46"/>
      <c r="S1951" s="46"/>
      <c r="T1951" s="46"/>
      <c r="U1951" s="46"/>
      <c r="V1951" s="46"/>
      <c r="W1951" s="46"/>
      <c r="X1951" s="46"/>
    </row>
    <row r="1952" spans="1:24" x14ac:dyDescent="0.2">
      <c r="A1952" s="45"/>
      <c r="B1952" s="46"/>
      <c r="C1952" s="46"/>
      <c r="D1952" s="46"/>
      <c r="E1952" s="46"/>
      <c r="F1952" s="46"/>
      <c r="G1952" s="46"/>
      <c r="H1952" s="46"/>
      <c r="I1952" s="46"/>
      <c r="J1952" s="46"/>
      <c r="K1952" s="46"/>
      <c r="L1952" s="46"/>
      <c r="M1952" s="46"/>
      <c r="N1952" s="46"/>
      <c r="O1952" s="46"/>
      <c r="P1952" s="46"/>
      <c r="Q1952" s="46"/>
      <c r="R1952" s="46"/>
      <c r="S1952" s="46"/>
      <c r="T1952" s="46"/>
      <c r="U1952" s="46"/>
      <c r="V1952" s="46"/>
      <c r="W1952" s="46"/>
      <c r="X1952" s="46"/>
    </row>
    <row r="1953" spans="1:24" x14ac:dyDescent="0.2">
      <c r="A1953" s="45"/>
      <c r="B1953" s="46"/>
      <c r="C1953" s="46"/>
      <c r="D1953" s="46"/>
      <c r="E1953" s="46"/>
      <c r="F1953" s="46"/>
      <c r="G1953" s="46"/>
      <c r="H1953" s="46"/>
      <c r="I1953" s="46"/>
      <c r="J1953" s="46"/>
      <c r="K1953" s="46"/>
      <c r="L1953" s="46"/>
      <c r="M1953" s="46"/>
      <c r="N1953" s="46"/>
      <c r="O1953" s="46"/>
      <c r="P1953" s="46"/>
      <c r="Q1953" s="46"/>
      <c r="R1953" s="46"/>
      <c r="S1953" s="46"/>
      <c r="T1953" s="46"/>
      <c r="U1953" s="46"/>
      <c r="V1953" s="46"/>
      <c r="W1953" s="46"/>
      <c r="X1953" s="46"/>
    </row>
    <row r="1954" spans="1:24" x14ac:dyDescent="0.2">
      <c r="A1954" s="45"/>
      <c r="B1954" s="46"/>
      <c r="C1954" s="46"/>
      <c r="D1954" s="46"/>
      <c r="E1954" s="46"/>
      <c r="F1954" s="46"/>
      <c r="G1954" s="46"/>
      <c r="H1954" s="46"/>
      <c r="I1954" s="46"/>
      <c r="J1954" s="46"/>
      <c r="K1954" s="46"/>
      <c r="L1954" s="46"/>
      <c r="M1954" s="46"/>
      <c r="N1954" s="46"/>
      <c r="O1954" s="46"/>
      <c r="P1954" s="46"/>
      <c r="Q1954" s="46"/>
      <c r="R1954" s="46"/>
      <c r="S1954" s="46"/>
      <c r="T1954" s="46"/>
      <c r="U1954" s="46"/>
      <c r="V1954" s="46"/>
      <c r="W1954" s="46"/>
      <c r="X1954" s="46"/>
    </row>
    <row r="1955" spans="1:24" x14ac:dyDescent="0.2">
      <c r="A1955" s="45"/>
      <c r="B1955" s="46"/>
      <c r="C1955" s="46"/>
      <c r="D1955" s="46"/>
      <c r="E1955" s="46"/>
      <c r="F1955" s="46"/>
      <c r="G1955" s="46"/>
      <c r="H1955" s="46"/>
      <c r="I1955" s="46"/>
      <c r="J1955" s="46"/>
      <c r="K1955" s="46"/>
      <c r="L1955" s="46"/>
      <c r="M1955" s="46"/>
      <c r="N1955" s="46"/>
      <c r="O1955" s="46"/>
      <c r="P1955" s="46"/>
      <c r="Q1955" s="46"/>
      <c r="R1955" s="46"/>
      <c r="S1955" s="46"/>
      <c r="T1955" s="46"/>
      <c r="U1955" s="46"/>
      <c r="V1955" s="46"/>
      <c r="W1955" s="46"/>
      <c r="X1955" s="46"/>
    </row>
    <row r="1956" spans="1:24" x14ac:dyDescent="0.2">
      <c r="A1956" s="45"/>
      <c r="B1956" s="46"/>
      <c r="C1956" s="46"/>
      <c r="D1956" s="46"/>
      <c r="E1956" s="46"/>
      <c r="F1956" s="46"/>
      <c r="G1956" s="46"/>
      <c r="H1956" s="46"/>
      <c r="I1956" s="46"/>
      <c r="J1956" s="46"/>
      <c r="K1956" s="46"/>
      <c r="L1956" s="46"/>
      <c r="M1956" s="46"/>
      <c r="N1956" s="46"/>
      <c r="O1956" s="46"/>
      <c r="P1956" s="46"/>
      <c r="Q1956" s="46"/>
      <c r="R1956" s="46"/>
      <c r="S1956" s="46"/>
      <c r="T1956" s="46"/>
      <c r="U1956" s="46"/>
      <c r="V1956" s="46"/>
      <c r="W1956" s="46"/>
      <c r="X1956" s="46"/>
    </row>
    <row r="1957" spans="1:24" x14ac:dyDescent="0.2">
      <c r="A1957" s="45"/>
      <c r="B1957" s="46"/>
      <c r="C1957" s="46"/>
      <c r="D1957" s="46"/>
      <c r="E1957" s="46"/>
      <c r="F1957" s="46"/>
      <c r="G1957" s="46"/>
      <c r="H1957" s="46"/>
      <c r="I1957" s="46"/>
      <c r="J1957" s="46"/>
      <c r="K1957" s="46"/>
      <c r="L1957" s="46"/>
      <c r="M1957" s="46"/>
      <c r="N1957" s="46"/>
      <c r="O1957" s="46"/>
      <c r="P1957" s="46"/>
      <c r="Q1957" s="46"/>
      <c r="R1957" s="46"/>
      <c r="S1957" s="46"/>
      <c r="T1957" s="46"/>
      <c r="U1957" s="46"/>
      <c r="V1957" s="46"/>
      <c r="W1957" s="46"/>
      <c r="X1957" s="46"/>
    </row>
    <row r="1958" spans="1:24" x14ac:dyDescent="0.2">
      <c r="A1958" s="45"/>
      <c r="B1958" s="46"/>
      <c r="C1958" s="46"/>
      <c r="D1958" s="46"/>
      <c r="E1958" s="46"/>
      <c r="F1958" s="46"/>
      <c r="G1958" s="46"/>
      <c r="H1958" s="46"/>
      <c r="I1958" s="46"/>
      <c r="J1958" s="46"/>
      <c r="K1958" s="46"/>
      <c r="L1958" s="46"/>
      <c r="M1958" s="46"/>
      <c r="N1958" s="46"/>
      <c r="O1958" s="46"/>
      <c r="P1958" s="46"/>
      <c r="Q1958" s="46"/>
      <c r="R1958" s="46"/>
      <c r="S1958" s="46"/>
      <c r="T1958" s="46"/>
      <c r="U1958" s="46"/>
      <c r="V1958" s="46"/>
      <c r="W1958" s="46"/>
      <c r="X1958" s="46"/>
    </row>
    <row r="1959" spans="1:24" x14ac:dyDescent="0.2">
      <c r="A1959" s="45"/>
      <c r="B1959" s="46"/>
      <c r="C1959" s="46"/>
      <c r="D1959" s="46"/>
      <c r="E1959" s="46"/>
      <c r="F1959" s="46"/>
      <c r="G1959" s="46"/>
      <c r="H1959" s="46"/>
      <c r="I1959" s="46"/>
      <c r="J1959" s="46"/>
      <c r="K1959" s="46"/>
      <c r="L1959" s="46"/>
      <c r="M1959" s="46"/>
      <c r="N1959" s="46"/>
      <c r="O1959" s="46"/>
      <c r="P1959" s="46"/>
      <c r="Q1959" s="46"/>
      <c r="R1959" s="46"/>
      <c r="S1959" s="46"/>
      <c r="T1959" s="46"/>
      <c r="U1959" s="46"/>
      <c r="V1959" s="46"/>
      <c r="W1959" s="46"/>
      <c r="X1959" s="46"/>
    </row>
    <row r="1960" spans="1:24" x14ac:dyDescent="0.2">
      <c r="A1960" s="45"/>
      <c r="B1960" s="46"/>
      <c r="C1960" s="46"/>
      <c r="D1960" s="46"/>
      <c r="E1960" s="46"/>
      <c r="F1960" s="46"/>
      <c r="G1960" s="46"/>
      <c r="H1960" s="46"/>
      <c r="I1960" s="46"/>
      <c r="J1960" s="46"/>
      <c r="K1960" s="46"/>
      <c r="L1960" s="46"/>
      <c r="M1960" s="46"/>
      <c r="N1960" s="46"/>
      <c r="O1960" s="46"/>
      <c r="P1960" s="46"/>
      <c r="Q1960" s="46"/>
      <c r="R1960" s="46"/>
      <c r="S1960" s="46"/>
      <c r="T1960" s="46"/>
      <c r="U1960" s="46"/>
      <c r="V1960" s="46"/>
      <c r="W1960" s="46"/>
      <c r="X1960" s="46"/>
    </row>
    <row r="1961" spans="1:24" x14ac:dyDescent="0.2">
      <c r="A1961" s="45"/>
      <c r="B1961" s="46"/>
      <c r="C1961" s="46"/>
      <c r="D1961" s="46"/>
      <c r="E1961" s="46"/>
      <c r="F1961" s="46"/>
      <c r="G1961" s="46"/>
      <c r="H1961" s="46"/>
      <c r="I1961" s="46"/>
      <c r="J1961" s="46"/>
      <c r="K1961" s="46"/>
      <c r="L1961" s="46"/>
      <c r="M1961" s="46"/>
      <c r="N1961" s="46"/>
      <c r="O1961" s="46"/>
      <c r="P1961" s="46"/>
      <c r="Q1961" s="46"/>
      <c r="R1961" s="46"/>
      <c r="S1961" s="46"/>
      <c r="T1961" s="46"/>
      <c r="U1961" s="46"/>
      <c r="V1961" s="46"/>
      <c r="W1961" s="46"/>
      <c r="X1961" s="46"/>
    </row>
    <row r="1962" spans="1:24" x14ac:dyDescent="0.2">
      <c r="A1962" s="45"/>
      <c r="B1962" s="46"/>
      <c r="C1962" s="46"/>
      <c r="D1962" s="46"/>
      <c r="E1962" s="46"/>
      <c r="F1962" s="46"/>
      <c r="G1962" s="46"/>
      <c r="H1962" s="46"/>
      <c r="I1962" s="46"/>
      <c r="J1962" s="46"/>
      <c r="K1962" s="46"/>
      <c r="L1962" s="46"/>
      <c r="M1962" s="46"/>
      <c r="N1962" s="46"/>
      <c r="O1962" s="46"/>
      <c r="P1962" s="46"/>
      <c r="Q1962" s="46"/>
      <c r="R1962" s="46"/>
      <c r="S1962" s="46"/>
      <c r="T1962" s="46"/>
      <c r="U1962" s="46"/>
      <c r="V1962" s="46"/>
      <c r="W1962" s="46"/>
      <c r="X1962" s="46"/>
    </row>
    <row r="1963" spans="1:24" x14ac:dyDescent="0.2">
      <c r="A1963" s="45"/>
      <c r="B1963" s="46"/>
      <c r="C1963" s="46"/>
      <c r="D1963" s="46"/>
      <c r="E1963" s="46"/>
      <c r="F1963" s="46"/>
      <c r="G1963" s="46"/>
      <c r="H1963" s="46"/>
      <c r="I1963" s="46"/>
      <c r="J1963" s="46"/>
      <c r="K1963" s="46"/>
      <c r="L1963" s="46"/>
      <c r="M1963" s="46"/>
      <c r="N1963" s="46"/>
      <c r="O1963" s="46"/>
      <c r="P1963" s="46"/>
      <c r="Q1963" s="46"/>
      <c r="R1963" s="46"/>
      <c r="S1963" s="46"/>
      <c r="T1963" s="46"/>
      <c r="U1963" s="46"/>
      <c r="V1963" s="46"/>
      <c r="W1963" s="46"/>
      <c r="X1963" s="46"/>
    </row>
    <row r="1964" spans="1:24" x14ac:dyDescent="0.2">
      <c r="A1964" s="45"/>
      <c r="B1964" s="46"/>
      <c r="C1964" s="46"/>
      <c r="D1964" s="46"/>
      <c r="E1964" s="46"/>
      <c r="F1964" s="46"/>
      <c r="G1964" s="46"/>
      <c r="H1964" s="46"/>
      <c r="I1964" s="46"/>
      <c r="J1964" s="46"/>
      <c r="K1964" s="46"/>
      <c r="L1964" s="46"/>
      <c r="M1964" s="46"/>
      <c r="N1964" s="46"/>
      <c r="O1964" s="46"/>
      <c r="P1964" s="46"/>
      <c r="Q1964" s="46"/>
      <c r="R1964" s="46"/>
      <c r="S1964" s="46"/>
      <c r="T1964" s="46"/>
      <c r="U1964" s="46"/>
      <c r="V1964" s="46"/>
      <c r="W1964" s="46"/>
      <c r="X1964" s="46"/>
    </row>
    <row r="1965" spans="1:24" x14ac:dyDescent="0.2">
      <c r="A1965" s="45"/>
      <c r="B1965" s="46"/>
      <c r="C1965" s="46"/>
      <c r="D1965" s="46"/>
      <c r="E1965" s="46"/>
      <c r="F1965" s="46"/>
      <c r="G1965" s="46"/>
      <c r="H1965" s="46"/>
      <c r="I1965" s="46"/>
      <c r="J1965" s="46"/>
      <c r="K1965" s="46"/>
      <c r="L1965" s="46"/>
      <c r="M1965" s="46"/>
      <c r="N1965" s="46"/>
      <c r="O1965" s="46"/>
      <c r="P1965" s="46"/>
      <c r="Q1965" s="46"/>
      <c r="R1965" s="46"/>
      <c r="S1965" s="46"/>
      <c r="T1965" s="46"/>
      <c r="U1965" s="46"/>
      <c r="V1965" s="46"/>
      <c r="W1965" s="46"/>
      <c r="X1965" s="46"/>
    </row>
    <row r="1966" spans="1:24" x14ac:dyDescent="0.2">
      <c r="A1966" s="45"/>
      <c r="B1966" s="46"/>
      <c r="C1966" s="46"/>
      <c r="D1966" s="46"/>
      <c r="E1966" s="46"/>
      <c r="F1966" s="46"/>
      <c r="G1966" s="46"/>
      <c r="H1966" s="46"/>
      <c r="I1966" s="46"/>
      <c r="J1966" s="46"/>
      <c r="K1966" s="46"/>
      <c r="L1966" s="46"/>
      <c r="M1966" s="46"/>
      <c r="N1966" s="46"/>
      <c r="O1966" s="46"/>
      <c r="P1966" s="46"/>
      <c r="Q1966" s="46"/>
      <c r="R1966" s="46"/>
      <c r="S1966" s="46"/>
      <c r="T1966" s="46"/>
      <c r="U1966" s="46"/>
      <c r="V1966" s="46"/>
      <c r="W1966" s="46"/>
      <c r="X1966" s="46"/>
    </row>
    <row r="1967" spans="1:24" x14ac:dyDescent="0.2">
      <c r="A1967" s="45"/>
      <c r="B1967" s="46"/>
      <c r="C1967" s="46"/>
      <c r="D1967" s="46"/>
      <c r="E1967" s="46"/>
      <c r="F1967" s="46"/>
      <c r="G1967" s="46"/>
      <c r="H1967" s="46"/>
      <c r="I1967" s="46"/>
      <c r="J1967" s="46"/>
      <c r="K1967" s="46"/>
      <c r="L1967" s="46"/>
      <c r="M1967" s="46"/>
      <c r="N1967" s="46"/>
      <c r="O1967" s="46"/>
      <c r="P1967" s="46"/>
      <c r="Q1967" s="46"/>
      <c r="R1967" s="46"/>
      <c r="S1967" s="46"/>
      <c r="T1967" s="46"/>
      <c r="U1967" s="46"/>
      <c r="V1967" s="46"/>
      <c r="W1967" s="46"/>
      <c r="X1967" s="46"/>
    </row>
    <row r="1968" spans="1:24" x14ac:dyDescent="0.2">
      <c r="A1968" s="45"/>
      <c r="B1968" s="46"/>
      <c r="C1968" s="46"/>
      <c r="D1968" s="46"/>
      <c r="E1968" s="46"/>
      <c r="F1968" s="46"/>
      <c r="G1968" s="46"/>
      <c r="H1968" s="46"/>
      <c r="I1968" s="46"/>
      <c r="J1968" s="46"/>
      <c r="K1968" s="46"/>
      <c r="L1968" s="46"/>
      <c r="M1968" s="46"/>
      <c r="N1968" s="46"/>
      <c r="O1968" s="46"/>
      <c r="P1968" s="46"/>
      <c r="Q1968" s="46"/>
      <c r="R1968" s="46"/>
      <c r="S1968" s="46"/>
      <c r="T1968" s="46"/>
      <c r="U1968" s="46"/>
      <c r="V1968" s="46"/>
      <c r="W1968" s="46"/>
      <c r="X1968" s="46"/>
    </row>
    <row r="1969" spans="1:24" x14ac:dyDescent="0.2">
      <c r="A1969" s="45"/>
      <c r="B1969" s="46"/>
      <c r="C1969" s="46"/>
      <c r="D1969" s="46"/>
      <c r="E1969" s="46"/>
      <c r="F1969" s="46"/>
      <c r="G1969" s="46"/>
      <c r="H1969" s="46"/>
      <c r="I1969" s="46"/>
      <c r="J1969" s="46"/>
      <c r="K1969" s="46"/>
      <c r="L1969" s="46"/>
      <c r="M1969" s="46"/>
      <c r="N1969" s="46"/>
      <c r="O1969" s="46"/>
      <c r="P1969" s="46"/>
      <c r="Q1969" s="46"/>
      <c r="R1969" s="46"/>
      <c r="S1969" s="46"/>
      <c r="T1969" s="46"/>
      <c r="U1969" s="46"/>
      <c r="V1969" s="46"/>
      <c r="W1969" s="46"/>
      <c r="X1969" s="46"/>
    </row>
    <row r="1970" spans="1:24" x14ac:dyDescent="0.2">
      <c r="A1970" s="45"/>
      <c r="B1970" s="46"/>
      <c r="C1970" s="46"/>
      <c r="D1970" s="46"/>
      <c r="E1970" s="46"/>
      <c r="F1970" s="46"/>
      <c r="G1970" s="46"/>
      <c r="H1970" s="46"/>
      <c r="I1970" s="46"/>
      <c r="J1970" s="46"/>
      <c r="K1970" s="46"/>
      <c r="L1970" s="46"/>
      <c r="M1970" s="46"/>
      <c r="N1970" s="46"/>
      <c r="O1970" s="46"/>
      <c r="P1970" s="46"/>
      <c r="Q1970" s="46"/>
      <c r="R1970" s="46"/>
      <c r="S1970" s="46"/>
      <c r="T1970" s="46"/>
      <c r="U1970" s="46"/>
      <c r="V1970" s="46"/>
      <c r="W1970" s="46"/>
      <c r="X1970" s="46"/>
    </row>
    <row r="1971" spans="1:24" x14ac:dyDescent="0.2">
      <c r="A1971" s="45"/>
      <c r="B1971" s="46"/>
      <c r="C1971" s="46"/>
      <c r="D1971" s="46"/>
      <c r="E1971" s="46"/>
      <c r="F1971" s="46"/>
      <c r="G1971" s="46"/>
      <c r="H1971" s="46"/>
      <c r="I1971" s="46"/>
      <c r="J1971" s="46"/>
      <c r="K1971" s="46"/>
      <c r="L1971" s="46"/>
      <c r="M1971" s="46"/>
      <c r="N1971" s="46"/>
      <c r="O1971" s="46"/>
      <c r="P1971" s="46"/>
      <c r="Q1971" s="46"/>
      <c r="R1971" s="46"/>
      <c r="S1971" s="46"/>
      <c r="T1971" s="46"/>
      <c r="U1971" s="46"/>
      <c r="V1971" s="46"/>
      <c r="W1971" s="46"/>
      <c r="X1971" s="46"/>
    </row>
    <row r="1972" spans="1:24" x14ac:dyDescent="0.2">
      <c r="A1972" s="45"/>
      <c r="B1972" s="46"/>
      <c r="C1972" s="46"/>
      <c r="D1972" s="46"/>
      <c r="E1972" s="46"/>
      <c r="F1972" s="46"/>
      <c r="G1972" s="46"/>
      <c r="H1972" s="46"/>
      <c r="I1972" s="46"/>
      <c r="J1972" s="46"/>
      <c r="K1972" s="46"/>
      <c r="L1972" s="46"/>
      <c r="M1972" s="46"/>
      <c r="N1972" s="46"/>
      <c r="O1972" s="46"/>
      <c r="P1972" s="46"/>
      <c r="Q1972" s="46"/>
      <c r="R1972" s="46"/>
      <c r="S1972" s="46"/>
      <c r="T1972" s="46"/>
      <c r="U1972" s="46"/>
      <c r="V1972" s="46"/>
      <c r="W1972" s="46"/>
      <c r="X1972" s="46"/>
    </row>
    <row r="1973" spans="1:24" x14ac:dyDescent="0.2">
      <c r="A1973" s="45"/>
      <c r="B1973" s="46"/>
      <c r="C1973" s="46"/>
      <c r="D1973" s="46"/>
      <c r="E1973" s="46"/>
      <c r="F1973" s="46"/>
      <c r="G1973" s="46"/>
      <c r="H1973" s="46"/>
      <c r="I1973" s="46"/>
      <c r="J1973" s="46"/>
      <c r="K1973" s="46"/>
      <c r="L1973" s="46"/>
      <c r="M1973" s="46"/>
      <c r="N1973" s="46"/>
      <c r="O1973" s="46"/>
      <c r="P1973" s="46"/>
      <c r="Q1973" s="46"/>
      <c r="R1973" s="46"/>
      <c r="S1973" s="46"/>
      <c r="T1973" s="46"/>
      <c r="U1973" s="46"/>
      <c r="V1973" s="46"/>
      <c r="W1973" s="46"/>
      <c r="X1973" s="46"/>
    </row>
    <row r="1974" spans="1:24" x14ac:dyDescent="0.2">
      <c r="A1974" s="45"/>
      <c r="B1974" s="46"/>
      <c r="C1974" s="46"/>
      <c r="D1974" s="46"/>
      <c r="E1974" s="46"/>
      <c r="F1974" s="46"/>
      <c r="G1974" s="46"/>
      <c r="H1974" s="46"/>
      <c r="I1974" s="46"/>
      <c r="J1974" s="46"/>
      <c r="K1974" s="46"/>
      <c r="L1974" s="46"/>
      <c r="M1974" s="46"/>
      <c r="N1974" s="46"/>
      <c r="O1974" s="46"/>
      <c r="P1974" s="46"/>
      <c r="Q1974" s="46"/>
      <c r="R1974" s="46"/>
      <c r="S1974" s="46"/>
      <c r="T1974" s="46"/>
      <c r="U1974" s="46"/>
      <c r="V1974" s="46"/>
      <c r="W1974" s="46"/>
      <c r="X1974" s="46"/>
    </row>
    <row r="1975" spans="1:24" x14ac:dyDescent="0.2">
      <c r="A1975" s="45"/>
      <c r="B1975" s="46"/>
      <c r="C1975" s="46"/>
      <c r="D1975" s="46"/>
      <c r="E1975" s="46"/>
      <c r="F1975" s="46"/>
      <c r="G1975" s="46"/>
      <c r="H1975" s="46"/>
      <c r="I1975" s="46"/>
      <c r="J1975" s="46"/>
      <c r="K1975" s="46"/>
      <c r="L1975" s="46"/>
      <c r="M1975" s="46"/>
      <c r="N1975" s="46"/>
      <c r="O1975" s="46"/>
      <c r="P1975" s="46"/>
      <c r="Q1975" s="46"/>
      <c r="R1975" s="46"/>
      <c r="S1975" s="46"/>
      <c r="T1975" s="46"/>
      <c r="U1975" s="46"/>
      <c r="V1975" s="46"/>
      <c r="W1975" s="46"/>
      <c r="X1975" s="46"/>
    </row>
    <row r="1976" spans="1:24" x14ac:dyDescent="0.2">
      <c r="A1976" s="45"/>
      <c r="B1976" s="46"/>
      <c r="C1976" s="46"/>
      <c r="D1976" s="46"/>
      <c r="E1976" s="46"/>
      <c r="F1976" s="46"/>
      <c r="G1976" s="46"/>
      <c r="H1976" s="46"/>
      <c r="I1976" s="46"/>
      <c r="J1976" s="46"/>
      <c r="K1976" s="46"/>
      <c r="L1976" s="46"/>
      <c r="M1976" s="46"/>
      <c r="N1976" s="46"/>
      <c r="O1976" s="46"/>
      <c r="P1976" s="46"/>
      <c r="Q1976" s="46"/>
      <c r="R1976" s="46"/>
      <c r="S1976" s="46"/>
      <c r="T1976" s="46"/>
      <c r="U1976" s="46"/>
      <c r="V1976" s="46"/>
      <c r="W1976" s="46"/>
      <c r="X1976" s="46"/>
    </row>
    <row r="1977" spans="1:24" x14ac:dyDescent="0.2">
      <c r="A1977" s="45"/>
      <c r="B1977" s="46"/>
      <c r="C1977" s="46"/>
      <c r="D1977" s="46"/>
      <c r="E1977" s="46"/>
      <c r="F1977" s="46"/>
      <c r="G1977" s="46"/>
      <c r="H1977" s="46"/>
      <c r="I1977" s="46"/>
      <c r="J1977" s="46"/>
      <c r="K1977" s="46"/>
      <c r="L1977" s="46"/>
      <c r="M1977" s="46"/>
      <c r="N1977" s="46"/>
      <c r="O1977" s="46"/>
      <c r="P1977" s="46"/>
      <c r="Q1977" s="46"/>
      <c r="R1977" s="46"/>
      <c r="S1977" s="46"/>
      <c r="T1977" s="46"/>
      <c r="U1977" s="46"/>
      <c r="V1977" s="46"/>
      <c r="W1977" s="46"/>
      <c r="X1977" s="46"/>
    </row>
    <row r="1978" spans="1:24" x14ac:dyDescent="0.2">
      <c r="A1978" s="45"/>
      <c r="B1978" s="46"/>
      <c r="C1978" s="46"/>
      <c r="D1978" s="46"/>
      <c r="E1978" s="46"/>
      <c r="F1978" s="46"/>
      <c r="G1978" s="46"/>
      <c r="H1978" s="46"/>
      <c r="I1978" s="46"/>
      <c r="J1978" s="46"/>
      <c r="K1978" s="46"/>
      <c r="L1978" s="46"/>
      <c r="M1978" s="46"/>
      <c r="N1978" s="46"/>
      <c r="O1978" s="46"/>
      <c r="P1978" s="46"/>
      <c r="Q1978" s="46"/>
      <c r="R1978" s="46"/>
      <c r="S1978" s="46"/>
      <c r="T1978" s="46"/>
      <c r="U1978" s="46"/>
      <c r="V1978" s="46"/>
      <c r="W1978" s="46"/>
      <c r="X1978" s="46"/>
    </row>
    <row r="1979" spans="1:24" x14ac:dyDescent="0.2">
      <c r="A1979" s="45"/>
      <c r="B1979" s="46"/>
      <c r="C1979" s="46"/>
      <c r="D1979" s="46"/>
      <c r="E1979" s="46"/>
      <c r="F1979" s="46"/>
      <c r="G1979" s="46"/>
      <c r="H1979" s="46"/>
      <c r="I1979" s="46"/>
      <c r="J1979" s="46"/>
      <c r="K1979" s="46"/>
      <c r="L1979" s="46"/>
      <c r="M1979" s="46"/>
      <c r="N1979" s="46"/>
      <c r="O1979" s="46"/>
      <c r="P1979" s="46"/>
      <c r="Q1979" s="46"/>
      <c r="R1979" s="46"/>
      <c r="S1979" s="46"/>
      <c r="T1979" s="46"/>
      <c r="U1979" s="46"/>
      <c r="V1979" s="46"/>
      <c r="W1979" s="46"/>
      <c r="X1979" s="46"/>
    </row>
    <row r="1980" spans="1:24" x14ac:dyDescent="0.2">
      <c r="A1980" s="45"/>
      <c r="B1980" s="46"/>
      <c r="C1980" s="46"/>
      <c r="D1980" s="46"/>
      <c r="E1980" s="46"/>
      <c r="F1980" s="46"/>
      <c r="G1980" s="46"/>
      <c r="H1980" s="46"/>
      <c r="I1980" s="46"/>
      <c r="J1980" s="46"/>
      <c r="K1980" s="46"/>
      <c r="L1980" s="46"/>
      <c r="M1980" s="46"/>
      <c r="N1980" s="46"/>
      <c r="O1980" s="46"/>
      <c r="P1980" s="46"/>
      <c r="Q1980" s="46"/>
      <c r="R1980" s="46"/>
      <c r="S1980" s="46"/>
      <c r="T1980" s="46"/>
      <c r="U1980" s="46"/>
      <c r="V1980" s="46"/>
      <c r="W1980" s="46"/>
      <c r="X1980" s="46"/>
    </row>
    <row r="1981" spans="1:24" x14ac:dyDescent="0.2">
      <c r="A1981" s="45"/>
      <c r="B1981" s="46"/>
      <c r="C1981" s="46"/>
      <c r="D1981" s="46"/>
      <c r="E1981" s="46"/>
      <c r="F1981" s="46"/>
      <c r="G1981" s="46"/>
      <c r="H1981" s="46"/>
      <c r="I1981" s="46"/>
      <c r="J1981" s="46"/>
      <c r="K1981" s="46"/>
      <c r="L1981" s="46"/>
      <c r="M1981" s="46"/>
      <c r="N1981" s="46"/>
      <c r="O1981" s="46"/>
      <c r="P1981" s="46"/>
      <c r="Q1981" s="46"/>
      <c r="R1981" s="46"/>
      <c r="S1981" s="46"/>
      <c r="T1981" s="46"/>
      <c r="U1981" s="46"/>
      <c r="V1981" s="46"/>
      <c r="W1981" s="46"/>
      <c r="X1981" s="46"/>
    </row>
    <row r="1982" spans="1:24" x14ac:dyDescent="0.2">
      <c r="A1982" s="45"/>
      <c r="B1982" s="46"/>
      <c r="C1982" s="46"/>
      <c r="D1982" s="46"/>
      <c r="E1982" s="46"/>
      <c r="F1982" s="46"/>
      <c r="G1982" s="46"/>
      <c r="H1982" s="46"/>
      <c r="I1982" s="46"/>
      <c r="J1982" s="46"/>
      <c r="K1982" s="46"/>
      <c r="L1982" s="46"/>
      <c r="M1982" s="46"/>
      <c r="N1982" s="46"/>
      <c r="O1982" s="46"/>
      <c r="P1982" s="46"/>
      <c r="Q1982" s="46"/>
      <c r="R1982" s="46"/>
      <c r="S1982" s="46"/>
      <c r="T1982" s="46"/>
      <c r="U1982" s="46"/>
      <c r="V1982" s="46"/>
      <c r="W1982" s="46"/>
      <c r="X1982" s="46"/>
    </row>
    <row r="1983" spans="1:24" x14ac:dyDescent="0.2">
      <c r="A1983" s="45"/>
      <c r="B1983" s="46"/>
      <c r="C1983" s="46"/>
      <c r="D1983" s="46"/>
      <c r="E1983" s="46"/>
      <c r="F1983" s="46"/>
      <c r="G1983" s="46"/>
      <c r="H1983" s="46"/>
      <c r="I1983" s="46"/>
      <c r="J1983" s="46"/>
      <c r="K1983" s="46"/>
      <c r="L1983" s="46"/>
      <c r="M1983" s="46"/>
      <c r="N1983" s="46"/>
      <c r="O1983" s="46"/>
      <c r="P1983" s="46"/>
      <c r="Q1983" s="46"/>
      <c r="R1983" s="46"/>
      <c r="S1983" s="46"/>
      <c r="T1983" s="46"/>
      <c r="U1983" s="46"/>
      <c r="V1983" s="46"/>
      <c r="W1983" s="46"/>
      <c r="X1983" s="46"/>
    </row>
    <row r="1984" spans="1:24" x14ac:dyDescent="0.2">
      <c r="A1984" s="45"/>
      <c r="B1984" s="46"/>
      <c r="C1984" s="46"/>
      <c r="D1984" s="46"/>
      <c r="E1984" s="46"/>
      <c r="F1984" s="46"/>
      <c r="G1984" s="46"/>
      <c r="H1984" s="46"/>
      <c r="I1984" s="46"/>
      <c r="J1984" s="46"/>
      <c r="K1984" s="46"/>
      <c r="L1984" s="46"/>
      <c r="M1984" s="46"/>
      <c r="N1984" s="46"/>
      <c r="O1984" s="46"/>
      <c r="P1984" s="46"/>
      <c r="Q1984" s="46"/>
      <c r="R1984" s="46"/>
      <c r="S1984" s="46"/>
      <c r="T1984" s="46"/>
      <c r="U1984" s="46"/>
      <c r="V1984" s="46"/>
      <c r="W1984" s="46"/>
      <c r="X1984" s="46"/>
    </row>
    <row r="1985" spans="1:24" x14ac:dyDescent="0.2">
      <c r="A1985" s="45"/>
      <c r="B1985" s="46"/>
      <c r="C1985" s="46"/>
      <c r="D1985" s="46"/>
      <c r="E1985" s="46"/>
      <c r="F1985" s="46"/>
      <c r="G1985" s="46"/>
      <c r="H1985" s="46"/>
      <c r="I1985" s="46"/>
      <c r="J1985" s="46"/>
      <c r="K1985" s="46"/>
      <c r="L1985" s="46"/>
      <c r="M1985" s="46"/>
      <c r="N1985" s="46"/>
      <c r="O1985" s="46"/>
      <c r="P1985" s="46"/>
      <c r="Q1985" s="46"/>
      <c r="R1985" s="46"/>
      <c r="S1985" s="46"/>
      <c r="T1985" s="46"/>
      <c r="U1985" s="46"/>
      <c r="V1985" s="46"/>
      <c r="W1985" s="46"/>
      <c r="X1985" s="46"/>
    </row>
    <row r="1986" spans="1:24" x14ac:dyDescent="0.2">
      <c r="A1986" s="45"/>
      <c r="B1986" s="46"/>
      <c r="C1986" s="46"/>
      <c r="D1986" s="46"/>
      <c r="E1986" s="46"/>
      <c r="F1986" s="46"/>
      <c r="G1986" s="46"/>
      <c r="H1986" s="46"/>
      <c r="I1986" s="46"/>
      <c r="J1986" s="46"/>
      <c r="K1986" s="46"/>
      <c r="L1986" s="46"/>
      <c r="M1986" s="46"/>
      <c r="N1986" s="46"/>
      <c r="O1986" s="46"/>
      <c r="P1986" s="46"/>
      <c r="Q1986" s="46"/>
      <c r="R1986" s="46"/>
      <c r="S1986" s="46"/>
      <c r="T1986" s="46"/>
      <c r="U1986" s="46"/>
      <c r="V1986" s="46"/>
      <c r="W1986" s="46"/>
      <c r="X1986" s="46"/>
    </row>
    <row r="1987" spans="1:24" x14ac:dyDescent="0.2">
      <c r="A1987" s="45"/>
      <c r="B1987" s="46"/>
      <c r="C1987" s="46"/>
      <c r="D1987" s="46"/>
      <c r="E1987" s="46"/>
      <c r="F1987" s="46"/>
      <c r="G1987" s="46"/>
      <c r="H1987" s="46"/>
      <c r="I1987" s="46"/>
      <c r="J1987" s="46"/>
      <c r="K1987" s="46"/>
      <c r="L1987" s="46"/>
      <c r="M1987" s="46"/>
      <c r="N1987" s="46"/>
      <c r="O1987" s="46"/>
      <c r="P1987" s="46"/>
      <c r="Q1987" s="46"/>
      <c r="R1987" s="46"/>
      <c r="S1987" s="46"/>
      <c r="T1987" s="46"/>
      <c r="U1987" s="46"/>
      <c r="V1987" s="46"/>
      <c r="W1987" s="46"/>
      <c r="X1987" s="46"/>
    </row>
    <row r="1988" spans="1:24" x14ac:dyDescent="0.2">
      <c r="A1988" s="45"/>
      <c r="B1988" s="46"/>
      <c r="C1988" s="46"/>
      <c r="D1988" s="46"/>
      <c r="E1988" s="46"/>
      <c r="F1988" s="46"/>
      <c r="G1988" s="46"/>
      <c r="H1988" s="46"/>
      <c r="I1988" s="46"/>
      <c r="J1988" s="46"/>
      <c r="K1988" s="46"/>
      <c r="L1988" s="46"/>
      <c r="M1988" s="46"/>
      <c r="N1988" s="46"/>
      <c r="O1988" s="46"/>
      <c r="P1988" s="46"/>
      <c r="Q1988" s="46"/>
      <c r="R1988" s="46"/>
      <c r="S1988" s="46"/>
      <c r="T1988" s="46"/>
      <c r="U1988" s="46"/>
      <c r="V1988" s="46"/>
      <c r="W1988" s="46"/>
      <c r="X1988" s="46"/>
    </row>
    <row r="1989" spans="1:24" x14ac:dyDescent="0.2">
      <c r="A1989" s="45"/>
      <c r="B1989" s="46"/>
      <c r="C1989" s="46"/>
      <c r="D1989" s="46"/>
      <c r="E1989" s="46"/>
      <c r="F1989" s="46"/>
      <c r="G1989" s="46"/>
      <c r="H1989" s="46"/>
      <c r="I1989" s="46"/>
      <c r="J1989" s="46"/>
      <c r="K1989" s="46"/>
      <c r="L1989" s="46"/>
      <c r="M1989" s="46"/>
      <c r="N1989" s="46"/>
      <c r="O1989" s="46"/>
      <c r="P1989" s="46"/>
      <c r="Q1989" s="46"/>
      <c r="R1989" s="46"/>
      <c r="S1989" s="46"/>
      <c r="T1989" s="46"/>
      <c r="U1989" s="46"/>
      <c r="V1989" s="46"/>
      <c r="W1989" s="46"/>
      <c r="X1989" s="46"/>
    </row>
    <row r="1990" spans="1:24" x14ac:dyDescent="0.2">
      <c r="A1990" s="45"/>
      <c r="B1990" s="46"/>
      <c r="C1990" s="46"/>
      <c r="D1990" s="46"/>
      <c r="E1990" s="46"/>
      <c r="F1990" s="46"/>
      <c r="G1990" s="46"/>
      <c r="H1990" s="46"/>
      <c r="I1990" s="46"/>
      <c r="J1990" s="46"/>
      <c r="K1990" s="46"/>
      <c r="L1990" s="46"/>
      <c r="M1990" s="46"/>
      <c r="N1990" s="46"/>
      <c r="O1990" s="46"/>
      <c r="P1990" s="46"/>
      <c r="Q1990" s="46"/>
      <c r="R1990" s="46"/>
      <c r="S1990" s="46"/>
      <c r="T1990" s="46"/>
      <c r="U1990" s="46"/>
      <c r="V1990" s="46"/>
      <c r="W1990" s="46"/>
      <c r="X1990" s="46"/>
    </row>
    <row r="1991" spans="1:24" x14ac:dyDescent="0.2">
      <c r="A1991" s="45"/>
      <c r="B1991" s="46"/>
      <c r="C1991" s="46"/>
      <c r="D1991" s="46"/>
      <c r="E1991" s="46"/>
      <c r="F1991" s="46"/>
      <c r="G1991" s="46"/>
      <c r="H1991" s="46"/>
      <c r="I1991" s="46"/>
      <c r="J1991" s="46"/>
      <c r="K1991" s="46"/>
      <c r="L1991" s="46"/>
      <c r="M1991" s="46"/>
      <c r="N1991" s="46"/>
      <c r="O1991" s="46"/>
      <c r="P1991" s="46"/>
      <c r="Q1991" s="46"/>
      <c r="R1991" s="46"/>
      <c r="S1991" s="46"/>
      <c r="T1991" s="46"/>
      <c r="U1991" s="46"/>
      <c r="V1991" s="46"/>
      <c r="W1991" s="46"/>
      <c r="X1991" s="46"/>
    </row>
    <row r="1992" spans="1:24" x14ac:dyDescent="0.2">
      <c r="A1992" s="45"/>
      <c r="B1992" s="46"/>
      <c r="C1992" s="46"/>
      <c r="D1992" s="46"/>
      <c r="E1992" s="46"/>
      <c r="F1992" s="46"/>
      <c r="G1992" s="46"/>
      <c r="H1992" s="46"/>
      <c r="I1992" s="46"/>
      <c r="J1992" s="46"/>
      <c r="K1992" s="46"/>
      <c r="L1992" s="46"/>
      <c r="M1992" s="46"/>
      <c r="N1992" s="46"/>
      <c r="O1992" s="46"/>
      <c r="P1992" s="46"/>
      <c r="Q1992" s="46"/>
      <c r="R1992" s="46"/>
      <c r="S1992" s="46"/>
      <c r="T1992" s="46"/>
      <c r="U1992" s="46"/>
      <c r="V1992" s="46"/>
      <c r="W1992" s="46"/>
      <c r="X1992" s="46"/>
    </row>
    <row r="1993" spans="1:24" x14ac:dyDescent="0.2">
      <c r="A1993" s="45"/>
      <c r="B1993" s="46"/>
      <c r="C1993" s="46"/>
      <c r="D1993" s="46"/>
      <c r="E1993" s="46"/>
      <c r="F1993" s="46"/>
      <c r="G1993" s="46"/>
      <c r="H1993" s="46"/>
      <c r="I1993" s="46"/>
      <c r="J1993" s="46"/>
      <c r="K1993" s="46"/>
      <c r="L1993" s="46"/>
      <c r="M1993" s="46"/>
      <c r="N1993" s="46"/>
      <c r="O1993" s="46"/>
      <c r="P1993" s="46"/>
      <c r="Q1993" s="46"/>
      <c r="R1993" s="46"/>
      <c r="S1993" s="46"/>
      <c r="T1993" s="46"/>
      <c r="U1993" s="46"/>
      <c r="V1993" s="46"/>
      <c r="W1993" s="46"/>
      <c r="X1993" s="46"/>
    </row>
    <row r="1994" spans="1:24" x14ac:dyDescent="0.2">
      <c r="A1994" s="45"/>
      <c r="B1994" s="46"/>
      <c r="C1994" s="46"/>
      <c r="D1994" s="46"/>
      <c r="E1994" s="46"/>
      <c r="F1994" s="46"/>
      <c r="G1994" s="46"/>
      <c r="H1994" s="46"/>
      <c r="I1994" s="46"/>
      <c r="J1994" s="46"/>
      <c r="K1994" s="46"/>
      <c r="L1994" s="46"/>
      <c r="M1994" s="46"/>
      <c r="N1994" s="46"/>
      <c r="O1994" s="46"/>
      <c r="P1994" s="46"/>
      <c r="Q1994" s="46"/>
      <c r="R1994" s="46"/>
      <c r="S1994" s="46"/>
      <c r="T1994" s="46"/>
      <c r="U1994" s="46"/>
      <c r="V1994" s="46"/>
      <c r="W1994" s="46"/>
      <c r="X1994" s="46"/>
    </row>
    <row r="1995" spans="1:24" x14ac:dyDescent="0.2">
      <c r="A1995" s="45"/>
      <c r="B1995" s="46"/>
      <c r="C1995" s="46"/>
      <c r="D1995" s="46"/>
      <c r="E1995" s="46"/>
      <c r="F1995" s="46"/>
      <c r="G1995" s="46"/>
      <c r="H1995" s="46"/>
      <c r="I1995" s="46"/>
      <c r="J1995" s="46"/>
      <c r="K1995" s="46"/>
      <c r="L1995" s="46"/>
      <c r="M1995" s="46"/>
      <c r="N1995" s="46"/>
      <c r="O1995" s="46"/>
      <c r="P1995" s="46"/>
      <c r="Q1995" s="46"/>
      <c r="R1995" s="46"/>
      <c r="S1995" s="46"/>
      <c r="T1995" s="46"/>
      <c r="U1995" s="46"/>
      <c r="V1995" s="46"/>
      <c r="W1995" s="46"/>
      <c r="X1995" s="46"/>
    </row>
    <row r="1996" spans="1:24" x14ac:dyDescent="0.2">
      <c r="A1996" s="45"/>
      <c r="B1996" s="46"/>
      <c r="C1996" s="46"/>
      <c r="D1996" s="46"/>
      <c r="E1996" s="46"/>
      <c r="F1996" s="46"/>
      <c r="G1996" s="46"/>
      <c r="H1996" s="46"/>
      <c r="I1996" s="46"/>
      <c r="J1996" s="46"/>
      <c r="K1996" s="46"/>
      <c r="L1996" s="46"/>
      <c r="M1996" s="46"/>
      <c r="N1996" s="46"/>
      <c r="O1996" s="46"/>
      <c r="P1996" s="46"/>
      <c r="Q1996" s="46"/>
      <c r="R1996" s="46"/>
      <c r="S1996" s="46"/>
      <c r="T1996" s="46"/>
      <c r="U1996" s="46"/>
      <c r="V1996" s="46"/>
      <c r="W1996" s="46"/>
      <c r="X1996" s="46"/>
    </row>
    <row r="1997" spans="1:24" x14ac:dyDescent="0.2">
      <c r="A1997" s="45"/>
      <c r="B1997" s="46"/>
      <c r="C1997" s="46"/>
      <c r="D1997" s="46"/>
      <c r="E1997" s="46"/>
      <c r="F1997" s="46"/>
      <c r="G1997" s="46"/>
      <c r="H1997" s="46"/>
      <c r="I1997" s="46"/>
      <c r="J1997" s="46"/>
      <c r="K1997" s="46"/>
      <c r="L1997" s="46"/>
      <c r="M1997" s="46"/>
      <c r="N1997" s="46"/>
      <c r="O1997" s="46"/>
      <c r="P1997" s="46"/>
      <c r="Q1997" s="46"/>
      <c r="R1997" s="46"/>
      <c r="S1997" s="46"/>
      <c r="T1997" s="46"/>
      <c r="U1997" s="46"/>
      <c r="V1997" s="46"/>
      <c r="W1997" s="46"/>
      <c r="X1997" s="46"/>
    </row>
    <row r="1998" spans="1:24" x14ac:dyDescent="0.2">
      <c r="A1998" s="45"/>
      <c r="B1998" s="46"/>
      <c r="C1998" s="46"/>
      <c r="D1998" s="46"/>
      <c r="E1998" s="46"/>
      <c r="F1998" s="46"/>
      <c r="G1998" s="46"/>
      <c r="H1998" s="46"/>
      <c r="I1998" s="46"/>
      <c r="J1998" s="46"/>
      <c r="K1998" s="46"/>
      <c r="L1998" s="46"/>
      <c r="M1998" s="46"/>
      <c r="N1998" s="46"/>
      <c r="O1998" s="46"/>
      <c r="P1998" s="46"/>
      <c r="Q1998" s="46"/>
      <c r="R1998" s="46"/>
      <c r="S1998" s="46"/>
      <c r="T1998" s="46"/>
      <c r="U1998" s="46"/>
      <c r="V1998" s="46"/>
      <c r="W1998" s="46"/>
      <c r="X1998" s="46"/>
    </row>
    <row r="1999" spans="1:24" x14ac:dyDescent="0.2">
      <c r="A1999" s="45"/>
      <c r="B1999" s="46"/>
      <c r="C1999" s="46"/>
      <c r="D1999" s="46"/>
      <c r="E1999" s="46"/>
      <c r="F1999" s="46"/>
      <c r="G1999" s="46"/>
      <c r="H1999" s="46"/>
      <c r="I1999" s="46"/>
      <c r="J1999" s="46"/>
      <c r="K1999" s="46"/>
      <c r="L1999" s="46"/>
      <c r="M1999" s="46"/>
      <c r="N1999" s="46"/>
      <c r="O1999" s="46"/>
      <c r="P1999" s="46"/>
      <c r="Q1999" s="46"/>
      <c r="R1999" s="46"/>
      <c r="S1999" s="46"/>
      <c r="T1999" s="46"/>
      <c r="U1999" s="46"/>
      <c r="V1999" s="46"/>
      <c r="W1999" s="46"/>
      <c r="X1999" s="46"/>
    </row>
    <row r="2000" spans="1:24" x14ac:dyDescent="0.2">
      <c r="A2000" s="45"/>
      <c r="B2000" s="46"/>
      <c r="C2000" s="46"/>
      <c r="D2000" s="46"/>
      <c r="E2000" s="46"/>
      <c r="F2000" s="46"/>
      <c r="G2000" s="46"/>
      <c r="H2000" s="46"/>
      <c r="I2000" s="46"/>
      <c r="J2000" s="46"/>
      <c r="K2000" s="46"/>
      <c r="L2000" s="46"/>
      <c r="M2000" s="46"/>
      <c r="N2000" s="46"/>
      <c r="O2000" s="46"/>
      <c r="P2000" s="46"/>
      <c r="Q2000" s="46"/>
      <c r="R2000" s="46"/>
      <c r="S2000" s="46"/>
      <c r="T2000" s="46"/>
      <c r="U2000" s="46"/>
      <c r="V2000" s="46"/>
      <c r="W2000" s="46"/>
      <c r="X2000" s="46"/>
    </row>
    <row r="2001" spans="1:24" x14ac:dyDescent="0.2">
      <c r="A2001" s="45"/>
      <c r="B2001" s="46"/>
      <c r="C2001" s="46"/>
      <c r="D2001" s="46"/>
      <c r="E2001" s="46"/>
      <c r="F2001" s="46"/>
      <c r="G2001" s="46"/>
      <c r="H2001" s="46"/>
      <c r="I2001" s="46"/>
      <c r="J2001" s="46"/>
      <c r="K2001" s="46"/>
      <c r="L2001" s="46"/>
      <c r="M2001" s="46"/>
      <c r="N2001" s="46"/>
      <c r="O2001" s="46"/>
      <c r="P2001" s="46"/>
      <c r="Q2001" s="46"/>
      <c r="R2001" s="46"/>
      <c r="S2001" s="46"/>
      <c r="T2001" s="46"/>
      <c r="U2001" s="46"/>
      <c r="V2001" s="46"/>
      <c r="W2001" s="46"/>
      <c r="X2001" s="46"/>
    </row>
    <row r="2002" spans="1:24" x14ac:dyDescent="0.2">
      <c r="A2002" s="45"/>
      <c r="B2002" s="46"/>
      <c r="C2002" s="46"/>
      <c r="D2002" s="46"/>
      <c r="E2002" s="46"/>
      <c r="F2002" s="46"/>
      <c r="G2002" s="46"/>
      <c r="H2002" s="46"/>
      <c r="I2002" s="46"/>
      <c r="J2002" s="46"/>
      <c r="K2002" s="46"/>
      <c r="L2002" s="46"/>
      <c r="M2002" s="46"/>
      <c r="N2002" s="46"/>
      <c r="O2002" s="46"/>
      <c r="P2002" s="46"/>
      <c r="Q2002" s="46"/>
      <c r="R2002" s="46"/>
      <c r="S2002" s="46"/>
      <c r="T2002" s="46"/>
      <c r="U2002" s="46"/>
      <c r="V2002" s="46"/>
      <c r="W2002" s="46"/>
      <c r="X2002" s="46"/>
    </row>
    <row r="2003" spans="1:24" x14ac:dyDescent="0.2">
      <c r="A2003" s="45"/>
      <c r="B2003" s="46"/>
      <c r="C2003" s="46"/>
      <c r="D2003" s="46"/>
      <c r="E2003" s="46"/>
      <c r="F2003" s="46"/>
      <c r="G2003" s="46"/>
      <c r="H2003" s="46"/>
      <c r="I2003" s="46"/>
      <c r="J2003" s="46"/>
      <c r="K2003" s="46"/>
      <c r="L2003" s="46"/>
      <c r="M2003" s="46"/>
      <c r="N2003" s="46"/>
      <c r="O2003" s="46"/>
      <c r="P2003" s="46"/>
      <c r="Q2003" s="46"/>
      <c r="R2003" s="46"/>
      <c r="S2003" s="46"/>
      <c r="T2003" s="46"/>
      <c r="U2003" s="46"/>
      <c r="V2003" s="46"/>
      <c r="W2003" s="46"/>
      <c r="X2003" s="46"/>
    </row>
    <row r="2004" spans="1:24" x14ac:dyDescent="0.2">
      <c r="A2004" s="45"/>
      <c r="B2004" s="46"/>
      <c r="C2004" s="46"/>
      <c r="D2004" s="46"/>
      <c r="E2004" s="46"/>
      <c r="F2004" s="46"/>
      <c r="G2004" s="46"/>
      <c r="H2004" s="46"/>
      <c r="I2004" s="46"/>
      <c r="J2004" s="46"/>
      <c r="K2004" s="46"/>
      <c r="L2004" s="46"/>
      <c r="M2004" s="46"/>
      <c r="N2004" s="46"/>
      <c r="O2004" s="46"/>
      <c r="P2004" s="46"/>
      <c r="Q2004" s="46"/>
      <c r="R2004" s="46"/>
      <c r="S2004" s="46"/>
      <c r="T2004" s="46"/>
      <c r="U2004" s="46"/>
      <c r="V2004" s="46"/>
      <c r="W2004" s="46"/>
      <c r="X2004" s="46"/>
    </row>
    <row r="2005" spans="1:24" x14ac:dyDescent="0.2">
      <c r="A2005" s="45"/>
      <c r="B2005" s="46"/>
      <c r="C2005" s="46"/>
      <c r="D2005" s="46"/>
      <c r="E2005" s="46"/>
      <c r="F2005" s="46"/>
      <c r="G2005" s="46"/>
      <c r="H2005" s="46"/>
      <c r="I2005" s="46"/>
      <c r="J2005" s="46"/>
      <c r="K2005" s="46"/>
      <c r="L2005" s="46"/>
      <c r="M2005" s="46"/>
      <c r="N2005" s="46"/>
      <c r="O2005" s="46"/>
      <c r="P2005" s="46"/>
      <c r="Q2005" s="46"/>
      <c r="R2005" s="46"/>
      <c r="S2005" s="46"/>
      <c r="T2005" s="46"/>
      <c r="U2005" s="46"/>
      <c r="V2005" s="46"/>
      <c r="W2005" s="46"/>
      <c r="X2005" s="46"/>
    </row>
    <row r="2006" spans="1:24" x14ac:dyDescent="0.2">
      <c r="A2006" s="45"/>
      <c r="B2006" s="46"/>
      <c r="C2006" s="46"/>
      <c r="D2006" s="46"/>
      <c r="E2006" s="46"/>
      <c r="F2006" s="46"/>
      <c r="G2006" s="46"/>
      <c r="H2006" s="46"/>
      <c r="I2006" s="46"/>
      <c r="J2006" s="46"/>
      <c r="K2006" s="46"/>
      <c r="L2006" s="46"/>
      <c r="M2006" s="46"/>
      <c r="N2006" s="46"/>
      <c r="O2006" s="46"/>
      <c r="P2006" s="46"/>
      <c r="Q2006" s="46"/>
      <c r="R2006" s="46"/>
      <c r="S2006" s="46"/>
      <c r="T2006" s="46"/>
      <c r="U2006" s="46"/>
      <c r="V2006" s="46"/>
      <c r="W2006" s="46"/>
      <c r="X2006" s="46"/>
    </row>
    <row r="2007" spans="1:24" x14ac:dyDescent="0.2">
      <c r="A2007" s="45"/>
      <c r="B2007" s="46"/>
      <c r="C2007" s="46"/>
      <c r="D2007" s="46"/>
      <c r="E2007" s="46"/>
      <c r="F2007" s="46"/>
      <c r="G2007" s="46"/>
      <c r="H2007" s="46"/>
      <c r="I2007" s="46"/>
      <c r="J2007" s="46"/>
      <c r="K2007" s="46"/>
      <c r="L2007" s="46"/>
      <c r="M2007" s="46"/>
      <c r="N2007" s="46"/>
      <c r="O2007" s="46"/>
      <c r="P2007" s="46"/>
      <c r="Q2007" s="46"/>
      <c r="R2007" s="46"/>
      <c r="S2007" s="46"/>
      <c r="T2007" s="46"/>
      <c r="U2007" s="46"/>
      <c r="V2007" s="46"/>
      <c r="W2007" s="46"/>
      <c r="X2007" s="46"/>
    </row>
    <row r="2008" spans="1:24" x14ac:dyDescent="0.2">
      <c r="A2008" s="45"/>
      <c r="B2008" s="46"/>
      <c r="C2008" s="46"/>
      <c r="D2008" s="46"/>
      <c r="E2008" s="46"/>
      <c r="F2008" s="46"/>
      <c r="G2008" s="46"/>
      <c r="H2008" s="46"/>
      <c r="I2008" s="46"/>
      <c r="J2008" s="46"/>
      <c r="K2008" s="46"/>
      <c r="L2008" s="46"/>
      <c r="M2008" s="46"/>
      <c r="N2008" s="46"/>
      <c r="O2008" s="46"/>
      <c r="P2008" s="46"/>
      <c r="Q2008" s="46"/>
      <c r="R2008" s="46"/>
      <c r="S2008" s="46"/>
      <c r="T2008" s="46"/>
      <c r="U2008" s="46"/>
      <c r="V2008" s="46"/>
      <c r="W2008" s="46"/>
      <c r="X2008" s="46"/>
    </row>
    <row r="2009" spans="1:24" x14ac:dyDescent="0.2">
      <c r="A2009" s="45"/>
      <c r="B2009" s="46"/>
      <c r="C2009" s="46"/>
      <c r="D2009" s="46"/>
      <c r="E2009" s="46"/>
      <c r="F2009" s="46"/>
      <c r="G2009" s="46"/>
      <c r="H2009" s="46"/>
      <c r="I2009" s="46"/>
      <c r="J2009" s="46"/>
      <c r="K2009" s="46"/>
      <c r="L2009" s="46"/>
      <c r="M2009" s="46"/>
      <c r="N2009" s="46"/>
      <c r="O2009" s="46"/>
      <c r="P2009" s="46"/>
      <c r="Q2009" s="46"/>
      <c r="R2009" s="46"/>
      <c r="S2009" s="46"/>
      <c r="T2009" s="46"/>
      <c r="U2009" s="46"/>
      <c r="V2009" s="46"/>
      <c r="W2009" s="46"/>
      <c r="X2009" s="46"/>
    </row>
    <row r="2010" spans="1:24" x14ac:dyDescent="0.2">
      <c r="A2010" s="45"/>
      <c r="B2010" s="46"/>
      <c r="C2010" s="46"/>
      <c r="D2010" s="46"/>
      <c r="E2010" s="46"/>
      <c r="F2010" s="46"/>
      <c r="G2010" s="46"/>
      <c r="H2010" s="46"/>
      <c r="I2010" s="46"/>
      <c r="J2010" s="46"/>
      <c r="K2010" s="46"/>
      <c r="L2010" s="46"/>
      <c r="M2010" s="46"/>
      <c r="N2010" s="46"/>
      <c r="O2010" s="46"/>
      <c r="P2010" s="46"/>
      <c r="Q2010" s="46"/>
      <c r="R2010" s="46"/>
      <c r="S2010" s="46"/>
      <c r="T2010" s="46"/>
      <c r="U2010" s="46"/>
      <c r="V2010" s="46"/>
      <c r="W2010" s="46"/>
      <c r="X2010" s="46"/>
    </row>
    <row r="2011" spans="1:24" x14ac:dyDescent="0.2">
      <c r="A2011" s="45"/>
      <c r="B2011" s="46"/>
      <c r="C2011" s="46"/>
      <c r="D2011" s="46"/>
      <c r="E2011" s="46"/>
      <c r="F2011" s="46"/>
      <c r="G2011" s="46"/>
      <c r="H2011" s="46"/>
      <c r="I2011" s="46"/>
      <c r="J2011" s="46"/>
      <c r="K2011" s="46"/>
      <c r="L2011" s="46"/>
      <c r="M2011" s="46"/>
      <c r="N2011" s="46"/>
      <c r="O2011" s="46"/>
      <c r="P2011" s="46"/>
      <c r="Q2011" s="46"/>
      <c r="R2011" s="46"/>
      <c r="S2011" s="46"/>
      <c r="T2011" s="46"/>
      <c r="U2011" s="46"/>
      <c r="V2011" s="46"/>
      <c r="W2011" s="46"/>
      <c r="X2011" s="46"/>
    </row>
    <row r="2012" spans="1:24" x14ac:dyDescent="0.2">
      <c r="A2012" s="45"/>
      <c r="B2012" s="46"/>
      <c r="C2012" s="46"/>
      <c r="D2012" s="46"/>
      <c r="E2012" s="46"/>
      <c r="F2012" s="46"/>
      <c r="G2012" s="46"/>
      <c r="H2012" s="46"/>
      <c r="I2012" s="46"/>
      <c r="J2012" s="46"/>
      <c r="K2012" s="46"/>
      <c r="L2012" s="46"/>
      <c r="M2012" s="46"/>
      <c r="N2012" s="46"/>
      <c r="O2012" s="46"/>
      <c r="P2012" s="46"/>
      <c r="Q2012" s="46"/>
      <c r="R2012" s="46"/>
      <c r="S2012" s="46"/>
      <c r="T2012" s="46"/>
      <c r="U2012" s="46"/>
      <c r="V2012" s="46"/>
      <c r="W2012" s="46"/>
      <c r="X2012" s="46"/>
    </row>
    <row r="2013" spans="1:24" x14ac:dyDescent="0.2">
      <c r="A2013" s="45"/>
      <c r="B2013" s="46"/>
      <c r="C2013" s="46"/>
      <c r="D2013" s="46"/>
      <c r="E2013" s="46"/>
      <c r="F2013" s="46"/>
      <c r="G2013" s="46"/>
      <c r="H2013" s="46"/>
      <c r="I2013" s="46"/>
      <c r="J2013" s="46"/>
      <c r="K2013" s="46"/>
      <c r="L2013" s="46"/>
      <c r="M2013" s="46"/>
      <c r="N2013" s="46"/>
      <c r="O2013" s="46"/>
      <c r="P2013" s="46"/>
      <c r="Q2013" s="46"/>
      <c r="R2013" s="46"/>
      <c r="S2013" s="46"/>
      <c r="T2013" s="46"/>
      <c r="U2013" s="46"/>
      <c r="V2013" s="46"/>
      <c r="W2013" s="46"/>
      <c r="X2013" s="46"/>
    </row>
    <row r="2014" spans="1:24" x14ac:dyDescent="0.2">
      <c r="A2014" s="45"/>
      <c r="B2014" s="46"/>
      <c r="C2014" s="46"/>
      <c r="D2014" s="46"/>
      <c r="E2014" s="46"/>
      <c r="F2014" s="46"/>
      <c r="G2014" s="46"/>
      <c r="H2014" s="46"/>
      <c r="I2014" s="46"/>
      <c r="J2014" s="46"/>
      <c r="K2014" s="46"/>
      <c r="L2014" s="46"/>
      <c r="M2014" s="46"/>
      <c r="N2014" s="46"/>
      <c r="O2014" s="46"/>
      <c r="P2014" s="46"/>
      <c r="Q2014" s="46"/>
      <c r="R2014" s="46"/>
      <c r="S2014" s="46"/>
      <c r="T2014" s="46"/>
      <c r="U2014" s="46"/>
      <c r="V2014" s="46"/>
      <c r="W2014" s="46"/>
      <c r="X2014" s="46"/>
    </row>
    <row r="2015" spans="1:24" x14ac:dyDescent="0.2">
      <c r="A2015" s="45"/>
      <c r="B2015" s="46"/>
      <c r="C2015" s="46"/>
      <c r="D2015" s="46"/>
      <c r="E2015" s="46"/>
      <c r="F2015" s="46"/>
      <c r="G2015" s="46"/>
      <c r="H2015" s="46"/>
      <c r="I2015" s="46"/>
      <c r="J2015" s="46"/>
      <c r="K2015" s="46"/>
      <c r="L2015" s="46"/>
      <c r="M2015" s="46"/>
      <c r="N2015" s="46"/>
      <c r="O2015" s="46"/>
      <c r="P2015" s="46"/>
      <c r="Q2015" s="46"/>
      <c r="R2015" s="46"/>
      <c r="S2015" s="46"/>
      <c r="T2015" s="46"/>
      <c r="U2015" s="46"/>
      <c r="V2015" s="46"/>
      <c r="W2015" s="46"/>
      <c r="X2015" s="46"/>
    </row>
    <row r="2016" spans="1:24" x14ac:dyDescent="0.2">
      <c r="A2016" s="45"/>
      <c r="B2016" s="46"/>
      <c r="C2016" s="46"/>
      <c r="D2016" s="46"/>
      <c r="E2016" s="46"/>
      <c r="F2016" s="46"/>
      <c r="G2016" s="46"/>
      <c r="H2016" s="46"/>
      <c r="I2016" s="46"/>
      <c r="J2016" s="46"/>
      <c r="K2016" s="46"/>
      <c r="L2016" s="46"/>
      <c r="M2016" s="46"/>
      <c r="N2016" s="46"/>
      <c r="O2016" s="46"/>
      <c r="P2016" s="46"/>
      <c r="Q2016" s="46"/>
      <c r="R2016" s="46"/>
      <c r="S2016" s="46"/>
      <c r="T2016" s="46"/>
      <c r="U2016" s="46"/>
      <c r="V2016" s="46"/>
      <c r="W2016" s="46"/>
      <c r="X2016" s="46"/>
    </row>
    <row r="2017" spans="1:24" x14ac:dyDescent="0.2">
      <c r="A2017" s="45"/>
      <c r="B2017" s="46"/>
      <c r="C2017" s="46"/>
      <c r="D2017" s="46"/>
      <c r="E2017" s="46"/>
      <c r="F2017" s="46"/>
      <c r="G2017" s="46"/>
      <c r="H2017" s="46"/>
      <c r="I2017" s="46"/>
      <c r="J2017" s="46"/>
      <c r="K2017" s="46"/>
      <c r="L2017" s="46"/>
      <c r="M2017" s="46"/>
      <c r="N2017" s="46"/>
      <c r="O2017" s="46"/>
      <c r="P2017" s="46"/>
      <c r="Q2017" s="46"/>
      <c r="R2017" s="46"/>
      <c r="S2017" s="46"/>
      <c r="T2017" s="46"/>
      <c r="U2017" s="46"/>
      <c r="V2017" s="46"/>
      <c r="W2017" s="46"/>
      <c r="X2017" s="46"/>
    </row>
    <row r="2018" spans="1:24" x14ac:dyDescent="0.2">
      <c r="A2018" s="45"/>
      <c r="B2018" s="46"/>
      <c r="C2018" s="46"/>
      <c r="D2018" s="46"/>
      <c r="E2018" s="46"/>
      <c r="F2018" s="46"/>
      <c r="G2018" s="46"/>
      <c r="H2018" s="46"/>
      <c r="I2018" s="46"/>
      <c r="J2018" s="46"/>
      <c r="K2018" s="46"/>
      <c r="L2018" s="46"/>
      <c r="M2018" s="46"/>
      <c r="N2018" s="46"/>
      <c r="O2018" s="46"/>
      <c r="P2018" s="46"/>
      <c r="Q2018" s="46"/>
      <c r="R2018" s="46"/>
      <c r="S2018" s="46"/>
      <c r="T2018" s="46"/>
      <c r="U2018" s="46"/>
      <c r="V2018" s="46"/>
      <c r="W2018" s="46"/>
      <c r="X2018" s="46"/>
    </row>
    <row r="2019" spans="1:24" x14ac:dyDescent="0.2">
      <c r="A2019" s="45"/>
      <c r="B2019" s="46"/>
      <c r="C2019" s="46"/>
      <c r="D2019" s="46"/>
      <c r="E2019" s="46"/>
      <c r="F2019" s="46"/>
      <c r="G2019" s="46"/>
      <c r="H2019" s="46"/>
      <c r="I2019" s="46"/>
      <c r="J2019" s="46"/>
      <c r="K2019" s="46"/>
      <c r="L2019" s="46"/>
      <c r="M2019" s="46"/>
      <c r="N2019" s="46"/>
      <c r="O2019" s="46"/>
      <c r="P2019" s="46"/>
      <c r="Q2019" s="46"/>
      <c r="R2019" s="46"/>
      <c r="S2019" s="46"/>
      <c r="T2019" s="46"/>
      <c r="U2019" s="46"/>
      <c r="V2019" s="46"/>
      <c r="W2019" s="46"/>
      <c r="X2019" s="46"/>
    </row>
    <row r="2020" spans="1:24" x14ac:dyDescent="0.2">
      <c r="A2020" s="45"/>
      <c r="B2020" s="46"/>
      <c r="C2020" s="46"/>
      <c r="D2020" s="46"/>
      <c r="E2020" s="46"/>
      <c r="F2020" s="46"/>
      <c r="G2020" s="46"/>
      <c r="H2020" s="46"/>
      <c r="I2020" s="46"/>
      <c r="J2020" s="46"/>
      <c r="K2020" s="46"/>
      <c r="L2020" s="46"/>
      <c r="M2020" s="46"/>
      <c r="N2020" s="46"/>
      <c r="O2020" s="46"/>
      <c r="P2020" s="46"/>
      <c r="Q2020" s="46"/>
      <c r="R2020" s="46"/>
      <c r="S2020" s="46"/>
      <c r="T2020" s="46"/>
      <c r="U2020" s="46"/>
      <c r="V2020" s="46"/>
      <c r="W2020" s="46"/>
      <c r="X2020" s="46"/>
    </row>
    <row r="2021" spans="1:24" x14ac:dyDescent="0.2">
      <c r="A2021" s="45"/>
      <c r="B2021" s="46"/>
      <c r="C2021" s="46"/>
      <c r="D2021" s="46"/>
      <c r="E2021" s="46"/>
      <c r="F2021" s="46"/>
      <c r="G2021" s="46"/>
      <c r="H2021" s="46"/>
      <c r="I2021" s="46"/>
      <c r="J2021" s="46"/>
      <c r="K2021" s="46"/>
      <c r="L2021" s="46"/>
      <c r="M2021" s="46"/>
      <c r="N2021" s="46"/>
      <c r="O2021" s="46"/>
      <c r="P2021" s="46"/>
      <c r="Q2021" s="46"/>
      <c r="R2021" s="46"/>
      <c r="S2021" s="46"/>
      <c r="T2021" s="46"/>
      <c r="U2021" s="46"/>
      <c r="V2021" s="46"/>
      <c r="W2021" s="46"/>
      <c r="X2021" s="46"/>
    </row>
    <row r="2022" spans="1:24" x14ac:dyDescent="0.2">
      <c r="A2022" s="45"/>
      <c r="B2022" s="46"/>
      <c r="C2022" s="46"/>
      <c r="D2022" s="46"/>
      <c r="E2022" s="46"/>
      <c r="F2022" s="46"/>
      <c r="G2022" s="46"/>
      <c r="H2022" s="46"/>
      <c r="I2022" s="46"/>
      <c r="J2022" s="46"/>
      <c r="K2022" s="46"/>
      <c r="L2022" s="46"/>
      <c r="M2022" s="46"/>
      <c r="N2022" s="46"/>
      <c r="O2022" s="46"/>
      <c r="P2022" s="46"/>
      <c r="Q2022" s="46"/>
      <c r="R2022" s="46"/>
      <c r="S2022" s="46"/>
      <c r="T2022" s="46"/>
      <c r="U2022" s="46"/>
      <c r="V2022" s="46"/>
      <c r="W2022" s="46"/>
      <c r="X2022" s="46"/>
    </row>
    <row r="2023" spans="1:24" x14ac:dyDescent="0.2">
      <c r="A2023" s="45"/>
      <c r="B2023" s="46"/>
      <c r="C2023" s="46"/>
      <c r="D2023" s="46"/>
      <c r="E2023" s="46"/>
      <c r="F2023" s="46"/>
      <c r="G2023" s="46"/>
      <c r="H2023" s="46"/>
      <c r="I2023" s="46"/>
      <c r="J2023" s="46"/>
      <c r="K2023" s="46"/>
      <c r="L2023" s="46"/>
      <c r="M2023" s="46"/>
      <c r="N2023" s="46"/>
      <c r="O2023" s="46"/>
      <c r="P2023" s="46"/>
      <c r="Q2023" s="46"/>
      <c r="R2023" s="46"/>
      <c r="S2023" s="46"/>
      <c r="T2023" s="46"/>
      <c r="U2023" s="46"/>
      <c r="V2023" s="46"/>
      <c r="W2023" s="46"/>
      <c r="X2023" s="46"/>
    </row>
    <row r="2024" spans="1:24" x14ac:dyDescent="0.2">
      <c r="A2024" s="45"/>
      <c r="B2024" s="46"/>
      <c r="C2024" s="46"/>
      <c r="D2024" s="46"/>
      <c r="E2024" s="46"/>
      <c r="F2024" s="46"/>
      <c r="G2024" s="46"/>
      <c r="H2024" s="46"/>
      <c r="I2024" s="46"/>
      <c r="J2024" s="46"/>
      <c r="K2024" s="46"/>
      <c r="L2024" s="46"/>
      <c r="M2024" s="46"/>
      <c r="N2024" s="46"/>
      <c r="O2024" s="46"/>
      <c r="P2024" s="46"/>
      <c r="Q2024" s="46"/>
      <c r="R2024" s="46"/>
      <c r="S2024" s="46"/>
      <c r="T2024" s="46"/>
      <c r="U2024" s="46"/>
      <c r="V2024" s="46"/>
      <c r="W2024" s="46"/>
      <c r="X2024" s="46"/>
    </row>
    <row r="2025" spans="1:24" x14ac:dyDescent="0.2">
      <c r="A2025" s="45"/>
      <c r="B2025" s="46"/>
      <c r="C2025" s="46"/>
      <c r="D2025" s="46"/>
      <c r="E2025" s="46"/>
      <c r="F2025" s="46"/>
      <c r="G2025" s="46"/>
      <c r="H2025" s="46"/>
      <c r="I2025" s="46"/>
      <c r="J2025" s="46"/>
      <c r="K2025" s="46"/>
      <c r="L2025" s="46"/>
      <c r="M2025" s="46"/>
      <c r="N2025" s="46"/>
      <c r="O2025" s="46"/>
      <c r="P2025" s="46"/>
      <c r="Q2025" s="46"/>
      <c r="R2025" s="46"/>
      <c r="S2025" s="46"/>
      <c r="T2025" s="46"/>
      <c r="U2025" s="46"/>
      <c r="V2025" s="46"/>
      <c r="W2025" s="46"/>
      <c r="X2025" s="46"/>
    </row>
    <row r="2026" spans="1:24" x14ac:dyDescent="0.2">
      <c r="A2026" s="45"/>
      <c r="B2026" s="46"/>
      <c r="C2026" s="46"/>
      <c r="D2026" s="46"/>
      <c r="E2026" s="46"/>
      <c r="F2026" s="46"/>
      <c r="G2026" s="46"/>
      <c r="H2026" s="46"/>
      <c r="I2026" s="46"/>
      <c r="J2026" s="46"/>
      <c r="K2026" s="46"/>
      <c r="L2026" s="46"/>
      <c r="M2026" s="46"/>
      <c r="N2026" s="46"/>
      <c r="O2026" s="46"/>
      <c r="P2026" s="46"/>
      <c r="Q2026" s="46"/>
      <c r="R2026" s="46"/>
      <c r="S2026" s="46"/>
      <c r="T2026" s="46"/>
      <c r="U2026" s="46"/>
      <c r="V2026" s="46"/>
      <c r="W2026" s="46"/>
      <c r="X2026" s="46"/>
    </row>
    <row r="2027" spans="1:24" x14ac:dyDescent="0.2">
      <c r="A2027" s="45"/>
      <c r="B2027" s="46"/>
      <c r="C2027" s="46"/>
      <c r="D2027" s="46"/>
      <c r="E2027" s="46"/>
      <c r="F2027" s="46"/>
      <c r="G2027" s="46"/>
      <c r="H2027" s="46"/>
      <c r="I2027" s="46"/>
      <c r="J2027" s="46"/>
      <c r="K2027" s="46"/>
      <c r="L2027" s="46"/>
      <c r="M2027" s="46"/>
      <c r="N2027" s="46"/>
      <c r="O2027" s="46"/>
      <c r="P2027" s="46"/>
      <c r="Q2027" s="46"/>
      <c r="R2027" s="46"/>
      <c r="S2027" s="46"/>
      <c r="T2027" s="46"/>
      <c r="U2027" s="46"/>
      <c r="V2027" s="46"/>
      <c r="W2027" s="46"/>
      <c r="X2027" s="46"/>
    </row>
    <row r="2028" spans="1:24" x14ac:dyDescent="0.2">
      <c r="A2028" s="45"/>
      <c r="B2028" s="46"/>
      <c r="C2028" s="46"/>
      <c r="D2028" s="46"/>
      <c r="E2028" s="46"/>
      <c r="F2028" s="46"/>
      <c r="G2028" s="46"/>
      <c r="H2028" s="46"/>
      <c r="I2028" s="46"/>
      <c r="J2028" s="46"/>
      <c r="K2028" s="46"/>
      <c r="L2028" s="46"/>
      <c r="M2028" s="46"/>
      <c r="N2028" s="46"/>
      <c r="O2028" s="46"/>
      <c r="P2028" s="46"/>
      <c r="Q2028" s="46"/>
      <c r="R2028" s="46"/>
      <c r="S2028" s="46"/>
      <c r="T2028" s="46"/>
      <c r="U2028" s="46"/>
      <c r="V2028" s="46"/>
      <c r="W2028" s="46"/>
      <c r="X2028" s="46"/>
    </row>
    <row r="2029" spans="1:24" x14ac:dyDescent="0.2">
      <c r="A2029" s="45"/>
      <c r="B2029" s="46"/>
      <c r="C2029" s="46"/>
      <c r="D2029" s="46"/>
      <c r="E2029" s="46"/>
      <c r="F2029" s="46"/>
      <c r="G2029" s="46"/>
      <c r="H2029" s="46"/>
      <c r="I2029" s="46"/>
      <c r="J2029" s="46"/>
      <c r="K2029" s="46"/>
      <c r="L2029" s="46"/>
      <c r="M2029" s="46"/>
      <c r="N2029" s="46"/>
      <c r="O2029" s="46"/>
      <c r="P2029" s="46"/>
      <c r="Q2029" s="46"/>
      <c r="R2029" s="46"/>
      <c r="S2029" s="46"/>
      <c r="T2029" s="46"/>
      <c r="U2029" s="46"/>
      <c r="V2029" s="46"/>
      <c r="W2029" s="46"/>
      <c r="X2029" s="46"/>
    </row>
    <row r="2030" spans="1:24" x14ac:dyDescent="0.2">
      <c r="A2030" s="45"/>
      <c r="B2030" s="46"/>
      <c r="C2030" s="46"/>
      <c r="D2030" s="46"/>
      <c r="E2030" s="46"/>
      <c r="F2030" s="46"/>
      <c r="G2030" s="46"/>
      <c r="H2030" s="46"/>
      <c r="I2030" s="46"/>
      <c r="J2030" s="46"/>
      <c r="K2030" s="46"/>
      <c r="L2030" s="46"/>
      <c r="M2030" s="46"/>
      <c r="N2030" s="46"/>
      <c r="O2030" s="46"/>
      <c r="P2030" s="46"/>
      <c r="Q2030" s="46"/>
      <c r="R2030" s="46"/>
      <c r="S2030" s="46"/>
      <c r="T2030" s="46"/>
      <c r="U2030" s="46"/>
      <c r="V2030" s="46"/>
      <c r="W2030" s="46"/>
      <c r="X2030" s="46"/>
    </row>
    <row r="2031" spans="1:24" x14ac:dyDescent="0.2">
      <c r="A2031" s="45"/>
      <c r="B2031" s="46"/>
      <c r="C2031" s="46"/>
      <c r="D2031" s="46"/>
      <c r="E2031" s="46"/>
      <c r="F2031" s="46"/>
      <c r="G2031" s="46"/>
      <c r="H2031" s="46"/>
      <c r="I2031" s="46"/>
      <c r="J2031" s="46"/>
      <c r="K2031" s="46"/>
      <c r="L2031" s="46"/>
      <c r="M2031" s="46"/>
      <c r="N2031" s="46"/>
      <c r="O2031" s="46"/>
      <c r="P2031" s="46"/>
      <c r="Q2031" s="46"/>
      <c r="R2031" s="46"/>
      <c r="S2031" s="46"/>
      <c r="T2031" s="46"/>
      <c r="U2031" s="46"/>
      <c r="V2031" s="46"/>
      <c r="W2031" s="46"/>
      <c r="X2031" s="46"/>
    </row>
    <row r="2032" spans="1:24" x14ac:dyDescent="0.2">
      <c r="A2032" s="45"/>
      <c r="B2032" s="46"/>
      <c r="C2032" s="46"/>
      <c r="D2032" s="46"/>
      <c r="E2032" s="46"/>
      <c r="F2032" s="46"/>
      <c r="G2032" s="46"/>
      <c r="H2032" s="46"/>
      <c r="I2032" s="46"/>
      <c r="J2032" s="46"/>
      <c r="K2032" s="46"/>
      <c r="L2032" s="46"/>
      <c r="M2032" s="46"/>
      <c r="N2032" s="46"/>
      <c r="O2032" s="46"/>
      <c r="P2032" s="46"/>
      <c r="Q2032" s="46"/>
      <c r="R2032" s="46"/>
      <c r="S2032" s="46"/>
      <c r="T2032" s="46"/>
      <c r="U2032" s="46"/>
      <c r="V2032" s="46"/>
      <c r="W2032" s="46"/>
      <c r="X2032" s="46"/>
    </row>
    <row r="2033" spans="1:24" x14ac:dyDescent="0.2">
      <c r="A2033" s="45"/>
      <c r="B2033" s="46"/>
      <c r="C2033" s="46"/>
      <c r="D2033" s="46"/>
      <c r="E2033" s="46"/>
      <c r="F2033" s="46"/>
      <c r="G2033" s="46"/>
      <c r="H2033" s="46"/>
      <c r="I2033" s="46"/>
      <c r="J2033" s="46"/>
      <c r="K2033" s="46"/>
      <c r="L2033" s="46"/>
      <c r="M2033" s="46"/>
      <c r="N2033" s="46"/>
      <c r="O2033" s="46"/>
      <c r="P2033" s="46"/>
      <c r="Q2033" s="46"/>
      <c r="R2033" s="46"/>
      <c r="S2033" s="46"/>
      <c r="T2033" s="46"/>
      <c r="U2033" s="46"/>
      <c r="V2033" s="46"/>
      <c r="W2033" s="46"/>
      <c r="X2033" s="46"/>
    </row>
    <row r="2034" spans="1:24" x14ac:dyDescent="0.2">
      <c r="A2034" s="45"/>
      <c r="B2034" s="46"/>
      <c r="C2034" s="46"/>
      <c r="D2034" s="46"/>
      <c r="E2034" s="46"/>
      <c r="F2034" s="46"/>
      <c r="G2034" s="46"/>
      <c r="H2034" s="46"/>
      <c r="I2034" s="46"/>
      <c r="J2034" s="46"/>
      <c r="K2034" s="46"/>
      <c r="L2034" s="46"/>
      <c r="M2034" s="46"/>
      <c r="N2034" s="46"/>
      <c r="O2034" s="46"/>
      <c r="P2034" s="46"/>
      <c r="Q2034" s="46"/>
      <c r="R2034" s="46"/>
      <c r="S2034" s="46"/>
      <c r="T2034" s="46"/>
      <c r="U2034" s="46"/>
      <c r="V2034" s="46"/>
      <c r="W2034" s="46"/>
      <c r="X2034" s="46"/>
    </row>
    <row r="2035" spans="1:24" x14ac:dyDescent="0.2">
      <c r="A2035" s="45"/>
      <c r="B2035" s="46"/>
      <c r="C2035" s="46"/>
      <c r="D2035" s="46"/>
      <c r="E2035" s="46"/>
      <c r="F2035" s="46"/>
      <c r="G2035" s="46"/>
      <c r="H2035" s="46"/>
      <c r="I2035" s="46"/>
      <c r="J2035" s="46"/>
      <c r="K2035" s="46"/>
      <c r="L2035" s="46"/>
      <c r="M2035" s="46"/>
      <c r="N2035" s="46"/>
      <c r="O2035" s="46"/>
      <c r="P2035" s="46"/>
      <c r="Q2035" s="46"/>
      <c r="R2035" s="46"/>
      <c r="S2035" s="46"/>
      <c r="T2035" s="46"/>
      <c r="U2035" s="46"/>
      <c r="V2035" s="46"/>
      <c r="W2035" s="46"/>
      <c r="X2035" s="46"/>
    </row>
    <row r="2036" spans="1:24" x14ac:dyDescent="0.2">
      <c r="A2036" s="45"/>
      <c r="B2036" s="46"/>
      <c r="C2036" s="46"/>
      <c r="D2036" s="46"/>
      <c r="E2036" s="46"/>
      <c r="F2036" s="46"/>
      <c r="G2036" s="46"/>
      <c r="H2036" s="46"/>
      <c r="I2036" s="46"/>
      <c r="J2036" s="46"/>
      <c r="K2036" s="46"/>
      <c r="L2036" s="46"/>
      <c r="M2036" s="46"/>
      <c r="N2036" s="46"/>
      <c r="O2036" s="46"/>
      <c r="P2036" s="46"/>
      <c r="Q2036" s="46"/>
      <c r="R2036" s="46"/>
      <c r="S2036" s="46"/>
      <c r="T2036" s="46"/>
      <c r="U2036" s="46"/>
      <c r="V2036" s="46"/>
      <c r="W2036" s="46"/>
      <c r="X2036" s="46"/>
    </row>
    <row r="2037" spans="1:24" x14ac:dyDescent="0.2">
      <c r="A2037" s="45"/>
      <c r="B2037" s="46"/>
      <c r="C2037" s="46"/>
      <c r="D2037" s="46"/>
      <c r="E2037" s="46"/>
      <c r="F2037" s="46"/>
      <c r="G2037" s="46"/>
      <c r="H2037" s="46"/>
      <c r="I2037" s="46"/>
      <c r="J2037" s="46"/>
      <c r="K2037" s="46"/>
      <c r="L2037" s="46"/>
      <c r="M2037" s="46"/>
      <c r="N2037" s="46"/>
      <c r="O2037" s="46"/>
      <c r="P2037" s="46"/>
      <c r="Q2037" s="46"/>
      <c r="R2037" s="46"/>
      <c r="S2037" s="46"/>
      <c r="T2037" s="46"/>
      <c r="U2037" s="46"/>
      <c r="V2037" s="46"/>
      <c r="W2037" s="46"/>
      <c r="X2037" s="46"/>
    </row>
    <row r="2038" spans="1:24" x14ac:dyDescent="0.2">
      <c r="A2038" s="45"/>
      <c r="B2038" s="46"/>
      <c r="C2038" s="46"/>
      <c r="D2038" s="46"/>
      <c r="E2038" s="46"/>
      <c r="F2038" s="46"/>
      <c r="G2038" s="46"/>
      <c r="H2038" s="46"/>
      <c r="I2038" s="46"/>
      <c r="J2038" s="46"/>
      <c r="K2038" s="46"/>
      <c r="L2038" s="46"/>
      <c r="M2038" s="46"/>
      <c r="N2038" s="46"/>
      <c r="O2038" s="46"/>
      <c r="P2038" s="46"/>
      <c r="Q2038" s="46"/>
      <c r="R2038" s="46"/>
      <c r="S2038" s="46"/>
      <c r="T2038" s="46"/>
      <c r="U2038" s="46"/>
      <c r="V2038" s="46"/>
      <c r="W2038" s="46"/>
      <c r="X2038" s="46"/>
    </row>
    <row r="2039" spans="1:24" x14ac:dyDescent="0.2">
      <c r="A2039" s="45"/>
      <c r="B2039" s="46"/>
      <c r="C2039" s="46"/>
      <c r="D2039" s="46"/>
      <c r="E2039" s="46"/>
      <c r="F2039" s="46"/>
      <c r="G2039" s="46"/>
      <c r="H2039" s="46"/>
      <c r="I2039" s="46"/>
      <c r="J2039" s="46"/>
      <c r="K2039" s="46"/>
      <c r="L2039" s="46"/>
      <c r="M2039" s="46"/>
      <c r="N2039" s="46"/>
      <c r="O2039" s="46"/>
      <c r="P2039" s="46"/>
      <c r="Q2039" s="46"/>
      <c r="R2039" s="46"/>
      <c r="S2039" s="46"/>
      <c r="T2039" s="46"/>
      <c r="U2039" s="46"/>
      <c r="V2039" s="46"/>
      <c r="W2039" s="46"/>
      <c r="X2039" s="46"/>
    </row>
    <row r="2040" spans="1:24" x14ac:dyDescent="0.2">
      <c r="A2040" s="45"/>
      <c r="B2040" s="46"/>
      <c r="C2040" s="46"/>
      <c r="D2040" s="46"/>
      <c r="E2040" s="46"/>
      <c r="F2040" s="46"/>
      <c r="G2040" s="46"/>
      <c r="H2040" s="46"/>
      <c r="I2040" s="46"/>
      <c r="J2040" s="46"/>
      <c r="K2040" s="46"/>
      <c r="L2040" s="46"/>
      <c r="M2040" s="46"/>
      <c r="N2040" s="46"/>
      <c r="O2040" s="46"/>
      <c r="P2040" s="46"/>
      <c r="Q2040" s="46"/>
      <c r="R2040" s="46"/>
      <c r="S2040" s="46"/>
      <c r="T2040" s="46"/>
      <c r="U2040" s="46"/>
      <c r="V2040" s="46"/>
      <c r="W2040" s="46"/>
      <c r="X2040" s="46"/>
    </row>
    <row r="2041" spans="1:24" x14ac:dyDescent="0.2">
      <c r="A2041" s="45"/>
      <c r="B2041" s="46"/>
      <c r="C2041" s="46"/>
      <c r="D2041" s="46"/>
      <c r="E2041" s="46"/>
      <c r="F2041" s="46"/>
      <c r="G2041" s="46"/>
      <c r="H2041" s="46"/>
      <c r="I2041" s="46"/>
      <c r="J2041" s="46"/>
      <c r="K2041" s="46"/>
      <c r="L2041" s="46"/>
      <c r="M2041" s="46"/>
      <c r="N2041" s="46"/>
      <c r="O2041" s="46"/>
      <c r="P2041" s="46"/>
      <c r="Q2041" s="46"/>
      <c r="R2041" s="46"/>
      <c r="S2041" s="46"/>
      <c r="T2041" s="46"/>
      <c r="U2041" s="46"/>
      <c r="V2041" s="46"/>
      <c r="W2041" s="46"/>
      <c r="X2041" s="46"/>
    </row>
    <row r="2042" spans="1:24" x14ac:dyDescent="0.2">
      <c r="A2042" s="45"/>
      <c r="B2042" s="46"/>
      <c r="C2042" s="46"/>
      <c r="D2042" s="46"/>
      <c r="E2042" s="46"/>
      <c r="F2042" s="46"/>
      <c r="G2042" s="46"/>
      <c r="H2042" s="46"/>
      <c r="I2042" s="46"/>
      <c r="J2042" s="46"/>
      <c r="K2042" s="46"/>
      <c r="L2042" s="46"/>
      <c r="M2042" s="46"/>
      <c r="N2042" s="46"/>
      <c r="O2042" s="46"/>
      <c r="P2042" s="46"/>
      <c r="Q2042" s="46"/>
      <c r="R2042" s="46"/>
      <c r="S2042" s="46"/>
      <c r="T2042" s="46"/>
      <c r="U2042" s="46"/>
      <c r="V2042" s="46"/>
      <c r="W2042" s="46"/>
      <c r="X2042" s="46"/>
    </row>
    <row r="2043" spans="1:24" x14ac:dyDescent="0.2">
      <c r="A2043" s="45"/>
      <c r="B2043" s="46"/>
      <c r="C2043" s="46"/>
      <c r="D2043" s="46"/>
      <c r="E2043" s="46"/>
      <c r="F2043" s="46"/>
      <c r="G2043" s="46"/>
      <c r="H2043" s="46"/>
      <c r="I2043" s="46"/>
      <c r="J2043" s="46"/>
      <c r="K2043" s="46"/>
      <c r="L2043" s="46"/>
      <c r="M2043" s="46"/>
      <c r="N2043" s="46"/>
      <c r="O2043" s="46"/>
      <c r="P2043" s="46"/>
      <c r="Q2043" s="46"/>
      <c r="R2043" s="46"/>
      <c r="S2043" s="46"/>
      <c r="T2043" s="46"/>
      <c r="U2043" s="46"/>
      <c r="V2043" s="46"/>
      <c r="W2043" s="46"/>
      <c r="X2043" s="46"/>
    </row>
    <row r="2044" spans="1:24" x14ac:dyDescent="0.2">
      <c r="A2044" s="45"/>
      <c r="B2044" s="46"/>
      <c r="C2044" s="46"/>
      <c r="D2044" s="46"/>
      <c r="E2044" s="46"/>
      <c r="F2044" s="46"/>
      <c r="G2044" s="46"/>
      <c r="H2044" s="46"/>
      <c r="I2044" s="46"/>
      <c r="J2044" s="46"/>
      <c r="K2044" s="46"/>
      <c r="L2044" s="46"/>
      <c r="M2044" s="46"/>
      <c r="N2044" s="46"/>
      <c r="O2044" s="46"/>
      <c r="P2044" s="46"/>
      <c r="Q2044" s="46"/>
      <c r="R2044" s="46"/>
      <c r="S2044" s="46"/>
      <c r="T2044" s="46"/>
      <c r="U2044" s="46"/>
      <c r="V2044" s="46"/>
      <c r="W2044" s="46"/>
      <c r="X2044" s="46"/>
    </row>
    <row r="2045" spans="1:24" x14ac:dyDescent="0.2">
      <c r="A2045" s="45"/>
      <c r="B2045" s="46"/>
      <c r="C2045" s="46"/>
      <c r="D2045" s="46"/>
      <c r="E2045" s="46"/>
      <c r="F2045" s="46"/>
      <c r="G2045" s="46"/>
      <c r="H2045" s="46"/>
      <c r="I2045" s="46"/>
      <c r="J2045" s="46"/>
      <c r="K2045" s="46"/>
      <c r="L2045" s="46"/>
      <c r="M2045" s="46"/>
      <c r="N2045" s="46"/>
      <c r="O2045" s="46"/>
      <c r="P2045" s="46"/>
      <c r="Q2045" s="46"/>
      <c r="R2045" s="46"/>
      <c r="S2045" s="46"/>
      <c r="T2045" s="46"/>
      <c r="U2045" s="46"/>
      <c r="V2045" s="46"/>
      <c r="W2045" s="46"/>
      <c r="X2045" s="46"/>
    </row>
    <row r="2046" spans="1:24" x14ac:dyDescent="0.2">
      <c r="A2046" s="45"/>
      <c r="B2046" s="46"/>
      <c r="C2046" s="46"/>
      <c r="D2046" s="46"/>
      <c r="E2046" s="46"/>
      <c r="F2046" s="46"/>
      <c r="G2046" s="46"/>
      <c r="H2046" s="46"/>
      <c r="I2046" s="46"/>
      <c r="J2046" s="46"/>
      <c r="K2046" s="46"/>
      <c r="L2046" s="46"/>
      <c r="M2046" s="46"/>
      <c r="N2046" s="46"/>
      <c r="O2046" s="46"/>
      <c r="P2046" s="46"/>
      <c r="Q2046" s="46"/>
      <c r="R2046" s="46"/>
      <c r="S2046" s="46"/>
      <c r="T2046" s="46"/>
      <c r="U2046" s="46"/>
      <c r="V2046" s="46"/>
      <c r="W2046" s="46"/>
      <c r="X2046" s="46"/>
    </row>
    <row r="2047" spans="1:24" x14ac:dyDescent="0.2">
      <c r="A2047" s="45"/>
      <c r="B2047" s="46"/>
      <c r="C2047" s="46"/>
      <c r="D2047" s="46"/>
      <c r="E2047" s="46"/>
      <c r="F2047" s="46"/>
      <c r="G2047" s="46"/>
      <c r="H2047" s="46"/>
      <c r="I2047" s="46"/>
      <c r="J2047" s="46"/>
      <c r="K2047" s="46"/>
      <c r="L2047" s="46"/>
      <c r="M2047" s="46"/>
      <c r="N2047" s="46"/>
      <c r="O2047" s="46"/>
      <c r="P2047" s="46"/>
      <c r="Q2047" s="46"/>
      <c r="R2047" s="46"/>
      <c r="S2047" s="46"/>
      <c r="T2047" s="46"/>
      <c r="U2047" s="46"/>
      <c r="V2047" s="46"/>
      <c r="W2047" s="46"/>
      <c r="X2047" s="46"/>
    </row>
    <row r="2048" spans="1:24" x14ac:dyDescent="0.2">
      <c r="A2048" s="45"/>
      <c r="B2048" s="46"/>
      <c r="C2048" s="46"/>
      <c r="D2048" s="46"/>
      <c r="E2048" s="46"/>
      <c r="F2048" s="46"/>
      <c r="G2048" s="46"/>
      <c r="H2048" s="46"/>
      <c r="I2048" s="46"/>
      <c r="J2048" s="46"/>
      <c r="K2048" s="46"/>
      <c r="L2048" s="46"/>
      <c r="M2048" s="46"/>
      <c r="N2048" s="46"/>
      <c r="O2048" s="46"/>
      <c r="P2048" s="46"/>
      <c r="Q2048" s="46"/>
      <c r="R2048" s="46"/>
      <c r="S2048" s="46"/>
      <c r="T2048" s="46"/>
      <c r="U2048" s="46"/>
      <c r="V2048" s="46"/>
      <c r="W2048" s="46"/>
      <c r="X2048" s="46"/>
    </row>
    <row r="2049" spans="1:24" x14ac:dyDescent="0.2">
      <c r="A2049" s="45"/>
      <c r="B2049" s="46"/>
      <c r="C2049" s="46"/>
      <c r="D2049" s="46"/>
      <c r="E2049" s="46"/>
      <c r="F2049" s="46"/>
      <c r="G2049" s="46"/>
      <c r="H2049" s="46"/>
      <c r="I2049" s="46"/>
      <c r="J2049" s="46"/>
      <c r="K2049" s="46"/>
      <c r="L2049" s="46"/>
      <c r="M2049" s="46"/>
      <c r="N2049" s="46"/>
      <c r="O2049" s="46"/>
      <c r="P2049" s="46"/>
      <c r="Q2049" s="46"/>
      <c r="R2049" s="46"/>
      <c r="S2049" s="46"/>
      <c r="T2049" s="46"/>
      <c r="U2049" s="46"/>
      <c r="V2049" s="46"/>
      <c r="W2049" s="46"/>
      <c r="X2049" s="46"/>
    </row>
    <row r="2050" spans="1:24" x14ac:dyDescent="0.2">
      <c r="A2050" s="45"/>
      <c r="B2050" s="46"/>
      <c r="C2050" s="46"/>
      <c r="D2050" s="46"/>
      <c r="E2050" s="46"/>
      <c r="F2050" s="46"/>
      <c r="G2050" s="46"/>
      <c r="H2050" s="46"/>
      <c r="I2050" s="46"/>
      <c r="J2050" s="46"/>
      <c r="K2050" s="46"/>
      <c r="L2050" s="46"/>
      <c r="M2050" s="46"/>
      <c r="N2050" s="46"/>
      <c r="O2050" s="46"/>
      <c r="P2050" s="46"/>
      <c r="Q2050" s="46"/>
      <c r="R2050" s="46"/>
      <c r="S2050" s="46"/>
      <c r="T2050" s="46"/>
      <c r="U2050" s="46"/>
      <c r="V2050" s="46"/>
      <c r="W2050" s="46"/>
      <c r="X2050" s="46"/>
    </row>
    <row r="2051" spans="1:24" x14ac:dyDescent="0.2">
      <c r="A2051" s="45"/>
      <c r="B2051" s="46"/>
      <c r="C2051" s="46"/>
      <c r="D2051" s="46"/>
      <c r="E2051" s="46"/>
      <c r="F2051" s="46"/>
      <c r="G2051" s="46"/>
      <c r="H2051" s="46"/>
      <c r="I2051" s="46"/>
      <c r="J2051" s="46"/>
      <c r="K2051" s="46"/>
      <c r="L2051" s="46"/>
      <c r="M2051" s="46"/>
      <c r="N2051" s="46"/>
      <c r="O2051" s="46"/>
      <c r="P2051" s="46"/>
      <c r="Q2051" s="46"/>
      <c r="R2051" s="46"/>
      <c r="S2051" s="46"/>
      <c r="T2051" s="46"/>
      <c r="U2051" s="46"/>
      <c r="V2051" s="46"/>
      <c r="W2051" s="46"/>
      <c r="X2051" s="46"/>
    </row>
    <row r="2052" spans="1:24" x14ac:dyDescent="0.2">
      <c r="A2052" s="45"/>
      <c r="B2052" s="46"/>
      <c r="C2052" s="46"/>
      <c r="D2052" s="46"/>
      <c r="E2052" s="46"/>
      <c r="F2052" s="46"/>
      <c r="G2052" s="46"/>
      <c r="H2052" s="46"/>
      <c r="I2052" s="46"/>
      <c r="J2052" s="46"/>
      <c r="K2052" s="46"/>
      <c r="L2052" s="46"/>
      <c r="M2052" s="46"/>
      <c r="N2052" s="46"/>
      <c r="O2052" s="46"/>
      <c r="P2052" s="46"/>
      <c r="Q2052" s="46"/>
      <c r="R2052" s="46"/>
      <c r="S2052" s="46"/>
      <c r="T2052" s="46"/>
      <c r="U2052" s="46"/>
      <c r="V2052" s="46"/>
      <c r="W2052" s="46"/>
      <c r="X2052" s="46"/>
    </row>
    <row r="2053" spans="1:24" x14ac:dyDescent="0.2">
      <c r="A2053" s="45"/>
      <c r="B2053" s="46"/>
      <c r="C2053" s="46"/>
      <c r="D2053" s="46"/>
      <c r="E2053" s="46"/>
      <c r="F2053" s="46"/>
      <c r="G2053" s="46"/>
      <c r="H2053" s="46"/>
      <c r="I2053" s="46"/>
      <c r="J2053" s="46"/>
      <c r="K2053" s="46"/>
      <c r="L2053" s="46"/>
      <c r="M2053" s="46"/>
      <c r="N2053" s="46"/>
      <c r="O2053" s="46"/>
      <c r="P2053" s="46"/>
      <c r="Q2053" s="46"/>
      <c r="R2053" s="46"/>
      <c r="S2053" s="46"/>
      <c r="T2053" s="46"/>
      <c r="U2053" s="46"/>
      <c r="V2053" s="46"/>
      <c r="W2053" s="46"/>
      <c r="X2053" s="46"/>
    </row>
    <row r="2054" spans="1:24" x14ac:dyDescent="0.2">
      <c r="A2054" s="45"/>
      <c r="B2054" s="46"/>
      <c r="C2054" s="46"/>
      <c r="D2054" s="46"/>
      <c r="E2054" s="46"/>
      <c r="F2054" s="46"/>
      <c r="G2054" s="46"/>
      <c r="H2054" s="46"/>
      <c r="I2054" s="46"/>
      <c r="J2054" s="46"/>
      <c r="K2054" s="46"/>
      <c r="L2054" s="46"/>
      <c r="M2054" s="46"/>
      <c r="N2054" s="46"/>
      <c r="O2054" s="46"/>
      <c r="P2054" s="46"/>
      <c r="Q2054" s="46"/>
      <c r="R2054" s="46"/>
      <c r="S2054" s="46"/>
      <c r="T2054" s="46"/>
      <c r="U2054" s="46"/>
      <c r="V2054" s="46"/>
      <c r="W2054" s="46"/>
      <c r="X2054" s="46"/>
    </row>
    <row r="2055" spans="1:24" x14ac:dyDescent="0.2">
      <c r="A2055" s="45"/>
      <c r="B2055" s="46"/>
      <c r="C2055" s="46"/>
      <c r="D2055" s="46"/>
      <c r="E2055" s="46"/>
      <c r="F2055" s="46"/>
      <c r="G2055" s="46"/>
      <c r="H2055" s="46"/>
      <c r="I2055" s="46"/>
      <c r="J2055" s="46"/>
      <c r="K2055" s="46"/>
      <c r="L2055" s="46"/>
      <c r="M2055" s="46"/>
      <c r="N2055" s="46"/>
      <c r="O2055" s="46"/>
      <c r="P2055" s="46"/>
      <c r="Q2055" s="46"/>
      <c r="R2055" s="46"/>
      <c r="S2055" s="46"/>
      <c r="T2055" s="46"/>
      <c r="U2055" s="46"/>
      <c r="V2055" s="46"/>
      <c r="W2055" s="46"/>
      <c r="X2055" s="46"/>
    </row>
    <row r="2056" spans="1:24" x14ac:dyDescent="0.2">
      <c r="A2056" s="45"/>
      <c r="B2056" s="46"/>
      <c r="C2056" s="46"/>
      <c r="D2056" s="46"/>
      <c r="E2056" s="46"/>
      <c r="F2056" s="46"/>
      <c r="G2056" s="46"/>
      <c r="H2056" s="46"/>
      <c r="I2056" s="46"/>
      <c r="J2056" s="46"/>
      <c r="K2056" s="46"/>
      <c r="L2056" s="46"/>
      <c r="M2056" s="46"/>
      <c r="N2056" s="46"/>
      <c r="O2056" s="46"/>
      <c r="P2056" s="46"/>
      <c r="Q2056" s="46"/>
      <c r="R2056" s="46"/>
      <c r="S2056" s="46"/>
      <c r="T2056" s="46"/>
      <c r="U2056" s="46"/>
      <c r="V2056" s="46"/>
      <c r="W2056" s="46"/>
      <c r="X2056" s="46"/>
    </row>
    <row r="2057" spans="1:24" x14ac:dyDescent="0.2">
      <c r="A2057" s="45"/>
      <c r="B2057" s="46"/>
      <c r="C2057" s="46"/>
      <c r="D2057" s="46"/>
      <c r="E2057" s="46"/>
      <c r="F2057" s="46"/>
      <c r="G2057" s="46"/>
      <c r="H2057" s="46"/>
      <c r="I2057" s="46"/>
      <c r="J2057" s="46"/>
      <c r="K2057" s="46"/>
      <c r="L2057" s="46"/>
      <c r="M2057" s="46"/>
      <c r="N2057" s="46"/>
      <c r="O2057" s="46"/>
      <c r="P2057" s="46"/>
      <c r="Q2057" s="46"/>
      <c r="R2057" s="46"/>
      <c r="S2057" s="46"/>
      <c r="T2057" s="46"/>
      <c r="U2057" s="46"/>
      <c r="V2057" s="46"/>
      <c r="W2057" s="46"/>
      <c r="X2057" s="46"/>
    </row>
    <row r="2058" spans="1:24" x14ac:dyDescent="0.2">
      <c r="A2058" s="45"/>
      <c r="B2058" s="46"/>
      <c r="C2058" s="46"/>
      <c r="D2058" s="46"/>
      <c r="E2058" s="46"/>
      <c r="F2058" s="46"/>
      <c r="G2058" s="46"/>
      <c r="H2058" s="46"/>
      <c r="I2058" s="46"/>
      <c r="J2058" s="46"/>
      <c r="K2058" s="46"/>
      <c r="L2058" s="46"/>
      <c r="M2058" s="46"/>
      <c r="N2058" s="46"/>
      <c r="O2058" s="46"/>
      <c r="P2058" s="46"/>
      <c r="Q2058" s="46"/>
      <c r="R2058" s="46"/>
      <c r="S2058" s="46"/>
      <c r="T2058" s="46"/>
      <c r="U2058" s="46"/>
      <c r="V2058" s="46"/>
      <c r="W2058" s="46"/>
      <c r="X2058" s="46"/>
    </row>
    <row r="2059" spans="1:24" x14ac:dyDescent="0.2">
      <c r="A2059" s="45"/>
      <c r="B2059" s="46"/>
      <c r="C2059" s="46"/>
      <c r="D2059" s="46"/>
      <c r="E2059" s="46"/>
      <c r="F2059" s="46"/>
      <c r="G2059" s="46"/>
      <c r="H2059" s="46"/>
      <c r="I2059" s="46"/>
      <c r="J2059" s="46"/>
      <c r="K2059" s="46"/>
      <c r="L2059" s="46"/>
      <c r="M2059" s="46"/>
      <c r="N2059" s="46"/>
      <c r="O2059" s="46"/>
      <c r="P2059" s="46"/>
      <c r="Q2059" s="46"/>
      <c r="R2059" s="46"/>
      <c r="S2059" s="46"/>
      <c r="T2059" s="46"/>
      <c r="U2059" s="46"/>
      <c r="V2059" s="46"/>
      <c r="W2059" s="46"/>
      <c r="X2059" s="46"/>
    </row>
    <row r="2060" spans="1:24" x14ac:dyDescent="0.2">
      <c r="A2060" s="45"/>
      <c r="B2060" s="46"/>
      <c r="C2060" s="46"/>
      <c r="D2060" s="46"/>
      <c r="E2060" s="46"/>
      <c r="F2060" s="46"/>
      <c r="G2060" s="46"/>
      <c r="H2060" s="46"/>
      <c r="I2060" s="46"/>
      <c r="J2060" s="46"/>
      <c r="K2060" s="46"/>
      <c r="L2060" s="46"/>
      <c r="M2060" s="46"/>
      <c r="N2060" s="46"/>
      <c r="O2060" s="46"/>
      <c r="P2060" s="46"/>
      <c r="Q2060" s="46"/>
      <c r="R2060" s="46"/>
      <c r="S2060" s="46"/>
      <c r="T2060" s="46"/>
      <c r="U2060" s="46"/>
      <c r="V2060" s="46"/>
      <c r="W2060" s="46"/>
      <c r="X2060" s="46"/>
    </row>
    <row r="2061" spans="1:24" x14ac:dyDescent="0.2">
      <c r="A2061" s="45"/>
      <c r="B2061" s="46"/>
      <c r="C2061" s="46"/>
      <c r="D2061" s="46"/>
      <c r="E2061" s="46"/>
      <c r="F2061" s="46"/>
      <c r="G2061" s="46"/>
      <c r="H2061" s="46"/>
      <c r="I2061" s="46"/>
      <c r="J2061" s="46"/>
      <c r="K2061" s="46"/>
      <c r="L2061" s="46"/>
      <c r="M2061" s="46"/>
      <c r="N2061" s="46"/>
      <c r="O2061" s="46"/>
      <c r="P2061" s="46"/>
      <c r="Q2061" s="46"/>
      <c r="R2061" s="46"/>
      <c r="S2061" s="46"/>
      <c r="T2061" s="46"/>
      <c r="U2061" s="46"/>
      <c r="V2061" s="46"/>
      <c r="W2061" s="46"/>
      <c r="X2061" s="46"/>
    </row>
    <row r="2062" spans="1:24" x14ac:dyDescent="0.2">
      <c r="A2062" s="45"/>
      <c r="B2062" s="46"/>
      <c r="C2062" s="46"/>
      <c r="D2062" s="46"/>
      <c r="E2062" s="46"/>
      <c r="F2062" s="46"/>
      <c r="G2062" s="46"/>
      <c r="H2062" s="46"/>
      <c r="I2062" s="46"/>
      <c r="J2062" s="46"/>
      <c r="K2062" s="46"/>
      <c r="L2062" s="46"/>
      <c r="M2062" s="46"/>
      <c r="N2062" s="46"/>
      <c r="O2062" s="46"/>
      <c r="P2062" s="46"/>
      <c r="Q2062" s="46"/>
      <c r="R2062" s="46"/>
      <c r="S2062" s="46"/>
      <c r="T2062" s="46"/>
      <c r="U2062" s="46"/>
      <c r="V2062" s="46"/>
      <c r="W2062" s="46"/>
      <c r="X2062" s="46"/>
    </row>
    <row r="2063" spans="1:24" x14ac:dyDescent="0.2">
      <c r="A2063" s="45"/>
      <c r="B2063" s="46"/>
      <c r="C2063" s="46"/>
      <c r="D2063" s="46"/>
      <c r="E2063" s="46"/>
      <c r="F2063" s="46"/>
      <c r="G2063" s="46"/>
      <c r="H2063" s="46"/>
      <c r="I2063" s="46"/>
      <c r="J2063" s="46"/>
      <c r="K2063" s="46"/>
      <c r="L2063" s="46"/>
      <c r="M2063" s="46"/>
      <c r="N2063" s="46"/>
      <c r="O2063" s="46"/>
      <c r="P2063" s="46"/>
      <c r="Q2063" s="46"/>
      <c r="R2063" s="46"/>
      <c r="S2063" s="46"/>
      <c r="T2063" s="46"/>
      <c r="U2063" s="46"/>
      <c r="V2063" s="46"/>
      <c r="W2063" s="46"/>
      <c r="X2063" s="46"/>
    </row>
    <row r="2064" spans="1:24" x14ac:dyDescent="0.2">
      <c r="A2064" s="45"/>
      <c r="B2064" s="46"/>
      <c r="C2064" s="46"/>
      <c r="D2064" s="46"/>
      <c r="E2064" s="46"/>
      <c r="F2064" s="46"/>
      <c r="G2064" s="46"/>
      <c r="H2064" s="46"/>
      <c r="I2064" s="46"/>
      <c r="J2064" s="46"/>
      <c r="K2064" s="46"/>
      <c r="L2064" s="46"/>
      <c r="M2064" s="46"/>
      <c r="N2064" s="46"/>
      <c r="O2064" s="46"/>
      <c r="P2064" s="46"/>
      <c r="Q2064" s="46"/>
      <c r="R2064" s="46"/>
      <c r="S2064" s="46"/>
      <c r="T2064" s="46"/>
      <c r="U2064" s="46"/>
      <c r="V2064" s="46"/>
      <c r="W2064" s="46"/>
      <c r="X2064" s="46"/>
    </row>
    <row r="2065" spans="1:24" x14ac:dyDescent="0.2">
      <c r="A2065" s="45"/>
      <c r="B2065" s="46"/>
      <c r="C2065" s="46"/>
      <c r="D2065" s="46"/>
      <c r="E2065" s="46"/>
      <c r="F2065" s="46"/>
      <c r="G2065" s="46"/>
      <c r="H2065" s="46"/>
      <c r="I2065" s="46"/>
      <c r="J2065" s="46"/>
      <c r="K2065" s="46"/>
      <c r="L2065" s="46"/>
      <c r="M2065" s="46"/>
      <c r="N2065" s="46"/>
      <c r="O2065" s="46"/>
      <c r="P2065" s="46"/>
      <c r="Q2065" s="46"/>
      <c r="R2065" s="46"/>
      <c r="S2065" s="46"/>
      <c r="T2065" s="46"/>
      <c r="U2065" s="46"/>
      <c r="V2065" s="46"/>
      <c r="W2065" s="46"/>
      <c r="X2065" s="46"/>
    </row>
    <row r="2066" spans="1:24" x14ac:dyDescent="0.2">
      <c r="A2066" s="45"/>
      <c r="B2066" s="46"/>
      <c r="C2066" s="46"/>
      <c r="D2066" s="46"/>
      <c r="E2066" s="46"/>
      <c r="F2066" s="46"/>
      <c r="G2066" s="46"/>
      <c r="H2066" s="46"/>
      <c r="I2066" s="46"/>
      <c r="J2066" s="46"/>
      <c r="K2066" s="46"/>
      <c r="L2066" s="46"/>
      <c r="M2066" s="46"/>
      <c r="N2066" s="46"/>
      <c r="O2066" s="46"/>
      <c r="P2066" s="46"/>
      <c r="Q2066" s="46"/>
      <c r="R2066" s="46"/>
      <c r="S2066" s="46"/>
      <c r="T2066" s="46"/>
      <c r="U2066" s="46"/>
      <c r="V2066" s="46"/>
      <c r="W2066" s="46"/>
      <c r="X2066" s="46"/>
    </row>
    <row r="2067" spans="1:24" x14ac:dyDescent="0.2">
      <c r="A2067" s="45"/>
      <c r="B2067" s="46"/>
      <c r="C2067" s="46"/>
      <c r="D2067" s="46"/>
      <c r="E2067" s="46"/>
      <c r="F2067" s="46"/>
      <c r="G2067" s="46"/>
      <c r="H2067" s="46"/>
      <c r="I2067" s="46"/>
      <c r="J2067" s="46"/>
      <c r="K2067" s="46"/>
      <c r="L2067" s="46"/>
      <c r="M2067" s="46"/>
      <c r="N2067" s="46"/>
      <c r="O2067" s="46"/>
      <c r="P2067" s="46"/>
      <c r="Q2067" s="46"/>
      <c r="R2067" s="46"/>
      <c r="S2067" s="46"/>
      <c r="T2067" s="46"/>
      <c r="U2067" s="46"/>
      <c r="V2067" s="46"/>
      <c r="W2067" s="46"/>
      <c r="X2067" s="46"/>
    </row>
    <row r="2068" spans="1:24" x14ac:dyDescent="0.2">
      <c r="A2068" s="45"/>
      <c r="B2068" s="46"/>
      <c r="C2068" s="46"/>
      <c r="D2068" s="46"/>
      <c r="E2068" s="46"/>
      <c r="F2068" s="46"/>
      <c r="G2068" s="46"/>
      <c r="H2068" s="46"/>
      <c r="I2068" s="46"/>
      <c r="J2068" s="46"/>
      <c r="K2068" s="46"/>
      <c r="L2068" s="46"/>
      <c r="M2068" s="46"/>
      <c r="N2068" s="46"/>
      <c r="O2068" s="46"/>
      <c r="P2068" s="46"/>
      <c r="Q2068" s="46"/>
      <c r="R2068" s="46"/>
      <c r="S2068" s="46"/>
      <c r="T2068" s="46"/>
      <c r="U2068" s="46"/>
      <c r="V2068" s="46"/>
      <c r="W2068" s="46"/>
      <c r="X2068" s="46"/>
    </row>
    <row r="2069" spans="1:24" x14ac:dyDescent="0.2">
      <c r="A2069" s="45"/>
      <c r="B2069" s="46"/>
      <c r="C2069" s="46"/>
      <c r="D2069" s="46"/>
      <c r="E2069" s="46"/>
      <c r="F2069" s="46"/>
      <c r="G2069" s="46"/>
      <c r="H2069" s="46"/>
      <c r="I2069" s="46"/>
      <c r="J2069" s="46"/>
      <c r="K2069" s="46"/>
      <c r="L2069" s="46"/>
      <c r="M2069" s="46"/>
      <c r="N2069" s="46"/>
      <c r="O2069" s="46"/>
      <c r="P2069" s="46"/>
      <c r="Q2069" s="46"/>
      <c r="R2069" s="46"/>
      <c r="S2069" s="46"/>
      <c r="T2069" s="46"/>
      <c r="U2069" s="46"/>
      <c r="V2069" s="46"/>
      <c r="W2069" s="46"/>
      <c r="X2069" s="46"/>
    </row>
    <row r="2070" spans="1:24" x14ac:dyDescent="0.2">
      <c r="A2070" s="45"/>
      <c r="B2070" s="46"/>
      <c r="C2070" s="46"/>
      <c r="D2070" s="46"/>
      <c r="E2070" s="46"/>
      <c r="F2070" s="46"/>
      <c r="G2070" s="46"/>
      <c r="H2070" s="46"/>
      <c r="I2070" s="46"/>
      <c r="J2070" s="46"/>
      <c r="K2070" s="46"/>
      <c r="L2070" s="46"/>
      <c r="M2070" s="46"/>
      <c r="N2070" s="46"/>
      <c r="O2070" s="46"/>
      <c r="P2070" s="46"/>
      <c r="Q2070" s="46"/>
      <c r="R2070" s="46"/>
      <c r="S2070" s="46"/>
      <c r="T2070" s="46"/>
      <c r="U2070" s="46"/>
      <c r="V2070" s="46"/>
      <c r="W2070" s="46"/>
      <c r="X2070" s="46"/>
    </row>
    <row r="2071" spans="1:24" x14ac:dyDescent="0.2">
      <c r="A2071" s="45"/>
      <c r="B2071" s="46"/>
      <c r="C2071" s="46"/>
      <c r="D2071" s="46"/>
      <c r="E2071" s="46"/>
      <c r="F2071" s="46"/>
      <c r="G2071" s="46"/>
      <c r="H2071" s="46"/>
      <c r="I2071" s="46"/>
      <c r="J2071" s="46"/>
      <c r="K2071" s="46"/>
      <c r="L2071" s="46"/>
      <c r="M2071" s="46"/>
      <c r="N2071" s="46"/>
      <c r="O2071" s="46"/>
      <c r="P2071" s="46"/>
      <c r="Q2071" s="46"/>
      <c r="R2071" s="46"/>
      <c r="S2071" s="46"/>
      <c r="T2071" s="46"/>
      <c r="U2071" s="46"/>
      <c r="V2071" s="46"/>
      <c r="W2071" s="46"/>
      <c r="X2071" s="46"/>
    </row>
    <row r="2072" spans="1:24" x14ac:dyDescent="0.2">
      <c r="A2072" s="45"/>
      <c r="B2072" s="46"/>
      <c r="C2072" s="46"/>
      <c r="D2072" s="46"/>
      <c r="E2072" s="46"/>
      <c r="F2072" s="46"/>
      <c r="G2072" s="46"/>
      <c r="H2072" s="46"/>
      <c r="I2072" s="46"/>
      <c r="J2072" s="46"/>
      <c r="K2072" s="46"/>
      <c r="L2072" s="46"/>
      <c r="M2072" s="46"/>
      <c r="N2072" s="46"/>
      <c r="O2072" s="46"/>
      <c r="P2072" s="46"/>
      <c r="Q2072" s="46"/>
      <c r="R2072" s="46"/>
      <c r="S2072" s="46"/>
      <c r="T2072" s="46"/>
      <c r="U2072" s="46"/>
      <c r="V2072" s="46"/>
      <c r="W2072" s="46"/>
      <c r="X2072" s="46"/>
    </row>
    <row r="2073" spans="1:24" x14ac:dyDescent="0.2">
      <c r="A2073" s="45"/>
      <c r="B2073" s="46"/>
      <c r="C2073" s="46"/>
      <c r="D2073" s="46"/>
      <c r="E2073" s="46"/>
      <c r="F2073" s="46"/>
      <c r="G2073" s="46"/>
      <c r="H2073" s="46"/>
      <c r="I2073" s="46"/>
      <c r="J2073" s="46"/>
      <c r="K2073" s="46"/>
      <c r="L2073" s="46"/>
      <c r="M2073" s="46"/>
      <c r="N2073" s="46"/>
      <c r="O2073" s="46"/>
      <c r="P2073" s="46"/>
      <c r="Q2073" s="46"/>
      <c r="R2073" s="46"/>
      <c r="S2073" s="46"/>
      <c r="T2073" s="46"/>
      <c r="U2073" s="46"/>
      <c r="V2073" s="46"/>
      <c r="W2073" s="46"/>
      <c r="X2073" s="46"/>
    </row>
    <row r="2074" spans="1:24" x14ac:dyDescent="0.2">
      <c r="A2074" s="45"/>
      <c r="B2074" s="46"/>
      <c r="C2074" s="46"/>
      <c r="D2074" s="46"/>
      <c r="E2074" s="46"/>
      <c r="F2074" s="46"/>
      <c r="G2074" s="46"/>
      <c r="H2074" s="46"/>
      <c r="I2074" s="46"/>
      <c r="J2074" s="46"/>
      <c r="K2074" s="46"/>
      <c r="L2074" s="46"/>
      <c r="M2074" s="46"/>
      <c r="N2074" s="46"/>
      <c r="O2074" s="46"/>
      <c r="P2074" s="46"/>
      <c r="Q2074" s="46"/>
      <c r="R2074" s="46"/>
      <c r="S2074" s="46"/>
      <c r="T2074" s="46"/>
      <c r="U2074" s="46"/>
      <c r="V2074" s="46"/>
      <c r="W2074" s="46"/>
      <c r="X2074" s="46"/>
    </row>
    <row r="2075" spans="1:24" x14ac:dyDescent="0.2">
      <c r="A2075" s="45"/>
      <c r="B2075" s="46"/>
      <c r="C2075" s="46"/>
      <c r="D2075" s="46"/>
      <c r="E2075" s="46"/>
      <c r="F2075" s="46"/>
      <c r="G2075" s="46"/>
      <c r="H2075" s="46"/>
      <c r="I2075" s="46"/>
      <c r="J2075" s="46"/>
      <c r="K2075" s="46"/>
      <c r="L2075" s="46"/>
      <c r="M2075" s="46"/>
      <c r="N2075" s="46"/>
      <c r="O2075" s="46"/>
      <c r="P2075" s="46"/>
      <c r="Q2075" s="46"/>
      <c r="R2075" s="46"/>
      <c r="S2075" s="46"/>
      <c r="T2075" s="46"/>
      <c r="U2075" s="46"/>
      <c r="V2075" s="46"/>
      <c r="W2075" s="46"/>
      <c r="X2075" s="46"/>
    </row>
    <row r="2076" spans="1:24" x14ac:dyDescent="0.2">
      <c r="A2076" s="45"/>
      <c r="B2076" s="46"/>
      <c r="C2076" s="46"/>
      <c r="D2076" s="46"/>
      <c r="E2076" s="46"/>
      <c r="F2076" s="46"/>
      <c r="G2076" s="46"/>
      <c r="H2076" s="46"/>
      <c r="I2076" s="46"/>
      <c r="J2076" s="46"/>
      <c r="K2076" s="46"/>
      <c r="L2076" s="46"/>
      <c r="M2076" s="46"/>
      <c r="N2076" s="46"/>
      <c r="O2076" s="46"/>
      <c r="P2076" s="46"/>
      <c r="Q2076" s="46"/>
      <c r="R2076" s="46"/>
      <c r="S2076" s="46"/>
      <c r="T2076" s="46"/>
      <c r="U2076" s="46"/>
      <c r="V2076" s="46"/>
      <c r="W2076" s="46"/>
      <c r="X2076" s="46"/>
    </row>
    <row r="2077" spans="1:24" x14ac:dyDescent="0.2">
      <c r="A2077" s="45"/>
      <c r="B2077" s="46"/>
      <c r="C2077" s="46"/>
      <c r="D2077" s="46"/>
      <c r="E2077" s="46"/>
      <c r="F2077" s="46"/>
      <c r="G2077" s="46"/>
      <c r="H2077" s="46"/>
      <c r="I2077" s="46"/>
      <c r="J2077" s="46"/>
      <c r="K2077" s="46"/>
      <c r="L2077" s="46"/>
      <c r="M2077" s="46"/>
      <c r="N2077" s="46"/>
      <c r="O2077" s="46"/>
      <c r="P2077" s="46"/>
      <c r="Q2077" s="46"/>
      <c r="R2077" s="46"/>
      <c r="S2077" s="46"/>
      <c r="T2077" s="46"/>
      <c r="U2077" s="46"/>
      <c r="V2077" s="46"/>
      <c r="W2077" s="46"/>
      <c r="X2077" s="46"/>
    </row>
    <row r="2078" spans="1:24" x14ac:dyDescent="0.2">
      <c r="A2078" s="45"/>
      <c r="B2078" s="46"/>
      <c r="C2078" s="46"/>
      <c r="D2078" s="46"/>
      <c r="E2078" s="46"/>
      <c r="F2078" s="46"/>
      <c r="G2078" s="46"/>
      <c r="H2078" s="46"/>
      <c r="I2078" s="46"/>
      <c r="J2078" s="46"/>
      <c r="K2078" s="46"/>
      <c r="L2078" s="46"/>
      <c r="M2078" s="46"/>
      <c r="N2078" s="46"/>
      <c r="O2078" s="46"/>
      <c r="P2078" s="46"/>
      <c r="Q2078" s="46"/>
      <c r="R2078" s="46"/>
      <c r="S2078" s="46"/>
      <c r="T2078" s="46"/>
      <c r="U2078" s="46"/>
      <c r="V2078" s="46"/>
      <c r="W2078" s="46"/>
      <c r="X2078" s="46"/>
    </row>
    <row r="2079" spans="1:24" x14ac:dyDescent="0.2">
      <c r="A2079" s="45"/>
      <c r="B2079" s="46"/>
      <c r="C2079" s="46"/>
      <c r="D2079" s="46"/>
      <c r="E2079" s="46"/>
      <c r="F2079" s="46"/>
      <c r="G2079" s="46"/>
      <c r="H2079" s="46"/>
      <c r="I2079" s="46"/>
      <c r="J2079" s="46"/>
      <c r="K2079" s="46"/>
      <c r="L2079" s="46"/>
      <c r="M2079" s="46"/>
      <c r="N2079" s="46"/>
      <c r="O2079" s="46"/>
      <c r="P2079" s="46"/>
      <c r="Q2079" s="46"/>
      <c r="R2079" s="46"/>
      <c r="S2079" s="46"/>
      <c r="T2079" s="46"/>
      <c r="U2079" s="46"/>
      <c r="V2079" s="46"/>
      <c r="W2079" s="46"/>
      <c r="X2079" s="46"/>
    </row>
    <row r="2080" spans="1:24" x14ac:dyDescent="0.2">
      <c r="A2080" s="45"/>
      <c r="B2080" s="46"/>
      <c r="C2080" s="46"/>
      <c r="D2080" s="46"/>
      <c r="E2080" s="46"/>
      <c r="F2080" s="46"/>
      <c r="G2080" s="46"/>
      <c r="H2080" s="46"/>
      <c r="I2080" s="46"/>
      <c r="J2080" s="46"/>
      <c r="K2080" s="46"/>
      <c r="L2080" s="46"/>
      <c r="M2080" s="46"/>
      <c r="N2080" s="46"/>
      <c r="O2080" s="46"/>
      <c r="P2080" s="46"/>
      <c r="Q2080" s="46"/>
      <c r="R2080" s="46"/>
      <c r="S2080" s="46"/>
      <c r="T2080" s="46"/>
      <c r="U2080" s="46"/>
      <c r="V2080" s="46"/>
      <c r="W2080" s="46"/>
      <c r="X2080" s="46"/>
    </row>
    <row r="2081" spans="1:24" x14ac:dyDescent="0.2">
      <c r="A2081" s="45"/>
      <c r="B2081" s="46"/>
      <c r="C2081" s="46"/>
      <c r="D2081" s="46"/>
      <c r="E2081" s="46"/>
      <c r="F2081" s="46"/>
      <c r="G2081" s="46"/>
      <c r="H2081" s="46"/>
      <c r="I2081" s="46"/>
      <c r="J2081" s="46"/>
      <c r="K2081" s="46"/>
      <c r="L2081" s="46"/>
      <c r="M2081" s="46"/>
      <c r="N2081" s="46"/>
      <c r="O2081" s="46"/>
      <c r="P2081" s="46"/>
      <c r="Q2081" s="46"/>
      <c r="R2081" s="46"/>
      <c r="S2081" s="46"/>
      <c r="T2081" s="46"/>
      <c r="U2081" s="46"/>
      <c r="V2081" s="46"/>
      <c r="W2081" s="46"/>
      <c r="X2081" s="46"/>
    </row>
    <row r="2082" spans="1:24" x14ac:dyDescent="0.2">
      <c r="A2082" s="45"/>
      <c r="B2082" s="46"/>
      <c r="C2082" s="46"/>
      <c r="D2082" s="46"/>
      <c r="E2082" s="46"/>
      <c r="F2082" s="46"/>
      <c r="G2082" s="46"/>
      <c r="H2082" s="46"/>
      <c r="I2082" s="46"/>
      <c r="J2082" s="46"/>
      <c r="K2082" s="46"/>
      <c r="L2082" s="46"/>
      <c r="M2082" s="46"/>
      <c r="N2082" s="46"/>
      <c r="O2082" s="46"/>
      <c r="P2082" s="46"/>
      <c r="Q2082" s="46"/>
      <c r="R2082" s="46"/>
      <c r="S2082" s="46"/>
      <c r="T2082" s="46"/>
      <c r="U2082" s="46"/>
      <c r="V2082" s="46"/>
      <c r="W2082" s="46"/>
      <c r="X2082" s="46"/>
    </row>
    <row r="2083" spans="1:24" x14ac:dyDescent="0.2">
      <c r="A2083" s="45"/>
      <c r="B2083" s="46"/>
      <c r="C2083" s="46"/>
      <c r="D2083" s="46"/>
      <c r="E2083" s="46"/>
      <c r="F2083" s="46"/>
      <c r="G2083" s="46"/>
      <c r="H2083" s="46"/>
      <c r="I2083" s="46"/>
      <c r="J2083" s="46"/>
      <c r="K2083" s="46"/>
      <c r="L2083" s="46"/>
      <c r="M2083" s="46"/>
      <c r="N2083" s="46"/>
      <c r="O2083" s="46"/>
      <c r="P2083" s="46"/>
      <c r="Q2083" s="46"/>
      <c r="R2083" s="46"/>
      <c r="S2083" s="46"/>
      <c r="T2083" s="46"/>
      <c r="U2083" s="46"/>
      <c r="V2083" s="46"/>
      <c r="W2083" s="46"/>
      <c r="X2083" s="46"/>
    </row>
    <row r="2084" spans="1:24" x14ac:dyDescent="0.2">
      <c r="A2084" s="45"/>
      <c r="B2084" s="46"/>
      <c r="C2084" s="46"/>
      <c r="D2084" s="46"/>
      <c r="E2084" s="46"/>
      <c r="F2084" s="46"/>
      <c r="G2084" s="46"/>
      <c r="H2084" s="46"/>
      <c r="I2084" s="46"/>
      <c r="J2084" s="46"/>
      <c r="K2084" s="46"/>
      <c r="L2084" s="46"/>
      <c r="M2084" s="46"/>
      <c r="N2084" s="46"/>
      <c r="O2084" s="46"/>
      <c r="P2084" s="46"/>
      <c r="Q2084" s="46"/>
      <c r="R2084" s="46"/>
      <c r="S2084" s="46"/>
      <c r="T2084" s="46"/>
      <c r="U2084" s="46"/>
      <c r="V2084" s="46"/>
      <c r="W2084" s="46"/>
      <c r="X2084" s="46"/>
    </row>
    <row r="2085" spans="1:24" x14ac:dyDescent="0.2">
      <c r="A2085" s="45"/>
      <c r="B2085" s="46"/>
      <c r="C2085" s="46"/>
      <c r="D2085" s="46"/>
      <c r="E2085" s="46"/>
      <c r="F2085" s="46"/>
      <c r="G2085" s="46"/>
      <c r="H2085" s="46"/>
      <c r="I2085" s="46"/>
      <c r="J2085" s="46"/>
      <c r="K2085" s="46"/>
      <c r="L2085" s="46"/>
      <c r="M2085" s="46"/>
      <c r="N2085" s="46"/>
      <c r="O2085" s="46"/>
      <c r="P2085" s="46"/>
      <c r="Q2085" s="46"/>
      <c r="R2085" s="46"/>
      <c r="S2085" s="46"/>
      <c r="T2085" s="46"/>
      <c r="U2085" s="46"/>
      <c r="V2085" s="46"/>
      <c r="W2085" s="46"/>
      <c r="X2085" s="46"/>
    </row>
    <row r="2086" spans="1:24" x14ac:dyDescent="0.2">
      <c r="A2086" s="45"/>
      <c r="B2086" s="46"/>
      <c r="C2086" s="46"/>
      <c r="D2086" s="46"/>
      <c r="E2086" s="46"/>
      <c r="F2086" s="46"/>
      <c r="G2086" s="46"/>
      <c r="H2086" s="46"/>
      <c r="I2086" s="46"/>
      <c r="J2086" s="46"/>
      <c r="K2086" s="46"/>
      <c r="L2086" s="46"/>
      <c r="M2086" s="46"/>
      <c r="N2086" s="46"/>
      <c r="O2086" s="46"/>
      <c r="P2086" s="46"/>
      <c r="Q2086" s="46"/>
      <c r="R2086" s="46"/>
      <c r="S2086" s="46"/>
      <c r="T2086" s="46"/>
      <c r="U2086" s="46"/>
      <c r="V2086" s="46"/>
      <c r="W2086" s="46"/>
      <c r="X2086" s="46"/>
    </row>
    <row r="2087" spans="1:24" x14ac:dyDescent="0.2">
      <c r="A2087" s="45"/>
      <c r="B2087" s="46"/>
      <c r="C2087" s="46"/>
      <c r="D2087" s="46"/>
      <c r="E2087" s="46"/>
      <c r="F2087" s="46"/>
      <c r="G2087" s="46"/>
      <c r="H2087" s="46"/>
      <c r="I2087" s="46"/>
      <c r="J2087" s="46"/>
      <c r="K2087" s="46"/>
      <c r="L2087" s="46"/>
      <c r="M2087" s="46"/>
      <c r="N2087" s="46"/>
      <c r="O2087" s="46"/>
      <c r="P2087" s="46"/>
      <c r="Q2087" s="46"/>
      <c r="R2087" s="46"/>
      <c r="S2087" s="46"/>
      <c r="T2087" s="46"/>
      <c r="U2087" s="46"/>
      <c r="V2087" s="46"/>
      <c r="W2087" s="46"/>
      <c r="X2087" s="46"/>
    </row>
    <row r="2088" spans="1:24" x14ac:dyDescent="0.2">
      <c r="A2088" s="45"/>
      <c r="B2088" s="46"/>
      <c r="C2088" s="46"/>
      <c r="D2088" s="46"/>
      <c r="E2088" s="46"/>
      <c r="F2088" s="46"/>
      <c r="G2088" s="46"/>
      <c r="H2088" s="46"/>
      <c r="I2088" s="46"/>
      <c r="J2088" s="46"/>
      <c r="K2088" s="46"/>
      <c r="L2088" s="46"/>
      <c r="M2088" s="46"/>
      <c r="N2088" s="46"/>
      <c r="O2088" s="46"/>
      <c r="P2088" s="46"/>
      <c r="Q2088" s="46"/>
      <c r="R2088" s="46"/>
      <c r="S2088" s="46"/>
      <c r="T2088" s="46"/>
      <c r="U2088" s="46"/>
      <c r="V2088" s="46"/>
      <c r="W2088" s="46"/>
      <c r="X2088" s="46"/>
    </row>
    <row r="2089" spans="1:24" x14ac:dyDescent="0.2">
      <c r="A2089" s="45"/>
      <c r="B2089" s="46"/>
      <c r="C2089" s="46"/>
      <c r="D2089" s="46"/>
      <c r="E2089" s="46"/>
      <c r="F2089" s="46"/>
      <c r="G2089" s="46"/>
      <c r="H2089" s="46"/>
      <c r="I2089" s="46"/>
      <c r="J2089" s="46"/>
      <c r="K2089" s="46"/>
      <c r="L2089" s="46"/>
      <c r="M2089" s="46"/>
      <c r="N2089" s="46"/>
      <c r="O2089" s="46"/>
      <c r="P2089" s="46"/>
      <c r="Q2089" s="46"/>
      <c r="R2089" s="46"/>
      <c r="S2089" s="46"/>
      <c r="T2089" s="46"/>
      <c r="U2089" s="46"/>
      <c r="V2089" s="46"/>
      <c r="W2089" s="46"/>
      <c r="X2089" s="46"/>
    </row>
    <row r="2090" spans="1:24" x14ac:dyDescent="0.2">
      <c r="A2090" s="45"/>
      <c r="B2090" s="46"/>
      <c r="C2090" s="46"/>
      <c r="D2090" s="46"/>
      <c r="E2090" s="46"/>
      <c r="F2090" s="46"/>
      <c r="G2090" s="46"/>
      <c r="H2090" s="46"/>
      <c r="I2090" s="46"/>
      <c r="J2090" s="46"/>
      <c r="K2090" s="46"/>
      <c r="L2090" s="46"/>
      <c r="M2090" s="46"/>
      <c r="N2090" s="46"/>
      <c r="O2090" s="46"/>
      <c r="P2090" s="46"/>
      <c r="Q2090" s="46"/>
      <c r="R2090" s="46"/>
      <c r="S2090" s="46"/>
      <c r="T2090" s="46"/>
      <c r="U2090" s="46"/>
      <c r="V2090" s="46"/>
      <c r="W2090" s="46"/>
      <c r="X2090" s="46"/>
    </row>
    <row r="2091" spans="1:24" x14ac:dyDescent="0.2">
      <c r="A2091" s="45"/>
      <c r="B2091" s="46"/>
      <c r="C2091" s="46"/>
      <c r="D2091" s="46"/>
      <c r="E2091" s="46"/>
      <c r="F2091" s="46"/>
      <c r="G2091" s="46"/>
      <c r="H2091" s="46"/>
      <c r="I2091" s="46"/>
      <c r="J2091" s="46"/>
      <c r="K2091" s="46"/>
      <c r="L2091" s="46"/>
      <c r="M2091" s="46"/>
      <c r="N2091" s="46"/>
      <c r="O2091" s="46"/>
      <c r="P2091" s="46"/>
      <c r="Q2091" s="46"/>
      <c r="R2091" s="46"/>
      <c r="S2091" s="46"/>
      <c r="T2091" s="46"/>
      <c r="U2091" s="46"/>
      <c r="V2091" s="46"/>
      <c r="W2091" s="46"/>
      <c r="X2091" s="46"/>
    </row>
    <row r="2092" spans="1:24" x14ac:dyDescent="0.2">
      <c r="A2092" s="45"/>
      <c r="B2092" s="46"/>
      <c r="C2092" s="46"/>
      <c r="D2092" s="46"/>
      <c r="E2092" s="46"/>
      <c r="F2092" s="46"/>
      <c r="G2092" s="46"/>
      <c r="H2092" s="46"/>
      <c r="I2092" s="46"/>
      <c r="J2092" s="46"/>
      <c r="K2092" s="46"/>
      <c r="L2092" s="46"/>
      <c r="M2092" s="46"/>
      <c r="N2092" s="46"/>
      <c r="O2092" s="46"/>
      <c r="P2092" s="46"/>
      <c r="Q2092" s="46"/>
      <c r="R2092" s="46"/>
      <c r="S2092" s="46"/>
      <c r="T2092" s="46"/>
      <c r="U2092" s="46"/>
      <c r="V2092" s="46"/>
      <c r="W2092" s="46"/>
      <c r="X2092" s="46"/>
    </row>
    <row r="2093" spans="1:24" x14ac:dyDescent="0.2">
      <c r="A2093" s="45"/>
      <c r="B2093" s="46"/>
      <c r="C2093" s="46"/>
      <c r="D2093" s="46"/>
      <c r="E2093" s="46"/>
      <c r="F2093" s="46"/>
      <c r="G2093" s="46"/>
      <c r="H2093" s="46"/>
      <c r="I2093" s="46"/>
      <c r="J2093" s="46"/>
      <c r="K2093" s="46"/>
      <c r="L2093" s="46"/>
      <c r="M2093" s="46"/>
      <c r="N2093" s="46"/>
      <c r="O2093" s="46"/>
      <c r="P2093" s="46"/>
      <c r="Q2093" s="46"/>
      <c r="R2093" s="46"/>
      <c r="S2093" s="46"/>
      <c r="T2093" s="46"/>
      <c r="U2093" s="46"/>
      <c r="V2093" s="46"/>
      <c r="W2093" s="46"/>
      <c r="X2093" s="46"/>
    </row>
    <row r="2094" spans="1:24" x14ac:dyDescent="0.2">
      <c r="A2094" s="45"/>
      <c r="B2094" s="46"/>
      <c r="C2094" s="46"/>
      <c r="D2094" s="46"/>
      <c r="E2094" s="46"/>
      <c r="F2094" s="46"/>
      <c r="G2094" s="46"/>
      <c r="H2094" s="46"/>
      <c r="I2094" s="46"/>
      <c r="J2094" s="46"/>
      <c r="K2094" s="46"/>
      <c r="L2094" s="46"/>
      <c r="M2094" s="46"/>
      <c r="N2094" s="46"/>
      <c r="O2094" s="46"/>
      <c r="P2094" s="46"/>
      <c r="Q2094" s="46"/>
      <c r="R2094" s="46"/>
      <c r="S2094" s="46"/>
      <c r="T2094" s="46"/>
      <c r="U2094" s="46"/>
      <c r="V2094" s="46"/>
      <c r="W2094" s="46"/>
      <c r="X2094" s="46"/>
    </row>
    <row r="2095" spans="1:24" x14ac:dyDescent="0.2">
      <c r="A2095" s="45"/>
      <c r="B2095" s="46"/>
      <c r="C2095" s="46"/>
      <c r="D2095" s="46"/>
      <c r="E2095" s="46"/>
      <c r="F2095" s="46"/>
      <c r="G2095" s="46"/>
      <c r="H2095" s="46"/>
      <c r="I2095" s="46"/>
      <c r="J2095" s="46"/>
      <c r="K2095" s="46"/>
      <c r="L2095" s="46"/>
      <c r="M2095" s="46"/>
      <c r="N2095" s="46"/>
      <c r="O2095" s="46"/>
      <c r="P2095" s="46"/>
      <c r="Q2095" s="46"/>
      <c r="R2095" s="46"/>
      <c r="S2095" s="46"/>
      <c r="T2095" s="46"/>
      <c r="U2095" s="46"/>
      <c r="V2095" s="46"/>
      <c r="W2095" s="46"/>
      <c r="X2095" s="46"/>
    </row>
    <row r="2096" spans="1:24" x14ac:dyDescent="0.2">
      <c r="A2096" s="45"/>
      <c r="B2096" s="46"/>
      <c r="C2096" s="46"/>
      <c r="D2096" s="46"/>
      <c r="E2096" s="46"/>
      <c r="F2096" s="46"/>
      <c r="G2096" s="46"/>
      <c r="H2096" s="46"/>
      <c r="I2096" s="46"/>
      <c r="J2096" s="46"/>
      <c r="K2096" s="46"/>
      <c r="L2096" s="46"/>
      <c r="M2096" s="46"/>
      <c r="N2096" s="46"/>
      <c r="O2096" s="46"/>
      <c r="P2096" s="46"/>
      <c r="Q2096" s="46"/>
      <c r="R2096" s="46"/>
      <c r="S2096" s="46"/>
      <c r="T2096" s="46"/>
      <c r="U2096" s="46"/>
      <c r="V2096" s="46"/>
      <c r="W2096" s="46"/>
      <c r="X2096" s="46"/>
    </row>
    <row r="2097" spans="1:24" x14ac:dyDescent="0.2">
      <c r="A2097" s="45"/>
      <c r="B2097" s="46"/>
      <c r="C2097" s="46"/>
      <c r="D2097" s="46"/>
      <c r="E2097" s="46"/>
      <c r="F2097" s="46"/>
      <c r="G2097" s="46"/>
      <c r="H2097" s="46"/>
      <c r="I2097" s="46"/>
      <c r="J2097" s="46"/>
      <c r="K2097" s="46"/>
      <c r="L2097" s="46"/>
      <c r="M2097" s="46"/>
      <c r="N2097" s="46"/>
      <c r="O2097" s="46"/>
      <c r="P2097" s="46"/>
      <c r="Q2097" s="46"/>
      <c r="R2097" s="46"/>
      <c r="S2097" s="46"/>
      <c r="T2097" s="46"/>
      <c r="U2097" s="46"/>
      <c r="V2097" s="46"/>
      <c r="W2097" s="46"/>
      <c r="X2097" s="46"/>
    </row>
    <row r="2098" spans="1:24" x14ac:dyDescent="0.2">
      <c r="A2098" s="45"/>
      <c r="B2098" s="46"/>
      <c r="C2098" s="46"/>
      <c r="D2098" s="46"/>
      <c r="E2098" s="46"/>
      <c r="F2098" s="46"/>
      <c r="G2098" s="46"/>
      <c r="H2098" s="46"/>
      <c r="I2098" s="46"/>
      <c r="J2098" s="46"/>
      <c r="K2098" s="46"/>
      <c r="L2098" s="46"/>
      <c r="M2098" s="46"/>
      <c r="N2098" s="46"/>
      <c r="O2098" s="46"/>
      <c r="P2098" s="46"/>
      <c r="Q2098" s="46"/>
      <c r="R2098" s="46"/>
      <c r="S2098" s="46"/>
      <c r="T2098" s="46"/>
      <c r="U2098" s="46"/>
      <c r="V2098" s="46"/>
      <c r="W2098" s="46"/>
      <c r="X2098" s="46"/>
    </row>
    <row r="2099" spans="1:24" x14ac:dyDescent="0.2">
      <c r="A2099" s="45"/>
      <c r="B2099" s="46"/>
      <c r="C2099" s="46"/>
      <c r="D2099" s="46"/>
      <c r="E2099" s="46"/>
      <c r="F2099" s="46"/>
      <c r="G2099" s="46"/>
      <c r="H2099" s="46"/>
      <c r="I2099" s="46"/>
      <c r="J2099" s="46"/>
      <c r="K2099" s="46"/>
      <c r="L2099" s="46"/>
      <c r="M2099" s="46"/>
      <c r="N2099" s="46"/>
      <c r="O2099" s="46"/>
      <c r="P2099" s="46"/>
      <c r="Q2099" s="46"/>
      <c r="R2099" s="46"/>
      <c r="S2099" s="46"/>
      <c r="T2099" s="46"/>
      <c r="U2099" s="46"/>
      <c r="V2099" s="46"/>
      <c r="W2099" s="46"/>
      <c r="X2099" s="46"/>
    </row>
    <row r="2100" spans="1:24" x14ac:dyDescent="0.2">
      <c r="A2100" s="45"/>
      <c r="B2100" s="46"/>
      <c r="C2100" s="46"/>
      <c r="D2100" s="46"/>
      <c r="E2100" s="46"/>
      <c r="F2100" s="46"/>
      <c r="G2100" s="46"/>
      <c r="H2100" s="46"/>
      <c r="I2100" s="46"/>
      <c r="J2100" s="46"/>
      <c r="K2100" s="46"/>
      <c r="L2100" s="46"/>
      <c r="M2100" s="46"/>
      <c r="N2100" s="46"/>
      <c r="O2100" s="46"/>
      <c r="P2100" s="46"/>
      <c r="Q2100" s="46"/>
      <c r="R2100" s="46"/>
      <c r="S2100" s="46"/>
      <c r="T2100" s="46"/>
      <c r="U2100" s="46"/>
      <c r="V2100" s="46"/>
      <c r="W2100" s="46"/>
      <c r="X2100" s="46"/>
    </row>
    <row r="2101" spans="1:24" x14ac:dyDescent="0.2">
      <c r="A2101" s="45"/>
      <c r="B2101" s="46"/>
      <c r="C2101" s="46"/>
      <c r="D2101" s="46"/>
      <c r="E2101" s="46"/>
      <c r="F2101" s="46"/>
      <c r="G2101" s="46"/>
      <c r="H2101" s="46"/>
      <c r="I2101" s="46"/>
      <c r="J2101" s="46"/>
      <c r="K2101" s="46"/>
      <c r="L2101" s="46"/>
      <c r="M2101" s="46"/>
      <c r="N2101" s="46"/>
      <c r="O2101" s="46"/>
      <c r="P2101" s="46"/>
      <c r="Q2101" s="46"/>
      <c r="R2101" s="46"/>
      <c r="S2101" s="46"/>
      <c r="T2101" s="46"/>
      <c r="U2101" s="46"/>
      <c r="V2101" s="46"/>
      <c r="W2101" s="46"/>
      <c r="X2101" s="46"/>
    </row>
    <row r="2102" spans="1:24" x14ac:dyDescent="0.2">
      <c r="A2102" s="45"/>
      <c r="B2102" s="46"/>
      <c r="C2102" s="46"/>
      <c r="D2102" s="46"/>
      <c r="E2102" s="46"/>
      <c r="F2102" s="46"/>
      <c r="G2102" s="46"/>
      <c r="H2102" s="46"/>
      <c r="I2102" s="46"/>
      <c r="J2102" s="46"/>
      <c r="K2102" s="46"/>
      <c r="L2102" s="46"/>
      <c r="M2102" s="46"/>
      <c r="N2102" s="46"/>
      <c r="O2102" s="46"/>
      <c r="P2102" s="46"/>
      <c r="Q2102" s="46"/>
      <c r="R2102" s="46"/>
      <c r="S2102" s="46"/>
      <c r="T2102" s="46"/>
      <c r="U2102" s="46"/>
      <c r="V2102" s="46"/>
      <c r="W2102" s="46"/>
      <c r="X2102" s="46"/>
    </row>
    <row r="2103" spans="1:24" x14ac:dyDescent="0.2">
      <c r="A2103" s="45"/>
      <c r="B2103" s="46"/>
      <c r="C2103" s="46"/>
      <c r="D2103" s="46"/>
      <c r="E2103" s="46"/>
      <c r="F2103" s="46"/>
      <c r="G2103" s="46"/>
      <c r="H2103" s="46"/>
      <c r="I2103" s="46"/>
      <c r="J2103" s="46"/>
      <c r="K2103" s="46"/>
      <c r="L2103" s="46"/>
      <c r="M2103" s="46"/>
      <c r="N2103" s="46"/>
      <c r="O2103" s="46"/>
      <c r="P2103" s="46"/>
      <c r="Q2103" s="46"/>
      <c r="R2103" s="46"/>
      <c r="S2103" s="46"/>
      <c r="T2103" s="46"/>
      <c r="U2103" s="46"/>
      <c r="V2103" s="46"/>
      <c r="W2103" s="46"/>
      <c r="X2103" s="46"/>
    </row>
    <row r="2104" spans="1:24" x14ac:dyDescent="0.2">
      <c r="A2104" s="45"/>
      <c r="B2104" s="46"/>
      <c r="C2104" s="46"/>
      <c r="D2104" s="46"/>
      <c r="E2104" s="46"/>
      <c r="F2104" s="46"/>
      <c r="G2104" s="46"/>
      <c r="H2104" s="46"/>
      <c r="I2104" s="46"/>
      <c r="J2104" s="46"/>
      <c r="K2104" s="46"/>
      <c r="L2104" s="46"/>
      <c r="M2104" s="46"/>
      <c r="N2104" s="46"/>
      <c r="O2104" s="46"/>
      <c r="P2104" s="46"/>
      <c r="Q2104" s="46"/>
      <c r="R2104" s="46"/>
      <c r="S2104" s="46"/>
      <c r="T2104" s="46"/>
      <c r="U2104" s="46"/>
      <c r="V2104" s="46"/>
      <c r="W2104" s="46"/>
      <c r="X2104" s="46"/>
    </row>
    <row r="2105" spans="1:24" x14ac:dyDescent="0.2">
      <c r="A2105" s="45"/>
      <c r="B2105" s="46"/>
      <c r="C2105" s="46"/>
      <c r="D2105" s="46"/>
      <c r="E2105" s="46"/>
      <c r="F2105" s="46"/>
      <c r="G2105" s="46"/>
      <c r="H2105" s="46"/>
      <c r="I2105" s="46"/>
      <c r="J2105" s="46"/>
      <c r="K2105" s="46"/>
      <c r="L2105" s="46"/>
      <c r="M2105" s="46"/>
      <c r="N2105" s="46"/>
      <c r="O2105" s="46"/>
      <c r="P2105" s="46"/>
      <c r="Q2105" s="46"/>
      <c r="R2105" s="46"/>
      <c r="S2105" s="46"/>
      <c r="T2105" s="46"/>
      <c r="U2105" s="46"/>
      <c r="V2105" s="46"/>
      <c r="W2105" s="46"/>
      <c r="X2105" s="46"/>
    </row>
    <row r="2106" spans="1:24" x14ac:dyDescent="0.2">
      <c r="A2106" s="45"/>
      <c r="B2106" s="46"/>
      <c r="C2106" s="46"/>
      <c r="D2106" s="46"/>
      <c r="E2106" s="46"/>
      <c r="F2106" s="46"/>
      <c r="G2106" s="46"/>
      <c r="H2106" s="46"/>
      <c r="I2106" s="46"/>
      <c r="J2106" s="46"/>
      <c r="K2106" s="46"/>
      <c r="L2106" s="46"/>
      <c r="M2106" s="46"/>
      <c r="N2106" s="46"/>
      <c r="O2106" s="46"/>
      <c r="P2106" s="46"/>
      <c r="Q2106" s="46"/>
      <c r="R2106" s="46"/>
      <c r="S2106" s="46"/>
      <c r="T2106" s="46"/>
      <c r="U2106" s="46"/>
      <c r="V2106" s="46"/>
      <c r="W2106" s="46"/>
      <c r="X2106" s="46"/>
    </row>
    <row r="2107" spans="1:24" x14ac:dyDescent="0.2">
      <c r="A2107" s="45"/>
      <c r="B2107" s="46"/>
      <c r="C2107" s="46"/>
      <c r="D2107" s="46"/>
      <c r="E2107" s="46"/>
      <c r="F2107" s="46"/>
      <c r="G2107" s="46"/>
      <c r="H2107" s="46"/>
      <c r="I2107" s="46"/>
      <c r="J2107" s="46"/>
      <c r="K2107" s="46"/>
      <c r="L2107" s="46"/>
      <c r="M2107" s="46"/>
      <c r="N2107" s="46"/>
      <c r="O2107" s="46"/>
      <c r="P2107" s="46"/>
      <c r="Q2107" s="46"/>
      <c r="R2107" s="46"/>
      <c r="S2107" s="46"/>
      <c r="T2107" s="46"/>
      <c r="U2107" s="46"/>
      <c r="V2107" s="46"/>
      <c r="W2107" s="46"/>
      <c r="X2107" s="46"/>
    </row>
    <row r="2108" spans="1:24" x14ac:dyDescent="0.2">
      <c r="A2108" s="45"/>
      <c r="B2108" s="46"/>
      <c r="C2108" s="46"/>
      <c r="D2108" s="46"/>
      <c r="E2108" s="46"/>
      <c r="F2108" s="46"/>
      <c r="G2108" s="46"/>
      <c r="H2108" s="46"/>
      <c r="I2108" s="46"/>
      <c r="J2108" s="46"/>
      <c r="K2108" s="46"/>
      <c r="L2108" s="46"/>
      <c r="M2108" s="46"/>
      <c r="N2108" s="46"/>
      <c r="O2108" s="46"/>
      <c r="P2108" s="46"/>
      <c r="Q2108" s="46"/>
      <c r="R2108" s="46"/>
      <c r="S2108" s="46"/>
      <c r="T2108" s="46"/>
      <c r="U2108" s="46"/>
      <c r="V2108" s="46"/>
      <c r="W2108" s="46"/>
      <c r="X2108" s="46"/>
    </row>
    <row r="2109" spans="1:24" x14ac:dyDescent="0.2">
      <c r="A2109" s="45"/>
      <c r="B2109" s="46"/>
      <c r="C2109" s="46"/>
      <c r="D2109" s="46"/>
      <c r="E2109" s="46"/>
      <c r="F2109" s="46"/>
      <c r="G2109" s="46"/>
      <c r="H2109" s="46"/>
      <c r="I2109" s="46"/>
      <c r="J2109" s="46"/>
      <c r="K2109" s="46"/>
      <c r="L2109" s="46"/>
      <c r="M2109" s="46"/>
      <c r="N2109" s="46"/>
      <c r="O2109" s="46"/>
      <c r="P2109" s="46"/>
      <c r="Q2109" s="46"/>
      <c r="R2109" s="46"/>
      <c r="S2109" s="46"/>
      <c r="T2109" s="46"/>
      <c r="U2109" s="46"/>
      <c r="V2109" s="46"/>
      <c r="W2109" s="46"/>
      <c r="X2109" s="46"/>
    </row>
    <row r="2110" spans="1:24" x14ac:dyDescent="0.2">
      <c r="A2110" s="45"/>
      <c r="B2110" s="46"/>
      <c r="C2110" s="46"/>
      <c r="D2110" s="46"/>
      <c r="E2110" s="46"/>
      <c r="F2110" s="46"/>
      <c r="G2110" s="46"/>
      <c r="H2110" s="46"/>
      <c r="I2110" s="46"/>
      <c r="J2110" s="46"/>
      <c r="K2110" s="46"/>
      <c r="L2110" s="46"/>
      <c r="M2110" s="46"/>
      <c r="N2110" s="46"/>
      <c r="O2110" s="46"/>
      <c r="P2110" s="46"/>
      <c r="Q2110" s="46"/>
      <c r="R2110" s="46"/>
      <c r="S2110" s="46"/>
      <c r="T2110" s="46"/>
      <c r="U2110" s="46"/>
      <c r="V2110" s="46"/>
      <c r="W2110" s="46"/>
      <c r="X2110" s="46"/>
    </row>
    <row r="2111" spans="1:24" x14ac:dyDescent="0.2">
      <c r="A2111" s="45"/>
      <c r="B2111" s="46"/>
      <c r="C2111" s="46"/>
      <c r="D2111" s="46"/>
      <c r="E2111" s="46"/>
      <c r="F2111" s="46"/>
      <c r="G2111" s="46"/>
      <c r="H2111" s="46"/>
      <c r="I2111" s="46"/>
      <c r="J2111" s="46"/>
      <c r="K2111" s="46"/>
      <c r="L2111" s="46"/>
      <c r="M2111" s="46"/>
      <c r="N2111" s="46"/>
      <c r="O2111" s="46"/>
      <c r="P2111" s="46"/>
      <c r="Q2111" s="46"/>
      <c r="R2111" s="46"/>
      <c r="S2111" s="46"/>
      <c r="T2111" s="46"/>
      <c r="U2111" s="46"/>
      <c r="V2111" s="46"/>
      <c r="W2111" s="46"/>
      <c r="X2111" s="46"/>
    </row>
    <row r="2112" spans="1:24" x14ac:dyDescent="0.2">
      <c r="A2112" s="45"/>
      <c r="B2112" s="46"/>
      <c r="C2112" s="46"/>
      <c r="D2112" s="46"/>
      <c r="E2112" s="46"/>
      <c r="F2112" s="46"/>
      <c r="G2112" s="46"/>
      <c r="H2112" s="46"/>
      <c r="I2112" s="46"/>
      <c r="J2112" s="46"/>
      <c r="K2112" s="46"/>
      <c r="L2112" s="46"/>
      <c r="M2112" s="46"/>
      <c r="N2112" s="46"/>
      <c r="O2112" s="46"/>
      <c r="P2112" s="46"/>
      <c r="Q2112" s="46"/>
      <c r="R2112" s="46"/>
      <c r="S2112" s="46"/>
      <c r="T2112" s="46"/>
      <c r="U2112" s="46"/>
      <c r="V2112" s="46"/>
      <c r="W2112" s="46"/>
      <c r="X2112" s="46"/>
    </row>
    <row r="2113" spans="1:24" x14ac:dyDescent="0.2">
      <c r="A2113" s="45"/>
      <c r="B2113" s="46"/>
      <c r="C2113" s="46"/>
      <c r="D2113" s="46"/>
      <c r="E2113" s="46"/>
      <c r="F2113" s="46"/>
      <c r="G2113" s="46"/>
      <c r="H2113" s="46"/>
      <c r="I2113" s="46"/>
      <c r="J2113" s="46"/>
      <c r="K2113" s="46"/>
      <c r="L2113" s="46"/>
      <c r="M2113" s="46"/>
      <c r="N2113" s="46"/>
      <c r="O2113" s="46"/>
      <c r="P2113" s="46"/>
      <c r="Q2113" s="46"/>
      <c r="R2113" s="46"/>
      <c r="S2113" s="46"/>
      <c r="T2113" s="46"/>
      <c r="U2113" s="46"/>
      <c r="V2113" s="46"/>
      <c r="W2113" s="46"/>
      <c r="X2113" s="46"/>
    </row>
    <row r="2114" spans="1:24" x14ac:dyDescent="0.2">
      <c r="A2114" s="45"/>
      <c r="B2114" s="46"/>
      <c r="C2114" s="46"/>
      <c r="D2114" s="46"/>
      <c r="E2114" s="46"/>
      <c r="F2114" s="46"/>
      <c r="G2114" s="46"/>
      <c r="H2114" s="46"/>
      <c r="I2114" s="46"/>
      <c r="J2114" s="46"/>
      <c r="K2114" s="46"/>
      <c r="L2114" s="46"/>
      <c r="M2114" s="46"/>
      <c r="N2114" s="46"/>
      <c r="O2114" s="46"/>
      <c r="P2114" s="46"/>
      <c r="Q2114" s="46"/>
      <c r="R2114" s="46"/>
      <c r="S2114" s="46"/>
      <c r="T2114" s="46"/>
      <c r="U2114" s="46"/>
      <c r="V2114" s="46"/>
      <c r="W2114" s="46"/>
      <c r="X2114" s="46"/>
    </row>
    <row r="2115" spans="1:24" x14ac:dyDescent="0.2">
      <c r="A2115" s="45"/>
      <c r="B2115" s="46"/>
      <c r="C2115" s="46"/>
      <c r="D2115" s="46"/>
      <c r="E2115" s="46"/>
      <c r="F2115" s="46"/>
      <c r="G2115" s="46"/>
      <c r="H2115" s="46"/>
      <c r="I2115" s="46"/>
      <c r="J2115" s="46"/>
      <c r="K2115" s="46"/>
      <c r="L2115" s="46"/>
      <c r="M2115" s="46"/>
      <c r="N2115" s="46"/>
      <c r="O2115" s="46"/>
      <c r="P2115" s="46"/>
      <c r="Q2115" s="46"/>
      <c r="R2115" s="46"/>
      <c r="S2115" s="46"/>
      <c r="T2115" s="46"/>
      <c r="U2115" s="46"/>
      <c r="V2115" s="46"/>
      <c r="W2115" s="46"/>
      <c r="X2115" s="46"/>
    </row>
    <row r="2116" spans="1:24" x14ac:dyDescent="0.2">
      <c r="A2116" s="45"/>
      <c r="B2116" s="46"/>
      <c r="C2116" s="46"/>
      <c r="D2116" s="46"/>
      <c r="E2116" s="46"/>
      <c r="F2116" s="46"/>
      <c r="G2116" s="46"/>
      <c r="H2116" s="46"/>
      <c r="I2116" s="46"/>
      <c r="J2116" s="46"/>
      <c r="K2116" s="46"/>
      <c r="L2116" s="46"/>
      <c r="M2116" s="46"/>
      <c r="N2116" s="46"/>
      <c r="O2116" s="46"/>
      <c r="P2116" s="46"/>
      <c r="Q2116" s="46"/>
      <c r="R2116" s="46"/>
      <c r="S2116" s="46"/>
      <c r="T2116" s="46"/>
      <c r="U2116" s="46"/>
      <c r="V2116" s="46"/>
      <c r="W2116" s="46"/>
      <c r="X2116" s="46"/>
    </row>
    <row r="2117" spans="1:24" x14ac:dyDescent="0.2">
      <c r="A2117" s="45"/>
      <c r="B2117" s="46"/>
      <c r="C2117" s="46"/>
      <c r="D2117" s="46"/>
      <c r="E2117" s="46"/>
      <c r="F2117" s="46"/>
      <c r="G2117" s="46"/>
      <c r="H2117" s="46"/>
      <c r="I2117" s="46"/>
      <c r="J2117" s="46"/>
      <c r="K2117" s="46"/>
      <c r="L2117" s="46"/>
      <c r="M2117" s="46"/>
      <c r="N2117" s="46"/>
      <c r="O2117" s="46"/>
      <c r="P2117" s="46"/>
      <c r="Q2117" s="46"/>
      <c r="R2117" s="46"/>
      <c r="S2117" s="46"/>
      <c r="T2117" s="46"/>
      <c r="U2117" s="46"/>
      <c r="V2117" s="46"/>
      <c r="W2117" s="46"/>
      <c r="X2117" s="46"/>
    </row>
    <row r="2118" spans="1:24" x14ac:dyDescent="0.2">
      <c r="A2118" s="45"/>
      <c r="B2118" s="46"/>
      <c r="C2118" s="46"/>
      <c r="D2118" s="46"/>
      <c r="E2118" s="46"/>
      <c r="F2118" s="46"/>
      <c r="G2118" s="46"/>
      <c r="H2118" s="46"/>
      <c r="I2118" s="46"/>
      <c r="J2118" s="46"/>
      <c r="K2118" s="46"/>
      <c r="L2118" s="46"/>
      <c r="M2118" s="46"/>
      <c r="N2118" s="46"/>
      <c r="O2118" s="46"/>
      <c r="P2118" s="46"/>
      <c r="Q2118" s="46"/>
      <c r="R2118" s="46"/>
      <c r="S2118" s="46"/>
      <c r="T2118" s="46"/>
      <c r="U2118" s="46"/>
      <c r="V2118" s="46"/>
      <c r="W2118" s="46"/>
      <c r="X2118" s="46"/>
    </row>
    <row r="2119" spans="1:24" x14ac:dyDescent="0.2">
      <c r="A2119" s="45"/>
      <c r="B2119" s="46"/>
      <c r="C2119" s="46"/>
      <c r="D2119" s="46"/>
      <c r="E2119" s="46"/>
      <c r="F2119" s="46"/>
      <c r="G2119" s="46"/>
      <c r="H2119" s="46"/>
      <c r="I2119" s="46"/>
      <c r="J2119" s="46"/>
      <c r="K2119" s="46"/>
      <c r="L2119" s="46"/>
      <c r="M2119" s="46"/>
      <c r="N2119" s="46"/>
      <c r="O2119" s="46"/>
      <c r="P2119" s="46"/>
      <c r="Q2119" s="46"/>
      <c r="R2119" s="46"/>
      <c r="S2119" s="46"/>
      <c r="T2119" s="46"/>
      <c r="U2119" s="46"/>
      <c r="V2119" s="46"/>
      <c r="W2119" s="46"/>
      <c r="X2119" s="46"/>
    </row>
    <row r="2120" spans="1:24" x14ac:dyDescent="0.2">
      <c r="A2120" s="45"/>
      <c r="B2120" s="46"/>
      <c r="C2120" s="46"/>
      <c r="D2120" s="46"/>
      <c r="E2120" s="46"/>
      <c r="F2120" s="46"/>
      <c r="G2120" s="46"/>
      <c r="H2120" s="46"/>
      <c r="I2120" s="46"/>
      <c r="J2120" s="46"/>
      <c r="K2120" s="46"/>
      <c r="L2120" s="46"/>
      <c r="M2120" s="46"/>
      <c r="N2120" s="46"/>
      <c r="O2120" s="46"/>
      <c r="P2120" s="46"/>
      <c r="Q2120" s="46"/>
      <c r="R2120" s="46"/>
      <c r="S2120" s="46"/>
      <c r="T2120" s="46"/>
      <c r="U2120" s="46"/>
      <c r="V2120" s="46"/>
      <c r="W2120" s="46"/>
      <c r="X2120" s="46"/>
    </row>
    <row r="2121" spans="1:24" x14ac:dyDescent="0.2">
      <c r="A2121" s="45"/>
      <c r="B2121" s="46"/>
      <c r="C2121" s="46"/>
      <c r="D2121" s="46"/>
      <c r="E2121" s="46"/>
      <c r="F2121" s="46"/>
      <c r="G2121" s="46"/>
      <c r="H2121" s="46"/>
      <c r="I2121" s="46"/>
      <c r="J2121" s="46"/>
      <c r="K2121" s="46"/>
      <c r="L2121" s="46"/>
      <c r="M2121" s="46"/>
      <c r="N2121" s="46"/>
      <c r="O2121" s="46"/>
      <c r="P2121" s="46"/>
      <c r="Q2121" s="46"/>
      <c r="R2121" s="46"/>
      <c r="S2121" s="46"/>
      <c r="T2121" s="46"/>
      <c r="U2121" s="46"/>
      <c r="V2121" s="46"/>
      <c r="W2121" s="46"/>
      <c r="X2121" s="46"/>
    </row>
    <row r="2122" spans="1:24" x14ac:dyDescent="0.2">
      <c r="A2122" s="45"/>
      <c r="B2122" s="46"/>
      <c r="C2122" s="46"/>
      <c r="D2122" s="46"/>
      <c r="E2122" s="46"/>
      <c r="F2122" s="46"/>
      <c r="G2122" s="46"/>
      <c r="H2122" s="46"/>
      <c r="I2122" s="46"/>
      <c r="J2122" s="46"/>
      <c r="K2122" s="46"/>
      <c r="L2122" s="46"/>
      <c r="M2122" s="46"/>
      <c r="N2122" s="46"/>
      <c r="O2122" s="46"/>
      <c r="P2122" s="46"/>
      <c r="Q2122" s="46"/>
      <c r="R2122" s="46"/>
      <c r="S2122" s="46"/>
      <c r="T2122" s="46"/>
      <c r="U2122" s="46"/>
      <c r="V2122" s="46"/>
      <c r="W2122" s="46"/>
      <c r="X2122" s="46"/>
    </row>
    <row r="2123" spans="1:24" x14ac:dyDescent="0.2">
      <c r="A2123" s="45"/>
      <c r="B2123" s="46"/>
      <c r="C2123" s="46"/>
      <c r="D2123" s="46"/>
      <c r="E2123" s="46"/>
      <c r="F2123" s="46"/>
      <c r="G2123" s="46"/>
      <c r="H2123" s="46"/>
      <c r="I2123" s="46"/>
      <c r="J2123" s="46"/>
      <c r="K2123" s="46"/>
      <c r="L2123" s="46"/>
      <c r="M2123" s="46"/>
      <c r="N2123" s="46"/>
      <c r="O2123" s="46"/>
      <c r="P2123" s="46"/>
      <c r="Q2123" s="46"/>
      <c r="R2123" s="46"/>
      <c r="S2123" s="46"/>
      <c r="T2123" s="46"/>
      <c r="U2123" s="46"/>
      <c r="V2123" s="46"/>
      <c r="W2123" s="46"/>
      <c r="X2123" s="46"/>
    </row>
    <row r="2124" spans="1:24" x14ac:dyDescent="0.2">
      <c r="A2124" s="45"/>
      <c r="B2124" s="46"/>
      <c r="C2124" s="46"/>
      <c r="D2124" s="46"/>
      <c r="E2124" s="46"/>
      <c r="F2124" s="46"/>
      <c r="G2124" s="46"/>
      <c r="H2124" s="46"/>
      <c r="I2124" s="46"/>
      <c r="J2124" s="46"/>
      <c r="K2124" s="46"/>
      <c r="L2124" s="46"/>
      <c r="M2124" s="46"/>
      <c r="N2124" s="46"/>
      <c r="O2124" s="46"/>
      <c r="P2124" s="46"/>
      <c r="Q2124" s="46"/>
      <c r="R2124" s="46"/>
      <c r="S2124" s="46"/>
      <c r="T2124" s="46"/>
      <c r="U2124" s="46"/>
      <c r="V2124" s="46"/>
      <c r="W2124" s="46"/>
      <c r="X2124" s="46"/>
    </row>
    <row r="2125" spans="1:24" x14ac:dyDescent="0.2">
      <c r="A2125" s="45"/>
      <c r="B2125" s="46"/>
      <c r="C2125" s="46"/>
      <c r="D2125" s="46"/>
      <c r="E2125" s="46"/>
      <c r="F2125" s="46"/>
      <c r="G2125" s="46"/>
      <c r="H2125" s="46"/>
      <c r="I2125" s="46"/>
      <c r="J2125" s="46"/>
      <c r="K2125" s="46"/>
      <c r="L2125" s="46"/>
      <c r="M2125" s="46"/>
      <c r="N2125" s="46"/>
      <c r="O2125" s="46"/>
      <c r="P2125" s="46"/>
      <c r="Q2125" s="46"/>
      <c r="R2125" s="46"/>
      <c r="S2125" s="46"/>
      <c r="T2125" s="46"/>
      <c r="U2125" s="46"/>
      <c r="V2125" s="46"/>
      <c r="W2125" s="46"/>
      <c r="X2125" s="46"/>
    </row>
    <row r="2126" spans="1:24" x14ac:dyDescent="0.2">
      <c r="A2126" s="45"/>
      <c r="B2126" s="46"/>
      <c r="C2126" s="46"/>
      <c r="D2126" s="46"/>
      <c r="E2126" s="46"/>
      <c r="F2126" s="46"/>
      <c r="G2126" s="46"/>
      <c r="H2126" s="46"/>
      <c r="I2126" s="46"/>
      <c r="J2126" s="46"/>
      <c r="K2126" s="46"/>
      <c r="L2126" s="46"/>
      <c r="M2126" s="46"/>
      <c r="N2126" s="46"/>
      <c r="O2126" s="46"/>
      <c r="P2126" s="46"/>
      <c r="Q2126" s="46"/>
      <c r="R2126" s="46"/>
      <c r="S2126" s="46"/>
      <c r="T2126" s="46"/>
      <c r="U2126" s="46"/>
      <c r="V2126" s="46"/>
      <c r="W2126" s="46"/>
      <c r="X2126" s="46"/>
    </row>
    <row r="2127" spans="1:24" x14ac:dyDescent="0.2">
      <c r="A2127" s="45"/>
      <c r="B2127" s="46"/>
      <c r="C2127" s="46"/>
      <c r="D2127" s="46"/>
      <c r="E2127" s="46"/>
      <c r="F2127" s="46"/>
      <c r="G2127" s="46"/>
      <c r="H2127" s="46"/>
      <c r="I2127" s="46"/>
      <c r="J2127" s="46"/>
      <c r="K2127" s="46"/>
      <c r="L2127" s="46"/>
      <c r="M2127" s="46"/>
      <c r="N2127" s="46"/>
      <c r="O2127" s="46"/>
      <c r="P2127" s="46"/>
      <c r="Q2127" s="46"/>
      <c r="R2127" s="46"/>
      <c r="S2127" s="46"/>
      <c r="T2127" s="46"/>
      <c r="U2127" s="46"/>
      <c r="V2127" s="46"/>
      <c r="W2127" s="46"/>
      <c r="X2127" s="46"/>
    </row>
    <row r="2128" spans="1:24" x14ac:dyDescent="0.2">
      <c r="A2128" s="45"/>
      <c r="B2128" s="46"/>
      <c r="C2128" s="46"/>
      <c r="D2128" s="46"/>
      <c r="E2128" s="46"/>
      <c r="F2128" s="46"/>
      <c r="G2128" s="46"/>
      <c r="H2128" s="46"/>
      <c r="I2128" s="46"/>
      <c r="J2128" s="46"/>
      <c r="K2128" s="46"/>
      <c r="L2128" s="46"/>
      <c r="M2128" s="46"/>
      <c r="N2128" s="46"/>
      <c r="O2128" s="46"/>
      <c r="P2128" s="46"/>
      <c r="Q2128" s="46"/>
      <c r="R2128" s="46"/>
      <c r="S2128" s="46"/>
      <c r="T2128" s="46"/>
      <c r="U2128" s="46"/>
      <c r="V2128" s="46"/>
      <c r="W2128" s="46"/>
      <c r="X2128" s="46"/>
    </row>
    <row r="2129" spans="1:24" x14ac:dyDescent="0.2">
      <c r="A2129" s="45"/>
      <c r="B2129" s="46"/>
      <c r="C2129" s="46"/>
      <c r="D2129" s="46"/>
      <c r="E2129" s="46"/>
      <c r="F2129" s="46"/>
      <c r="G2129" s="46"/>
      <c r="H2129" s="46"/>
      <c r="I2129" s="46"/>
      <c r="J2129" s="46"/>
      <c r="K2129" s="46"/>
      <c r="L2129" s="46"/>
      <c r="M2129" s="46"/>
      <c r="N2129" s="46"/>
      <c r="O2129" s="46"/>
      <c r="P2129" s="46"/>
      <c r="Q2129" s="46"/>
      <c r="R2129" s="46"/>
      <c r="S2129" s="46"/>
      <c r="T2129" s="46"/>
      <c r="U2129" s="46"/>
      <c r="V2129" s="46"/>
      <c r="W2129" s="46"/>
      <c r="X2129" s="46"/>
    </row>
    <row r="2130" spans="1:24" x14ac:dyDescent="0.2">
      <c r="A2130" s="45"/>
      <c r="B2130" s="46"/>
      <c r="C2130" s="46"/>
      <c r="D2130" s="46"/>
      <c r="E2130" s="46"/>
      <c r="F2130" s="46"/>
      <c r="G2130" s="46"/>
      <c r="H2130" s="46"/>
      <c r="I2130" s="46"/>
      <c r="J2130" s="46"/>
      <c r="K2130" s="46"/>
      <c r="L2130" s="46"/>
      <c r="M2130" s="46"/>
      <c r="N2130" s="46"/>
      <c r="O2130" s="46"/>
      <c r="P2130" s="46"/>
      <c r="Q2130" s="46"/>
      <c r="R2130" s="46"/>
      <c r="S2130" s="46"/>
      <c r="T2130" s="46"/>
      <c r="U2130" s="46"/>
      <c r="V2130" s="46"/>
      <c r="W2130" s="46"/>
      <c r="X2130" s="46"/>
    </row>
    <row r="2131" spans="1:24" x14ac:dyDescent="0.2">
      <c r="A2131" s="45"/>
      <c r="B2131" s="46"/>
      <c r="C2131" s="46"/>
      <c r="D2131" s="46"/>
      <c r="E2131" s="46"/>
      <c r="F2131" s="46"/>
      <c r="G2131" s="46"/>
      <c r="H2131" s="46"/>
      <c r="I2131" s="46"/>
      <c r="J2131" s="46"/>
      <c r="K2131" s="46"/>
      <c r="L2131" s="46"/>
      <c r="M2131" s="46"/>
      <c r="N2131" s="46"/>
      <c r="O2131" s="46"/>
      <c r="P2131" s="46"/>
      <c r="Q2131" s="46"/>
      <c r="R2131" s="46"/>
      <c r="S2131" s="46"/>
      <c r="T2131" s="46"/>
      <c r="U2131" s="46"/>
      <c r="V2131" s="46"/>
      <c r="W2131" s="46"/>
      <c r="X2131" s="46"/>
    </row>
    <row r="2132" spans="1:24" x14ac:dyDescent="0.2">
      <c r="A2132" s="45"/>
      <c r="B2132" s="46"/>
      <c r="C2132" s="46"/>
      <c r="D2132" s="46"/>
      <c r="E2132" s="46"/>
      <c r="F2132" s="46"/>
      <c r="G2132" s="46"/>
      <c r="H2132" s="46"/>
      <c r="I2132" s="46"/>
      <c r="J2132" s="46"/>
      <c r="K2132" s="46"/>
      <c r="L2132" s="46"/>
      <c r="M2132" s="46"/>
      <c r="N2132" s="46"/>
      <c r="O2132" s="46"/>
      <c r="P2132" s="46"/>
      <c r="Q2132" s="46"/>
      <c r="R2132" s="46"/>
      <c r="S2132" s="46"/>
      <c r="T2132" s="46"/>
      <c r="U2132" s="46"/>
      <c r="V2132" s="46"/>
      <c r="W2132" s="46"/>
      <c r="X2132" s="46"/>
    </row>
    <row r="2133" spans="1:24" x14ac:dyDescent="0.2">
      <c r="A2133" s="45"/>
      <c r="B2133" s="46"/>
      <c r="C2133" s="46"/>
      <c r="D2133" s="46"/>
      <c r="E2133" s="46"/>
      <c r="F2133" s="46"/>
      <c r="G2133" s="46"/>
      <c r="H2133" s="46"/>
      <c r="I2133" s="46"/>
      <c r="J2133" s="46"/>
      <c r="K2133" s="46"/>
      <c r="L2133" s="46"/>
      <c r="M2133" s="46"/>
      <c r="N2133" s="46"/>
      <c r="O2133" s="46"/>
      <c r="P2133" s="46"/>
      <c r="Q2133" s="46"/>
      <c r="R2133" s="46"/>
      <c r="S2133" s="46"/>
      <c r="T2133" s="46"/>
      <c r="U2133" s="46"/>
      <c r="V2133" s="46"/>
      <c r="W2133" s="46"/>
      <c r="X2133" s="46"/>
    </row>
    <row r="2134" spans="1:24" x14ac:dyDescent="0.2">
      <c r="A2134" s="45"/>
      <c r="B2134" s="46"/>
      <c r="C2134" s="46"/>
      <c r="D2134" s="46"/>
      <c r="E2134" s="46"/>
      <c r="F2134" s="46"/>
      <c r="G2134" s="46"/>
      <c r="H2134" s="46"/>
      <c r="I2134" s="46"/>
      <c r="J2134" s="46"/>
      <c r="K2134" s="46"/>
      <c r="L2134" s="46"/>
      <c r="M2134" s="46"/>
      <c r="N2134" s="46"/>
      <c r="O2134" s="46"/>
      <c r="P2134" s="46"/>
      <c r="Q2134" s="46"/>
      <c r="R2134" s="46"/>
      <c r="S2134" s="46"/>
      <c r="T2134" s="46"/>
      <c r="U2134" s="46"/>
      <c r="V2134" s="46"/>
      <c r="W2134" s="46"/>
      <c r="X2134" s="46"/>
    </row>
    <row r="2135" spans="1:24" x14ac:dyDescent="0.2">
      <c r="A2135" s="45"/>
      <c r="B2135" s="46"/>
      <c r="C2135" s="46"/>
      <c r="D2135" s="46"/>
      <c r="E2135" s="46"/>
      <c r="F2135" s="46"/>
      <c r="G2135" s="46"/>
      <c r="H2135" s="46"/>
      <c r="I2135" s="46"/>
      <c r="J2135" s="46"/>
      <c r="K2135" s="46"/>
      <c r="L2135" s="46"/>
      <c r="M2135" s="46"/>
      <c r="N2135" s="46"/>
      <c r="O2135" s="46"/>
      <c r="P2135" s="46"/>
      <c r="Q2135" s="46"/>
      <c r="R2135" s="46"/>
      <c r="S2135" s="46"/>
      <c r="T2135" s="46"/>
      <c r="U2135" s="46"/>
      <c r="V2135" s="46"/>
      <c r="W2135" s="46"/>
      <c r="X2135" s="46"/>
    </row>
    <row r="2136" spans="1:24" x14ac:dyDescent="0.2">
      <c r="A2136" s="45"/>
      <c r="B2136" s="46"/>
      <c r="C2136" s="46"/>
      <c r="D2136" s="46"/>
      <c r="E2136" s="46"/>
      <c r="F2136" s="46"/>
      <c r="G2136" s="46"/>
      <c r="H2136" s="46"/>
      <c r="I2136" s="46"/>
      <c r="J2136" s="46"/>
      <c r="K2136" s="46"/>
      <c r="L2136" s="46"/>
      <c r="M2136" s="46"/>
      <c r="N2136" s="46"/>
      <c r="O2136" s="46"/>
      <c r="P2136" s="46"/>
      <c r="Q2136" s="46"/>
      <c r="R2136" s="46"/>
      <c r="S2136" s="46"/>
      <c r="T2136" s="46"/>
      <c r="U2136" s="46"/>
      <c r="V2136" s="46"/>
      <c r="W2136" s="46"/>
      <c r="X2136" s="46"/>
    </row>
    <row r="2137" spans="1:24" x14ac:dyDescent="0.2">
      <c r="A2137" s="45"/>
      <c r="B2137" s="46"/>
      <c r="C2137" s="46"/>
      <c r="D2137" s="46"/>
      <c r="E2137" s="46"/>
      <c r="F2137" s="46"/>
      <c r="G2137" s="46"/>
      <c r="H2137" s="46"/>
      <c r="I2137" s="46"/>
      <c r="J2137" s="46"/>
      <c r="K2137" s="46"/>
      <c r="L2137" s="46"/>
      <c r="M2137" s="46"/>
      <c r="N2137" s="46"/>
      <c r="O2137" s="46"/>
      <c r="P2137" s="46"/>
      <c r="Q2137" s="46"/>
      <c r="R2137" s="46"/>
      <c r="S2137" s="46"/>
      <c r="T2137" s="46"/>
      <c r="U2137" s="46"/>
      <c r="V2137" s="46"/>
      <c r="W2137" s="46"/>
      <c r="X2137" s="46"/>
    </row>
    <row r="2138" spans="1:24" x14ac:dyDescent="0.2">
      <c r="A2138" s="45"/>
      <c r="B2138" s="46"/>
      <c r="C2138" s="46"/>
      <c r="D2138" s="46"/>
      <c r="E2138" s="46"/>
      <c r="F2138" s="46"/>
      <c r="G2138" s="46"/>
      <c r="H2138" s="46"/>
      <c r="I2138" s="46"/>
      <c r="J2138" s="46"/>
      <c r="K2138" s="46"/>
      <c r="L2138" s="46"/>
      <c r="M2138" s="46"/>
      <c r="N2138" s="46"/>
      <c r="O2138" s="46"/>
      <c r="P2138" s="46"/>
      <c r="Q2138" s="46"/>
      <c r="R2138" s="46"/>
      <c r="S2138" s="46"/>
      <c r="T2138" s="46"/>
      <c r="U2138" s="46"/>
      <c r="V2138" s="46"/>
      <c r="W2138" s="46"/>
      <c r="X2138" s="46"/>
    </row>
    <row r="2139" spans="1:24" x14ac:dyDescent="0.2">
      <c r="A2139" s="45"/>
      <c r="B2139" s="46"/>
      <c r="C2139" s="46"/>
      <c r="D2139" s="46"/>
      <c r="E2139" s="46"/>
      <c r="F2139" s="46"/>
      <c r="G2139" s="46"/>
      <c r="H2139" s="46"/>
      <c r="I2139" s="46"/>
      <c r="J2139" s="46"/>
      <c r="K2139" s="46"/>
      <c r="L2139" s="46"/>
      <c r="M2139" s="46"/>
      <c r="N2139" s="46"/>
      <c r="O2139" s="46"/>
      <c r="P2139" s="46"/>
      <c r="Q2139" s="46"/>
      <c r="R2139" s="46"/>
      <c r="S2139" s="46"/>
      <c r="T2139" s="46"/>
      <c r="U2139" s="46"/>
      <c r="V2139" s="46"/>
      <c r="W2139" s="46"/>
      <c r="X2139" s="46"/>
    </row>
    <row r="2140" spans="1:24" x14ac:dyDescent="0.2">
      <c r="A2140" s="45"/>
      <c r="B2140" s="46"/>
      <c r="C2140" s="46"/>
      <c r="D2140" s="46"/>
      <c r="E2140" s="46"/>
      <c r="F2140" s="46"/>
      <c r="G2140" s="46"/>
      <c r="H2140" s="46"/>
      <c r="I2140" s="46"/>
      <c r="J2140" s="46"/>
      <c r="K2140" s="46"/>
      <c r="L2140" s="46"/>
      <c r="M2140" s="46"/>
      <c r="N2140" s="46"/>
      <c r="O2140" s="46"/>
      <c r="P2140" s="46"/>
      <c r="Q2140" s="46"/>
      <c r="R2140" s="46"/>
      <c r="S2140" s="46"/>
      <c r="T2140" s="46"/>
      <c r="U2140" s="46"/>
      <c r="V2140" s="46"/>
      <c r="W2140" s="46"/>
      <c r="X2140" s="46"/>
    </row>
    <row r="2141" spans="1:24" x14ac:dyDescent="0.2">
      <c r="A2141" s="45"/>
      <c r="B2141" s="46"/>
      <c r="C2141" s="46"/>
      <c r="D2141" s="46"/>
      <c r="E2141" s="46"/>
      <c r="F2141" s="46"/>
      <c r="G2141" s="46"/>
      <c r="H2141" s="46"/>
      <c r="I2141" s="46"/>
      <c r="J2141" s="46"/>
      <c r="K2141" s="46"/>
      <c r="L2141" s="46"/>
      <c r="M2141" s="46"/>
      <c r="N2141" s="46"/>
      <c r="O2141" s="46"/>
      <c r="P2141" s="46"/>
      <c r="Q2141" s="46"/>
      <c r="R2141" s="46"/>
      <c r="S2141" s="46"/>
      <c r="T2141" s="46"/>
      <c r="U2141" s="46"/>
      <c r="V2141" s="46"/>
      <c r="W2141" s="46"/>
      <c r="X2141" s="46"/>
    </row>
    <row r="2142" spans="1:24" x14ac:dyDescent="0.2">
      <c r="A2142" s="45"/>
      <c r="B2142" s="46"/>
      <c r="C2142" s="46"/>
      <c r="D2142" s="46"/>
      <c r="E2142" s="46"/>
      <c r="F2142" s="46"/>
      <c r="G2142" s="46"/>
      <c r="H2142" s="46"/>
      <c r="I2142" s="46"/>
      <c r="J2142" s="46"/>
      <c r="K2142" s="46"/>
      <c r="L2142" s="46"/>
      <c r="M2142" s="46"/>
      <c r="N2142" s="46"/>
      <c r="O2142" s="46"/>
      <c r="P2142" s="46"/>
      <c r="Q2142" s="46"/>
      <c r="R2142" s="46"/>
      <c r="S2142" s="46"/>
      <c r="T2142" s="46"/>
      <c r="U2142" s="46"/>
      <c r="V2142" s="46"/>
      <c r="W2142" s="46"/>
      <c r="X2142" s="46"/>
    </row>
    <row r="2143" spans="1:24" x14ac:dyDescent="0.2">
      <c r="A2143" s="45"/>
      <c r="B2143" s="46"/>
      <c r="C2143" s="46"/>
      <c r="D2143" s="46"/>
      <c r="E2143" s="46"/>
      <c r="F2143" s="46"/>
      <c r="G2143" s="46"/>
      <c r="H2143" s="46"/>
      <c r="I2143" s="46"/>
      <c r="J2143" s="46"/>
      <c r="K2143" s="46"/>
      <c r="L2143" s="46"/>
      <c r="M2143" s="46"/>
      <c r="N2143" s="46"/>
      <c r="O2143" s="46"/>
      <c r="P2143" s="46"/>
      <c r="Q2143" s="46"/>
      <c r="R2143" s="46"/>
      <c r="S2143" s="46"/>
      <c r="T2143" s="46"/>
      <c r="U2143" s="46"/>
      <c r="V2143" s="46"/>
      <c r="W2143" s="46"/>
      <c r="X2143" s="46"/>
    </row>
    <row r="2144" spans="1:24" x14ac:dyDescent="0.2">
      <c r="A2144" s="45"/>
      <c r="B2144" s="46"/>
      <c r="C2144" s="46"/>
      <c r="D2144" s="46"/>
      <c r="E2144" s="46"/>
      <c r="F2144" s="46"/>
      <c r="G2144" s="46"/>
      <c r="H2144" s="46"/>
      <c r="I2144" s="46"/>
      <c r="J2144" s="46"/>
      <c r="K2144" s="46"/>
      <c r="L2144" s="46"/>
      <c r="M2144" s="46"/>
      <c r="N2144" s="46"/>
      <c r="O2144" s="46"/>
      <c r="P2144" s="46"/>
      <c r="Q2144" s="46"/>
      <c r="R2144" s="46"/>
      <c r="S2144" s="46"/>
      <c r="T2144" s="46"/>
      <c r="U2144" s="46"/>
      <c r="V2144" s="46"/>
      <c r="W2144" s="46"/>
      <c r="X2144" s="46"/>
    </row>
    <row r="2145" spans="1:24" x14ac:dyDescent="0.2">
      <c r="A2145" s="45"/>
      <c r="B2145" s="46"/>
      <c r="C2145" s="46"/>
      <c r="D2145" s="46"/>
      <c r="E2145" s="46"/>
      <c r="F2145" s="46"/>
      <c r="G2145" s="46"/>
      <c r="H2145" s="46"/>
      <c r="I2145" s="46"/>
      <c r="J2145" s="46"/>
      <c r="K2145" s="46"/>
      <c r="L2145" s="46"/>
      <c r="M2145" s="46"/>
      <c r="N2145" s="46"/>
      <c r="O2145" s="46"/>
      <c r="P2145" s="46"/>
      <c r="Q2145" s="46"/>
      <c r="R2145" s="46"/>
      <c r="S2145" s="46"/>
      <c r="T2145" s="46"/>
      <c r="U2145" s="46"/>
      <c r="V2145" s="46"/>
      <c r="W2145" s="46"/>
      <c r="X2145" s="46"/>
    </row>
    <row r="2146" spans="1:24" x14ac:dyDescent="0.2">
      <c r="A2146" s="45"/>
      <c r="B2146" s="46"/>
      <c r="C2146" s="46"/>
      <c r="D2146" s="46"/>
      <c r="E2146" s="46"/>
      <c r="F2146" s="46"/>
      <c r="G2146" s="46"/>
      <c r="H2146" s="46"/>
      <c r="I2146" s="46"/>
      <c r="J2146" s="46"/>
      <c r="K2146" s="46"/>
      <c r="L2146" s="46"/>
      <c r="M2146" s="46"/>
      <c r="N2146" s="46"/>
      <c r="O2146" s="46"/>
      <c r="P2146" s="46"/>
      <c r="Q2146" s="46"/>
      <c r="R2146" s="46"/>
      <c r="S2146" s="46"/>
      <c r="T2146" s="46"/>
      <c r="U2146" s="46"/>
      <c r="V2146" s="46"/>
      <c r="W2146" s="46"/>
      <c r="X2146" s="46"/>
    </row>
    <row r="2147" spans="1:24" x14ac:dyDescent="0.2">
      <c r="A2147" s="45"/>
      <c r="B2147" s="46"/>
      <c r="C2147" s="46"/>
      <c r="D2147" s="46"/>
      <c r="E2147" s="46"/>
      <c r="F2147" s="46"/>
      <c r="G2147" s="46"/>
      <c r="H2147" s="46"/>
      <c r="I2147" s="46"/>
      <c r="J2147" s="46"/>
      <c r="K2147" s="46"/>
      <c r="L2147" s="46"/>
      <c r="M2147" s="46"/>
      <c r="N2147" s="46"/>
      <c r="O2147" s="46"/>
      <c r="P2147" s="46"/>
      <c r="Q2147" s="46"/>
      <c r="R2147" s="46"/>
      <c r="S2147" s="46"/>
      <c r="T2147" s="46"/>
      <c r="U2147" s="46"/>
      <c r="V2147" s="46"/>
      <c r="W2147" s="46"/>
      <c r="X2147" s="46"/>
    </row>
    <row r="2148" spans="1:24" x14ac:dyDescent="0.2">
      <c r="A2148" s="45"/>
      <c r="B2148" s="46"/>
      <c r="C2148" s="46"/>
      <c r="D2148" s="46"/>
      <c r="E2148" s="46"/>
      <c r="F2148" s="46"/>
      <c r="G2148" s="46"/>
      <c r="H2148" s="46"/>
      <c r="I2148" s="46"/>
      <c r="J2148" s="46"/>
      <c r="K2148" s="46"/>
      <c r="L2148" s="46"/>
      <c r="M2148" s="46"/>
      <c r="N2148" s="46"/>
      <c r="O2148" s="46"/>
      <c r="P2148" s="46"/>
      <c r="Q2148" s="46"/>
      <c r="R2148" s="46"/>
      <c r="S2148" s="46"/>
      <c r="T2148" s="46"/>
      <c r="U2148" s="46"/>
      <c r="V2148" s="46"/>
      <c r="W2148" s="46"/>
      <c r="X2148" s="46"/>
    </row>
    <row r="2149" spans="1:24" x14ac:dyDescent="0.2">
      <c r="A2149" s="45"/>
      <c r="B2149" s="46"/>
      <c r="C2149" s="46"/>
      <c r="D2149" s="46"/>
      <c r="E2149" s="46"/>
      <c r="F2149" s="46"/>
      <c r="G2149" s="46"/>
      <c r="H2149" s="46"/>
      <c r="I2149" s="46"/>
      <c r="J2149" s="46"/>
      <c r="K2149" s="46"/>
      <c r="L2149" s="46"/>
      <c r="M2149" s="46"/>
      <c r="N2149" s="46"/>
      <c r="O2149" s="46"/>
      <c r="P2149" s="46"/>
      <c r="Q2149" s="46"/>
      <c r="R2149" s="46"/>
      <c r="S2149" s="46"/>
      <c r="T2149" s="46"/>
      <c r="U2149" s="46"/>
      <c r="V2149" s="46"/>
      <c r="W2149" s="46"/>
      <c r="X2149" s="46"/>
    </row>
    <row r="2150" spans="1:24" x14ac:dyDescent="0.2">
      <c r="A2150" s="45"/>
      <c r="B2150" s="46"/>
      <c r="C2150" s="46"/>
      <c r="D2150" s="46"/>
      <c r="E2150" s="46"/>
      <c r="F2150" s="46"/>
      <c r="G2150" s="46"/>
      <c r="H2150" s="46"/>
      <c r="I2150" s="46"/>
      <c r="J2150" s="46"/>
      <c r="K2150" s="46"/>
      <c r="L2150" s="46"/>
      <c r="M2150" s="46"/>
      <c r="N2150" s="46"/>
      <c r="O2150" s="46"/>
      <c r="P2150" s="46"/>
      <c r="Q2150" s="46"/>
      <c r="R2150" s="46"/>
      <c r="S2150" s="46"/>
      <c r="T2150" s="46"/>
      <c r="U2150" s="46"/>
      <c r="V2150" s="46"/>
      <c r="W2150" s="46"/>
      <c r="X2150" s="46"/>
    </row>
    <row r="2151" spans="1:24" x14ac:dyDescent="0.2">
      <c r="A2151" s="45"/>
      <c r="B2151" s="46"/>
      <c r="C2151" s="46"/>
      <c r="D2151" s="46"/>
      <c r="E2151" s="46"/>
      <c r="F2151" s="46"/>
      <c r="G2151" s="46"/>
      <c r="H2151" s="46"/>
      <c r="I2151" s="46"/>
      <c r="J2151" s="46"/>
      <c r="K2151" s="46"/>
      <c r="L2151" s="46"/>
      <c r="M2151" s="46"/>
      <c r="N2151" s="46"/>
      <c r="O2151" s="46"/>
      <c r="P2151" s="46"/>
      <c r="Q2151" s="46"/>
      <c r="R2151" s="46"/>
      <c r="S2151" s="46"/>
      <c r="T2151" s="46"/>
      <c r="U2151" s="46"/>
      <c r="V2151" s="46"/>
      <c r="W2151" s="46"/>
      <c r="X2151" s="46"/>
    </row>
    <row r="2152" spans="1:24" x14ac:dyDescent="0.2">
      <c r="A2152" s="45"/>
      <c r="B2152" s="46"/>
      <c r="C2152" s="46"/>
      <c r="D2152" s="46"/>
      <c r="E2152" s="46"/>
      <c r="F2152" s="46"/>
      <c r="G2152" s="46"/>
      <c r="H2152" s="46"/>
      <c r="I2152" s="46"/>
      <c r="J2152" s="46"/>
      <c r="K2152" s="46"/>
      <c r="L2152" s="46"/>
      <c r="M2152" s="46"/>
      <c r="N2152" s="46"/>
      <c r="O2152" s="46"/>
      <c r="P2152" s="46"/>
      <c r="Q2152" s="46"/>
      <c r="R2152" s="46"/>
      <c r="S2152" s="46"/>
      <c r="T2152" s="46"/>
      <c r="U2152" s="46"/>
      <c r="V2152" s="46"/>
      <c r="W2152" s="46"/>
      <c r="X2152" s="46"/>
    </row>
    <row r="2153" spans="1:24" x14ac:dyDescent="0.2">
      <c r="A2153" s="45"/>
      <c r="B2153" s="46"/>
      <c r="C2153" s="46"/>
      <c r="D2153" s="46"/>
      <c r="E2153" s="46"/>
      <c r="F2153" s="46"/>
      <c r="G2153" s="46"/>
      <c r="H2153" s="46"/>
      <c r="I2153" s="46"/>
      <c r="J2153" s="46"/>
      <c r="K2153" s="46"/>
      <c r="L2153" s="46"/>
      <c r="M2153" s="46"/>
      <c r="N2153" s="46"/>
      <c r="O2153" s="46"/>
      <c r="P2153" s="46"/>
      <c r="Q2153" s="46"/>
      <c r="R2153" s="46"/>
      <c r="S2153" s="46"/>
      <c r="T2153" s="46"/>
      <c r="U2153" s="46"/>
      <c r="V2153" s="46"/>
      <c r="W2153" s="46"/>
      <c r="X2153" s="46"/>
    </row>
    <row r="2154" spans="1:24" x14ac:dyDescent="0.2">
      <c r="A2154" s="45"/>
      <c r="B2154" s="46"/>
      <c r="C2154" s="46"/>
      <c r="D2154" s="46"/>
      <c r="E2154" s="46"/>
      <c r="F2154" s="46"/>
      <c r="G2154" s="46"/>
      <c r="H2154" s="46"/>
      <c r="I2154" s="46"/>
      <c r="J2154" s="46"/>
      <c r="K2154" s="46"/>
      <c r="L2154" s="46"/>
      <c r="M2154" s="46"/>
      <c r="N2154" s="46"/>
      <c r="O2154" s="46"/>
      <c r="P2154" s="46"/>
      <c r="Q2154" s="46"/>
      <c r="R2154" s="46"/>
      <c r="S2154" s="46"/>
      <c r="T2154" s="46"/>
      <c r="U2154" s="46"/>
      <c r="V2154" s="46"/>
      <c r="W2154" s="46"/>
      <c r="X2154" s="46"/>
    </row>
    <row r="2155" spans="1:24" x14ac:dyDescent="0.2">
      <c r="A2155" s="45"/>
      <c r="B2155" s="46"/>
      <c r="C2155" s="46"/>
      <c r="D2155" s="46"/>
      <c r="E2155" s="46"/>
      <c r="F2155" s="46"/>
      <c r="G2155" s="46"/>
      <c r="H2155" s="46"/>
      <c r="I2155" s="46"/>
      <c r="J2155" s="46"/>
      <c r="K2155" s="46"/>
      <c r="L2155" s="46"/>
      <c r="M2155" s="46"/>
      <c r="N2155" s="46"/>
      <c r="O2155" s="46"/>
      <c r="P2155" s="46"/>
      <c r="Q2155" s="46"/>
      <c r="R2155" s="46"/>
      <c r="S2155" s="46"/>
      <c r="T2155" s="46"/>
      <c r="U2155" s="46"/>
      <c r="V2155" s="46"/>
      <c r="W2155" s="46"/>
      <c r="X2155" s="46"/>
    </row>
    <row r="2156" spans="1:24" x14ac:dyDescent="0.2">
      <c r="A2156" s="45"/>
      <c r="B2156" s="46"/>
      <c r="C2156" s="46"/>
      <c r="D2156" s="46"/>
      <c r="E2156" s="46"/>
      <c r="F2156" s="46"/>
      <c r="G2156" s="46"/>
      <c r="H2156" s="46"/>
      <c r="I2156" s="46"/>
      <c r="J2156" s="46"/>
      <c r="K2156" s="46"/>
      <c r="L2156" s="46"/>
      <c r="M2156" s="46"/>
      <c r="N2156" s="46"/>
      <c r="O2156" s="46"/>
      <c r="P2156" s="46"/>
      <c r="Q2156" s="46"/>
      <c r="R2156" s="46"/>
      <c r="S2156" s="46"/>
      <c r="T2156" s="46"/>
      <c r="U2156" s="46"/>
      <c r="V2156" s="46"/>
      <c r="W2156" s="46"/>
      <c r="X2156" s="46"/>
    </row>
    <row r="2157" spans="1:24" x14ac:dyDescent="0.2">
      <c r="A2157" s="45"/>
      <c r="B2157" s="46"/>
      <c r="C2157" s="46"/>
      <c r="D2157" s="46"/>
      <c r="E2157" s="46"/>
      <c r="F2157" s="46"/>
      <c r="G2157" s="46"/>
      <c r="H2157" s="46"/>
      <c r="I2157" s="46"/>
      <c r="J2157" s="46"/>
      <c r="K2157" s="46"/>
      <c r="L2157" s="46"/>
      <c r="M2157" s="46"/>
      <c r="N2157" s="46"/>
      <c r="O2157" s="46"/>
      <c r="P2157" s="46"/>
      <c r="Q2157" s="46"/>
      <c r="R2157" s="46"/>
      <c r="S2157" s="46"/>
      <c r="T2157" s="46"/>
      <c r="U2157" s="46"/>
      <c r="V2157" s="46"/>
      <c r="W2157" s="46"/>
      <c r="X2157" s="46"/>
    </row>
    <row r="2158" spans="1:24" x14ac:dyDescent="0.2">
      <c r="A2158" s="45"/>
      <c r="B2158" s="46"/>
      <c r="C2158" s="46"/>
      <c r="D2158" s="46"/>
      <c r="E2158" s="46"/>
      <c r="F2158" s="46"/>
      <c r="G2158" s="46"/>
      <c r="H2158" s="46"/>
      <c r="I2158" s="46"/>
      <c r="J2158" s="46"/>
      <c r="K2158" s="46"/>
      <c r="L2158" s="46"/>
      <c r="M2158" s="46"/>
      <c r="N2158" s="46"/>
      <c r="O2158" s="46"/>
      <c r="P2158" s="46"/>
      <c r="Q2158" s="46"/>
      <c r="R2158" s="46"/>
      <c r="S2158" s="46"/>
      <c r="T2158" s="46"/>
      <c r="U2158" s="46"/>
      <c r="V2158" s="46"/>
      <c r="W2158" s="46"/>
      <c r="X2158" s="46"/>
    </row>
    <row r="2159" spans="1:24" x14ac:dyDescent="0.2">
      <c r="A2159" s="45"/>
      <c r="B2159" s="46"/>
      <c r="C2159" s="46"/>
      <c r="D2159" s="46"/>
      <c r="E2159" s="46"/>
      <c r="F2159" s="46"/>
      <c r="G2159" s="46"/>
      <c r="H2159" s="46"/>
      <c r="I2159" s="46"/>
      <c r="J2159" s="46"/>
      <c r="K2159" s="46"/>
      <c r="L2159" s="46"/>
      <c r="M2159" s="46"/>
      <c r="N2159" s="46"/>
      <c r="O2159" s="46"/>
      <c r="P2159" s="46"/>
      <c r="Q2159" s="46"/>
      <c r="R2159" s="46"/>
      <c r="S2159" s="46"/>
      <c r="T2159" s="46"/>
      <c r="U2159" s="46"/>
      <c r="V2159" s="46"/>
      <c r="W2159" s="46"/>
      <c r="X2159" s="46"/>
    </row>
    <row r="2160" spans="1:24" x14ac:dyDescent="0.2">
      <c r="A2160" s="45"/>
      <c r="B2160" s="46"/>
      <c r="C2160" s="46"/>
      <c r="D2160" s="46"/>
      <c r="E2160" s="46"/>
      <c r="F2160" s="46"/>
      <c r="G2160" s="46"/>
      <c r="H2160" s="46"/>
      <c r="I2160" s="46"/>
      <c r="J2160" s="46"/>
      <c r="K2160" s="46"/>
      <c r="L2160" s="46"/>
      <c r="M2160" s="46"/>
      <c r="N2160" s="46"/>
      <c r="O2160" s="46"/>
      <c r="P2160" s="46"/>
      <c r="Q2160" s="46"/>
      <c r="R2160" s="46"/>
      <c r="S2160" s="46"/>
      <c r="T2160" s="46"/>
      <c r="U2160" s="46"/>
      <c r="V2160" s="46"/>
      <c r="W2160" s="46"/>
      <c r="X2160" s="46"/>
    </row>
    <row r="2161" spans="1:24" x14ac:dyDescent="0.2">
      <c r="A2161" s="45"/>
      <c r="B2161" s="46"/>
      <c r="C2161" s="46"/>
      <c r="D2161" s="46"/>
      <c r="E2161" s="46"/>
      <c r="F2161" s="46"/>
      <c r="G2161" s="46"/>
      <c r="H2161" s="46"/>
      <c r="I2161" s="46"/>
      <c r="J2161" s="46"/>
      <c r="K2161" s="46"/>
      <c r="L2161" s="46"/>
      <c r="M2161" s="46"/>
      <c r="N2161" s="46"/>
      <c r="O2161" s="46"/>
      <c r="P2161" s="46"/>
      <c r="Q2161" s="46"/>
      <c r="R2161" s="46"/>
      <c r="S2161" s="46"/>
      <c r="T2161" s="46"/>
      <c r="U2161" s="46"/>
      <c r="V2161" s="46"/>
      <c r="W2161" s="46"/>
      <c r="X2161" s="46"/>
    </row>
    <row r="2162" spans="1:24" x14ac:dyDescent="0.2">
      <c r="A2162" s="45"/>
      <c r="B2162" s="46"/>
      <c r="C2162" s="46"/>
      <c r="D2162" s="46"/>
      <c r="E2162" s="46"/>
      <c r="F2162" s="46"/>
      <c r="G2162" s="46"/>
      <c r="H2162" s="46"/>
      <c r="I2162" s="46"/>
      <c r="J2162" s="46"/>
      <c r="K2162" s="46"/>
      <c r="L2162" s="46"/>
      <c r="M2162" s="46"/>
      <c r="N2162" s="46"/>
      <c r="O2162" s="46"/>
      <c r="P2162" s="46"/>
      <c r="Q2162" s="46"/>
      <c r="R2162" s="46"/>
      <c r="S2162" s="46"/>
      <c r="T2162" s="46"/>
      <c r="U2162" s="46"/>
      <c r="V2162" s="46"/>
      <c r="W2162" s="46"/>
      <c r="X2162" s="46"/>
    </row>
    <row r="2163" spans="1:24" x14ac:dyDescent="0.2">
      <c r="A2163" s="45"/>
      <c r="B2163" s="46"/>
      <c r="C2163" s="46"/>
      <c r="D2163" s="46"/>
      <c r="E2163" s="46"/>
      <c r="F2163" s="46"/>
      <c r="G2163" s="46"/>
      <c r="H2163" s="46"/>
      <c r="I2163" s="46"/>
      <c r="J2163" s="46"/>
      <c r="K2163" s="46"/>
      <c r="L2163" s="46"/>
      <c r="M2163" s="46"/>
      <c r="N2163" s="46"/>
      <c r="O2163" s="46"/>
      <c r="P2163" s="46"/>
      <c r="Q2163" s="46"/>
      <c r="R2163" s="46"/>
      <c r="S2163" s="46"/>
      <c r="T2163" s="46"/>
      <c r="U2163" s="46"/>
      <c r="V2163" s="46"/>
      <c r="W2163" s="46"/>
      <c r="X2163" s="46"/>
    </row>
    <row r="2164" spans="1:24" x14ac:dyDescent="0.2">
      <c r="A2164" s="45"/>
      <c r="B2164" s="46"/>
      <c r="C2164" s="46"/>
      <c r="D2164" s="46"/>
      <c r="E2164" s="46"/>
      <c r="F2164" s="46"/>
      <c r="G2164" s="46"/>
      <c r="H2164" s="46"/>
      <c r="I2164" s="46"/>
      <c r="J2164" s="46"/>
      <c r="K2164" s="46"/>
      <c r="L2164" s="46"/>
      <c r="M2164" s="46"/>
      <c r="N2164" s="46"/>
      <c r="O2164" s="46"/>
      <c r="P2164" s="46"/>
      <c r="Q2164" s="46"/>
      <c r="R2164" s="46"/>
      <c r="S2164" s="46"/>
      <c r="T2164" s="46"/>
      <c r="U2164" s="46"/>
      <c r="V2164" s="46"/>
      <c r="W2164" s="46"/>
      <c r="X2164" s="46"/>
    </row>
    <row r="2165" spans="1:24" x14ac:dyDescent="0.2">
      <c r="A2165" s="45"/>
      <c r="B2165" s="46"/>
      <c r="C2165" s="46"/>
      <c r="D2165" s="46"/>
      <c r="E2165" s="46"/>
      <c r="F2165" s="46"/>
      <c r="G2165" s="46"/>
      <c r="H2165" s="46"/>
      <c r="I2165" s="46"/>
      <c r="J2165" s="46"/>
      <c r="K2165" s="46"/>
      <c r="L2165" s="46"/>
      <c r="M2165" s="46"/>
      <c r="N2165" s="46"/>
      <c r="O2165" s="46"/>
      <c r="P2165" s="46"/>
      <c r="Q2165" s="46"/>
      <c r="R2165" s="46"/>
      <c r="S2165" s="46"/>
      <c r="T2165" s="46"/>
      <c r="U2165" s="46"/>
      <c r="V2165" s="46"/>
      <c r="W2165" s="46"/>
      <c r="X2165" s="46"/>
    </row>
    <row r="2166" spans="1:24" x14ac:dyDescent="0.2">
      <c r="A2166" s="45"/>
      <c r="B2166" s="46"/>
      <c r="C2166" s="46"/>
      <c r="D2166" s="46"/>
      <c r="E2166" s="46"/>
      <c r="F2166" s="46"/>
      <c r="G2166" s="46"/>
      <c r="H2166" s="46"/>
      <c r="I2166" s="46"/>
      <c r="J2166" s="46"/>
      <c r="K2166" s="46"/>
      <c r="L2166" s="46"/>
      <c r="M2166" s="46"/>
      <c r="N2166" s="46"/>
      <c r="O2166" s="46"/>
      <c r="P2166" s="46"/>
      <c r="Q2166" s="46"/>
      <c r="R2166" s="46"/>
      <c r="S2166" s="46"/>
      <c r="T2166" s="46"/>
      <c r="U2166" s="46"/>
      <c r="V2166" s="46"/>
      <c r="W2166" s="46"/>
      <c r="X2166" s="46"/>
    </row>
    <row r="2167" spans="1:24" x14ac:dyDescent="0.2">
      <c r="A2167" s="45"/>
      <c r="B2167" s="46"/>
      <c r="C2167" s="46"/>
      <c r="D2167" s="46"/>
      <c r="E2167" s="46"/>
      <c r="F2167" s="46"/>
      <c r="G2167" s="46"/>
      <c r="H2167" s="46"/>
      <c r="I2167" s="46"/>
      <c r="J2167" s="46"/>
      <c r="K2167" s="46"/>
      <c r="L2167" s="46"/>
      <c r="M2167" s="46"/>
      <c r="N2167" s="46"/>
      <c r="O2167" s="46"/>
      <c r="P2167" s="46"/>
      <c r="Q2167" s="46"/>
      <c r="R2167" s="46"/>
      <c r="S2167" s="46"/>
      <c r="T2167" s="46"/>
      <c r="U2167" s="46"/>
      <c r="V2167" s="46"/>
      <c r="W2167" s="46"/>
      <c r="X2167" s="46"/>
    </row>
    <row r="2168" spans="1:24" x14ac:dyDescent="0.2">
      <c r="A2168" s="45"/>
      <c r="B2168" s="46"/>
      <c r="C2168" s="46"/>
      <c r="D2168" s="46"/>
      <c r="E2168" s="46"/>
      <c r="F2168" s="46"/>
      <c r="G2168" s="46"/>
      <c r="H2168" s="46"/>
      <c r="I2168" s="46"/>
      <c r="J2168" s="46"/>
      <c r="K2168" s="46"/>
      <c r="L2168" s="46"/>
      <c r="M2168" s="46"/>
      <c r="N2168" s="46"/>
      <c r="O2168" s="46"/>
      <c r="P2168" s="46"/>
      <c r="Q2168" s="46"/>
      <c r="R2168" s="46"/>
      <c r="S2168" s="46"/>
      <c r="T2168" s="46"/>
      <c r="U2168" s="46"/>
      <c r="V2168" s="46"/>
      <c r="W2168" s="46"/>
      <c r="X2168" s="46"/>
    </row>
    <row r="2169" spans="1:24" x14ac:dyDescent="0.2">
      <c r="A2169" s="45"/>
      <c r="B2169" s="46"/>
      <c r="C2169" s="46"/>
      <c r="D2169" s="46"/>
      <c r="E2169" s="46"/>
      <c r="F2169" s="46"/>
      <c r="G2169" s="46"/>
      <c r="H2169" s="46"/>
      <c r="I2169" s="46"/>
      <c r="J2169" s="46"/>
      <c r="K2169" s="46"/>
      <c r="L2169" s="46"/>
      <c r="M2169" s="46"/>
      <c r="N2169" s="46"/>
      <c r="O2169" s="46"/>
      <c r="P2169" s="46"/>
      <c r="Q2169" s="46"/>
      <c r="R2169" s="46"/>
      <c r="S2169" s="46"/>
      <c r="T2169" s="46"/>
      <c r="U2169" s="46"/>
      <c r="V2169" s="46"/>
      <c r="W2169" s="46"/>
      <c r="X2169" s="46"/>
    </row>
    <row r="2170" spans="1:24" x14ac:dyDescent="0.2">
      <c r="A2170" s="45"/>
      <c r="B2170" s="46"/>
      <c r="C2170" s="46"/>
      <c r="D2170" s="46"/>
      <c r="E2170" s="46"/>
      <c r="F2170" s="46"/>
      <c r="G2170" s="46"/>
      <c r="H2170" s="46"/>
      <c r="I2170" s="46"/>
      <c r="J2170" s="46"/>
      <c r="K2170" s="46"/>
      <c r="L2170" s="46"/>
      <c r="M2170" s="46"/>
      <c r="N2170" s="46"/>
      <c r="O2170" s="46"/>
      <c r="P2170" s="46"/>
      <c r="Q2170" s="46"/>
      <c r="R2170" s="46"/>
      <c r="S2170" s="46"/>
      <c r="T2170" s="46"/>
      <c r="U2170" s="46"/>
      <c r="V2170" s="46"/>
      <c r="W2170" s="46"/>
      <c r="X2170" s="46"/>
    </row>
    <row r="2171" spans="1:24" x14ac:dyDescent="0.2">
      <c r="A2171" s="45"/>
      <c r="B2171" s="46"/>
      <c r="C2171" s="46"/>
      <c r="D2171" s="46"/>
      <c r="E2171" s="46"/>
      <c r="F2171" s="46"/>
      <c r="G2171" s="46"/>
      <c r="H2171" s="46"/>
      <c r="I2171" s="46"/>
      <c r="J2171" s="46"/>
      <c r="K2171" s="46"/>
      <c r="L2171" s="46"/>
      <c r="M2171" s="46"/>
      <c r="N2171" s="46"/>
      <c r="O2171" s="46"/>
      <c r="P2171" s="46"/>
      <c r="Q2171" s="46"/>
      <c r="R2171" s="46"/>
      <c r="S2171" s="46"/>
      <c r="T2171" s="46"/>
      <c r="U2171" s="46"/>
      <c r="V2171" s="46"/>
      <c r="W2171" s="46"/>
      <c r="X2171" s="46"/>
    </row>
    <row r="2172" spans="1:24" x14ac:dyDescent="0.2">
      <c r="A2172" s="45"/>
      <c r="B2172" s="46"/>
      <c r="C2172" s="46"/>
      <c r="D2172" s="46"/>
      <c r="E2172" s="46"/>
      <c r="F2172" s="46"/>
      <c r="G2172" s="46"/>
      <c r="H2172" s="46"/>
      <c r="I2172" s="46"/>
      <c r="J2172" s="46"/>
      <c r="K2172" s="46"/>
      <c r="L2172" s="46"/>
      <c r="M2172" s="46"/>
      <c r="N2172" s="46"/>
      <c r="O2172" s="46"/>
      <c r="P2172" s="46"/>
      <c r="Q2172" s="46"/>
      <c r="R2172" s="46"/>
      <c r="S2172" s="46"/>
      <c r="T2172" s="46"/>
      <c r="U2172" s="46"/>
      <c r="V2172" s="46"/>
      <c r="W2172" s="46"/>
      <c r="X2172" s="46"/>
    </row>
    <row r="2173" spans="1:24" x14ac:dyDescent="0.2">
      <c r="A2173" s="45"/>
      <c r="B2173" s="46"/>
      <c r="C2173" s="46"/>
      <c r="D2173" s="46"/>
      <c r="E2173" s="46"/>
      <c r="F2173" s="46"/>
      <c r="G2173" s="46"/>
      <c r="H2173" s="46"/>
      <c r="I2173" s="46"/>
      <c r="J2173" s="46"/>
      <c r="K2173" s="46"/>
      <c r="L2173" s="46"/>
      <c r="M2173" s="46"/>
      <c r="N2173" s="46"/>
      <c r="O2173" s="46"/>
      <c r="P2173" s="46"/>
      <c r="Q2173" s="46"/>
      <c r="R2173" s="46"/>
      <c r="S2173" s="46"/>
      <c r="T2173" s="46"/>
      <c r="U2173" s="46"/>
      <c r="V2173" s="46"/>
      <c r="W2173" s="46"/>
      <c r="X2173" s="46"/>
    </row>
    <row r="2174" spans="1:24" x14ac:dyDescent="0.2">
      <c r="A2174" s="45"/>
      <c r="B2174" s="46"/>
      <c r="C2174" s="46"/>
      <c r="D2174" s="46"/>
      <c r="E2174" s="46"/>
      <c r="F2174" s="46"/>
      <c r="G2174" s="46"/>
      <c r="H2174" s="46"/>
      <c r="I2174" s="46"/>
      <c r="J2174" s="46"/>
      <c r="K2174" s="46"/>
      <c r="L2174" s="46"/>
      <c r="M2174" s="46"/>
      <c r="N2174" s="46"/>
      <c r="O2174" s="46"/>
      <c r="P2174" s="46"/>
      <c r="Q2174" s="46"/>
      <c r="R2174" s="46"/>
      <c r="S2174" s="46"/>
      <c r="T2174" s="46"/>
      <c r="U2174" s="46"/>
      <c r="V2174" s="46"/>
      <c r="W2174" s="46"/>
      <c r="X2174" s="46"/>
    </row>
    <row r="2175" spans="1:24" x14ac:dyDescent="0.2">
      <c r="A2175" s="45"/>
      <c r="B2175" s="46"/>
      <c r="C2175" s="46"/>
      <c r="D2175" s="46"/>
      <c r="E2175" s="46"/>
      <c r="F2175" s="46"/>
      <c r="G2175" s="46"/>
      <c r="H2175" s="46"/>
      <c r="I2175" s="46"/>
      <c r="J2175" s="46"/>
      <c r="K2175" s="46"/>
      <c r="L2175" s="46"/>
      <c r="M2175" s="46"/>
      <c r="N2175" s="46"/>
      <c r="O2175" s="46"/>
      <c r="P2175" s="46"/>
      <c r="Q2175" s="46"/>
      <c r="R2175" s="46"/>
      <c r="S2175" s="46"/>
      <c r="T2175" s="46"/>
      <c r="U2175" s="46"/>
      <c r="V2175" s="46"/>
      <c r="W2175" s="46"/>
      <c r="X2175" s="46"/>
    </row>
    <row r="2176" spans="1:24" x14ac:dyDescent="0.2">
      <c r="A2176" s="45"/>
      <c r="B2176" s="46"/>
      <c r="C2176" s="46"/>
      <c r="D2176" s="46"/>
      <c r="E2176" s="46"/>
      <c r="F2176" s="46"/>
      <c r="G2176" s="46"/>
      <c r="H2176" s="46"/>
      <c r="I2176" s="46"/>
      <c r="J2176" s="46"/>
      <c r="K2176" s="46"/>
      <c r="L2176" s="46"/>
      <c r="M2176" s="46"/>
      <c r="N2176" s="46"/>
      <c r="O2176" s="46"/>
      <c r="P2176" s="46"/>
      <c r="Q2176" s="46"/>
      <c r="R2176" s="46"/>
      <c r="S2176" s="46"/>
      <c r="T2176" s="46"/>
      <c r="U2176" s="46"/>
      <c r="V2176" s="46"/>
      <c r="W2176" s="46"/>
      <c r="X2176" s="46"/>
    </row>
    <row r="2177" spans="1:24" x14ac:dyDescent="0.2">
      <c r="A2177" s="45"/>
      <c r="B2177" s="46"/>
      <c r="C2177" s="46"/>
      <c r="D2177" s="46"/>
      <c r="E2177" s="46"/>
      <c r="F2177" s="46"/>
      <c r="G2177" s="46"/>
      <c r="H2177" s="46"/>
      <c r="I2177" s="46"/>
      <c r="J2177" s="46"/>
      <c r="K2177" s="46"/>
      <c r="L2177" s="46"/>
      <c r="M2177" s="46"/>
      <c r="N2177" s="46"/>
      <c r="O2177" s="46"/>
      <c r="P2177" s="46"/>
      <c r="Q2177" s="46"/>
      <c r="R2177" s="46"/>
      <c r="S2177" s="46"/>
      <c r="T2177" s="46"/>
      <c r="U2177" s="46"/>
      <c r="V2177" s="46"/>
      <c r="W2177" s="46"/>
      <c r="X2177" s="46"/>
    </row>
    <row r="2178" spans="1:24" x14ac:dyDescent="0.2">
      <c r="A2178" s="45"/>
      <c r="B2178" s="46"/>
      <c r="C2178" s="46"/>
      <c r="D2178" s="46"/>
      <c r="E2178" s="46"/>
      <c r="F2178" s="46"/>
      <c r="G2178" s="46"/>
      <c r="H2178" s="46"/>
      <c r="I2178" s="46"/>
      <c r="J2178" s="46"/>
      <c r="K2178" s="46"/>
      <c r="L2178" s="46"/>
      <c r="M2178" s="46"/>
      <c r="N2178" s="46"/>
      <c r="O2178" s="46"/>
      <c r="P2178" s="46"/>
      <c r="Q2178" s="46"/>
      <c r="R2178" s="46"/>
      <c r="S2178" s="46"/>
      <c r="T2178" s="46"/>
      <c r="U2178" s="46"/>
      <c r="V2178" s="46"/>
      <c r="W2178" s="46"/>
      <c r="X2178" s="46"/>
    </row>
    <row r="2179" spans="1:24" x14ac:dyDescent="0.2">
      <c r="A2179" s="45"/>
      <c r="B2179" s="46"/>
      <c r="C2179" s="46"/>
      <c r="D2179" s="46"/>
      <c r="E2179" s="46"/>
      <c r="F2179" s="46"/>
      <c r="G2179" s="46"/>
      <c r="H2179" s="46"/>
      <c r="I2179" s="46"/>
      <c r="J2179" s="46"/>
      <c r="K2179" s="46"/>
      <c r="L2179" s="46"/>
      <c r="M2179" s="46"/>
      <c r="N2179" s="46"/>
      <c r="O2179" s="46"/>
      <c r="P2179" s="46"/>
      <c r="Q2179" s="46"/>
      <c r="R2179" s="46"/>
      <c r="S2179" s="46"/>
      <c r="T2179" s="46"/>
      <c r="U2179" s="46"/>
      <c r="V2179" s="46"/>
      <c r="W2179" s="46"/>
      <c r="X2179" s="46"/>
    </row>
    <row r="2180" spans="1:24" x14ac:dyDescent="0.2">
      <c r="A2180" s="45"/>
      <c r="B2180" s="46"/>
      <c r="C2180" s="46"/>
      <c r="D2180" s="46"/>
      <c r="E2180" s="46"/>
      <c r="F2180" s="46"/>
      <c r="G2180" s="46"/>
      <c r="H2180" s="46"/>
      <c r="I2180" s="46"/>
      <c r="J2180" s="46"/>
      <c r="K2180" s="46"/>
      <c r="L2180" s="46"/>
      <c r="M2180" s="46"/>
      <c r="N2180" s="46"/>
      <c r="O2180" s="46"/>
      <c r="P2180" s="46"/>
      <c r="Q2180" s="46"/>
      <c r="R2180" s="46"/>
      <c r="S2180" s="46"/>
      <c r="T2180" s="46"/>
      <c r="U2180" s="46"/>
      <c r="V2180" s="46"/>
      <c r="W2180" s="46"/>
      <c r="X2180" s="46"/>
    </row>
    <row r="2181" spans="1:24" x14ac:dyDescent="0.2">
      <c r="A2181" s="45"/>
      <c r="B2181" s="46"/>
      <c r="C2181" s="46"/>
      <c r="D2181" s="46"/>
      <c r="E2181" s="46"/>
      <c r="F2181" s="46"/>
      <c r="G2181" s="46"/>
      <c r="H2181" s="46"/>
      <c r="I2181" s="46"/>
      <c r="J2181" s="46"/>
      <c r="K2181" s="46"/>
      <c r="L2181" s="46"/>
      <c r="M2181" s="46"/>
      <c r="N2181" s="46"/>
      <c r="O2181" s="46"/>
      <c r="P2181" s="46"/>
      <c r="Q2181" s="46"/>
      <c r="R2181" s="46"/>
      <c r="S2181" s="46"/>
      <c r="T2181" s="46"/>
      <c r="U2181" s="46"/>
      <c r="V2181" s="46"/>
      <c r="W2181" s="46"/>
      <c r="X2181" s="46"/>
    </row>
    <row r="2182" spans="1:24" x14ac:dyDescent="0.2">
      <c r="A2182" s="45"/>
      <c r="B2182" s="46"/>
      <c r="C2182" s="46"/>
      <c r="D2182" s="46"/>
      <c r="E2182" s="46"/>
      <c r="F2182" s="46"/>
      <c r="G2182" s="46"/>
      <c r="H2182" s="46"/>
      <c r="I2182" s="46"/>
      <c r="J2182" s="46"/>
      <c r="K2182" s="46"/>
      <c r="L2182" s="46"/>
      <c r="M2182" s="46"/>
      <c r="N2182" s="46"/>
      <c r="O2182" s="46"/>
      <c r="P2182" s="46"/>
      <c r="Q2182" s="46"/>
      <c r="R2182" s="46"/>
      <c r="S2182" s="46"/>
      <c r="T2182" s="46"/>
      <c r="U2182" s="46"/>
      <c r="V2182" s="46"/>
      <c r="W2182" s="46"/>
      <c r="X2182" s="46"/>
    </row>
    <row r="2183" spans="1:24" x14ac:dyDescent="0.2">
      <c r="A2183" s="45"/>
      <c r="B2183" s="46"/>
      <c r="C2183" s="46"/>
      <c r="D2183" s="46"/>
      <c r="E2183" s="46"/>
      <c r="F2183" s="46"/>
      <c r="G2183" s="46"/>
      <c r="H2183" s="46"/>
      <c r="I2183" s="46"/>
      <c r="J2183" s="46"/>
      <c r="K2183" s="46"/>
      <c r="L2183" s="46"/>
      <c r="M2183" s="46"/>
      <c r="N2183" s="46"/>
      <c r="O2183" s="46"/>
      <c r="P2183" s="46"/>
      <c r="Q2183" s="46"/>
      <c r="R2183" s="46"/>
      <c r="S2183" s="46"/>
      <c r="T2183" s="46"/>
      <c r="U2183" s="46"/>
      <c r="V2183" s="46"/>
      <c r="W2183" s="46"/>
      <c r="X2183" s="46"/>
    </row>
    <row r="2184" spans="1:24" x14ac:dyDescent="0.2">
      <c r="A2184" s="45"/>
      <c r="B2184" s="46"/>
      <c r="C2184" s="46"/>
      <c r="D2184" s="46"/>
      <c r="E2184" s="46"/>
      <c r="F2184" s="46"/>
      <c r="G2184" s="46"/>
      <c r="H2184" s="46"/>
      <c r="I2184" s="46"/>
      <c r="J2184" s="46"/>
      <c r="K2184" s="46"/>
      <c r="L2184" s="46"/>
      <c r="M2184" s="46"/>
      <c r="N2184" s="46"/>
      <c r="O2184" s="46"/>
      <c r="P2184" s="46"/>
      <c r="Q2184" s="46"/>
      <c r="R2184" s="46"/>
      <c r="S2184" s="46"/>
      <c r="T2184" s="46"/>
      <c r="U2184" s="46"/>
      <c r="V2184" s="46"/>
      <c r="W2184" s="46"/>
      <c r="X2184" s="46"/>
    </row>
    <row r="2185" spans="1:24" x14ac:dyDescent="0.2">
      <c r="A2185" s="45"/>
      <c r="B2185" s="46"/>
      <c r="C2185" s="46"/>
      <c r="D2185" s="46"/>
      <c r="E2185" s="46"/>
      <c r="F2185" s="46"/>
      <c r="G2185" s="46"/>
      <c r="H2185" s="46"/>
      <c r="I2185" s="46"/>
      <c r="J2185" s="46"/>
      <c r="K2185" s="46"/>
      <c r="L2185" s="46"/>
      <c r="M2185" s="46"/>
      <c r="N2185" s="46"/>
      <c r="O2185" s="46"/>
      <c r="P2185" s="46"/>
      <c r="Q2185" s="46"/>
      <c r="R2185" s="46"/>
      <c r="S2185" s="46"/>
      <c r="T2185" s="46"/>
      <c r="U2185" s="46"/>
      <c r="V2185" s="46"/>
      <c r="W2185" s="46"/>
      <c r="X2185" s="46"/>
    </row>
    <row r="2186" spans="1:24" x14ac:dyDescent="0.2">
      <c r="A2186" s="45"/>
      <c r="B2186" s="46"/>
      <c r="C2186" s="46"/>
      <c r="D2186" s="46"/>
      <c r="E2186" s="46"/>
      <c r="F2186" s="46"/>
      <c r="G2186" s="46"/>
      <c r="H2186" s="46"/>
      <c r="I2186" s="46"/>
      <c r="J2186" s="46"/>
      <c r="K2186" s="46"/>
      <c r="L2186" s="46"/>
      <c r="M2186" s="46"/>
      <c r="N2186" s="46"/>
      <c r="O2186" s="46"/>
      <c r="P2186" s="46"/>
      <c r="Q2186" s="46"/>
      <c r="R2186" s="46"/>
      <c r="S2186" s="46"/>
      <c r="T2186" s="46"/>
      <c r="U2186" s="46"/>
      <c r="V2186" s="46"/>
      <c r="W2186" s="46"/>
      <c r="X2186" s="46"/>
    </row>
    <row r="2187" spans="1:24" x14ac:dyDescent="0.2">
      <c r="A2187" s="45"/>
      <c r="B2187" s="46"/>
      <c r="C2187" s="46"/>
      <c r="D2187" s="46"/>
      <c r="E2187" s="46"/>
      <c r="F2187" s="46"/>
      <c r="G2187" s="46"/>
      <c r="H2187" s="46"/>
      <c r="I2187" s="46"/>
      <c r="J2187" s="46"/>
      <c r="K2187" s="46"/>
      <c r="L2187" s="46"/>
      <c r="M2187" s="46"/>
      <c r="N2187" s="46"/>
      <c r="O2187" s="46"/>
      <c r="P2187" s="46"/>
      <c r="Q2187" s="46"/>
      <c r="R2187" s="46"/>
      <c r="S2187" s="46"/>
      <c r="T2187" s="46"/>
      <c r="U2187" s="46"/>
      <c r="V2187" s="46"/>
      <c r="W2187" s="46"/>
      <c r="X2187" s="46"/>
    </row>
    <row r="2188" spans="1:24" x14ac:dyDescent="0.2">
      <c r="A2188" s="45"/>
      <c r="B2188" s="46"/>
      <c r="C2188" s="46"/>
      <c r="D2188" s="46"/>
      <c r="E2188" s="46"/>
      <c r="F2188" s="46"/>
      <c r="G2188" s="46"/>
      <c r="H2188" s="46"/>
      <c r="I2188" s="46"/>
      <c r="J2188" s="46"/>
      <c r="K2188" s="46"/>
      <c r="L2188" s="46"/>
      <c r="M2188" s="46"/>
      <c r="N2188" s="46"/>
      <c r="O2188" s="46"/>
      <c r="P2188" s="46"/>
      <c r="Q2188" s="46"/>
      <c r="R2188" s="46"/>
      <c r="S2188" s="46"/>
      <c r="T2188" s="46"/>
      <c r="U2188" s="46"/>
      <c r="V2188" s="46"/>
      <c r="W2188" s="46"/>
      <c r="X2188" s="46"/>
    </row>
    <row r="2189" spans="1:24" x14ac:dyDescent="0.2">
      <c r="A2189" s="45"/>
      <c r="B2189" s="46"/>
      <c r="C2189" s="46"/>
      <c r="D2189" s="46"/>
      <c r="E2189" s="46"/>
      <c r="F2189" s="46"/>
      <c r="G2189" s="46"/>
      <c r="H2189" s="46"/>
      <c r="I2189" s="46"/>
      <c r="J2189" s="46"/>
      <c r="K2189" s="46"/>
      <c r="L2189" s="46"/>
      <c r="M2189" s="46"/>
      <c r="N2189" s="46"/>
      <c r="O2189" s="46"/>
      <c r="P2189" s="46"/>
      <c r="Q2189" s="46"/>
      <c r="R2189" s="46"/>
      <c r="S2189" s="46"/>
      <c r="T2189" s="46"/>
      <c r="U2189" s="46"/>
      <c r="V2189" s="46"/>
      <c r="W2189" s="46"/>
      <c r="X2189" s="46"/>
    </row>
    <row r="2190" spans="1:24" x14ac:dyDescent="0.2">
      <c r="A2190" s="45"/>
      <c r="B2190" s="46"/>
      <c r="C2190" s="46"/>
      <c r="D2190" s="46"/>
      <c r="E2190" s="46"/>
      <c r="F2190" s="46"/>
      <c r="G2190" s="46"/>
      <c r="H2190" s="46"/>
      <c r="I2190" s="46"/>
      <c r="J2190" s="46"/>
      <c r="K2190" s="46"/>
      <c r="L2190" s="46"/>
      <c r="M2190" s="46"/>
      <c r="N2190" s="46"/>
      <c r="O2190" s="46"/>
      <c r="P2190" s="46"/>
      <c r="Q2190" s="46"/>
      <c r="R2190" s="46"/>
      <c r="S2190" s="46"/>
      <c r="T2190" s="46"/>
      <c r="U2190" s="46"/>
      <c r="V2190" s="46"/>
      <c r="W2190" s="46"/>
      <c r="X2190" s="46"/>
    </row>
    <row r="2191" spans="1:24" x14ac:dyDescent="0.2">
      <c r="A2191" s="45"/>
      <c r="B2191" s="46"/>
      <c r="C2191" s="46"/>
      <c r="D2191" s="46"/>
      <c r="E2191" s="46"/>
      <c r="F2191" s="46"/>
      <c r="G2191" s="46"/>
      <c r="H2191" s="46"/>
      <c r="I2191" s="46"/>
      <c r="J2191" s="46"/>
      <c r="K2191" s="46"/>
      <c r="L2191" s="46"/>
      <c r="M2191" s="46"/>
      <c r="N2191" s="46"/>
      <c r="O2191" s="46"/>
      <c r="P2191" s="46"/>
      <c r="Q2191" s="46"/>
      <c r="R2191" s="46"/>
      <c r="S2191" s="46"/>
      <c r="T2191" s="46"/>
      <c r="U2191" s="46"/>
      <c r="V2191" s="46"/>
      <c r="W2191" s="46"/>
      <c r="X2191" s="46"/>
    </row>
    <row r="2192" spans="1:24" x14ac:dyDescent="0.2">
      <c r="A2192" s="45"/>
      <c r="B2192" s="46"/>
      <c r="C2192" s="46"/>
      <c r="D2192" s="46"/>
      <c r="E2192" s="46"/>
      <c r="F2192" s="46"/>
      <c r="G2192" s="46"/>
      <c r="H2192" s="46"/>
      <c r="I2192" s="46"/>
      <c r="J2192" s="46"/>
      <c r="K2192" s="46"/>
      <c r="L2192" s="46"/>
      <c r="M2192" s="46"/>
      <c r="N2192" s="46"/>
      <c r="O2192" s="46"/>
      <c r="P2192" s="46"/>
      <c r="Q2192" s="46"/>
      <c r="R2192" s="46"/>
      <c r="S2192" s="46"/>
      <c r="T2192" s="46"/>
      <c r="U2192" s="46"/>
      <c r="V2192" s="46"/>
      <c r="W2192" s="46"/>
      <c r="X2192" s="46"/>
    </row>
    <row r="2193" spans="1:24" x14ac:dyDescent="0.2">
      <c r="A2193" s="45"/>
      <c r="B2193" s="46"/>
      <c r="C2193" s="46"/>
      <c r="D2193" s="46"/>
      <c r="E2193" s="46"/>
      <c r="F2193" s="46"/>
      <c r="G2193" s="46"/>
      <c r="H2193" s="46"/>
      <c r="I2193" s="46"/>
      <c r="J2193" s="46"/>
      <c r="K2193" s="46"/>
      <c r="L2193" s="46"/>
      <c r="M2193" s="46"/>
      <c r="N2193" s="46"/>
      <c r="O2193" s="46"/>
      <c r="P2193" s="46"/>
      <c r="Q2193" s="46"/>
      <c r="R2193" s="46"/>
      <c r="S2193" s="46"/>
      <c r="T2193" s="46"/>
      <c r="U2193" s="46"/>
      <c r="V2193" s="46"/>
      <c r="W2193" s="46"/>
      <c r="X2193" s="46"/>
    </row>
    <row r="2194" spans="1:24" x14ac:dyDescent="0.2">
      <c r="A2194" s="45"/>
      <c r="B2194" s="46"/>
      <c r="C2194" s="46"/>
      <c r="D2194" s="46"/>
      <c r="E2194" s="46"/>
      <c r="F2194" s="46"/>
      <c r="G2194" s="46"/>
      <c r="H2194" s="46"/>
      <c r="I2194" s="46"/>
      <c r="J2194" s="46"/>
      <c r="K2194" s="46"/>
      <c r="L2194" s="46"/>
      <c r="M2194" s="46"/>
      <c r="N2194" s="46"/>
      <c r="O2194" s="46"/>
      <c r="P2194" s="46"/>
      <c r="Q2194" s="46"/>
      <c r="R2194" s="46"/>
      <c r="S2194" s="46"/>
      <c r="T2194" s="46"/>
      <c r="U2194" s="46"/>
      <c r="V2194" s="46"/>
      <c r="W2194" s="46"/>
      <c r="X2194" s="46"/>
    </row>
    <row r="2195" spans="1:24" x14ac:dyDescent="0.2">
      <c r="A2195" s="45"/>
      <c r="B2195" s="46"/>
      <c r="C2195" s="46"/>
      <c r="D2195" s="46"/>
      <c r="E2195" s="46"/>
      <c r="F2195" s="46"/>
      <c r="G2195" s="46"/>
      <c r="H2195" s="46"/>
      <c r="I2195" s="46"/>
      <c r="J2195" s="46"/>
      <c r="K2195" s="46"/>
      <c r="L2195" s="46"/>
      <c r="M2195" s="46"/>
      <c r="N2195" s="46"/>
      <c r="O2195" s="46"/>
      <c r="P2195" s="46"/>
      <c r="Q2195" s="46"/>
      <c r="R2195" s="46"/>
      <c r="S2195" s="46"/>
      <c r="T2195" s="46"/>
      <c r="U2195" s="46"/>
      <c r="V2195" s="46"/>
      <c r="W2195" s="46"/>
      <c r="X2195" s="46"/>
    </row>
    <row r="2196" spans="1:24" x14ac:dyDescent="0.2">
      <c r="A2196" s="45"/>
      <c r="B2196" s="46"/>
      <c r="C2196" s="46"/>
      <c r="D2196" s="46"/>
      <c r="E2196" s="46"/>
      <c r="F2196" s="46"/>
      <c r="G2196" s="46"/>
      <c r="H2196" s="46"/>
      <c r="I2196" s="46"/>
      <c r="J2196" s="46"/>
      <c r="K2196" s="46"/>
      <c r="L2196" s="46"/>
      <c r="M2196" s="46"/>
      <c r="N2196" s="46"/>
      <c r="O2196" s="46"/>
      <c r="P2196" s="46"/>
      <c r="Q2196" s="46"/>
      <c r="R2196" s="46"/>
      <c r="S2196" s="46"/>
      <c r="T2196" s="46"/>
      <c r="U2196" s="46"/>
      <c r="V2196" s="46"/>
      <c r="W2196" s="46"/>
      <c r="X2196" s="46"/>
    </row>
    <row r="2197" spans="1:24" x14ac:dyDescent="0.2">
      <c r="A2197" s="45"/>
      <c r="B2197" s="46"/>
      <c r="C2197" s="46"/>
      <c r="D2197" s="46"/>
      <c r="E2197" s="46"/>
      <c r="F2197" s="46"/>
      <c r="G2197" s="46"/>
      <c r="H2197" s="46"/>
      <c r="I2197" s="46"/>
      <c r="J2197" s="46"/>
      <c r="K2197" s="46"/>
      <c r="L2197" s="46"/>
      <c r="M2197" s="46"/>
      <c r="N2197" s="46"/>
      <c r="O2197" s="46"/>
      <c r="P2197" s="46"/>
      <c r="Q2197" s="46"/>
      <c r="R2197" s="46"/>
      <c r="S2197" s="46"/>
      <c r="T2197" s="46"/>
      <c r="U2197" s="46"/>
      <c r="V2197" s="46"/>
      <c r="W2197" s="46"/>
      <c r="X2197" s="46"/>
    </row>
    <row r="2198" spans="1:24" x14ac:dyDescent="0.2">
      <c r="A2198" s="45"/>
      <c r="B2198" s="46"/>
      <c r="C2198" s="46"/>
      <c r="D2198" s="46"/>
      <c r="E2198" s="46"/>
      <c r="F2198" s="46"/>
      <c r="G2198" s="46"/>
      <c r="H2198" s="46"/>
      <c r="I2198" s="46"/>
      <c r="J2198" s="46"/>
      <c r="K2198" s="46"/>
      <c r="L2198" s="46"/>
      <c r="M2198" s="46"/>
      <c r="N2198" s="46"/>
      <c r="O2198" s="46"/>
      <c r="P2198" s="46"/>
      <c r="Q2198" s="46"/>
      <c r="R2198" s="46"/>
      <c r="S2198" s="46"/>
      <c r="T2198" s="46"/>
      <c r="U2198" s="46"/>
      <c r="V2198" s="46"/>
      <c r="W2198" s="46"/>
      <c r="X2198" s="46"/>
    </row>
    <row r="2199" spans="1:24" x14ac:dyDescent="0.2">
      <c r="A2199" s="45"/>
      <c r="B2199" s="46"/>
      <c r="C2199" s="46"/>
      <c r="D2199" s="46"/>
      <c r="E2199" s="46"/>
      <c r="F2199" s="46"/>
      <c r="G2199" s="46"/>
      <c r="H2199" s="46"/>
      <c r="I2199" s="46"/>
      <c r="J2199" s="46"/>
      <c r="K2199" s="46"/>
      <c r="L2199" s="46"/>
      <c r="M2199" s="46"/>
      <c r="N2199" s="46"/>
      <c r="O2199" s="46"/>
      <c r="P2199" s="46"/>
      <c r="Q2199" s="46"/>
      <c r="R2199" s="46"/>
      <c r="S2199" s="46"/>
      <c r="T2199" s="46"/>
      <c r="U2199" s="46"/>
      <c r="V2199" s="46"/>
      <c r="W2199" s="46"/>
      <c r="X2199" s="46"/>
    </row>
    <row r="2200" spans="1:24" x14ac:dyDescent="0.2">
      <c r="A2200" s="45"/>
      <c r="B2200" s="46"/>
      <c r="C2200" s="46"/>
      <c r="D2200" s="46"/>
      <c r="E2200" s="46"/>
      <c r="F2200" s="46"/>
      <c r="G2200" s="46"/>
      <c r="H2200" s="46"/>
      <c r="I2200" s="46"/>
      <c r="J2200" s="46"/>
      <c r="K2200" s="46"/>
      <c r="L2200" s="46"/>
      <c r="M2200" s="46"/>
      <c r="N2200" s="46"/>
      <c r="O2200" s="46"/>
      <c r="P2200" s="46"/>
      <c r="Q2200" s="46"/>
      <c r="R2200" s="46"/>
      <c r="S2200" s="46"/>
      <c r="T2200" s="46"/>
      <c r="U2200" s="46"/>
      <c r="V2200" s="46"/>
      <c r="W2200" s="46"/>
      <c r="X2200" s="46"/>
    </row>
    <row r="2201" spans="1:24" x14ac:dyDescent="0.2">
      <c r="A2201" s="45"/>
      <c r="B2201" s="46"/>
      <c r="C2201" s="46"/>
      <c r="D2201" s="46"/>
      <c r="E2201" s="46"/>
      <c r="F2201" s="46"/>
      <c r="G2201" s="46"/>
      <c r="H2201" s="46"/>
      <c r="I2201" s="46"/>
      <c r="J2201" s="46"/>
      <c r="K2201" s="46"/>
      <c r="L2201" s="46"/>
      <c r="M2201" s="46"/>
      <c r="N2201" s="46"/>
      <c r="O2201" s="46"/>
      <c r="P2201" s="46"/>
      <c r="Q2201" s="46"/>
      <c r="R2201" s="46"/>
      <c r="S2201" s="46"/>
      <c r="T2201" s="46"/>
      <c r="U2201" s="46"/>
      <c r="V2201" s="46"/>
      <c r="W2201" s="46"/>
      <c r="X2201" s="46"/>
    </row>
    <row r="2202" spans="1:24" x14ac:dyDescent="0.2">
      <c r="A2202" s="45"/>
      <c r="B2202" s="46"/>
      <c r="C2202" s="46"/>
      <c r="D2202" s="46"/>
      <c r="E2202" s="46"/>
      <c r="F2202" s="46"/>
      <c r="G2202" s="46"/>
      <c r="H2202" s="46"/>
      <c r="I2202" s="46"/>
      <c r="J2202" s="46"/>
      <c r="K2202" s="46"/>
      <c r="L2202" s="46"/>
      <c r="M2202" s="46"/>
      <c r="N2202" s="46"/>
      <c r="O2202" s="46"/>
      <c r="P2202" s="46"/>
      <c r="Q2202" s="46"/>
      <c r="R2202" s="46"/>
      <c r="S2202" s="46"/>
      <c r="T2202" s="46"/>
      <c r="U2202" s="46"/>
      <c r="V2202" s="46"/>
      <c r="W2202" s="46"/>
      <c r="X2202" s="46"/>
    </row>
    <row r="2203" spans="1:24" x14ac:dyDescent="0.2">
      <c r="A2203" s="45"/>
      <c r="B2203" s="46"/>
      <c r="C2203" s="46"/>
      <c r="D2203" s="46"/>
      <c r="E2203" s="46"/>
      <c r="F2203" s="46"/>
      <c r="G2203" s="46"/>
      <c r="H2203" s="46"/>
      <c r="I2203" s="46"/>
      <c r="J2203" s="46"/>
      <c r="K2203" s="46"/>
      <c r="L2203" s="46"/>
      <c r="M2203" s="46"/>
      <c r="N2203" s="46"/>
      <c r="O2203" s="46"/>
      <c r="P2203" s="46"/>
      <c r="Q2203" s="46"/>
      <c r="R2203" s="46"/>
      <c r="S2203" s="46"/>
      <c r="T2203" s="46"/>
      <c r="U2203" s="46"/>
      <c r="V2203" s="46"/>
      <c r="W2203" s="46"/>
      <c r="X2203" s="46"/>
    </row>
    <row r="2204" spans="1:24" x14ac:dyDescent="0.2">
      <c r="A2204" s="45"/>
      <c r="B2204" s="46"/>
      <c r="C2204" s="46"/>
      <c r="D2204" s="46"/>
      <c r="E2204" s="46"/>
      <c r="F2204" s="46"/>
      <c r="G2204" s="46"/>
      <c r="H2204" s="46"/>
      <c r="I2204" s="46"/>
      <c r="J2204" s="46"/>
      <c r="K2204" s="46"/>
      <c r="L2204" s="46"/>
      <c r="M2204" s="46"/>
      <c r="N2204" s="46"/>
      <c r="O2204" s="46"/>
      <c r="P2204" s="46"/>
      <c r="Q2204" s="46"/>
      <c r="R2204" s="46"/>
      <c r="S2204" s="46"/>
      <c r="T2204" s="46"/>
      <c r="U2204" s="46"/>
      <c r="V2204" s="46"/>
      <c r="W2204" s="46"/>
      <c r="X2204" s="46"/>
    </row>
    <row r="2205" spans="1:24" x14ac:dyDescent="0.2">
      <c r="A2205" s="45"/>
      <c r="B2205" s="46"/>
      <c r="C2205" s="46"/>
      <c r="D2205" s="46"/>
      <c r="E2205" s="46"/>
      <c r="F2205" s="46"/>
      <c r="G2205" s="46"/>
      <c r="H2205" s="46"/>
      <c r="I2205" s="46"/>
      <c r="J2205" s="46"/>
      <c r="K2205" s="46"/>
      <c r="L2205" s="46"/>
      <c r="M2205" s="46"/>
      <c r="N2205" s="46"/>
      <c r="O2205" s="46"/>
      <c r="P2205" s="46"/>
      <c r="Q2205" s="46"/>
      <c r="R2205" s="46"/>
      <c r="S2205" s="46"/>
      <c r="T2205" s="46"/>
      <c r="U2205" s="46"/>
      <c r="V2205" s="46"/>
      <c r="W2205" s="46"/>
      <c r="X2205" s="46"/>
    </row>
    <row r="2206" spans="1:24" x14ac:dyDescent="0.2">
      <c r="A2206" s="45"/>
      <c r="B2206" s="46"/>
      <c r="C2206" s="46"/>
      <c r="D2206" s="46"/>
      <c r="E2206" s="46"/>
      <c r="F2206" s="46"/>
      <c r="G2206" s="46"/>
      <c r="H2206" s="46"/>
      <c r="I2206" s="46"/>
      <c r="J2206" s="46"/>
      <c r="K2206" s="46"/>
      <c r="L2206" s="46"/>
      <c r="M2206" s="46"/>
      <c r="N2206" s="46"/>
      <c r="O2206" s="46"/>
      <c r="P2206" s="46"/>
      <c r="Q2206" s="46"/>
      <c r="R2206" s="46"/>
      <c r="S2206" s="46"/>
      <c r="T2206" s="46"/>
      <c r="U2206" s="46"/>
      <c r="V2206" s="46"/>
      <c r="W2206" s="46"/>
      <c r="X2206" s="46"/>
    </row>
    <row r="2207" spans="1:24" x14ac:dyDescent="0.2">
      <c r="A2207" s="45"/>
      <c r="B2207" s="46"/>
      <c r="C2207" s="46"/>
      <c r="D2207" s="46"/>
      <c r="E2207" s="46"/>
      <c r="F2207" s="46"/>
      <c r="G2207" s="46"/>
      <c r="H2207" s="46"/>
      <c r="I2207" s="46"/>
      <c r="J2207" s="46"/>
      <c r="K2207" s="46"/>
      <c r="L2207" s="46"/>
      <c r="M2207" s="46"/>
      <c r="N2207" s="46"/>
      <c r="O2207" s="46"/>
      <c r="P2207" s="46"/>
      <c r="Q2207" s="46"/>
      <c r="R2207" s="46"/>
      <c r="S2207" s="46"/>
      <c r="T2207" s="46"/>
      <c r="U2207" s="46"/>
      <c r="V2207" s="46"/>
      <c r="W2207" s="46"/>
      <c r="X2207" s="46"/>
    </row>
    <row r="2208" spans="1:24" x14ac:dyDescent="0.2">
      <c r="A2208" s="45"/>
      <c r="B2208" s="46"/>
      <c r="C2208" s="46"/>
      <c r="D2208" s="46"/>
      <c r="E2208" s="46"/>
      <c r="F2208" s="46"/>
      <c r="G2208" s="46"/>
      <c r="H2208" s="46"/>
      <c r="I2208" s="46"/>
      <c r="J2208" s="46"/>
      <c r="K2208" s="46"/>
      <c r="L2208" s="46"/>
      <c r="M2208" s="46"/>
      <c r="N2208" s="46"/>
      <c r="O2208" s="46"/>
      <c r="P2208" s="46"/>
      <c r="Q2208" s="46"/>
      <c r="R2208" s="46"/>
      <c r="S2208" s="46"/>
      <c r="T2208" s="46"/>
      <c r="U2208" s="46"/>
      <c r="V2208" s="46"/>
      <c r="W2208" s="46"/>
      <c r="X2208" s="46"/>
    </row>
    <row r="2209" spans="1:24" x14ac:dyDescent="0.2">
      <c r="A2209" s="45"/>
      <c r="B2209" s="46"/>
      <c r="C2209" s="46"/>
      <c r="D2209" s="46"/>
      <c r="E2209" s="46"/>
      <c r="F2209" s="46"/>
      <c r="G2209" s="46"/>
      <c r="H2209" s="46"/>
      <c r="I2209" s="46"/>
      <c r="J2209" s="46"/>
      <c r="K2209" s="46"/>
      <c r="L2209" s="46"/>
      <c r="M2209" s="46"/>
      <c r="N2209" s="46"/>
      <c r="O2209" s="46"/>
      <c r="P2209" s="46"/>
      <c r="Q2209" s="46"/>
      <c r="R2209" s="46"/>
      <c r="S2209" s="46"/>
      <c r="T2209" s="46"/>
      <c r="U2209" s="46"/>
      <c r="V2209" s="46"/>
      <c r="W2209" s="46"/>
      <c r="X2209" s="46"/>
    </row>
    <row r="2210" spans="1:24" x14ac:dyDescent="0.2">
      <c r="A2210" s="45"/>
      <c r="B2210" s="46"/>
      <c r="C2210" s="46"/>
      <c r="D2210" s="46"/>
      <c r="E2210" s="46"/>
      <c r="F2210" s="46"/>
      <c r="G2210" s="46"/>
      <c r="H2210" s="46"/>
      <c r="I2210" s="46"/>
      <c r="J2210" s="46"/>
      <c r="K2210" s="46"/>
      <c r="L2210" s="46"/>
      <c r="M2210" s="46"/>
      <c r="N2210" s="46"/>
      <c r="O2210" s="46"/>
      <c r="P2210" s="46"/>
      <c r="Q2210" s="46"/>
      <c r="R2210" s="46"/>
      <c r="S2210" s="46"/>
      <c r="T2210" s="46"/>
      <c r="U2210" s="46"/>
      <c r="V2210" s="46"/>
      <c r="W2210" s="46"/>
      <c r="X2210" s="46"/>
    </row>
    <row r="2211" spans="1:24" x14ac:dyDescent="0.2">
      <c r="A2211" s="45"/>
      <c r="B2211" s="46"/>
      <c r="C2211" s="46"/>
      <c r="D2211" s="46"/>
      <c r="E2211" s="46"/>
      <c r="F2211" s="46"/>
      <c r="G2211" s="46"/>
      <c r="H2211" s="46"/>
      <c r="I2211" s="46"/>
      <c r="J2211" s="46"/>
      <c r="K2211" s="46"/>
      <c r="L2211" s="46"/>
      <c r="M2211" s="46"/>
      <c r="N2211" s="46"/>
      <c r="O2211" s="46"/>
      <c r="P2211" s="46"/>
      <c r="Q2211" s="46"/>
      <c r="R2211" s="46"/>
      <c r="S2211" s="46"/>
      <c r="T2211" s="46"/>
      <c r="U2211" s="46"/>
      <c r="V2211" s="46"/>
      <c r="W2211" s="46"/>
      <c r="X2211" s="46"/>
    </row>
    <row r="2212" spans="1:24" x14ac:dyDescent="0.2">
      <c r="A2212" s="45"/>
      <c r="B2212" s="46"/>
      <c r="C2212" s="46"/>
      <c r="D2212" s="46"/>
      <c r="E2212" s="46"/>
      <c r="F2212" s="46"/>
      <c r="G2212" s="46"/>
      <c r="H2212" s="46"/>
      <c r="I2212" s="46"/>
      <c r="J2212" s="46"/>
      <c r="K2212" s="46"/>
      <c r="L2212" s="46"/>
      <c r="M2212" s="46"/>
      <c r="N2212" s="46"/>
      <c r="O2212" s="46"/>
      <c r="P2212" s="46"/>
      <c r="Q2212" s="46"/>
      <c r="R2212" s="46"/>
      <c r="S2212" s="46"/>
      <c r="T2212" s="46"/>
      <c r="U2212" s="46"/>
      <c r="V2212" s="46"/>
      <c r="W2212" s="46"/>
      <c r="X2212" s="46"/>
    </row>
    <row r="2213" spans="1:24" x14ac:dyDescent="0.2">
      <c r="A2213" s="45"/>
      <c r="B2213" s="46"/>
      <c r="C2213" s="46"/>
      <c r="D2213" s="46"/>
      <c r="E2213" s="46"/>
      <c r="F2213" s="46"/>
      <c r="G2213" s="46"/>
      <c r="H2213" s="46"/>
      <c r="I2213" s="46"/>
      <c r="J2213" s="46"/>
      <c r="K2213" s="46"/>
      <c r="L2213" s="46"/>
      <c r="M2213" s="46"/>
      <c r="N2213" s="46"/>
      <c r="O2213" s="46"/>
      <c r="P2213" s="46"/>
      <c r="Q2213" s="46"/>
      <c r="R2213" s="46"/>
      <c r="S2213" s="46"/>
      <c r="T2213" s="46"/>
      <c r="U2213" s="46"/>
      <c r="V2213" s="46"/>
      <c r="W2213" s="46"/>
      <c r="X2213" s="46"/>
    </row>
    <row r="2214" spans="1:24" x14ac:dyDescent="0.2">
      <c r="A2214" s="45"/>
      <c r="B2214" s="46"/>
      <c r="C2214" s="46"/>
      <c r="D2214" s="46"/>
      <c r="E2214" s="46"/>
      <c r="F2214" s="46"/>
      <c r="G2214" s="46"/>
      <c r="H2214" s="46"/>
      <c r="I2214" s="46"/>
      <c r="J2214" s="46"/>
      <c r="K2214" s="46"/>
      <c r="L2214" s="46"/>
      <c r="M2214" s="46"/>
      <c r="N2214" s="46"/>
      <c r="O2214" s="46"/>
      <c r="P2214" s="46"/>
      <c r="Q2214" s="46"/>
      <c r="R2214" s="46"/>
      <c r="S2214" s="46"/>
      <c r="T2214" s="46"/>
      <c r="U2214" s="46"/>
      <c r="V2214" s="46"/>
      <c r="W2214" s="46"/>
      <c r="X2214" s="46"/>
    </row>
    <row r="2215" spans="1:24" x14ac:dyDescent="0.2">
      <c r="A2215" s="45"/>
      <c r="B2215" s="46"/>
      <c r="C2215" s="46"/>
      <c r="D2215" s="46"/>
      <c r="E2215" s="46"/>
      <c r="F2215" s="46"/>
      <c r="G2215" s="46"/>
      <c r="H2215" s="46"/>
      <c r="I2215" s="46"/>
      <c r="J2215" s="46"/>
      <c r="K2215" s="46"/>
      <c r="L2215" s="46"/>
      <c r="M2215" s="46"/>
      <c r="N2215" s="46"/>
      <c r="O2215" s="46"/>
      <c r="P2215" s="46"/>
      <c r="Q2215" s="46"/>
      <c r="R2215" s="46"/>
      <c r="S2215" s="46"/>
      <c r="T2215" s="46"/>
      <c r="U2215" s="46"/>
      <c r="V2215" s="46"/>
      <c r="W2215" s="46"/>
      <c r="X2215" s="46"/>
    </row>
    <row r="2216" spans="1:24" x14ac:dyDescent="0.2">
      <c r="A2216" s="45"/>
      <c r="B2216" s="46"/>
      <c r="C2216" s="46"/>
      <c r="D2216" s="46"/>
      <c r="E2216" s="46"/>
      <c r="F2216" s="46"/>
      <c r="G2216" s="46"/>
      <c r="H2216" s="46"/>
      <c r="I2216" s="46"/>
      <c r="J2216" s="46"/>
      <c r="K2216" s="46"/>
      <c r="L2216" s="46"/>
      <c r="M2216" s="46"/>
      <c r="N2216" s="46"/>
      <c r="O2216" s="46"/>
      <c r="P2216" s="46"/>
      <c r="Q2216" s="46"/>
      <c r="R2216" s="46"/>
      <c r="S2216" s="46"/>
      <c r="T2216" s="46"/>
      <c r="U2216" s="46"/>
      <c r="V2216" s="46"/>
      <c r="W2216" s="46"/>
      <c r="X2216" s="46"/>
    </row>
    <row r="2217" spans="1:24" x14ac:dyDescent="0.2">
      <c r="A2217" s="45"/>
      <c r="B2217" s="46"/>
      <c r="C2217" s="46"/>
      <c r="D2217" s="46"/>
      <c r="E2217" s="46"/>
      <c r="F2217" s="46"/>
      <c r="G2217" s="46"/>
      <c r="H2217" s="46"/>
      <c r="I2217" s="46"/>
      <c r="J2217" s="46"/>
      <c r="K2217" s="46"/>
      <c r="L2217" s="46"/>
      <c r="M2217" s="46"/>
      <c r="N2217" s="46"/>
      <c r="O2217" s="46"/>
      <c r="P2217" s="46"/>
      <c r="Q2217" s="46"/>
      <c r="R2217" s="46"/>
      <c r="S2217" s="46"/>
      <c r="T2217" s="46"/>
      <c r="U2217" s="46"/>
      <c r="V2217" s="46"/>
      <c r="W2217" s="46"/>
      <c r="X2217" s="46"/>
    </row>
    <row r="2218" spans="1:24" x14ac:dyDescent="0.2">
      <c r="A2218" s="45"/>
      <c r="B2218" s="46"/>
      <c r="C2218" s="46"/>
      <c r="D2218" s="46"/>
      <c r="E2218" s="46"/>
      <c r="F2218" s="46"/>
      <c r="G2218" s="46"/>
      <c r="H2218" s="46"/>
      <c r="I2218" s="46"/>
      <c r="J2218" s="46"/>
      <c r="K2218" s="46"/>
      <c r="L2218" s="46"/>
      <c r="M2218" s="46"/>
      <c r="N2218" s="46"/>
      <c r="O2218" s="46"/>
      <c r="P2218" s="46"/>
      <c r="Q2218" s="46"/>
      <c r="R2218" s="46"/>
      <c r="S2218" s="46"/>
      <c r="T2218" s="46"/>
      <c r="U2218" s="46"/>
      <c r="V2218" s="46"/>
      <c r="W2218" s="46"/>
      <c r="X2218" s="46"/>
    </row>
    <row r="2219" spans="1:24" x14ac:dyDescent="0.2">
      <c r="A2219" s="45"/>
      <c r="B2219" s="46"/>
      <c r="C2219" s="46"/>
      <c r="D2219" s="46"/>
      <c r="E2219" s="46"/>
      <c r="F2219" s="46"/>
      <c r="G2219" s="46"/>
      <c r="H2219" s="46"/>
      <c r="I2219" s="46"/>
      <c r="J2219" s="46"/>
      <c r="K2219" s="46"/>
      <c r="L2219" s="46"/>
      <c r="M2219" s="46"/>
      <c r="N2219" s="46"/>
      <c r="O2219" s="46"/>
      <c r="P2219" s="46"/>
      <c r="Q2219" s="46"/>
      <c r="R2219" s="46"/>
      <c r="S2219" s="46"/>
      <c r="T2219" s="46"/>
      <c r="U2219" s="46"/>
      <c r="V2219" s="46"/>
      <c r="W2219" s="46"/>
      <c r="X2219" s="46"/>
    </row>
    <row r="2220" spans="1:24" x14ac:dyDescent="0.2">
      <c r="A2220" s="45"/>
      <c r="B2220" s="46"/>
      <c r="C2220" s="46"/>
      <c r="D2220" s="46"/>
      <c r="E2220" s="46"/>
      <c r="F2220" s="46"/>
      <c r="G2220" s="46"/>
      <c r="H2220" s="46"/>
      <c r="I2220" s="46"/>
      <c r="J2220" s="46"/>
      <c r="K2220" s="46"/>
      <c r="L2220" s="46"/>
      <c r="M2220" s="46"/>
      <c r="N2220" s="46"/>
      <c r="O2220" s="46"/>
      <c r="P2220" s="46"/>
      <c r="Q2220" s="46"/>
      <c r="R2220" s="46"/>
      <c r="S2220" s="46"/>
      <c r="T2220" s="46"/>
      <c r="U2220" s="46"/>
      <c r="V2220" s="46"/>
      <c r="W2220" s="46"/>
      <c r="X2220" s="46"/>
    </row>
    <row r="2221" spans="1:24" x14ac:dyDescent="0.2">
      <c r="A2221" s="45"/>
      <c r="B2221" s="46"/>
      <c r="C2221" s="46"/>
      <c r="D2221" s="46"/>
      <c r="E2221" s="46"/>
      <c r="F2221" s="46"/>
      <c r="G2221" s="46"/>
      <c r="H2221" s="46"/>
      <c r="I2221" s="46"/>
      <c r="J2221" s="46"/>
      <c r="K2221" s="46"/>
      <c r="L2221" s="46"/>
      <c r="M2221" s="46"/>
      <c r="N2221" s="46"/>
      <c r="O2221" s="46"/>
      <c r="P2221" s="46"/>
      <c r="Q2221" s="46"/>
      <c r="R2221" s="46"/>
      <c r="S2221" s="46"/>
      <c r="T2221" s="46"/>
      <c r="U2221" s="46"/>
      <c r="V2221" s="46"/>
      <c r="W2221" s="46"/>
      <c r="X2221" s="46"/>
    </row>
    <row r="2222" spans="1:24" x14ac:dyDescent="0.2">
      <c r="A2222" s="45"/>
      <c r="B2222" s="46"/>
      <c r="C2222" s="46"/>
      <c r="D2222" s="46"/>
      <c r="E2222" s="46"/>
      <c r="F2222" s="46"/>
      <c r="G2222" s="46"/>
      <c r="H2222" s="46"/>
      <c r="I2222" s="46"/>
      <c r="J2222" s="46"/>
      <c r="K2222" s="46"/>
      <c r="L2222" s="46"/>
      <c r="M2222" s="46"/>
      <c r="N2222" s="46"/>
      <c r="O2222" s="46"/>
      <c r="P2222" s="46"/>
      <c r="Q2222" s="46"/>
      <c r="R2222" s="46"/>
      <c r="S2222" s="46"/>
      <c r="T2222" s="46"/>
      <c r="U2222" s="46"/>
      <c r="V2222" s="46"/>
      <c r="W2222" s="46"/>
      <c r="X2222" s="46"/>
    </row>
    <row r="2223" spans="1:24" x14ac:dyDescent="0.2">
      <c r="A2223" s="45"/>
      <c r="B2223" s="46"/>
      <c r="C2223" s="46"/>
      <c r="D2223" s="46"/>
      <c r="E2223" s="46"/>
      <c r="F2223" s="46"/>
      <c r="G2223" s="46"/>
      <c r="H2223" s="46"/>
      <c r="I2223" s="46"/>
      <c r="J2223" s="46"/>
      <c r="K2223" s="46"/>
      <c r="L2223" s="46"/>
      <c r="M2223" s="46"/>
      <c r="N2223" s="46"/>
      <c r="O2223" s="46"/>
      <c r="P2223" s="46"/>
      <c r="Q2223" s="46"/>
      <c r="R2223" s="46"/>
      <c r="S2223" s="46"/>
      <c r="T2223" s="46"/>
      <c r="U2223" s="46"/>
      <c r="V2223" s="46"/>
      <c r="W2223" s="46"/>
      <c r="X2223" s="46"/>
    </row>
    <row r="2224" spans="1:24" x14ac:dyDescent="0.2">
      <c r="A2224" s="45"/>
      <c r="B2224" s="46"/>
      <c r="C2224" s="46"/>
      <c r="D2224" s="46"/>
      <c r="E2224" s="46"/>
      <c r="F2224" s="46"/>
      <c r="G2224" s="46"/>
      <c r="H2224" s="46"/>
      <c r="I2224" s="46"/>
      <c r="J2224" s="46"/>
      <c r="K2224" s="46"/>
      <c r="L2224" s="46"/>
      <c r="M2224" s="46"/>
      <c r="N2224" s="46"/>
      <c r="O2224" s="46"/>
      <c r="P2224" s="46"/>
      <c r="Q2224" s="46"/>
      <c r="R2224" s="46"/>
      <c r="S2224" s="46"/>
      <c r="T2224" s="46"/>
      <c r="U2224" s="46"/>
      <c r="V2224" s="46"/>
      <c r="W2224" s="46"/>
      <c r="X2224" s="46"/>
    </row>
    <row r="2225" spans="1:24" x14ac:dyDescent="0.2">
      <c r="A2225" s="45"/>
      <c r="B2225" s="46"/>
      <c r="C2225" s="46"/>
      <c r="D2225" s="46"/>
      <c r="E2225" s="46"/>
      <c r="F2225" s="46"/>
      <c r="G2225" s="46"/>
      <c r="H2225" s="46"/>
      <c r="I2225" s="46"/>
      <c r="J2225" s="46"/>
      <c r="K2225" s="46"/>
      <c r="L2225" s="46"/>
      <c r="M2225" s="46"/>
      <c r="N2225" s="46"/>
      <c r="O2225" s="46"/>
      <c r="P2225" s="46"/>
      <c r="Q2225" s="46"/>
      <c r="R2225" s="46"/>
      <c r="S2225" s="46"/>
      <c r="T2225" s="46"/>
      <c r="U2225" s="46"/>
      <c r="V2225" s="46"/>
      <c r="W2225" s="46"/>
      <c r="X2225" s="46"/>
    </row>
    <row r="2226" spans="1:24" x14ac:dyDescent="0.2">
      <c r="A2226" s="45"/>
      <c r="B2226" s="46"/>
      <c r="C2226" s="46"/>
      <c r="D2226" s="46"/>
      <c r="E2226" s="46"/>
      <c r="F2226" s="46"/>
      <c r="G2226" s="46"/>
      <c r="H2226" s="46"/>
      <c r="I2226" s="46"/>
      <c r="J2226" s="46"/>
      <c r="K2226" s="46"/>
      <c r="L2226" s="46"/>
      <c r="M2226" s="46"/>
      <c r="N2226" s="46"/>
      <c r="O2226" s="46"/>
      <c r="P2226" s="46"/>
      <c r="Q2226" s="46"/>
      <c r="R2226" s="46"/>
      <c r="S2226" s="46"/>
      <c r="T2226" s="46"/>
      <c r="U2226" s="46"/>
      <c r="V2226" s="46"/>
      <c r="W2226" s="46"/>
      <c r="X2226" s="46"/>
    </row>
    <row r="2227" spans="1:24" x14ac:dyDescent="0.2">
      <c r="A2227" s="45"/>
      <c r="B2227" s="46"/>
      <c r="C2227" s="46"/>
      <c r="D2227" s="46"/>
      <c r="E2227" s="46"/>
      <c r="F2227" s="46"/>
      <c r="G2227" s="46"/>
      <c r="H2227" s="46"/>
      <c r="I2227" s="46"/>
      <c r="J2227" s="46"/>
      <c r="K2227" s="46"/>
      <c r="L2227" s="46"/>
      <c r="M2227" s="46"/>
      <c r="N2227" s="46"/>
      <c r="O2227" s="46"/>
      <c r="P2227" s="46"/>
      <c r="Q2227" s="46"/>
      <c r="R2227" s="46"/>
      <c r="S2227" s="46"/>
      <c r="T2227" s="46"/>
      <c r="U2227" s="46"/>
      <c r="V2227" s="46"/>
      <c r="W2227" s="46"/>
      <c r="X2227" s="46"/>
    </row>
    <row r="2228" spans="1:24" x14ac:dyDescent="0.2">
      <c r="A2228" s="45"/>
      <c r="B2228" s="46"/>
      <c r="C2228" s="46"/>
      <c r="D2228" s="46"/>
      <c r="E2228" s="46"/>
      <c r="F2228" s="46"/>
      <c r="G2228" s="46"/>
      <c r="H2228" s="46"/>
      <c r="I2228" s="46"/>
      <c r="J2228" s="46"/>
      <c r="K2228" s="46"/>
      <c r="L2228" s="46"/>
      <c r="M2228" s="46"/>
      <c r="N2228" s="46"/>
      <c r="O2228" s="46"/>
      <c r="P2228" s="46"/>
      <c r="Q2228" s="46"/>
      <c r="R2228" s="46"/>
      <c r="S2228" s="46"/>
      <c r="T2228" s="46"/>
      <c r="U2228" s="46"/>
      <c r="V2228" s="46"/>
      <c r="W2228" s="46"/>
      <c r="X2228" s="46"/>
    </row>
    <row r="2229" spans="1:24" x14ac:dyDescent="0.2">
      <c r="A2229" s="45"/>
      <c r="B2229" s="46"/>
      <c r="C2229" s="46"/>
      <c r="D2229" s="46"/>
      <c r="E2229" s="46"/>
      <c r="F2229" s="46"/>
      <c r="G2229" s="46"/>
      <c r="H2229" s="46"/>
      <c r="I2229" s="46"/>
      <c r="J2229" s="46"/>
      <c r="K2229" s="46"/>
      <c r="L2229" s="46"/>
      <c r="M2229" s="46"/>
      <c r="N2229" s="46"/>
      <c r="O2229" s="46"/>
      <c r="P2229" s="46"/>
      <c r="Q2229" s="46"/>
      <c r="R2229" s="46"/>
      <c r="S2229" s="46"/>
      <c r="T2229" s="46"/>
      <c r="U2229" s="46"/>
      <c r="V2229" s="46"/>
      <c r="W2229" s="46"/>
      <c r="X2229" s="46"/>
    </row>
    <row r="2230" spans="1:24" x14ac:dyDescent="0.2">
      <c r="A2230" s="45"/>
      <c r="B2230" s="46"/>
      <c r="C2230" s="46"/>
      <c r="D2230" s="46"/>
      <c r="E2230" s="46"/>
      <c r="F2230" s="46"/>
      <c r="G2230" s="46"/>
      <c r="H2230" s="46"/>
      <c r="I2230" s="46"/>
      <c r="J2230" s="46"/>
      <c r="K2230" s="46"/>
      <c r="L2230" s="46"/>
      <c r="M2230" s="46"/>
      <c r="N2230" s="46"/>
      <c r="O2230" s="46"/>
      <c r="P2230" s="46"/>
      <c r="Q2230" s="46"/>
      <c r="R2230" s="46"/>
      <c r="S2230" s="46"/>
      <c r="T2230" s="46"/>
      <c r="U2230" s="46"/>
      <c r="V2230" s="46"/>
      <c r="W2230" s="46"/>
      <c r="X2230" s="46"/>
    </row>
    <row r="2231" spans="1:24" x14ac:dyDescent="0.2">
      <c r="A2231" s="45"/>
      <c r="B2231" s="46"/>
      <c r="C2231" s="46"/>
      <c r="D2231" s="46"/>
      <c r="E2231" s="46"/>
      <c r="F2231" s="46"/>
      <c r="G2231" s="46"/>
      <c r="H2231" s="46"/>
      <c r="I2231" s="46"/>
      <c r="J2231" s="46"/>
      <c r="K2231" s="46"/>
      <c r="L2231" s="46"/>
      <c r="M2231" s="46"/>
      <c r="N2231" s="46"/>
      <c r="O2231" s="46"/>
      <c r="P2231" s="46"/>
      <c r="Q2231" s="46"/>
      <c r="R2231" s="46"/>
      <c r="S2231" s="46"/>
      <c r="T2231" s="46"/>
      <c r="U2231" s="46"/>
      <c r="V2231" s="46"/>
      <c r="W2231" s="46"/>
      <c r="X2231" s="46"/>
    </row>
    <row r="2232" spans="1:24" x14ac:dyDescent="0.2">
      <c r="A2232" s="45"/>
      <c r="B2232" s="46"/>
      <c r="C2232" s="46"/>
      <c r="D2232" s="46"/>
      <c r="E2232" s="46"/>
      <c r="F2232" s="46"/>
      <c r="G2232" s="46"/>
      <c r="H2232" s="46"/>
      <c r="I2232" s="46"/>
      <c r="J2232" s="46"/>
      <c r="K2232" s="46"/>
      <c r="L2232" s="46"/>
      <c r="M2232" s="46"/>
      <c r="N2232" s="46"/>
      <c r="O2232" s="46"/>
      <c r="P2232" s="46"/>
      <c r="Q2232" s="46"/>
      <c r="R2232" s="46"/>
      <c r="S2232" s="46"/>
      <c r="T2232" s="46"/>
      <c r="U2232" s="46"/>
      <c r="V2232" s="46"/>
      <c r="W2232" s="46"/>
      <c r="X2232" s="46"/>
    </row>
    <row r="2233" spans="1:24" x14ac:dyDescent="0.2">
      <c r="A2233" s="45"/>
      <c r="B2233" s="46"/>
      <c r="C2233" s="46"/>
      <c r="D2233" s="46"/>
      <c r="E2233" s="46"/>
      <c r="F2233" s="46"/>
      <c r="G2233" s="46"/>
      <c r="H2233" s="46"/>
      <c r="I2233" s="46"/>
      <c r="J2233" s="46"/>
      <c r="K2233" s="46"/>
      <c r="L2233" s="46"/>
      <c r="M2233" s="46"/>
      <c r="N2233" s="46"/>
      <c r="O2233" s="46"/>
      <c r="P2233" s="46"/>
      <c r="Q2233" s="46"/>
      <c r="R2233" s="46"/>
      <c r="S2233" s="46"/>
      <c r="T2233" s="46"/>
      <c r="U2233" s="46"/>
      <c r="V2233" s="46"/>
      <c r="W2233" s="46"/>
      <c r="X2233" s="46"/>
    </row>
    <row r="2234" spans="1:24" x14ac:dyDescent="0.2">
      <c r="A2234" s="45"/>
      <c r="B2234" s="46"/>
      <c r="C2234" s="46"/>
      <c r="D2234" s="46"/>
      <c r="E2234" s="46"/>
      <c r="F2234" s="46"/>
      <c r="G2234" s="46"/>
      <c r="H2234" s="46"/>
      <c r="I2234" s="46"/>
      <c r="J2234" s="46"/>
      <c r="K2234" s="46"/>
      <c r="L2234" s="46"/>
      <c r="M2234" s="46"/>
      <c r="N2234" s="46"/>
      <c r="O2234" s="46"/>
      <c r="P2234" s="46"/>
      <c r="Q2234" s="46"/>
      <c r="R2234" s="46"/>
      <c r="S2234" s="46"/>
      <c r="T2234" s="46"/>
      <c r="U2234" s="46"/>
      <c r="V2234" s="46"/>
      <c r="W2234" s="46"/>
      <c r="X2234" s="46"/>
    </row>
    <row r="2235" spans="1:24" x14ac:dyDescent="0.2">
      <c r="A2235" s="45"/>
      <c r="B2235" s="46"/>
      <c r="C2235" s="46"/>
      <c r="D2235" s="46"/>
      <c r="E2235" s="46"/>
      <c r="F2235" s="46"/>
      <c r="G2235" s="46"/>
      <c r="H2235" s="46"/>
      <c r="I2235" s="46"/>
      <c r="J2235" s="46"/>
      <c r="K2235" s="46"/>
      <c r="L2235" s="46"/>
      <c r="M2235" s="46"/>
      <c r="N2235" s="46"/>
      <c r="O2235" s="46"/>
      <c r="P2235" s="46"/>
      <c r="Q2235" s="46"/>
      <c r="R2235" s="46"/>
      <c r="S2235" s="46"/>
      <c r="T2235" s="46"/>
      <c r="U2235" s="46"/>
      <c r="V2235" s="46"/>
      <c r="W2235" s="46"/>
      <c r="X2235" s="46"/>
    </row>
    <row r="2236" spans="1:24" x14ac:dyDescent="0.2">
      <c r="A2236" s="45"/>
      <c r="B2236" s="46"/>
      <c r="C2236" s="46"/>
      <c r="D2236" s="46"/>
      <c r="E2236" s="46"/>
      <c r="F2236" s="46"/>
      <c r="G2236" s="46"/>
      <c r="H2236" s="46"/>
      <c r="I2236" s="46"/>
      <c r="J2236" s="46"/>
      <c r="K2236" s="46"/>
      <c r="L2236" s="46"/>
      <c r="M2236" s="46"/>
      <c r="N2236" s="46"/>
      <c r="O2236" s="46"/>
      <c r="P2236" s="46"/>
      <c r="Q2236" s="46"/>
      <c r="R2236" s="46"/>
      <c r="S2236" s="46"/>
      <c r="T2236" s="46"/>
      <c r="U2236" s="46"/>
      <c r="V2236" s="46"/>
      <c r="W2236" s="46"/>
      <c r="X2236" s="46"/>
    </row>
    <row r="2237" spans="1:24" x14ac:dyDescent="0.2">
      <c r="A2237" s="45"/>
      <c r="B2237" s="46"/>
      <c r="C2237" s="46"/>
      <c r="D2237" s="46"/>
      <c r="E2237" s="46"/>
      <c r="F2237" s="46"/>
      <c r="G2237" s="46"/>
      <c r="H2237" s="46"/>
      <c r="I2237" s="46"/>
      <c r="J2237" s="46"/>
      <c r="K2237" s="46"/>
      <c r="L2237" s="46"/>
      <c r="M2237" s="46"/>
      <c r="N2237" s="46"/>
      <c r="O2237" s="46"/>
      <c r="P2237" s="46"/>
      <c r="Q2237" s="46"/>
      <c r="R2237" s="46"/>
      <c r="S2237" s="46"/>
      <c r="T2237" s="46"/>
      <c r="U2237" s="46"/>
      <c r="V2237" s="46"/>
      <c r="W2237" s="46"/>
      <c r="X2237" s="46"/>
    </row>
    <row r="2238" spans="1:24" x14ac:dyDescent="0.2">
      <c r="A2238" s="45"/>
      <c r="B2238" s="46"/>
      <c r="C2238" s="46"/>
      <c r="D2238" s="46"/>
      <c r="E2238" s="46"/>
      <c r="F2238" s="46"/>
      <c r="G2238" s="46"/>
      <c r="H2238" s="46"/>
      <c r="I2238" s="46"/>
      <c r="J2238" s="46"/>
      <c r="K2238" s="46"/>
      <c r="L2238" s="46"/>
      <c r="M2238" s="46"/>
      <c r="N2238" s="46"/>
      <c r="O2238" s="46"/>
      <c r="P2238" s="46"/>
      <c r="Q2238" s="46"/>
      <c r="R2238" s="46"/>
      <c r="S2238" s="46"/>
      <c r="T2238" s="46"/>
      <c r="U2238" s="46"/>
      <c r="V2238" s="46"/>
      <c r="W2238" s="46"/>
      <c r="X2238" s="46"/>
    </row>
    <row r="2239" spans="1:24" x14ac:dyDescent="0.2">
      <c r="A2239" s="45"/>
      <c r="B2239" s="46"/>
      <c r="C2239" s="46"/>
      <c r="D2239" s="46"/>
      <c r="E2239" s="46"/>
      <c r="F2239" s="46"/>
      <c r="G2239" s="46"/>
      <c r="H2239" s="46"/>
      <c r="I2239" s="46"/>
      <c r="J2239" s="46"/>
      <c r="K2239" s="46"/>
      <c r="L2239" s="46"/>
      <c r="M2239" s="46"/>
      <c r="N2239" s="46"/>
      <c r="O2239" s="46"/>
      <c r="P2239" s="46"/>
      <c r="Q2239" s="46"/>
      <c r="R2239" s="46"/>
      <c r="S2239" s="46"/>
      <c r="T2239" s="46"/>
      <c r="U2239" s="46"/>
      <c r="V2239" s="46"/>
      <c r="W2239" s="46"/>
      <c r="X2239" s="46"/>
    </row>
    <row r="2240" spans="1:24" x14ac:dyDescent="0.2">
      <c r="A2240" s="45"/>
      <c r="B2240" s="46"/>
      <c r="C2240" s="46"/>
      <c r="D2240" s="46"/>
      <c r="E2240" s="46"/>
      <c r="F2240" s="46"/>
      <c r="G2240" s="46"/>
      <c r="H2240" s="46"/>
      <c r="I2240" s="46"/>
      <c r="J2240" s="46"/>
      <c r="K2240" s="46"/>
      <c r="L2240" s="46"/>
      <c r="M2240" s="46"/>
      <c r="N2240" s="46"/>
      <c r="O2240" s="46"/>
      <c r="P2240" s="46"/>
      <c r="Q2240" s="46"/>
      <c r="R2240" s="46"/>
      <c r="S2240" s="46"/>
      <c r="T2240" s="46"/>
      <c r="U2240" s="46"/>
      <c r="V2240" s="46"/>
      <c r="W2240" s="46"/>
      <c r="X2240" s="46"/>
    </row>
    <row r="2241" spans="1:24" x14ac:dyDescent="0.2">
      <c r="A2241" s="45"/>
      <c r="B2241" s="46"/>
      <c r="C2241" s="46"/>
      <c r="D2241" s="46"/>
      <c r="E2241" s="46"/>
      <c r="F2241" s="46"/>
      <c r="G2241" s="46"/>
      <c r="H2241" s="46"/>
      <c r="I2241" s="46"/>
      <c r="J2241" s="46"/>
      <c r="K2241" s="46"/>
      <c r="L2241" s="46"/>
      <c r="M2241" s="46"/>
      <c r="N2241" s="46"/>
      <c r="O2241" s="46"/>
      <c r="P2241" s="46"/>
      <c r="Q2241" s="46"/>
      <c r="R2241" s="46"/>
      <c r="S2241" s="46"/>
      <c r="T2241" s="46"/>
      <c r="U2241" s="46"/>
      <c r="V2241" s="46"/>
      <c r="W2241" s="46"/>
      <c r="X2241" s="46"/>
    </row>
    <row r="2242" spans="1:24" x14ac:dyDescent="0.2">
      <c r="A2242" s="45"/>
      <c r="B2242" s="46"/>
      <c r="C2242" s="46"/>
      <c r="D2242" s="46"/>
      <c r="E2242" s="46"/>
      <c r="F2242" s="46"/>
      <c r="G2242" s="46"/>
      <c r="H2242" s="46"/>
      <c r="I2242" s="46"/>
      <c r="J2242" s="46"/>
      <c r="K2242" s="46"/>
      <c r="L2242" s="46"/>
      <c r="M2242" s="46"/>
      <c r="N2242" s="46"/>
      <c r="O2242" s="46"/>
      <c r="P2242" s="46"/>
      <c r="Q2242" s="46"/>
      <c r="R2242" s="46"/>
      <c r="S2242" s="46"/>
      <c r="T2242" s="46"/>
      <c r="U2242" s="46"/>
      <c r="V2242" s="46"/>
      <c r="W2242" s="46"/>
      <c r="X2242" s="46"/>
    </row>
    <row r="2243" spans="1:24" x14ac:dyDescent="0.2">
      <c r="A2243" s="45"/>
      <c r="B2243" s="46"/>
      <c r="C2243" s="46"/>
      <c r="D2243" s="46"/>
      <c r="E2243" s="46"/>
      <c r="F2243" s="46"/>
      <c r="G2243" s="46"/>
      <c r="H2243" s="46"/>
      <c r="I2243" s="46"/>
      <c r="J2243" s="46"/>
      <c r="K2243" s="46"/>
      <c r="L2243" s="46"/>
      <c r="M2243" s="46"/>
      <c r="N2243" s="46"/>
      <c r="O2243" s="46"/>
      <c r="P2243" s="46"/>
      <c r="Q2243" s="46"/>
      <c r="R2243" s="46"/>
      <c r="S2243" s="46"/>
      <c r="T2243" s="46"/>
      <c r="U2243" s="46"/>
      <c r="V2243" s="46"/>
      <c r="W2243" s="46"/>
      <c r="X2243" s="46"/>
    </row>
    <row r="2244" spans="1:24" x14ac:dyDescent="0.2">
      <c r="A2244" s="45"/>
      <c r="B2244" s="46"/>
      <c r="C2244" s="46"/>
      <c r="D2244" s="46"/>
      <c r="E2244" s="46"/>
      <c r="F2244" s="46"/>
      <c r="G2244" s="46"/>
      <c r="H2244" s="46"/>
      <c r="I2244" s="46"/>
      <c r="J2244" s="46"/>
      <c r="K2244" s="46"/>
      <c r="L2244" s="46"/>
      <c r="M2244" s="46"/>
      <c r="N2244" s="46"/>
      <c r="O2244" s="46"/>
      <c r="P2244" s="46"/>
      <c r="Q2244" s="46"/>
      <c r="R2244" s="46"/>
      <c r="S2244" s="46"/>
      <c r="T2244" s="46"/>
      <c r="U2244" s="46"/>
      <c r="V2244" s="46"/>
      <c r="W2244" s="46"/>
      <c r="X2244" s="46"/>
    </row>
    <row r="2245" spans="1:24" x14ac:dyDescent="0.2">
      <c r="A2245" s="45"/>
      <c r="B2245" s="46"/>
      <c r="C2245" s="46"/>
      <c r="D2245" s="46"/>
      <c r="E2245" s="46"/>
      <c r="F2245" s="46"/>
      <c r="G2245" s="46"/>
      <c r="H2245" s="46"/>
      <c r="I2245" s="46"/>
      <c r="J2245" s="46"/>
      <c r="K2245" s="46"/>
      <c r="L2245" s="46"/>
      <c r="M2245" s="46"/>
      <c r="N2245" s="46"/>
      <c r="O2245" s="46"/>
      <c r="P2245" s="46"/>
      <c r="Q2245" s="46"/>
      <c r="R2245" s="46"/>
      <c r="S2245" s="46"/>
      <c r="T2245" s="46"/>
      <c r="U2245" s="46"/>
      <c r="V2245" s="46"/>
      <c r="W2245" s="46"/>
      <c r="X2245" s="46"/>
    </row>
    <row r="2246" spans="1:24" x14ac:dyDescent="0.2">
      <c r="A2246" s="45"/>
      <c r="B2246" s="46"/>
      <c r="C2246" s="46"/>
      <c r="D2246" s="46"/>
      <c r="E2246" s="46"/>
      <c r="F2246" s="46"/>
      <c r="G2246" s="46"/>
      <c r="H2246" s="46"/>
      <c r="I2246" s="46"/>
      <c r="J2246" s="46"/>
      <c r="K2246" s="46"/>
      <c r="L2246" s="46"/>
      <c r="M2246" s="46"/>
      <c r="N2246" s="46"/>
      <c r="O2246" s="46"/>
      <c r="P2246" s="46"/>
      <c r="Q2246" s="46"/>
      <c r="R2246" s="46"/>
      <c r="S2246" s="46"/>
      <c r="T2246" s="46"/>
      <c r="U2246" s="46"/>
      <c r="V2246" s="46"/>
      <c r="W2246" s="46"/>
      <c r="X2246" s="46"/>
    </row>
    <row r="2247" spans="1:24" x14ac:dyDescent="0.2">
      <c r="A2247" s="45"/>
      <c r="B2247" s="46"/>
      <c r="C2247" s="46"/>
      <c r="D2247" s="46"/>
      <c r="E2247" s="46"/>
      <c r="F2247" s="46"/>
      <c r="G2247" s="46"/>
      <c r="H2247" s="46"/>
      <c r="I2247" s="46"/>
      <c r="J2247" s="46"/>
      <c r="K2247" s="46"/>
      <c r="L2247" s="46"/>
      <c r="M2247" s="46"/>
      <c r="N2247" s="46"/>
      <c r="O2247" s="46"/>
      <c r="P2247" s="46"/>
      <c r="Q2247" s="46"/>
      <c r="R2247" s="46"/>
      <c r="S2247" s="46"/>
      <c r="T2247" s="46"/>
      <c r="U2247" s="46"/>
      <c r="V2247" s="46"/>
      <c r="W2247" s="46"/>
      <c r="X2247" s="46"/>
    </row>
    <row r="2248" spans="1:24" x14ac:dyDescent="0.2">
      <c r="A2248" s="45"/>
      <c r="B2248" s="46"/>
      <c r="C2248" s="46"/>
      <c r="D2248" s="46"/>
      <c r="E2248" s="46"/>
      <c r="F2248" s="46"/>
      <c r="G2248" s="46"/>
      <c r="H2248" s="46"/>
      <c r="I2248" s="46"/>
      <c r="J2248" s="46"/>
      <c r="K2248" s="46"/>
      <c r="L2248" s="46"/>
      <c r="M2248" s="46"/>
      <c r="N2248" s="46"/>
      <c r="O2248" s="46"/>
      <c r="P2248" s="46"/>
      <c r="Q2248" s="46"/>
      <c r="R2248" s="46"/>
      <c r="S2248" s="46"/>
      <c r="T2248" s="46"/>
      <c r="U2248" s="46"/>
      <c r="V2248" s="46"/>
      <c r="W2248" s="46"/>
      <c r="X2248" s="46"/>
    </row>
    <row r="2249" spans="1:24" x14ac:dyDescent="0.2">
      <c r="A2249" s="45"/>
      <c r="B2249" s="46"/>
      <c r="C2249" s="46"/>
      <c r="D2249" s="46"/>
      <c r="E2249" s="46"/>
      <c r="F2249" s="46"/>
      <c r="G2249" s="46"/>
      <c r="H2249" s="46"/>
      <c r="I2249" s="46"/>
      <c r="J2249" s="46"/>
      <c r="K2249" s="46"/>
      <c r="L2249" s="46"/>
      <c r="M2249" s="46"/>
      <c r="N2249" s="46"/>
      <c r="O2249" s="46"/>
      <c r="P2249" s="46"/>
      <c r="Q2249" s="46"/>
      <c r="R2249" s="46"/>
      <c r="S2249" s="46"/>
      <c r="T2249" s="46"/>
      <c r="U2249" s="46"/>
      <c r="V2249" s="46"/>
      <c r="W2249" s="46"/>
      <c r="X2249" s="46"/>
    </row>
    <row r="2250" spans="1:24" x14ac:dyDescent="0.2">
      <c r="A2250" s="45"/>
      <c r="B2250" s="46"/>
      <c r="C2250" s="46"/>
      <c r="D2250" s="46"/>
      <c r="E2250" s="46"/>
      <c r="F2250" s="46"/>
      <c r="G2250" s="46"/>
      <c r="H2250" s="46"/>
      <c r="I2250" s="46"/>
      <c r="J2250" s="46"/>
      <c r="K2250" s="46"/>
      <c r="L2250" s="46"/>
      <c r="M2250" s="46"/>
      <c r="N2250" s="46"/>
      <c r="O2250" s="46"/>
      <c r="P2250" s="46"/>
      <c r="Q2250" s="46"/>
      <c r="R2250" s="46"/>
      <c r="S2250" s="46"/>
      <c r="T2250" s="46"/>
      <c r="U2250" s="46"/>
      <c r="V2250" s="46"/>
      <c r="W2250" s="46"/>
      <c r="X2250" s="46"/>
    </row>
    <row r="2251" spans="1:24" x14ac:dyDescent="0.2">
      <c r="A2251" s="45"/>
      <c r="B2251" s="46"/>
      <c r="C2251" s="46"/>
      <c r="D2251" s="46"/>
      <c r="E2251" s="46"/>
      <c r="F2251" s="46"/>
      <c r="G2251" s="46"/>
      <c r="H2251" s="46"/>
      <c r="I2251" s="46"/>
      <c r="J2251" s="46"/>
      <c r="K2251" s="46"/>
      <c r="L2251" s="46"/>
      <c r="M2251" s="46"/>
      <c r="N2251" s="46"/>
      <c r="O2251" s="46"/>
      <c r="P2251" s="46"/>
      <c r="Q2251" s="46"/>
      <c r="R2251" s="46"/>
      <c r="S2251" s="46"/>
      <c r="T2251" s="46"/>
      <c r="U2251" s="46"/>
      <c r="V2251" s="46"/>
      <c r="W2251" s="46"/>
      <c r="X2251" s="46"/>
    </row>
    <row r="2252" spans="1:24" x14ac:dyDescent="0.2">
      <c r="A2252" s="45"/>
      <c r="B2252" s="46"/>
      <c r="C2252" s="46"/>
      <c r="D2252" s="46"/>
      <c r="E2252" s="46"/>
      <c r="F2252" s="46"/>
      <c r="G2252" s="46"/>
      <c r="H2252" s="46"/>
      <c r="I2252" s="46"/>
      <c r="J2252" s="46"/>
      <c r="K2252" s="46"/>
      <c r="L2252" s="46"/>
      <c r="M2252" s="46"/>
      <c r="N2252" s="46"/>
      <c r="O2252" s="46"/>
      <c r="P2252" s="46"/>
      <c r="Q2252" s="46"/>
      <c r="R2252" s="46"/>
      <c r="S2252" s="46"/>
      <c r="T2252" s="46"/>
      <c r="U2252" s="46"/>
      <c r="V2252" s="46"/>
      <c r="W2252" s="46"/>
      <c r="X2252" s="46"/>
    </row>
    <row r="2253" spans="1:24" x14ac:dyDescent="0.2">
      <c r="A2253" s="45"/>
      <c r="B2253" s="46"/>
      <c r="C2253" s="46"/>
      <c r="D2253" s="46"/>
      <c r="E2253" s="46"/>
      <c r="F2253" s="46"/>
      <c r="G2253" s="46"/>
      <c r="H2253" s="46"/>
      <c r="I2253" s="46"/>
      <c r="J2253" s="46"/>
      <c r="K2253" s="46"/>
      <c r="L2253" s="46"/>
      <c r="M2253" s="46"/>
      <c r="N2253" s="46"/>
      <c r="O2253" s="46"/>
      <c r="P2253" s="46"/>
      <c r="Q2253" s="46"/>
      <c r="R2253" s="46"/>
      <c r="S2253" s="46"/>
      <c r="T2253" s="46"/>
      <c r="U2253" s="46"/>
      <c r="V2253" s="46"/>
      <c r="W2253" s="46"/>
      <c r="X2253" s="46"/>
    </row>
    <row r="2254" spans="1:24" x14ac:dyDescent="0.2">
      <c r="A2254" s="45"/>
      <c r="B2254" s="46"/>
      <c r="C2254" s="46"/>
      <c r="D2254" s="46"/>
      <c r="E2254" s="46"/>
      <c r="F2254" s="46"/>
      <c r="G2254" s="46"/>
      <c r="H2254" s="46"/>
      <c r="I2254" s="46"/>
      <c r="J2254" s="46"/>
      <c r="K2254" s="46"/>
      <c r="L2254" s="46"/>
      <c r="M2254" s="46"/>
      <c r="N2254" s="46"/>
      <c r="O2254" s="46"/>
      <c r="P2254" s="46"/>
      <c r="Q2254" s="46"/>
      <c r="R2254" s="46"/>
      <c r="S2254" s="46"/>
      <c r="T2254" s="46"/>
      <c r="U2254" s="46"/>
      <c r="V2254" s="46"/>
      <c r="W2254" s="46"/>
      <c r="X2254" s="46"/>
    </row>
    <row r="2255" spans="1:24" x14ac:dyDescent="0.2">
      <c r="A2255" s="45"/>
      <c r="B2255" s="46"/>
      <c r="C2255" s="46"/>
      <c r="D2255" s="46"/>
      <c r="E2255" s="46"/>
      <c r="F2255" s="46"/>
      <c r="G2255" s="46"/>
      <c r="H2255" s="46"/>
      <c r="I2255" s="46"/>
      <c r="J2255" s="46"/>
      <c r="K2255" s="46"/>
      <c r="L2255" s="46"/>
      <c r="M2255" s="46"/>
      <c r="N2255" s="46"/>
      <c r="O2255" s="46"/>
      <c r="P2255" s="46"/>
      <c r="Q2255" s="46"/>
      <c r="R2255" s="46"/>
      <c r="S2255" s="46"/>
      <c r="T2255" s="46"/>
      <c r="U2255" s="46"/>
      <c r="V2255" s="46"/>
      <c r="W2255" s="46"/>
      <c r="X2255" s="46"/>
    </row>
    <row r="2256" spans="1:24" x14ac:dyDescent="0.2">
      <c r="A2256" s="45"/>
      <c r="B2256" s="46"/>
      <c r="C2256" s="46"/>
      <c r="D2256" s="46"/>
      <c r="E2256" s="46"/>
      <c r="F2256" s="46"/>
      <c r="G2256" s="46"/>
      <c r="H2256" s="46"/>
      <c r="I2256" s="46"/>
      <c r="J2256" s="46"/>
      <c r="K2256" s="46"/>
      <c r="L2256" s="46"/>
      <c r="M2256" s="46"/>
      <c r="N2256" s="46"/>
      <c r="O2256" s="46"/>
      <c r="P2256" s="46"/>
      <c r="Q2256" s="46"/>
      <c r="R2256" s="46"/>
      <c r="S2256" s="46"/>
      <c r="T2256" s="46"/>
      <c r="U2256" s="46"/>
      <c r="V2256" s="46"/>
      <c r="W2256" s="46"/>
      <c r="X2256" s="46"/>
    </row>
    <row r="2257" spans="1:24" x14ac:dyDescent="0.2">
      <c r="A2257" s="45"/>
      <c r="B2257" s="46"/>
      <c r="C2257" s="46"/>
      <c r="D2257" s="46"/>
      <c r="E2257" s="46"/>
      <c r="F2257" s="46"/>
      <c r="G2257" s="46"/>
      <c r="H2257" s="46"/>
      <c r="I2257" s="46"/>
      <c r="J2257" s="46"/>
      <c r="K2257" s="46"/>
      <c r="L2257" s="46"/>
      <c r="M2257" s="46"/>
      <c r="N2257" s="46"/>
      <c r="O2257" s="46"/>
      <c r="P2257" s="46"/>
      <c r="Q2257" s="46"/>
      <c r="R2257" s="46"/>
      <c r="S2257" s="46"/>
      <c r="T2257" s="46"/>
      <c r="U2257" s="46"/>
      <c r="V2257" s="46"/>
      <c r="W2257" s="46"/>
      <c r="X2257" s="46"/>
    </row>
    <row r="2258" spans="1:24" x14ac:dyDescent="0.2">
      <c r="A2258" s="45"/>
      <c r="B2258" s="46"/>
      <c r="C2258" s="46"/>
      <c r="D2258" s="46"/>
      <c r="E2258" s="46"/>
      <c r="F2258" s="46"/>
      <c r="G2258" s="46"/>
      <c r="H2258" s="46"/>
      <c r="I2258" s="46"/>
      <c r="J2258" s="46"/>
      <c r="K2258" s="46"/>
      <c r="L2258" s="46"/>
      <c r="M2258" s="46"/>
      <c r="N2258" s="46"/>
      <c r="O2258" s="46"/>
      <c r="P2258" s="46"/>
      <c r="Q2258" s="46"/>
      <c r="R2258" s="46"/>
      <c r="S2258" s="46"/>
      <c r="T2258" s="46"/>
      <c r="U2258" s="46"/>
      <c r="V2258" s="46"/>
      <c r="W2258" s="46"/>
      <c r="X2258" s="46"/>
    </row>
    <row r="2259" spans="1:24" x14ac:dyDescent="0.2">
      <c r="A2259" s="45"/>
      <c r="B2259" s="46"/>
      <c r="C2259" s="46"/>
      <c r="D2259" s="46"/>
      <c r="E2259" s="46"/>
      <c r="F2259" s="46"/>
      <c r="G2259" s="46"/>
      <c r="H2259" s="46"/>
      <c r="I2259" s="46"/>
      <c r="J2259" s="46"/>
      <c r="K2259" s="46"/>
      <c r="L2259" s="46"/>
      <c r="M2259" s="46"/>
      <c r="N2259" s="46"/>
      <c r="O2259" s="46"/>
      <c r="P2259" s="46"/>
      <c r="Q2259" s="46"/>
      <c r="R2259" s="46"/>
      <c r="S2259" s="46"/>
      <c r="T2259" s="46"/>
      <c r="U2259" s="46"/>
      <c r="V2259" s="46"/>
      <c r="W2259" s="46"/>
      <c r="X2259" s="46"/>
    </row>
    <row r="2260" spans="1:24" x14ac:dyDescent="0.2">
      <c r="A2260" s="45"/>
      <c r="B2260" s="46"/>
      <c r="C2260" s="46"/>
      <c r="D2260" s="46"/>
      <c r="E2260" s="46"/>
      <c r="F2260" s="46"/>
      <c r="G2260" s="46"/>
      <c r="H2260" s="46"/>
      <c r="I2260" s="46"/>
      <c r="J2260" s="46"/>
      <c r="K2260" s="46"/>
      <c r="L2260" s="46"/>
      <c r="M2260" s="46"/>
      <c r="N2260" s="46"/>
      <c r="O2260" s="46"/>
      <c r="P2260" s="46"/>
      <c r="Q2260" s="46"/>
      <c r="R2260" s="46"/>
      <c r="S2260" s="46"/>
      <c r="T2260" s="46"/>
      <c r="U2260" s="46"/>
      <c r="V2260" s="46"/>
      <c r="W2260" s="46"/>
      <c r="X2260" s="46"/>
    </row>
    <row r="2261" spans="1:24" x14ac:dyDescent="0.2">
      <c r="A2261" s="45"/>
      <c r="B2261" s="46"/>
      <c r="C2261" s="46"/>
      <c r="D2261" s="46"/>
      <c r="E2261" s="46"/>
      <c r="F2261" s="46"/>
      <c r="G2261" s="46"/>
      <c r="H2261" s="46"/>
      <c r="I2261" s="46"/>
      <c r="J2261" s="46"/>
      <c r="K2261" s="46"/>
      <c r="L2261" s="46"/>
      <c r="M2261" s="46"/>
      <c r="N2261" s="46"/>
      <c r="O2261" s="46"/>
      <c r="P2261" s="46"/>
      <c r="Q2261" s="46"/>
      <c r="R2261" s="46"/>
      <c r="S2261" s="46"/>
      <c r="T2261" s="46"/>
      <c r="U2261" s="46"/>
      <c r="V2261" s="46"/>
      <c r="W2261" s="46"/>
      <c r="X2261" s="46"/>
    </row>
    <row r="2262" spans="1:24" x14ac:dyDescent="0.2">
      <c r="A2262" s="45"/>
      <c r="B2262" s="46"/>
      <c r="C2262" s="46"/>
      <c r="D2262" s="46"/>
      <c r="E2262" s="46"/>
      <c r="F2262" s="46"/>
      <c r="G2262" s="46"/>
      <c r="H2262" s="46"/>
      <c r="I2262" s="46"/>
      <c r="J2262" s="46"/>
      <c r="K2262" s="46"/>
      <c r="L2262" s="46"/>
      <c r="M2262" s="46"/>
      <c r="N2262" s="46"/>
      <c r="O2262" s="46"/>
      <c r="P2262" s="46"/>
      <c r="Q2262" s="46"/>
      <c r="R2262" s="46"/>
      <c r="S2262" s="46"/>
      <c r="T2262" s="46"/>
      <c r="U2262" s="46"/>
      <c r="V2262" s="46"/>
      <c r="W2262" s="46"/>
      <c r="X2262" s="46"/>
    </row>
    <row r="2263" spans="1:24" x14ac:dyDescent="0.2">
      <c r="A2263" s="45"/>
      <c r="B2263" s="46"/>
      <c r="C2263" s="46"/>
      <c r="D2263" s="46"/>
      <c r="E2263" s="46"/>
      <c r="F2263" s="46"/>
      <c r="G2263" s="46"/>
      <c r="H2263" s="46"/>
      <c r="I2263" s="46"/>
      <c r="J2263" s="46"/>
      <c r="K2263" s="46"/>
      <c r="L2263" s="46"/>
      <c r="M2263" s="46"/>
      <c r="N2263" s="46"/>
      <c r="O2263" s="46"/>
      <c r="P2263" s="46"/>
      <c r="Q2263" s="46"/>
      <c r="R2263" s="46"/>
      <c r="S2263" s="46"/>
      <c r="T2263" s="46"/>
      <c r="U2263" s="46"/>
      <c r="V2263" s="46"/>
      <c r="W2263" s="46"/>
      <c r="X2263" s="46"/>
    </row>
    <row r="2264" spans="1:24" x14ac:dyDescent="0.2">
      <c r="A2264" s="45"/>
      <c r="B2264" s="46"/>
      <c r="C2264" s="46"/>
      <c r="D2264" s="46"/>
      <c r="E2264" s="46"/>
      <c r="F2264" s="46"/>
      <c r="G2264" s="46"/>
      <c r="H2264" s="46"/>
      <c r="I2264" s="46"/>
      <c r="J2264" s="46"/>
      <c r="K2264" s="46"/>
      <c r="L2264" s="46"/>
      <c r="M2264" s="46"/>
      <c r="N2264" s="46"/>
      <c r="O2264" s="46"/>
      <c r="P2264" s="46"/>
      <c r="Q2264" s="46"/>
      <c r="R2264" s="46"/>
      <c r="S2264" s="46"/>
      <c r="T2264" s="46"/>
      <c r="U2264" s="46"/>
      <c r="V2264" s="46"/>
      <c r="W2264" s="46"/>
      <c r="X2264" s="46"/>
    </row>
    <row r="2265" spans="1:24" x14ac:dyDescent="0.2">
      <c r="A2265" s="45"/>
      <c r="B2265" s="46"/>
      <c r="C2265" s="46"/>
      <c r="D2265" s="46"/>
      <c r="E2265" s="46"/>
      <c r="F2265" s="46"/>
      <c r="G2265" s="46"/>
      <c r="H2265" s="46"/>
      <c r="I2265" s="46"/>
      <c r="J2265" s="46"/>
      <c r="K2265" s="46"/>
      <c r="L2265" s="46"/>
      <c r="M2265" s="46"/>
      <c r="N2265" s="46"/>
      <c r="O2265" s="46"/>
      <c r="P2265" s="46"/>
      <c r="Q2265" s="46"/>
      <c r="R2265" s="46"/>
      <c r="S2265" s="46"/>
      <c r="T2265" s="46"/>
      <c r="U2265" s="46"/>
      <c r="V2265" s="46"/>
      <c r="W2265" s="46"/>
      <c r="X2265" s="46"/>
    </row>
    <row r="2266" spans="1:24" x14ac:dyDescent="0.2">
      <c r="A2266" s="45"/>
      <c r="B2266" s="46"/>
      <c r="C2266" s="46"/>
      <c r="D2266" s="46"/>
      <c r="E2266" s="46"/>
      <c r="F2266" s="46"/>
      <c r="G2266" s="46"/>
      <c r="H2266" s="46"/>
      <c r="I2266" s="46"/>
      <c r="J2266" s="46"/>
      <c r="K2266" s="46"/>
      <c r="L2266" s="46"/>
      <c r="M2266" s="46"/>
      <c r="N2266" s="46"/>
      <c r="O2266" s="46"/>
      <c r="P2266" s="46"/>
      <c r="Q2266" s="46"/>
      <c r="R2266" s="46"/>
      <c r="S2266" s="46"/>
      <c r="T2266" s="46"/>
      <c r="U2266" s="46"/>
      <c r="V2266" s="46"/>
      <c r="W2266" s="46"/>
      <c r="X2266" s="46"/>
    </row>
    <row r="2267" spans="1:24" x14ac:dyDescent="0.2">
      <c r="A2267" s="45"/>
      <c r="B2267" s="46"/>
      <c r="C2267" s="46"/>
      <c r="D2267" s="46"/>
      <c r="E2267" s="46"/>
      <c r="F2267" s="46"/>
      <c r="G2267" s="46"/>
      <c r="H2267" s="46"/>
      <c r="I2267" s="46"/>
      <c r="J2267" s="46"/>
      <c r="K2267" s="46"/>
      <c r="L2267" s="46"/>
      <c r="M2267" s="46"/>
      <c r="N2267" s="46"/>
      <c r="O2267" s="46"/>
      <c r="P2267" s="46"/>
      <c r="Q2267" s="46"/>
      <c r="R2267" s="46"/>
      <c r="S2267" s="46"/>
      <c r="T2267" s="46"/>
      <c r="U2267" s="46"/>
      <c r="V2267" s="46"/>
      <c r="W2267" s="46"/>
      <c r="X2267" s="46"/>
    </row>
    <row r="2268" spans="1:24" x14ac:dyDescent="0.2">
      <c r="A2268" s="45"/>
      <c r="B2268" s="46"/>
      <c r="C2268" s="46"/>
      <c r="D2268" s="46"/>
      <c r="E2268" s="46"/>
      <c r="F2268" s="46"/>
      <c r="G2268" s="46"/>
      <c r="H2268" s="46"/>
      <c r="I2268" s="46"/>
      <c r="J2268" s="46"/>
      <c r="K2268" s="46"/>
      <c r="L2268" s="46"/>
      <c r="M2268" s="46"/>
      <c r="N2268" s="46"/>
      <c r="O2268" s="46"/>
      <c r="P2268" s="46"/>
      <c r="Q2268" s="46"/>
      <c r="R2268" s="46"/>
      <c r="S2268" s="46"/>
      <c r="T2268" s="46"/>
      <c r="U2268" s="46"/>
      <c r="V2268" s="46"/>
      <c r="W2268" s="46"/>
      <c r="X2268" s="46"/>
    </row>
    <row r="2269" spans="1:24" x14ac:dyDescent="0.2">
      <c r="A2269" s="45"/>
      <c r="B2269" s="46"/>
      <c r="C2269" s="46"/>
      <c r="D2269" s="46"/>
      <c r="E2269" s="46"/>
      <c r="F2269" s="46"/>
      <c r="G2269" s="46"/>
      <c r="H2269" s="46"/>
      <c r="I2269" s="46"/>
      <c r="J2269" s="46"/>
      <c r="K2269" s="46"/>
      <c r="L2269" s="46"/>
      <c r="M2269" s="46"/>
      <c r="N2269" s="46"/>
      <c r="O2269" s="46"/>
      <c r="P2269" s="46"/>
      <c r="Q2269" s="46"/>
      <c r="R2269" s="46"/>
      <c r="S2269" s="46"/>
      <c r="T2269" s="46"/>
      <c r="U2269" s="46"/>
      <c r="V2269" s="46"/>
      <c r="W2269" s="46"/>
      <c r="X2269" s="46"/>
    </row>
    <row r="2270" spans="1:24" x14ac:dyDescent="0.2">
      <c r="A2270" s="45"/>
      <c r="B2270" s="46"/>
      <c r="C2270" s="46"/>
      <c r="D2270" s="46"/>
      <c r="E2270" s="46"/>
      <c r="F2270" s="46"/>
      <c r="G2270" s="46"/>
      <c r="H2270" s="46"/>
      <c r="I2270" s="46"/>
      <c r="J2270" s="46"/>
      <c r="K2270" s="46"/>
      <c r="L2270" s="46"/>
      <c r="M2270" s="46"/>
      <c r="N2270" s="46"/>
      <c r="O2270" s="46"/>
      <c r="P2270" s="46"/>
      <c r="Q2270" s="46"/>
      <c r="R2270" s="46"/>
      <c r="S2270" s="46"/>
      <c r="T2270" s="46"/>
      <c r="U2270" s="46"/>
      <c r="V2270" s="46"/>
      <c r="W2270" s="46"/>
      <c r="X2270" s="46"/>
    </row>
    <row r="2271" spans="1:24" x14ac:dyDescent="0.2">
      <c r="A2271" s="45"/>
      <c r="B2271" s="46"/>
      <c r="C2271" s="46"/>
      <c r="D2271" s="46"/>
      <c r="E2271" s="46"/>
      <c r="F2271" s="46"/>
      <c r="G2271" s="46"/>
      <c r="H2271" s="46"/>
      <c r="I2271" s="46"/>
      <c r="J2271" s="46"/>
      <c r="K2271" s="46"/>
      <c r="L2271" s="46"/>
      <c r="M2271" s="46"/>
      <c r="N2271" s="46"/>
      <c r="O2271" s="46"/>
      <c r="P2271" s="46"/>
      <c r="Q2271" s="46"/>
      <c r="R2271" s="46"/>
      <c r="S2271" s="46"/>
      <c r="T2271" s="46"/>
      <c r="U2271" s="46"/>
      <c r="V2271" s="46"/>
      <c r="W2271" s="46"/>
      <c r="X2271" s="46"/>
    </row>
    <row r="2272" spans="1:24" x14ac:dyDescent="0.2">
      <c r="A2272" s="45"/>
      <c r="B2272" s="46"/>
      <c r="C2272" s="46"/>
      <c r="D2272" s="46"/>
      <c r="E2272" s="46"/>
      <c r="F2272" s="46"/>
      <c r="G2272" s="46"/>
      <c r="H2272" s="46"/>
      <c r="I2272" s="46"/>
      <c r="J2272" s="46"/>
      <c r="K2272" s="46"/>
      <c r="L2272" s="46"/>
      <c r="M2272" s="46"/>
      <c r="N2272" s="46"/>
      <c r="O2272" s="46"/>
      <c r="P2272" s="46"/>
      <c r="Q2272" s="46"/>
      <c r="R2272" s="46"/>
      <c r="S2272" s="46"/>
      <c r="T2272" s="46"/>
      <c r="U2272" s="46"/>
      <c r="V2272" s="46"/>
      <c r="W2272" s="46"/>
      <c r="X2272" s="46"/>
    </row>
    <row r="2273" spans="1:24" x14ac:dyDescent="0.2">
      <c r="A2273" s="45"/>
      <c r="B2273" s="46"/>
      <c r="C2273" s="46"/>
      <c r="D2273" s="46"/>
      <c r="E2273" s="46"/>
      <c r="F2273" s="46"/>
      <c r="G2273" s="46"/>
      <c r="H2273" s="46"/>
      <c r="I2273" s="46"/>
      <c r="J2273" s="46"/>
      <c r="K2273" s="46"/>
      <c r="L2273" s="46"/>
      <c r="M2273" s="46"/>
      <c r="N2273" s="46"/>
      <c r="O2273" s="46"/>
      <c r="P2273" s="46"/>
      <c r="Q2273" s="46"/>
      <c r="R2273" s="46"/>
      <c r="S2273" s="46"/>
      <c r="T2273" s="46"/>
      <c r="U2273" s="46"/>
      <c r="V2273" s="46"/>
      <c r="W2273" s="46"/>
      <c r="X2273" s="46"/>
    </row>
    <row r="2274" spans="1:24" x14ac:dyDescent="0.2">
      <c r="A2274" s="45"/>
      <c r="B2274" s="46"/>
      <c r="C2274" s="46"/>
      <c r="D2274" s="46"/>
      <c r="E2274" s="46"/>
      <c r="F2274" s="46"/>
      <c r="G2274" s="46"/>
      <c r="H2274" s="46"/>
      <c r="I2274" s="46"/>
      <c r="J2274" s="46"/>
      <c r="K2274" s="46"/>
      <c r="L2274" s="46"/>
      <c r="M2274" s="46"/>
      <c r="N2274" s="46"/>
      <c r="O2274" s="46"/>
      <c r="P2274" s="46"/>
      <c r="Q2274" s="46"/>
      <c r="R2274" s="46"/>
      <c r="S2274" s="46"/>
      <c r="T2274" s="46"/>
      <c r="U2274" s="46"/>
      <c r="V2274" s="46"/>
      <c r="W2274" s="46"/>
      <c r="X2274" s="46"/>
    </row>
    <row r="2275" spans="1:24" x14ac:dyDescent="0.2">
      <c r="A2275" s="45"/>
      <c r="B2275" s="46"/>
      <c r="C2275" s="46"/>
      <c r="D2275" s="46"/>
      <c r="E2275" s="46"/>
      <c r="F2275" s="46"/>
      <c r="G2275" s="46"/>
      <c r="H2275" s="46"/>
      <c r="I2275" s="46"/>
      <c r="J2275" s="46"/>
      <c r="K2275" s="46"/>
      <c r="L2275" s="46"/>
      <c r="M2275" s="46"/>
      <c r="N2275" s="46"/>
      <c r="O2275" s="46"/>
      <c r="P2275" s="46"/>
      <c r="Q2275" s="46"/>
      <c r="R2275" s="46"/>
      <c r="S2275" s="46"/>
      <c r="T2275" s="46"/>
      <c r="U2275" s="46"/>
      <c r="V2275" s="46"/>
      <c r="W2275" s="46"/>
      <c r="X2275" s="46"/>
    </row>
    <row r="2276" spans="1:24" x14ac:dyDescent="0.2">
      <c r="A2276" s="45"/>
      <c r="B2276" s="46"/>
      <c r="C2276" s="46"/>
      <c r="D2276" s="46"/>
      <c r="E2276" s="46"/>
      <c r="F2276" s="46"/>
      <c r="G2276" s="46"/>
      <c r="H2276" s="46"/>
      <c r="I2276" s="46"/>
      <c r="J2276" s="46"/>
      <c r="K2276" s="46"/>
      <c r="L2276" s="46"/>
      <c r="M2276" s="46"/>
      <c r="N2276" s="46"/>
      <c r="O2276" s="46"/>
      <c r="P2276" s="46"/>
      <c r="Q2276" s="46"/>
      <c r="R2276" s="46"/>
      <c r="S2276" s="46"/>
      <c r="T2276" s="46"/>
      <c r="U2276" s="46"/>
      <c r="V2276" s="46"/>
      <c r="W2276" s="46"/>
      <c r="X2276" s="46"/>
    </row>
    <row r="2277" spans="1:24" x14ac:dyDescent="0.2">
      <c r="A2277" s="45"/>
      <c r="B2277" s="46"/>
      <c r="C2277" s="46"/>
      <c r="D2277" s="46"/>
      <c r="E2277" s="46"/>
      <c r="F2277" s="46"/>
      <c r="G2277" s="46"/>
      <c r="H2277" s="46"/>
      <c r="I2277" s="46"/>
      <c r="J2277" s="46"/>
      <c r="K2277" s="46"/>
      <c r="L2277" s="46"/>
      <c r="M2277" s="46"/>
      <c r="N2277" s="46"/>
      <c r="O2277" s="46"/>
      <c r="P2277" s="46"/>
      <c r="Q2277" s="46"/>
      <c r="R2277" s="46"/>
      <c r="S2277" s="46"/>
      <c r="T2277" s="46"/>
      <c r="U2277" s="46"/>
      <c r="V2277" s="46"/>
      <c r="W2277" s="46"/>
      <c r="X2277" s="46"/>
    </row>
    <row r="2278" spans="1:24" x14ac:dyDescent="0.2">
      <c r="A2278" s="45"/>
      <c r="B2278" s="46"/>
      <c r="C2278" s="46"/>
      <c r="D2278" s="46"/>
      <c r="E2278" s="46"/>
      <c r="F2278" s="46"/>
      <c r="G2278" s="46"/>
      <c r="H2278" s="46"/>
      <c r="I2278" s="46"/>
      <c r="J2278" s="46"/>
      <c r="K2278" s="46"/>
      <c r="L2278" s="46"/>
      <c r="M2278" s="46"/>
      <c r="N2278" s="46"/>
      <c r="O2278" s="46"/>
      <c r="P2278" s="46"/>
      <c r="Q2278" s="46"/>
      <c r="R2278" s="46"/>
      <c r="S2278" s="46"/>
      <c r="T2278" s="46"/>
      <c r="U2278" s="46"/>
      <c r="V2278" s="46"/>
      <c r="W2278" s="46"/>
      <c r="X2278" s="46"/>
    </row>
    <row r="2279" spans="1:24" x14ac:dyDescent="0.2">
      <c r="A2279" s="45"/>
      <c r="B2279" s="46"/>
      <c r="C2279" s="46"/>
      <c r="D2279" s="46"/>
      <c r="E2279" s="46"/>
      <c r="F2279" s="46"/>
      <c r="G2279" s="46"/>
      <c r="H2279" s="46"/>
      <c r="I2279" s="46"/>
      <c r="J2279" s="46"/>
      <c r="K2279" s="46"/>
      <c r="L2279" s="46"/>
      <c r="M2279" s="46"/>
      <c r="N2279" s="46"/>
      <c r="O2279" s="46"/>
      <c r="P2279" s="46"/>
      <c r="Q2279" s="46"/>
      <c r="R2279" s="46"/>
      <c r="S2279" s="46"/>
      <c r="T2279" s="46"/>
      <c r="U2279" s="46"/>
      <c r="V2279" s="46"/>
      <c r="W2279" s="46"/>
      <c r="X2279" s="46"/>
    </row>
    <row r="2280" spans="1:24" x14ac:dyDescent="0.2">
      <c r="A2280" s="45"/>
      <c r="B2280" s="46"/>
      <c r="C2280" s="46"/>
      <c r="D2280" s="46"/>
      <c r="E2280" s="46"/>
      <c r="F2280" s="46"/>
      <c r="G2280" s="46"/>
      <c r="H2280" s="46"/>
      <c r="I2280" s="46"/>
      <c r="J2280" s="46"/>
      <c r="K2280" s="46"/>
      <c r="L2280" s="46"/>
      <c r="M2280" s="46"/>
      <c r="N2280" s="46"/>
      <c r="O2280" s="46"/>
      <c r="P2280" s="46"/>
      <c r="Q2280" s="46"/>
      <c r="R2280" s="46"/>
      <c r="S2280" s="46"/>
      <c r="T2280" s="46"/>
      <c r="U2280" s="46"/>
      <c r="V2280" s="46"/>
      <c r="W2280" s="46"/>
      <c r="X2280" s="46"/>
    </row>
    <row r="2281" spans="1:24" x14ac:dyDescent="0.2">
      <c r="A2281" s="45"/>
      <c r="B2281" s="46"/>
      <c r="C2281" s="46"/>
      <c r="D2281" s="46"/>
      <c r="E2281" s="46"/>
      <c r="F2281" s="46"/>
      <c r="G2281" s="46"/>
      <c r="H2281" s="46"/>
      <c r="I2281" s="46"/>
      <c r="J2281" s="46"/>
      <c r="K2281" s="46"/>
      <c r="L2281" s="46"/>
      <c r="M2281" s="46"/>
      <c r="N2281" s="46"/>
      <c r="O2281" s="46"/>
      <c r="P2281" s="46"/>
      <c r="Q2281" s="46"/>
      <c r="R2281" s="46"/>
      <c r="S2281" s="46"/>
      <c r="T2281" s="46"/>
      <c r="U2281" s="46"/>
      <c r="V2281" s="46"/>
      <c r="W2281" s="46"/>
      <c r="X2281" s="46"/>
    </row>
    <row r="2282" spans="1:24" x14ac:dyDescent="0.2">
      <c r="A2282" s="45"/>
      <c r="B2282" s="46"/>
      <c r="C2282" s="46"/>
      <c r="D2282" s="46"/>
      <c r="E2282" s="46"/>
      <c r="F2282" s="46"/>
      <c r="G2282" s="46"/>
      <c r="H2282" s="46"/>
      <c r="I2282" s="46"/>
      <c r="J2282" s="46"/>
      <c r="K2282" s="46"/>
      <c r="L2282" s="46"/>
      <c r="M2282" s="46"/>
      <c r="N2282" s="46"/>
      <c r="O2282" s="46"/>
      <c r="P2282" s="46"/>
      <c r="Q2282" s="46"/>
      <c r="R2282" s="46"/>
      <c r="S2282" s="46"/>
      <c r="T2282" s="46"/>
      <c r="U2282" s="46"/>
      <c r="V2282" s="46"/>
      <c r="W2282" s="46"/>
      <c r="X2282" s="46"/>
    </row>
    <row r="2283" spans="1:24" x14ac:dyDescent="0.2">
      <c r="A2283" s="45"/>
      <c r="B2283" s="46"/>
      <c r="C2283" s="46"/>
      <c r="D2283" s="46"/>
      <c r="E2283" s="46"/>
      <c r="F2283" s="46"/>
      <c r="G2283" s="46"/>
      <c r="H2283" s="46"/>
      <c r="I2283" s="46"/>
      <c r="J2283" s="46"/>
      <c r="K2283" s="46"/>
      <c r="L2283" s="46"/>
      <c r="M2283" s="46"/>
      <c r="N2283" s="46"/>
      <c r="O2283" s="46"/>
      <c r="P2283" s="46"/>
      <c r="Q2283" s="46"/>
      <c r="R2283" s="46"/>
      <c r="S2283" s="46"/>
      <c r="T2283" s="46"/>
      <c r="U2283" s="46"/>
      <c r="V2283" s="46"/>
      <c r="W2283" s="46"/>
      <c r="X2283" s="46"/>
    </row>
    <row r="2284" spans="1:24" x14ac:dyDescent="0.2">
      <c r="A2284" s="45"/>
      <c r="B2284" s="46"/>
      <c r="C2284" s="46"/>
      <c r="D2284" s="46"/>
      <c r="E2284" s="46"/>
      <c r="F2284" s="46"/>
      <c r="G2284" s="46"/>
      <c r="H2284" s="46"/>
      <c r="I2284" s="46"/>
      <c r="J2284" s="46"/>
      <c r="K2284" s="46"/>
      <c r="L2284" s="46"/>
      <c r="M2284" s="46"/>
      <c r="N2284" s="46"/>
      <c r="O2284" s="46"/>
      <c r="P2284" s="46"/>
      <c r="Q2284" s="46"/>
      <c r="R2284" s="46"/>
      <c r="S2284" s="46"/>
      <c r="T2284" s="46"/>
      <c r="U2284" s="46"/>
      <c r="V2284" s="46"/>
      <c r="W2284" s="46"/>
      <c r="X2284" s="46"/>
    </row>
    <row r="2285" spans="1:24" x14ac:dyDescent="0.2">
      <c r="A2285" s="45"/>
      <c r="B2285" s="46"/>
      <c r="C2285" s="46"/>
      <c r="D2285" s="46"/>
      <c r="E2285" s="46"/>
      <c r="F2285" s="46"/>
      <c r="G2285" s="46"/>
      <c r="H2285" s="46"/>
      <c r="I2285" s="46"/>
      <c r="J2285" s="46"/>
      <c r="K2285" s="46"/>
      <c r="L2285" s="46"/>
      <c r="M2285" s="46"/>
      <c r="N2285" s="46"/>
      <c r="O2285" s="46"/>
      <c r="P2285" s="46"/>
      <c r="Q2285" s="46"/>
      <c r="R2285" s="46"/>
      <c r="S2285" s="46"/>
      <c r="T2285" s="46"/>
      <c r="U2285" s="46"/>
      <c r="V2285" s="46"/>
      <c r="W2285" s="46"/>
      <c r="X2285" s="46"/>
    </row>
    <row r="2286" spans="1:24" x14ac:dyDescent="0.2">
      <c r="A2286" s="45"/>
      <c r="B2286" s="46"/>
      <c r="C2286" s="46"/>
      <c r="D2286" s="46"/>
      <c r="E2286" s="46"/>
      <c r="F2286" s="46"/>
      <c r="G2286" s="46"/>
      <c r="H2286" s="46"/>
      <c r="I2286" s="46"/>
      <c r="J2286" s="46"/>
      <c r="K2286" s="46"/>
      <c r="L2286" s="46"/>
      <c r="M2286" s="46"/>
      <c r="N2286" s="46"/>
      <c r="O2286" s="46"/>
      <c r="P2286" s="46"/>
      <c r="Q2286" s="46"/>
      <c r="R2286" s="46"/>
      <c r="S2286" s="46"/>
      <c r="T2286" s="46"/>
      <c r="U2286" s="46"/>
      <c r="V2286" s="46"/>
      <c r="W2286" s="46"/>
      <c r="X2286" s="46"/>
    </row>
    <row r="2287" spans="1:24" x14ac:dyDescent="0.2">
      <c r="A2287" s="45"/>
      <c r="B2287" s="46"/>
      <c r="C2287" s="46"/>
      <c r="D2287" s="46"/>
      <c r="E2287" s="46"/>
      <c r="F2287" s="46"/>
      <c r="G2287" s="46"/>
      <c r="H2287" s="46"/>
      <c r="I2287" s="46"/>
      <c r="J2287" s="46"/>
      <c r="K2287" s="46"/>
      <c r="L2287" s="46"/>
      <c r="M2287" s="46"/>
      <c r="N2287" s="46"/>
      <c r="O2287" s="46"/>
      <c r="P2287" s="46"/>
      <c r="Q2287" s="46"/>
      <c r="R2287" s="46"/>
      <c r="S2287" s="46"/>
      <c r="T2287" s="46"/>
      <c r="U2287" s="46"/>
      <c r="V2287" s="46"/>
      <c r="W2287" s="46"/>
      <c r="X2287" s="46"/>
    </row>
    <row r="2288" spans="1:24" x14ac:dyDescent="0.2">
      <c r="A2288" s="45"/>
      <c r="B2288" s="46"/>
      <c r="C2288" s="46"/>
      <c r="D2288" s="46"/>
      <c r="E2288" s="46"/>
      <c r="F2288" s="46"/>
      <c r="G2288" s="46"/>
      <c r="H2288" s="46"/>
      <c r="I2288" s="46"/>
      <c r="J2288" s="46"/>
      <c r="K2288" s="46"/>
      <c r="L2288" s="46"/>
      <c r="M2288" s="46"/>
      <c r="N2288" s="46"/>
      <c r="O2288" s="46"/>
      <c r="P2288" s="46"/>
      <c r="Q2288" s="46"/>
      <c r="R2288" s="46"/>
      <c r="S2288" s="46"/>
      <c r="T2288" s="46"/>
      <c r="U2288" s="46"/>
      <c r="V2288" s="46"/>
      <c r="W2288" s="46"/>
      <c r="X2288" s="46"/>
    </row>
    <row r="2289" spans="1:24" x14ac:dyDescent="0.2">
      <c r="A2289" s="45"/>
      <c r="B2289" s="46"/>
      <c r="C2289" s="46"/>
      <c r="D2289" s="46"/>
      <c r="E2289" s="46"/>
      <c r="F2289" s="46"/>
      <c r="G2289" s="46"/>
      <c r="H2289" s="46"/>
      <c r="I2289" s="46"/>
      <c r="J2289" s="46"/>
      <c r="K2289" s="46"/>
      <c r="L2289" s="46"/>
      <c r="M2289" s="46"/>
      <c r="N2289" s="46"/>
      <c r="O2289" s="46"/>
      <c r="P2289" s="46"/>
      <c r="Q2289" s="46"/>
      <c r="R2289" s="46"/>
      <c r="S2289" s="46"/>
      <c r="T2289" s="46"/>
      <c r="U2289" s="46"/>
      <c r="V2289" s="46"/>
      <c r="W2289" s="46"/>
      <c r="X2289" s="46"/>
    </row>
    <row r="2290" spans="1:24" x14ac:dyDescent="0.2">
      <c r="A2290" s="45"/>
      <c r="B2290" s="46"/>
      <c r="C2290" s="46"/>
      <c r="D2290" s="46"/>
      <c r="E2290" s="46"/>
      <c r="F2290" s="46"/>
      <c r="G2290" s="46"/>
      <c r="H2290" s="46"/>
      <c r="I2290" s="46"/>
      <c r="J2290" s="46"/>
      <c r="K2290" s="46"/>
      <c r="L2290" s="46"/>
      <c r="M2290" s="46"/>
      <c r="N2290" s="46"/>
      <c r="O2290" s="46"/>
      <c r="P2290" s="46"/>
      <c r="Q2290" s="46"/>
      <c r="R2290" s="46"/>
      <c r="S2290" s="46"/>
      <c r="T2290" s="46"/>
      <c r="U2290" s="46"/>
      <c r="V2290" s="46"/>
      <c r="W2290" s="46"/>
      <c r="X2290" s="46"/>
    </row>
    <row r="2291" spans="1:24" x14ac:dyDescent="0.2">
      <c r="A2291" s="45"/>
      <c r="B2291" s="46"/>
      <c r="C2291" s="46"/>
      <c r="D2291" s="46"/>
      <c r="E2291" s="46"/>
      <c r="F2291" s="46"/>
      <c r="G2291" s="46"/>
      <c r="H2291" s="46"/>
      <c r="I2291" s="46"/>
      <c r="J2291" s="46"/>
      <c r="K2291" s="46"/>
      <c r="L2291" s="46"/>
      <c r="M2291" s="46"/>
      <c r="N2291" s="46"/>
      <c r="O2291" s="46"/>
      <c r="P2291" s="46"/>
      <c r="Q2291" s="46"/>
      <c r="R2291" s="46"/>
      <c r="S2291" s="46"/>
      <c r="T2291" s="46"/>
      <c r="U2291" s="46"/>
      <c r="V2291" s="46"/>
      <c r="W2291" s="46"/>
      <c r="X2291" s="46"/>
    </row>
    <row r="2292" spans="1:24" x14ac:dyDescent="0.2">
      <c r="A2292" s="45"/>
      <c r="B2292" s="46"/>
      <c r="C2292" s="46"/>
      <c r="D2292" s="46"/>
      <c r="E2292" s="46"/>
      <c r="F2292" s="46"/>
      <c r="G2292" s="46"/>
      <c r="H2292" s="46"/>
      <c r="I2292" s="46"/>
      <c r="J2292" s="46"/>
      <c r="K2292" s="46"/>
      <c r="L2292" s="46"/>
      <c r="M2292" s="46"/>
      <c r="N2292" s="46"/>
      <c r="O2292" s="46"/>
      <c r="P2292" s="46"/>
      <c r="Q2292" s="46"/>
      <c r="R2292" s="46"/>
      <c r="S2292" s="46"/>
      <c r="T2292" s="46"/>
      <c r="U2292" s="46"/>
      <c r="V2292" s="46"/>
      <c r="W2292" s="46"/>
      <c r="X2292" s="46"/>
    </row>
    <row r="2293" spans="1:24" x14ac:dyDescent="0.2">
      <c r="A2293" s="45"/>
      <c r="B2293" s="46"/>
      <c r="C2293" s="46"/>
      <c r="D2293" s="46"/>
      <c r="E2293" s="46"/>
      <c r="F2293" s="46"/>
      <c r="G2293" s="46"/>
      <c r="H2293" s="46"/>
      <c r="I2293" s="46"/>
      <c r="J2293" s="46"/>
      <c r="K2293" s="46"/>
      <c r="L2293" s="46"/>
      <c r="M2293" s="46"/>
      <c r="N2293" s="46"/>
      <c r="O2293" s="46"/>
      <c r="P2293" s="46"/>
      <c r="Q2293" s="46"/>
      <c r="R2293" s="46"/>
      <c r="S2293" s="46"/>
      <c r="T2293" s="46"/>
      <c r="U2293" s="46"/>
      <c r="V2293" s="46"/>
      <c r="W2293" s="46"/>
      <c r="X2293" s="46"/>
    </row>
    <row r="2294" spans="1:24" x14ac:dyDescent="0.2">
      <c r="A2294" s="45"/>
      <c r="B2294" s="46"/>
      <c r="C2294" s="46"/>
      <c r="D2294" s="46"/>
      <c r="E2294" s="46"/>
      <c r="F2294" s="46"/>
      <c r="G2294" s="46"/>
      <c r="H2294" s="46"/>
      <c r="I2294" s="46"/>
      <c r="J2294" s="46"/>
      <c r="K2294" s="46"/>
      <c r="L2294" s="46"/>
      <c r="M2294" s="46"/>
      <c r="N2294" s="46"/>
      <c r="O2294" s="46"/>
      <c r="P2294" s="46"/>
      <c r="Q2294" s="46"/>
      <c r="R2294" s="46"/>
      <c r="S2294" s="46"/>
      <c r="T2294" s="46"/>
      <c r="U2294" s="46"/>
      <c r="V2294" s="46"/>
      <c r="W2294" s="46"/>
      <c r="X2294" s="46"/>
    </row>
    <row r="2295" spans="1:24" x14ac:dyDescent="0.2">
      <c r="A2295" s="45"/>
      <c r="B2295" s="46"/>
      <c r="C2295" s="46"/>
      <c r="D2295" s="46"/>
      <c r="E2295" s="46"/>
      <c r="F2295" s="46"/>
      <c r="G2295" s="46"/>
      <c r="H2295" s="46"/>
      <c r="I2295" s="46"/>
      <c r="J2295" s="46"/>
      <c r="K2295" s="46"/>
      <c r="L2295" s="46"/>
      <c r="M2295" s="46"/>
      <c r="N2295" s="46"/>
      <c r="O2295" s="46"/>
      <c r="P2295" s="46"/>
      <c r="Q2295" s="46"/>
      <c r="R2295" s="46"/>
      <c r="S2295" s="46"/>
      <c r="T2295" s="46"/>
      <c r="U2295" s="46"/>
      <c r="V2295" s="46"/>
      <c r="W2295" s="46"/>
      <c r="X2295" s="46"/>
    </row>
    <row r="2296" spans="1:24" x14ac:dyDescent="0.2">
      <c r="A2296" s="45"/>
      <c r="B2296" s="46"/>
      <c r="C2296" s="46"/>
      <c r="D2296" s="46"/>
      <c r="E2296" s="46"/>
      <c r="F2296" s="46"/>
      <c r="G2296" s="46"/>
      <c r="H2296" s="46"/>
      <c r="I2296" s="46"/>
      <c r="J2296" s="46"/>
      <c r="K2296" s="46"/>
      <c r="L2296" s="46"/>
      <c r="M2296" s="46"/>
      <c r="N2296" s="46"/>
      <c r="O2296" s="46"/>
      <c r="P2296" s="46"/>
      <c r="Q2296" s="46"/>
      <c r="R2296" s="46"/>
      <c r="S2296" s="46"/>
      <c r="T2296" s="46"/>
      <c r="U2296" s="46"/>
      <c r="V2296" s="46"/>
      <c r="W2296" s="46"/>
      <c r="X2296" s="46"/>
    </row>
    <row r="2297" spans="1:24" x14ac:dyDescent="0.2">
      <c r="A2297" s="45"/>
      <c r="B2297" s="46"/>
      <c r="C2297" s="46"/>
      <c r="D2297" s="46"/>
      <c r="E2297" s="46"/>
      <c r="F2297" s="46"/>
      <c r="G2297" s="46"/>
      <c r="H2297" s="46"/>
      <c r="I2297" s="46"/>
      <c r="J2297" s="46"/>
      <c r="K2297" s="46"/>
      <c r="L2297" s="46"/>
      <c r="M2297" s="46"/>
      <c r="N2297" s="46"/>
      <c r="O2297" s="46"/>
      <c r="P2297" s="46"/>
      <c r="Q2297" s="46"/>
      <c r="R2297" s="46"/>
      <c r="S2297" s="46"/>
      <c r="T2297" s="46"/>
      <c r="U2297" s="46"/>
      <c r="V2297" s="46"/>
      <c r="W2297" s="46"/>
      <c r="X2297" s="46"/>
    </row>
    <row r="2298" spans="1:24" x14ac:dyDescent="0.2">
      <c r="A2298" s="45"/>
      <c r="B2298" s="46"/>
      <c r="C2298" s="46"/>
      <c r="D2298" s="46"/>
      <c r="E2298" s="46"/>
      <c r="F2298" s="46"/>
      <c r="G2298" s="46"/>
      <c r="H2298" s="46"/>
      <c r="I2298" s="46"/>
      <c r="J2298" s="46"/>
      <c r="K2298" s="46"/>
      <c r="L2298" s="46"/>
      <c r="M2298" s="46"/>
      <c r="N2298" s="46"/>
      <c r="O2298" s="46"/>
      <c r="P2298" s="46"/>
      <c r="Q2298" s="46"/>
      <c r="R2298" s="46"/>
      <c r="S2298" s="46"/>
      <c r="T2298" s="46"/>
      <c r="U2298" s="46"/>
      <c r="V2298" s="46"/>
      <c r="W2298" s="46"/>
      <c r="X2298" s="46"/>
    </row>
    <row r="2299" spans="1:24" x14ac:dyDescent="0.2">
      <c r="A2299" s="45"/>
      <c r="B2299" s="46"/>
      <c r="C2299" s="46"/>
      <c r="D2299" s="46"/>
      <c r="E2299" s="46"/>
      <c r="F2299" s="46"/>
      <c r="G2299" s="46"/>
      <c r="H2299" s="46"/>
      <c r="I2299" s="46"/>
      <c r="J2299" s="46"/>
      <c r="K2299" s="46"/>
      <c r="L2299" s="46"/>
      <c r="M2299" s="46"/>
      <c r="N2299" s="46"/>
      <c r="O2299" s="46"/>
      <c r="P2299" s="46"/>
      <c r="Q2299" s="46"/>
      <c r="R2299" s="46"/>
      <c r="S2299" s="46"/>
      <c r="T2299" s="46"/>
      <c r="U2299" s="46"/>
      <c r="V2299" s="46"/>
      <c r="W2299" s="46"/>
      <c r="X2299" s="46"/>
    </row>
    <row r="2300" spans="1:24" x14ac:dyDescent="0.2">
      <c r="A2300" s="45"/>
      <c r="B2300" s="46"/>
      <c r="C2300" s="46"/>
      <c r="D2300" s="46"/>
      <c r="E2300" s="46"/>
      <c r="F2300" s="46"/>
      <c r="G2300" s="46"/>
      <c r="H2300" s="46"/>
      <c r="I2300" s="46"/>
      <c r="J2300" s="46"/>
      <c r="K2300" s="46"/>
      <c r="L2300" s="46"/>
      <c r="M2300" s="46"/>
      <c r="N2300" s="46"/>
      <c r="O2300" s="46"/>
      <c r="P2300" s="46"/>
      <c r="Q2300" s="46"/>
      <c r="R2300" s="46"/>
      <c r="S2300" s="46"/>
      <c r="T2300" s="46"/>
      <c r="U2300" s="46"/>
      <c r="V2300" s="46"/>
      <c r="W2300" s="46"/>
      <c r="X2300" s="46"/>
    </row>
    <row r="2301" spans="1:24" x14ac:dyDescent="0.2">
      <c r="A2301" s="45"/>
      <c r="B2301" s="46"/>
      <c r="C2301" s="46"/>
      <c r="D2301" s="46"/>
      <c r="E2301" s="46"/>
      <c r="F2301" s="46"/>
      <c r="G2301" s="46"/>
      <c r="H2301" s="46"/>
      <c r="I2301" s="46"/>
      <c r="J2301" s="46"/>
      <c r="K2301" s="46"/>
      <c r="L2301" s="46"/>
      <c r="M2301" s="46"/>
      <c r="N2301" s="46"/>
      <c r="O2301" s="46"/>
      <c r="P2301" s="46"/>
      <c r="Q2301" s="46"/>
      <c r="R2301" s="46"/>
      <c r="S2301" s="46"/>
      <c r="T2301" s="46"/>
      <c r="U2301" s="46"/>
      <c r="V2301" s="46"/>
      <c r="W2301" s="46"/>
      <c r="X2301" s="46"/>
    </row>
    <row r="2302" spans="1:24" x14ac:dyDescent="0.2">
      <c r="A2302" s="45"/>
      <c r="B2302" s="46"/>
      <c r="C2302" s="46"/>
      <c r="D2302" s="46"/>
      <c r="E2302" s="46"/>
      <c r="F2302" s="46"/>
      <c r="G2302" s="46"/>
      <c r="H2302" s="46"/>
      <c r="I2302" s="46"/>
      <c r="J2302" s="46"/>
      <c r="K2302" s="46"/>
      <c r="L2302" s="46"/>
      <c r="M2302" s="46"/>
      <c r="N2302" s="46"/>
      <c r="O2302" s="46"/>
      <c r="P2302" s="46"/>
      <c r="Q2302" s="46"/>
      <c r="R2302" s="46"/>
      <c r="S2302" s="46"/>
      <c r="T2302" s="46"/>
      <c r="U2302" s="46"/>
      <c r="V2302" s="46"/>
      <c r="W2302" s="46"/>
      <c r="X2302" s="46"/>
    </row>
    <row r="2303" spans="1:24" x14ac:dyDescent="0.2">
      <c r="A2303" s="45"/>
      <c r="B2303" s="46"/>
      <c r="C2303" s="46"/>
      <c r="D2303" s="46"/>
      <c r="E2303" s="46"/>
      <c r="F2303" s="46"/>
      <c r="G2303" s="46"/>
      <c r="H2303" s="46"/>
      <c r="I2303" s="46"/>
      <c r="J2303" s="46"/>
      <c r="K2303" s="46"/>
      <c r="L2303" s="46"/>
      <c r="M2303" s="46"/>
      <c r="N2303" s="46"/>
      <c r="O2303" s="46"/>
      <c r="P2303" s="46"/>
      <c r="Q2303" s="46"/>
      <c r="R2303" s="46"/>
      <c r="S2303" s="46"/>
      <c r="T2303" s="46"/>
      <c r="U2303" s="46"/>
      <c r="V2303" s="46"/>
      <c r="W2303" s="46"/>
      <c r="X2303" s="46"/>
    </row>
    <row r="2304" spans="1:24" x14ac:dyDescent="0.2">
      <c r="A2304" s="45"/>
      <c r="B2304" s="46"/>
      <c r="C2304" s="46"/>
      <c r="D2304" s="46"/>
      <c r="E2304" s="46"/>
      <c r="F2304" s="46"/>
      <c r="G2304" s="46"/>
      <c r="H2304" s="46"/>
      <c r="I2304" s="46"/>
      <c r="J2304" s="46"/>
      <c r="K2304" s="46"/>
      <c r="L2304" s="46"/>
      <c r="M2304" s="46"/>
      <c r="N2304" s="46"/>
      <c r="O2304" s="46"/>
      <c r="P2304" s="46"/>
      <c r="Q2304" s="46"/>
      <c r="R2304" s="46"/>
      <c r="S2304" s="46"/>
      <c r="T2304" s="46"/>
      <c r="U2304" s="46"/>
      <c r="V2304" s="46"/>
      <c r="W2304" s="46"/>
      <c r="X2304" s="46"/>
    </row>
    <row r="2305" spans="1:24" x14ac:dyDescent="0.2">
      <c r="A2305" s="45"/>
      <c r="B2305" s="46"/>
      <c r="C2305" s="46"/>
      <c r="D2305" s="46"/>
      <c r="E2305" s="46"/>
      <c r="F2305" s="46"/>
      <c r="G2305" s="46"/>
      <c r="H2305" s="46"/>
      <c r="I2305" s="46"/>
      <c r="J2305" s="46"/>
      <c r="K2305" s="46"/>
      <c r="L2305" s="46"/>
      <c r="M2305" s="46"/>
      <c r="N2305" s="46"/>
      <c r="O2305" s="46"/>
      <c r="P2305" s="46"/>
      <c r="Q2305" s="46"/>
      <c r="R2305" s="46"/>
      <c r="S2305" s="46"/>
      <c r="T2305" s="46"/>
      <c r="U2305" s="46"/>
      <c r="V2305" s="46"/>
      <c r="W2305" s="46"/>
      <c r="X2305" s="46"/>
    </row>
    <row r="2306" spans="1:24" x14ac:dyDescent="0.2">
      <c r="A2306" s="45"/>
      <c r="B2306" s="46"/>
      <c r="C2306" s="46"/>
      <c r="D2306" s="46"/>
      <c r="E2306" s="46"/>
      <c r="F2306" s="46"/>
      <c r="G2306" s="46"/>
      <c r="H2306" s="46"/>
      <c r="I2306" s="46"/>
      <c r="J2306" s="46"/>
      <c r="K2306" s="46"/>
      <c r="L2306" s="46"/>
      <c r="M2306" s="46"/>
      <c r="N2306" s="46"/>
      <c r="O2306" s="46"/>
      <c r="P2306" s="46"/>
      <c r="Q2306" s="46"/>
      <c r="R2306" s="46"/>
      <c r="S2306" s="46"/>
      <c r="T2306" s="46"/>
      <c r="U2306" s="46"/>
      <c r="V2306" s="46"/>
      <c r="W2306" s="46"/>
      <c r="X2306" s="46"/>
    </row>
    <row r="2307" spans="1:24" x14ac:dyDescent="0.2">
      <c r="A2307" s="45"/>
      <c r="B2307" s="46"/>
      <c r="C2307" s="46"/>
      <c r="D2307" s="46"/>
      <c r="E2307" s="46"/>
      <c r="F2307" s="46"/>
      <c r="G2307" s="46"/>
      <c r="H2307" s="46"/>
      <c r="I2307" s="46"/>
      <c r="J2307" s="46"/>
      <c r="K2307" s="46"/>
      <c r="L2307" s="46"/>
      <c r="M2307" s="46"/>
      <c r="N2307" s="46"/>
      <c r="O2307" s="46"/>
      <c r="P2307" s="46"/>
      <c r="Q2307" s="46"/>
      <c r="R2307" s="46"/>
      <c r="S2307" s="46"/>
      <c r="T2307" s="46"/>
      <c r="U2307" s="46"/>
      <c r="V2307" s="46"/>
      <c r="W2307" s="46"/>
      <c r="X2307" s="46"/>
    </row>
    <row r="2308" spans="1:24" x14ac:dyDescent="0.2">
      <c r="A2308" s="45"/>
      <c r="B2308" s="46"/>
      <c r="C2308" s="46"/>
      <c r="D2308" s="46"/>
      <c r="E2308" s="46"/>
      <c r="F2308" s="46"/>
      <c r="G2308" s="46"/>
      <c r="H2308" s="46"/>
      <c r="I2308" s="46"/>
      <c r="J2308" s="46"/>
      <c r="K2308" s="46"/>
      <c r="L2308" s="46"/>
      <c r="M2308" s="46"/>
      <c r="N2308" s="46"/>
      <c r="O2308" s="46"/>
      <c r="P2308" s="46"/>
      <c r="Q2308" s="46"/>
      <c r="R2308" s="46"/>
      <c r="S2308" s="46"/>
      <c r="T2308" s="46"/>
      <c r="U2308" s="46"/>
      <c r="V2308" s="46"/>
      <c r="W2308" s="46"/>
      <c r="X2308" s="46"/>
    </row>
    <row r="2309" spans="1:24" x14ac:dyDescent="0.2">
      <c r="A2309" s="45"/>
      <c r="B2309" s="46"/>
      <c r="C2309" s="46"/>
      <c r="D2309" s="46"/>
      <c r="E2309" s="46"/>
      <c r="F2309" s="46"/>
      <c r="G2309" s="46"/>
      <c r="H2309" s="46"/>
      <c r="I2309" s="46"/>
      <c r="J2309" s="46"/>
      <c r="K2309" s="46"/>
      <c r="L2309" s="46"/>
      <c r="M2309" s="46"/>
      <c r="N2309" s="46"/>
      <c r="O2309" s="46"/>
      <c r="P2309" s="46"/>
      <c r="Q2309" s="46"/>
      <c r="R2309" s="46"/>
      <c r="S2309" s="46"/>
      <c r="T2309" s="46"/>
      <c r="U2309" s="46"/>
      <c r="V2309" s="46"/>
      <c r="W2309" s="46"/>
      <c r="X2309" s="46"/>
    </row>
    <row r="2310" spans="1:24" x14ac:dyDescent="0.2">
      <c r="A2310" s="45"/>
      <c r="B2310" s="46"/>
      <c r="C2310" s="46"/>
      <c r="D2310" s="46"/>
      <c r="E2310" s="46"/>
      <c r="F2310" s="46"/>
      <c r="G2310" s="46"/>
      <c r="H2310" s="46"/>
      <c r="I2310" s="46"/>
      <c r="J2310" s="46"/>
      <c r="K2310" s="46"/>
      <c r="L2310" s="46"/>
      <c r="M2310" s="46"/>
      <c r="N2310" s="46"/>
      <c r="O2310" s="46"/>
      <c r="P2310" s="46"/>
      <c r="Q2310" s="46"/>
      <c r="R2310" s="46"/>
      <c r="S2310" s="46"/>
      <c r="T2310" s="46"/>
      <c r="U2310" s="46"/>
      <c r="V2310" s="46"/>
      <c r="W2310" s="46"/>
      <c r="X2310" s="46"/>
    </row>
    <row r="2311" spans="1:24" x14ac:dyDescent="0.2">
      <c r="A2311" s="45"/>
      <c r="B2311" s="46"/>
      <c r="C2311" s="46"/>
      <c r="D2311" s="46"/>
      <c r="E2311" s="46"/>
      <c r="F2311" s="46"/>
      <c r="G2311" s="46"/>
      <c r="H2311" s="46"/>
      <c r="I2311" s="46"/>
      <c r="J2311" s="46"/>
      <c r="K2311" s="46"/>
      <c r="L2311" s="46"/>
      <c r="M2311" s="46"/>
      <c r="N2311" s="46"/>
      <c r="O2311" s="46"/>
      <c r="P2311" s="46"/>
      <c r="Q2311" s="46"/>
      <c r="R2311" s="46"/>
      <c r="S2311" s="46"/>
      <c r="T2311" s="46"/>
      <c r="U2311" s="46"/>
      <c r="V2311" s="46"/>
      <c r="W2311" s="46"/>
      <c r="X2311" s="46"/>
    </row>
    <row r="2312" spans="1:24" x14ac:dyDescent="0.2">
      <c r="A2312" s="45"/>
      <c r="B2312" s="46"/>
      <c r="C2312" s="46"/>
      <c r="D2312" s="46"/>
      <c r="E2312" s="46"/>
      <c r="F2312" s="46"/>
      <c r="G2312" s="46"/>
      <c r="H2312" s="46"/>
      <c r="I2312" s="46"/>
      <c r="J2312" s="46"/>
      <c r="K2312" s="46"/>
      <c r="L2312" s="46"/>
      <c r="M2312" s="46"/>
      <c r="N2312" s="46"/>
      <c r="O2312" s="46"/>
      <c r="P2312" s="46"/>
      <c r="Q2312" s="46"/>
      <c r="R2312" s="46"/>
      <c r="S2312" s="46"/>
      <c r="T2312" s="46"/>
      <c r="U2312" s="46"/>
      <c r="V2312" s="46"/>
      <c r="W2312" s="46"/>
      <c r="X2312" s="46"/>
    </row>
    <row r="2313" spans="1:24" x14ac:dyDescent="0.2">
      <c r="A2313" s="45"/>
      <c r="B2313" s="46"/>
      <c r="C2313" s="46"/>
      <c r="D2313" s="46"/>
      <c r="E2313" s="46"/>
      <c r="F2313" s="46"/>
      <c r="G2313" s="46"/>
      <c r="H2313" s="46"/>
      <c r="I2313" s="46"/>
      <c r="J2313" s="46"/>
      <c r="K2313" s="46"/>
      <c r="L2313" s="46"/>
      <c r="M2313" s="46"/>
      <c r="N2313" s="46"/>
      <c r="O2313" s="46"/>
      <c r="P2313" s="46"/>
      <c r="Q2313" s="46"/>
      <c r="R2313" s="46"/>
      <c r="S2313" s="46"/>
      <c r="T2313" s="46"/>
      <c r="U2313" s="46"/>
      <c r="V2313" s="46"/>
      <c r="W2313" s="46"/>
      <c r="X2313" s="46"/>
    </row>
    <row r="2314" spans="1:24" x14ac:dyDescent="0.2">
      <c r="A2314" s="45"/>
      <c r="B2314" s="46"/>
      <c r="C2314" s="46"/>
      <c r="D2314" s="46"/>
      <c r="E2314" s="46"/>
      <c r="F2314" s="46"/>
      <c r="G2314" s="46"/>
      <c r="H2314" s="46"/>
      <c r="I2314" s="46"/>
      <c r="J2314" s="46"/>
      <c r="K2314" s="46"/>
      <c r="L2314" s="46"/>
      <c r="M2314" s="46"/>
      <c r="N2314" s="46"/>
      <c r="O2314" s="46"/>
      <c r="P2314" s="46"/>
      <c r="Q2314" s="46"/>
      <c r="R2314" s="46"/>
      <c r="S2314" s="46"/>
      <c r="T2314" s="46"/>
      <c r="U2314" s="46"/>
      <c r="V2314" s="46"/>
      <c r="W2314" s="46"/>
      <c r="X2314" s="46"/>
    </row>
    <row r="2315" spans="1:24" x14ac:dyDescent="0.2">
      <c r="A2315" s="45"/>
      <c r="B2315" s="46"/>
      <c r="C2315" s="46"/>
      <c r="D2315" s="46"/>
      <c r="E2315" s="46"/>
      <c r="F2315" s="46"/>
      <c r="G2315" s="46"/>
      <c r="H2315" s="46"/>
      <c r="I2315" s="46"/>
      <c r="J2315" s="46"/>
      <c r="K2315" s="46"/>
      <c r="L2315" s="46"/>
      <c r="M2315" s="46"/>
      <c r="N2315" s="46"/>
      <c r="O2315" s="46"/>
      <c r="P2315" s="46"/>
      <c r="Q2315" s="46"/>
      <c r="R2315" s="46"/>
      <c r="S2315" s="46"/>
      <c r="T2315" s="46"/>
      <c r="U2315" s="46"/>
      <c r="V2315" s="46"/>
      <c r="W2315" s="46"/>
      <c r="X2315" s="46"/>
    </row>
    <row r="2316" spans="1:24" x14ac:dyDescent="0.2">
      <c r="A2316" s="45"/>
      <c r="B2316" s="46"/>
      <c r="C2316" s="46"/>
      <c r="D2316" s="46"/>
      <c r="E2316" s="46"/>
      <c r="F2316" s="46"/>
      <c r="G2316" s="46"/>
      <c r="H2316" s="46"/>
      <c r="I2316" s="46"/>
      <c r="J2316" s="46"/>
      <c r="K2316" s="46"/>
      <c r="L2316" s="46"/>
      <c r="M2316" s="46"/>
      <c r="N2316" s="46"/>
      <c r="O2316" s="46"/>
      <c r="P2316" s="46"/>
      <c r="Q2316" s="46"/>
      <c r="R2316" s="46"/>
      <c r="S2316" s="46"/>
      <c r="T2316" s="46"/>
      <c r="U2316" s="46"/>
      <c r="V2316" s="46"/>
      <c r="W2316" s="46"/>
      <c r="X2316" s="46"/>
    </row>
    <row r="2317" spans="1:24" x14ac:dyDescent="0.2">
      <c r="A2317" s="45"/>
      <c r="B2317" s="46"/>
      <c r="C2317" s="46"/>
      <c r="D2317" s="46"/>
      <c r="E2317" s="46"/>
      <c r="F2317" s="46"/>
      <c r="G2317" s="46"/>
      <c r="H2317" s="46"/>
      <c r="I2317" s="46"/>
      <c r="J2317" s="46"/>
      <c r="K2317" s="46"/>
      <c r="L2317" s="46"/>
      <c r="M2317" s="46"/>
      <c r="N2317" s="46"/>
      <c r="O2317" s="46"/>
      <c r="P2317" s="46"/>
      <c r="Q2317" s="46"/>
      <c r="R2317" s="46"/>
      <c r="S2317" s="46"/>
      <c r="T2317" s="46"/>
      <c r="U2317" s="46"/>
      <c r="V2317" s="46"/>
      <c r="W2317" s="46"/>
      <c r="X2317" s="46"/>
    </row>
    <row r="2318" spans="1:24" x14ac:dyDescent="0.2">
      <c r="A2318" s="45"/>
      <c r="B2318" s="46"/>
      <c r="C2318" s="46"/>
      <c r="D2318" s="46"/>
      <c r="E2318" s="46"/>
      <c r="F2318" s="46"/>
      <c r="G2318" s="46"/>
      <c r="H2318" s="46"/>
      <c r="I2318" s="46"/>
      <c r="J2318" s="46"/>
      <c r="K2318" s="46"/>
      <c r="L2318" s="46"/>
      <c r="M2318" s="46"/>
      <c r="N2318" s="46"/>
      <c r="O2318" s="46"/>
      <c r="P2318" s="46"/>
      <c r="Q2318" s="46"/>
      <c r="R2318" s="46"/>
      <c r="S2318" s="46"/>
      <c r="T2318" s="46"/>
      <c r="U2318" s="46"/>
      <c r="V2318" s="46"/>
      <c r="W2318" s="46"/>
      <c r="X2318" s="46"/>
    </row>
    <row r="2319" spans="1:24" x14ac:dyDescent="0.2">
      <c r="A2319" s="45"/>
      <c r="B2319" s="46"/>
      <c r="C2319" s="46"/>
      <c r="D2319" s="46"/>
      <c r="E2319" s="46"/>
      <c r="F2319" s="46"/>
      <c r="G2319" s="46"/>
      <c r="H2319" s="46"/>
      <c r="I2319" s="46"/>
      <c r="J2319" s="46"/>
      <c r="K2319" s="46"/>
      <c r="L2319" s="46"/>
      <c r="M2319" s="46"/>
      <c r="N2319" s="46"/>
      <c r="O2319" s="46"/>
      <c r="P2319" s="46"/>
      <c r="Q2319" s="46"/>
      <c r="R2319" s="46"/>
      <c r="S2319" s="46"/>
      <c r="T2319" s="46"/>
      <c r="U2319" s="46"/>
      <c r="V2319" s="46"/>
      <c r="W2319" s="46"/>
      <c r="X2319" s="46"/>
    </row>
    <row r="2320" spans="1:24" x14ac:dyDescent="0.2">
      <c r="A2320" s="45"/>
      <c r="B2320" s="46"/>
      <c r="C2320" s="46"/>
      <c r="D2320" s="46"/>
      <c r="E2320" s="46"/>
      <c r="F2320" s="46"/>
      <c r="G2320" s="46"/>
      <c r="H2320" s="46"/>
      <c r="I2320" s="46"/>
      <c r="J2320" s="46"/>
      <c r="K2320" s="46"/>
      <c r="L2320" s="46"/>
      <c r="M2320" s="46"/>
      <c r="N2320" s="46"/>
      <c r="O2320" s="46"/>
      <c r="P2320" s="46"/>
      <c r="Q2320" s="46"/>
      <c r="R2320" s="46"/>
      <c r="S2320" s="46"/>
      <c r="T2320" s="46"/>
      <c r="U2320" s="46"/>
      <c r="V2320" s="46"/>
      <c r="W2320" s="46"/>
      <c r="X2320" s="46"/>
    </row>
    <row r="2321" spans="1:24" x14ac:dyDescent="0.2">
      <c r="A2321" s="45"/>
      <c r="B2321" s="46"/>
      <c r="C2321" s="46"/>
      <c r="D2321" s="46"/>
      <c r="E2321" s="46"/>
      <c r="F2321" s="46"/>
      <c r="G2321" s="46"/>
      <c r="H2321" s="46"/>
      <c r="I2321" s="46"/>
      <c r="J2321" s="46"/>
      <c r="K2321" s="46"/>
      <c r="L2321" s="46"/>
      <c r="M2321" s="46"/>
      <c r="N2321" s="46"/>
      <c r="O2321" s="46"/>
      <c r="P2321" s="46"/>
      <c r="Q2321" s="46"/>
      <c r="R2321" s="46"/>
      <c r="S2321" s="46"/>
      <c r="T2321" s="46"/>
      <c r="U2321" s="46"/>
      <c r="V2321" s="46"/>
      <c r="W2321" s="46"/>
      <c r="X2321" s="46"/>
    </row>
    <row r="2322" spans="1:24" x14ac:dyDescent="0.2">
      <c r="A2322" s="45"/>
      <c r="B2322" s="46"/>
      <c r="C2322" s="46"/>
      <c r="D2322" s="46"/>
      <c r="E2322" s="46"/>
      <c r="F2322" s="46"/>
      <c r="G2322" s="46"/>
      <c r="H2322" s="46"/>
      <c r="I2322" s="46"/>
      <c r="J2322" s="46"/>
      <c r="K2322" s="46"/>
      <c r="L2322" s="46"/>
      <c r="M2322" s="46"/>
      <c r="N2322" s="46"/>
      <c r="O2322" s="46"/>
      <c r="P2322" s="46"/>
      <c r="Q2322" s="46"/>
      <c r="R2322" s="46"/>
      <c r="S2322" s="46"/>
      <c r="T2322" s="46"/>
      <c r="U2322" s="46"/>
      <c r="V2322" s="46"/>
      <c r="W2322" s="46"/>
      <c r="X2322" s="46"/>
    </row>
    <row r="2323" spans="1:24" x14ac:dyDescent="0.2">
      <c r="A2323" s="45"/>
      <c r="B2323" s="46"/>
      <c r="C2323" s="46"/>
      <c r="D2323" s="46"/>
      <c r="E2323" s="46"/>
      <c r="F2323" s="46"/>
      <c r="G2323" s="46"/>
      <c r="H2323" s="46"/>
      <c r="I2323" s="46"/>
      <c r="J2323" s="46"/>
      <c r="K2323" s="46"/>
      <c r="L2323" s="46"/>
      <c r="M2323" s="46"/>
      <c r="N2323" s="46"/>
      <c r="O2323" s="46"/>
      <c r="P2323" s="46"/>
      <c r="Q2323" s="46"/>
      <c r="R2323" s="46"/>
      <c r="S2323" s="46"/>
      <c r="T2323" s="46"/>
      <c r="U2323" s="46"/>
      <c r="V2323" s="46"/>
      <c r="W2323" s="46"/>
      <c r="X2323" s="46"/>
    </row>
    <row r="2324" spans="1:24" x14ac:dyDescent="0.2">
      <c r="A2324" s="45"/>
      <c r="B2324" s="46"/>
      <c r="C2324" s="46"/>
      <c r="D2324" s="46"/>
      <c r="E2324" s="46"/>
      <c r="F2324" s="46"/>
      <c r="G2324" s="46"/>
      <c r="H2324" s="46"/>
      <c r="I2324" s="46"/>
      <c r="J2324" s="46"/>
      <c r="K2324" s="46"/>
      <c r="L2324" s="46"/>
      <c r="M2324" s="46"/>
      <c r="N2324" s="46"/>
      <c r="O2324" s="46"/>
      <c r="P2324" s="46"/>
      <c r="Q2324" s="46"/>
      <c r="R2324" s="46"/>
      <c r="S2324" s="46"/>
      <c r="T2324" s="46"/>
      <c r="U2324" s="46"/>
      <c r="V2324" s="46"/>
      <c r="W2324" s="46"/>
      <c r="X2324" s="46"/>
    </row>
    <row r="2325" spans="1:24" x14ac:dyDescent="0.2">
      <c r="A2325" s="45"/>
      <c r="B2325" s="46"/>
      <c r="C2325" s="46"/>
      <c r="D2325" s="46"/>
      <c r="E2325" s="46"/>
      <c r="F2325" s="46"/>
      <c r="G2325" s="46"/>
      <c r="H2325" s="46"/>
      <c r="I2325" s="46"/>
      <c r="J2325" s="46"/>
      <c r="K2325" s="46"/>
      <c r="L2325" s="46"/>
      <c r="M2325" s="46"/>
      <c r="N2325" s="46"/>
      <c r="O2325" s="46"/>
      <c r="P2325" s="46"/>
      <c r="Q2325" s="46"/>
      <c r="R2325" s="46"/>
      <c r="S2325" s="46"/>
      <c r="T2325" s="46"/>
      <c r="U2325" s="46"/>
      <c r="V2325" s="46"/>
      <c r="W2325" s="46"/>
      <c r="X2325" s="46"/>
    </row>
    <row r="2326" spans="1:24" x14ac:dyDescent="0.2">
      <c r="A2326" s="45"/>
      <c r="B2326" s="46"/>
      <c r="C2326" s="46"/>
      <c r="D2326" s="46"/>
      <c r="E2326" s="46"/>
      <c r="F2326" s="46"/>
      <c r="G2326" s="46"/>
      <c r="H2326" s="46"/>
      <c r="I2326" s="46"/>
      <c r="J2326" s="46"/>
      <c r="K2326" s="46"/>
      <c r="L2326" s="46"/>
      <c r="M2326" s="46"/>
      <c r="N2326" s="46"/>
      <c r="O2326" s="46"/>
      <c r="P2326" s="46"/>
      <c r="Q2326" s="46"/>
      <c r="R2326" s="46"/>
      <c r="S2326" s="46"/>
      <c r="T2326" s="46"/>
      <c r="U2326" s="46"/>
      <c r="V2326" s="46"/>
      <c r="W2326" s="46"/>
      <c r="X2326" s="46"/>
    </row>
    <row r="2327" spans="1:24" x14ac:dyDescent="0.2">
      <c r="A2327" s="45"/>
      <c r="B2327" s="46"/>
      <c r="C2327" s="46"/>
      <c r="D2327" s="46"/>
      <c r="E2327" s="46"/>
      <c r="F2327" s="46"/>
      <c r="G2327" s="46"/>
      <c r="H2327" s="46"/>
      <c r="I2327" s="46"/>
      <c r="J2327" s="46"/>
      <c r="K2327" s="46"/>
      <c r="L2327" s="46"/>
      <c r="M2327" s="46"/>
      <c r="N2327" s="46"/>
      <c r="O2327" s="46"/>
      <c r="P2327" s="46"/>
      <c r="Q2327" s="46"/>
      <c r="R2327" s="46"/>
      <c r="S2327" s="46"/>
      <c r="T2327" s="46"/>
      <c r="U2327" s="46"/>
      <c r="V2327" s="46"/>
      <c r="W2327" s="46"/>
      <c r="X2327" s="46"/>
    </row>
    <row r="2328" spans="1:24" x14ac:dyDescent="0.2">
      <c r="A2328" s="45"/>
      <c r="B2328" s="46"/>
      <c r="C2328" s="46"/>
      <c r="D2328" s="46"/>
      <c r="E2328" s="46"/>
      <c r="F2328" s="46"/>
      <c r="G2328" s="46"/>
      <c r="H2328" s="46"/>
      <c r="I2328" s="46"/>
      <c r="J2328" s="46"/>
      <c r="K2328" s="46"/>
      <c r="L2328" s="46"/>
      <c r="M2328" s="46"/>
      <c r="N2328" s="46"/>
      <c r="O2328" s="46"/>
      <c r="P2328" s="46"/>
      <c r="Q2328" s="46"/>
      <c r="R2328" s="46"/>
      <c r="S2328" s="46"/>
      <c r="T2328" s="46"/>
      <c r="U2328" s="46"/>
      <c r="V2328" s="46"/>
      <c r="W2328" s="46"/>
      <c r="X2328" s="46"/>
    </row>
    <row r="2329" spans="1:24" x14ac:dyDescent="0.2">
      <c r="A2329" s="45"/>
      <c r="B2329" s="46"/>
      <c r="C2329" s="46"/>
      <c r="D2329" s="46"/>
      <c r="E2329" s="46"/>
      <c r="F2329" s="46"/>
      <c r="G2329" s="46"/>
      <c r="H2329" s="46"/>
      <c r="I2329" s="46"/>
      <c r="J2329" s="46"/>
      <c r="K2329" s="46"/>
      <c r="L2329" s="46"/>
      <c r="M2329" s="46"/>
      <c r="N2329" s="46"/>
      <c r="O2329" s="46"/>
      <c r="P2329" s="46"/>
      <c r="Q2329" s="46"/>
      <c r="R2329" s="46"/>
      <c r="S2329" s="46"/>
      <c r="T2329" s="46"/>
      <c r="U2329" s="46"/>
      <c r="V2329" s="46"/>
      <c r="W2329" s="46"/>
      <c r="X2329" s="46"/>
    </row>
    <row r="2330" spans="1:24" x14ac:dyDescent="0.2">
      <c r="A2330" s="45"/>
      <c r="B2330" s="46"/>
      <c r="C2330" s="46"/>
      <c r="D2330" s="46"/>
      <c r="E2330" s="46"/>
      <c r="F2330" s="46"/>
      <c r="G2330" s="46"/>
      <c r="H2330" s="46"/>
      <c r="I2330" s="46"/>
      <c r="J2330" s="46"/>
      <c r="K2330" s="46"/>
      <c r="L2330" s="46"/>
      <c r="M2330" s="46"/>
      <c r="N2330" s="46"/>
      <c r="O2330" s="46"/>
      <c r="P2330" s="46"/>
      <c r="Q2330" s="46"/>
      <c r="R2330" s="46"/>
      <c r="S2330" s="46"/>
      <c r="T2330" s="46"/>
      <c r="U2330" s="46"/>
      <c r="V2330" s="46"/>
      <c r="W2330" s="46"/>
      <c r="X2330" s="46"/>
    </row>
    <row r="2331" spans="1:24" x14ac:dyDescent="0.2">
      <c r="A2331" s="45"/>
      <c r="B2331" s="46"/>
      <c r="C2331" s="46"/>
      <c r="D2331" s="46"/>
      <c r="E2331" s="46"/>
      <c r="F2331" s="46"/>
      <c r="G2331" s="46"/>
      <c r="H2331" s="46"/>
      <c r="I2331" s="46"/>
      <c r="J2331" s="46"/>
      <c r="K2331" s="46"/>
      <c r="L2331" s="46"/>
      <c r="M2331" s="46"/>
      <c r="N2331" s="46"/>
      <c r="O2331" s="46"/>
      <c r="P2331" s="46"/>
      <c r="Q2331" s="46"/>
      <c r="R2331" s="46"/>
      <c r="S2331" s="46"/>
      <c r="T2331" s="46"/>
      <c r="U2331" s="46"/>
      <c r="V2331" s="46"/>
      <c r="W2331" s="46"/>
      <c r="X2331" s="46"/>
    </row>
    <row r="2332" spans="1:24" x14ac:dyDescent="0.2">
      <c r="A2332" s="45"/>
      <c r="B2332" s="46"/>
      <c r="C2332" s="46"/>
      <c r="D2332" s="46"/>
      <c r="E2332" s="46"/>
      <c r="F2332" s="46"/>
      <c r="G2332" s="46"/>
      <c r="H2332" s="46"/>
      <c r="I2332" s="46"/>
      <c r="J2332" s="46"/>
      <c r="K2332" s="46"/>
      <c r="L2332" s="46"/>
      <c r="M2332" s="46"/>
      <c r="N2332" s="46"/>
      <c r="O2332" s="46"/>
      <c r="P2332" s="46"/>
      <c r="Q2332" s="46"/>
      <c r="R2332" s="46"/>
      <c r="S2332" s="46"/>
      <c r="T2332" s="46"/>
      <c r="U2332" s="46"/>
      <c r="V2332" s="46"/>
      <c r="W2332" s="46"/>
      <c r="X2332" s="46"/>
    </row>
    <row r="2333" spans="1:24" x14ac:dyDescent="0.2">
      <c r="A2333" s="45"/>
      <c r="B2333" s="46"/>
      <c r="C2333" s="46"/>
      <c r="D2333" s="46"/>
      <c r="E2333" s="46"/>
      <c r="F2333" s="46"/>
      <c r="G2333" s="46"/>
      <c r="H2333" s="46"/>
      <c r="I2333" s="46"/>
      <c r="J2333" s="46"/>
      <c r="K2333" s="46"/>
      <c r="L2333" s="46"/>
      <c r="M2333" s="46"/>
      <c r="N2333" s="46"/>
      <c r="O2333" s="46"/>
      <c r="P2333" s="46"/>
      <c r="Q2333" s="46"/>
      <c r="R2333" s="46"/>
      <c r="S2333" s="46"/>
      <c r="T2333" s="46"/>
      <c r="U2333" s="46"/>
      <c r="V2333" s="46"/>
      <c r="W2333" s="46"/>
      <c r="X2333" s="46"/>
    </row>
    <row r="2334" spans="1:24" x14ac:dyDescent="0.2">
      <c r="A2334" s="45"/>
      <c r="B2334" s="46"/>
      <c r="C2334" s="46"/>
      <c r="D2334" s="46"/>
      <c r="E2334" s="46"/>
      <c r="F2334" s="46"/>
      <c r="G2334" s="46"/>
      <c r="H2334" s="46"/>
      <c r="I2334" s="46"/>
      <c r="J2334" s="46"/>
      <c r="K2334" s="46"/>
      <c r="L2334" s="46"/>
      <c r="M2334" s="46"/>
      <c r="N2334" s="46"/>
      <c r="O2334" s="46"/>
      <c r="P2334" s="46"/>
      <c r="Q2334" s="46"/>
      <c r="R2334" s="46"/>
      <c r="S2334" s="46"/>
      <c r="T2334" s="46"/>
      <c r="U2334" s="46"/>
      <c r="V2334" s="46"/>
      <c r="W2334" s="46"/>
      <c r="X2334" s="46"/>
    </row>
    <row r="2335" spans="1:24" x14ac:dyDescent="0.2">
      <c r="A2335" s="45"/>
      <c r="B2335" s="46"/>
      <c r="C2335" s="46"/>
      <c r="D2335" s="46"/>
      <c r="E2335" s="46"/>
      <c r="F2335" s="46"/>
      <c r="G2335" s="46"/>
      <c r="H2335" s="46"/>
      <c r="I2335" s="46"/>
      <c r="J2335" s="46"/>
      <c r="K2335" s="46"/>
      <c r="L2335" s="46"/>
      <c r="M2335" s="46"/>
      <c r="N2335" s="46"/>
      <c r="O2335" s="46"/>
      <c r="P2335" s="46"/>
      <c r="Q2335" s="46"/>
      <c r="R2335" s="46"/>
      <c r="S2335" s="46"/>
      <c r="T2335" s="46"/>
      <c r="U2335" s="46"/>
      <c r="V2335" s="46"/>
      <c r="W2335" s="46"/>
      <c r="X2335" s="46"/>
    </row>
    <row r="2336" spans="1:24" x14ac:dyDescent="0.2">
      <c r="A2336" s="45"/>
      <c r="B2336" s="46"/>
      <c r="C2336" s="46"/>
      <c r="D2336" s="46"/>
      <c r="E2336" s="46"/>
      <c r="F2336" s="46"/>
      <c r="G2336" s="46"/>
      <c r="H2336" s="46"/>
      <c r="I2336" s="46"/>
      <c r="J2336" s="46"/>
      <c r="K2336" s="46"/>
      <c r="L2336" s="46"/>
      <c r="M2336" s="46"/>
      <c r="N2336" s="46"/>
      <c r="O2336" s="46"/>
      <c r="P2336" s="46"/>
      <c r="Q2336" s="46"/>
      <c r="R2336" s="46"/>
      <c r="S2336" s="46"/>
      <c r="T2336" s="46"/>
      <c r="U2336" s="46"/>
      <c r="V2336" s="46"/>
      <c r="W2336" s="46"/>
      <c r="X2336" s="46"/>
    </row>
    <row r="2337" spans="1:24" x14ac:dyDescent="0.2">
      <c r="A2337" s="45"/>
      <c r="B2337" s="46"/>
      <c r="C2337" s="46"/>
      <c r="D2337" s="46"/>
      <c r="E2337" s="46"/>
      <c r="F2337" s="46"/>
      <c r="G2337" s="46"/>
      <c r="H2337" s="46"/>
      <c r="I2337" s="46"/>
      <c r="J2337" s="46"/>
      <c r="K2337" s="46"/>
      <c r="L2337" s="46"/>
      <c r="M2337" s="46"/>
      <c r="N2337" s="46"/>
      <c r="O2337" s="46"/>
      <c r="P2337" s="46"/>
      <c r="Q2337" s="46"/>
      <c r="R2337" s="46"/>
      <c r="S2337" s="46"/>
      <c r="T2337" s="46"/>
      <c r="U2337" s="46"/>
      <c r="V2337" s="46"/>
      <c r="W2337" s="46"/>
      <c r="X2337" s="46"/>
    </row>
    <row r="2338" spans="1:24" x14ac:dyDescent="0.2">
      <c r="A2338" s="45"/>
      <c r="B2338" s="46"/>
      <c r="C2338" s="46"/>
      <c r="D2338" s="46"/>
      <c r="E2338" s="46"/>
      <c r="F2338" s="46"/>
      <c r="G2338" s="46"/>
      <c r="H2338" s="46"/>
      <c r="I2338" s="46"/>
      <c r="J2338" s="46"/>
      <c r="K2338" s="46"/>
      <c r="L2338" s="46"/>
      <c r="M2338" s="46"/>
      <c r="N2338" s="46"/>
      <c r="O2338" s="46"/>
      <c r="P2338" s="46"/>
      <c r="Q2338" s="46"/>
      <c r="R2338" s="46"/>
      <c r="S2338" s="46"/>
      <c r="T2338" s="46"/>
      <c r="U2338" s="46"/>
      <c r="V2338" s="46"/>
      <c r="W2338" s="46"/>
      <c r="X2338" s="46"/>
    </row>
    <row r="2339" spans="1:24" x14ac:dyDescent="0.2">
      <c r="A2339" s="45"/>
      <c r="B2339" s="46"/>
      <c r="C2339" s="46"/>
      <c r="D2339" s="46"/>
      <c r="E2339" s="46"/>
      <c r="F2339" s="46"/>
      <c r="G2339" s="46"/>
      <c r="H2339" s="46"/>
      <c r="I2339" s="46"/>
      <c r="J2339" s="46"/>
      <c r="K2339" s="46"/>
      <c r="L2339" s="46"/>
      <c r="M2339" s="46"/>
      <c r="N2339" s="46"/>
      <c r="O2339" s="46"/>
      <c r="P2339" s="46"/>
      <c r="Q2339" s="46"/>
      <c r="R2339" s="46"/>
      <c r="S2339" s="46"/>
      <c r="T2339" s="46"/>
      <c r="U2339" s="46"/>
      <c r="V2339" s="46"/>
      <c r="W2339" s="46"/>
      <c r="X2339" s="46"/>
    </row>
    <row r="2340" spans="1:24" x14ac:dyDescent="0.2">
      <c r="A2340" s="45"/>
      <c r="B2340" s="46"/>
      <c r="C2340" s="46"/>
      <c r="D2340" s="46"/>
      <c r="E2340" s="46"/>
      <c r="F2340" s="46"/>
      <c r="G2340" s="46"/>
      <c r="H2340" s="46"/>
      <c r="I2340" s="46"/>
      <c r="J2340" s="46"/>
      <c r="K2340" s="46"/>
      <c r="L2340" s="46"/>
      <c r="M2340" s="46"/>
      <c r="N2340" s="46"/>
      <c r="O2340" s="46"/>
      <c r="P2340" s="46"/>
      <c r="Q2340" s="46"/>
      <c r="R2340" s="46"/>
      <c r="S2340" s="46"/>
      <c r="T2340" s="46"/>
      <c r="U2340" s="46"/>
      <c r="V2340" s="46"/>
      <c r="W2340" s="46"/>
      <c r="X2340" s="46"/>
    </row>
    <row r="2341" spans="1:24" x14ac:dyDescent="0.2">
      <c r="A2341" s="45"/>
      <c r="B2341" s="46"/>
      <c r="C2341" s="46"/>
      <c r="D2341" s="46"/>
      <c r="E2341" s="46"/>
      <c r="F2341" s="46"/>
      <c r="G2341" s="46"/>
      <c r="H2341" s="46"/>
      <c r="I2341" s="46"/>
      <c r="J2341" s="46"/>
      <c r="K2341" s="46"/>
      <c r="L2341" s="46"/>
      <c r="M2341" s="46"/>
      <c r="N2341" s="46"/>
      <c r="O2341" s="46"/>
      <c r="P2341" s="46"/>
      <c r="Q2341" s="46"/>
      <c r="R2341" s="46"/>
      <c r="S2341" s="46"/>
      <c r="T2341" s="46"/>
      <c r="U2341" s="46"/>
      <c r="V2341" s="46"/>
      <c r="W2341" s="46"/>
      <c r="X2341" s="46"/>
    </row>
    <row r="2342" spans="1:24" x14ac:dyDescent="0.2">
      <c r="A2342" s="45"/>
      <c r="B2342" s="46"/>
      <c r="C2342" s="46"/>
      <c r="D2342" s="46"/>
      <c r="E2342" s="46"/>
      <c r="F2342" s="46"/>
      <c r="G2342" s="46"/>
      <c r="H2342" s="46"/>
      <c r="I2342" s="46"/>
      <c r="J2342" s="46"/>
      <c r="K2342" s="46"/>
      <c r="L2342" s="46"/>
      <c r="M2342" s="46"/>
      <c r="N2342" s="46"/>
      <c r="O2342" s="46"/>
      <c r="P2342" s="46"/>
      <c r="Q2342" s="46"/>
      <c r="R2342" s="46"/>
      <c r="S2342" s="46"/>
      <c r="T2342" s="46"/>
      <c r="U2342" s="46"/>
      <c r="V2342" s="46"/>
      <c r="W2342" s="46"/>
      <c r="X2342" s="46"/>
    </row>
    <row r="2343" spans="1:24" x14ac:dyDescent="0.2">
      <c r="A2343" s="45"/>
      <c r="B2343" s="46"/>
      <c r="C2343" s="46"/>
      <c r="D2343" s="46"/>
      <c r="E2343" s="46"/>
      <c r="F2343" s="46"/>
      <c r="G2343" s="46"/>
      <c r="H2343" s="46"/>
      <c r="I2343" s="46"/>
      <c r="J2343" s="46"/>
      <c r="K2343" s="46"/>
      <c r="L2343" s="46"/>
      <c r="M2343" s="46"/>
      <c r="N2343" s="46"/>
      <c r="O2343" s="46"/>
      <c r="P2343" s="46"/>
      <c r="Q2343" s="46"/>
      <c r="R2343" s="46"/>
      <c r="S2343" s="46"/>
      <c r="T2343" s="46"/>
      <c r="U2343" s="46"/>
      <c r="V2343" s="46"/>
      <c r="W2343" s="46"/>
      <c r="X2343" s="46"/>
    </row>
    <row r="2344" spans="1:24" x14ac:dyDescent="0.2">
      <c r="A2344" s="45"/>
      <c r="B2344" s="46"/>
      <c r="C2344" s="46"/>
      <c r="D2344" s="46"/>
      <c r="E2344" s="46"/>
      <c r="F2344" s="46"/>
      <c r="G2344" s="46"/>
      <c r="H2344" s="46"/>
      <c r="I2344" s="46"/>
      <c r="J2344" s="46"/>
      <c r="K2344" s="46"/>
      <c r="L2344" s="46"/>
      <c r="M2344" s="46"/>
      <c r="N2344" s="46"/>
      <c r="O2344" s="46"/>
      <c r="P2344" s="46"/>
      <c r="Q2344" s="46"/>
      <c r="R2344" s="46"/>
      <c r="S2344" s="46"/>
      <c r="T2344" s="46"/>
      <c r="U2344" s="46"/>
      <c r="V2344" s="46"/>
      <c r="W2344" s="46"/>
      <c r="X2344" s="46"/>
    </row>
    <row r="2345" spans="1:24" x14ac:dyDescent="0.2">
      <c r="A2345" s="45"/>
      <c r="B2345" s="46"/>
      <c r="C2345" s="46"/>
      <c r="D2345" s="46"/>
      <c r="E2345" s="46"/>
      <c r="F2345" s="46"/>
      <c r="G2345" s="46"/>
      <c r="H2345" s="46"/>
      <c r="I2345" s="46"/>
      <c r="J2345" s="46"/>
      <c r="K2345" s="46"/>
      <c r="L2345" s="46"/>
      <c r="M2345" s="46"/>
      <c r="N2345" s="46"/>
      <c r="O2345" s="46"/>
      <c r="P2345" s="46"/>
      <c r="Q2345" s="46"/>
      <c r="R2345" s="46"/>
      <c r="S2345" s="46"/>
      <c r="T2345" s="46"/>
      <c r="U2345" s="46"/>
      <c r="V2345" s="46"/>
      <c r="W2345" s="46"/>
      <c r="X2345" s="46"/>
    </row>
    <row r="2346" spans="1:24" x14ac:dyDescent="0.2">
      <c r="A2346" s="45"/>
      <c r="B2346" s="46"/>
      <c r="C2346" s="46"/>
      <c r="D2346" s="46"/>
      <c r="E2346" s="46"/>
      <c r="F2346" s="46"/>
      <c r="G2346" s="46"/>
      <c r="H2346" s="46"/>
      <c r="I2346" s="46"/>
      <c r="J2346" s="46"/>
      <c r="K2346" s="46"/>
      <c r="L2346" s="46"/>
      <c r="M2346" s="46"/>
      <c r="N2346" s="46"/>
      <c r="O2346" s="46"/>
      <c r="P2346" s="46"/>
      <c r="Q2346" s="46"/>
      <c r="R2346" s="46"/>
      <c r="S2346" s="46"/>
      <c r="T2346" s="46"/>
      <c r="U2346" s="46"/>
      <c r="V2346" s="46"/>
      <c r="W2346" s="46"/>
      <c r="X2346" s="46"/>
    </row>
    <row r="2347" spans="1:24" x14ac:dyDescent="0.2">
      <c r="A2347" s="45"/>
      <c r="B2347" s="46"/>
      <c r="C2347" s="46"/>
      <c r="D2347" s="46"/>
      <c r="E2347" s="46"/>
      <c r="F2347" s="46"/>
      <c r="G2347" s="46"/>
      <c r="H2347" s="46"/>
      <c r="I2347" s="46"/>
      <c r="J2347" s="46"/>
      <c r="K2347" s="46"/>
      <c r="L2347" s="46"/>
      <c r="M2347" s="46"/>
      <c r="N2347" s="46"/>
      <c r="O2347" s="46"/>
      <c r="P2347" s="46"/>
      <c r="Q2347" s="46"/>
      <c r="R2347" s="46"/>
      <c r="S2347" s="46"/>
      <c r="T2347" s="46"/>
      <c r="U2347" s="46"/>
      <c r="V2347" s="46"/>
      <c r="W2347" s="46"/>
      <c r="X2347" s="46"/>
    </row>
    <row r="2348" spans="1:24" x14ac:dyDescent="0.2">
      <c r="A2348" s="45"/>
      <c r="B2348" s="46"/>
      <c r="C2348" s="46"/>
      <c r="D2348" s="46"/>
      <c r="E2348" s="46"/>
      <c r="F2348" s="46"/>
      <c r="G2348" s="46"/>
      <c r="H2348" s="46"/>
      <c r="I2348" s="46"/>
      <c r="J2348" s="46"/>
      <c r="K2348" s="46"/>
      <c r="L2348" s="46"/>
      <c r="M2348" s="46"/>
      <c r="N2348" s="46"/>
      <c r="O2348" s="46"/>
      <c r="P2348" s="46"/>
      <c r="Q2348" s="46"/>
      <c r="R2348" s="46"/>
      <c r="S2348" s="46"/>
      <c r="T2348" s="46"/>
      <c r="U2348" s="46"/>
      <c r="V2348" s="46"/>
      <c r="W2348" s="46"/>
      <c r="X2348" s="46"/>
    </row>
    <row r="2349" spans="1:24" x14ac:dyDescent="0.2">
      <c r="A2349" s="45"/>
      <c r="B2349" s="46"/>
      <c r="C2349" s="46"/>
      <c r="D2349" s="46"/>
      <c r="E2349" s="46"/>
      <c r="F2349" s="46"/>
      <c r="G2349" s="46"/>
      <c r="H2349" s="46"/>
      <c r="I2349" s="46"/>
      <c r="J2349" s="46"/>
      <c r="K2349" s="46"/>
      <c r="L2349" s="46"/>
      <c r="M2349" s="46"/>
      <c r="N2349" s="46"/>
      <c r="O2349" s="46"/>
      <c r="P2349" s="46"/>
      <c r="Q2349" s="46"/>
      <c r="R2349" s="46"/>
      <c r="S2349" s="46"/>
      <c r="T2349" s="46"/>
      <c r="U2349" s="46"/>
      <c r="V2349" s="46"/>
      <c r="W2349" s="46"/>
      <c r="X2349" s="46"/>
    </row>
    <row r="2350" spans="1:24" x14ac:dyDescent="0.2">
      <c r="A2350" s="45"/>
      <c r="B2350" s="46"/>
      <c r="C2350" s="46"/>
      <c r="D2350" s="46"/>
      <c r="E2350" s="46"/>
      <c r="F2350" s="46"/>
      <c r="G2350" s="46"/>
      <c r="H2350" s="46"/>
      <c r="I2350" s="46"/>
      <c r="J2350" s="46"/>
      <c r="K2350" s="46"/>
      <c r="L2350" s="46"/>
      <c r="M2350" s="46"/>
      <c r="N2350" s="46"/>
      <c r="O2350" s="46"/>
      <c r="P2350" s="46"/>
      <c r="Q2350" s="46"/>
      <c r="R2350" s="46"/>
      <c r="S2350" s="46"/>
      <c r="T2350" s="46"/>
      <c r="U2350" s="46"/>
      <c r="V2350" s="46"/>
      <c r="W2350" s="46"/>
      <c r="X2350" s="46"/>
    </row>
    <row r="2351" spans="1:24" x14ac:dyDescent="0.2">
      <c r="A2351" s="45"/>
      <c r="B2351" s="46"/>
      <c r="C2351" s="46"/>
      <c r="D2351" s="46"/>
      <c r="E2351" s="46"/>
      <c r="F2351" s="46"/>
      <c r="G2351" s="46"/>
      <c r="H2351" s="46"/>
      <c r="I2351" s="46"/>
      <c r="J2351" s="46"/>
      <c r="K2351" s="46"/>
      <c r="L2351" s="46"/>
      <c r="M2351" s="46"/>
      <c r="N2351" s="46"/>
      <c r="O2351" s="46"/>
      <c r="P2351" s="46"/>
      <c r="Q2351" s="46"/>
      <c r="R2351" s="46"/>
      <c r="S2351" s="46"/>
      <c r="T2351" s="46"/>
      <c r="U2351" s="46"/>
      <c r="V2351" s="46"/>
      <c r="W2351" s="46"/>
      <c r="X2351" s="46"/>
    </row>
    <row r="2352" spans="1:24" x14ac:dyDescent="0.2">
      <c r="A2352" s="45"/>
      <c r="B2352" s="46"/>
      <c r="C2352" s="46"/>
      <c r="D2352" s="46"/>
      <c r="E2352" s="46"/>
      <c r="F2352" s="46"/>
      <c r="G2352" s="46"/>
      <c r="H2352" s="46"/>
      <c r="I2352" s="46"/>
      <c r="J2352" s="46"/>
      <c r="K2352" s="46"/>
      <c r="L2352" s="46"/>
      <c r="M2352" s="46"/>
      <c r="N2352" s="46"/>
      <c r="O2352" s="46"/>
      <c r="P2352" s="46"/>
      <c r="Q2352" s="46"/>
      <c r="R2352" s="46"/>
      <c r="S2352" s="46"/>
      <c r="T2352" s="46"/>
      <c r="U2352" s="46"/>
      <c r="V2352" s="46"/>
      <c r="W2352" s="46"/>
      <c r="X2352" s="46"/>
    </row>
    <row r="2353" spans="1:24" x14ac:dyDescent="0.2">
      <c r="A2353" s="45"/>
      <c r="B2353" s="46"/>
      <c r="C2353" s="46"/>
      <c r="D2353" s="46"/>
      <c r="E2353" s="46"/>
      <c r="F2353" s="46"/>
      <c r="G2353" s="46"/>
      <c r="H2353" s="46"/>
      <c r="I2353" s="46"/>
      <c r="J2353" s="46"/>
      <c r="K2353" s="46"/>
      <c r="L2353" s="46"/>
      <c r="M2353" s="46"/>
      <c r="N2353" s="46"/>
      <c r="O2353" s="46"/>
      <c r="P2353" s="46"/>
      <c r="Q2353" s="46"/>
      <c r="R2353" s="46"/>
      <c r="S2353" s="46"/>
      <c r="T2353" s="46"/>
      <c r="U2353" s="46"/>
      <c r="V2353" s="46"/>
      <c r="W2353" s="46"/>
      <c r="X2353" s="46"/>
    </row>
    <row r="2354" spans="1:24" x14ac:dyDescent="0.2">
      <c r="A2354" s="45"/>
      <c r="B2354" s="46"/>
      <c r="C2354" s="46"/>
      <c r="D2354" s="46"/>
      <c r="E2354" s="46"/>
      <c r="F2354" s="46"/>
      <c r="G2354" s="46"/>
      <c r="H2354" s="46"/>
      <c r="I2354" s="46"/>
      <c r="J2354" s="46"/>
      <c r="K2354" s="46"/>
      <c r="L2354" s="46"/>
      <c r="M2354" s="46"/>
      <c r="N2354" s="46"/>
      <c r="O2354" s="46"/>
      <c r="P2354" s="46"/>
      <c r="Q2354" s="46"/>
      <c r="R2354" s="46"/>
      <c r="S2354" s="46"/>
      <c r="T2354" s="46"/>
      <c r="U2354" s="46"/>
      <c r="V2354" s="46"/>
      <c r="W2354" s="46"/>
      <c r="X2354" s="46"/>
    </row>
    <row r="2355" spans="1:24" x14ac:dyDescent="0.2">
      <c r="A2355" s="45"/>
      <c r="B2355" s="46"/>
      <c r="C2355" s="46"/>
      <c r="D2355" s="46"/>
      <c r="E2355" s="46"/>
      <c r="F2355" s="46"/>
      <c r="G2355" s="46"/>
      <c r="H2355" s="46"/>
      <c r="I2355" s="46"/>
      <c r="J2355" s="46"/>
      <c r="K2355" s="46"/>
      <c r="L2355" s="46"/>
      <c r="M2355" s="46"/>
      <c r="N2355" s="46"/>
      <c r="O2355" s="46"/>
      <c r="P2355" s="46"/>
      <c r="Q2355" s="46"/>
      <c r="R2355" s="46"/>
      <c r="S2355" s="46"/>
      <c r="T2355" s="46"/>
      <c r="U2355" s="46"/>
      <c r="V2355" s="46"/>
      <c r="W2355" s="46"/>
      <c r="X2355" s="46"/>
    </row>
    <row r="2356" spans="1:24" x14ac:dyDescent="0.2">
      <c r="A2356" s="45"/>
      <c r="B2356" s="46"/>
      <c r="C2356" s="46"/>
      <c r="D2356" s="46"/>
      <c r="E2356" s="46"/>
      <c r="F2356" s="46"/>
      <c r="G2356" s="46"/>
      <c r="H2356" s="46"/>
      <c r="I2356" s="46"/>
      <c r="J2356" s="46"/>
      <c r="K2356" s="46"/>
      <c r="L2356" s="46"/>
      <c r="M2356" s="46"/>
      <c r="N2356" s="46"/>
      <c r="O2356" s="46"/>
      <c r="P2356" s="46"/>
      <c r="Q2356" s="46"/>
      <c r="R2356" s="46"/>
      <c r="S2356" s="46"/>
      <c r="T2356" s="46"/>
      <c r="U2356" s="46"/>
      <c r="V2356" s="46"/>
      <c r="W2356" s="46"/>
      <c r="X2356" s="46"/>
    </row>
    <row r="2357" spans="1:24" x14ac:dyDescent="0.2">
      <c r="A2357" s="45"/>
      <c r="B2357" s="46"/>
      <c r="C2357" s="46"/>
      <c r="D2357" s="46"/>
      <c r="E2357" s="46"/>
      <c r="F2357" s="46"/>
      <c r="G2357" s="46"/>
      <c r="H2357" s="46"/>
      <c r="I2357" s="46"/>
      <c r="J2357" s="46"/>
      <c r="K2357" s="46"/>
      <c r="L2357" s="46"/>
      <c r="M2357" s="46"/>
      <c r="N2357" s="46"/>
      <c r="O2357" s="46"/>
      <c r="P2357" s="46"/>
      <c r="Q2357" s="46"/>
      <c r="R2357" s="46"/>
      <c r="S2357" s="46"/>
      <c r="T2357" s="46"/>
      <c r="U2357" s="46"/>
      <c r="V2357" s="46"/>
      <c r="W2357" s="46"/>
      <c r="X2357" s="46"/>
    </row>
    <row r="2358" spans="1:24" x14ac:dyDescent="0.2">
      <c r="A2358" s="45"/>
      <c r="B2358" s="46"/>
      <c r="C2358" s="46"/>
      <c r="D2358" s="46"/>
      <c r="E2358" s="46"/>
      <c r="F2358" s="46"/>
      <c r="G2358" s="46"/>
      <c r="H2358" s="46"/>
      <c r="I2358" s="46"/>
      <c r="J2358" s="46"/>
      <c r="K2358" s="46"/>
      <c r="L2358" s="46"/>
      <c r="M2358" s="46"/>
      <c r="N2358" s="46"/>
      <c r="O2358" s="46"/>
      <c r="P2358" s="46"/>
      <c r="Q2358" s="46"/>
      <c r="R2358" s="46"/>
      <c r="S2358" s="46"/>
      <c r="T2358" s="46"/>
      <c r="U2358" s="46"/>
      <c r="V2358" s="46"/>
      <c r="W2358" s="46"/>
      <c r="X2358" s="46"/>
    </row>
    <row r="2359" spans="1:24" x14ac:dyDescent="0.2">
      <c r="A2359" s="45"/>
      <c r="B2359" s="46"/>
      <c r="C2359" s="46"/>
      <c r="D2359" s="46"/>
      <c r="E2359" s="46"/>
      <c r="F2359" s="46"/>
      <c r="G2359" s="46"/>
      <c r="H2359" s="46"/>
      <c r="I2359" s="46"/>
      <c r="J2359" s="46"/>
      <c r="K2359" s="46"/>
      <c r="L2359" s="46"/>
      <c r="M2359" s="46"/>
      <c r="N2359" s="46"/>
      <c r="O2359" s="46"/>
      <c r="P2359" s="46"/>
      <c r="Q2359" s="46"/>
      <c r="R2359" s="46"/>
      <c r="S2359" s="46"/>
      <c r="T2359" s="46"/>
      <c r="U2359" s="46"/>
      <c r="V2359" s="46"/>
      <c r="W2359" s="46"/>
      <c r="X2359" s="46"/>
    </row>
    <row r="2360" spans="1:24" x14ac:dyDescent="0.2">
      <c r="A2360" s="45"/>
      <c r="B2360" s="46"/>
      <c r="C2360" s="46"/>
      <c r="D2360" s="46"/>
      <c r="E2360" s="46"/>
      <c r="F2360" s="46"/>
      <c r="G2360" s="46"/>
      <c r="H2360" s="46"/>
      <c r="I2360" s="46"/>
      <c r="J2360" s="46"/>
      <c r="K2360" s="46"/>
      <c r="L2360" s="46"/>
      <c r="M2360" s="46"/>
      <c r="N2360" s="46"/>
      <c r="O2360" s="46"/>
      <c r="P2360" s="46"/>
      <c r="Q2360" s="46"/>
      <c r="R2360" s="46"/>
      <c r="S2360" s="46"/>
      <c r="T2360" s="46"/>
      <c r="U2360" s="46"/>
      <c r="V2360" s="46"/>
      <c r="W2360" s="46"/>
      <c r="X2360" s="46"/>
    </row>
    <row r="2361" spans="1:24" x14ac:dyDescent="0.2">
      <c r="A2361" s="45"/>
      <c r="B2361" s="46"/>
      <c r="C2361" s="46"/>
      <c r="D2361" s="46"/>
      <c r="E2361" s="46"/>
      <c r="F2361" s="46"/>
      <c r="G2361" s="46"/>
      <c r="H2361" s="46"/>
      <c r="I2361" s="46"/>
      <c r="J2361" s="46"/>
      <c r="K2361" s="46"/>
      <c r="L2361" s="46"/>
      <c r="M2361" s="46"/>
      <c r="N2361" s="46"/>
      <c r="O2361" s="46"/>
      <c r="P2361" s="46"/>
      <c r="Q2361" s="46"/>
      <c r="R2361" s="46"/>
      <c r="S2361" s="46"/>
      <c r="T2361" s="46"/>
      <c r="U2361" s="46"/>
      <c r="V2361" s="46"/>
      <c r="W2361" s="46"/>
      <c r="X2361" s="46"/>
    </row>
    <row r="2362" spans="1:24" x14ac:dyDescent="0.2">
      <c r="A2362" s="45"/>
      <c r="B2362" s="46"/>
      <c r="C2362" s="46"/>
      <c r="D2362" s="46"/>
      <c r="E2362" s="46"/>
      <c r="F2362" s="46"/>
      <c r="G2362" s="46"/>
      <c r="H2362" s="46"/>
      <c r="I2362" s="46"/>
      <c r="J2362" s="46"/>
      <c r="K2362" s="46"/>
      <c r="L2362" s="46"/>
      <c r="M2362" s="46"/>
      <c r="N2362" s="46"/>
      <c r="O2362" s="46"/>
      <c r="P2362" s="46"/>
      <c r="Q2362" s="46"/>
      <c r="R2362" s="46"/>
      <c r="S2362" s="46"/>
      <c r="T2362" s="46"/>
      <c r="U2362" s="46"/>
      <c r="V2362" s="46"/>
      <c r="W2362" s="46"/>
      <c r="X2362" s="46"/>
    </row>
    <row r="2363" spans="1:24" x14ac:dyDescent="0.2">
      <c r="A2363" s="45"/>
      <c r="B2363" s="46"/>
      <c r="C2363" s="46"/>
      <c r="D2363" s="46"/>
      <c r="E2363" s="46"/>
      <c r="F2363" s="46"/>
      <c r="G2363" s="46"/>
      <c r="H2363" s="46"/>
      <c r="I2363" s="46"/>
      <c r="J2363" s="46"/>
      <c r="K2363" s="46"/>
      <c r="L2363" s="46"/>
      <c r="M2363" s="46"/>
      <c r="N2363" s="46"/>
      <c r="O2363" s="46"/>
      <c r="P2363" s="46"/>
      <c r="Q2363" s="46"/>
      <c r="R2363" s="46"/>
      <c r="S2363" s="46"/>
      <c r="T2363" s="46"/>
      <c r="U2363" s="46"/>
      <c r="V2363" s="46"/>
      <c r="W2363" s="46"/>
      <c r="X2363" s="46"/>
    </row>
    <row r="2364" spans="1:24" x14ac:dyDescent="0.2">
      <c r="A2364" s="45"/>
      <c r="B2364" s="46"/>
      <c r="C2364" s="46"/>
      <c r="D2364" s="46"/>
      <c r="E2364" s="46"/>
      <c r="F2364" s="46"/>
      <c r="G2364" s="46"/>
      <c r="H2364" s="46"/>
      <c r="I2364" s="46"/>
      <c r="J2364" s="46"/>
      <c r="K2364" s="46"/>
      <c r="L2364" s="46"/>
      <c r="M2364" s="46"/>
      <c r="N2364" s="46"/>
      <c r="O2364" s="46"/>
      <c r="P2364" s="46"/>
      <c r="Q2364" s="46"/>
      <c r="R2364" s="46"/>
      <c r="S2364" s="46"/>
      <c r="T2364" s="46"/>
      <c r="U2364" s="46"/>
      <c r="V2364" s="46"/>
      <c r="W2364" s="46"/>
      <c r="X2364" s="46"/>
    </row>
    <row r="2365" spans="1:24" x14ac:dyDescent="0.2">
      <c r="A2365" s="45"/>
      <c r="B2365" s="46"/>
      <c r="C2365" s="46"/>
      <c r="D2365" s="46"/>
      <c r="E2365" s="46"/>
      <c r="F2365" s="46"/>
      <c r="G2365" s="46"/>
      <c r="H2365" s="46"/>
      <c r="I2365" s="46"/>
      <c r="J2365" s="46"/>
      <c r="K2365" s="46"/>
      <c r="L2365" s="46"/>
      <c r="M2365" s="46"/>
      <c r="N2365" s="46"/>
      <c r="O2365" s="46"/>
      <c r="P2365" s="46"/>
      <c r="Q2365" s="46"/>
      <c r="R2365" s="46"/>
      <c r="S2365" s="46"/>
      <c r="T2365" s="46"/>
      <c r="U2365" s="46"/>
      <c r="V2365" s="46"/>
      <c r="W2365" s="46"/>
      <c r="X2365" s="46"/>
    </row>
    <row r="2366" spans="1:24" x14ac:dyDescent="0.2">
      <c r="A2366" s="45"/>
      <c r="B2366" s="46"/>
      <c r="C2366" s="46"/>
      <c r="D2366" s="46"/>
      <c r="E2366" s="46"/>
      <c r="F2366" s="46"/>
      <c r="G2366" s="46"/>
      <c r="H2366" s="46"/>
      <c r="I2366" s="46"/>
      <c r="J2366" s="46"/>
      <c r="K2366" s="46"/>
      <c r="L2366" s="46"/>
      <c r="M2366" s="46"/>
      <c r="N2366" s="46"/>
      <c r="O2366" s="46"/>
      <c r="P2366" s="46"/>
      <c r="Q2366" s="46"/>
      <c r="R2366" s="46"/>
      <c r="S2366" s="46"/>
      <c r="T2366" s="46"/>
      <c r="U2366" s="46"/>
      <c r="V2366" s="46"/>
      <c r="W2366" s="46"/>
      <c r="X2366" s="46"/>
    </row>
    <row r="2367" spans="1:24" x14ac:dyDescent="0.2">
      <c r="A2367" s="45"/>
      <c r="B2367" s="46"/>
      <c r="C2367" s="46"/>
      <c r="D2367" s="46"/>
      <c r="E2367" s="46"/>
      <c r="F2367" s="46"/>
      <c r="G2367" s="46"/>
      <c r="H2367" s="46"/>
      <c r="I2367" s="46"/>
      <c r="J2367" s="46"/>
      <c r="K2367" s="46"/>
      <c r="L2367" s="46"/>
      <c r="M2367" s="46"/>
      <c r="N2367" s="46"/>
      <c r="O2367" s="46"/>
      <c r="P2367" s="46"/>
      <c r="Q2367" s="46"/>
      <c r="R2367" s="46"/>
      <c r="S2367" s="46"/>
      <c r="T2367" s="46"/>
      <c r="U2367" s="46"/>
      <c r="V2367" s="46"/>
      <c r="W2367" s="46"/>
      <c r="X2367" s="46"/>
    </row>
    <row r="2368" spans="1:24" x14ac:dyDescent="0.2">
      <c r="A2368" s="45"/>
      <c r="B2368" s="46"/>
      <c r="C2368" s="46"/>
      <c r="D2368" s="46"/>
      <c r="E2368" s="46"/>
      <c r="F2368" s="46"/>
      <c r="G2368" s="46"/>
      <c r="H2368" s="46"/>
      <c r="I2368" s="46"/>
      <c r="J2368" s="46"/>
      <c r="K2368" s="46"/>
      <c r="L2368" s="46"/>
      <c r="M2368" s="46"/>
      <c r="N2368" s="46"/>
      <c r="O2368" s="46"/>
      <c r="P2368" s="46"/>
      <c r="Q2368" s="46"/>
      <c r="R2368" s="46"/>
      <c r="S2368" s="46"/>
      <c r="T2368" s="46"/>
      <c r="U2368" s="46"/>
      <c r="V2368" s="46"/>
      <c r="W2368" s="46"/>
      <c r="X2368" s="46"/>
    </row>
    <row r="2369" spans="1:24" x14ac:dyDescent="0.2">
      <c r="A2369" s="45"/>
      <c r="B2369" s="46"/>
      <c r="C2369" s="46"/>
      <c r="D2369" s="46"/>
      <c r="E2369" s="46"/>
      <c r="F2369" s="46"/>
      <c r="G2369" s="46"/>
      <c r="H2369" s="46"/>
      <c r="I2369" s="46"/>
      <c r="J2369" s="46"/>
      <c r="K2369" s="46"/>
      <c r="L2369" s="46"/>
      <c r="M2369" s="46"/>
      <c r="N2369" s="46"/>
      <c r="O2369" s="46"/>
      <c r="P2369" s="46"/>
      <c r="Q2369" s="46"/>
      <c r="R2369" s="46"/>
      <c r="S2369" s="46"/>
      <c r="T2369" s="46"/>
      <c r="U2369" s="46"/>
      <c r="V2369" s="46"/>
      <c r="W2369" s="46"/>
      <c r="X2369" s="46"/>
    </row>
    <row r="2370" spans="1:24" x14ac:dyDescent="0.2">
      <c r="A2370" s="45"/>
      <c r="B2370" s="46"/>
      <c r="C2370" s="46"/>
      <c r="D2370" s="46"/>
      <c r="E2370" s="46"/>
      <c r="F2370" s="46"/>
      <c r="G2370" s="46"/>
      <c r="H2370" s="46"/>
      <c r="I2370" s="46"/>
      <c r="J2370" s="46"/>
      <c r="K2370" s="46"/>
      <c r="L2370" s="46"/>
      <c r="M2370" s="46"/>
      <c r="N2370" s="46"/>
      <c r="O2370" s="46"/>
      <c r="P2370" s="46"/>
      <c r="Q2370" s="46"/>
      <c r="R2370" s="46"/>
      <c r="S2370" s="46"/>
      <c r="T2370" s="46"/>
      <c r="U2370" s="46"/>
      <c r="V2370" s="46"/>
      <c r="W2370" s="46"/>
      <c r="X2370" s="46"/>
    </row>
    <row r="2371" spans="1:24" x14ac:dyDescent="0.2">
      <c r="A2371" s="45"/>
      <c r="B2371" s="46"/>
      <c r="C2371" s="46"/>
      <c r="D2371" s="46"/>
      <c r="E2371" s="46"/>
      <c r="F2371" s="46"/>
      <c r="G2371" s="46"/>
      <c r="H2371" s="46"/>
      <c r="I2371" s="46"/>
      <c r="J2371" s="46"/>
      <c r="K2371" s="46"/>
      <c r="L2371" s="46"/>
      <c r="M2371" s="46"/>
      <c r="N2371" s="46"/>
      <c r="O2371" s="46"/>
      <c r="P2371" s="46"/>
      <c r="Q2371" s="46"/>
      <c r="R2371" s="46"/>
      <c r="S2371" s="46"/>
      <c r="T2371" s="46"/>
      <c r="U2371" s="46"/>
      <c r="V2371" s="46"/>
      <c r="W2371" s="46"/>
      <c r="X2371" s="46"/>
    </row>
    <row r="2372" spans="1:24" x14ac:dyDescent="0.2">
      <c r="A2372" s="45"/>
      <c r="B2372" s="46"/>
      <c r="C2372" s="46"/>
      <c r="D2372" s="46"/>
      <c r="E2372" s="46"/>
      <c r="F2372" s="46"/>
      <c r="G2372" s="46"/>
      <c r="H2372" s="46"/>
      <c r="I2372" s="46"/>
      <c r="J2372" s="46"/>
      <c r="K2372" s="46"/>
      <c r="L2372" s="46"/>
      <c r="M2372" s="46"/>
      <c r="N2372" s="46"/>
      <c r="O2372" s="46"/>
      <c r="P2372" s="46"/>
      <c r="Q2372" s="46"/>
      <c r="R2372" s="46"/>
      <c r="S2372" s="46"/>
      <c r="T2372" s="46"/>
      <c r="U2372" s="46"/>
      <c r="V2372" s="46"/>
      <c r="W2372" s="46"/>
      <c r="X2372" s="46"/>
    </row>
    <row r="2373" spans="1:24" x14ac:dyDescent="0.2">
      <c r="A2373" s="45"/>
      <c r="B2373" s="46"/>
      <c r="C2373" s="46"/>
      <c r="D2373" s="46"/>
      <c r="E2373" s="46"/>
      <c r="F2373" s="46"/>
      <c r="G2373" s="46"/>
      <c r="H2373" s="46"/>
      <c r="I2373" s="46"/>
      <c r="J2373" s="46"/>
      <c r="K2373" s="46"/>
      <c r="L2373" s="46"/>
      <c r="M2373" s="46"/>
      <c r="N2373" s="46"/>
      <c r="O2373" s="46"/>
      <c r="P2373" s="46"/>
      <c r="Q2373" s="46"/>
      <c r="R2373" s="46"/>
      <c r="S2373" s="46"/>
      <c r="T2373" s="46"/>
      <c r="U2373" s="46"/>
      <c r="V2373" s="46"/>
      <c r="W2373" s="46"/>
      <c r="X2373" s="46"/>
    </row>
    <row r="2374" spans="1:24" x14ac:dyDescent="0.2">
      <c r="A2374" s="45"/>
      <c r="B2374" s="46"/>
      <c r="C2374" s="46"/>
      <c r="D2374" s="46"/>
      <c r="E2374" s="46"/>
      <c r="F2374" s="46"/>
      <c r="G2374" s="46"/>
      <c r="H2374" s="46"/>
      <c r="I2374" s="46"/>
      <c r="J2374" s="46"/>
      <c r="K2374" s="46"/>
      <c r="L2374" s="46"/>
      <c r="M2374" s="46"/>
      <c r="N2374" s="46"/>
      <c r="O2374" s="46"/>
      <c r="P2374" s="46"/>
      <c r="Q2374" s="46"/>
      <c r="R2374" s="46"/>
      <c r="S2374" s="46"/>
      <c r="T2374" s="46"/>
      <c r="U2374" s="46"/>
      <c r="V2374" s="46"/>
      <c r="W2374" s="46"/>
      <c r="X2374" s="46"/>
    </row>
    <row r="2375" spans="1:24" x14ac:dyDescent="0.2">
      <c r="A2375" s="45"/>
      <c r="B2375" s="46"/>
      <c r="C2375" s="46"/>
      <c r="D2375" s="46"/>
      <c r="E2375" s="46"/>
      <c r="F2375" s="46"/>
      <c r="G2375" s="46"/>
      <c r="H2375" s="46"/>
      <c r="I2375" s="46"/>
      <c r="J2375" s="46"/>
      <c r="K2375" s="46"/>
      <c r="L2375" s="46"/>
      <c r="M2375" s="46"/>
      <c r="N2375" s="46"/>
      <c r="O2375" s="46"/>
      <c r="P2375" s="46"/>
      <c r="Q2375" s="46"/>
      <c r="R2375" s="46"/>
      <c r="S2375" s="46"/>
      <c r="T2375" s="46"/>
      <c r="U2375" s="46"/>
      <c r="V2375" s="46"/>
      <c r="W2375" s="46"/>
      <c r="X2375" s="46"/>
    </row>
    <row r="2376" spans="1:24" x14ac:dyDescent="0.2">
      <c r="A2376" s="45"/>
      <c r="B2376" s="46"/>
      <c r="C2376" s="46"/>
      <c r="D2376" s="46"/>
      <c r="E2376" s="46"/>
      <c r="F2376" s="46"/>
      <c r="G2376" s="46"/>
      <c r="H2376" s="46"/>
      <c r="I2376" s="46"/>
      <c r="J2376" s="46"/>
      <c r="K2376" s="46"/>
      <c r="L2376" s="46"/>
      <c r="M2376" s="46"/>
      <c r="N2376" s="46"/>
      <c r="O2376" s="46"/>
      <c r="P2376" s="46"/>
      <c r="Q2376" s="46"/>
      <c r="R2376" s="46"/>
      <c r="S2376" s="46"/>
      <c r="T2376" s="46"/>
      <c r="U2376" s="46"/>
      <c r="V2376" s="46"/>
      <c r="W2376" s="46"/>
      <c r="X2376" s="46"/>
    </row>
    <row r="2377" spans="1:24" x14ac:dyDescent="0.2">
      <c r="A2377" s="45"/>
      <c r="B2377" s="46"/>
      <c r="C2377" s="46"/>
      <c r="D2377" s="46"/>
      <c r="E2377" s="46"/>
      <c r="F2377" s="46"/>
      <c r="G2377" s="46"/>
      <c r="H2377" s="46"/>
      <c r="I2377" s="46"/>
      <c r="J2377" s="46"/>
      <c r="K2377" s="46"/>
      <c r="L2377" s="46"/>
      <c r="M2377" s="46"/>
      <c r="N2377" s="46"/>
      <c r="O2377" s="46"/>
      <c r="P2377" s="46"/>
      <c r="Q2377" s="46"/>
      <c r="R2377" s="46"/>
      <c r="S2377" s="46"/>
      <c r="T2377" s="46"/>
      <c r="U2377" s="46"/>
      <c r="V2377" s="46"/>
      <c r="W2377" s="46"/>
      <c r="X2377" s="46"/>
    </row>
    <row r="2378" spans="1:24" x14ac:dyDescent="0.2">
      <c r="A2378" s="45"/>
      <c r="B2378" s="46"/>
      <c r="C2378" s="46"/>
      <c r="D2378" s="46"/>
      <c r="E2378" s="46"/>
      <c r="F2378" s="46"/>
      <c r="G2378" s="46"/>
      <c r="H2378" s="46"/>
      <c r="I2378" s="46"/>
      <c r="J2378" s="46"/>
      <c r="K2378" s="46"/>
      <c r="L2378" s="46"/>
      <c r="M2378" s="46"/>
      <c r="N2378" s="46"/>
      <c r="O2378" s="46"/>
      <c r="P2378" s="46"/>
      <c r="Q2378" s="46"/>
      <c r="R2378" s="46"/>
      <c r="S2378" s="46"/>
      <c r="T2378" s="46"/>
      <c r="U2378" s="46"/>
      <c r="V2378" s="46"/>
      <c r="W2378" s="46"/>
      <c r="X2378" s="46"/>
    </row>
    <row r="2379" spans="1:24" x14ac:dyDescent="0.2">
      <c r="A2379" s="45"/>
      <c r="B2379" s="46"/>
      <c r="C2379" s="46"/>
      <c r="D2379" s="46"/>
      <c r="E2379" s="46"/>
      <c r="F2379" s="46"/>
      <c r="G2379" s="46"/>
      <c r="H2379" s="46"/>
      <c r="I2379" s="46"/>
      <c r="J2379" s="46"/>
      <c r="K2379" s="46"/>
      <c r="L2379" s="46"/>
      <c r="M2379" s="46"/>
      <c r="N2379" s="46"/>
      <c r="O2379" s="46"/>
      <c r="P2379" s="46"/>
      <c r="Q2379" s="46"/>
      <c r="R2379" s="46"/>
      <c r="S2379" s="46"/>
      <c r="T2379" s="46"/>
      <c r="U2379" s="46"/>
      <c r="V2379" s="46"/>
      <c r="W2379" s="46"/>
      <c r="X2379" s="46"/>
    </row>
    <row r="2380" spans="1:24" x14ac:dyDescent="0.2">
      <c r="A2380" s="45"/>
      <c r="B2380" s="46"/>
      <c r="C2380" s="46"/>
      <c r="D2380" s="46"/>
      <c r="E2380" s="46"/>
      <c r="F2380" s="46"/>
      <c r="G2380" s="46"/>
      <c r="H2380" s="46"/>
      <c r="I2380" s="46"/>
      <c r="J2380" s="46"/>
      <c r="K2380" s="46"/>
      <c r="L2380" s="46"/>
      <c r="M2380" s="46"/>
      <c r="N2380" s="46"/>
      <c r="O2380" s="46"/>
      <c r="P2380" s="46"/>
      <c r="Q2380" s="46"/>
      <c r="R2380" s="46"/>
      <c r="S2380" s="46"/>
      <c r="T2380" s="46"/>
      <c r="U2380" s="46"/>
      <c r="V2380" s="46"/>
      <c r="W2380" s="46"/>
      <c r="X2380" s="46"/>
    </row>
    <row r="2381" spans="1:24" x14ac:dyDescent="0.2">
      <c r="A2381" s="45"/>
      <c r="B2381" s="46"/>
      <c r="C2381" s="46"/>
      <c r="D2381" s="46"/>
      <c r="E2381" s="46"/>
      <c r="F2381" s="46"/>
      <c r="G2381" s="46"/>
      <c r="H2381" s="46"/>
      <c r="I2381" s="46"/>
      <c r="J2381" s="46"/>
      <c r="K2381" s="46"/>
      <c r="L2381" s="46"/>
      <c r="M2381" s="46"/>
      <c r="N2381" s="46"/>
      <c r="O2381" s="46"/>
      <c r="P2381" s="46"/>
      <c r="Q2381" s="46"/>
      <c r="R2381" s="46"/>
      <c r="S2381" s="46"/>
      <c r="T2381" s="46"/>
      <c r="U2381" s="46"/>
      <c r="V2381" s="46"/>
      <c r="W2381" s="46"/>
      <c r="X2381" s="46"/>
    </row>
    <row r="2382" spans="1:24" x14ac:dyDescent="0.2">
      <c r="A2382" s="45"/>
      <c r="B2382" s="46"/>
      <c r="C2382" s="46"/>
      <c r="D2382" s="46"/>
      <c r="E2382" s="46"/>
      <c r="F2382" s="46"/>
      <c r="G2382" s="46"/>
      <c r="H2382" s="46"/>
      <c r="I2382" s="46"/>
      <c r="J2382" s="46"/>
      <c r="K2382" s="46"/>
      <c r="L2382" s="46"/>
      <c r="M2382" s="46"/>
      <c r="N2382" s="46"/>
      <c r="O2382" s="46"/>
      <c r="P2382" s="46"/>
      <c r="Q2382" s="46"/>
      <c r="R2382" s="46"/>
      <c r="S2382" s="46"/>
      <c r="T2382" s="46"/>
      <c r="U2382" s="46"/>
      <c r="V2382" s="46"/>
      <c r="W2382" s="46"/>
      <c r="X2382" s="46"/>
    </row>
    <row r="2383" spans="1:24" x14ac:dyDescent="0.2">
      <c r="A2383" s="45"/>
      <c r="B2383" s="46"/>
      <c r="C2383" s="46"/>
      <c r="D2383" s="46"/>
      <c r="E2383" s="46"/>
      <c r="F2383" s="46"/>
      <c r="G2383" s="46"/>
      <c r="H2383" s="46"/>
      <c r="I2383" s="46"/>
      <c r="J2383" s="46"/>
      <c r="K2383" s="46"/>
      <c r="L2383" s="46"/>
      <c r="M2383" s="46"/>
      <c r="N2383" s="46"/>
      <c r="O2383" s="46"/>
      <c r="P2383" s="46"/>
      <c r="Q2383" s="46"/>
      <c r="R2383" s="46"/>
      <c r="S2383" s="46"/>
      <c r="T2383" s="46"/>
      <c r="U2383" s="46"/>
      <c r="V2383" s="46"/>
      <c r="W2383" s="46"/>
      <c r="X2383" s="46"/>
    </row>
    <row r="2384" spans="1:24" x14ac:dyDescent="0.2">
      <c r="A2384" s="45"/>
      <c r="B2384" s="46"/>
      <c r="C2384" s="46"/>
      <c r="D2384" s="46"/>
      <c r="E2384" s="46"/>
      <c r="F2384" s="46"/>
      <c r="G2384" s="46"/>
      <c r="H2384" s="46"/>
      <c r="I2384" s="46"/>
      <c r="J2384" s="46"/>
      <c r="K2384" s="46"/>
      <c r="L2384" s="46"/>
      <c r="M2384" s="46"/>
      <c r="N2384" s="46"/>
      <c r="O2384" s="46"/>
      <c r="P2384" s="46"/>
      <c r="Q2384" s="46"/>
      <c r="R2384" s="46"/>
      <c r="S2384" s="46"/>
      <c r="T2384" s="46"/>
      <c r="U2384" s="46"/>
      <c r="V2384" s="46"/>
      <c r="W2384" s="46"/>
      <c r="X2384" s="46"/>
    </row>
    <row r="2385" spans="1:24" x14ac:dyDescent="0.2">
      <c r="A2385" s="45"/>
      <c r="B2385" s="46"/>
      <c r="C2385" s="46"/>
      <c r="D2385" s="46"/>
      <c r="E2385" s="46"/>
      <c r="F2385" s="46"/>
      <c r="G2385" s="46"/>
      <c r="H2385" s="46"/>
      <c r="I2385" s="46"/>
      <c r="J2385" s="46"/>
      <c r="K2385" s="46"/>
      <c r="L2385" s="46"/>
      <c r="M2385" s="46"/>
      <c r="N2385" s="46"/>
      <c r="O2385" s="46"/>
      <c r="P2385" s="46"/>
      <c r="Q2385" s="46"/>
      <c r="R2385" s="46"/>
      <c r="S2385" s="46"/>
      <c r="T2385" s="46"/>
      <c r="U2385" s="46"/>
      <c r="V2385" s="46"/>
      <c r="W2385" s="46"/>
      <c r="X2385" s="46"/>
    </row>
    <row r="2386" spans="1:24" x14ac:dyDescent="0.2">
      <c r="A2386" s="45"/>
      <c r="B2386" s="46"/>
      <c r="C2386" s="46"/>
      <c r="D2386" s="46"/>
      <c r="E2386" s="46"/>
      <c r="F2386" s="46"/>
      <c r="G2386" s="46"/>
      <c r="H2386" s="46"/>
      <c r="I2386" s="46"/>
      <c r="J2386" s="46"/>
      <c r="K2386" s="46"/>
      <c r="L2386" s="46"/>
      <c r="M2386" s="46"/>
      <c r="N2386" s="46"/>
      <c r="O2386" s="46"/>
      <c r="P2386" s="46"/>
      <c r="Q2386" s="46"/>
      <c r="R2386" s="46"/>
      <c r="S2386" s="46"/>
      <c r="T2386" s="46"/>
      <c r="U2386" s="46"/>
      <c r="V2386" s="46"/>
      <c r="W2386" s="46"/>
      <c r="X2386" s="46"/>
    </row>
    <row r="2387" spans="1:24" x14ac:dyDescent="0.2">
      <c r="A2387" s="45"/>
      <c r="B2387" s="46"/>
      <c r="C2387" s="46"/>
      <c r="D2387" s="46"/>
      <c r="E2387" s="46"/>
      <c r="F2387" s="46"/>
      <c r="G2387" s="46"/>
      <c r="H2387" s="46"/>
      <c r="I2387" s="46"/>
      <c r="J2387" s="46"/>
      <c r="K2387" s="46"/>
      <c r="L2387" s="46"/>
      <c r="M2387" s="46"/>
      <c r="N2387" s="46"/>
      <c r="O2387" s="46"/>
      <c r="P2387" s="46"/>
      <c r="Q2387" s="46"/>
      <c r="R2387" s="46"/>
      <c r="S2387" s="46"/>
      <c r="T2387" s="46"/>
      <c r="U2387" s="46"/>
      <c r="V2387" s="46"/>
      <c r="W2387" s="46"/>
      <c r="X2387" s="46"/>
    </row>
    <row r="2388" spans="1:24" x14ac:dyDescent="0.2">
      <c r="A2388" s="45"/>
      <c r="B2388" s="46"/>
      <c r="C2388" s="46"/>
      <c r="D2388" s="46"/>
      <c r="E2388" s="46"/>
      <c r="F2388" s="46"/>
      <c r="G2388" s="46"/>
      <c r="H2388" s="46"/>
      <c r="I2388" s="46"/>
      <c r="J2388" s="46"/>
      <c r="K2388" s="46"/>
      <c r="L2388" s="46"/>
      <c r="M2388" s="46"/>
      <c r="N2388" s="46"/>
      <c r="O2388" s="46"/>
      <c r="P2388" s="46"/>
      <c r="Q2388" s="46"/>
      <c r="R2388" s="46"/>
      <c r="S2388" s="46"/>
      <c r="T2388" s="46"/>
      <c r="U2388" s="46"/>
      <c r="V2388" s="46"/>
      <c r="W2388" s="46"/>
      <c r="X2388" s="46"/>
    </row>
    <row r="2389" spans="1:24" x14ac:dyDescent="0.2">
      <c r="A2389" s="45"/>
      <c r="B2389" s="46"/>
      <c r="C2389" s="46"/>
      <c r="D2389" s="46"/>
      <c r="E2389" s="46"/>
      <c r="F2389" s="46"/>
      <c r="G2389" s="46"/>
      <c r="H2389" s="46"/>
      <c r="I2389" s="46"/>
      <c r="J2389" s="46"/>
      <c r="K2389" s="46"/>
      <c r="L2389" s="46"/>
      <c r="M2389" s="46"/>
      <c r="N2389" s="46"/>
      <c r="O2389" s="46"/>
      <c r="P2389" s="46"/>
      <c r="Q2389" s="46"/>
      <c r="R2389" s="46"/>
      <c r="S2389" s="46"/>
      <c r="T2389" s="46"/>
      <c r="U2389" s="46"/>
      <c r="V2389" s="46"/>
      <c r="W2389" s="46"/>
      <c r="X2389" s="46"/>
    </row>
    <row r="2390" spans="1:24" x14ac:dyDescent="0.2">
      <c r="A2390" s="45"/>
      <c r="B2390" s="46"/>
      <c r="C2390" s="46"/>
      <c r="D2390" s="46"/>
      <c r="E2390" s="46"/>
      <c r="F2390" s="46"/>
      <c r="G2390" s="46"/>
      <c r="H2390" s="46"/>
      <c r="I2390" s="46"/>
      <c r="J2390" s="46"/>
      <c r="K2390" s="46"/>
      <c r="L2390" s="46"/>
      <c r="M2390" s="46"/>
      <c r="N2390" s="46"/>
      <c r="O2390" s="46"/>
      <c r="P2390" s="46"/>
      <c r="Q2390" s="46"/>
      <c r="R2390" s="46"/>
      <c r="S2390" s="46"/>
      <c r="T2390" s="46"/>
      <c r="U2390" s="46"/>
      <c r="V2390" s="46"/>
      <c r="W2390" s="46"/>
      <c r="X2390" s="46"/>
    </row>
    <row r="2391" spans="1:24" x14ac:dyDescent="0.2">
      <c r="A2391" s="45"/>
      <c r="B2391" s="46"/>
      <c r="C2391" s="46"/>
      <c r="D2391" s="46"/>
      <c r="E2391" s="46"/>
      <c r="F2391" s="46"/>
      <c r="G2391" s="46"/>
      <c r="H2391" s="46"/>
      <c r="I2391" s="46"/>
      <c r="J2391" s="46"/>
      <c r="K2391" s="46"/>
      <c r="L2391" s="46"/>
      <c r="M2391" s="46"/>
      <c r="N2391" s="46"/>
      <c r="O2391" s="46"/>
      <c r="P2391" s="46"/>
      <c r="Q2391" s="46"/>
      <c r="R2391" s="46"/>
      <c r="S2391" s="46"/>
      <c r="T2391" s="46"/>
      <c r="U2391" s="46"/>
      <c r="V2391" s="46"/>
      <c r="W2391" s="46"/>
      <c r="X2391" s="46"/>
    </row>
    <row r="2392" spans="1:24" x14ac:dyDescent="0.2">
      <c r="A2392" s="45"/>
      <c r="B2392" s="46"/>
      <c r="C2392" s="46"/>
      <c r="D2392" s="46"/>
      <c r="E2392" s="46"/>
      <c r="F2392" s="46"/>
      <c r="G2392" s="46"/>
      <c r="H2392" s="46"/>
      <c r="I2392" s="46"/>
      <c r="J2392" s="46"/>
      <c r="K2392" s="46"/>
      <c r="L2392" s="46"/>
      <c r="M2392" s="46"/>
      <c r="N2392" s="46"/>
      <c r="O2392" s="46"/>
      <c r="P2392" s="46"/>
      <c r="Q2392" s="46"/>
      <c r="R2392" s="46"/>
      <c r="S2392" s="46"/>
      <c r="T2392" s="46"/>
      <c r="U2392" s="46"/>
      <c r="V2392" s="46"/>
      <c r="W2392" s="46"/>
      <c r="X2392" s="46"/>
    </row>
    <row r="2393" spans="1:24" x14ac:dyDescent="0.2">
      <c r="A2393" s="45"/>
      <c r="B2393" s="46"/>
      <c r="C2393" s="46"/>
      <c r="D2393" s="46"/>
      <c r="E2393" s="46"/>
      <c r="F2393" s="46"/>
      <c r="G2393" s="46"/>
      <c r="H2393" s="46"/>
      <c r="I2393" s="46"/>
      <c r="J2393" s="46"/>
      <c r="K2393" s="46"/>
      <c r="L2393" s="46"/>
      <c r="M2393" s="46"/>
      <c r="N2393" s="46"/>
      <c r="O2393" s="46"/>
      <c r="P2393" s="46"/>
      <c r="Q2393" s="46"/>
      <c r="R2393" s="46"/>
      <c r="S2393" s="46"/>
      <c r="T2393" s="46"/>
      <c r="U2393" s="46"/>
      <c r="V2393" s="46"/>
      <c r="W2393" s="46"/>
      <c r="X2393" s="46"/>
    </row>
    <row r="2394" spans="1:24" x14ac:dyDescent="0.2">
      <c r="A2394" s="45"/>
      <c r="B2394" s="46"/>
      <c r="C2394" s="46"/>
      <c r="D2394" s="46"/>
      <c r="E2394" s="46"/>
      <c r="F2394" s="46"/>
      <c r="G2394" s="46"/>
      <c r="H2394" s="46"/>
      <c r="I2394" s="46"/>
      <c r="J2394" s="46"/>
      <c r="K2394" s="46"/>
      <c r="L2394" s="46"/>
      <c r="M2394" s="46"/>
      <c r="N2394" s="46"/>
      <c r="O2394" s="46"/>
      <c r="P2394" s="46"/>
      <c r="Q2394" s="46"/>
      <c r="R2394" s="46"/>
      <c r="S2394" s="46"/>
      <c r="T2394" s="46"/>
      <c r="U2394" s="46"/>
      <c r="V2394" s="46"/>
      <c r="W2394" s="46"/>
      <c r="X2394" s="46"/>
    </row>
    <row r="2395" spans="1:24" x14ac:dyDescent="0.2">
      <c r="A2395" s="45"/>
      <c r="B2395" s="46"/>
      <c r="C2395" s="46"/>
      <c r="D2395" s="46"/>
      <c r="E2395" s="46"/>
      <c r="F2395" s="46"/>
      <c r="G2395" s="46"/>
      <c r="H2395" s="46"/>
      <c r="I2395" s="46"/>
      <c r="J2395" s="46"/>
      <c r="K2395" s="46"/>
      <c r="L2395" s="46"/>
      <c r="M2395" s="46"/>
      <c r="N2395" s="46"/>
      <c r="O2395" s="46"/>
      <c r="P2395" s="46"/>
      <c r="Q2395" s="46"/>
      <c r="R2395" s="46"/>
      <c r="S2395" s="46"/>
      <c r="T2395" s="46"/>
      <c r="U2395" s="46"/>
      <c r="V2395" s="46"/>
      <c r="W2395" s="46"/>
      <c r="X2395" s="46"/>
    </row>
    <row r="2396" spans="1:24" x14ac:dyDescent="0.2">
      <c r="A2396" s="45"/>
      <c r="B2396" s="46"/>
      <c r="C2396" s="46"/>
      <c r="D2396" s="46"/>
      <c r="E2396" s="46"/>
      <c r="F2396" s="46"/>
      <c r="G2396" s="46"/>
      <c r="H2396" s="46"/>
      <c r="I2396" s="46"/>
      <c r="J2396" s="46"/>
      <c r="K2396" s="46"/>
      <c r="L2396" s="46"/>
      <c r="M2396" s="46"/>
      <c r="N2396" s="46"/>
      <c r="O2396" s="46"/>
      <c r="P2396" s="46"/>
      <c r="Q2396" s="46"/>
      <c r="R2396" s="46"/>
      <c r="S2396" s="46"/>
      <c r="T2396" s="46"/>
      <c r="U2396" s="46"/>
      <c r="V2396" s="46"/>
      <c r="W2396" s="46"/>
      <c r="X2396" s="46"/>
    </row>
    <row r="2397" spans="1:24" x14ac:dyDescent="0.2">
      <c r="A2397" s="45"/>
      <c r="B2397" s="46"/>
      <c r="C2397" s="46"/>
      <c r="D2397" s="46"/>
      <c r="E2397" s="46"/>
      <c r="F2397" s="46"/>
      <c r="G2397" s="46"/>
      <c r="H2397" s="46"/>
      <c r="I2397" s="46"/>
      <c r="J2397" s="46"/>
      <c r="K2397" s="46"/>
      <c r="L2397" s="46"/>
      <c r="M2397" s="46"/>
      <c r="N2397" s="46"/>
      <c r="O2397" s="46"/>
      <c r="P2397" s="46"/>
      <c r="Q2397" s="46"/>
      <c r="R2397" s="46"/>
      <c r="S2397" s="46"/>
      <c r="T2397" s="46"/>
      <c r="U2397" s="46"/>
      <c r="V2397" s="46"/>
      <c r="W2397" s="46"/>
      <c r="X2397" s="46"/>
    </row>
    <row r="2398" spans="1:24" x14ac:dyDescent="0.2">
      <c r="A2398" s="45"/>
      <c r="B2398" s="46"/>
      <c r="C2398" s="46"/>
      <c r="D2398" s="46"/>
      <c r="E2398" s="46"/>
      <c r="F2398" s="46"/>
      <c r="G2398" s="46"/>
      <c r="H2398" s="46"/>
      <c r="I2398" s="46"/>
      <c r="J2398" s="46"/>
      <c r="K2398" s="46"/>
      <c r="L2398" s="46"/>
      <c r="M2398" s="46"/>
      <c r="N2398" s="46"/>
      <c r="O2398" s="46"/>
      <c r="P2398" s="46"/>
      <c r="Q2398" s="46"/>
      <c r="R2398" s="46"/>
      <c r="S2398" s="46"/>
      <c r="T2398" s="46"/>
      <c r="U2398" s="46"/>
      <c r="V2398" s="46"/>
      <c r="W2398" s="46"/>
      <c r="X2398" s="46"/>
    </row>
    <row r="2399" spans="1:24" x14ac:dyDescent="0.2">
      <c r="A2399" s="45"/>
      <c r="B2399" s="46"/>
      <c r="C2399" s="46"/>
      <c r="D2399" s="46"/>
      <c r="E2399" s="46"/>
      <c r="F2399" s="46"/>
      <c r="G2399" s="46"/>
      <c r="H2399" s="46"/>
      <c r="I2399" s="46"/>
      <c r="J2399" s="46"/>
      <c r="K2399" s="46"/>
      <c r="L2399" s="46"/>
      <c r="M2399" s="46"/>
      <c r="N2399" s="46"/>
      <c r="O2399" s="46"/>
      <c r="P2399" s="46"/>
      <c r="Q2399" s="46"/>
      <c r="R2399" s="46"/>
      <c r="S2399" s="46"/>
      <c r="T2399" s="46"/>
      <c r="U2399" s="46"/>
      <c r="V2399" s="46"/>
      <c r="W2399" s="46"/>
      <c r="X2399" s="46"/>
    </row>
    <row r="2400" spans="1:24" x14ac:dyDescent="0.2">
      <c r="A2400" s="45"/>
      <c r="B2400" s="46"/>
      <c r="C2400" s="46"/>
      <c r="D2400" s="46"/>
      <c r="E2400" s="46"/>
      <c r="F2400" s="46"/>
      <c r="G2400" s="46"/>
      <c r="H2400" s="46"/>
      <c r="I2400" s="46"/>
      <c r="J2400" s="46"/>
      <c r="K2400" s="46"/>
      <c r="L2400" s="46"/>
      <c r="M2400" s="46"/>
      <c r="N2400" s="46"/>
      <c r="O2400" s="46"/>
      <c r="P2400" s="46"/>
      <c r="Q2400" s="46"/>
      <c r="R2400" s="46"/>
      <c r="S2400" s="46"/>
      <c r="T2400" s="46"/>
      <c r="U2400" s="46"/>
      <c r="V2400" s="46"/>
      <c r="W2400" s="46"/>
      <c r="X2400" s="46"/>
    </row>
    <row r="2401" spans="1:24" x14ac:dyDescent="0.2">
      <c r="A2401" s="45"/>
      <c r="B2401" s="46"/>
      <c r="C2401" s="46"/>
      <c r="D2401" s="46"/>
      <c r="E2401" s="46"/>
      <c r="F2401" s="46"/>
      <c r="G2401" s="46"/>
      <c r="H2401" s="46"/>
      <c r="I2401" s="46"/>
      <c r="J2401" s="46"/>
      <c r="K2401" s="46"/>
      <c r="L2401" s="46"/>
      <c r="M2401" s="46"/>
      <c r="N2401" s="46"/>
      <c r="O2401" s="46"/>
      <c r="P2401" s="46"/>
      <c r="Q2401" s="46"/>
      <c r="R2401" s="46"/>
      <c r="S2401" s="46"/>
      <c r="T2401" s="46"/>
      <c r="U2401" s="46"/>
      <c r="V2401" s="46"/>
      <c r="W2401" s="46"/>
      <c r="X2401" s="46"/>
    </row>
    <row r="2402" spans="1:24" x14ac:dyDescent="0.2">
      <c r="A2402" s="45"/>
      <c r="B2402" s="46"/>
      <c r="C2402" s="46"/>
      <c r="D2402" s="46"/>
      <c r="E2402" s="46"/>
      <c r="F2402" s="46"/>
      <c r="G2402" s="46"/>
      <c r="H2402" s="46"/>
      <c r="I2402" s="46"/>
      <c r="J2402" s="46"/>
      <c r="K2402" s="46"/>
      <c r="L2402" s="46"/>
      <c r="M2402" s="46"/>
      <c r="N2402" s="46"/>
      <c r="O2402" s="46"/>
      <c r="P2402" s="46"/>
      <c r="Q2402" s="46"/>
      <c r="R2402" s="46"/>
      <c r="S2402" s="46"/>
      <c r="T2402" s="46"/>
      <c r="U2402" s="46"/>
      <c r="V2402" s="46"/>
      <c r="W2402" s="46"/>
      <c r="X2402" s="46"/>
    </row>
    <row r="2403" spans="1:24" x14ac:dyDescent="0.2">
      <c r="A2403" s="45"/>
      <c r="B2403" s="46"/>
      <c r="C2403" s="46"/>
      <c r="D2403" s="46"/>
      <c r="E2403" s="46"/>
      <c r="F2403" s="46"/>
      <c r="G2403" s="46"/>
      <c r="H2403" s="46"/>
      <c r="I2403" s="46"/>
      <c r="J2403" s="46"/>
      <c r="K2403" s="46"/>
      <c r="L2403" s="46"/>
      <c r="M2403" s="46"/>
      <c r="N2403" s="46"/>
      <c r="O2403" s="46"/>
      <c r="P2403" s="46"/>
      <c r="Q2403" s="46"/>
      <c r="R2403" s="46"/>
      <c r="S2403" s="46"/>
      <c r="T2403" s="46"/>
      <c r="U2403" s="46"/>
      <c r="V2403" s="46"/>
      <c r="W2403" s="46"/>
      <c r="X2403" s="46"/>
    </row>
    <row r="2404" spans="1:24" x14ac:dyDescent="0.2">
      <c r="A2404" s="45"/>
      <c r="B2404" s="46"/>
      <c r="C2404" s="46"/>
      <c r="D2404" s="46"/>
      <c r="E2404" s="46"/>
      <c r="F2404" s="46"/>
      <c r="G2404" s="46"/>
      <c r="H2404" s="46"/>
      <c r="I2404" s="46"/>
      <c r="J2404" s="46"/>
      <c r="K2404" s="46"/>
      <c r="L2404" s="46"/>
      <c r="M2404" s="46"/>
      <c r="N2404" s="46"/>
      <c r="O2404" s="46"/>
      <c r="P2404" s="46"/>
      <c r="Q2404" s="46"/>
      <c r="R2404" s="46"/>
      <c r="S2404" s="46"/>
      <c r="T2404" s="46"/>
      <c r="U2404" s="46"/>
      <c r="V2404" s="46"/>
      <c r="W2404" s="46"/>
      <c r="X2404" s="46"/>
    </row>
    <row r="2405" spans="1:24" x14ac:dyDescent="0.2">
      <c r="A2405" s="45"/>
      <c r="B2405" s="46"/>
      <c r="C2405" s="46"/>
      <c r="D2405" s="46"/>
      <c r="E2405" s="46"/>
      <c r="F2405" s="46"/>
      <c r="G2405" s="46"/>
      <c r="H2405" s="46"/>
      <c r="I2405" s="46"/>
      <c r="J2405" s="46"/>
      <c r="K2405" s="46"/>
      <c r="L2405" s="46"/>
      <c r="M2405" s="46"/>
      <c r="N2405" s="46"/>
      <c r="O2405" s="46"/>
      <c r="P2405" s="46"/>
      <c r="Q2405" s="46"/>
      <c r="R2405" s="46"/>
      <c r="S2405" s="46"/>
      <c r="T2405" s="46"/>
      <c r="U2405" s="46"/>
      <c r="V2405" s="46"/>
      <c r="W2405" s="46"/>
      <c r="X2405" s="46"/>
    </row>
    <row r="2406" spans="1:24" x14ac:dyDescent="0.2">
      <c r="A2406" s="45"/>
      <c r="B2406" s="46"/>
      <c r="C2406" s="46"/>
      <c r="D2406" s="46"/>
      <c r="E2406" s="46"/>
      <c r="F2406" s="46"/>
      <c r="G2406" s="46"/>
      <c r="H2406" s="46"/>
      <c r="I2406" s="46"/>
      <c r="J2406" s="46"/>
      <c r="K2406" s="46"/>
      <c r="L2406" s="46"/>
      <c r="M2406" s="46"/>
      <c r="N2406" s="46"/>
      <c r="O2406" s="46"/>
      <c r="P2406" s="46"/>
      <c r="Q2406" s="46"/>
      <c r="R2406" s="46"/>
      <c r="S2406" s="46"/>
      <c r="T2406" s="46"/>
      <c r="U2406" s="46"/>
      <c r="V2406" s="46"/>
      <c r="W2406" s="46"/>
      <c r="X2406" s="46"/>
    </row>
    <row r="2407" spans="1:24" x14ac:dyDescent="0.2">
      <c r="A2407" s="45"/>
      <c r="B2407" s="46"/>
      <c r="C2407" s="46"/>
      <c r="D2407" s="46"/>
      <c r="E2407" s="46"/>
      <c r="F2407" s="46"/>
      <c r="G2407" s="46"/>
      <c r="H2407" s="46"/>
      <c r="I2407" s="46"/>
      <c r="J2407" s="46"/>
      <c r="K2407" s="46"/>
      <c r="L2407" s="46"/>
      <c r="M2407" s="46"/>
      <c r="N2407" s="46"/>
      <c r="O2407" s="46"/>
      <c r="P2407" s="46"/>
      <c r="Q2407" s="46"/>
      <c r="R2407" s="46"/>
      <c r="S2407" s="46"/>
      <c r="T2407" s="46"/>
      <c r="U2407" s="46"/>
      <c r="V2407" s="46"/>
      <c r="W2407" s="46"/>
      <c r="X2407" s="46"/>
    </row>
    <row r="2408" spans="1:24" x14ac:dyDescent="0.2">
      <c r="A2408" s="45"/>
      <c r="B2408" s="46"/>
      <c r="C2408" s="46"/>
      <c r="D2408" s="46"/>
      <c r="E2408" s="46"/>
      <c r="F2408" s="46"/>
      <c r="G2408" s="46"/>
      <c r="H2408" s="46"/>
      <c r="I2408" s="46"/>
      <c r="J2408" s="46"/>
      <c r="K2408" s="46"/>
      <c r="L2408" s="46"/>
      <c r="M2408" s="46"/>
      <c r="N2408" s="46"/>
      <c r="O2408" s="46"/>
      <c r="P2408" s="46"/>
      <c r="Q2408" s="46"/>
      <c r="R2408" s="46"/>
      <c r="S2408" s="46"/>
      <c r="T2408" s="46"/>
      <c r="U2408" s="46"/>
      <c r="V2408" s="46"/>
      <c r="W2408" s="46"/>
      <c r="X2408" s="46"/>
    </row>
    <row r="2409" spans="1:24" x14ac:dyDescent="0.2">
      <c r="A2409" s="45"/>
      <c r="B2409" s="46"/>
      <c r="C2409" s="46"/>
      <c r="D2409" s="46"/>
      <c r="E2409" s="46"/>
      <c r="F2409" s="46"/>
      <c r="G2409" s="46"/>
      <c r="H2409" s="46"/>
      <c r="I2409" s="46"/>
      <c r="J2409" s="46"/>
      <c r="K2409" s="46"/>
      <c r="L2409" s="46"/>
      <c r="M2409" s="46"/>
      <c r="N2409" s="46"/>
      <c r="O2409" s="46"/>
      <c r="P2409" s="46"/>
      <c r="Q2409" s="46"/>
      <c r="R2409" s="46"/>
      <c r="S2409" s="46"/>
      <c r="T2409" s="46"/>
      <c r="U2409" s="46"/>
      <c r="V2409" s="46"/>
      <c r="W2409" s="46"/>
      <c r="X2409" s="46"/>
    </row>
    <row r="2410" spans="1:24" x14ac:dyDescent="0.2">
      <c r="A2410" s="45"/>
      <c r="B2410" s="46"/>
      <c r="C2410" s="46"/>
      <c r="D2410" s="46"/>
      <c r="E2410" s="46"/>
      <c r="F2410" s="46"/>
      <c r="G2410" s="46"/>
      <c r="H2410" s="46"/>
      <c r="I2410" s="46"/>
      <c r="J2410" s="46"/>
      <c r="K2410" s="46"/>
      <c r="L2410" s="46"/>
      <c r="M2410" s="46"/>
      <c r="N2410" s="46"/>
      <c r="O2410" s="46"/>
      <c r="P2410" s="46"/>
      <c r="Q2410" s="46"/>
      <c r="R2410" s="46"/>
      <c r="S2410" s="46"/>
      <c r="T2410" s="46"/>
      <c r="U2410" s="46"/>
      <c r="V2410" s="46"/>
      <c r="W2410" s="46"/>
      <c r="X2410" s="46"/>
    </row>
    <row r="2411" spans="1:24" x14ac:dyDescent="0.2">
      <c r="A2411" s="45"/>
      <c r="B2411" s="46"/>
      <c r="C2411" s="46"/>
      <c r="D2411" s="46"/>
      <c r="E2411" s="46"/>
      <c r="F2411" s="46"/>
      <c r="G2411" s="46"/>
      <c r="H2411" s="46"/>
      <c r="I2411" s="46"/>
      <c r="J2411" s="46"/>
      <c r="K2411" s="46"/>
      <c r="L2411" s="46"/>
      <c r="M2411" s="46"/>
      <c r="N2411" s="46"/>
      <c r="O2411" s="46"/>
      <c r="P2411" s="46"/>
      <c r="Q2411" s="46"/>
      <c r="R2411" s="46"/>
      <c r="S2411" s="46"/>
      <c r="T2411" s="46"/>
      <c r="U2411" s="46"/>
      <c r="V2411" s="46"/>
      <c r="W2411" s="46"/>
      <c r="X2411" s="46"/>
    </row>
    <row r="2412" spans="1:24" x14ac:dyDescent="0.2">
      <c r="A2412" s="45"/>
      <c r="B2412" s="46"/>
      <c r="C2412" s="46"/>
      <c r="D2412" s="46"/>
      <c r="E2412" s="46"/>
      <c r="F2412" s="46"/>
      <c r="G2412" s="46"/>
      <c r="H2412" s="46"/>
      <c r="I2412" s="46"/>
      <c r="J2412" s="46"/>
      <c r="K2412" s="46"/>
      <c r="L2412" s="46"/>
      <c r="M2412" s="46"/>
      <c r="N2412" s="46"/>
      <c r="O2412" s="46"/>
      <c r="P2412" s="46"/>
      <c r="Q2412" s="46"/>
      <c r="R2412" s="46"/>
      <c r="S2412" s="46"/>
      <c r="T2412" s="46"/>
      <c r="U2412" s="46"/>
      <c r="V2412" s="46"/>
      <c r="W2412" s="46"/>
      <c r="X2412" s="46"/>
    </row>
    <row r="2413" spans="1:24" x14ac:dyDescent="0.2">
      <c r="A2413" s="45"/>
      <c r="B2413" s="46"/>
      <c r="C2413" s="46"/>
      <c r="D2413" s="46"/>
      <c r="E2413" s="46"/>
      <c r="F2413" s="46"/>
      <c r="G2413" s="46"/>
      <c r="H2413" s="46"/>
      <c r="I2413" s="46"/>
      <c r="J2413" s="46"/>
      <c r="K2413" s="46"/>
      <c r="L2413" s="46"/>
      <c r="M2413" s="46"/>
      <c r="N2413" s="46"/>
      <c r="O2413" s="46"/>
      <c r="P2413" s="46"/>
      <c r="Q2413" s="46"/>
      <c r="R2413" s="46"/>
      <c r="S2413" s="46"/>
      <c r="T2413" s="46"/>
      <c r="U2413" s="46"/>
      <c r="V2413" s="46"/>
      <c r="W2413" s="46"/>
      <c r="X2413" s="46"/>
    </row>
    <row r="2414" spans="1:24" x14ac:dyDescent="0.2">
      <c r="A2414" s="45"/>
      <c r="B2414" s="46"/>
      <c r="C2414" s="46"/>
      <c r="D2414" s="46"/>
      <c r="E2414" s="46"/>
      <c r="F2414" s="46"/>
      <c r="G2414" s="46"/>
      <c r="H2414" s="46"/>
      <c r="I2414" s="46"/>
      <c r="J2414" s="46"/>
      <c r="K2414" s="46"/>
      <c r="L2414" s="46"/>
      <c r="M2414" s="46"/>
      <c r="N2414" s="46"/>
      <c r="O2414" s="46"/>
      <c r="P2414" s="46"/>
      <c r="Q2414" s="46"/>
      <c r="R2414" s="46"/>
      <c r="S2414" s="46"/>
      <c r="T2414" s="46"/>
      <c r="U2414" s="46"/>
      <c r="V2414" s="46"/>
      <c r="W2414" s="46"/>
      <c r="X2414" s="46"/>
    </row>
    <row r="2415" spans="1:24" x14ac:dyDescent="0.2">
      <c r="A2415" s="45"/>
      <c r="B2415" s="46"/>
      <c r="C2415" s="46"/>
      <c r="D2415" s="46"/>
      <c r="E2415" s="46"/>
      <c r="F2415" s="46"/>
      <c r="G2415" s="46"/>
      <c r="H2415" s="46"/>
      <c r="I2415" s="46"/>
      <c r="J2415" s="46"/>
      <c r="K2415" s="46"/>
      <c r="L2415" s="46"/>
      <c r="M2415" s="46"/>
      <c r="N2415" s="46"/>
      <c r="O2415" s="46"/>
      <c r="P2415" s="46"/>
      <c r="Q2415" s="46"/>
      <c r="R2415" s="46"/>
      <c r="S2415" s="46"/>
      <c r="T2415" s="46"/>
      <c r="U2415" s="46"/>
      <c r="V2415" s="46"/>
      <c r="W2415" s="46"/>
      <c r="X2415" s="46"/>
    </row>
    <row r="2416" spans="1:24" x14ac:dyDescent="0.2">
      <c r="A2416" s="45"/>
      <c r="B2416" s="46"/>
      <c r="C2416" s="46"/>
      <c r="D2416" s="46"/>
      <c r="E2416" s="46"/>
      <c r="F2416" s="46"/>
      <c r="G2416" s="46"/>
      <c r="H2416" s="46"/>
      <c r="I2416" s="46"/>
      <c r="J2416" s="46"/>
      <c r="K2416" s="46"/>
      <c r="L2416" s="46"/>
      <c r="M2416" s="46"/>
      <c r="N2416" s="46"/>
      <c r="O2416" s="46"/>
      <c r="P2416" s="46"/>
      <c r="Q2416" s="46"/>
      <c r="R2416" s="46"/>
      <c r="S2416" s="46"/>
      <c r="T2416" s="46"/>
      <c r="U2416" s="46"/>
      <c r="V2416" s="46"/>
      <c r="W2416" s="46"/>
      <c r="X2416" s="46"/>
    </row>
    <row r="2417" spans="1:24" x14ac:dyDescent="0.2">
      <c r="A2417" s="45"/>
      <c r="B2417" s="46"/>
      <c r="C2417" s="46"/>
      <c r="D2417" s="46"/>
      <c r="E2417" s="46"/>
      <c r="F2417" s="46"/>
      <c r="G2417" s="46"/>
      <c r="H2417" s="46"/>
      <c r="I2417" s="46"/>
      <c r="J2417" s="46"/>
      <c r="K2417" s="46"/>
      <c r="L2417" s="46"/>
      <c r="M2417" s="46"/>
      <c r="N2417" s="46"/>
      <c r="O2417" s="46"/>
      <c r="P2417" s="46"/>
      <c r="Q2417" s="46"/>
      <c r="R2417" s="46"/>
      <c r="S2417" s="46"/>
      <c r="T2417" s="46"/>
      <c r="U2417" s="46"/>
      <c r="V2417" s="46"/>
      <c r="W2417" s="46"/>
      <c r="X2417" s="46"/>
    </row>
    <row r="2418" spans="1:24" x14ac:dyDescent="0.2">
      <c r="A2418" s="45"/>
      <c r="B2418" s="46"/>
      <c r="C2418" s="46"/>
      <c r="D2418" s="46"/>
      <c r="E2418" s="46"/>
      <c r="F2418" s="46"/>
      <c r="G2418" s="46"/>
      <c r="H2418" s="46"/>
      <c r="I2418" s="46"/>
      <c r="J2418" s="46"/>
      <c r="K2418" s="46"/>
      <c r="L2418" s="46"/>
      <c r="M2418" s="46"/>
      <c r="N2418" s="46"/>
      <c r="O2418" s="46"/>
      <c r="P2418" s="46"/>
      <c r="Q2418" s="46"/>
      <c r="R2418" s="46"/>
      <c r="S2418" s="46"/>
      <c r="T2418" s="46"/>
      <c r="U2418" s="46"/>
      <c r="V2418" s="46"/>
      <c r="W2418" s="46"/>
      <c r="X2418" s="46"/>
    </row>
    <row r="2419" spans="1:24" x14ac:dyDescent="0.2">
      <c r="A2419" s="45"/>
      <c r="B2419" s="46"/>
      <c r="C2419" s="46"/>
      <c r="D2419" s="46"/>
      <c r="E2419" s="46"/>
      <c r="F2419" s="46"/>
      <c r="G2419" s="46"/>
      <c r="H2419" s="46"/>
      <c r="I2419" s="46"/>
      <c r="J2419" s="46"/>
      <c r="K2419" s="46"/>
      <c r="L2419" s="46"/>
      <c r="M2419" s="46"/>
      <c r="N2419" s="46"/>
      <c r="O2419" s="46"/>
      <c r="P2419" s="46"/>
      <c r="Q2419" s="46"/>
      <c r="R2419" s="46"/>
      <c r="S2419" s="46"/>
      <c r="T2419" s="46"/>
      <c r="U2419" s="46"/>
      <c r="V2419" s="46"/>
      <c r="W2419" s="46"/>
      <c r="X2419" s="46"/>
    </row>
    <row r="2420" spans="1:24" x14ac:dyDescent="0.2">
      <c r="A2420" s="45"/>
      <c r="B2420" s="46"/>
      <c r="C2420" s="46"/>
      <c r="D2420" s="46"/>
      <c r="E2420" s="46"/>
      <c r="F2420" s="46"/>
      <c r="G2420" s="46"/>
      <c r="H2420" s="46"/>
      <c r="I2420" s="46"/>
      <c r="J2420" s="46"/>
      <c r="K2420" s="46"/>
      <c r="L2420" s="46"/>
      <c r="M2420" s="46"/>
      <c r="N2420" s="46"/>
      <c r="O2420" s="46"/>
      <c r="P2420" s="46"/>
      <c r="Q2420" s="46"/>
      <c r="R2420" s="46"/>
      <c r="S2420" s="46"/>
      <c r="T2420" s="46"/>
      <c r="U2420" s="46"/>
      <c r="V2420" s="46"/>
      <c r="W2420" s="46"/>
      <c r="X2420" s="46"/>
    </row>
    <row r="2421" spans="1:24" x14ac:dyDescent="0.2">
      <c r="A2421" s="45"/>
      <c r="B2421" s="46"/>
      <c r="C2421" s="46"/>
      <c r="D2421" s="46"/>
      <c r="E2421" s="46"/>
      <c r="F2421" s="46"/>
      <c r="G2421" s="46"/>
      <c r="H2421" s="46"/>
      <c r="I2421" s="46"/>
      <c r="J2421" s="46"/>
      <c r="K2421" s="46"/>
      <c r="L2421" s="46"/>
      <c r="M2421" s="46"/>
      <c r="N2421" s="46"/>
      <c r="O2421" s="46"/>
      <c r="P2421" s="46"/>
      <c r="Q2421" s="46"/>
      <c r="R2421" s="46"/>
      <c r="S2421" s="46"/>
      <c r="T2421" s="46"/>
      <c r="U2421" s="46"/>
      <c r="V2421" s="46"/>
      <c r="W2421" s="46"/>
      <c r="X2421" s="46"/>
    </row>
    <row r="2422" spans="1:24" x14ac:dyDescent="0.2">
      <c r="A2422" s="45"/>
      <c r="B2422" s="46"/>
      <c r="C2422" s="46"/>
      <c r="D2422" s="46"/>
      <c r="E2422" s="46"/>
      <c r="F2422" s="46"/>
      <c r="G2422" s="46"/>
      <c r="H2422" s="46"/>
      <c r="I2422" s="46"/>
      <c r="J2422" s="46"/>
      <c r="K2422" s="46"/>
      <c r="L2422" s="46"/>
      <c r="M2422" s="46"/>
      <c r="N2422" s="46"/>
      <c r="O2422" s="46"/>
      <c r="P2422" s="46"/>
      <c r="Q2422" s="46"/>
      <c r="R2422" s="46"/>
      <c r="S2422" s="46"/>
      <c r="T2422" s="46"/>
      <c r="U2422" s="46"/>
      <c r="V2422" s="46"/>
      <c r="W2422" s="46"/>
      <c r="X2422" s="46"/>
    </row>
    <row r="2423" spans="1:24" x14ac:dyDescent="0.2">
      <c r="A2423" s="45"/>
      <c r="B2423" s="46"/>
      <c r="C2423" s="46"/>
      <c r="D2423" s="46"/>
      <c r="E2423" s="46"/>
      <c r="F2423" s="46"/>
      <c r="G2423" s="46"/>
      <c r="H2423" s="46"/>
      <c r="I2423" s="46"/>
      <c r="J2423" s="46"/>
      <c r="K2423" s="46"/>
      <c r="L2423" s="46"/>
      <c r="M2423" s="46"/>
      <c r="N2423" s="46"/>
      <c r="O2423" s="46"/>
      <c r="P2423" s="46"/>
      <c r="Q2423" s="46"/>
      <c r="R2423" s="46"/>
      <c r="S2423" s="46"/>
      <c r="T2423" s="46"/>
      <c r="U2423" s="46"/>
      <c r="V2423" s="46"/>
      <c r="W2423" s="46"/>
      <c r="X2423" s="46"/>
    </row>
    <row r="2424" spans="1:24" x14ac:dyDescent="0.2">
      <c r="A2424" s="45"/>
      <c r="B2424" s="46"/>
      <c r="C2424" s="46"/>
      <c r="D2424" s="46"/>
      <c r="E2424" s="46"/>
      <c r="F2424" s="46"/>
      <c r="G2424" s="46"/>
      <c r="H2424" s="46"/>
      <c r="I2424" s="46"/>
      <c r="J2424" s="46"/>
      <c r="K2424" s="46"/>
      <c r="L2424" s="46"/>
      <c r="M2424" s="46"/>
      <c r="N2424" s="46"/>
      <c r="O2424" s="46"/>
      <c r="P2424" s="46"/>
      <c r="Q2424" s="46"/>
      <c r="R2424" s="46"/>
      <c r="S2424" s="46"/>
      <c r="T2424" s="46"/>
      <c r="U2424" s="46"/>
      <c r="V2424" s="46"/>
      <c r="W2424" s="46"/>
      <c r="X2424" s="46"/>
    </row>
    <row r="2425" spans="1:24" x14ac:dyDescent="0.2">
      <c r="A2425" s="45"/>
      <c r="B2425" s="46"/>
      <c r="C2425" s="46"/>
      <c r="D2425" s="46"/>
      <c r="E2425" s="46"/>
      <c r="F2425" s="46"/>
      <c r="G2425" s="46"/>
      <c r="H2425" s="46"/>
      <c r="I2425" s="46"/>
      <c r="J2425" s="46"/>
      <c r="K2425" s="46"/>
      <c r="L2425" s="46"/>
      <c r="M2425" s="46"/>
      <c r="N2425" s="46"/>
      <c r="O2425" s="46"/>
      <c r="P2425" s="46"/>
      <c r="Q2425" s="46"/>
      <c r="R2425" s="46"/>
      <c r="S2425" s="46"/>
      <c r="T2425" s="46"/>
      <c r="U2425" s="46"/>
      <c r="V2425" s="46"/>
      <c r="W2425" s="46"/>
      <c r="X2425" s="46"/>
    </row>
    <row r="2426" spans="1:24" x14ac:dyDescent="0.2">
      <c r="A2426" s="45"/>
      <c r="B2426" s="46"/>
      <c r="C2426" s="46"/>
      <c r="D2426" s="46"/>
      <c r="E2426" s="46"/>
      <c r="F2426" s="46"/>
      <c r="G2426" s="46"/>
      <c r="H2426" s="46"/>
      <c r="I2426" s="46"/>
      <c r="J2426" s="46"/>
      <c r="K2426" s="46"/>
      <c r="L2426" s="46"/>
      <c r="M2426" s="46"/>
      <c r="N2426" s="46"/>
      <c r="O2426" s="46"/>
      <c r="P2426" s="46"/>
      <c r="Q2426" s="46"/>
      <c r="R2426" s="46"/>
      <c r="S2426" s="46"/>
      <c r="T2426" s="46"/>
      <c r="U2426" s="46"/>
      <c r="V2426" s="46"/>
      <c r="W2426" s="46"/>
      <c r="X2426" s="46"/>
    </row>
    <row r="2427" spans="1:24" x14ac:dyDescent="0.2">
      <c r="A2427" s="45"/>
      <c r="B2427" s="46"/>
      <c r="C2427" s="46"/>
      <c r="D2427" s="46"/>
      <c r="E2427" s="46"/>
      <c r="F2427" s="46"/>
      <c r="G2427" s="46"/>
      <c r="H2427" s="46"/>
      <c r="I2427" s="46"/>
      <c r="J2427" s="46"/>
      <c r="K2427" s="46"/>
      <c r="L2427" s="46"/>
      <c r="M2427" s="46"/>
      <c r="N2427" s="46"/>
      <c r="O2427" s="46"/>
      <c r="P2427" s="46"/>
      <c r="Q2427" s="46"/>
      <c r="R2427" s="46"/>
      <c r="S2427" s="46"/>
      <c r="T2427" s="46"/>
      <c r="U2427" s="46"/>
      <c r="V2427" s="46"/>
      <c r="W2427" s="46"/>
      <c r="X2427" s="46"/>
    </row>
    <row r="2428" spans="1:24" x14ac:dyDescent="0.2">
      <c r="A2428" s="45"/>
      <c r="B2428" s="46"/>
      <c r="C2428" s="46"/>
      <c r="D2428" s="46"/>
      <c r="E2428" s="46"/>
      <c r="F2428" s="46"/>
      <c r="G2428" s="46"/>
      <c r="H2428" s="46"/>
      <c r="I2428" s="46"/>
      <c r="J2428" s="46"/>
      <c r="K2428" s="46"/>
      <c r="L2428" s="46"/>
      <c r="M2428" s="46"/>
      <c r="N2428" s="46"/>
      <c r="O2428" s="46"/>
      <c r="P2428" s="46"/>
      <c r="Q2428" s="46"/>
      <c r="R2428" s="46"/>
      <c r="S2428" s="46"/>
      <c r="T2428" s="46"/>
      <c r="U2428" s="46"/>
      <c r="V2428" s="46"/>
      <c r="W2428" s="46"/>
      <c r="X2428" s="46"/>
    </row>
    <row r="2429" spans="1:24" x14ac:dyDescent="0.2">
      <c r="A2429" s="45"/>
      <c r="B2429" s="46"/>
      <c r="C2429" s="46"/>
      <c r="D2429" s="46"/>
      <c r="E2429" s="46"/>
      <c r="F2429" s="46"/>
      <c r="G2429" s="46"/>
      <c r="H2429" s="46"/>
      <c r="I2429" s="46"/>
      <c r="J2429" s="46"/>
      <c r="K2429" s="46"/>
      <c r="L2429" s="46"/>
      <c r="M2429" s="46"/>
      <c r="N2429" s="46"/>
      <c r="O2429" s="46"/>
      <c r="P2429" s="46"/>
      <c r="Q2429" s="46"/>
      <c r="R2429" s="46"/>
      <c r="S2429" s="46"/>
      <c r="T2429" s="46"/>
      <c r="U2429" s="46"/>
      <c r="V2429" s="46"/>
      <c r="W2429" s="46"/>
      <c r="X2429" s="46"/>
    </row>
    <row r="2430" spans="1:24" x14ac:dyDescent="0.2">
      <c r="A2430" s="45"/>
      <c r="B2430" s="46"/>
      <c r="C2430" s="46"/>
      <c r="D2430" s="46"/>
      <c r="E2430" s="46"/>
      <c r="F2430" s="46"/>
      <c r="G2430" s="46"/>
      <c r="H2430" s="46"/>
      <c r="I2430" s="46"/>
      <c r="J2430" s="46"/>
      <c r="K2430" s="46"/>
      <c r="L2430" s="46"/>
      <c r="M2430" s="46"/>
      <c r="N2430" s="46"/>
      <c r="O2430" s="46"/>
      <c r="P2430" s="46"/>
      <c r="Q2430" s="46"/>
      <c r="R2430" s="46"/>
      <c r="S2430" s="46"/>
      <c r="T2430" s="46"/>
      <c r="U2430" s="46"/>
      <c r="V2430" s="46"/>
      <c r="W2430" s="46"/>
      <c r="X2430" s="46"/>
    </row>
    <row r="2431" spans="1:24" x14ac:dyDescent="0.2">
      <c r="A2431" s="45"/>
      <c r="B2431" s="46"/>
      <c r="C2431" s="46"/>
      <c r="D2431" s="46"/>
      <c r="E2431" s="46"/>
      <c r="F2431" s="46"/>
      <c r="G2431" s="46"/>
      <c r="H2431" s="46"/>
      <c r="I2431" s="46"/>
      <c r="J2431" s="46"/>
      <c r="K2431" s="46"/>
      <c r="L2431" s="46"/>
      <c r="M2431" s="46"/>
      <c r="N2431" s="46"/>
      <c r="O2431" s="46"/>
      <c r="P2431" s="46"/>
      <c r="Q2431" s="46"/>
      <c r="R2431" s="46"/>
      <c r="S2431" s="46"/>
      <c r="T2431" s="46"/>
      <c r="U2431" s="46"/>
      <c r="V2431" s="46"/>
      <c r="W2431" s="46"/>
      <c r="X2431" s="46"/>
    </row>
    <row r="2432" spans="1:24" x14ac:dyDescent="0.2">
      <c r="A2432" s="45"/>
      <c r="B2432" s="46"/>
      <c r="C2432" s="46"/>
      <c r="D2432" s="46"/>
      <c r="E2432" s="46"/>
      <c r="F2432" s="46"/>
      <c r="G2432" s="46"/>
      <c r="H2432" s="46"/>
      <c r="I2432" s="46"/>
      <c r="J2432" s="46"/>
      <c r="K2432" s="46"/>
      <c r="L2432" s="46"/>
      <c r="M2432" s="46"/>
      <c r="N2432" s="46"/>
      <c r="O2432" s="46"/>
      <c r="P2432" s="46"/>
      <c r="Q2432" s="46"/>
      <c r="R2432" s="46"/>
      <c r="S2432" s="46"/>
      <c r="T2432" s="46"/>
      <c r="U2432" s="46"/>
      <c r="V2432" s="46"/>
      <c r="W2432" s="46"/>
      <c r="X2432" s="46"/>
    </row>
    <row r="2433" spans="1:24" x14ac:dyDescent="0.2">
      <c r="A2433" s="45"/>
      <c r="B2433" s="46"/>
      <c r="C2433" s="46"/>
      <c r="D2433" s="46"/>
      <c r="E2433" s="46"/>
      <c r="F2433" s="46"/>
      <c r="G2433" s="46"/>
      <c r="H2433" s="46"/>
      <c r="I2433" s="46"/>
      <c r="J2433" s="46"/>
      <c r="K2433" s="46"/>
      <c r="L2433" s="46"/>
      <c r="M2433" s="46"/>
      <c r="N2433" s="46"/>
      <c r="O2433" s="46"/>
      <c r="P2433" s="46"/>
      <c r="Q2433" s="46"/>
      <c r="R2433" s="46"/>
      <c r="S2433" s="46"/>
      <c r="T2433" s="46"/>
      <c r="U2433" s="46"/>
      <c r="V2433" s="46"/>
      <c r="W2433" s="46"/>
      <c r="X2433" s="46"/>
    </row>
    <row r="2434" spans="1:24" x14ac:dyDescent="0.2">
      <c r="A2434" s="45"/>
      <c r="B2434" s="46"/>
      <c r="C2434" s="46"/>
      <c r="D2434" s="46"/>
      <c r="E2434" s="46"/>
      <c r="F2434" s="46"/>
      <c r="G2434" s="46"/>
      <c r="H2434" s="46"/>
      <c r="I2434" s="46"/>
      <c r="J2434" s="46"/>
      <c r="K2434" s="46"/>
      <c r="L2434" s="46"/>
      <c r="M2434" s="46"/>
      <c r="N2434" s="46"/>
      <c r="O2434" s="46"/>
      <c r="P2434" s="46"/>
      <c r="Q2434" s="46"/>
      <c r="R2434" s="46"/>
      <c r="S2434" s="46"/>
      <c r="T2434" s="46"/>
      <c r="U2434" s="46"/>
      <c r="V2434" s="46"/>
      <c r="W2434" s="46"/>
      <c r="X2434" s="46"/>
    </row>
    <row r="2435" spans="1:24" x14ac:dyDescent="0.2">
      <c r="A2435" s="45"/>
      <c r="B2435" s="46"/>
      <c r="C2435" s="46"/>
      <c r="D2435" s="46"/>
      <c r="E2435" s="46"/>
      <c r="F2435" s="46"/>
      <c r="G2435" s="46"/>
      <c r="H2435" s="46"/>
      <c r="I2435" s="46"/>
      <c r="J2435" s="46"/>
      <c r="K2435" s="46"/>
      <c r="L2435" s="46"/>
      <c r="M2435" s="46"/>
      <c r="N2435" s="46"/>
      <c r="O2435" s="46"/>
      <c r="P2435" s="46"/>
      <c r="Q2435" s="46"/>
      <c r="R2435" s="46"/>
      <c r="S2435" s="46"/>
      <c r="T2435" s="46"/>
      <c r="U2435" s="46"/>
      <c r="V2435" s="46"/>
      <c r="W2435" s="46"/>
      <c r="X2435" s="46"/>
    </row>
    <row r="2436" spans="1:24" x14ac:dyDescent="0.2">
      <c r="A2436" s="45"/>
      <c r="B2436" s="46"/>
      <c r="C2436" s="46"/>
      <c r="D2436" s="46"/>
      <c r="E2436" s="46"/>
      <c r="F2436" s="46"/>
      <c r="G2436" s="46"/>
      <c r="H2436" s="46"/>
      <c r="I2436" s="46"/>
      <c r="J2436" s="46"/>
      <c r="K2436" s="46"/>
      <c r="L2436" s="46"/>
      <c r="M2436" s="46"/>
      <c r="N2436" s="46"/>
      <c r="O2436" s="46"/>
      <c r="P2436" s="46"/>
      <c r="Q2436" s="46"/>
      <c r="R2436" s="46"/>
      <c r="S2436" s="46"/>
      <c r="T2436" s="46"/>
      <c r="U2436" s="46"/>
      <c r="V2436" s="46"/>
      <c r="W2436" s="46"/>
      <c r="X2436" s="46"/>
    </row>
    <row r="2437" spans="1:24" x14ac:dyDescent="0.2">
      <c r="A2437" s="45"/>
      <c r="B2437" s="46"/>
      <c r="C2437" s="46"/>
      <c r="D2437" s="46"/>
      <c r="E2437" s="46"/>
      <c r="F2437" s="46"/>
      <c r="G2437" s="46"/>
      <c r="H2437" s="46"/>
      <c r="I2437" s="46"/>
      <c r="J2437" s="46"/>
      <c r="K2437" s="46"/>
      <c r="L2437" s="46"/>
      <c r="M2437" s="46"/>
      <c r="N2437" s="46"/>
      <c r="O2437" s="46"/>
      <c r="P2437" s="46"/>
      <c r="Q2437" s="46"/>
      <c r="R2437" s="46"/>
      <c r="S2437" s="46"/>
      <c r="T2437" s="46"/>
      <c r="U2437" s="46"/>
      <c r="V2437" s="46"/>
      <c r="W2437" s="46"/>
      <c r="X2437" s="46"/>
    </row>
    <row r="2438" spans="1:24" x14ac:dyDescent="0.2">
      <c r="A2438" s="45"/>
      <c r="B2438" s="46"/>
      <c r="C2438" s="46"/>
      <c r="D2438" s="46"/>
      <c r="E2438" s="46"/>
      <c r="F2438" s="46"/>
      <c r="G2438" s="46"/>
      <c r="H2438" s="46"/>
      <c r="I2438" s="46"/>
      <c r="J2438" s="46"/>
      <c r="K2438" s="46"/>
      <c r="L2438" s="46"/>
      <c r="M2438" s="46"/>
      <c r="N2438" s="46"/>
      <c r="O2438" s="46"/>
      <c r="P2438" s="46"/>
      <c r="Q2438" s="46"/>
      <c r="R2438" s="46"/>
      <c r="S2438" s="46"/>
      <c r="T2438" s="46"/>
      <c r="U2438" s="46"/>
      <c r="V2438" s="46"/>
      <c r="W2438" s="46"/>
      <c r="X2438" s="46"/>
    </row>
    <row r="2439" spans="1:24" x14ac:dyDescent="0.2">
      <c r="A2439" s="45"/>
      <c r="B2439" s="46"/>
      <c r="C2439" s="46"/>
      <c r="D2439" s="46"/>
      <c r="E2439" s="46"/>
      <c r="F2439" s="46"/>
      <c r="G2439" s="46"/>
      <c r="H2439" s="46"/>
      <c r="I2439" s="46"/>
      <c r="J2439" s="46"/>
      <c r="K2439" s="46"/>
      <c r="L2439" s="46"/>
      <c r="M2439" s="46"/>
      <c r="N2439" s="46"/>
      <c r="O2439" s="46"/>
      <c r="P2439" s="46"/>
      <c r="Q2439" s="46"/>
      <c r="R2439" s="46"/>
      <c r="S2439" s="46"/>
      <c r="T2439" s="46"/>
      <c r="U2439" s="46"/>
      <c r="V2439" s="46"/>
      <c r="W2439" s="46"/>
      <c r="X2439" s="46"/>
    </row>
    <row r="2440" spans="1:24" x14ac:dyDescent="0.2">
      <c r="A2440" s="45"/>
      <c r="B2440" s="46"/>
      <c r="C2440" s="46"/>
      <c r="D2440" s="46"/>
      <c r="E2440" s="46"/>
      <c r="F2440" s="46"/>
      <c r="G2440" s="46"/>
      <c r="H2440" s="46"/>
      <c r="I2440" s="46"/>
      <c r="J2440" s="46"/>
      <c r="K2440" s="46"/>
      <c r="L2440" s="46"/>
      <c r="M2440" s="46"/>
      <c r="N2440" s="46"/>
      <c r="O2440" s="46"/>
      <c r="P2440" s="46"/>
      <c r="Q2440" s="46"/>
      <c r="R2440" s="46"/>
      <c r="S2440" s="46"/>
      <c r="T2440" s="46"/>
      <c r="U2440" s="46"/>
      <c r="V2440" s="46"/>
      <c r="W2440" s="46"/>
      <c r="X2440" s="46"/>
    </row>
    <row r="2441" spans="1:24" x14ac:dyDescent="0.2">
      <c r="A2441" s="45"/>
      <c r="B2441" s="46"/>
      <c r="C2441" s="46"/>
      <c r="D2441" s="46"/>
      <c r="E2441" s="46"/>
      <c r="F2441" s="46"/>
      <c r="G2441" s="46"/>
      <c r="H2441" s="46"/>
      <c r="I2441" s="46"/>
      <c r="J2441" s="46"/>
      <c r="K2441" s="46"/>
      <c r="L2441" s="46"/>
      <c r="M2441" s="46"/>
      <c r="N2441" s="46"/>
      <c r="O2441" s="46"/>
      <c r="P2441" s="46"/>
      <c r="Q2441" s="46"/>
      <c r="R2441" s="46"/>
      <c r="S2441" s="46"/>
      <c r="T2441" s="46"/>
      <c r="U2441" s="46"/>
      <c r="V2441" s="46"/>
      <c r="W2441" s="46"/>
      <c r="X2441" s="46"/>
    </row>
    <row r="2442" spans="1:24" x14ac:dyDescent="0.2">
      <c r="A2442" s="45"/>
      <c r="B2442" s="46"/>
      <c r="C2442" s="46"/>
      <c r="D2442" s="46"/>
      <c r="E2442" s="46"/>
      <c r="F2442" s="46"/>
      <c r="G2442" s="46"/>
      <c r="H2442" s="46"/>
      <c r="I2442" s="46"/>
      <c r="J2442" s="46"/>
      <c r="K2442" s="46"/>
      <c r="L2442" s="46"/>
      <c r="M2442" s="46"/>
      <c r="N2442" s="46"/>
      <c r="O2442" s="46"/>
      <c r="P2442" s="46"/>
      <c r="Q2442" s="46"/>
      <c r="R2442" s="46"/>
      <c r="S2442" s="46"/>
      <c r="T2442" s="46"/>
      <c r="U2442" s="46"/>
      <c r="V2442" s="46"/>
      <c r="W2442" s="46"/>
      <c r="X2442" s="46"/>
    </row>
    <row r="2443" spans="1:24" x14ac:dyDescent="0.2">
      <c r="A2443" s="45"/>
      <c r="B2443" s="46"/>
      <c r="C2443" s="46"/>
      <c r="D2443" s="46"/>
      <c r="E2443" s="46"/>
      <c r="F2443" s="46"/>
      <c r="G2443" s="46"/>
      <c r="H2443" s="46"/>
      <c r="I2443" s="46"/>
      <c r="J2443" s="46"/>
      <c r="K2443" s="46"/>
      <c r="L2443" s="46"/>
      <c r="M2443" s="46"/>
      <c r="N2443" s="46"/>
      <c r="O2443" s="46"/>
      <c r="P2443" s="46"/>
      <c r="Q2443" s="46"/>
      <c r="R2443" s="46"/>
      <c r="S2443" s="46"/>
      <c r="T2443" s="46"/>
      <c r="U2443" s="46"/>
      <c r="V2443" s="46"/>
      <c r="W2443" s="46"/>
      <c r="X2443" s="46"/>
    </row>
    <row r="2444" spans="1:24" x14ac:dyDescent="0.2">
      <c r="A2444" s="45"/>
      <c r="B2444" s="46"/>
      <c r="C2444" s="46"/>
      <c r="D2444" s="46"/>
      <c r="E2444" s="46"/>
      <c r="F2444" s="46"/>
      <c r="G2444" s="46"/>
      <c r="H2444" s="46"/>
      <c r="I2444" s="46"/>
      <c r="J2444" s="46"/>
      <c r="K2444" s="46"/>
      <c r="L2444" s="46"/>
      <c r="M2444" s="46"/>
      <c r="N2444" s="46"/>
      <c r="O2444" s="46"/>
      <c r="P2444" s="46"/>
      <c r="Q2444" s="46"/>
      <c r="R2444" s="46"/>
      <c r="S2444" s="46"/>
      <c r="T2444" s="46"/>
      <c r="U2444" s="46"/>
      <c r="V2444" s="46"/>
      <c r="W2444" s="46"/>
      <c r="X2444" s="46"/>
    </row>
    <row r="2445" spans="1:24" x14ac:dyDescent="0.2">
      <c r="A2445" s="45"/>
      <c r="B2445" s="46"/>
      <c r="C2445" s="46"/>
      <c r="D2445" s="46"/>
      <c r="E2445" s="46"/>
      <c r="F2445" s="46"/>
      <c r="G2445" s="46"/>
      <c r="H2445" s="46"/>
      <c r="I2445" s="46"/>
      <c r="J2445" s="46"/>
      <c r="K2445" s="46"/>
      <c r="L2445" s="46"/>
      <c r="M2445" s="46"/>
      <c r="N2445" s="46"/>
      <c r="O2445" s="46"/>
      <c r="P2445" s="46"/>
      <c r="Q2445" s="46"/>
      <c r="R2445" s="46"/>
      <c r="S2445" s="46"/>
      <c r="T2445" s="46"/>
      <c r="U2445" s="46"/>
      <c r="V2445" s="46"/>
      <c r="W2445" s="46"/>
      <c r="X2445" s="46"/>
    </row>
    <row r="2446" spans="1:24" x14ac:dyDescent="0.2">
      <c r="A2446" s="45"/>
      <c r="B2446" s="46"/>
      <c r="C2446" s="46"/>
      <c r="D2446" s="46"/>
      <c r="E2446" s="46"/>
      <c r="F2446" s="46"/>
      <c r="G2446" s="46"/>
      <c r="H2446" s="46"/>
      <c r="I2446" s="46"/>
      <c r="J2446" s="46"/>
      <c r="K2446" s="46"/>
      <c r="L2446" s="46"/>
      <c r="M2446" s="46"/>
      <c r="N2446" s="46"/>
      <c r="O2446" s="46"/>
      <c r="P2446" s="46"/>
      <c r="Q2446" s="46"/>
      <c r="R2446" s="46"/>
      <c r="S2446" s="46"/>
      <c r="T2446" s="46"/>
      <c r="U2446" s="46"/>
      <c r="V2446" s="46"/>
      <c r="W2446" s="46"/>
      <c r="X2446" s="46"/>
    </row>
    <row r="2447" spans="1:24" x14ac:dyDescent="0.2">
      <c r="A2447" s="45"/>
      <c r="B2447" s="46"/>
      <c r="C2447" s="46"/>
      <c r="D2447" s="46"/>
      <c r="E2447" s="46"/>
      <c r="F2447" s="46"/>
      <c r="G2447" s="46"/>
      <c r="H2447" s="46"/>
      <c r="I2447" s="46"/>
      <c r="J2447" s="46"/>
      <c r="K2447" s="46"/>
      <c r="L2447" s="46"/>
      <c r="M2447" s="46"/>
      <c r="N2447" s="46"/>
      <c r="O2447" s="46"/>
      <c r="P2447" s="46"/>
      <c r="Q2447" s="46"/>
      <c r="R2447" s="46"/>
      <c r="S2447" s="46"/>
      <c r="T2447" s="46"/>
      <c r="U2447" s="46"/>
      <c r="V2447" s="46"/>
      <c r="W2447" s="46"/>
      <c r="X2447" s="46"/>
    </row>
    <row r="2448" spans="1:24" x14ac:dyDescent="0.2">
      <c r="A2448" s="45"/>
      <c r="B2448" s="46"/>
      <c r="C2448" s="46"/>
      <c r="D2448" s="46"/>
      <c r="E2448" s="46"/>
      <c r="F2448" s="46"/>
      <c r="G2448" s="46"/>
      <c r="H2448" s="46"/>
      <c r="I2448" s="46"/>
      <c r="J2448" s="46"/>
      <c r="K2448" s="46"/>
      <c r="L2448" s="46"/>
      <c r="M2448" s="46"/>
      <c r="N2448" s="46"/>
      <c r="O2448" s="46"/>
      <c r="P2448" s="46"/>
      <c r="Q2448" s="46"/>
      <c r="R2448" s="46"/>
      <c r="S2448" s="46"/>
      <c r="T2448" s="46"/>
      <c r="U2448" s="46"/>
      <c r="V2448" s="46"/>
      <c r="W2448" s="46"/>
      <c r="X2448" s="46"/>
    </row>
    <row r="2449" spans="1:24" x14ac:dyDescent="0.2">
      <c r="A2449" s="45"/>
      <c r="B2449" s="46"/>
      <c r="C2449" s="46"/>
      <c r="D2449" s="46"/>
      <c r="E2449" s="46"/>
      <c r="F2449" s="46"/>
      <c r="G2449" s="46"/>
      <c r="H2449" s="46"/>
      <c r="I2449" s="46"/>
      <c r="J2449" s="46"/>
      <c r="K2449" s="46"/>
      <c r="L2449" s="46"/>
      <c r="M2449" s="46"/>
      <c r="N2449" s="46"/>
      <c r="O2449" s="46"/>
      <c r="P2449" s="46"/>
      <c r="Q2449" s="46"/>
      <c r="R2449" s="46"/>
      <c r="S2449" s="46"/>
      <c r="T2449" s="46"/>
      <c r="U2449" s="46"/>
      <c r="V2449" s="46"/>
      <c r="W2449" s="46"/>
      <c r="X2449" s="46"/>
    </row>
    <row r="2450" spans="1:24" x14ac:dyDescent="0.2">
      <c r="A2450" s="45"/>
      <c r="B2450" s="46"/>
      <c r="C2450" s="46"/>
      <c r="D2450" s="46"/>
      <c r="E2450" s="46"/>
      <c r="F2450" s="46"/>
      <c r="G2450" s="46"/>
      <c r="H2450" s="46"/>
      <c r="I2450" s="46"/>
      <c r="J2450" s="46"/>
      <c r="K2450" s="46"/>
      <c r="L2450" s="46"/>
      <c r="M2450" s="46"/>
      <c r="N2450" s="46"/>
      <c r="O2450" s="46"/>
      <c r="P2450" s="46"/>
      <c r="Q2450" s="46"/>
      <c r="R2450" s="46"/>
      <c r="S2450" s="46"/>
      <c r="T2450" s="46"/>
      <c r="U2450" s="46"/>
      <c r="V2450" s="46"/>
      <c r="W2450" s="46"/>
      <c r="X2450" s="46"/>
    </row>
    <row r="2451" spans="1:24" x14ac:dyDescent="0.2">
      <c r="A2451" s="45"/>
      <c r="B2451" s="46"/>
      <c r="C2451" s="46"/>
      <c r="D2451" s="46"/>
      <c r="E2451" s="46"/>
      <c r="F2451" s="46"/>
      <c r="G2451" s="46"/>
      <c r="H2451" s="46"/>
      <c r="I2451" s="46"/>
      <c r="J2451" s="46"/>
      <c r="K2451" s="46"/>
      <c r="L2451" s="46"/>
      <c r="M2451" s="46"/>
      <c r="N2451" s="46"/>
      <c r="O2451" s="46"/>
      <c r="P2451" s="46"/>
      <c r="Q2451" s="46"/>
      <c r="R2451" s="46"/>
      <c r="S2451" s="46"/>
      <c r="T2451" s="46"/>
      <c r="U2451" s="46"/>
      <c r="V2451" s="46"/>
      <c r="W2451" s="46"/>
      <c r="X2451" s="46"/>
    </row>
    <row r="2452" spans="1:24" x14ac:dyDescent="0.2">
      <c r="A2452" s="45"/>
      <c r="B2452" s="46"/>
      <c r="C2452" s="46"/>
      <c r="D2452" s="46"/>
      <c r="E2452" s="46"/>
      <c r="F2452" s="46"/>
      <c r="G2452" s="46"/>
      <c r="H2452" s="46"/>
      <c r="I2452" s="46"/>
      <c r="J2452" s="46"/>
      <c r="K2452" s="46"/>
      <c r="L2452" s="46"/>
      <c r="M2452" s="46"/>
      <c r="N2452" s="46"/>
      <c r="O2452" s="46"/>
      <c r="P2452" s="46"/>
      <c r="Q2452" s="46"/>
      <c r="R2452" s="46"/>
      <c r="S2452" s="46"/>
      <c r="T2452" s="46"/>
      <c r="U2452" s="46"/>
      <c r="V2452" s="46"/>
      <c r="W2452" s="46"/>
      <c r="X2452" s="46"/>
    </row>
    <row r="2453" spans="1:24" x14ac:dyDescent="0.2">
      <c r="A2453" s="45"/>
      <c r="B2453" s="46"/>
      <c r="C2453" s="46"/>
      <c r="D2453" s="46"/>
      <c r="E2453" s="46"/>
      <c r="F2453" s="46"/>
      <c r="G2453" s="46"/>
      <c r="H2453" s="46"/>
      <c r="I2453" s="46"/>
      <c r="J2453" s="46"/>
      <c r="K2453" s="46"/>
      <c r="L2453" s="46"/>
      <c r="M2453" s="46"/>
      <c r="N2453" s="46"/>
      <c r="O2453" s="46"/>
      <c r="P2453" s="46"/>
      <c r="Q2453" s="46"/>
      <c r="R2453" s="46"/>
      <c r="S2453" s="46"/>
      <c r="T2453" s="46"/>
      <c r="U2453" s="46"/>
      <c r="V2453" s="46"/>
      <c r="W2453" s="46"/>
      <c r="X2453" s="46"/>
    </row>
    <row r="2454" spans="1:24" x14ac:dyDescent="0.2">
      <c r="A2454" s="45"/>
      <c r="B2454" s="46"/>
      <c r="C2454" s="46"/>
      <c r="D2454" s="46"/>
      <c r="E2454" s="46"/>
      <c r="F2454" s="46"/>
      <c r="G2454" s="46"/>
      <c r="H2454" s="46"/>
      <c r="I2454" s="46"/>
      <c r="J2454" s="46"/>
      <c r="K2454" s="46"/>
      <c r="L2454" s="46"/>
      <c r="M2454" s="46"/>
      <c r="N2454" s="46"/>
      <c r="O2454" s="46"/>
      <c r="P2454" s="46"/>
      <c r="Q2454" s="46"/>
      <c r="R2454" s="46"/>
      <c r="S2454" s="46"/>
      <c r="T2454" s="46"/>
      <c r="U2454" s="46"/>
      <c r="V2454" s="46"/>
      <c r="W2454" s="46"/>
      <c r="X2454" s="46"/>
    </row>
    <row r="2455" spans="1:24" x14ac:dyDescent="0.2">
      <c r="A2455" s="45"/>
      <c r="B2455" s="46"/>
      <c r="C2455" s="46"/>
      <c r="D2455" s="46"/>
      <c r="E2455" s="46"/>
      <c r="F2455" s="46"/>
      <c r="G2455" s="46"/>
      <c r="H2455" s="46"/>
      <c r="I2455" s="46"/>
      <c r="J2455" s="46"/>
      <c r="K2455" s="46"/>
      <c r="L2455" s="46"/>
      <c r="M2455" s="46"/>
      <c r="N2455" s="46"/>
      <c r="O2455" s="46"/>
      <c r="P2455" s="46"/>
      <c r="Q2455" s="46"/>
      <c r="R2455" s="46"/>
      <c r="S2455" s="46"/>
      <c r="T2455" s="46"/>
      <c r="U2455" s="46"/>
      <c r="V2455" s="46"/>
      <c r="W2455" s="46"/>
      <c r="X2455" s="46"/>
    </row>
    <row r="2456" spans="1:24" x14ac:dyDescent="0.2">
      <c r="A2456" s="45"/>
      <c r="B2456" s="46"/>
      <c r="C2456" s="46"/>
      <c r="D2456" s="46"/>
      <c r="E2456" s="46"/>
      <c r="F2456" s="46"/>
      <c r="G2456" s="46"/>
      <c r="H2456" s="46"/>
      <c r="I2456" s="46"/>
      <c r="J2456" s="46"/>
      <c r="K2456" s="46"/>
      <c r="L2456" s="46"/>
      <c r="M2456" s="46"/>
      <c r="N2456" s="46"/>
      <c r="O2456" s="46"/>
      <c r="P2456" s="46"/>
      <c r="Q2456" s="46"/>
      <c r="R2456" s="46"/>
      <c r="S2456" s="46"/>
      <c r="T2456" s="46"/>
      <c r="U2456" s="46"/>
      <c r="V2456" s="46"/>
      <c r="W2456" s="46"/>
      <c r="X2456" s="46"/>
    </row>
    <row r="2457" spans="1:24" x14ac:dyDescent="0.2">
      <c r="A2457" s="45"/>
      <c r="B2457" s="46"/>
      <c r="C2457" s="46"/>
      <c r="D2457" s="46"/>
      <c r="E2457" s="46"/>
      <c r="F2457" s="46"/>
      <c r="G2457" s="46"/>
      <c r="H2457" s="46"/>
      <c r="I2457" s="46"/>
      <c r="J2457" s="46"/>
      <c r="K2457" s="46"/>
      <c r="L2457" s="46"/>
      <c r="M2457" s="46"/>
      <c r="N2457" s="46"/>
      <c r="O2457" s="46"/>
      <c r="P2457" s="46"/>
      <c r="Q2457" s="46"/>
      <c r="R2457" s="46"/>
      <c r="S2457" s="46"/>
      <c r="T2457" s="46"/>
      <c r="U2457" s="46"/>
      <c r="V2457" s="46"/>
      <c r="W2457" s="46"/>
      <c r="X2457" s="46"/>
    </row>
    <row r="2458" spans="1:24" x14ac:dyDescent="0.2">
      <c r="A2458" s="45"/>
      <c r="B2458" s="46"/>
      <c r="C2458" s="46"/>
      <c r="D2458" s="46"/>
      <c r="E2458" s="46"/>
      <c r="F2458" s="46"/>
      <c r="G2458" s="46"/>
      <c r="H2458" s="46"/>
      <c r="I2458" s="46"/>
      <c r="J2458" s="46"/>
      <c r="K2458" s="46"/>
      <c r="L2458" s="46"/>
      <c r="M2458" s="46"/>
      <c r="N2458" s="46"/>
      <c r="O2458" s="46"/>
      <c r="P2458" s="46"/>
      <c r="Q2458" s="46"/>
      <c r="R2458" s="46"/>
      <c r="S2458" s="46"/>
      <c r="T2458" s="46"/>
      <c r="U2458" s="46"/>
      <c r="V2458" s="46"/>
      <c r="W2458" s="46"/>
      <c r="X2458" s="46"/>
    </row>
    <row r="2459" spans="1:24" x14ac:dyDescent="0.2">
      <c r="A2459" s="45"/>
      <c r="B2459" s="46"/>
      <c r="C2459" s="46"/>
      <c r="D2459" s="46"/>
      <c r="E2459" s="46"/>
      <c r="F2459" s="46"/>
      <c r="G2459" s="46"/>
      <c r="H2459" s="46"/>
      <c r="I2459" s="46"/>
      <c r="J2459" s="46"/>
      <c r="K2459" s="46"/>
      <c r="L2459" s="46"/>
      <c r="M2459" s="46"/>
      <c r="N2459" s="46"/>
      <c r="O2459" s="46"/>
      <c r="P2459" s="46"/>
      <c r="Q2459" s="46"/>
      <c r="R2459" s="46"/>
      <c r="S2459" s="46"/>
      <c r="T2459" s="46"/>
      <c r="U2459" s="46"/>
      <c r="V2459" s="46"/>
      <c r="W2459" s="46"/>
      <c r="X2459" s="46"/>
    </row>
    <row r="2460" spans="1:24" x14ac:dyDescent="0.2">
      <c r="A2460" s="45"/>
      <c r="B2460" s="46"/>
      <c r="C2460" s="46"/>
      <c r="D2460" s="46"/>
      <c r="E2460" s="46"/>
      <c r="F2460" s="46"/>
      <c r="G2460" s="46"/>
      <c r="H2460" s="46"/>
      <c r="I2460" s="46"/>
      <c r="J2460" s="46"/>
      <c r="K2460" s="46"/>
      <c r="L2460" s="46"/>
      <c r="M2460" s="46"/>
      <c r="N2460" s="46"/>
      <c r="O2460" s="46"/>
      <c r="P2460" s="46"/>
      <c r="Q2460" s="46"/>
      <c r="R2460" s="46"/>
      <c r="S2460" s="46"/>
      <c r="T2460" s="46"/>
      <c r="U2460" s="46"/>
      <c r="V2460" s="46"/>
      <c r="W2460" s="46"/>
      <c r="X2460" s="46"/>
    </row>
    <row r="2461" spans="1:24" x14ac:dyDescent="0.2">
      <c r="A2461" s="45"/>
      <c r="B2461" s="46"/>
      <c r="C2461" s="46"/>
      <c r="D2461" s="46"/>
      <c r="E2461" s="46"/>
      <c r="F2461" s="46"/>
      <c r="G2461" s="46"/>
      <c r="H2461" s="46"/>
      <c r="I2461" s="46"/>
      <c r="J2461" s="46"/>
      <c r="K2461" s="46"/>
      <c r="L2461" s="46"/>
      <c r="M2461" s="46"/>
      <c r="N2461" s="46"/>
      <c r="O2461" s="46"/>
      <c r="P2461" s="46"/>
      <c r="Q2461" s="46"/>
      <c r="R2461" s="46"/>
      <c r="S2461" s="46"/>
      <c r="T2461" s="46"/>
      <c r="U2461" s="46"/>
      <c r="V2461" s="46"/>
      <c r="W2461" s="46"/>
      <c r="X2461" s="46"/>
    </row>
    <row r="2462" spans="1:24" x14ac:dyDescent="0.2">
      <c r="A2462" s="45"/>
      <c r="B2462" s="46"/>
      <c r="C2462" s="46"/>
      <c r="D2462" s="46"/>
      <c r="E2462" s="46"/>
      <c r="F2462" s="46"/>
      <c r="G2462" s="46"/>
      <c r="H2462" s="46"/>
      <c r="I2462" s="46"/>
      <c r="J2462" s="46"/>
      <c r="K2462" s="46"/>
      <c r="L2462" s="46"/>
      <c r="M2462" s="46"/>
      <c r="N2462" s="46"/>
      <c r="O2462" s="46"/>
      <c r="P2462" s="46"/>
      <c r="Q2462" s="46"/>
      <c r="R2462" s="46"/>
      <c r="S2462" s="46"/>
      <c r="T2462" s="46"/>
      <c r="U2462" s="46"/>
      <c r="V2462" s="46"/>
      <c r="W2462" s="46"/>
      <c r="X2462" s="46"/>
    </row>
    <row r="2463" spans="1:24" x14ac:dyDescent="0.2">
      <c r="A2463" s="45"/>
      <c r="B2463" s="46"/>
      <c r="C2463" s="46"/>
      <c r="D2463" s="46"/>
      <c r="E2463" s="46"/>
      <c r="F2463" s="46"/>
      <c r="G2463" s="46"/>
      <c r="H2463" s="46"/>
      <c r="I2463" s="46"/>
      <c r="J2463" s="46"/>
      <c r="K2463" s="46"/>
      <c r="L2463" s="46"/>
      <c r="M2463" s="46"/>
      <c r="N2463" s="46"/>
      <c r="O2463" s="46"/>
      <c r="P2463" s="46"/>
      <c r="Q2463" s="46"/>
      <c r="R2463" s="46"/>
      <c r="S2463" s="46"/>
      <c r="T2463" s="46"/>
      <c r="U2463" s="46"/>
      <c r="V2463" s="46"/>
      <c r="W2463" s="46"/>
      <c r="X2463" s="46"/>
    </row>
    <row r="2464" spans="1:24" x14ac:dyDescent="0.2">
      <c r="A2464" s="45"/>
      <c r="B2464" s="46"/>
      <c r="C2464" s="46"/>
      <c r="D2464" s="46"/>
      <c r="E2464" s="46"/>
      <c r="F2464" s="46"/>
      <c r="G2464" s="46"/>
      <c r="H2464" s="46"/>
      <c r="I2464" s="46"/>
      <c r="J2464" s="46"/>
      <c r="K2464" s="46"/>
      <c r="L2464" s="46"/>
      <c r="M2464" s="46"/>
      <c r="N2464" s="46"/>
      <c r="O2464" s="46"/>
      <c r="P2464" s="46"/>
      <c r="Q2464" s="46"/>
      <c r="R2464" s="46"/>
      <c r="S2464" s="46"/>
      <c r="T2464" s="46"/>
      <c r="U2464" s="46"/>
      <c r="V2464" s="46"/>
      <c r="W2464" s="46"/>
      <c r="X2464" s="46"/>
    </row>
    <row r="2465" spans="1:24" x14ac:dyDescent="0.2">
      <c r="A2465" s="45"/>
      <c r="B2465" s="46"/>
      <c r="C2465" s="46"/>
      <c r="D2465" s="46"/>
      <c r="E2465" s="46"/>
      <c r="F2465" s="46"/>
      <c r="G2465" s="46"/>
      <c r="H2465" s="46"/>
      <c r="I2465" s="46"/>
      <c r="J2465" s="46"/>
      <c r="K2465" s="46"/>
      <c r="L2465" s="46"/>
      <c r="M2465" s="46"/>
      <c r="N2465" s="46"/>
      <c r="O2465" s="46"/>
      <c r="P2465" s="46"/>
      <c r="Q2465" s="46"/>
      <c r="R2465" s="46"/>
      <c r="S2465" s="46"/>
      <c r="T2465" s="46"/>
      <c r="U2465" s="46"/>
      <c r="V2465" s="46"/>
      <c r="W2465" s="46"/>
      <c r="X2465" s="46"/>
    </row>
    <row r="2466" spans="1:24" x14ac:dyDescent="0.2">
      <c r="A2466" s="45"/>
      <c r="B2466" s="46"/>
      <c r="C2466" s="46"/>
      <c r="D2466" s="46"/>
      <c r="E2466" s="46"/>
      <c r="F2466" s="46"/>
      <c r="G2466" s="46"/>
      <c r="H2466" s="46"/>
      <c r="I2466" s="46"/>
      <c r="J2466" s="46"/>
      <c r="K2466" s="46"/>
      <c r="L2466" s="46"/>
      <c r="M2466" s="46"/>
      <c r="N2466" s="46"/>
      <c r="O2466" s="46"/>
      <c r="P2466" s="46"/>
      <c r="Q2466" s="46"/>
      <c r="R2466" s="46"/>
      <c r="S2466" s="46"/>
      <c r="T2466" s="46"/>
      <c r="U2466" s="46"/>
      <c r="V2466" s="46"/>
      <c r="W2466" s="46"/>
      <c r="X2466" s="46"/>
    </row>
    <row r="2467" spans="1:24" x14ac:dyDescent="0.2">
      <c r="A2467" s="45"/>
      <c r="B2467" s="46"/>
      <c r="C2467" s="46"/>
      <c r="D2467" s="46"/>
      <c r="E2467" s="46"/>
      <c r="F2467" s="46"/>
      <c r="G2467" s="46"/>
      <c r="H2467" s="46"/>
      <c r="I2467" s="46"/>
      <c r="J2467" s="46"/>
      <c r="K2467" s="46"/>
      <c r="L2467" s="46"/>
      <c r="M2467" s="46"/>
      <c r="N2467" s="46"/>
      <c r="O2467" s="46"/>
      <c r="P2467" s="46"/>
      <c r="Q2467" s="46"/>
      <c r="R2467" s="46"/>
      <c r="S2467" s="46"/>
      <c r="T2467" s="46"/>
      <c r="U2467" s="46"/>
      <c r="V2467" s="46"/>
      <c r="W2467" s="46"/>
      <c r="X2467" s="46"/>
    </row>
    <row r="2468" spans="1:24" x14ac:dyDescent="0.2">
      <c r="A2468" s="45"/>
      <c r="B2468" s="46"/>
      <c r="C2468" s="46"/>
      <c r="D2468" s="46"/>
      <c r="E2468" s="46"/>
      <c r="F2468" s="46"/>
      <c r="G2468" s="46"/>
      <c r="H2468" s="46"/>
      <c r="I2468" s="46"/>
      <c r="J2468" s="46"/>
      <c r="K2468" s="46"/>
      <c r="L2468" s="46"/>
      <c r="M2468" s="46"/>
      <c r="N2468" s="46"/>
      <c r="O2468" s="46"/>
      <c r="P2468" s="46"/>
      <c r="Q2468" s="46"/>
      <c r="R2468" s="46"/>
      <c r="S2468" s="46"/>
      <c r="T2468" s="46"/>
      <c r="U2468" s="46"/>
      <c r="V2468" s="46"/>
      <c r="W2468" s="46"/>
      <c r="X2468" s="46"/>
    </row>
    <row r="2469" spans="1:24" x14ac:dyDescent="0.2">
      <c r="A2469" s="45"/>
      <c r="B2469" s="46"/>
      <c r="C2469" s="46"/>
      <c r="D2469" s="46"/>
      <c r="E2469" s="46"/>
      <c r="F2469" s="46"/>
      <c r="G2469" s="46"/>
      <c r="H2469" s="46"/>
      <c r="I2469" s="46"/>
      <c r="J2469" s="46"/>
      <c r="K2469" s="46"/>
      <c r="L2469" s="46"/>
      <c r="M2469" s="46"/>
      <c r="N2469" s="46"/>
      <c r="O2469" s="46"/>
      <c r="P2469" s="46"/>
      <c r="Q2469" s="46"/>
      <c r="R2469" s="46"/>
      <c r="S2469" s="46"/>
      <c r="T2469" s="46"/>
      <c r="U2469" s="46"/>
      <c r="V2469" s="46"/>
      <c r="W2469" s="46"/>
      <c r="X2469" s="46"/>
    </row>
    <row r="2470" spans="1:24" x14ac:dyDescent="0.2">
      <c r="A2470" s="45"/>
      <c r="B2470" s="46"/>
      <c r="C2470" s="46"/>
      <c r="D2470" s="46"/>
      <c r="E2470" s="46"/>
      <c r="F2470" s="46"/>
      <c r="G2470" s="46"/>
      <c r="H2470" s="46"/>
      <c r="I2470" s="46"/>
      <c r="J2470" s="46"/>
      <c r="K2470" s="46"/>
      <c r="L2470" s="46"/>
      <c r="M2470" s="46"/>
      <c r="N2470" s="46"/>
      <c r="O2470" s="46"/>
      <c r="P2470" s="46"/>
      <c r="Q2470" s="46"/>
      <c r="R2470" s="46"/>
      <c r="S2470" s="46"/>
      <c r="T2470" s="46"/>
      <c r="U2470" s="46"/>
      <c r="V2470" s="46"/>
      <c r="W2470" s="46"/>
      <c r="X2470" s="46"/>
    </row>
    <row r="2471" spans="1:24" x14ac:dyDescent="0.2">
      <c r="A2471" s="45"/>
      <c r="B2471" s="46"/>
      <c r="C2471" s="46"/>
      <c r="D2471" s="46"/>
      <c r="E2471" s="46"/>
      <c r="F2471" s="46"/>
      <c r="G2471" s="46"/>
      <c r="H2471" s="46"/>
      <c r="I2471" s="46"/>
      <c r="J2471" s="46"/>
      <c r="K2471" s="46"/>
      <c r="L2471" s="46"/>
      <c r="M2471" s="46"/>
      <c r="N2471" s="46"/>
      <c r="O2471" s="46"/>
      <c r="P2471" s="46"/>
      <c r="Q2471" s="46"/>
      <c r="R2471" s="46"/>
      <c r="S2471" s="46"/>
      <c r="T2471" s="46"/>
      <c r="U2471" s="46"/>
      <c r="V2471" s="46"/>
      <c r="W2471" s="46"/>
      <c r="X2471" s="46"/>
    </row>
    <row r="2472" spans="1:24" x14ac:dyDescent="0.2">
      <c r="A2472" s="45"/>
      <c r="B2472" s="46"/>
      <c r="C2472" s="46"/>
      <c r="D2472" s="46"/>
      <c r="E2472" s="46"/>
      <c r="F2472" s="46"/>
      <c r="G2472" s="46"/>
      <c r="H2472" s="46"/>
      <c r="I2472" s="46"/>
      <c r="J2472" s="46"/>
      <c r="K2472" s="46"/>
      <c r="L2472" s="46"/>
      <c r="M2472" s="46"/>
      <c r="N2472" s="46"/>
      <c r="O2472" s="46"/>
      <c r="P2472" s="46"/>
      <c r="Q2472" s="46"/>
      <c r="R2472" s="46"/>
      <c r="S2472" s="46"/>
      <c r="T2472" s="46"/>
      <c r="U2472" s="46"/>
      <c r="V2472" s="46"/>
      <c r="W2472" s="46"/>
      <c r="X2472" s="46"/>
    </row>
    <row r="2473" spans="1:24" x14ac:dyDescent="0.2">
      <c r="A2473" s="45"/>
      <c r="B2473" s="46"/>
      <c r="C2473" s="46"/>
      <c r="D2473" s="46"/>
      <c r="E2473" s="46"/>
      <c r="F2473" s="46"/>
      <c r="G2473" s="46"/>
      <c r="H2473" s="46"/>
      <c r="I2473" s="46"/>
      <c r="J2473" s="46"/>
      <c r="K2473" s="46"/>
      <c r="L2473" s="46"/>
      <c r="M2473" s="46"/>
      <c r="N2473" s="46"/>
      <c r="O2473" s="46"/>
      <c r="P2473" s="46"/>
      <c r="Q2473" s="46"/>
      <c r="R2473" s="46"/>
      <c r="S2473" s="46"/>
      <c r="T2473" s="46"/>
      <c r="U2473" s="46"/>
      <c r="V2473" s="46"/>
      <c r="W2473" s="46"/>
      <c r="X2473" s="46"/>
    </row>
    <row r="2474" spans="1:24" x14ac:dyDescent="0.2">
      <c r="A2474" s="45"/>
      <c r="B2474" s="46"/>
      <c r="C2474" s="46"/>
      <c r="D2474" s="46"/>
      <c r="E2474" s="46"/>
      <c r="F2474" s="46"/>
      <c r="G2474" s="46"/>
      <c r="H2474" s="46"/>
      <c r="I2474" s="46"/>
      <c r="J2474" s="46"/>
      <c r="K2474" s="46"/>
      <c r="L2474" s="46"/>
      <c r="M2474" s="46"/>
      <c r="N2474" s="46"/>
      <c r="O2474" s="46"/>
      <c r="P2474" s="46"/>
      <c r="Q2474" s="46"/>
      <c r="R2474" s="46"/>
      <c r="S2474" s="46"/>
      <c r="T2474" s="46"/>
      <c r="U2474" s="46"/>
      <c r="V2474" s="46"/>
      <c r="W2474" s="46"/>
      <c r="X2474" s="46"/>
    </row>
    <row r="2475" spans="1:24" x14ac:dyDescent="0.2">
      <c r="A2475" s="45"/>
      <c r="B2475" s="46"/>
      <c r="C2475" s="46"/>
      <c r="D2475" s="46"/>
      <c r="E2475" s="46"/>
      <c r="F2475" s="46"/>
      <c r="G2475" s="46"/>
      <c r="H2475" s="46"/>
      <c r="I2475" s="46"/>
      <c r="J2475" s="46"/>
      <c r="K2475" s="46"/>
      <c r="L2475" s="46"/>
      <c r="M2475" s="46"/>
      <c r="N2475" s="46"/>
      <c r="O2475" s="46"/>
      <c r="P2475" s="46"/>
      <c r="Q2475" s="46"/>
      <c r="R2475" s="46"/>
      <c r="S2475" s="46"/>
      <c r="T2475" s="46"/>
      <c r="U2475" s="46"/>
      <c r="V2475" s="46"/>
      <c r="W2475" s="46"/>
      <c r="X2475" s="46"/>
    </row>
    <row r="2476" spans="1:24" x14ac:dyDescent="0.2">
      <c r="A2476" s="45"/>
      <c r="B2476" s="46"/>
      <c r="C2476" s="46"/>
      <c r="D2476" s="46"/>
      <c r="E2476" s="46"/>
      <c r="F2476" s="46"/>
      <c r="G2476" s="46"/>
      <c r="H2476" s="46"/>
      <c r="I2476" s="46"/>
      <c r="J2476" s="46"/>
      <c r="K2476" s="46"/>
      <c r="L2476" s="46"/>
      <c r="M2476" s="46"/>
      <c r="N2476" s="46"/>
      <c r="O2476" s="46"/>
      <c r="P2476" s="46"/>
      <c r="Q2476" s="46"/>
      <c r="R2476" s="46"/>
      <c r="S2476" s="46"/>
      <c r="T2476" s="46"/>
      <c r="U2476" s="46"/>
      <c r="V2476" s="46"/>
      <c r="W2476" s="46"/>
      <c r="X2476" s="46"/>
    </row>
    <row r="2477" spans="1:24" x14ac:dyDescent="0.2">
      <c r="A2477" s="45"/>
      <c r="B2477" s="46"/>
      <c r="C2477" s="46"/>
      <c r="D2477" s="46"/>
      <c r="E2477" s="46"/>
      <c r="F2477" s="46"/>
      <c r="G2477" s="46"/>
      <c r="H2477" s="46"/>
      <c r="I2477" s="46"/>
      <c r="J2477" s="46"/>
      <c r="K2477" s="46"/>
      <c r="L2477" s="46"/>
      <c r="M2477" s="46"/>
      <c r="N2477" s="46"/>
      <c r="O2477" s="46"/>
      <c r="P2477" s="46"/>
      <c r="Q2477" s="46"/>
      <c r="R2477" s="46"/>
      <c r="S2477" s="46"/>
      <c r="T2477" s="46"/>
      <c r="U2477" s="46"/>
      <c r="V2477" s="46"/>
      <c r="W2477" s="46"/>
      <c r="X2477" s="46"/>
    </row>
    <row r="2478" spans="1:24" x14ac:dyDescent="0.2">
      <c r="A2478" s="45"/>
      <c r="B2478" s="46"/>
      <c r="C2478" s="46"/>
      <c r="D2478" s="46"/>
      <c r="E2478" s="46"/>
      <c r="F2478" s="46"/>
      <c r="G2478" s="46"/>
      <c r="H2478" s="46"/>
      <c r="I2478" s="46"/>
      <c r="J2478" s="46"/>
      <c r="K2478" s="46"/>
      <c r="L2478" s="46"/>
      <c r="M2478" s="46"/>
      <c r="N2478" s="46"/>
      <c r="O2478" s="46"/>
      <c r="P2478" s="46"/>
      <c r="Q2478" s="46"/>
      <c r="R2478" s="46"/>
      <c r="S2478" s="46"/>
      <c r="T2478" s="46"/>
      <c r="U2478" s="46"/>
      <c r="V2478" s="46"/>
      <c r="W2478" s="46"/>
      <c r="X2478" s="46"/>
    </row>
    <row r="2479" spans="1:24" x14ac:dyDescent="0.2">
      <c r="A2479" s="45"/>
      <c r="B2479" s="46"/>
      <c r="C2479" s="46"/>
      <c r="D2479" s="46"/>
      <c r="E2479" s="46"/>
      <c r="F2479" s="46"/>
      <c r="G2479" s="46"/>
      <c r="H2479" s="46"/>
      <c r="I2479" s="46"/>
      <c r="J2479" s="46"/>
      <c r="K2479" s="46"/>
      <c r="L2479" s="46"/>
      <c r="M2479" s="46"/>
      <c r="N2479" s="46"/>
      <c r="O2479" s="46"/>
      <c r="P2479" s="46"/>
      <c r="Q2479" s="46"/>
      <c r="R2479" s="46"/>
      <c r="S2479" s="46"/>
      <c r="T2479" s="46"/>
      <c r="U2479" s="46"/>
      <c r="V2479" s="46"/>
      <c r="W2479" s="46"/>
      <c r="X2479" s="46"/>
    </row>
    <row r="2480" spans="1:24" x14ac:dyDescent="0.2">
      <c r="A2480" s="45"/>
      <c r="B2480" s="46"/>
      <c r="C2480" s="46"/>
      <c r="D2480" s="46"/>
      <c r="E2480" s="46"/>
      <c r="F2480" s="46"/>
      <c r="G2480" s="46"/>
      <c r="H2480" s="46"/>
      <c r="I2480" s="46"/>
      <c r="J2480" s="46"/>
      <c r="K2480" s="46"/>
      <c r="L2480" s="46"/>
      <c r="M2480" s="46"/>
      <c r="N2480" s="46"/>
      <c r="O2480" s="46"/>
      <c r="P2480" s="46"/>
      <c r="Q2480" s="46"/>
      <c r="R2480" s="46"/>
      <c r="S2480" s="46"/>
      <c r="T2480" s="46"/>
      <c r="U2480" s="46"/>
      <c r="V2480" s="46"/>
      <c r="W2480" s="46"/>
      <c r="X2480" s="46"/>
    </row>
    <row r="2481" spans="1:24" x14ac:dyDescent="0.2">
      <c r="A2481" s="45"/>
      <c r="B2481" s="46"/>
      <c r="C2481" s="46"/>
      <c r="D2481" s="46"/>
      <c r="E2481" s="46"/>
      <c r="F2481" s="46"/>
      <c r="G2481" s="46"/>
      <c r="H2481" s="46"/>
      <c r="I2481" s="46"/>
      <c r="J2481" s="46"/>
      <c r="K2481" s="46"/>
      <c r="L2481" s="46"/>
      <c r="M2481" s="46"/>
      <c r="N2481" s="46"/>
      <c r="O2481" s="46"/>
      <c r="P2481" s="46"/>
      <c r="Q2481" s="46"/>
      <c r="R2481" s="46"/>
      <c r="S2481" s="46"/>
      <c r="T2481" s="46"/>
      <c r="U2481" s="46"/>
      <c r="V2481" s="46"/>
      <c r="W2481" s="46"/>
      <c r="X2481" s="46"/>
    </row>
    <row r="2482" spans="1:24" x14ac:dyDescent="0.2">
      <c r="A2482" s="45"/>
      <c r="B2482" s="46"/>
      <c r="C2482" s="46"/>
      <c r="D2482" s="46"/>
      <c r="E2482" s="46"/>
      <c r="F2482" s="46"/>
      <c r="G2482" s="46"/>
      <c r="H2482" s="46"/>
      <c r="I2482" s="46"/>
      <c r="J2482" s="46"/>
      <c r="K2482" s="46"/>
      <c r="L2482" s="46"/>
      <c r="M2482" s="46"/>
      <c r="N2482" s="46"/>
      <c r="O2482" s="46"/>
      <c r="P2482" s="46"/>
      <c r="Q2482" s="46"/>
      <c r="R2482" s="46"/>
      <c r="S2482" s="46"/>
      <c r="T2482" s="46"/>
      <c r="U2482" s="46"/>
      <c r="V2482" s="46"/>
      <c r="W2482" s="46"/>
      <c r="X2482" s="46"/>
    </row>
    <row r="2483" spans="1:24" x14ac:dyDescent="0.2">
      <c r="A2483" s="45"/>
      <c r="B2483" s="46"/>
      <c r="C2483" s="46"/>
      <c r="D2483" s="46"/>
      <c r="E2483" s="46"/>
      <c r="F2483" s="46"/>
      <c r="G2483" s="46"/>
      <c r="H2483" s="46"/>
      <c r="I2483" s="46"/>
      <c r="J2483" s="46"/>
      <c r="K2483" s="46"/>
      <c r="L2483" s="46"/>
      <c r="M2483" s="46"/>
      <c r="N2483" s="46"/>
      <c r="O2483" s="46"/>
      <c r="P2483" s="46"/>
      <c r="Q2483" s="46"/>
      <c r="R2483" s="46"/>
      <c r="S2483" s="46"/>
      <c r="T2483" s="46"/>
      <c r="U2483" s="46"/>
      <c r="V2483" s="46"/>
      <c r="W2483" s="46"/>
      <c r="X2483" s="46"/>
    </row>
    <row r="2484" spans="1:24" x14ac:dyDescent="0.2">
      <c r="A2484" s="45"/>
      <c r="B2484" s="46"/>
      <c r="C2484" s="46"/>
      <c r="D2484" s="46"/>
      <c r="E2484" s="46"/>
      <c r="F2484" s="46"/>
      <c r="G2484" s="46"/>
      <c r="H2484" s="46"/>
      <c r="I2484" s="46"/>
      <c r="J2484" s="46"/>
      <c r="K2484" s="46"/>
      <c r="L2484" s="46"/>
      <c r="M2484" s="46"/>
      <c r="N2484" s="46"/>
      <c r="O2484" s="46"/>
      <c r="P2484" s="46"/>
      <c r="Q2484" s="46"/>
      <c r="R2484" s="46"/>
      <c r="S2484" s="46"/>
      <c r="T2484" s="46"/>
      <c r="U2484" s="46"/>
      <c r="V2484" s="46"/>
      <c r="W2484" s="46"/>
      <c r="X2484" s="46"/>
    </row>
    <row r="2485" spans="1:24" x14ac:dyDescent="0.2">
      <c r="A2485" s="45"/>
      <c r="B2485" s="46"/>
      <c r="C2485" s="46"/>
      <c r="D2485" s="46"/>
      <c r="E2485" s="46"/>
      <c r="F2485" s="46"/>
      <c r="G2485" s="46"/>
      <c r="H2485" s="46"/>
      <c r="I2485" s="46"/>
      <c r="J2485" s="46"/>
      <c r="K2485" s="46"/>
      <c r="L2485" s="46"/>
      <c r="M2485" s="46"/>
      <c r="N2485" s="46"/>
      <c r="O2485" s="46"/>
      <c r="P2485" s="46"/>
      <c r="Q2485" s="46"/>
      <c r="R2485" s="46"/>
      <c r="S2485" s="46"/>
      <c r="T2485" s="46"/>
      <c r="U2485" s="46"/>
      <c r="V2485" s="46"/>
      <c r="W2485" s="46"/>
      <c r="X2485" s="46"/>
    </row>
    <row r="2486" spans="1:24" x14ac:dyDescent="0.2">
      <c r="A2486" s="45"/>
      <c r="B2486" s="46"/>
      <c r="C2486" s="46"/>
      <c r="D2486" s="46"/>
      <c r="E2486" s="46"/>
      <c r="F2486" s="46"/>
      <c r="G2486" s="46"/>
      <c r="H2486" s="46"/>
      <c r="I2486" s="46"/>
      <c r="J2486" s="46"/>
      <c r="K2486" s="46"/>
      <c r="L2486" s="46"/>
      <c r="M2486" s="46"/>
      <c r="N2486" s="46"/>
      <c r="O2486" s="46"/>
      <c r="P2486" s="46"/>
      <c r="Q2486" s="46"/>
      <c r="R2486" s="46"/>
      <c r="S2486" s="46"/>
      <c r="T2486" s="46"/>
      <c r="U2486" s="46"/>
      <c r="V2486" s="46"/>
      <c r="W2486" s="46"/>
      <c r="X2486" s="46"/>
    </row>
    <row r="2487" spans="1:24" x14ac:dyDescent="0.2">
      <c r="A2487" s="45"/>
      <c r="B2487" s="46"/>
      <c r="C2487" s="46"/>
      <c r="D2487" s="46"/>
      <c r="E2487" s="46"/>
      <c r="F2487" s="46"/>
      <c r="G2487" s="46"/>
      <c r="H2487" s="46"/>
      <c r="I2487" s="46"/>
      <c r="J2487" s="46"/>
      <c r="K2487" s="46"/>
      <c r="L2487" s="46"/>
      <c r="M2487" s="46"/>
      <c r="N2487" s="46"/>
      <c r="O2487" s="46"/>
      <c r="P2487" s="46"/>
      <c r="Q2487" s="46"/>
      <c r="R2487" s="46"/>
      <c r="S2487" s="46"/>
      <c r="T2487" s="46"/>
      <c r="U2487" s="46"/>
      <c r="V2487" s="46"/>
      <c r="W2487" s="46"/>
      <c r="X2487" s="46"/>
    </row>
    <row r="2488" spans="1:24" x14ac:dyDescent="0.2">
      <c r="A2488" s="45"/>
      <c r="B2488" s="46"/>
      <c r="C2488" s="46"/>
      <c r="D2488" s="46"/>
      <c r="E2488" s="46"/>
      <c r="F2488" s="46"/>
      <c r="G2488" s="46"/>
      <c r="H2488" s="46"/>
      <c r="I2488" s="46"/>
      <c r="J2488" s="46"/>
      <c r="K2488" s="46"/>
      <c r="L2488" s="46"/>
      <c r="M2488" s="46"/>
      <c r="N2488" s="46"/>
      <c r="O2488" s="46"/>
      <c r="P2488" s="46"/>
      <c r="Q2488" s="46"/>
      <c r="R2488" s="46"/>
      <c r="S2488" s="46"/>
      <c r="T2488" s="46"/>
      <c r="U2488" s="46"/>
      <c r="V2488" s="46"/>
      <c r="W2488" s="46"/>
      <c r="X2488" s="46"/>
    </row>
    <row r="2489" spans="1:24" x14ac:dyDescent="0.2">
      <c r="A2489" s="45"/>
      <c r="B2489" s="46"/>
      <c r="C2489" s="46"/>
      <c r="D2489" s="46"/>
      <c r="E2489" s="46"/>
      <c r="F2489" s="46"/>
      <c r="G2489" s="46"/>
      <c r="H2489" s="46"/>
      <c r="I2489" s="46"/>
      <c r="J2489" s="46"/>
      <c r="K2489" s="46"/>
      <c r="L2489" s="46"/>
      <c r="M2489" s="46"/>
      <c r="N2489" s="46"/>
      <c r="O2489" s="46"/>
      <c r="P2489" s="46"/>
      <c r="Q2489" s="46"/>
      <c r="R2489" s="46"/>
      <c r="S2489" s="46"/>
      <c r="T2489" s="46"/>
      <c r="U2489" s="46"/>
      <c r="V2489" s="46"/>
      <c r="W2489" s="46"/>
      <c r="X2489" s="46"/>
    </row>
    <row r="2490" spans="1:24" x14ac:dyDescent="0.2">
      <c r="A2490" s="45"/>
      <c r="B2490" s="46"/>
      <c r="C2490" s="46"/>
      <c r="D2490" s="46"/>
      <c r="E2490" s="46"/>
      <c r="F2490" s="46"/>
      <c r="G2490" s="46"/>
      <c r="H2490" s="46"/>
      <c r="I2490" s="46"/>
      <c r="J2490" s="46"/>
      <c r="K2490" s="46"/>
      <c r="L2490" s="46"/>
      <c r="M2490" s="46"/>
      <c r="N2490" s="46"/>
      <c r="O2490" s="46"/>
      <c r="P2490" s="46"/>
      <c r="Q2490" s="46"/>
      <c r="R2490" s="46"/>
      <c r="S2490" s="46"/>
      <c r="T2490" s="46"/>
      <c r="U2490" s="46"/>
      <c r="V2490" s="46"/>
      <c r="W2490" s="46"/>
      <c r="X2490" s="46"/>
    </row>
    <row r="2491" spans="1:24" x14ac:dyDescent="0.2">
      <c r="A2491" s="45"/>
      <c r="B2491" s="46"/>
      <c r="C2491" s="46"/>
      <c r="D2491" s="46"/>
      <c r="E2491" s="46"/>
      <c r="F2491" s="46"/>
      <c r="G2491" s="46"/>
      <c r="H2491" s="46"/>
      <c r="I2491" s="46"/>
      <c r="J2491" s="46"/>
      <c r="K2491" s="46"/>
      <c r="L2491" s="46"/>
      <c r="M2491" s="46"/>
      <c r="N2491" s="46"/>
      <c r="O2491" s="46"/>
      <c r="P2491" s="46"/>
      <c r="Q2491" s="46"/>
      <c r="R2491" s="46"/>
      <c r="S2491" s="46"/>
      <c r="T2491" s="46"/>
      <c r="U2491" s="46"/>
      <c r="V2491" s="46"/>
      <c r="W2491" s="46"/>
      <c r="X2491" s="46"/>
    </row>
    <row r="2492" spans="1:24" x14ac:dyDescent="0.2">
      <c r="A2492" s="45"/>
      <c r="B2492" s="46"/>
      <c r="C2492" s="46"/>
      <c r="D2492" s="46"/>
      <c r="E2492" s="46"/>
      <c r="F2492" s="46"/>
      <c r="G2492" s="46"/>
      <c r="H2492" s="46"/>
      <c r="I2492" s="46"/>
      <c r="J2492" s="46"/>
      <c r="K2492" s="46"/>
      <c r="L2492" s="46"/>
      <c r="M2492" s="46"/>
      <c r="N2492" s="46"/>
      <c r="O2492" s="46"/>
      <c r="P2492" s="46"/>
      <c r="Q2492" s="46"/>
      <c r="R2492" s="46"/>
      <c r="S2492" s="46"/>
      <c r="T2492" s="46"/>
      <c r="U2492" s="46"/>
      <c r="V2492" s="46"/>
      <c r="W2492" s="46"/>
      <c r="X2492" s="46"/>
    </row>
    <row r="2493" spans="1:24" x14ac:dyDescent="0.2">
      <c r="A2493" s="45"/>
      <c r="B2493" s="46"/>
      <c r="C2493" s="46"/>
      <c r="D2493" s="46"/>
      <c r="E2493" s="46"/>
      <c r="F2493" s="46"/>
      <c r="G2493" s="46"/>
      <c r="H2493" s="46"/>
      <c r="I2493" s="46"/>
      <c r="J2493" s="46"/>
      <c r="K2493" s="46"/>
      <c r="L2493" s="46"/>
      <c r="M2493" s="46"/>
      <c r="N2493" s="46"/>
      <c r="O2493" s="46"/>
      <c r="P2493" s="46"/>
      <c r="Q2493" s="46"/>
      <c r="R2493" s="46"/>
      <c r="S2493" s="46"/>
      <c r="T2493" s="46"/>
      <c r="U2493" s="46"/>
      <c r="V2493" s="46"/>
      <c r="W2493" s="46"/>
      <c r="X2493" s="46"/>
    </row>
    <row r="2494" spans="1:24" x14ac:dyDescent="0.2">
      <c r="A2494" s="45"/>
      <c r="B2494" s="46"/>
      <c r="C2494" s="46"/>
      <c r="D2494" s="46"/>
      <c r="E2494" s="46"/>
      <c r="F2494" s="46"/>
      <c r="G2494" s="46"/>
      <c r="H2494" s="46"/>
      <c r="I2494" s="46"/>
      <c r="J2494" s="46"/>
      <c r="K2494" s="46"/>
      <c r="L2494" s="46"/>
      <c r="M2494" s="46"/>
      <c r="N2494" s="46"/>
      <c r="O2494" s="46"/>
      <c r="P2494" s="46"/>
      <c r="Q2494" s="46"/>
      <c r="R2494" s="46"/>
      <c r="S2494" s="46"/>
      <c r="T2494" s="46"/>
      <c r="U2494" s="46"/>
      <c r="V2494" s="46"/>
      <c r="W2494" s="46"/>
      <c r="X2494" s="46"/>
    </row>
    <row r="2495" spans="1:24" x14ac:dyDescent="0.2">
      <c r="A2495" s="45"/>
      <c r="B2495" s="46"/>
      <c r="C2495" s="46"/>
      <c r="D2495" s="46"/>
      <c r="E2495" s="46"/>
      <c r="F2495" s="46"/>
      <c r="G2495" s="46"/>
      <c r="H2495" s="46"/>
      <c r="I2495" s="46"/>
      <c r="J2495" s="46"/>
      <c r="K2495" s="46"/>
      <c r="L2495" s="46"/>
      <c r="M2495" s="46"/>
      <c r="N2495" s="46"/>
      <c r="O2495" s="46"/>
      <c r="P2495" s="46"/>
      <c r="Q2495" s="46"/>
      <c r="R2495" s="46"/>
      <c r="S2495" s="46"/>
      <c r="T2495" s="46"/>
      <c r="U2495" s="46"/>
      <c r="V2495" s="46"/>
      <c r="W2495" s="46"/>
      <c r="X2495" s="46"/>
    </row>
    <row r="2496" spans="1:24" x14ac:dyDescent="0.2">
      <c r="A2496" s="45"/>
      <c r="B2496" s="46"/>
      <c r="C2496" s="46"/>
      <c r="D2496" s="46"/>
      <c r="E2496" s="46"/>
      <c r="F2496" s="46"/>
      <c r="G2496" s="46"/>
      <c r="H2496" s="46"/>
      <c r="I2496" s="46"/>
      <c r="J2496" s="46"/>
      <c r="K2496" s="46"/>
      <c r="L2496" s="46"/>
      <c r="M2496" s="46"/>
      <c r="N2496" s="46"/>
      <c r="O2496" s="46"/>
      <c r="P2496" s="46"/>
      <c r="Q2496" s="46"/>
      <c r="R2496" s="46"/>
      <c r="S2496" s="46"/>
      <c r="T2496" s="46"/>
      <c r="U2496" s="46"/>
      <c r="V2496" s="46"/>
      <c r="W2496" s="46"/>
      <c r="X2496" s="46"/>
    </row>
    <row r="2497" spans="1:24" x14ac:dyDescent="0.2">
      <c r="A2497" s="45"/>
      <c r="B2497" s="46"/>
      <c r="C2497" s="46"/>
      <c r="D2497" s="46"/>
      <c r="E2497" s="46"/>
      <c r="F2497" s="46"/>
      <c r="G2497" s="46"/>
      <c r="H2497" s="46"/>
      <c r="I2497" s="46"/>
      <c r="J2497" s="46"/>
      <c r="K2497" s="46"/>
      <c r="L2497" s="46"/>
      <c r="M2497" s="46"/>
      <c r="N2497" s="46"/>
      <c r="O2497" s="46"/>
      <c r="P2497" s="46"/>
      <c r="Q2497" s="46"/>
      <c r="R2497" s="46"/>
      <c r="S2497" s="46"/>
      <c r="T2497" s="46"/>
      <c r="U2497" s="46"/>
      <c r="V2497" s="46"/>
      <c r="W2497" s="46"/>
      <c r="X2497" s="46"/>
    </row>
    <row r="2498" spans="1:24" x14ac:dyDescent="0.2">
      <c r="A2498" s="45"/>
      <c r="B2498" s="46"/>
      <c r="C2498" s="46"/>
      <c r="D2498" s="46"/>
      <c r="E2498" s="46"/>
      <c r="F2498" s="46"/>
      <c r="G2498" s="46"/>
      <c r="H2498" s="46"/>
      <c r="I2498" s="46"/>
      <c r="J2498" s="46"/>
      <c r="K2498" s="46"/>
      <c r="L2498" s="46"/>
      <c r="M2498" s="46"/>
      <c r="N2498" s="46"/>
      <c r="O2498" s="46"/>
      <c r="P2498" s="46"/>
      <c r="Q2498" s="46"/>
      <c r="R2498" s="46"/>
      <c r="S2498" s="46"/>
      <c r="T2498" s="46"/>
      <c r="U2498" s="46"/>
      <c r="V2498" s="46"/>
      <c r="W2498" s="46"/>
      <c r="X2498" s="46"/>
    </row>
    <row r="2499" spans="1:24" x14ac:dyDescent="0.2">
      <c r="A2499" s="45"/>
      <c r="B2499" s="46"/>
      <c r="C2499" s="46"/>
      <c r="D2499" s="46"/>
      <c r="E2499" s="46"/>
      <c r="F2499" s="46"/>
      <c r="G2499" s="46"/>
      <c r="H2499" s="46"/>
      <c r="I2499" s="46"/>
      <c r="J2499" s="46"/>
      <c r="K2499" s="46"/>
      <c r="L2499" s="46"/>
      <c r="M2499" s="46"/>
      <c r="N2499" s="46"/>
      <c r="O2499" s="46"/>
      <c r="P2499" s="46"/>
      <c r="Q2499" s="46"/>
      <c r="R2499" s="46"/>
      <c r="S2499" s="46"/>
      <c r="T2499" s="46"/>
      <c r="U2499" s="46"/>
      <c r="V2499" s="46"/>
      <c r="W2499" s="46"/>
      <c r="X2499" s="46"/>
    </row>
    <row r="2500" spans="1:24" x14ac:dyDescent="0.2">
      <c r="A2500" s="45"/>
      <c r="B2500" s="46"/>
      <c r="C2500" s="46"/>
      <c r="D2500" s="46"/>
      <c r="E2500" s="46"/>
      <c r="F2500" s="46"/>
      <c r="G2500" s="46"/>
      <c r="H2500" s="46"/>
      <c r="I2500" s="46"/>
      <c r="J2500" s="46"/>
      <c r="K2500" s="46"/>
      <c r="L2500" s="46"/>
      <c r="M2500" s="46"/>
      <c r="N2500" s="46"/>
      <c r="O2500" s="46"/>
      <c r="P2500" s="46"/>
      <c r="Q2500" s="46"/>
      <c r="R2500" s="46"/>
      <c r="S2500" s="46"/>
      <c r="T2500" s="46"/>
      <c r="U2500" s="46"/>
      <c r="V2500" s="46"/>
      <c r="W2500" s="46"/>
      <c r="X2500" s="46"/>
    </row>
    <row r="2501" spans="1:24" x14ac:dyDescent="0.2">
      <c r="A2501" s="45"/>
      <c r="B2501" s="46"/>
      <c r="C2501" s="46"/>
      <c r="D2501" s="46"/>
      <c r="E2501" s="46"/>
      <c r="F2501" s="46"/>
      <c r="G2501" s="46"/>
      <c r="H2501" s="46"/>
      <c r="I2501" s="46"/>
      <c r="J2501" s="46"/>
      <c r="K2501" s="46"/>
      <c r="L2501" s="46"/>
      <c r="M2501" s="46"/>
      <c r="N2501" s="46"/>
      <c r="O2501" s="46"/>
      <c r="P2501" s="46"/>
      <c r="Q2501" s="46"/>
      <c r="R2501" s="46"/>
      <c r="S2501" s="46"/>
      <c r="T2501" s="46"/>
      <c r="U2501" s="46"/>
      <c r="V2501" s="46"/>
      <c r="W2501" s="46"/>
      <c r="X2501" s="46"/>
    </row>
  </sheetData>
  <autoFilter ref="A2:CR67" xr:uid="{F076AAE0-BE70-4F8E-8B5A-FD5F20AB0F65}"/>
  <sortState xmlns:xlrd2="http://schemas.microsoft.com/office/spreadsheetml/2017/richdata2" ref="A3:CR66">
    <sortCondition ref="A3:A66"/>
  </sortState>
  <conditionalFormatting sqref="A3:A66">
    <cfRule type="duplicateValues" dxfId="5" priority="1"/>
    <cfRule type="duplicateValues" dxfId="4" priority="2"/>
    <cfRule type="duplicateValues" dxfId="3" priority="3"/>
  </conditionalFormatting>
  <hyperlinks>
    <hyperlink ref="A1" location="Index!A1" display="Index"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G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8"/>
    <col min="2" max="48" width="30.7109375" style="9" customWidth="1"/>
    <col min="49" max="49" width="60.7109375" style="9" customWidth="1"/>
    <col min="50" max="59" width="30.7109375" style="9" customWidth="1"/>
    <col min="60" max="60" width="50.7109375" style="9" customWidth="1"/>
    <col min="61" max="62" width="30.7109375" style="9" customWidth="1"/>
    <col min="63" max="63" width="50.7109375" style="9" customWidth="1"/>
    <col min="64" max="73" width="30.7109375" style="9" customWidth="1"/>
    <col min="74" max="74" width="50.7109375" style="9" customWidth="1"/>
    <col min="75" max="88" width="30.7109375" style="9" customWidth="1"/>
    <col min="89" max="99" width="30.7109375" style="10" customWidth="1"/>
    <col min="100" max="100" width="90.7109375" style="10" customWidth="1"/>
    <col min="101" max="108" width="30.7109375" style="10" customWidth="1"/>
    <col min="109" max="113" width="30.7109375" style="39" customWidth="1"/>
    <col min="114" max="132" width="30.7109375" style="9" customWidth="1"/>
    <col min="133" max="133" width="60.7109375" style="9" customWidth="1"/>
    <col min="134" max="150" width="30.7109375" style="9" customWidth="1"/>
    <col min="151" max="151" width="50.7109375" style="9" customWidth="1"/>
    <col min="152" max="152" width="30.7109375" style="9" customWidth="1"/>
    <col min="153" max="159" width="30.7109375" style="39" customWidth="1"/>
    <col min="160" max="163" width="30.7109375" style="9" customWidth="1"/>
    <col min="164" max="16384" width="9.140625" style="8"/>
  </cols>
  <sheetData>
    <row r="1" spans="1:163" s="30" customFormat="1" x14ac:dyDescent="0.2">
      <c r="A1" s="70" t="s">
        <v>181</v>
      </c>
      <c r="B1" s="12" t="s">
        <v>1533</v>
      </c>
      <c r="C1" s="12" t="s">
        <v>1534</v>
      </c>
      <c r="D1" s="12" t="s">
        <v>1535</v>
      </c>
      <c r="E1" s="12" t="s">
        <v>1536</v>
      </c>
      <c r="F1" s="12" t="s">
        <v>1537</v>
      </c>
      <c r="G1" s="12" t="s">
        <v>1538</v>
      </c>
      <c r="H1" s="12" t="s">
        <v>1539</v>
      </c>
      <c r="I1" s="12" t="s">
        <v>1540</v>
      </c>
      <c r="J1" s="12" t="s">
        <v>1541</v>
      </c>
      <c r="K1" s="12" t="s">
        <v>1542</v>
      </c>
      <c r="L1" s="12" t="s">
        <v>1543</v>
      </c>
      <c r="M1" s="12" t="s">
        <v>1544</v>
      </c>
      <c r="N1" s="12" t="s">
        <v>1545</v>
      </c>
      <c r="O1" s="12" t="s">
        <v>1546</v>
      </c>
      <c r="P1" s="12" t="s">
        <v>1547</v>
      </c>
      <c r="Q1" s="12" t="s">
        <v>1548</v>
      </c>
      <c r="R1" s="12" t="s">
        <v>1549</v>
      </c>
      <c r="S1" s="12" t="s">
        <v>1550</v>
      </c>
      <c r="T1" s="12" t="s">
        <v>1551</v>
      </c>
      <c r="U1" s="12" t="s">
        <v>1552</v>
      </c>
      <c r="V1" s="12" t="s">
        <v>1553</v>
      </c>
      <c r="W1" s="12" t="s">
        <v>1554</v>
      </c>
      <c r="X1" s="12" t="s">
        <v>1555</v>
      </c>
      <c r="Y1" s="12" t="s">
        <v>1556</v>
      </c>
      <c r="Z1" s="12" t="s">
        <v>1557</v>
      </c>
      <c r="AA1" s="12" t="s">
        <v>1558</v>
      </c>
      <c r="AB1" s="12" t="s">
        <v>1559</v>
      </c>
      <c r="AC1" s="12" t="s">
        <v>1560</v>
      </c>
      <c r="AD1" s="12" t="s">
        <v>1561</v>
      </c>
      <c r="AE1" s="12" t="s">
        <v>1562</v>
      </c>
      <c r="AF1" s="12" t="s">
        <v>1563</v>
      </c>
      <c r="AG1" s="12" t="s">
        <v>1564</v>
      </c>
      <c r="AH1" s="12" t="s">
        <v>1565</v>
      </c>
      <c r="AI1" s="12" t="s">
        <v>1566</v>
      </c>
      <c r="AJ1" s="12" t="s">
        <v>1567</v>
      </c>
      <c r="AK1" s="12" t="s">
        <v>1568</v>
      </c>
      <c r="AL1" s="12" t="s">
        <v>1569</v>
      </c>
      <c r="AM1" s="12" t="s">
        <v>1570</v>
      </c>
      <c r="AN1" s="12" t="s">
        <v>1571</v>
      </c>
      <c r="AO1" s="12" t="s">
        <v>1572</v>
      </c>
      <c r="AP1" s="12" t="s">
        <v>1573</v>
      </c>
      <c r="AQ1" s="12" t="s">
        <v>1574</v>
      </c>
      <c r="AR1" s="12" t="s">
        <v>1575</v>
      </c>
      <c r="AS1" s="12" t="s">
        <v>1576</v>
      </c>
      <c r="AT1" s="12" t="s">
        <v>1577</v>
      </c>
      <c r="AU1" s="12" t="s">
        <v>1578</v>
      </c>
      <c r="AV1" s="12" t="s">
        <v>1579</v>
      </c>
      <c r="AW1" s="12" t="s">
        <v>1580</v>
      </c>
      <c r="AX1" s="12" t="s">
        <v>1581</v>
      </c>
      <c r="AY1" s="12" t="s">
        <v>1582</v>
      </c>
      <c r="AZ1" s="12" t="s">
        <v>1583</v>
      </c>
      <c r="BA1" s="12" t="s">
        <v>1584</v>
      </c>
      <c r="BB1" s="12" t="s">
        <v>1585</v>
      </c>
      <c r="BC1" s="12" t="s">
        <v>1586</v>
      </c>
      <c r="BD1" s="12" t="s">
        <v>1587</v>
      </c>
      <c r="BE1" s="12" t="s">
        <v>1588</v>
      </c>
      <c r="BF1" s="12" t="s">
        <v>1589</v>
      </c>
      <c r="BG1" s="12" t="s">
        <v>1590</v>
      </c>
      <c r="BH1" s="12" t="s">
        <v>1591</v>
      </c>
      <c r="BI1" s="12" t="s">
        <v>1592</v>
      </c>
      <c r="BJ1" s="12" t="s">
        <v>1593</v>
      </c>
      <c r="BK1" s="12" t="s">
        <v>1594</v>
      </c>
      <c r="BL1" s="12" t="s">
        <v>1595</v>
      </c>
      <c r="BM1" s="12" t="s">
        <v>1596</v>
      </c>
      <c r="BN1" s="12" t="s">
        <v>1597</v>
      </c>
      <c r="BO1" s="12" t="s">
        <v>1598</v>
      </c>
      <c r="BP1" s="12" t="s">
        <v>1599</v>
      </c>
      <c r="BQ1" s="12" t="s">
        <v>1600</v>
      </c>
      <c r="BR1" s="12" t="s">
        <v>1601</v>
      </c>
      <c r="BS1" s="12" t="s">
        <v>1602</v>
      </c>
      <c r="BT1" s="12" t="s">
        <v>1603</v>
      </c>
      <c r="BU1" s="12" t="s">
        <v>1604</v>
      </c>
      <c r="BV1" s="12" t="s">
        <v>1605</v>
      </c>
      <c r="BW1" s="12" t="s">
        <v>1606</v>
      </c>
      <c r="BX1" s="12" t="s">
        <v>1607</v>
      </c>
      <c r="BY1" s="12" t="s">
        <v>1608</v>
      </c>
      <c r="BZ1" s="12" t="s">
        <v>1609</v>
      </c>
      <c r="CA1" s="12" t="s">
        <v>1610</v>
      </c>
      <c r="CB1" s="12" t="s">
        <v>1611</v>
      </c>
      <c r="CC1" s="12" t="s">
        <v>1612</v>
      </c>
      <c r="CD1" s="12" t="s">
        <v>1613</v>
      </c>
      <c r="CE1" s="12" t="s">
        <v>1614</v>
      </c>
      <c r="CF1" s="12" t="s">
        <v>1615</v>
      </c>
      <c r="CG1" s="12" t="s">
        <v>1616</v>
      </c>
      <c r="CH1" s="12" t="s">
        <v>1617</v>
      </c>
      <c r="CI1" s="12" t="s">
        <v>1618</v>
      </c>
      <c r="CJ1" s="12" t="s">
        <v>1619</v>
      </c>
      <c r="CK1" s="13" t="s">
        <v>1620</v>
      </c>
      <c r="CL1" s="13" t="s">
        <v>1621</v>
      </c>
      <c r="CM1" s="13" t="s">
        <v>1622</v>
      </c>
      <c r="CN1" s="13" t="s">
        <v>1623</v>
      </c>
      <c r="CO1" s="13" t="s">
        <v>1624</v>
      </c>
      <c r="CP1" s="13" t="s">
        <v>1625</v>
      </c>
      <c r="CQ1" s="13" t="s">
        <v>1626</v>
      </c>
      <c r="CR1" s="13" t="s">
        <v>1627</v>
      </c>
      <c r="CS1" s="13" t="s">
        <v>1628</v>
      </c>
      <c r="CT1" s="13" t="s">
        <v>1629</v>
      </c>
      <c r="CU1" s="13" t="s">
        <v>1630</v>
      </c>
      <c r="CV1" s="13" t="s">
        <v>1631</v>
      </c>
      <c r="CW1" s="13" t="s">
        <v>1632</v>
      </c>
      <c r="CX1" s="13" t="s">
        <v>1633</v>
      </c>
      <c r="CY1" s="13" t="s">
        <v>1634</v>
      </c>
      <c r="CZ1" s="13" t="s">
        <v>1635</v>
      </c>
      <c r="DA1" s="13" t="s">
        <v>1636</v>
      </c>
      <c r="DB1" s="13" t="s">
        <v>1637</v>
      </c>
      <c r="DC1" s="13" t="s">
        <v>1638</v>
      </c>
      <c r="DD1" s="13" t="s">
        <v>1639</v>
      </c>
      <c r="DE1" s="38" t="s">
        <v>1640</v>
      </c>
      <c r="DF1" s="38" t="s">
        <v>1641</v>
      </c>
      <c r="DG1" s="38" t="s">
        <v>1642</v>
      </c>
      <c r="DH1" s="38" t="s">
        <v>1643</v>
      </c>
      <c r="DI1" s="38" t="s">
        <v>1644</v>
      </c>
      <c r="DJ1" s="12" t="s">
        <v>1645</v>
      </c>
      <c r="DK1" s="12" t="s">
        <v>1646</v>
      </c>
      <c r="DL1" s="12" t="s">
        <v>1647</v>
      </c>
      <c r="DM1" s="12" t="s">
        <v>1648</v>
      </c>
      <c r="DN1" s="12" t="s">
        <v>1649</v>
      </c>
      <c r="DO1" s="12" t="s">
        <v>1650</v>
      </c>
      <c r="DP1" s="12" t="s">
        <v>1651</v>
      </c>
      <c r="DQ1" s="12" t="s">
        <v>1652</v>
      </c>
      <c r="DR1" s="12" t="s">
        <v>1653</v>
      </c>
      <c r="DS1" s="12" t="s">
        <v>1654</v>
      </c>
      <c r="DT1" s="12" t="s">
        <v>1655</v>
      </c>
      <c r="DU1" s="12" t="s">
        <v>1656</v>
      </c>
      <c r="DV1" s="12" t="s">
        <v>1657</v>
      </c>
      <c r="DW1" s="12" t="s">
        <v>1658</v>
      </c>
      <c r="DX1" s="12" t="s">
        <v>1659</v>
      </c>
      <c r="DY1" s="12" t="s">
        <v>1660</v>
      </c>
      <c r="DZ1" s="12" t="s">
        <v>1661</v>
      </c>
      <c r="EA1" s="12" t="s">
        <v>1662</v>
      </c>
      <c r="EB1" s="12" t="s">
        <v>1663</v>
      </c>
      <c r="EC1" s="12" t="s">
        <v>1664</v>
      </c>
      <c r="ED1" s="12" t="s">
        <v>1665</v>
      </c>
      <c r="EE1" s="12" t="s">
        <v>1666</v>
      </c>
      <c r="EF1" s="12" t="s">
        <v>1667</v>
      </c>
      <c r="EG1" s="12" t="s">
        <v>1668</v>
      </c>
      <c r="EH1" s="12" t="s">
        <v>1669</v>
      </c>
      <c r="EI1" s="12" t="s">
        <v>1670</v>
      </c>
      <c r="EJ1" s="12" t="s">
        <v>1671</v>
      </c>
      <c r="EK1" s="12" t="s">
        <v>1672</v>
      </c>
      <c r="EL1" s="12" t="s">
        <v>1673</v>
      </c>
      <c r="EM1" s="12" t="s">
        <v>1674</v>
      </c>
      <c r="EN1" s="12" t="s">
        <v>1675</v>
      </c>
      <c r="EO1" s="12" t="s">
        <v>1676</v>
      </c>
      <c r="EP1" s="12" t="s">
        <v>1677</v>
      </c>
      <c r="EQ1" s="12" t="s">
        <v>1678</v>
      </c>
      <c r="ER1" s="12" t="s">
        <v>1679</v>
      </c>
      <c r="ES1" s="12" t="s">
        <v>1680</v>
      </c>
      <c r="ET1" s="12" t="s">
        <v>1681</v>
      </c>
      <c r="EU1" s="12" t="s">
        <v>1682</v>
      </c>
      <c r="EV1" s="12" t="s">
        <v>1683</v>
      </c>
      <c r="EW1" s="38" t="s">
        <v>1684</v>
      </c>
      <c r="EX1" s="38" t="s">
        <v>1685</v>
      </c>
      <c r="EY1" s="38" t="s">
        <v>1686</v>
      </c>
      <c r="EZ1" s="38" t="s">
        <v>1687</v>
      </c>
      <c r="FA1" s="38" t="s">
        <v>1688</v>
      </c>
      <c r="FB1" s="38" t="s">
        <v>1689</v>
      </c>
      <c r="FC1" s="38" t="s">
        <v>1690</v>
      </c>
      <c r="FD1" s="12" t="s">
        <v>1691</v>
      </c>
      <c r="FE1" s="12" t="s">
        <v>1692</v>
      </c>
      <c r="FF1" s="12" t="s">
        <v>1693</v>
      </c>
      <c r="FG1" s="12" t="s">
        <v>1694</v>
      </c>
    </row>
    <row r="2" spans="1:163" s="30" customFormat="1" ht="89.25" x14ac:dyDescent="0.2">
      <c r="A2" s="30" t="s">
        <v>116</v>
      </c>
      <c r="B2" s="75" t="s">
        <v>12308</v>
      </c>
      <c r="C2" s="75" t="s">
        <v>12309</v>
      </c>
      <c r="D2" s="75" t="s">
        <v>12310</v>
      </c>
      <c r="E2" s="75" t="s">
        <v>12311</v>
      </c>
      <c r="F2" s="75" t="s">
        <v>12312</v>
      </c>
      <c r="G2" s="75" t="s">
        <v>12313</v>
      </c>
      <c r="H2" s="75" t="s">
        <v>12314</v>
      </c>
      <c r="I2" s="75" t="s">
        <v>12315</v>
      </c>
      <c r="J2" s="75" t="s">
        <v>12316</v>
      </c>
      <c r="K2" s="75" t="s">
        <v>14605</v>
      </c>
      <c r="L2" s="75" t="s">
        <v>12317</v>
      </c>
      <c r="M2" s="75" t="s">
        <v>12318</v>
      </c>
      <c r="N2" s="75" t="s">
        <v>12319</v>
      </c>
      <c r="O2" s="75" t="s">
        <v>12320</v>
      </c>
      <c r="P2" s="12" t="s">
        <v>12321</v>
      </c>
      <c r="Q2" s="12" t="s">
        <v>12322</v>
      </c>
      <c r="R2" s="12" t="s">
        <v>12323</v>
      </c>
      <c r="S2" s="12" t="s">
        <v>12324</v>
      </c>
      <c r="T2" s="12" t="s">
        <v>12325</v>
      </c>
      <c r="U2" s="12" t="s">
        <v>12326</v>
      </c>
      <c r="V2" s="12" t="s">
        <v>12327</v>
      </c>
      <c r="W2" s="12" t="s">
        <v>12328</v>
      </c>
      <c r="X2" s="12" t="s">
        <v>12329</v>
      </c>
      <c r="Y2" s="12" t="s">
        <v>12330</v>
      </c>
      <c r="Z2" s="12" t="s">
        <v>12331</v>
      </c>
      <c r="AA2" s="12" t="s">
        <v>12332</v>
      </c>
      <c r="AB2" s="12" t="s">
        <v>12333</v>
      </c>
      <c r="AC2" s="12" t="s">
        <v>12334</v>
      </c>
      <c r="AD2" s="75" t="s">
        <v>12335</v>
      </c>
      <c r="AE2" s="12" t="s">
        <v>12336</v>
      </c>
      <c r="AF2" s="12" t="s">
        <v>12337</v>
      </c>
      <c r="AG2" s="12" t="s">
        <v>12338</v>
      </c>
      <c r="AH2" s="12" t="s">
        <v>12339</v>
      </c>
      <c r="AI2" s="12" t="s">
        <v>12340</v>
      </c>
      <c r="AJ2" s="12" t="s">
        <v>12341</v>
      </c>
      <c r="AK2" s="12" t="s">
        <v>12342</v>
      </c>
      <c r="AL2" s="12" t="s">
        <v>12343</v>
      </c>
      <c r="AM2" s="12" t="s">
        <v>12344</v>
      </c>
      <c r="AN2" s="12" t="s">
        <v>12345</v>
      </c>
      <c r="AO2" s="12" t="s">
        <v>12346</v>
      </c>
      <c r="AP2" s="12" t="s">
        <v>12347</v>
      </c>
      <c r="AQ2" s="12" t="s">
        <v>12348</v>
      </c>
      <c r="AR2" s="12" t="s">
        <v>14495</v>
      </c>
      <c r="AS2" s="75" t="s">
        <v>12349</v>
      </c>
      <c r="AT2" s="75" t="s">
        <v>12350</v>
      </c>
      <c r="AU2" s="75" t="s">
        <v>12351</v>
      </c>
      <c r="AV2" s="75" t="s">
        <v>12352</v>
      </c>
      <c r="AW2" s="12" t="s">
        <v>12353</v>
      </c>
      <c r="AX2" s="75" t="s">
        <v>12354</v>
      </c>
      <c r="AY2" s="75" t="s">
        <v>12355</v>
      </c>
      <c r="AZ2" s="75" t="s">
        <v>12356</v>
      </c>
      <c r="BA2" s="12" t="s">
        <v>12357</v>
      </c>
      <c r="BB2" s="12" t="s">
        <v>12358</v>
      </c>
      <c r="BC2" s="12" t="s">
        <v>12359</v>
      </c>
      <c r="BD2" s="12" t="s">
        <v>12360</v>
      </c>
      <c r="BE2" s="12" t="s">
        <v>12361</v>
      </c>
      <c r="BF2" s="12" t="s">
        <v>12362</v>
      </c>
      <c r="BG2" s="12" t="s">
        <v>12363</v>
      </c>
      <c r="BH2" s="12" t="s">
        <v>12364</v>
      </c>
      <c r="BI2" s="75" t="s">
        <v>12365</v>
      </c>
      <c r="BJ2" s="75" t="s">
        <v>12366</v>
      </c>
      <c r="BK2" s="75" t="s">
        <v>14496</v>
      </c>
      <c r="BL2" s="75" t="s">
        <v>12367</v>
      </c>
      <c r="BM2" s="75" t="s">
        <v>12368</v>
      </c>
      <c r="BN2" s="12" t="s">
        <v>12369</v>
      </c>
      <c r="BO2" s="12" t="s">
        <v>12370</v>
      </c>
      <c r="BP2" s="12" t="s">
        <v>12371</v>
      </c>
      <c r="BQ2" s="75" t="s">
        <v>12372</v>
      </c>
      <c r="BR2" s="75" t="s">
        <v>12373</v>
      </c>
      <c r="BS2" s="75" t="s">
        <v>12374</v>
      </c>
      <c r="BT2" s="75" t="s">
        <v>12375</v>
      </c>
      <c r="BU2" s="75" t="s">
        <v>12376</v>
      </c>
      <c r="BV2" s="75" t="s">
        <v>12377</v>
      </c>
      <c r="BW2" s="12" t="s">
        <v>12378</v>
      </c>
      <c r="BX2" s="12" t="s">
        <v>12379</v>
      </c>
      <c r="BY2" s="12" t="s">
        <v>12380</v>
      </c>
      <c r="BZ2" s="75" t="s">
        <v>12381</v>
      </c>
      <c r="CA2" s="75" t="s">
        <v>12382</v>
      </c>
      <c r="CB2" s="75" t="s">
        <v>12383</v>
      </c>
      <c r="CC2" s="75" t="s">
        <v>12384</v>
      </c>
      <c r="CD2" s="75" t="s">
        <v>12385</v>
      </c>
      <c r="CE2" s="75" t="s">
        <v>12386</v>
      </c>
      <c r="CF2" s="75" t="s">
        <v>12387</v>
      </c>
      <c r="CG2" s="75" t="s">
        <v>12388</v>
      </c>
      <c r="CH2" s="75" t="s">
        <v>12389</v>
      </c>
      <c r="CI2" s="75" t="s">
        <v>12390</v>
      </c>
      <c r="CJ2" s="75" t="s">
        <v>12391</v>
      </c>
      <c r="CK2" s="13" t="s">
        <v>12392</v>
      </c>
      <c r="CL2" s="13" t="s">
        <v>12393</v>
      </c>
      <c r="CM2" s="13" t="s">
        <v>12394</v>
      </c>
      <c r="CN2" s="13" t="s">
        <v>12395</v>
      </c>
      <c r="CO2" s="73" t="s">
        <v>12396</v>
      </c>
      <c r="CP2" s="73" t="s">
        <v>12397</v>
      </c>
      <c r="CQ2" s="73" t="s">
        <v>12398</v>
      </c>
      <c r="CR2" s="73" t="s">
        <v>12399</v>
      </c>
      <c r="CS2" s="13" t="s">
        <v>12400</v>
      </c>
      <c r="CT2" s="13" t="s">
        <v>12401</v>
      </c>
      <c r="CU2" s="13" t="s">
        <v>12402</v>
      </c>
      <c r="CV2" s="13" t="s">
        <v>12403</v>
      </c>
      <c r="CW2" s="73" t="s">
        <v>12404</v>
      </c>
      <c r="CX2" s="73" t="s">
        <v>12405</v>
      </c>
      <c r="CY2" s="13" t="s">
        <v>12406</v>
      </c>
      <c r="CZ2" s="73" t="s">
        <v>12407</v>
      </c>
      <c r="DA2" s="73" t="s">
        <v>12408</v>
      </c>
      <c r="DB2" s="73" t="s">
        <v>12409</v>
      </c>
      <c r="DC2" s="73" t="s">
        <v>12410</v>
      </c>
      <c r="DD2" s="73" t="s">
        <v>12411</v>
      </c>
      <c r="DE2" s="55" t="s">
        <v>12407</v>
      </c>
      <c r="DF2" s="55" t="s">
        <v>12408</v>
      </c>
      <c r="DG2" s="55" t="s">
        <v>12409</v>
      </c>
      <c r="DH2" s="55" t="s">
        <v>12410</v>
      </c>
      <c r="DI2" s="55" t="s">
        <v>12411</v>
      </c>
      <c r="DJ2" s="75" t="s">
        <v>12412</v>
      </c>
      <c r="DK2" s="75" t="s">
        <v>12413</v>
      </c>
      <c r="DL2" s="75" t="s">
        <v>12414</v>
      </c>
      <c r="DM2" s="24" t="s">
        <v>14497</v>
      </c>
      <c r="DN2" s="12" t="s">
        <v>14498</v>
      </c>
      <c r="DO2" s="12" t="s">
        <v>14499</v>
      </c>
      <c r="DP2" s="12" t="s">
        <v>14500</v>
      </c>
      <c r="DQ2" s="12" t="s">
        <v>14501</v>
      </c>
      <c r="DR2" s="12" t="s">
        <v>14502</v>
      </c>
      <c r="DS2" s="12" t="s">
        <v>14503</v>
      </c>
      <c r="DT2" s="12" t="s">
        <v>14504</v>
      </c>
      <c r="DU2" s="75" t="s">
        <v>12415</v>
      </c>
      <c r="DV2" s="75" t="s">
        <v>12416</v>
      </c>
      <c r="DW2" s="75" t="s">
        <v>12417</v>
      </c>
      <c r="DX2" s="75" t="s">
        <v>12418</v>
      </c>
      <c r="DY2" s="75" t="s">
        <v>12419</v>
      </c>
      <c r="DZ2" s="75" t="s">
        <v>12420</v>
      </c>
      <c r="EA2" s="75" t="s">
        <v>12421</v>
      </c>
      <c r="EB2" s="75" t="s">
        <v>12422</v>
      </c>
      <c r="EC2" s="75" t="s">
        <v>14505</v>
      </c>
      <c r="ED2" s="75" t="s">
        <v>12423</v>
      </c>
      <c r="EE2" s="75" t="s">
        <v>12424</v>
      </c>
      <c r="EF2" s="75" t="s">
        <v>12425</v>
      </c>
      <c r="EG2" s="75" t="s">
        <v>12426</v>
      </c>
      <c r="EH2" s="75" t="s">
        <v>12427</v>
      </c>
      <c r="EI2" s="75" t="s">
        <v>12428</v>
      </c>
      <c r="EJ2" s="75" t="s">
        <v>12429</v>
      </c>
      <c r="EK2" s="75" t="s">
        <v>12430</v>
      </c>
      <c r="EL2" s="75" t="s">
        <v>12431</v>
      </c>
      <c r="EM2" s="75" t="s">
        <v>12432</v>
      </c>
      <c r="EN2" s="75" t="s">
        <v>12433</v>
      </c>
      <c r="EO2" s="75" t="s">
        <v>12434</v>
      </c>
      <c r="EP2" s="75" t="s">
        <v>12435</v>
      </c>
      <c r="EQ2" s="75" t="s">
        <v>12436</v>
      </c>
      <c r="ER2" s="75" t="s">
        <v>12437</v>
      </c>
      <c r="ES2" s="75" t="s">
        <v>12438</v>
      </c>
      <c r="ET2" s="12" t="s">
        <v>12439</v>
      </c>
      <c r="EU2" s="12" t="s">
        <v>12440</v>
      </c>
      <c r="EV2" s="12" t="s">
        <v>12441</v>
      </c>
      <c r="EW2" s="38" t="s">
        <v>12442</v>
      </c>
      <c r="EX2" s="38" t="s">
        <v>12443</v>
      </c>
      <c r="EY2" s="38" t="s">
        <v>12444</v>
      </c>
      <c r="EZ2" s="38" t="s">
        <v>12445</v>
      </c>
      <c r="FA2" s="38" t="s">
        <v>12446</v>
      </c>
      <c r="FB2" s="38" t="s">
        <v>12447</v>
      </c>
      <c r="FC2" s="38" t="s">
        <v>12448</v>
      </c>
      <c r="FD2" s="12" t="s">
        <v>14506</v>
      </c>
      <c r="FE2" s="12" t="s">
        <v>12449</v>
      </c>
      <c r="FF2" s="12" t="s">
        <v>12450</v>
      </c>
      <c r="FG2" s="12" t="s">
        <v>12451</v>
      </c>
    </row>
    <row r="3" spans="1:163" ht="51" x14ac:dyDescent="0.2">
      <c r="A3" s="8" t="s">
        <v>152</v>
      </c>
      <c r="B3" s="9" t="s">
        <v>1695</v>
      </c>
      <c r="F3" s="9" t="s">
        <v>1695</v>
      </c>
      <c r="P3" s="9" t="s">
        <v>1735</v>
      </c>
      <c r="AS3" s="9" t="s">
        <v>25</v>
      </c>
      <c r="AW3" s="9" t="s">
        <v>1756</v>
      </c>
      <c r="AX3" s="9" t="s">
        <v>1699</v>
      </c>
      <c r="AY3" s="9" t="s">
        <v>1750</v>
      </c>
      <c r="AZ3" s="9" t="s">
        <v>1704</v>
      </c>
      <c r="BA3" s="9" t="s">
        <v>28</v>
      </c>
      <c r="BB3" s="9" t="s">
        <v>1702</v>
      </c>
      <c r="BC3" s="9" t="s">
        <v>1699</v>
      </c>
      <c r="BD3" s="9" t="s">
        <v>29</v>
      </c>
      <c r="BE3" s="9" t="s">
        <v>1766</v>
      </c>
      <c r="BF3" s="9" t="s">
        <v>1773</v>
      </c>
      <c r="BH3" s="9" t="s">
        <v>1705</v>
      </c>
      <c r="BI3" s="9" t="s">
        <v>1792</v>
      </c>
      <c r="BJ3" s="9" t="s">
        <v>1707</v>
      </c>
      <c r="BK3" s="9" t="s">
        <v>1705</v>
      </c>
      <c r="BL3" s="9" t="s">
        <v>1845</v>
      </c>
      <c r="BM3" s="9" t="s">
        <v>1742</v>
      </c>
      <c r="BN3" s="9" t="s">
        <v>1699</v>
      </c>
      <c r="BO3" s="9" t="s">
        <v>29</v>
      </c>
      <c r="BP3" s="9" t="s">
        <v>1704</v>
      </c>
      <c r="BQ3" s="9" t="s">
        <v>28</v>
      </c>
      <c r="BR3" s="9" t="s">
        <v>1702</v>
      </c>
      <c r="BS3" s="9" t="s">
        <v>1776</v>
      </c>
      <c r="BT3" s="9" t="s">
        <v>29</v>
      </c>
      <c r="BU3" s="9" t="s">
        <v>1704</v>
      </c>
      <c r="BV3" s="9" t="s">
        <v>1705</v>
      </c>
      <c r="BW3" s="9" t="s">
        <v>1711</v>
      </c>
      <c r="BZ3" s="9" t="s">
        <v>1699</v>
      </c>
      <c r="CA3" s="9" t="s">
        <v>1700</v>
      </c>
      <c r="CB3" s="9" t="s">
        <v>1704</v>
      </c>
      <c r="CC3" s="9" t="s">
        <v>28</v>
      </c>
      <c r="CD3" s="9" t="s">
        <v>1894</v>
      </c>
      <c r="CE3" s="9" t="s">
        <v>1779</v>
      </c>
      <c r="CF3" s="9" t="s">
        <v>28</v>
      </c>
      <c r="CG3" s="9" t="s">
        <v>1825</v>
      </c>
      <c r="CH3" s="9" t="s">
        <v>28</v>
      </c>
      <c r="CI3" s="9" t="s">
        <v>1825</v>
      </c>
      <c r="CJ3" s="9" t="s">
        <v>29</v>
      </c>
      <c r="CK3" s="10">
        <v>20</v>
      </c>
      <c r="CL3" s="10">
        <v>20</v>
      </c>
      <c r="CM3" s="10">
        <v>20</v>
      </c>
      <c r="CN3" s="10">
        <v>20</v>
      </c>
      <c r="CO3" s="10">
        <v>20</v>
      </c>
      <c r="CP3" s="10">
        <v>20</v>
      </c>
      <c r="CQ3" s="10">
        <v>20</v>
      </c>
      <c r="CR3" s="10">
        <v>20</v>
      </c>
      <c r="CS3" s="11">
        <v>1</v>
      </c>
      <c r="CT3" s="11">
        <v>1</v>
      </c>
      <c r="CU3" s="11">
        <v>0.6</v>
      </c>
      <c r="CW3" s="10">
        <v>7</v>
      </c>
      <c r="CX3" s="10">
        <v>180</v>
      </c>
      <c r="CY3" s="10">
        <v>180</v>
      </c>
      <c r="CZ3" s="10" t="s">
        <v>25</v>
      </c>
      <c r="DA3" s="10" t="s">
        <v>25</v>
      </c>
      <c r="DB3" s="10" t="s">
        <v>28</v>
      </c>
      <c r="DC3" s="10" t="s">
        <v>25</v>
      </c>
      <c r="DD3" s="10" t="s">
        <v>25</v>
      </c>
      <c r="DG3" s="39">
        <v>20000</v>
      </c>
      <c r="DJ3" s="9" t="s">
        <v>1715</v>
      </c>
      <c r="DK3" s="9" t="s">
        <v>1715</v>
      </c>
      <c r="DM3" s="9" t="s">
        <v>28</v>
      </c>
      <c r="DN3" s="9" t="s">
        <v>25</v>
      </c>
      <c r="DO3" s="9" t="s">
        <v>28</v>
      </c>
      <c r="DP3" s="9" t="s">
        <v>28</v>
      </c>
      <c r="DQ3" s="9" t="s">
        <v>28</v>
      </c>
      <c r="DR3" s="9" t="s">
        <v>25</v>
      </c>
      <c r="DS3" s="9" t="s">
        <v>1840</v>
      </c>
      <c r="DU3" s="9" t="s">
        <v>1717</v>
      </c>
      <c r="DV3" s="9" t="s">
        <v>1746</v>
      </c>
      <c r="DW3" s="11">
        <v>0.6</v>
      </c>
      <c r="EC3" s="9" t="s">
        <v>1739</v>
      </c>
      <c r="ED3" s="9" t="s">
        <v>1755</v>
      </c>
      <c r="EE3" s="9" t="s">
        <v>1720</v>
      </c>
      <c r="EF3" s="9" t="s">
        <v>1721</v>
      </c>
      <c r="EG3" s="9" t="s">
        <v>1722</v>
      </c>
      <c r="EH3" s="9" t="s">
        <v>1723</v>
      </c>
      <c r="EI3" s="9" t="s">
        <v>1724</v>
      </c>
      <c r="EJ3" s="9" t="s">
        <v>1725</v>
      </c>
      <c r="EK3" s="9" t="s">
        <v>1726</v>
      </c>
      <c r="EL3" s="9" t="s">
        <v>1727</v>
      </c>
      <c r="EM3" s="9" t="s">
        <v>1728</v>
      </c>
      <c r="EN3" s="9" t="s">
        <v>693</v>
      </c>
      <c r="EO3" s="9" t="s">
        <v>693</v>
      </c>
      <c r="EP3" s="9" t="s">
        <v>1725</v>
      </c>
      <c r="EQ3" s="9" t="s">
        <v>1725</v>
      </c>
      <c r="ER3" s="9" t="s">
        <v>1747</v>
      </c>
      <c r="ES3" s="9" t="s">
        <v>25</v>
      </c>
      <c r="ET3" s="9" t="s">
        <v>25</v>
      </c>
    </row>
    <row r="4" spans="1:163" ht="51" x14ac:dyDescent="0.2">
      <c r="A4" s="8" t="s">
        <v>133</v>
      </c>
      <c r="B4" s="9" t="s">
        <v>1695</v>
      </c>
      <c r="G4" s="9" t="s">
        <v>1695</v>
      </c>
      <c r="AS4" s="9" t="s">
        <v>25</v>
      </c>
      <c r="AW4" s="9" t="s">
        <v>1829</v>
      </c>
      <c r="AX4" s="9" t="s">
        <v>1699</v>
      </c>
      <c r="AY4" s="9" t="s">
        <v>1700</v>
      </c>
      <c r="AZ4" s="9" t="s">
        <v>1704</v>
      </c>
      <c r="BA4" s="9" t="s">
        <v>28</v>
      </c>
      <c r="BB4" s="9" t="s">
        <v>1757</v>
      </c>
      <c r="BC4" s="9" t="s">
        <v>1699</v>
      </c>
      <c r="BD4" s="9" t="s">
        <v>1785</v>
      </c>
      <c r="BE4" s="9" t="s">
        <v>1830</v>
      </c>
      <c r="BF4" s="9" t="s">
        <v>1704</v>
      </c>
      <c r="BH4" s="9" t="s">
        <v>1831</v>
      </c>
      <c r="BI4" s="9" t="s">
        <v>1706</v>
      </c>
      <c r="BJ4" s="9" t="s">
        <v>1707</v>
      </c>
      <c r="BK4" s="9" t="s">
        <v>1831</v>
      </c>
      <c r="BL4" s="9" t="s">
        <v>1832</v>
      </c>
      <c r="BM4" s="9" t="s">
        <v>1833</v>
      </c>
      <c r="BN4" s="9" t="s">
        <v>1699</v>
      </c>
      <c r="BO4" s="9" t="s">
        <v>1700</v>
      </c>
      <c r="BP4" s="9" t="s">
        <v>1704</v>
      </c>
      <c r="BQ4" s="9" t="s">
        <v>25</v>
      </c>
      <c r="BW4" s="9" t="s">
        <v>1711</v>
      </c>
      <c r="BZ4" s="9" t="s">
        <v>1699</v>
      </c>
      <c r="CA4" s="9" t="s">
        <v>1787</v>
      </c>
      <c r="CB4" s="9" t="s">
        <v>1738</v>
      </c>
      <c r="CC4" s="9" t="s">
        <v>28</v>
      </c>
      <c r="CD4" s="9" t="s">
        <v>1778</v>
      </c>
      <c r="CE4" s="9" t="s">
        <v>1713</v>
      </c>
      <c r="CF4" s="9" t="s">
        <v>28</v>
      </c>
      <c r="CG4" s="9" t="s">
        <v>29</v>
      </c>
      <c r="CH4" s="9" t="s">
        <v>28</v>
      </c>
      <c r="CI4" s="9" t="s">
        <v>29</v>
      </c>
      <c r="CJ4" s="9" t="s">
        <v>1714</v>
      </c>
      <c r="CK4" s="10">
        <v>20</v>
      </c>
      <c r="CL4" s="10">
        <v>20</v>
      </c>
      <c r="CM4" s="10">
        <v>20</v>
      </c>
      <c r="CN4" s="10">
        <v>20</v>
      </c>
      <c r="CO4" s="10">
        <v>20</v>
      </c>
      <c r="CP4" s="10">
        <v>20</v>
      </c>
      <c r="CQ4" s="10">
        <v>20</v>
      </c>
      <c r="CR4" s="10">
        <v>20</v>
      </c>
      <c r="CS4" s="11">
        <v>1</v>
      </c>
      <c r="CT4" s="11">
        <v>1</v>
      </c>
      <c r="CU4" s="11">
        <v>0.67</v>
      </c>
      <c r="CW4" s="10">
        <v>7</v>
      </c>
      <c r="CX4" s="10">
        <v>175</v>
      </c>
      <c r="CZ4" s="10" t="s">
        <v>25</v>
      </c>
      <c r="DA4" s="10" t="s">
        <v>25</v>
      </c>
      <c r="DB4" s="10" t="s">
        <v>28</v>
      </c>
      <c r="DC4" s="10" t="s">
        <v>25</v>
      </c>
      <c r="DD4" s="10" t="s">
        <v>25</v>
      </c>
      <c r="DG4" s="39">
        <v>20000</v>
      </c>
      <c r="DJ4" s="9" t="s">
        <v>1715</v>
      </c>
      <c r="DK4" s="9" t="s">
        <v>1715</v>
      </c>
      <c r="DM4" s="9" t="s">
        <v>28</v>
      </c>
      <c r="DN4" s="9" t="s">
        <v>28</v>
      </c>
      <c r="DO4" s="9" t="s">
        <v>25</v>
      </c>
      <c r="DP4" s="9" t="s">
        <v>28</v>
      </c>
      <c r="DQ4" s="9" t="s">
        <v>28</v>
      </c>
      <c r="DR4" s="9" t="s">
        <v>25</v>
      </c>
      <c r="DS4" s="9" t="s">
        <v>612</v>
      </c>
      <c r="DU4" s="9" t="s">
        <v>1717</v>
      </c>
      <c r="DV4" s="9" t="s">
        <v>1746</v>
      </c>
      <c r="DW4" s="11">
        <v>0.67</v>
      </c>
      <c r="EC4" s="9" t="s">
        <v>635</v>
      </c>
      <c r="ED4" s="9" t="s">
        <v>1719</v>
      </c>
      <c r="EE4" s="9" t="s">
        <v>1721</v>
      </c>
      <c r="EF4" s="9" t="s">
        <v>1721</v>
      </c>
      <c r="EG4" s="9" t="s">
        <v>1721</v>
      </c>
      <c r="EH4" s="9" t="s">
        <v>1722</v>
      </c>
      <c r="EI4" s="9" t="s">
        <v>1723</v>
      </c>
      <c r="EJ4" s="9" t="s">
        <v>1724</v>
      </c>
      <c r="EK4" s="9" t="s">
        <v>1834</v>
      </c>
      <c r="EL4" s="9" t="s">
        <v>1725</v>
      </c>
      <c r="EM4" s="9" t="s">
        <v>1726</v>
      </c>
      <c r="EN4" s="9" t="s">
        <v>1727</v>
      </c>
      <c r="EO4" s="9" t="s">
        <v>1727</v>
      </c>
      <c r="EP4" s="9" t="s">
        <v>1725</v>
      </c>
      <c r="EQ4" s="9" t="s">
        <v>29</v>
      </c>
      <c r="ER4" s="9" t="s">
        <v>1725</v>
      </c>
      <c r="ES4" s="9" t="s">
        <v>25</v>
      </c>
      <c r="ET4" s="9" t="s">
        <v>25</v>
      </c>
    </row>
    <row r="5" spans="1:163" ht="51" x14ac:dyDescent="0.2">
      <c r="A5" s="8" t="s">
        <v>156</v>
      </c>
      <c r="B5" s="9" t="s">
        <v>1695</v>
      </c>
      <c r="C5" s="9" t="s">
        <v>1695</v>
      </c>
      <c r="D5" s="9" t="s">
        <v>1695</v>
      </c>
      <c r="G5" s="9" t="s">
        <v>1695</v>
      </c>
      <c r="H5" s="9" t="s">
        <v>1695</v>
      </c>
      <c r="P5" s="9" t="s">
        <v>1735</v>
      </c>
      <c r="Q5" s="9" t="s">
        <v>1735</v>
      </c>
      <c r="R5" s="9" t="s">
        <v>1735</v>
      </c>
      <c r="U5" s="9" t="s">
        <v>1735</v>
      </c>
      <c r="V5" s="9" t="s">
        <v>1735</v>
      </c>
      <c r="AS5" s="9" t="s">
        <v>25</v>
      </c>
      <c r="AW5" s="9" t="s">
        <v>1856</v>
      </c>
      <c r="AX5" s="9" t="s">
        <v>1699</v>
      </c>
      <c r="AY5" s="9" t="s">
        <v>1750</v>
      </c>
      <c r="AZ5" s="9" t="s">
        <v>1704</v>
      </c>
      <c r="BA5" s="9" t="s">
        <v>28</v>
      </c>
      <c r="BB5" s="9" t="s">
        <v>1899</v>
      </c>
      <c r="BC5" s="9" t="s">
        <v>1699</v>
      </c>
      <c r="BD5" s="9" t="s">
        <v>29</v>
      </c>
      <c r="BE5" s="9">
        <v>6</v>
      </c>
      <c r="BF5" s="9" t="s">
        <v>1704</v>
      </c>
      <c r="BH5" s="9" t="s">
        <v>1751</v>
      </c>
      <c r="BI5" s="9" t="s">
        <v>1792</v>
      </c>
      <c r="BJ5" s="9" t="s">
        <v>1707</v>
      </c>
      <c r="BK5" s="9" t="s">
        <v>1751</v>
      </c>
      <c r="BL5" s="9" t="s">
        <v>1762</v>
      </c>
      <c r="BM5" s="9" t="s">
        <v>1709</v>
      </c>
      <c r="BN5" s="9" t="s">
        <v>1699</v>
      </c>
      <c r="BO5" s="9" t="s">
        <v>1750</v>
      </c>
      <c r="BP5" s="9" t="s">
        <v>1704</v>
      </c>
      <c r="BQ5" s="9" t="s">
        <v>28</v>
      </c>
      <c r="BR5" s="9" t="s">
        <v>1899</v>
      </c>
      <c r="BS5" s="9" t="s">
        <v>1776</v>
      </c>
      <c r="BT5" s="9" t="s">
        <v>29</v>
      </c>
      <c r="BU5" s="9" t="s">
        <v>1704</v>
      </c>
      <c r="BV5" s="9" t="s">
        <v>1759</v>
      </c>
      <c r="BW5" s="9" t="s">
        <v>1711</v>
      </c>
      <c r="BZ5" s="9" t="s">
        <v>1699</v>
      </c>
      <c r="CA5" s="9" t="s">
        <v>1737</v>
      </c>
      <c r="CB5" s="9" t="s">
        <v>1738</v>
      </c>
      <c r="CC5" s="9" t="s">
        <v>25</v>
      </c>
      <c r="CE5" s="9" t="s">
        <v>1779</v>
      </c>
      <c r="CF5" s="9" t="s">
        <v>25</v>
      </c>
      <c r="CH5" s="9" t="s">
        <v>25</v>
      </c>
      <c r="CJ5" s="9" t="s">
        <v>1714</v>
      </c>
      <c r="CK5" s="10">
        <v>30</v>
      </c>
      <c r="CL5" s="10">
        <v>30</v>
      </c>
      <c r="CM5" s="10">
        <v>30</v>
      </c>
      <c r="CN5" s="10">
        <v>30</v>
      </c>
      <c r="CO5" s="10">
        <v>20</v>
      </c>
      <c r="CP5" s="10">
        <v>20</v>
      </c>
      <c r="CQ5" s="10">
        <v>20</v>
      </c>
      <c r="CR5" s="10">
        <v>20</v>
      </c>
      <c r="CS5" s="11">
        <v>1</v>
      </c>
      <c r="CT5" s="11">
        <v>1</v>
      </c>
      <c r="CW5" s="10">
        <v>7</v>
      </c>
      <c r="CX5" s="10">
        <v>83</v>
      </c>
      <c r="CY5" s="10">
        <v>90</v>
      </c>
      <c r="CZ5" s="10" t="s">
        <v>25</v>
      </c>
      <c r="DA5" s="10" t="s">
        <v>25</v>
      </c>
      <c r="DB5" s="10" t="s">
        <v>28</v>
      </c>
      <c r="DC5" s="10" t="s">
        <v>28</v>
      </c>
      <c r="DD5" s="10" t="s">
        <v>25</v>
      </c>
      <c r="DG5" s="39">
        <v>12000</v>
      </c>
      <c r="DH5" s="39">
        <v>18500</v>
      </c>
      <c r="DJ5" s="9" t="s">
        <v>1819</v>
      </c>
      <c r="DK5" s="9" t="s">
        <v>1770</v>
      </c>
      <c r="DL5" s="9" t="s">
        <v>1770</v>
      </c>
      <c r="DM5" s="9" t="s">
        <v>28</v>
      </c>
      <c r="DN5" s="9" t="s">
        <v>25</v>
      </c>
      <c r="DO5" s="9" t="s">
        <v>28</v>
      </c>
      <c r="DP5" s="9" t="s">
        <v>28</v>
      </c>
      <c r="DQ5" s="9" t="s">
        <v>28</v>
      </c>
      <c r="DR5" s="9" t="s">
        <v>25</v>
      </c>
      <c r="DS5" s="9" t="s">
        <v>1847</v>
      </c>
      <c r="DU5" s="9" t="s">
        <v>1717</v>
      </c>
      <c r="DV5" s="9" t="s">
        <v>1763</v>
      </c>
      <c r="DW5" s="11">
        <v>0.66</v>
      </c>
      <c r="DX5" s="11">
        <v>0.67</v>
      </c>
      <c r="EC5" s="9" t="s">
        <v>1739</v>
      </c>
      <c r="ED5" s="9" t="s">
        <v>1755</v>
      </c>
      <c r="EE5" s="9" t="s">
        <v>1755</v>
      </c>
      <c r="EF5" s="9" t="s">
        <v>1755</v>
      </c>
      <c r="EG5" s="9" t="s">
        <v>1755</v>
      </c>
      <c r="EH5" s="9" t="s">
        <v>1755</v>
      </c>
      <c r="EI5" s="9" t="s">
        <v>1723</v>
      </c>
      <c r="EJ5" s="9" t="s">
        <v>1724</v>
      </c>
      <c r="EK5" s="9" t="s">
        <v>1834</v>
      </c>
      <c r="EL5" s="9" t="s">
        <v>1725</v>
      </c>
      <c r="EM5" s="9" t="s">
        <v>1726</v>
      </c>
      <c r="EN5" s="9" t="s">
        <v>1727</v>
      </c>
      <c r="EO5" s="9" t="s">
        <v>1727</v>
      </c>
      <c r="EP5" s="9" t="s">
        <v>1834</v>
      </c>
      <c r="ER5" s="9" t="s">
        <v>1747</v>
      </c>
      <c r="ES5" s="9" t="s">
        <v>25</v>
      </c>
      <c r="ET5" s="9" t="s">
        <v>1729</v>
      </c>
      <c r="EU5" s="9" t="s">
        <v>13519</v>
      </c>
      <c r="EV5" s="9" t="s">
        <v>1730</v>
      </c>
      <c r="FD5" s="9" t="s">
        <v>28</v>
      </c>
      <c r="FE5" s="9" t="s">
        <v>29</v>
      </c>
      <c r="FF5" s="9" t="s">
        <v>29</v>
      </c>
      <c r="FG5" s="9" t="s">
        <v>28</v>
      </c>
    </row>
    <row r="6" spans="1:163" ht="51" x14ac:dyDescent="0.2">
      <c r="A6" s="8" t="s">
        <v>179</v>
      </c>
      <c r="B6" s="9" t="s">
        <v>1695</v>
      </c>
      <c r="D6" s="9" t="s">
        <v>1772</v>
      </c>
      <c r="F6" s="9" t="s">
        <v>1772</v>
      </c>
      <c r="AS6" s="9" t="s">
        <v>25</v>
      </c>
      <c r="AW6" s="9" t="s">
        <v>1941</v>
      </c>
      <c r="AX6" s="9" t="s">
        <v>1699</v>
      </c>
      <c r="AY6" s="9" t="s">
        <v>1750</v>
      </c>
      <c r="AZ6" s="9" t="s">
        <v>1704</v>
      </c>
      <c r="BA6" s="9" t="s">
        <v>28</v>
      </c>
      <c r="BB6" s="9" t="s">
        <v>1702</v>
      </c>
      <c r="BC6" s="9" t="s">
        <v>1699</v>
      </c>
      <c r="BF6" s="9" t="s">
        <v>1704</v>
      </c>
      <c r="BH6" s="9" t="s">
        <v>1705</v>
      </c>
      <c r="BI6" s="9" t="s">
        <v>1706</v>
      </c>
      <c r="BJ6" s="9" t="s">
        <v>1707</v>
      </c>
      <c r="BK6" s="9" t="s">
        <v>1705</v>
      </c>
      <c r="BL6" s="9" t="s">
        <v>1762</v>
      </c>
      <c r="BM6" s="9" t="s">
        <v>1742</v>
      </c>
      <c r="BN6" s="9" t="s">
        <v>1699</v>
      </c>
      <c r="BO6" s="9" t="s">
        <v>1750</v>
      </c>
      <c r="BP6" s="9" t="s">
        <v>1704</v>
      </c>
      <c r="BQ6" s="9" t="s">
        <v>28</v>
      </c>
      <c r="BR6" s="9" t="s">
        <v>1702</v>
      </c>
      <c r="BS6" s="9" t="s">
        <v>1703</v>
      </c>
      <c r="BU6" s="9" t="s">
        <v>1704</v>
      </c>
      <c r="BV6" s="9" t="s">
        <v>13901</v>
      </c>
      <c r="BW6" s="9" t="s">
        <v>1754</v>
      </c>
      <c r="BX6" s="9" t="s">
        <v>1762</v>
      </c>
      <c r="BY6" s="9" t="s">
        <v>1742</v>
      </c>
      <c r="BZ6" s="9" t="s">
        <v>1699</v>
      </c>
      <c r="CA6" s="9" t="s">
        <v>1750</v>
      </c>
      <c r="CB6" s="9" t="s">
        <v>1738</v>
      </c>
      <c r="CC6" s="9" t="s">
        <v>25</v>
      </c>
      <c r="CE6" s="9" t="s">
        <v>1855</v>
      </c>
      <c r="CF6" s="9" t="s">
        <v>28</v>
      </c>
      <c r="CG6" s="9" t="s">
        <v>1859</v>
      </c>
      <c r="CH6" s="9" t="s">
        <v>28</v>
      </c>
      <c r="CI6" s="9" t="s">
        <v>1859</v>
      </c>
      <c r="CJ6" s="9" t="s">
        <v>1714</v>
      </c>
      <c r="CK6" s="10">
        <v>40</v>
      </c>
      <c r="CL6" s="10">
        <v>40</v>
      </c>
      <c r="CM6" s="10">
        <v>40</v>
      </c>
      <c r="CN6" s="10">
        <v>40</v>
      </c>
      <c r="CO6" s="10">
        <v>20</v>
      </c>
      <c r="CP6" s="10">
        <v>20</v>
      </c>
      <c r="CQ6" s="10">
        <v>20</v>
      </c>
      <c r="CR6" s="10">
        <v>20</v>
      </c>
      <c r="CS6" s="11">
        <v>1</v>
      </c>
      <c r="CT6" s="11">
        <v>0.7</v>
      </c>
      <c r="CU6" s="11">
        <v>0.6</v>
      </c>
      <c r="CW6" s="10">
        <v>7</v>
      </c>
      <c r="CX6" s="10">
        <v>182</v>
      </c>
      <c r="CZ6" s="10" t="s">
        <v>25</v>
      </c>
      <c r="DA6" s="10" t="s">
        <v>28</v>
      </c>
      <c r="DB6" s="10" t="s">
        <v>28</v>
      </c>
      <c r="DC6" s="10" t="s">
        <v>25</v>
      </c>
      <c r="DD6" s="10" t="s">
        <v>25</v>
      </c>
      <c r="DF6" s="39">
        <v>5385</v>
      </c>
      <c r="DG6" s="39">
        <v>1500</v>
      </c>
      <c r="DJ6" s="9" t="s">
        <v>1770</v>
      </c>
      <c r="DK6" s="9" t="s">
        <v>1715</v>
      </c>
      <c r="DM6" s="9" t="s">
        <v>28</v>
      </c>
      <c r="DN6" s="9" t="s">
        <v>28</v>
      </c>
      <c r="DO6" s="9" t="s">
        <v>25</v>
      </c>
      <c r="DP6" s="9" t="s">
        <v>28</v>
      </c>
      <c r="DQ6" s="9" t="s">
        <v>28</v>
      </c>
      <c r="DR6" s="9" t="s">
        <v>25</v>
      </c>
      <c r="DS6" s="9" t="s">
        <v>1847</v>
      </c>
      <c r="DU6" s="9" t="s">
        <v>1717</v>
      </c>
      <c r="DV6" s="9" t="s">
        <v>1746</v>
      </c>
      <c r="DW6" s="11">
        <v>0.6</v>
      </c>
      <c r="EC6" s="9" t="s">
        <v>1739</v>
      </c>
      <c r="ED6" s="9" t="s">
        <v>1755</v>
      </c>
      <c r="EE6" s="9" t="s">
        <v>1755</v>
      </c>
      <c r="EF6" s="9" t="s">
        <v>1755</v>
      </c>
      <c r="EG6" s="9" t="s">
        <v>1720</v>
      </c>
      <c r="EH6" s="9" t="s">
        <v>1721</v>
      </c>
      <c r="EI6" s="9" t="s">
        <v>1722</v>
      </c>
      <c r="EJ6" s="9" t="s">
        <v>1723</v>
      </c>
      <c r="EK6" s="9" t="s">
        <v>1724</v>
      </c>
      <c r="EL6" s="9" t="s">
        <v>1725</v>
      </c>
      <c r="EM6" s="9" t="s">
        <v>1727</v>
      </c>
      <c r="EN6" s="9" t="s">
        <v>693</v>
      </c>
      <c r="EO6" s="9" t="s">
        <v>693</v>
      </c>
      <c r="EP6" s="9" t="s">
        <v>1725</v>
      </c>
      <c r="ER6" s="9" t="s">
        <v>1747</v>
      </c>
      <c r="ES6" s="9" t="s">
        <v>25</v>
      </c>
      <c r="ET6" s="9" t="s">
        <v>1729</v>
      </c>
      <c r="EU6" s="9" t="s">
        <v>1860</v>
      </c>
      <c r="EV6" s="9" t="s">
        <v>1865</v>
      </c>
      <c r="FD6" s="9" t="s">
        <v>28</v>
      </c>
      <c r="FE6" s="9" t="s">
        <v>1801</v>
      </c>
      <c r="FF6" s="9" t="s">
        <v>1942</v>
      </c>
    </row>
    <row r="7" spans="1:163" ht="51" x14ac:dyDescent="0.2">
      <c r="A7" s="8" t="s">
        <v>122</v>
      </c>
      <c r="B7" s="9" t="s">
        <v>1695</v>
      </c>
      <c r="F7" s="9" t="s">
        <v>1772</v>
      </c>
      <c r="G7" s="9" t="s">
        <v>1734</v>
      </c>
      <c r="H7" s="9" t="s">
        <v>1697</v>
      </c>
      <c r="P7" s="9" t="s">
        <v>1735</v>
      </c>
      <c r="Q7" s="9" t="s">
        <v>1735</v>
      </c>
      <c r="AS7" s="9" t="s">
        <v>25</v>
      </c>
      <c r="AW7" s="9" t="s">
        <v>1736</v>
      </c>
      <c r="AX7" s="9" t="s">
        <v>1699</v>
      </c>
      <c r="AY7" s="9" t="s">
        <v>1750</v>
      </c>
      <c r="AZ7" s="9" t="s">
        <v>1773</v>
      </c>
      <c r="BA7" s="9" t="s">
        <v>28</v>
      </c>
      <c r="BB7" s="9" t="s">
        <v>1702</v>
      </c>
      <c r="BC7" s="9" t="s">
        <v>1699</v>
      </c>
      <c r="BD7" s="9" t="s">
        <v>29</v>
      </c>
      <c r="BE7" s="9" t="s">
        <v>1774</v>
      </c>
      <c r="BF7" s="9" t="s">
        <v>1773</v>
      </c>
      <c r="BH7" s="9" t="s">
        <v>1705</v>
      </c>
      <c r="BI7" s="9" t="s">
        <v>1706</v>
      </c>
      <c r="BJ7" s="9" t="s">
        <v>1707</v>
      </c>
      <c r="BK7" s="9" t="s">
        <v>1775</v>
      </c>
      <c r="BL7" s="9" t="s">
        <v>1762</v>
      </c>
      <c r="BM7" s="9" t="s">
        <v>1742</v>
      </c>
      <c r="BN7" s="9" t="s">
        <v>1699</v>
      </c>
      <c r="BO7" s="9" t="s">
        <v>1750</v>
      </c>
      <c r="BP7" s="9" t="s">
        <v>1773</v>
      </c>
      <c r="BQ7" s="9" t="s">
        <v>28</v>
      </c>
      <c r="BR7" s="9" t="s">
        <v>1757</v>
      </c>
      <c r="BS7" s="9" t="s">
        <v>1776</v>
      </c>
      <c r="BT7" s="9" t="s">
        <v>29</v>
      </c>
      <c r="BU7" s="9" t="s">
        <v>1773</v>
      </c>
      <c r="BV7" s="9" t="s">
        <v>13901</v>
      </c>
      <c r="BW7" s="9" t="s">
        <v>1754</v>
      </c>
      <c r="BX7" s="9" t="s">
        <v>1777</v>
      </c>
      <c r="BY7" s="9" t="s">
        <v>1709</v>
      </c>
      <c r="BZ7" s="9" t="s">
        <v>1699</v>
      </c>
      <c r="CA7" s="9" t="s">
        <v>1758</v>
      </c>
      <c r="CB7" s="9" t="s">
        <v>1704</v>
      </c>
      <c r="CC7" s="9" t="s">
        <v>28</v>
      </c>
      <c r="CD7" s="9" t="s">
        <v>1778</v>
      </c>
      <c r="CE7" s="9" t="s">
        <v>1779</v>
      </c>
      <c r="CF7" s="9" t="s">
        <v>28</v>
      </c>
      <c r="CG7" s="9" t="s">
        <v>743</v>
      </c>
      <c r="CH7" s="9" t="s">
        <v>28</v>
      </c>
      <c r="CI7" s="9" t="s">
        <v>743</v>
      </c>
      <c r="CJ7" s="9" t="s">
        <v>1714</v>
      </c>
      <c r="CK7" s="10">
        <v>20</v>
      </c>
      <c r="CL7" s="10">
        <v>20</v>
      </c>
      <c r="CM7" s="10">
        <v>20</v>
      </c>
      <c r="CO7" s="10">
        <v>15</v>
      </c>
      <c r="CU7" s="11">
        <v>0.5</v>
      </c>
      <c r="CV7" s="10" t="s">
        <v>1780</v>
      </c>
      <c r="CW7" s="10">
        <v>7</v>
      </c>
      <c r="CX7" s="10">
        <v>181</v>
      </c>
      <c r="CY7" s="10">
        <v>181</v>
      </c>
      <c r="CZ7" s="10" t="s">
        <v>25</v>
      </c>
      <c r="DA7" s="10" t="s">
        <v>25</v>
      </c>
      <c r="DB7" s="10" t="s">
        <v>28</v>
      </c>
      <c r="DC7" s="10" t="s">
        <v>28</v>
      </c>
      <c r="DD7" s="10" t="s">
        <v>25</v>
      </c>
      <c r="DG7" s="39">
        <v>26000</v>
      </c>
      <c r="DH7" s="39">
        <v>37000</v>
      </c>
      <c r="DJ7" s="9" t="s">
        <v>1715</v>
      </c>
      <c r="DK7" s="9" t="s">
        <v>1715</v>
      </c>
      <c r="DL7" s="9" t="s">
        <v>1781</v>
      </c>
      <c r="DM7" s="9" t="s">
        <v>28</v>
      </c>
      <c r="DN7" s="9" t="s">
        <v>28</v>
      </c>
      <c r="DO7" s="9" t="s">
        <v>25</v>
      </c>
      <c r="DP7" s="9" t="s">
        <v>28</v>
      </c>
      <c r="DQ7" s="9" t="s">
        <v>28</v>
      </c>
      <c r="DR7" s="9" t="s">
        <v>25</v>
      </c>
      <c r="DS7" s="9" t="s">
        <v>1782</v>
      </c>
      <c r="DT7" s="9" t="s">
        <v>1783</v>
      </c>
      <c r="DU7" s="9" t="s">
        <v>1717</v>
      </c>
      <c r="DV7" s="9" t="s">
        <v>1746</v>
      </c>
      <c r="DW7" s="11">
        <v>0.5</v>
      </c>
      <c r="DX7" s="11">
        <v>0.7</v>
      </c>
      <c r="EC7" s="9" t="s">
        <v>1784</v>
      </c>
      <c r="ED7" s="9" t="s">
        <v>1719</v>
      </c>
      <c r="EE7" s="9" t="s">
        <v>1719</v>
      </c>
      <c r="EF7" s="9" t="s">
        <v>1719</v>
      </c>
      <c r="EG7" s="9" t="s">
        <v>1722</v>
      </c>
      <c r="EH7" s="9" t="s">
        <v>1723</v>
      </c>
      <c r="EI7" s="9" t="s">
        <v>1724</v>
      </c>
      <c r="EJ7" s="9" t="s">
        <v>1725</v>
      </c>
      <c r="EK7" s="9" t="s">
        <v>1726</v>
      </c>
      <c r="EL7" s="9" t="s">
        <v>1727</v>
      </c>
      <c r="EM7" s="9" t="s">
        <v>1728</v>
      </c>
      <c r="EN7" s="9" t="s">
        <v>693</v>
      </c>
      <c r="EO7" s="9" t="s">
        <v>693</v>
      </c>
      <c r="EP7" s="9" t="s">
        <v>693</v>
      </c>
      <c r="EQ7" s="9" t="s">
        <v>693</v>
      </c>
      <c r="ER7" s="9" t="s">
        <v>1747</v>
      </c>
      <c r="ES7" s="9" t="s">
        <v>25</v>
      </c>
      <c r="ET7" s="9" t="s">
        <v>25</v>
      </c>
    </row>
    <row r="8" spans="1:163" ht="51" x14ac:dyDescent="0.2">
      <c r="A8" s="8" t="s">
        <v>160</v>
      </c>
      <c r="B8" s="9" t="s">
        <v>1695</v>
      </c>
      <c r="D8" s="9" t="s">
        <v>1697</v>
      </c>
      <c r="F8" s="9" t="s">
        <v>1808</v>
      </c>
      <c r="G8" s="9" t="s">
        <v>1772</v>
      </c>
      <c r="AS8" s="9" t="s">
        <v>25</v>
      </c>
      <c r="AW8" s="9" t="s">
        <v>1756</v>
      </c>
      <c r="AX8" s="9" t="s">
        <v>1699</v>
      </c>
      <c r="AY8" s="9" t="s">
        <v>1750</v>
      </c>
      <c r="AZ8" s="9" t="s">
        <v>1704</v>
      </c>
      <c r="BA8" s="9" t="s">
        <v>28</v>
      </c>
      <c r="BB8" s="9" t="s">
        <v>1702</v>
      </c>
      <c r="BC8" s="9" t="s">
        <v>1703</v>
      </c>
      <c r="BF8" s="9" t="s">
        <v>1704</v>
      </c>
      <c r="BH8" s="9" t="s">
        <v>1751</v>
      </c>
      <c r="BI8" s="9" t="s">
        <v>1706</v>
      </c>
      <c r="BJ8" s="9" t="s">
        <v>1707</v>
      </c>
      <c r="BK8" s="9" t="s">
        <v>1739</v>
      </c>
      <c r="BL8" s="9" t="s">
        <v>1908</v>
      </c>
      <c r="BM8" s="9" t="s">
        <v>1753</v>
      </c>
      <c r="BN8" s="9" t="s">
        <v>1703</v>
      </c>
      <c r="BP8" s="9" t="s">
        <v>1704</v>
      </c>
      <c r="BQ8" s="9" t="s">
        <v>28</v>
      </c>
      <c r="BR8" s="9" t="s">
        <v>1702</v>
      </c>
      <c r="BS8" s="9" t="s">
        <v>1703</v>
      </c>
      <c r="BU8" s="9" t="s">
        <v>1701</v>
      </c>
      <c r="BV8" s="9" t="s">
        <v>29</v>
      </c>
      <c r="BW8" s="9" t="s">
        <v>1754</v>
      </c>
      <c r="BX8" s="9" t="s">
        <v>1814</v>
      </c>
      <c r="BY8" s="9" t="s">
        <v>1909</v>
      </c>
      <c r="BZ8" s="9" t="s">
        <v>1703</v>
      </c>
      <c r="CB8" s="9" t="s">
        <v>1803</v>
      </c>
      <c r="CC8" s="9" t="s">
        <v>25</v>
      </c>
      <c r="CE8" s="9" t="s">
        <v>1855</v>
      </c>
      <c r="CF8" s="9" t="s">
        <v>28</v>
      </c>
      <c r="CG8" s="9" t="s">
        <v>29</v>
      </c>
      <c r="CH8" s="9" t="s">
        <v>25</v>
      </c>
      <c r="CJ8" s="9" t="s">
        <v>1714</v>
      </c>
      <c r="CK8" s="10">
        <v>30</v>
      </c>
      <c r="CL8" s="10">
        <v>30</v>
      </c>
      <c r="CM8" s="10">
        <v>30</v>
      </c>
      <c r="CN8" s="10">
        <v>30</v>
      </c>
      <c r="CO8" s="10">
        <v>30</v>
      </c>
      <c r="CP8" s="10">
        <v>30</v>
      </c>
      <c r="CQ8" s="10">
        <v>30</v>
      </c>
      <c r="CR8" s="10">
        <v>30</v>
      </c>
      <c r="CS8" s="11">
        <v>0.7</v>
      </c>
      <c r="CU8" s="11">
        <v>0.6</v>
      </c>
      <c r="CW8" s="10">
        <v>7</v>
      </c>
      <c r="CZ8" s="10" t="s">
        <v>25</v>
      </c>
      <c r="DA8" s="10" t="s">
        <v>25</v>
      </c>
      <c r="DB8" s="10" t="s">
        <v>28</v>
      </c>
      <c r="DC8" s="10" t="s">
        <v>25</v>
      </c>
      <c r="DD8" s="10" t="s">
        <v>25</v>
      </c>
      <c r="DG8" s="39">
        <v>20000</v>
      </c>
      <c r="DJ8" s="9" t="s">
        <v>1715</v>
      </c>
      <c r="DK8" s="9" t="s">
        <v>1715</v>
      </c>
      <c r="DM8" s="9" t="s">
        <v>28</v>
      </c>
      <c r="DO8" s="9" t="s">
        <v>28</v>
      </c>
      <c r="DP8" s="9" t="s">
        <v>28</v>
      </c>
      <c r="DQ8" s="9" t="s">
        <v>28</v>
      </c>
      <c r="DR8" s="9" t="s">
        <v>28</v>
      </c>
      <c r="DS8" s="9" t="s">
        <v>13518</v>
      </c>
      <c r="DU8" s="9" t="s">
        <v>1717</v>
      </c>
      <c r="DV8" s="9" t="s">
        <v>1763</v>
      </c>
      <c r="DW8" s="11">
        <v>0.6</v>
      </c>
      <c r="EC8" s="9" t="s">
        <v>635</v>
      </c>
      <c r="EJ8" s="9" t="s">
        <v>1719</v>
      </c>
      <c r="EP8" s="9" t="s">
        <v>1755</v>
      </c>
      <c r="EQ8" s="9" t="s">
        <v>1725</v>
      </c>
      <c r="ER8" s="9" t="s">
        <v>693</v>
      </c>
      <c r="ES8" s="9" t="s">
        <v>28</v>
      </c>
      <c r="ET8" s="9" t="s">
        <v>25</v>
      </c>
    </row>
    <row r="9" spans="1:163" ht="51" x14ac:dyDescent="0.2">
      <c r="A9" s="8" t="s">
        <v>154</v>
      </c>
      <c r="B9" s="9" t="s">
        <v>1695</v>
      </c>
      <c r="F9" s="9" t="s">
        <v>1697</v>
      </c>
      <c r="P9" s="9" t="s">
        <v>1735</v>
      </c>
      <c r="AS9" s="9" t="s">
        <v>25</v>
      </c>
      <c r="AW9" s="9" t="s">
        <v>1852</v>
      </c>
      <c r="AX9" s="9" t="s">
        <v>1699</v>
      </c>
      <c r="AY9" s="9" t="s">
        <v>1793</v>
      </c>
      <c r="AZ9" s="9" t="s">
        <v>1704</v>
      </c>
      <c r="BA9" s="9" t="s">
        <v>28</v>
      </c>
      <c r="BB9" s="9" t="s">
        <v>1702</v>
      </c>
      <c r="BC9" s="9" t="s">
        <v>1699</v>
      </c>
      <c r="BD9" s="9" t="s">
        <v>29</v>
      </c>
      <c r="BE9" s="9" t="s">
        <v>1817</v>
      </c>
      <c r="BF9" s="9" t="s">
        <v>29</v>
      </c>
      <c r="BG9" s="28">
        <v>1000000</v>
      </c>
      <c r="BH9" s="9" t="s">
        <v>1705</v>
      </c>
      <c r="BI9" s="9" t="s">
        <v>1706</v>
      </c>
      <c r="BJ9" s="9" t="s">
        <v>1707</v>
      </c>
      <c r="BK9" s="9" t="s">
        <v>1705</v>
      </c>
      <c r="BL9" s="9" t="s">
        <v>1762</v>
      </c>
      <c r="BM9" s="9" t="s">
        <v>1742</v>
      </c>
      <c r="BN9" s="9" t="s">
        <v>1699</v>
      </c>
      <c r="BO9" s="9" t="s">
        <v>1793</v>
      </c>
      <c r="BP9" s="9" t="s">
        <v>1704</v>
      </c>
      <c r="BQ9" s="9" t="s">
        <v>28</v>
      </c>
      <c r="BR9" s="9" t="s">
        <v>1702</v>
      </c>
      <c r="BS9" s="9" t="s">
        <v>1776</v>
      </c>
      <c r="BT9" s="9" t="s">
        <v>29</v>
      </c>
      <c r="BU9" s="9" t="s">
        <v>1704</v>
      </c>
      <c r="BV9" s="9" t="s">
        <v>1705</v>
      </c>
      <c r="BW9" s="9" t="s">
        <v>1754</v>
      </c>
      <c r="BX9" s="9" t="s">
        <v>1762</v>
      </c>
      <c r="BY9" s="9" t="s">
        <v>1742</v>
      </c>
      <c r="BZ9" s="9" t="s">
        <v>1699</v>
      </c>
      <c r="CA9" s="9" t="s">
        <v>1758</v>
      </c>
      <c r="CB9" s="9" t="s">
        <v>1704</v>
      </c>
      <c r="CC9" s="9" t="s">
        <v>28</v>
      </c>
      <c r="CD9" s="9" t="s">
        <v>1778</v>
      </c>
      <c r="CE9" s="9" t="s">
        <v>1779</v>
      </c>
      <c r="CF9" s="9" t="s">
        <v>28</v>
      </c>
      <c r="CG9" s="9" t="s">
        <v>1825</v>
      </c>
      <c r="CH9" s="9" t="s">
        <v>28</v>
      </c>
      <c r="CI9" s="9" t="s">
        <v>1825</v>
      </c>
      <c r="CJ9" s="9" t="s">
        <v>1714</v>
      </c>
      <c r="CK9" s="10">
        <v>40</v>
      </c>
      <c r="CL9" s="10">
        <v>40</v>
      </c>
      <c r="CM9" s="10">
        <v>40</v>
      </c>
      <c r="CN9" s="10">
        <v>40</v>
      </c>
      <c r="CO9" s="10">
        <v>20</v>
      </c>
      <c r="CP9" s="10">
        <v>20</v>
      </c>
      <c r="CQ9" s="10">
        <v>20</v>
      </c>
      <c r="CR9" s="10">
        <v>20</v>
      </c>
      <c r="CS9" s="11">
        <v>1</v>
      </c>
      <c r="CT9" s="11">
        <v>1</v>
      </c>
      <c r="CU9" s="11">
        <v>0.66</v>
      </c>
      <c r="CW9" s="10">
        <v>7</v>
      </c>
      <c r="CX9" s="10">
        <v>180</v>
      </c>
      <c r="CY9" s="10">
        <v>180</v>
      </c>
      <c r="CZ9" s="10" t="s">
        <v>25</v>
      </c>
      <c r="DA9" s="10" t="s">
        <v>28</v>
      </c>
      <c r="DB9" s="10" t="s">
        <v>28</v>
      </c>
      <c r="DC9" s="10" t="s">
        <v>25</v>
      </c>
      <c r="DD9" s="10" t="s">
        <v>25</v>
      </c>
      <c r="DF9" s="39">
        <v>13000</v>
      </c>
      <c r="DG9" s="39">
        <v>15000</v>
      </c>
      <c r="DJ9" s="9" t="s">
        <v>1715</v>
      </c>
      <c r="DK9" s="9" t="s">
        <v>1715</v>
      </c>
      <c r="DM9" s="9" t="s">
        <v>28</v>
      </c>
      <c r="DN9" s="9" t="s">
        <v>25</v>
      </c>
      <c r="DO9" s="9" t="s">
        <v>28</v>
      </c>
      <c r="DP9" s="9" t="s">
        <v>28</v>
      </c>
      <c r="DQ9" s="9" t="s">
        <v>28</v>
      </c>
      <c r="DR9" s="9" t="s">
        <v>28</v>
      </c>
      <c r="DS9" s="9" t="s">
        <v>1896</v>
      </c>
      <c r="DU9" s="9" t="s">
        <v>1717</v>
      </c>
      <c r="DV9" s="9" t="s">
        <v>1746</v>
      </c>
      <c r="DW9" s="11">
        <v>0.66</v>
      </c>
      <c r="EC9" s="9" t="s">
        <v>635</v>
      </c>
      <c r="ED9" s="9" t="s">
        <v>1755</v>
      </c>
      <c r="EE9" s="9" t="s">
        <v>1755</v>
      </c>
      <c r="EF9" s="9" t="s">
        <v>1755</v>
      </c>
      <c r="EG9" s="9" t="s">
        <v>1755</v>
      </c>
      <c r="EH9" s="9" t="s">
        <v>1755</v>
      </c>
      <c r="EI9" s="9" t="s">
        <v>1755</v>
      </c>
      <c r="EJ9" s="9" t="s">
        <v>1725</v>
      </c>
      <c r="EK9" s="9" t="s">
        <v>1726</v>
      </c>
      <c r="EL9" s="9" t="s">
        <v>1727</v>
      </c>
      <c r="EM9" s="9" t="s">
        <v>1728</v>
      </c>
      <c r="EN9" s="9" t="s">
        <v>693</v>
      </c>
      <c r="EO9" s="9" t="s">
        <v>693</v>
      </c>
      <c r="EP9" s="9" t="s">
        <v>1725</v>
      </c>
      <c r="EQ9" s="9" t="s">
        <v>1725</v>
      </c>
      <c r="ER9" s="9" t="s">
        <v>1747</v>
      </c>
      <c r="ES9" s="9" t="s">
        <v>25</v>
      </c>
      <c r="ET9" s="9" t="s">
        <v>1729</v>
      </c>
      <c r="EU9" s="9" t="s">
        <v>13521</v>
      </c>
      <c r="EV9" s="9" t="s">
        <v>1730</v>
      </c>
      <c r="EW9" s="39">
        <v>6000</v>
      </c>
      <c r="EX9" s="39">
        <v>6000</v>
      </c>
      <c r="EY9" s="39">
        <v>6000</v>
      </c>
      <c r="EZ9" s="39">
        <v>6000</v>
      </c>
      <c r="FA9" s="39">
        <v>6000</v>
      </c>
      <c r="FB9" s="39">
        <v>6000</v>
      </c>
      <c r="FD9" s="9" t="s">
        <v>28</v>
      </c>
      <c r="FE9" s="9" t="s">
        <v>1801</v>
      </c>
      <c r="FF9" s="9" t="s">
        <v>1802</v>
      </c>
      <c r="FG9" s="9" t="s">
        <v>25</v>
      </c>
    </row>
    <row r="10" spans="1:163" ht="51" x14ac:dyDescent="0.2">
      <c r="A10" s="8" t="s">
        <v>170</v>
      </c>
      <c r="B10" s="9" t="s">
        <v>1695</v>
      </c>
      <c r="P10" s="9" t="s">
        <v>13900</v>
      </c>
      <c r="R10" s="9" t="s">
        <v>1735</v>
      </c>
      <c r="S10" s="9" t="s">
        <v>1735</v>
      </c>
      <c r="U10" s="9" t="s">
        <v>1735</v>
      </c>
      <c r="AS10" s="9" t="s">
        <v>25</v>
      </c>
      <c r="AW10" s="9" t="s">
        <v>1920</v>
      </c>
      <c r="AX10" s="9" t="s">
        <v>1699</v>
      </c>
      <c r="AY10" s="9" t="s">
        <v>1750</v>
      </c>
      <c r="AZ10" s="9" t="s">
        <v>1704</v>
      </c>
      <c r="BA10" s="9" t="s">
        <v>28</v>
      </c>
      <c r="BB10" s="9" t="s">
        <v>1702</v>
      </c>
      <c r="BC10" s="9" t="s">
        <v>1703</v>
      </c>
      <c r="BF10" s="9" t="s">
        <v>1921</v>
      </c>
      <c r="BH10" s="9" t="s">
        <v>1705</v>
      </c>
      <c r="BI10" s="9" t="s">
        <v>1706</v>
      </c>
      <c r="BJ10" s="9" t="s">
        <v>1707</v>
      </c>
      <c r="BK10" s="9" t="s">
        <v>1705</v>
      </c>
      <c r="BL10" s="9" t="s">
        <v>1708</v>
      </c>
      <c r="BM10" s="9" t="s">
        <v>1753</v>
      </c>
      <c r="BN10" s="9" t="s">
        <v>1699</v>
      </c>
      <c r="BO10" s="9" t="s">
        <v>1750</v>
      </c>
      <c r="BP10" s="9" t="s">
        <v>1704</v>
      </c>
      <c r="BQ10" s="9" t="s">
        <v>28</v>
      </c>
      <c r="BR10" s="9" t="s">
        <v>1702</v>
      </c>
      <c r="BS10" s="9" t="s">
        <v>1703</v>
      </c>
      <c r="BU10" s="9" t="s">
        <v>1704</v>
      </c>
      <c r="BV10" s="9" t="s">
        <v>1705</v>
      </c>
      <c r="BW10" s="9" t="s">
        <v>1754</v>
      </c>
      <c r="BX10" s="9" t="s">
        <v>1708</v>
      </c>
      <c r="BY10" s="9" t="s">
        <v>1753</v>
      </c>
      <c r="BZ10" s="9" t="s">
        <v>1699</v>
      </c>
      <c r="CA10" s="9" t="s">
        <v>1758</v>
      </c>
      <c r="CB10" s="9" t="s">
        <v>1704</v>
      </c>
      <c r="CC10" s="9" t="s">
        <v>28</v>
      </c>
      <c r="CD10" s="9" t="s">
        <v>1778</v>
      </c>
      <c r="CE10" s="9" t="s">
        <v>1779</v>
      </c>
      <c r="CF10" s="9" t="s">
        <v>28</v>
      </c>
      <c r="CG10" s="9" t="s">
        <v>1859</v>
      </c>
      <c r="CH10" s="9" t="s">
        <v>28</v>
      </c>
      <c r="CI10" s="9" t="s">
        <v>1859</v>
      </c>
      <c r="CK10" s="10">
        <v>20</v>
      </c>
      <c r="CL10" s="10">
        <v>20</v>
      </c>
      <c r="CM10" s="10">
        <v>20</v>
      </c>
      <c r="CN10" s="10">
        <v>20</v>
      </c>
      <c r="CO10" s="10">
        <v>20</v>
      </c>
      <c r="CP10" s="10">
        <v>20</v>
      </c>
      <c r="CQ10" s="10">
        <v>20</v>
      </c>
      <c r="CR10" s="10">
        <v>20</v>
      </c>
      <c r="CS10" s="11">
        <v>0.6</v>
      </c>
      <c r="CT10" s="11">
        <v>0.6</v>
      </c>
      <c r="CU10" s="11">
        <v>0.6</v>
      </c>
      <c r="CW10" s="10">
        <v>7</v>
      </c>
      <c r="CY10" s="10">
        <v>91</v>
      </c>
      <c r="CZ10" s="10" t="s">
        <v>28</v>
      </c>
      <c r="DA10" s="10" t="s">
        <v>28</v>
      </c>
      <c r="DB10" s="10" t="s">
        <v>28</v>
      </c>
      <c r="DC10" s="10" t="s">
        <v>28</v>
      </c>
      <c r="DD10" s="10" t="s">
        <v>28</v>
      </c>
      <c r="DE10" s="39">
        <v>2500</v>
      </c>
      <c r="DF10" s="39">
        <v>2500</v>
      </c>
      <c r="DG10" s="39">
        <v>12000</v>
      </c>
      <c r="DJ10" s="9" t="s">
        <v>1715</v>
      </c>
      <c r="DK10" s="9" t="s">
        <v>1715</v>
      </c>
      <c r="DL10" s="9" t="s">
        <v>1715</v>
      </c>
      <c r="DM10" s="9" t="s">
        <v>28</v>
      </c>
      <c r="DN10" s="9" t="s">
        <v>28</v>
      </c>
      <c r="DO10" s="9" t="s">
        <v>25</v>
      </c>
      <c r="DP10" s="9" t="s">
        <v>28</v>
      </c>
      <c r="DQ10" s="9" t="s">
        <v>28</v>
      </c>
      <c r="DR10" s="9" t="s">
        <v>28</v>
      </c>
      <c r="DS10" s="9" t="s">
        <v>1847</v>
      </c>
      <c r="DU10" s="9" t="s">
        <v>1717</v>
      </c>
      <c r="DV10" s="9" t="s">
        <v>1763</v>
      </c>
      <c r="DW10" s="11">
        <v>0.6</v>
      </c>
      <c r="EC10" s="9" t="s">
        <v>29</v>
      </c>
      <c r="ED10" s="9" t="s">
        <v>1719</v>
      </c>
      <c r="EE10" s="9" t="s">
        <v>1720</v>
      </c>
      <c r="EF10" s="9" t="s">
        <v>1721</v>
      </c>
      <c r="EG10" s="9" t="s">
        <v>1722</v>
      </c>
      <c r="EH10" s="9" t="s">
        <v>1723</v>
      </c>
      <c r="EI10" s="9" t="s">
        <v>1724</v>
      </c>
      <c r="EJ10" s="9" t="s">
        <v>1725</v>
      </c>
      <c r="EK10" s="9" t="s">
        <v>1726</v>
      </c>
      <c r="EL10" s="9" t="s">
        <v>1727</v>
      </c>
      <c r="EM10" s="9" t="s">
        <v>1728</v>
      </c>
      <c r="EN10" s="9" t="s">
        <v>693</v>
      </c>
      <c r="EO10" s="9" t="s">
        <v>693</v>
      </c>
      <c r="EP10" s="9" t="s">
        <v>1725</v>
      </c>
      <c r="EQ10" s="9" t="s">
        <v>1725</v>
      </c>
      <c r="ER10" s="9" t="s">
        <v>29</v>
      </c>
      <c r="ES10" s="9" t="s">
        <v>25</v>
      </c>
      <c r="ET10" s="9" t="s">
        <v>25</v>
      </c>
    </row>
    <row r="11" spans="1:163" ht="51" x14ac:dyDescent="0.2">
      <c r="A11" s="8" t="s">
        <v>176</v>
      </c>
      <c r="B11" s="9" t="s">
        <v>1695</v>
      </c>
      <c r="F11" s="9" t="s">
        <v>1697</v>
      </c>
      <c r="P11" s="9" t="s">
        <v>1748</v>
      </c>
      <c r="AS11" s="9" t="s">
        <v>25</v>
      </c>
      <c r="AW11" s="9" t="s">
        <v>1936</v>
      </c>
      <c r="AX11" s="9" t="s">
        <v>1699</v>
      </c>
      <c r="AY11" s="9" t="s">
        <v>1750</v>
      </c>
      <c r="AZ11" s="9" t="s">
        <v>1704</v>
      </c>
      <c r="BA11" s="9" t="s">
        <v>28</v>
      </c>
      <c r="BB11" s="9" t="s">
        <v>1702</v>
      </c>
      <c r="BC11" s="9" t="s">
        <v>1699</v>
      </c>
      <c r="BD11" s="9" t="s">
        <v>29</v>
      </c>
      <c r="BE11" s="9" t="s">
        <v>1893</v>
      </c>
      <c r="BF11" s="9" t="s">
        <v>1773</v>
      </c>
      <c r="BH11" s="9" t="s">
        <v>1751</v>
      </c>
      <c r="BI11" s="9" t="s">
        <v>1706</v>
      </c>
      <c r="BJ11" s="9" t="s">
        <v>1707</v>
      </c>
      <c r="BK11" s="9" t="s">
        <v>1739</v>
      </c>
      <c r="BL11" s="9" t="s">
        <v>1708</v>
      </c>
      <c r="BM11" s="9" t="s">
        <v>1753</v>
      </c>
      <c r="BN11" s="9" t="s">
        <v>1699</v>
      </c>
      <c r="BO11" s="9" t="s">
        <v>1750</v>
      </c>
      <c r="BP11" s="9" t="s">
        <v>1704</v>
      </c>
      <c r="BQ11" s="9" t="s">
        <v>28</v>
      </c>
      <c r="BR11" s="9" t="s">
        <v>1702</v>
      </c>
      <c r="BS11" s="9" t="s">
        <v>1776</v>
      </c>
      <c r="BT11" s="9" t="s">
        <v>29</v>
      </c>
      <c r="BU11" s="9" t="s">
        <v>1704</v>
      </c>
      <c r="BV11" s="9" t="s">
        <v>13901</v>
      </c>
      <c r="BW11" s="9" t="s">
        <v>1754</v>
      </c>
      <c r="BX11" s="9" t="s">
        <v>1937</v>
      </c>
      <c r="BY11" s="9" t="s">
        <v>1709</v>
      </c>
      <c r="BZ11" s="9" t="s">
        <v>1703</v>
      </c>
      <c r="CB11" s="9" t="s">
        <v>1701</v>
      </c>
      <c r="CC11" s="9" t="s">
        <v>28</v>
      </c>
      <c r="CD11" s="9" t="s">
        <v>1778</v>
      </c>
      <c r="CE11" s="9" t="s">
        <v>1713</v>
      </c>
      <c r="CF11" s="9" t="s">
        <v>25</v>
      </c>
      <c r="CH11" s="9" t="s">
        <v>25</v>
      </c>
      <c r="CJ11" s="9" t="s">
        <v>1714</v>
      </c>
      <c r="CK11" s="10">
        <v>20</v>
      </c>
      <c r="CL11" s="10">
        <v>20</v>
      </c>
      <c r="CM11" s="10">
        <v>20</v>
      </c>
      <c r="CN11" s="10">
        <v>20</v>
      </c>
      <c r="CO11" s="10">
        <v>20</v>
      </c>
      <c r="CP11" s="10">
        <v>20</v>
      </c>
      <c r="CQ11" s="10">
        <v>20</v>
      </c>
      <c r="CR11" s="10">
        <v>20</v>
      </c>
      <c r="CS11" s="11">
        <v>1</v>
      </c>
      <c r="CT11" s="11">
        <v>0.67</v>
      </c>
      <c r="CU11" s="11">
        <v>0.67</v>
      </c>
      <c r="CW11" s="10">
        <v>7</v>
      </c>
      <c r="CX11" s="10">
        <v>182</v>
      </c>
      <c r="CY11" s="10">
        <v>182</v>
      </c>
      <c r="CZ11" s="10" t="s">
        <v>25</v>
      </c>
      <c r="DA11" s="10" t="s">
        <v>25</v>
      </c>
      <c r="DB11" s="10" t="s">
        <v>28</v>
      </c>
      <c r="DC11" s="10" t="s">
        <v>25</v>
      </c>
      <c r="DD11" s="10" t="s">
        <v>25</v>
      </c>
      <c r="DG11" s="39">
        <v>30000</v>
      </c>
      <c r="DJ11" s="9" t="s">
        <v>1715</v>
      </c>
      <c r="DK11" s="9" t="s">
        <v>1715</v>
      </c>
      <c r="DM11" s="9" t="s">
        <v>25</v>
      </c>
      <c r="DU11" s="9" t="s">
        <v>1717</v>
      </c>
      <c r="DV11" s="9" t="s">
        <v>1746</v>
      </c>
      <c r="DW11" s="11">
        <v>0.67</v>
      </c>
      <c r="EC11" s="9" t="s">
        <v>1739</v>
      </c>
      <c r="ED11" s="9" t="s">
        <v>1719</v>
      </c>
      <c r="EE11" s="9" t="s">
        <v>1719</v>
      </c>
      <c r="EF11" s="9" t="s">
        <v>1719</v>
      </c>
      <c r="EG11" s="9" t="s">
        <v>1719</v>
      </c>
      <c r="EH11" s="9" t="s">
        <v>1719</v>
      </c>
      <c r="EI11" s="9" t="s">
        <v>1719</v>
      </c>
      <c r="EJ11" s="9" t="s">
        <v>1720</v>
      </c>
      <c r="EK11" s="9" t="s">
        <v>1720</v>
      </c>
      <c r="EL11" s="9" t="s">
        <v>1720</v>
      </c>
      <c r="EM11" s="9" t="s">
        <v>1720</v>
      </c>
      <c r="EN11" s="9" t="s">
        <v>1720</v>
      </c>
      <c r="EO11" s="9" t="s">
        <v>1755</v>
      </c>
      <c r="EP11" s="9" t="s">
        <v>1725</v>
      </c>
      <c r="EQ11" s="9" t="s">
        <v>1725</v>
      </c>
      <c r="ER11" s="9" t="s">
        <v>1725</v>
      </c>
      <c r="ES11" s="9" t="s">
        <v>25</v>
      </c>
      <c r="ET11" s="9" t="s">
        <v>25</v>
      </c>
    </row>
    <row r="12" spans="1:163" ht="51" x14ac:dyDescent="0.2">
      <c r="A12" s="8" t="s">
        <v>175</v>
      </c>
      <c r="B12" s="9" t="s">
        <v>1695</v>
      </c>
      <c r="F12" s="9" t="s">
        <v>1695</v>
      </c>
      <c r="P12" s="9" t="s">
        <v>1748</v>
      </c>
      <c r="T12" s="9" t="s">
        <v>1748</v>
      </c>
      <c r="AS12" s="9" t="s">
        <v>25</v>
      </c>
      <c r="AW12" s="9" t="s">
        <v>1932</v>
      </c>
      <c r="AX12" s="9" t="s">
        <v>1699</v>
      </c>
      <c r="AY12" s="9" t="s">
        <v>1750</v>
      </c>
      <c r="AZ12" s="9" t="s">
        <v>1704</v>
      </c>
      <c r="BA12" s="9" t="s">
        <v>28</v>
      </c>
      <c r="BB12" s="9" t="s">
        <v>1757</v>
      </c>
      <c r="BC12" s="9" t="s">
        <v>1699</v>
      </c>
      <c r="BD12" s="9" t="s">
        <v>1785</v>
      </c>
      <c r="BE12" s="9" t="s">
        <v>1933</v>
      </c>
      <c r="BF12" s="9" t="s">
        <v>1704</v>
      </c>
      <c r="BH12" s="9" t="s">
        <v>1705</v>
      </c>
      <c r="BI12" s="9" t="s">
        <v>1706</v>
      </c>
      <c r="BJ12" s="9" t="s">
        <v>1707</v>
      </c>
      <c r="BK12" s="9" t="s">
        <v>1710</v>
      </c>
      <c r="BL12" s="9" t="s">
        <v>1708</v>
      </c>
      <c r="BM12" s="9" t="s">
        <v>1742</v>
      </c>
      <c r="BN12" s="9" t="s">
        <v>1699</v>
      </c>
      <c r="BO12" s="9" t="s">
        <v>1750</v>
      </c>
      <c r="BP12" s="9" t="s">
        <v>1704</v>
      </c>
      <c r="BQ12" s="9" t="s">
        <v>28</v>
      </c>
      <c r="BR12" s="9" t="s">
        <v>1702</v>
      </c>
      <c r="BS12" s="9" t="s">
        <v>1776</v>
      </c>
      <c r="BT12" s="9" t="s">
        <v>1737</v>
      </c>
      <c r="BU12" s="9" t="s">
        <v>1704</v>
      </c>
      <c r="BV12" s="9" t="s">
        <v>1705</v>
      </c>
      <c r="BW12" s="9" t="s">
        <v>1711</v>
      </c>
      <c r="BZ12" s="9" t="s">
        <v>1699</v>
      </c>
      <c r="CA12" s="9" t="s">
        <v>1700</v>
      </c>
      <c r="CB12" s="9" t="s">
        <v>1704</v>
      </c>
      <c r="CC12" s="9" t="s">
        <v>28</v>
      </c>
      <c r="CD12" s="9" t="s">
        <v>1778</v>
      </c>
      <c r="CE12" s="9" t="s">
        <v>1779</v>
      </c>
      <c r="CF12" s="9" t="s">
        <v>28</v>
      </c>
      <c r="CG12" s="9" t="s">
        <v>1825</v>
      </c>
      <c r="CH12" s="9" t="s">
        <v>28</v>
      </c>
      <c r="CI12" s="9" t="s">
        <v>1825</v>
      </c>
      <c r="CJ12" s="9" t="s">
        <v>1714</v>
      </c>
      <c r="CK12" s="10">
        <v>20</v>
      </c>
      <c r="CL12" s="10">
        <v>20</v>
      </c>
      <c r="CM12" s="10">
        <v>20</v>
      </c>
      <c r="CN12" s="10">
        <v>20</v>
      </c>
      <c r="CO12" s="10">
        <v>20</v>
      </c>
      <c r="CP12" s="10">
        <v>20</v>
      </c>
      <c r="CQ12" s="10">
        <v>20</v>
      </c>
      <c r="CR12" s="10">
        <v>20</v>
      </c>
      <c r="CS12" s="11">
        <v>1</v>
      </c>
      <c r="CT12" s="11">
        <v>1</v>
      </c>
      <c r="CU12" s="11">
        <v>0.6</v>
      </c>
      <c r="CV12" s="10" t="s">
        <v>1934</v>
      </c>
      <c r="CW12" s="10">
        <v>7</v>
      </c>
      <c r="CX12" s="10">
        <v>180</v>
      </c>
      <c r="CY12" s="10">
        <v>180</v>
      </c>
      <c r="CZ12" s="10" t="s">
        <v>25</v>
      </c>
      <c r="DA12" s="10" t="s">
        <v>25</v>
      </c>
      <c r="DB12" s="10" t="s">
        <v>28</v>
      </c>
      <c r="DC12" s="10" t="s">
        <v>25</v>
      </c>
      <c r="DD12" s="10" t="s">
        <v>25</v>
      </c>
      <c r="DG12" s="39">
        <v>20000</v>
      </c>
      <c r="DJ12" s="9" t="s">
        <v>1715</v>
      </c>
      <c r="DK12" s="9" t="s">
        <v>1715</v>
      </c>
      <c r="DM12" s="9" t="s">
        <v>28</v>
      </c>
      <c r="DN12" s="9" t="s">
        <v>25</v>
      </c>
      <c r="DO12" s="9" t="s">
        <v>28</v>
      </c>
      <c r="DP12" s="9" t="s">
        <v>28</v>
      </c>
      <c r="DQ12" s="9" t="s">
        <v>28</v>
      </c>
      <c r="DR12" s="9" t="s">
        <v>25</v>
      </c>
      <c r="DS12" s="9" t="s">
        <v>1935</v>
      </c>
      <c r="DU12" s="9" t="s">
        <v>1717</v>
      </c>
      <c r="DV12" s="9" t="s">
        <v>1746</v>
      </c>
      <c r="DW12" s="11">
        <v>0.6</v>
      </c>
      <c r="EC12" s="9" t="s">
        <v>1739</v>
      </c>
      <c r="ED12" s="9" t="s">
        <v>1719</v>
      </c>
      <c r="EE12" s="9" t="s">
        <v>1719</v>
      </c>
      <c r="EF12" s="9" t="s">
        <v>1719</v>
      </c>
      <c r="EG12" s="9" t="s">
        <v>1722</v>
      </c>
      <c r="EH12" s="9" t="s">
        <v>1723</v>
      </c>
      <c r="EI12" s="9" t="s">
        <v>1724</v>
      </c>
      <c r="EJ12" s="9" t="s">
        <v>1725</v>
      </c>
      <c r="EK12" s="9" t="s">
        <v>1726</v>
      </c>
      <c r="EL12" s="9" t="s">
        <v>1727</v>
      </c>
      <c r="EM12" s="9" t="s">
        <v>1728</v>
      </c>
      <c r="EN12" s="9" t="s">
        <v>693</v>
      </c>
      <c r="EO12" s="9" t="s">
        <v>693</v>
      </c>
      <c r="EP12" s="9" t="s">
        <v>1725</v>
      </c>
      <c r="EQ12" s="9" t="s">
        <v>1725</v>
      </c>
      <c r="ER12" s="9" t="s">
        <v>1747</v>
      </c>
      <c r="ES12" s="9" t="s">
        <v>25</v>
      </c>
      <c r="ET12" s="9" t="s">
        <v>25</v>
      </c>
    </row>
    <row r="13" spans="1:163" ht="51" x14ac:dyDescent="0.2">
      <c r="A13" s="8" t="s">
        <v>121</v>
      </c>
      <c r="B13" s="9" t="s">
        <v>1695</v>
      </c>
      <c r="C13" s="9" t="s">
        <v>1734</v>
      </c>
      <c r="D13" s="9" t="s">
        <v>1734</v>
      </c>
      <c r="E13" s="9" t="s">
        <v>1734</v>
      </c>
      <c r="F13" s="9" t="s">
        <v>1734</v>
      </c>
      <c r="G13" s="9" t="s">
        <v>1734</v>
      </c>
      <c r="H13" s="9" t="s">
        <v>1734</v>
      </c>
      <c r="M13" s="9" t="s">
        <v>1734</v>
      </c>
      <c r="AS13" s="9" t="s">
        <v>25</v>
      </c>
      <c r="AW13" s="9" t="s">
        <v>1764</v>
      </c>
      <c r="AX13" s="9" t="s">
        <v>1699</v>
      </c>
      <c r="AY13" s="9" t="s">
        <v>1750</v>
      </c>
      <c r="AZ13" s="9" t="s">
        <v>1704</v>
      </c>
      <c r="BA13" s="9" t="s">
        <v>28</v>
      </c>
      <c r="BB13" s="9" t="s">
        <v>1702</v>
      </c>
      <c r="BC13" s="9" t="s">
        <v>1699</v>
      </c>
      <c r="BD13" s="9" t="s">
        <v>1765</v>
      </c>
      <c r="BE13" s="9" t="s">
        <v>1766</v>
      </c>
      <c r="BF13" s="9" t="s">
        <v>1704</v>
      </c>
      <c r="BH13" s="9" t="s">
        <v>1767</v>
      </c>
      <c r="BI13" s="9" t="s">
        <v>1706</v>
      </c>
      <c r="BJ13" s="9" t="s">
        <v>1707</v>
      </c>
      <c r="BK13" s="9" t="s">
        <v>1767</v>
      </c>
      <c r="BL13" s="9" t="s">
        <v>1762</v>
      </c>
      <c r="BM13" s="9" t="s">
        <v>1742</v>
      </c>
      <c r="BN13" s="9" t="s">
        <v>1768</v>
      </c>
      <c r="BP13" s="9" t="s">
        <v>1738</v>
      </c>
      <c r="BQ13" s="9" t="s">
        <v>28</v>
      </c>
      <c r="BR13" s="9" t="s">
        <v>1757</v>
      </c>
      <c r="BS13" s="9" t="s">
        <v>1703</v>
      </c>
      <c r="BU13" s="9" t="s">
        <v>1738</v>
      </c>
      <c r="BV13" s="9" t="s">
        <v>13901</v>
      </c>
      <c r="BW13" s="9" t="s">
        <v>1754</v>
      </c>
      <c r="BX13" s="9" t="s">
        <v>1769</v>
      </c>
      <c r="BY13" s="9" t="s">
        <v>1709</v>
      </c>
      <c r="BZ13" s="9" t="s">
        <v>1699</v>
      </c>
      <c r="CA13" s="9" t="s">
        <v>1750</v>
      </c>
      <c r="CB13" s="9" t="s">
        <v>1704</v>
      </c>
      <c r="CC13" s="9" t="s">
        <v>25</v>
      </c>
      <c r="CE13" s="9" t="s">
        <v>29</v>
      </c>
      <c r="CF13" s="9" t="s">
        <v>25</v>
      </c>
      <c r="CH13" s="9" t="s">
        <v>25</v>
      </c>
      <c r="CJ13" s="9" t="s">
        <v>1714</v>
      </c>
      <c r="CK13" s="10">
        <v>30</v>
      </c>
      <c r="CL13" s="10">
        <v>20</v>
      </c>
      <c r="CM13" s="10">
        <v>20</v>
      </c>
      <c r="CN13" s="10">
        <v>30</v>
      </c>
      <c r="CO13" s="10">
        <v>30</v>
      </c>
      <c r="CP13" s="10">
        <v>20</v>
      </c>
      <c r="CQ13" s="10">
        <v>20</v>
      </c>
      <c r="CR13" s="10">
        <v>30</v>
      </c>
      <c r="CS13" s="11">
        <v>1</v>
      </c>
      <c r="CT13" s="11">
        <v>0.66</v>
      </c>
      <c r="CU13" s="11">
        <v>0.66</v>
      </c>
      <c r="CW13" s="10">
        <v>20</v>
      </c>
      <c r="CX13" s="10">
        <v>180</v>
      </c>
      <c r="CZ13" s="10" t="s">
        <v>25</v>
      </c>
      <c r="DA13" s="10" t="s">
        <v>28</v>
      </c>
      <c r="DB13" s="10" t="s">
        <v>28</v>
      </c>
      <c r="DC13" s="10" t="s">
        <v>28</v>
      </c>
      <c r="DD13" s="10" t="s">
        <v>28</v>
      </c>
      <c r="DF13" s="39">
        <v>11000</v>
      </c>
      <c r="DG13" s="39">
        <v>11000</v>
      </c>
      <c r="DH13" s="39">
        <v>11000</v>
      </c>
      <c r="DI13" s="39">
        <v>11000</v>
      </c>
      <c r="DJ13" s="9" t="s">
        <v>1770</v>
      </c>
      <c r="DK13" s="9" t="s">
        <v>1770</v>
      </c>
      <c r="DL13" s="9" t="s">
        <v>1770</v>
      </c>
      <c r="DM13" s="9" t="s">
        <v>28</v>
      </c>
      <c r="DN13" s="9" t="s">
        <v>25</v>
      </c>
      <c r="DO13" s="9" t="s">
        <v>28</v>
      </c>
      <c r="DP13" s="9" t="s">
        <v>28</v>
      </c>
      <c r="DQ13" s="9" t="s">
        <v>28</v>
      </c>
      <c r="DR13" s="9" t="s">
        <v>28</v>
      </c>
      <c r="DS13" s="9" t="s">
        <v>1771</v>
      </c>
      <c r="DU13" s="9" t="s">
        <v>1717</v>
      </c>
      <c r="DV13" s="9" t="s">
        <v>1746</v>
      </c>
      <c r="DW13" s="11">
        <v>0.66</v>
      </c>
      <c r="EC13" s="9" t="s">
        <v>1739</v>
      </c>
      <c r="ED13" s="9" t="s">
        <v>1719</v>
      </c>
      <c r="EE13" s="9" t="s">
        <v>1720</v>
      </c>
      <c r="EF13" s="9" t="s">
        <v>1721</v>
      </c>
      <c r="EG13" s="9" t="s">
        <v>1722</v>
      </c>
      <c r="EH13" s="9" t="s">
        <v>1723</v>
      </c>
      <c r="EI13" s="9" t="s">
        <v>1724</v>
      </c>
      <c r="EJ13" s="9" t="s">
        <v>1725</v>
      </c>
      <c r="EK13" s="9" t="s">
        <v>1726</v>
      </c>
      <c r="EL13" s="9" t="s">
        <v>1727</v>
      </c>
      <c r="EM13" s="9" t="s">
        <v>1728</v>
      </c>
      <c r="EN13" s="9" t="s">
        <v>1728</v>
      </c>
      <c r="EO13" s="9" t="s">
        <v>1728</v>
      </c>
      <c r="EP13" s="9" t="s">
        <v>29</v>
      </c>
      <c r="EQ13" s="9" t="s">
        <v>1719</v>
      </c>
      <c r="ER13" s="9" t="s">
        <v>693</v>
      </c>
      <c r="ES13" s="9" t="s">
        <v>25</v>
      </c>
      <c r="ET13" s="9" t="s">
        <v>25</v>
      </c>
    </row>
    <row r="14" spans="1:163" ht="51" x14ac:dyDescent="0.2">
      <c r="A14" s="8" t="s">
        <v>147</v>
      </c>
      <c r="B14" s="9" t="s">
        <v>1695</v>
      </c>
      <c r="P14" s="9" t="s">
        <v>1735</v>
      </c>
      <c r="AS14" s="9" t="s">
        <v>25</v>
      </c>
      <c r="AW14" s="9" t="s">
        <v>1756</v>
      </c>
      <c r="AX14" s="9" t="s">
        <v>1699</v>
      </c>
      <c r="AY14" s="9" t="s">
        <v>1793</v>
      </c>
      <c r="AZ14" s="9" t="s">
        <v>1704</v>
      </c>
      <c r="BA14" s="9" t="s">
        <v>28</v>
      </c>
      <c r="BB14" s="9" t="s">
        <v>1702</v>
      </c>
      <c r="BC14" s="9" t="s">
        <v>1703</v>
      </c>
      <c r="BF14" s="9" t="s">
        <v>1704</v>
      </c>
      <c r="BH14" s="9" t="s">
        <v>1751</v>
      </c>
      <c r="BI14" s="9" t="s">
        <v>1706</v>
      </c>
      <c r="BJ14" s="9" t="s">
        <v>1707</v>
      </c>
      <c r="BK14" s="9" t="s">
        <v>1751</v>
      </c>
      <c r="BL14" s="9" t="s">
        <v>1708</v>
      </c>
      <c r="BM14" s="9" t="s">
        <v>1753</v>
      </c>
      <c r="BN14" s="9" t="s">
        <v>1699</v>
      </c>
      <c r="BO14" s="9" t="s">
        <v>1793</v>
      </c>
      <c r="BP14" s="9" t="s">
        <v>1704</v>
      </c>
      <c r="BQ14" s="9" t="s">
        <v>28</v>
      </c>
      <c r="BR14" s="9" t="s">
        <v>1702</v>
      </c>
      <c r="BS14" s="9" t="s">
        <v>1703</v>
      </c>
      <c r="BU14" s="9" t="s">
        <v>1704</v>
      </c>
      <c r="BV14" s="9" t="s">
        <v>13901</v>
      </c>
      <c r="BW14" s="9" t="s">
        <v>1754</v>
      </c>
      <c r="BX14" s="9" t="s">
        <v>1708</v>
      </c>
      <c r="BY14" s="9" t="s">
        <v>1858</v>
      </c>
      <c r="BZ14" s="9" t="s">
        <v>1699</v>
      </c>
      <c r="CA14" s="9" t="s">
        <v>29</v>
      </c>
      <c r="CB14" s="9" t="s">
        <v>1704</v>
      </c>
      <c r="CC14" s="9" t="s">
        <v>28</v>
      </c>
      <c r="CD14" s="9" t="s">
        <v>1778</v>
      </c>
      <c r="CE14" s="9" t="s">
        <v>1779</v>
      </c>
      <c r="CF14" s="9" t="s">
        <v>28</v>
      </c>
      <c r="CG14" s="9" t="s">
        <v>1862</v>
      </c>
      <c r="CH14" s="9" t="s">
        <v>28</v>
      </c>
      <c r="CI14" s="9" t="s">
        <v>1863</v>
      </c>
      <c r="CJ14" s="9" t="s">
        <v>1714</v>
      </c>
      <c r="CK14" s="10">
        <v>30</v>
      </c>
      <c r="CL14" s="10">
        <v>30</v>
      </c>
      <c r="CM14" s="10">
        <v>30</v>
      </c>
      <c r="CN14" s="10">
        <v>30</v>
      </c>
      <c r="CO14" s="10">
        <v>30</v>
      </c>
      <c r="CP14" s="10">
        <v>30</v>
      </c>
      <c r="CQ14" s="10">
        <v>30</v>
      </c>
      <c r="CR14" s="10">
        <v>30</v>
      </c>
      <c r="CS14" s="11">
        <v>1</v>
      </c>
      <c r="CT14" s="11">
        <v>0.6</v>
      </c>
      <c r="CU14" s="11">
        <v>0.6</v>
      </c>
      <c r="CW14" s="10">
        <v>7</v>
      </c>
      <c r="CX14" s="10">
        <v>365</v>
      </c>
      <c r="CY14" s="10">
        <v>365</v>
      </c>
      <c r="CZ14" s="10" t="s">
        <v>25</v>
      </c>
      <c r="DA14" s="10" t="s">
        <v>28</v>
      </c>
      <c r="DB14" s="10" t="s">
        <v>28</v>
      </c>
      <c r="DC14" s="10" t="s">
        <v>28</v>
      </c>
      <c r="DD14" s="10" t="s">
        <v>25</v>
      </c>
      <c r="DF14" s="39">
        <v>3464</v>
      </c>
      <c r="DG14" s="39">
        <v>10000</v>
      </c>
      <c r="DH14" s="39">
        <v>20000</v>
      </c>
      <c r="DJ14" s="9" t="s">
        <v>1715</v>
      </c>
      <c r="DK14" s="9" t="s">
        <v>1715</v>
      </c>
      <c r="DL14" s="9" t="s">
        <v>1770</v>
      </c>
      <c r="DM14" s="9" t="s">
        <v>28</v>
      </c>
      <c r="DN14" s="9" t="s">
        <v>25</v>
      </c>
      <c r="DO14" s="9" t="s">
        <v>28</v>
      </c>
      <c r="DP14" s="9" t="s">
        <v>28</v>
      </c>
      <c r="DQ14" s="9" t="s">
        <v>28</v>
      </c>
      <c r="DR14" s="9" t="s">
        <v>28</v>
      </c>
      <c r="DS14" s="9" t="s">
        <v>1864</v>
      </c>
      <c r="DU14" s="9" t="s">
        <v>1717</v>
      </c>
      <c r="DV14" s="9" t="s">
        <v>1746</v>
      </c>
      <c r="DW14" s="11">
        <v>0.6</v>
      </c>
      <c r="DX14" s="11">
        <v>0.65</v>
      </c>
      <c r="EC14" s="9" t="s">
        <v>1739</v>
      </c>
      <c r="ED14" s="9" t="s">
        <v>1755</v>
      </c>
      <c r="EE14" s="9" t="s">
        <v>29</v>
      </c>
      <c r="EF14" s="9" t="s">
        <v>29</v>
      </c>
      <c r="EG14" s="9" t="s">
        <v>1722</v>
      </c>
      <c r="EH14" s="9" t="s">
        <v>1723</v>
      </c>
      <c r="EI14" s="9" t="s">
        <v>1724</v>
      </c>
      <c r="EJ14" s="9" t="s">
        <v>1725</v>
      </c>
      <c r="EK14" s="9" t="s">
        <v>1726</v>
      </c>
      <c r="EL14" s="9" t="s">
        <v>1727</v>
      </c>
      <c r="EM14" s="9" t="s">
        <v>1728</v>
      </c>
      <c r="EN14" s="9" t="s">
        <v>693</v>
      </c>
      <c r="EO14" s="9" t="s">
        <v>693</v>
      </c>
      <c r="EP14" s="9" t="s">
        <v>693</v>
      </c>
      <c r="EQ14" s="9" t="s">
        <v>1725</v>
      </c>
      <c r="ER14" s="9" t="s">
        <v>1747</v>
      </c>
      <c r="ES14" s="9" t="s">
        <v>25</v>
      </c>
      <c r="ET14" s="9" t="s">
        <v>25</v>
      </c>
    </row>
    <row r="15" spans="1:163" ht="51" x14ac:dyDescent="0.2">
      <c r="A15" s="8" t="s">
        <v>138</v>
      </c>
      <c r="B15" s="9" t="s">
        <v>1695</v>
      </c>
      <c r="D15" s="9" t="s">
        <v>1695</v>
      </c>
      <c r="F15" s="9" t="s">
        <v>1695</v>
      </c>
      <c r="H15" s="9" t="s">
        <v>1734</v>
      </c>
      <c r="AS15" s="9" t="s">
        <v>25</v>
      </c>
      <c r="AW15" s="9" t="s">
        <v>1856</v>
      </c>
      <c r="AX15" s="9" t="s">
        <v>1699</v>
      </c>
      <c r="AY15" s="9" t="s">
        <v>1750</v>
      </c>
      <c r="AZ15" s="9" t="s">
        <v>1704</v>
      </c>
      <c r="BA15" s="9" t="s">
        <v>28</v>
      </c>
      <c r="BB15" s="9" t="s">
        <v>1702</v>
      </c>
      <c r="BC15" s="9" t="s">
        <v>1699</v>
      </c>
      <c r="BD15" s="9" t="s">
        <v>29</v>
      </c>
      <c r="BE15" s="9" t="s">
        <v>1857</v>
      </c>
      <c r="BF15" s="9" t="s">
        <v>1704</v>
      </c>
      <c r="BH15" s="9" t="s">
        <v>1739</v>
      </c>
      <c r="BI15" s="9" t="s">
        <v>1706</v>
      </c>
      <c r="BJ15" s="9" t="s">
        <v>1707</v>
      </c>
      <c r="BK15" s="9" t="s">
        <v>1739</v>
      </c>
      <c r="BL15" s="9" t="s">
        <v>1708</v>
      </c>
      <c r="BM15" s="9" t="s">
        <v>1858</v>
      </c>
      <c r="BN15" s="9" t="s">
        <v>1699</v>
      </c>
      <c r="BO15" s="9" t="s">
        <v>1750</v>
      </c>
      <c r="BP15" s="9" t="s">
        <v>1704</v>
      </c>
      <c r="BQ15" s="9" t="s">
        <v>28</v>
      </c>
      <c r="BR15" s="9" t="s">
        <v>1702</v>
      </c>
      <c r="BS15" s="9" t="s">
        <v>1776</v>
      </c>
      <c r="BT15" s="9" t="s">
        <v>29</v>
      </c>
      <c r="BU15" s="9" t="s">
        <v>1704</v>
      </c>
      <c r="BV15" s="9" t="s">
        <v>13901</v>
      </c>
      <c r="BW15" s="9" t="s">
        <v>1754</v>
      </c>
      <c r="BX15" s="9" t="s">
        <v>1708</v>
      </c>
      <c r="BY15" s="9" t="s">
        <v>1709</v>
      </c>
      <c r="BZ15" s="9" t="s">
        <v>1699</v>
      </c>
      <c r="CA15" s="9" t="s">
        <v>1758</v>
      </c>
      <c r="CB15" s="9" t="s">
        <v>1704</v>
      </c>
      <c r="CC15" s="9" t="s">
        <v>28</v>
      </c>
      <c r="CD15" s="9" t="s">
        <v>1778</v>
      </c>
      <c r="CE15" s="9" t="s">
        <v>1779</v>
      </c>
      <c r="CF15" s="9" t="s">
        <v>28</v>
      </c>
      <c r="CG15" s="9" t="s">
        <v>1859</v>
      </c>
      <c r="CH15" s="9" t="s">
        <v>28</v>
      </c>
      <c r="CI15" s="9" t="s">
        <v>1859</v>
      </c>
      <c r="CJ15" s="9" t="s">
        <v>1714</v>
      </c>
      <c r="CK15" s="10">
        <v>32</v>
      </c>
      <c r="CL15" s="10">
        <v>32</v>
      </c>
      <c r="CM15" s="10">
        <v>32</v>
      </c>
      <c r="CN15" s="10">
        <v>32</v>
      </c>
      <c r="CO15" s="10">
        <v>0</v>
      </c>
      <c r="CP15" s="10">
        <v>0</v>
      </c>
      <c r="CQ15" s="10">
        <v>0</v>
      </c>
      <c r="CR15" s="10">
        <v>0</v>
      </c>
      <c r="CT15" s="11">
        <v>1</v>
      </c>
      <c r="CU15" s="11">
        <v>0.65</v>
      </c>
      <c r="CX15" s="10">
        <v>365</v>
      </c>
      <c r="CZ15" s="10" t="s">
        <v>25</v>
      </c>
      <c r="DA15" s="10" t="s">
        <v>25</v>
      </c>
      <c r="DB15" s="10" t="s">
        <v>28</v>
      </c>
      <c r="DC15" s="10" t="s">
        <v>25</v>
      </c>
      <c r="DD15" s="10" t="s">
        <v>25</v>
      </c>
      <c r="DG15" s="39">
        <v>20000</v>
      </c>
      <c r="DJ15" s="9" t="s">
        <v>1715</v>
      </c>
      <c r="DK15" s="9" t="s">
        <v>1715</v>
      </c>
      <c r="DM15" s="9" t="s">
        <v>28</v>
      </c>
      <c r="DN15" s="9" t="s">
        <v>25</v>
      </c>
      <c r="DO15" s="9" t="s">
        <v>28</v>
      </c>
      <c r="DP15" s="9" t="s">
        <v>28</v>
      </c>
      <c r="DQ15" s="9" t="s">
        <v>28</v>
      </c>
      <c r="DR15" s="9" t="s">
        <v>28</v>
      </c>
      <c r="DS15" s="9" t="s">
        <v>612</v>
      </c>
      <c r="DU15" s="9" t="s">
        <v>1745</v>
      </c>
      <c r="DV15" s="9" t="s">
        <v>1746</v>
      </c>
      <c r="DW15" s="11">
        <v>0.65</v>
      </c>
      <c r="EC15" s="9" t="s">
        <v>635</v>
      </c>
      <c r="ED15" s="9" t="s">
        <v>1755</v>
      </c>
      <c r="EE15" s="9" t="s">
        <v>1755</v>
      </c>
      <c r="EF15" s="9" t="s">
        <v>1755</v>
      </c>
      <c r="EG15" s="9" t="s">
        <v>1720</v>
      </c>
      <c r="EH15" s="9" t="s">
        <v>1721</v>
      </c>
      <c r="EI15" s="9" t="s">
        <v>1722</v>
      </c>
      <c r="EJ15" s="9" t="s">
        <v>1723</v>
      </c>
      <c r="EK15" s="9" t="s">
        <v>1725</v>
      </c>
      <c r="EL15" s="9" t="s">
        <v>1725</v>
      </c>
      <c r="EM15" s="9" t="s">
        <v>1727</v>
      </c>
      <c r="EN15" s="9" t="s">
        <v>693</v>
      </c>
      <c r="EO15" s="9" t="s">
        <v>693</v>
      </c>
      <c r="EP15" s="9" t="s">
        <v>1727</v>
      </c>
      <c r="EQ15" s="9" t="s">
        <v>29</v>
      </c>
      <c r="ER15" s="9" t="s">
        <v>29</v>
      </c>
      <c r="ES15" s="9" t="s">
        <v>25</v>
      </c>
      <c r="ET15" s="9" t="s">
        <v>1729</v>
      </c>
      <c r="EU15" s="9" t="s">
        <v>1860</v>
      </c>
      <c r="EV15" s="9" t="s">
        <v>29</v>
      </c>
      <c r="FD15" s="9" t="s">
        <v>25</v>
      </c>
      <c r="FG15" s="9" t="s">
        <v>25</v>
      </c>
    </row>
    <row r="16" spans="1:163" ht="51" x14ac:dyDescent="0.2">
      <c r="A16" s="8" t="s">
        <v>118</v>
      </c>
      <c r="B16" s="9" t="s">
        <v>1732</v>
      </c>
      <c r="F16" s="9" t="s">
        <v>1733</v>
      </c>
      <c r="H16" s="9" t="s">
        <v>1734</v>
      </c>
      <c r="P16" s="9" t="s">
        <v>1735</v>
      </c>
      <c r="AS16" s="9" t="s">
        <v>25</v>
      </c>
      <c r="AW16" s="9" t="s">
        <v>1736</v>
      </c>
      <c r="AX16" s="9" t="s">
        <v>1699</v>
      </c>
      <c r="AY16" s="9" t="s">
        <v>1737</v>
      </c>
      <c r="AZ16" s="9" t="s">
        <v>1701</v>
      </c>
      <c r="BA16" s="9" t="s">
        <v>28</v>
      </c>
      <c r="BB16" s="9" t="s">
        <v>1702</v>
      </c>
      <c r="BC16" s="9" t="s">
        <v>1699</v>
      </c>
      <c r="BD16" s="9" t="s">
        <v>1700</v>
      </c>
      <c r="BF16" s="9" t="s">
        <v>1738</v>
      </c>
      <c r="BH16" s="9" t="s">
        <v>1739</v>
      </c>
      <c r="BI16" s="9" t="s">
        <v>1740</v>
      </c>
      <c r="BJ16" s="9" t="s">
        <v>1707</v>
      </c>
      <c r="BK16" s="9" t="s">
        <v>1739</v>
      </c>
      <c r="BL16" s="9" t="s">
        <v>1741</v>
      </c>
      <c r="BM16" s="9" t="s">
        <v>1742</v>
      </c>
      <c r="BN16" s="9" t="s">
        <v>1703</v>
      </c>
      <c r="BP16" s="9" t="s">
        <v>1743</v>
      </c>
      <c r="BQ16" s="9" t="s">
        <v>25</v>
      </c>
      <c r="BW16" s="9" t="s">
        <v>1711</v>
      </c>
      <c r="BZ16" s="9" t="s">
        <v>1703</v>
      </c>
      <c r="CB16" s="9" t="s">
        <v>1701</v>
      </c>
      <c r="CC16" s="9" t="s">
        <v>25</v>
      </c>
      <c r="CE16" s="9" t="s">
        <v>631</v>
      </c>
      <c r="CF16" s="9" t="s">
        <v>25</v>
      </c>
      <c r="CH16" s="9" t="s">
        <v>25</v>
      </c>
      <c r="CJ16" s="9" t="s">
        <v>1714</v>
      </c>
      <c r="CK16" s="10">
        <v>40</v>
      </c>
      <c r="CL16" s="10">
        <v>40</v>
      </c>
      <c r="CM16" s="10">
        <v>40</v>
      </c>
      <c r="CN16" s="10">
        <v>40</v>
      </c>
      <c r="CO16" s="10">
        <v>20</v>
      </c>
      <c r="CP16" s="10">
        <v>20</v>
      </c>
      <c r="CQ16" s="10">
        <v>20</v>
      </c>
      <c r="CR16" s="10">
        <v>20</v>
      </c>
      <c r="CS16" s="11">
        <v>1</v>
      </c>
      <c r="CT16" s="11">
        <v>0.75</v>
      </c>
      <c r="CU16" s="11">
        <v>0.6</v>
      </c>
      <c r="CW16" s="10">
        <v>7</v>
      </c>
      <c r="CX16" s="10">
        <v>365</v>
      </c>
      <c r="CZ16" s="10" t="s">
        <v>25</v>
      </c>
      <c r="DA16" s="10" t="s">
        <v>25</v>
      </c>
      <c r="DB16" s="10" t="s">
        <v>25</v>
      </c>
      <c r="DC16" s="10" t="s">
        <v>25</v>
      </c>
      <c r="DD16" s="10" t="s">
        <v>25</v>
      </c>
      <c r="DJ16" s="9" t="s">
        <v>1715</v>
      </c>
      <c r="DK16" s="9" t="s">
        <v>1715</v>
      </c>
      <c r="DM16" s="9" t="s">
        <v>28</v>
      </c>
      <c r="DN16" s="9" t="s">
        <v>25</v>
      </c>
      <c r="DO16" s="9" t="s">
        <v>28</v>
      </c>
      <c r="DP16" s="9" t="s">
        <v>28</v>
      </c>
      <c r="DQ16" s="9" t="s">
        <v>28</v>
      </c>
      <c r="DR16" s="9" t="s">
        <v>28</v>
      </c>
      <c r="DS16" s="9" t="s">
        <v>612</v>
      </c>
      <c r="DT16" s="9" t="s">
        <v>1744</v>
      </c>
      <c r="DU16" s="9" t="s">
        <v>1745</v>
      </c>
      <c r="DV16" s="9" t="s">
        <v>1746</v>
      </c>
      <c r="DW16" s="11">
        <v>0.6</v>
      </c>
      <c r="EC16" s="9" t="s">
        <v>635</v>
      </c>
      <c r="ED16" s="9" t="s">
        <v>1719</v>
      </c>
      <c r="EE16" s="9" t="s">
        <v>1719</v>
      </c>
      <c r="EF16" s="9" t="s">
        <v>1719</v>
      </c>
      <c r="EG16" s="9" t="s">
        <v>1719</v>
      </c>
      <c r="EH16" s="9" t="s">
        <v>1719</v>
      </c>
      <c r="EI16" s="9" t="s">
        <v>1719</v>
      </c>
      <c r="EJ16" s="9" t="s">
        <v>1719</v>
      </c>
      <c r="EP16" s="9" t="s">
        <v>1719</v>
      </c>
      <c r="EQ16" s="9" t="s">
        <v>1719</v>
      </c>
      <c r="ER16" s="9" t="s">
        <v>1747</v>
      </c>
      <c r="ES16" s="9" t="s">
        <v>25</v>
      </c>
      <c r="ET16" s="9" t="s">
        <v>25</v>
      </c>
    </row>
    <row r="17" spans="1:163" ht="51" x14ac:dyDescent="0.2">
      <c r="A17" s="8" t="s">
        <v>134</v>
      </c>
      <c r="B17" s="9" t="s">
        <v>1695</v>
      </c>
      <c r="C17" s="9" t="s">
        <v>1696</v>
      </c>
      <c r="F17" s="9" t="s">
        <v>1695</v>
      </c>
      <c r="N17" s="9" t="s">
        <v>1695</v>
      </c>
      <c r="AS17" s="9" t="s">
        <v>25</v>
      </c>
      <c r="AW17" s="9" t="s">
        <v>1835</v>
      </c>
      <c r="AX17" s="9" t="s">
        <v>1699</v>
      </c>
      <c r="AY17" s="9" t="s">
        <v>1700</v>
      </c>
      <c r="AZ17" s="9" t="s">
        <v>1704</v>
      </c>
      <c r="BA17" s="9" t="s">
        <v>28</v>
      </c>
      <c r="BB17" s="9" t="s">
        <v>1702</v>
      </c>
      <c r="BC17" s="9" t="s">
        <v>1699</v>
      </c>
      <c r="BD17" s="9" t="s">
        <v>29</v>
      </c>
      <c r="BE17" s="9" t="s">
        <v>1836</v>
      </c>
      <c r="BF17" s="9" t="s">
        <v>1704</v>
      </c>
      <c r="BH17" s="9" t="s">
        <v>1837</v>
      </c>
      <c r="BI17" s="9" t="s">
        <v>1740</v>
      </c>
      <c r="BJ17" s="9" t="s">
        <v>1707</v>
      </c>
      <c r="BK17" s="9" t="s">
        <v>1837</v>
      </c>
      <c r="BL17" s="9" t="s">
        <v>1769</v>
      </c>
      <c r="BM17" s="9" t="s">
        <v>1742</v>
      </c>
      <c r="BN17" s="9" t="s">
        <v>1699</v>
      </c>
      <c r="BO17" s="9" t="s">
        <v>1700</v>
      </c>
      <c r="BP17" s="9" t="s">
        <v>1704</v>
      </c>
      <c r="BQ17" s="9" t="s">
        <v>25</v>
      </c>
      <c r="BW17" s="9" t="s">
        <v>1711</v>
      </c>
      <c r="BZ17" s="9" t="s">
        <v>1703</v>
      </c>
      <c r="CB17" s="9" t="s">
        <v>1701</v>
      </c>
      <c r="CC17" s="9" t="s">
        <v>28</v>
      </c>
      <c r="CD17" s="9" t="s">
        <v>1798</v>
      </c>
      <c r="CE17" s="9" t="s">
        <v>29</v>
      </c>
      <c r="CF17" s="9" t="s">
        <v>28</v>
      </c>
      <c r="CG17" s="9" t="s">
        <v>29</v>
      </c>
      <c r="CH17" s="9" t="s">
        <v>28</v>
      </c>
      <c r="CI17" s="9" t="s">
        <v>29</v>
      </c>
      <c r="CJ17" s="9" t="s">
        <v>1714</v>
      </c>
      <c r="CK17" s="10">
        <v>20</v>
      </c>
      <c r="CL17" s="10">
        <v>20</v>
      </c>
      <c r="CM17" s="10">
        <v>20</v>
      </c>
      <c r="CN17" s="10">
        <v>20</v>
      </c>
      <c r="CO17" s="10">
        <v>20</v>
      </c>
      <c r="CP17" s="10">
        <v>20</v>
      </c>
      <c r="CQ17" s="10">
        <v>20</v>
      </c>
      <c r="CR17" s="10">
        <v>20</v>
      </c>
      <c r="CS17" s="11">
        <v>1</v>
      </c>
      <c r="CT17" s="11">
        <v>1</v>
      </c>
      <c r="CU17" s="11">
        <v>0.6</v>
      </c>
      <c r="CV17" s="10" t="s">
        <v>1838</v>
      </c>
      <c r="CX17" s="10">
        <v>180</v>
      </c>
      <c r="CY17" s="10">
        <v>181</v>
      </c>
      <c r="CZ17" s="10" t="s">
        <v>25</v>
      </c>
      <c r="DA17" s="10" t="s">
        <v>25</v>
      </c>
      <c r="DB17" s="10" t="s">
        <v>28</v>
      </c>
      <c r="DC17" s="10" t="s">
        <v>28</v>
      </c>
      <c r="DD17" s="10" t="s">
        <v>25</v>
      </c>
      <c r="DG17" s="39">
        <v>15000</v>
      </c>
      <c r="DH17" s="39">
        <v>15000</v>
      </c>
      <c r="DJ17" s="9" t="s">
        <v>1715</v>
      </c>
      <c r="DK17" s="9" t="s">
        <v>1839</v>
      </c>
      <c r="DL17" s="9" t="s">
        <v>1770</v>
      </c>
      <c r="DM17" s="9" t="s">
        <v>28</v>
      </c>
      <c r="DN17" s="9" t="s">
        <v>28</v>
      </c>
      <c r="DO17" s="9" t="s">
        <v>25</v>
      </c>
      <c r="DP17" s="9" t="s">
        <v>28</v>
      </c>
      <c r="DQ17" s="9" t="s">
        <v>25</v>
      </c>
      <c r="DR17" s="9" t="s">
        <v>25</v>
      </c>
      <c r="DS17" s="9" t="s">
        <v>1840</v>
      </c>
      <c r="DU17" s="9" t="s">
        <v>1717</v>
      </c>
      <c r="DV17" s="9" t="s">
        <v>1746</v>
      </c>
      <c r="DW17" s="11">
        <v>0.6</v>
      </c>
      <c r="DX17" s="11">
        <v>0.8</v>
      </c>
      <c r="EC17" s="9" t="s">
        <v>1739</v>
      </c>
      <c r="ED17" s="9" t="s">
        <v>1755</v>
      </c>
      <c r="EE17" s="9" t="s">
        <v>1720</v>
      </c>
      <c r="EF17" s="9" t="s">
        <v>1721</v>
      </c>
      <c r="EG17" s="9" t="s">
        <v>1722</v>
      </c>
      <c r="EH17" s="9" t="s">
        <v>1723</v>
      </c>
      <c r="EI17" s="9" t="s">
        <v>1724</v>
      </c>
      <c r="EJ17" s="9" t="s">
        <v>1725</v>
      </c>
      <c r="EK17" s="9" t="s">
        <v>1726</v>
      </c>
      <c r="EL17" s="9" t="s">
        <v>1727</v>
      </c>
      <c r="EM17" s="9" t="s">
        <v>1728</v>
      </c>
      <c r="EN17" s="9" t="s">
        <v>693</v>
      </c>
      <c r="EO17" s="9" t="s">
        <v>693</v>
      </c>
      <c r="EP17" s="9" t="s">
        <v>1725</v>
      </c>
      <c r="EQ17" s="9" t="s">
        <v>29</v>
      </c>
      <c r="ER17" s="9" t="s">
        <v>1747</v>
      </c>
      <c r="ES17" s="9" t="s">
        <v>28</v>
      </c>
      <c r="ET17" s="9" t="s">
        <v>1729</v>
      </c>
      <c r="EU17" s="9" t="s">
        <v>13522</v>
      </c>
      <c r="EV17" s="9" t="s">
        <v>1841</v>
      </c>
      <c r="EW17" s="39">
        <v>6000</v>
      </c>
      <c r="EX17" s="39">
        <v>6000</v>
      </c>
      <c r="EY17" s="39">
        <v>6000</v>
      </c>
      <c r="FD17" s="9" t="s">
        <v>28</v>
      </c>
      <c r="FE17" s="9" t="s">
        <v>1801</v>
      </c>
      <c r="FF17" s="9" t="s">
        <v>1842</v>
      </c>
      <c r="FG17" s="9" t="s">
        <v>28</v>
      </c>
    </row>
    <row r="18" spans="1:163" ht="76.5" x14ac:dyDescent="0.2">
      <c r="A18" s="8" t="s">
        <v>171</v>
      </c>
      <c r="B18" s="9" t="s">
        <v>1695</v>
      </c>
      <c r="F18" s="9" t="s">
        <v>1914</v>
      </c>
      <c r="G18" s="9" t="s">
        <v>1922</v>
      </c>
      <c r="AS18" s="9" t="s">
        <v>25</v>
      </c>
      <c r="AW18" s="9" t="s">
        <v>1892</v>
      </c>
      <c r="AX18" s="9" t="s">
        <v>1699</v>
      </c>
      <c r="AY18" s="9" t="s">
        <v>1750</v>
      </c>
      <c r="AZ18" s="9" t="s">
        <v>1704</v>
      </c>
      <c r="BA18" s="9" t="s">
        <v>28</v>
      </c>
      <c r="BB18" s="9" t="s">
        <v>1702</v>
      </c>
      <c r="BC18" s="9" t="s">
        <v>1703</v>
      </c>
      <c r="BF18" s="9" t="s">
        <v>1738</v>
      </c>
      <c r="BH18" s="9" t="s">
        <v>1751</v>
      </c>
      <c r="BI18" s="9" t="s">
        <v>1706</v>
      </c>
      <c r="BJ18" s="9" t="s">
        <v>1707</v>
      </c>
      <c r="BK18" s="9" t="s">
        <v>1739</v>
      </c>
      <c r="BL18" s="9" t="s">
        <v>1923</v>
      </c>
      <c r="BM18" s="9" t="s">
        <v>1753</v>
      </c>
      <c r="BN18" s="9" t="s">
        <v>1703</v>
      </c>
      <c r="BP18" s="28">
        <v>50000</v>
      </c>
      <c r="BQ18" s="9" t="s">
        <v>28</v>
      </c>
      <c r="BR18" s="9" t="s">
        <v>1702</v>
      </c>
      <c r="BS18" s="9" t="s">
        <v>1703</v>
      </c>
      <c r="BU18" s="9" t="s">
        <v>1738</v>
      </c>
      <c r="BV18" s="9" t="s">
        <v>13901</v>
      </c>
      <c r="BW18" s="9" t="s">
        <v>1754</v>
      </c>
      <c r="BX18" s="9" t="s">
        <v>1887</v>
      </c>
      <c r="BY18" s="9" t="s">
        <v>1709</v>
      </c>
      <c r="BZ18" s="9" t="s">
        <v>1699</v>
      </c>
      <c r="CA18" s="9" t="s">
        <v>1750</v>
      </c>
      <c r="CB18" s="9" t="s">
        <v>1704</v>
      </c>
      <c r="CC18" s="9" t="s">
        <v>28</v>
      </c>
      <c r="CD18" s="9" t="s">
        <v>1924</v>
      </c>
      <c r="CE18" s="9" t="s">
        <v>1855</v>
      </c>
      <c r="CF18" s="9" t="s">
        <v>28</v>
      </c>
      <c r="CG18" s="9" t="s">
        <v>1925</v>
      </c>
      <c r="CH18" s="9" t="s">
        <v>28</v>
      </c>
      <c r="CI18" s="9" t="s">
        <v>1925</v>
      </c>
      <c r="CK18" s="10">
        <v>30</v>
      </c>
      <c r="CL18" s="10">
        <v>30</v>
      </c>
      <c r="CM18" s="10">
        <v>30</v>
      </c>
      <c r="CN18" s="10">
        <v>30</v>
      </c>
      <c r="CO18" s="10">
        <v>20</v>
      </c>
      <c r="CP18" s="10">
        <v>20</v>
      </c>
      <c r="CQ18" s="10">
        <v>20</v>
      </c>
      <c r="CR18" s="10">
        <v>20</v>
      </c>
      <c r="CS18" s="11">
        <v>1</v>
      </c>
      <c r="CT18" s="11">
        <v>0.75</v>
      </c>
      <c r="CU18" s="11">
        <v>0.6</v>
      </c>
      <c r="CW18" s="10">
        <v>7</v>
      </c>
      <c r="CX18" s="10">
        <v>180</v>
      </c>
      <c r="CY18" s="10">
        <v>180</v>
      </c>
      <c r="CZ18" s="10" t="s">
        <v>25</v>
      </c>
      <c r="DA18" s="10" t="s">
        <v>28</v>
      </c>
      <c r="DB18" s="10" t="s">
        <v>28</v>
      </c>
      <c r="DC18" s="10" t="s">
        <v>25</v>
      </c>
      <c r="DD18" s="10" t="s">
        <v>25</v>
      </c>
      <c r="DF18" s="39">
        <v>12000</v>
      </c>
      <c r="DG18" s="39">
        <v>15000</v>
      </c>
      <c r="DJ18" s="9" t="s">
        <v>1781</v>
      </c>
      <c r="DK18" s="9" t="s">
        <v>1715</v>
      </c>
      <c r="DM18" s="9" t="s">
        <v>28</v>
      </c>
      <c r="DN18" s="9" t="s">
        <v>25</v>
      </c>
      <c r="DO18" s="9" t="s">
        <v>28</v>
      </c>
      <c r="DP18" s="9" t="s">
        <v>28</v>
      </c>
      <c r="DQ18" s="9" t="s">
        <v>28</v>
      </c>
      <c r="DR18" s="9" t="s">
        <v>25</v>
      </c>
      <c r="DS18" s="9" t="s">
        <v>13517</v>
      </c>
      <c r="DT18" s="9" t="s">
        <v>1926</v>
      </c>
      <c r="DU18" s="9" t="s">
        <v>1717</v>
      </c>
      <c r="DV18" s="9" t="s">
        <v>1746</v>
      </c>
      <c r="DW18" s="11">
        <v>0.6</v>
      </c>
      <c r="EC18" s="9" t="s">
        <v>635</v>
      </c>
      <c r="ED18" s="9" t="s">
        <v>1719</v>
      </c>
      <c r="EE18" s="9" t="s">
        <v>1719</v>
      </c>
      <c r="EF18" s="9" t="s">
        <v>1719</v>
      </c>
      <c r="EG18" s="9" t="s">
        <v>1719</v>
      </c>
      <c r="EH18" s="9" t="s">
        <v>1723</v>
      </c>
      <c r="EI18" s="9" t="s">
        <v>1723</v>
      </c>
      <c r="EJ18" s="9" t="s">
        <v>1725</v>
      </c>
      <c r="EK18" s="9" t="s">
        <v>1725</v>
      </c>
      <c r="EL18" s="9" t="s">
        <v>1725</v>
      </c>
      <c r="EM18" s="9" t="s">
        <v>1727</v>
      </c>
      <c r="EN18" s="9" t="s">
        <v>1727</v>
      </c>
      <c r="EO18" s="9" t="s">
        <v>1728</v>
      </c>
      <c r="EP18" s="9" t="s">
        <v>1725</v>
      </c>
      <c r="EQ18" s="9" t="s">
        <v>29</v>
      </c>
      <c r="ER18" s="9" t="s">
        <v>1747</v>
      </c>
      <c r="ES18" s="9" t="s">
        <v>28</v>
      </c>
      <c r="ET18" s="9" t="s">
        <v>1729</v>
      </c>
      <c r="EU18" s="9" t="s">
        <v>13523</v>
      </c>
      <c r="EV18" s="9" t="s">
        <v>1730</v>
      </c>
      <c r="FD18" s="9" t="s">
        <v>28</v>
      </c>
      <c r="FE18" s="9" t="s">
        <v>1801</v>
      </c>
      <c r="FF18" s="9" t="s">
        <v>29</v>
      </c>
      <c r="FG18" s="9" t="s">
        <v>28</v>
      </c>
    </row>
    <row r="19" spans="1:163" ht="63.75" x14ac:dyDescent="0.2">
      <c r="A19" s="8" t="s">
        <v>123</v>
      </c>
      <c r="B19" s="9" t="s">
        <v>1695</v>
      </c>
      <c r="F19" s="9" t="s">
        <v>1697</v>
      </c>
      <c r="AS19" s="9" t="s">
        <v>25</v>
      </c>
      <c r="AW19" s="9" t="s">
        <v>1698</v>
      </c>
      <c r="AX19" s="9" t="s">
        <v>1699</v>
      </c>
      <c r="AY19" s="9" t="s">
        <v>1750</v>
      </c>
      <c r="AZ19" s="9" t="s">
        <v>1704</v>
      </c>
      <c r="BA19" s="9" t="s">
        <v>28</v>
      </c>
      <c r="BB19" s="9" t="s">
        <v>1702</v>
      </c>
      <c r="BC19" s="9" t="s">
        <v>1699</v>
      </c>
      <c r="BD19" s="9" t="s">
        <v>1785</v>
      </c>
      <c r="BE19" s="9" t="s">
        <v>1786</v>
      </c>
      <c r="BF19" s="9" t="s">
        <v>1704</v>
      </c>
      <c r="BH19" s="9" t="s">
        <v>1739</v>
      </c>
      <c r="BI19" s="9" t="s">
        <v>1706</v>
      </c>
      <c r="BJ19" s="9" t="s">
        <v>1707</v>
      </c>
      <c r="BK19" s="9" t="s">
        <v>1739</v>
      </c>
      <c r="BL19" s="9" t="s">
        <v>1708</v>
      </c>
      <c r="BM19" s="9" t="s">
        <v>1753</v>
      </c>
      <c r="BN19" s="9" t="s">
        <v>1699</v>
      </c>
      <c r="BO19" s="9" t="s">
        <v>1750</v>
      </c>
      <c r="BP19" s="9" t="s">
        <v>1704</v>
      </c>
      <c r="BQ19" s="9" t="s">
        <v>28</v>
      </c>
      <c r="BR19" s="9" t="s">
        <v>1702</v>
      </c>
      <c r="BS19" s="9" t="s">
        <v>1776</v>
      </c>
      <c r="BT19" s="9" t="s">
        <v>29</v>
      </c>
      <c r="BU19" s="9" t="s">
        <v>1704</v>
      </c>
      <c r="BV19" s="9" t="s">
        <v>13901</v>
      </c>
      <c r="BW19" s="9" t="s">
        <v>1754</v>
      </c>
      <c r="BX19" s="9" t="s">
        <v>1762</v>
      </c>
      <c r="BY19" s="9" t="s">
        <v>1709</v>
      </c>
      <c r="BZ19" s="9" t="s">
        <v>1699</v>
      </c>
      <c r="CA19" s="9" t="s">
        <v>1787</v>
      </c>
      <c r="CB19" s="9" t="s">
        <v>1704</v>
      </c>
      <c r="CC19" s="9" t="s">
        <v>25</v>
      </c>
      <c r="CE19" s="9" t="s">
        <v>631</v>
      </c>
      <c r="CF19" s="9" t="s">
        <v>28</v>
      </c>
      <c r="CH19" s="9" t="s">
        <v>28</v>
      </c>
      <c r="CJ19" s="9" t="s">
        <v>1714</v>
      </c>
      <c r="CK19" s="10">
        <v>20</v>
      </c>
      <c r="CL19" s="10">
        <v>20</v>
      </c>
      <c r="CM19" s="10">
        <v>20</v>
      </c>
      <c r="CN19" s="10">
        <v>20</v>
      </c>
      <c r="CO19" s="10">
        <v>20</v>
      </c>
      <c r="CP19" s="10">
        <v>20</v>
      </c>
      <c r="CQ19" s="10">
        <v>20</v>
      </c>
      <c r="CR19" s="10">
        <v>20</v>
      </c>
      <c r="CS19" s="11">
        <v>1</v>
      </c>
      <c r="CT19" s="11">
        <v>0.67</v>
      </c>
      <c r="CU19" s="11">
        <v>0.6</v>
      </c>
      <c r="CW19" s="10">
        <v>7</v>
      </c>
      <c r="CX19" s="10">
        <v>180</v>
      </c>
      <c r="CZ19" s="10" t="s">
        <v>25</v>
      </c>
      <c r="DA19" s="10" t="s">
        <v>25</v>
      </c>
      <c r="DB19" s="10" t="s">
        <v>28</v>
      </c>
      <c r="DC19" s="10" t="s">
        <v>25</v>
      </c>
      <c r="DD19" s="10" t="s">
        <v>25</v>
      </c>
      <c r="DG19" s="39">
        <v>20000</v>
      </c>
      <c r="DJ19" s="9" t="s">
        <v>1770</v>
      </c>
      <c r="DK19" s="9" t="s">
        <v>1715</v>
      </c>
      <c r="DM19" s="9" t="s">
        <v>28</v>
      </c>
      <c r="DN19" s="9" t="s">
        <v>25</v>
      </c>
      <c r="DO19" s="9" t="s">
        <v>28</v>
      </c>
      <c r="DP19" s="9" t="s">
        <v>28</v>
      </c>
      <c r="DQ19" s="9" t="s">
        <v>28</v>
      </c>
      <c r="DR19" s="9" t="s">
        <v>25</v>
      </c>
      <c r="DS19" s="9" t="s">
        <v>13516</v>
      </c>
      <c r="DU19" s="9" t="s">
        <v>1717</v>
      </c>
      <c r="DV19" s="9" t="s">
        <v>1746</v>
      </c>
      <c r="DW19" s="11">
        <v>0.6</v>
      </c>
      <c r="EC19" s="9" t="s">
        <v>635</v>
      </c>
      <c r="ED19" s="9" t="s">
        <v>1755</v>
      </c>
      <c r="EE19" s="9" t="s">
        <v>1755</v>
      </c>
      <c r="EF19" s="9" t="s">
        <v>1721</v>
      </c>
      <c r="EG19" s="9" t="s">
        <v>1722</v>
      </c>
      <c r="EH19" s="9" t="s">
        <v>1723</v>
      </c>
      <c r="EI19" s="9" t="s">
        <v>1724</v>
      </c>
      <c r="EJ19" s="9" t="s">
        <v>1725</v>
      </c>
      <c r="EK19" s="9" t="s">
        <v>1726</v>
      </c>
      <c r="EL19" s="9" t="s">
        <v>1727</v>
      </c>
      <c r="EM19" s="9" t="s">
        <v>1728</v>
      </c>
      <c r="EN19" s="9" t="s">
        <v>693</v>
      </c>
      <c r="EO19" s="9" t="s">
        <v>693</v>
      </c>
      <c r="EP19" s="9" t="s">
        <v>1725</v>
      </c>
      <c r="EQ19" s="9" t="s">
        <v>1725</v>
      </c>
      <c r="ER19" s="9" t="s">
        <v>1755</v>
      </c>
      <c r="ES19" s="9" t="s">
        <v>25</v>
      </c>
      <c r="ET19" s="9" t="s">
        <v>25</v>
      </c>
    </row>
    <row r="20" spans="1:163" ht="76.5" x14ac:dyDescent="0.2">
      <c r="A20" s="8" t="s">
        <v>125</v>
      </c>
      <c r="B20" s="9" t="s">
        <v>1695</v>
      </c>
      <c r="D20" s="9" t="s">
        <v>1695</v>
      </c>
      <c r="F20" s="9" t="s">
        <v>1695</v>
      </c>
      <c r="P20" s="9" t="s">
        <v>1735</v>
      </c>
      <c r="Q20" s="9" t="s">
        <v>1735</v>
      </c>
      <c r="R20" s="9" t="s">
        <v>1735</v>
      </c>
      <c r="S20" s="9" t="s">
        <v>1735</v>
      </c>
      <c r="U20" s="9" t="s">
        <v>1735</v>
      </c>
      <c r="V20" s="9" t="s">
        <v>1735</v>
      </c>
      <c r="AB20" s="9" t="s">
        <v>1735</v>
      </c>
      <c r="AS20" s="9" t="s">
        <v>25</v>
      </c>
      <c r="AW20" s="9" t="s">
        <v>1736</v>
      </c>
      <c r="AX20" s="9" t="s">
        <v>1699</v>
      </c>
      <c r="AY20" s="9" t="s">
        <v>1750</v>
      </c>
      <c r="AZ20" s="9" t="s">
        <v>1704</v>
      </c>
      <c r="BA20" s="9" t="s">
        <v>28</v>
      </c>
      <c r="BB20" s="9" t="s">
        <v>1702</v>
      </c>
      <c r="BC20" s="9" t="s">
        <v>1699</v>
      </c>
      <c r="BD20" s="9" t="s">
        <v>1795</v>
      </c>
      <c r="BE20" s="9" t="s">
        <v>1796</v>
      </c>
      <c r="BF20" s="9" t="s">
        <v>29</v>
      </c>
      <c r="BG20" s="9" t="s">
        <v>1797</v>
      </c>
      <c r="BH20" s="9" t="s">
        <v>1705</v>
      </c>
      <c r="BI20" s="9" t="s">
        <v>1740</v>
      </c>
      <c r="BJ20" s="9" t="s">
        <v>1707</v>
      </c>
      <c r="BK20" s="9" t="s">
        <v>1705</v>
      </c>
      <c r="BL20" s="9" t="s">
        <v>1708</v>
      </c>
      <c r="BM20" s="9" t="s">
        <v>1742</v>
      </c>
      <c r="BN20" s="9" t="s">
        <v>1699</v>
      </c>
      <c r="BO20" s="9" t="s">
        <v>1750</v>
      </c>
      <c r="BP20" s="9" t="s">
        <v>1704</v>
      </c>
      <c r="BQ20" s="9" t="s">
        <v>28</v>
      </c>
      <c r="BR20" s="9" t="s">
        <v>1702</v>
      </c>
      <c r="BS20" s="9" t="s">
        <v>1776</v>
      </c>
      <c r="BT20" s="9" t="s">
        <v>1750</v>
      </c>
      <c r="BU20" s="9" t="s">
        <v>1704</v>
      </c>
      <c r="BV20" s="9" t="s">
        <v>1705</v>
      </c>
      <c r="BW20" s="9" t="s">
        <v>1754</v>
      </c>
      <c r="BX20" s="9" t="s">
        <v>1708</v>
      </c>
      <c r="BY20" s="9" t="s">
        <v>1742</v>
      </c>
      <c r="BZ20" s="9" t="s">
        <v>1703</v>
      </c>
      <c r="CB20" s="9" t="s">
        <v>1701</v>
      </c>
      <c r="CC20" s="9" t="s">
        <v>28</v>
      </c>
      <c r="CD20" s="9" t="s">
        <v>1798</v>
      </c>
      <c r="CE20" s="9" t="s">
        <v>1779</v>
      </c>
      <c r="CF20" s="9" t="s">
        <v>25</v>
      </c>
      <c r="CH20" s="9" t="s">
        <v>25</v>
      </c>
      <c r="CJ20" s="9" t="s">
        <v>1714</v>
      </c>
      <c r="CK20" s="10">
        <v>30</v>
      </c>
      <c r="CL20" s="10">
        <v>30</v>
      </c>
      <c r="CM20" s="10">
        <v>30</v>
      </c>
      <c r="CN20" s="10">
        <v>30</v>
      </c>
      <c r="CO20" s="10">
        <v>20</v>
      </c>
      <c r="CP20" s="10">
        <v>20</v>
      </c>
      <c r="CQ20" s="10">
        <v>20</v>
      </c>
      <c r="CR20" s="10">
        <v>20</v>
      </c>
      <c r="CS20" s="11">
        <v>1</v>
      </c>
      <c r="CT20" s="11">
        <v>0.7</v>
      </c>
      <c r="CU20" s="11">
        <v>0.6</v>
      </c>
      <c r="CV20" s="10" t="s">
        <v>1799</v>
      </c>
      <c r="CW20" s="10">
        <v>7</v>
      </c>
      <c r="CX20" s="10">
        <v>90</v>
      </c>
      <c r="CY20" s="10">
        <v>90</v>
      </c>
      <c r="CZ20" s="10" t="s">
        <v>25</v>
      </c>
      <c r="DA20" s="10" t="s">
        <v>25</v>
      </c>
      <c r="DB20" s="10" t="s">
        <v>28</v>
      </c>
      <c r="DC20" s="10" t="s">
        <v>28</v>
      </c>
      <c r="DD20" s="10" t="s">
        <v>25</v>
      </c>
      <c r="DG20" s="39">
        <v>25000</v>
      </c>
      <c r="DH20" s="39">
        <v>25000</v>
      </c>
      <c r="DJ20" s="9" t="s">
        <v>1770</v>
      </c>
      <c r="DK20" s="9" t="s">
        <v>1715</v>
      </c>
      <c r="DL20" s="9" t="s">
        <v>1770</v>
      </c>
      <c r="DM20" s="9" t="s">
        <v>28</v>
      </c>
      <c r="DN20" s="9" t="s">
        <v>25</v>
      </c>
      <c r="DO20" s="9" t="s">
        <v>28</v>
      </c>
      <c r="DP20" s="9" t="s">
        <v>28</v>
      </c>
      <c r="DQ20" s="9" t="s">
        <v>28</v>
      </c>
      <c r="DR20" s="9" t="s">
        <v>25</v>
      </c>
      <c r="DS20" s="9" t="s">
        <v>1800</v>
      </c>
      <c r="DU20" s="9" t="s">
        <v>1717</v>
      </c>
      <c r="DV20" s="9" t="s">
        <v>1763</v>
      </c>
      <c r="DW20" s="11">
        <v>0.6</v>
      </c>
      <c r="EC20" s="9" t="s">
        <v>1739</v>
      </c>
      <c r="ED20" s="9" t="s">
        <v>1719</v>
      </c>
      <c r="EE20" s="9" t="s">
        <v>1720</v>
      </c>
      <c r="EF20" s="9" t="s">
        <v>1721</v>
      </c>
      <c r="EG20" s="9" t="s">
        <v>1722</v>
      </c>
      <c r="EH20" s="9" t="s">
        <v>1723</v>
      </c>
      <c r="EI20" s="9" t="s">
        <v>1724</v>
      </c>
      <c r="EJ20" s="9" t="s">
        <v>1725</v>
      </c>
      <c r="EK20" s="9" t="s">
        <v>1726</v>
      </c>
      <c r="EL20" s="9" t="s">
        <v>1727</v>
      </c>
      <c r="EM20" s="9" t="s">
        <v>1728</v>
      </c>
      <c r="EN20" s="9" t="s">
        <v>693</v>
      </c>
      <c r="EO20" s="9" t="s">
        <v>693</v>
      </c>
      <c r="EP20" s="9" t="s">
        <v>1725</v>
      </c>
      <c r="EQ20" s="9" t="s">
        <v>29</v>
      </c>
      <c r="ER20" s="9" t="s">
        <v>1747</v>
      </c>
      <c r="ES20" s="9" t="s">
        <v>25</v>
      </c>
      <c r="ET20" s="9" t="s">
        <v>1729</v>
      </c>
      <c r="EU20" s="9" t="s">
        <v>13520</v>
      </c>
      <c r="EV20" s="9" t="s">
        <v>13907</v>
      </c>
      <c r="EW20" s="39">
        <v>5000</v>
      </c>
      <c r="EX20" s="39">
        <v>2500</v>
      </c>
      <c r="EY20" s="39">
        <v>5000</v>
      </c>
      <c r="EZ20" s="39">
        <v>5000</v>
      </c>
      <c r="FA20" s="39">
        <v>5000</v>
      </c>
      <c r="FD20" s="9" t="s">
        <v>28</v>
      </c>
      <c r="FE20" s="9" t="s">
        <v>1801</v>
      </c>
      <c r="FF20" s="9" t="s">
        <v>1802</v>
      </c>
      <c r="FG20" s="9" t="s">
        <v>28</v>
      </c>
    </row>
    <row r="21" spans="1:163" ht="51" x14ac:dyDescent="0.2">
      <c r="A21" s="8" t="s">
        <v>169</v>
      </c>
      <c r="B21" s="9" t="s">
        <v>1695</v>
      </c>
      <c r="P21" s="9" t="s">
        <v>1735</v>
      </c>
      <c r="AS21" s="9" t="s">
        <v>28</v>
      </c>
      <c r="AT21" s="9" t="s">
        <v>1918</v>
      </c>
      <c r="AU21" s="9" t="s">
        <v>1874</v>
      </c>
      <c r="AW21" s="9" t="s">
        <v>1816</v>
      </c>
      <c r="AX21" s="9" t="s">
        <v>1699</v>
      </c>
      <c r="AY21" s="9" t="s">
        <v>1750</v>
      </c>
      <c r="AZ21" s="9" t="s">
        <v>1704</v>
      </c>
      <c r="BA21" s="9" t="s">
        <v>28</v>
      </c>
      <c r="BB21" s="9" t="s">
        <v>1702</v>
      </c>
      <c r="BC21" s="9" t="s">
        <v>1703</v>
      </c>
      <c r="BF21" s="9" t="s">
        <v>1704</v>
      </c>
      <c r="BH21" s="9" t="s">
        <v>1739</v>
      </c>
      <c r="BI21" s="9" t="s">
        <v>1706</v>
      </c>
      <c r="BJ21" s="9" t="s">
        <v>1707</v>
      </c>
      <c r="BK21" s="9" t="s">
        <v>1710</v>
      </c>
      <c r="BL21" s="9" t="s">
        <v>1762</v>
      </c>
      <c r="BM21" s="9" t="s">
        <v>1753</v>
      </c>
      <c r="BN21" s="9" t="s">
        <v>1699</v>
      </c>
      <c r="BO21" s="9" t="s">
        <v>1750</v>
      </c>
      <c r="BP21" s="9" t="s">
        <v>1704</v>
      </c>
      <c r="BQ21" s="9" t="s">
        <v>28</v>
      </c>
      <c r="BR21" s="9" t="s">
        <v>1702</v>
      </c>
      <c r="BS21" s="9" t="s">
        <v>1703</v>
      </c>
      <c r="BU21" s="9" t="s">
        <v>1704</v>
      </c>
      <c r="BV21" s="9" t="s">
        <v>1739</v>
      </c>
      <c r="BW21" s="9" t="s">
        <v>1754</v>
      </c>
      <c r="BX21" s="9" t="s">
        <v>1762</v>
      </c>
      <c r="BY21" s="9" t="s">
        <v>1753</v>
      </c>
      <c r="BZ21" s="9" t="s">
        <v>1699</v>
      </c>
      <c r="CA21" s="9" t="s">
        <v>1750</v>
      </c>
      <c r="CB21" s="9" t="s">
        <v>1738</v>
      </c>
      <c r="CC21" s="9" t="s">
        <v>28</v>
      </c>
      <c r="CD21" s="9" t="s">
        <v>1712</v>
      </c>
      <c r="CE21" s="9" t="s">
        <v>1713</v>
      </c>
      <c r="CF21" s="9" t="s">
        <v>28</v>
      </c>
      <c r="CH21" s="9" t="s">
        <v>28</v>
      </c>
      <c r="CJ21" s="9" t="s">
        <v>1714</v>
      </c>
      <c r="CK21" s="10">
        <v>40</v>
      </c>
      <c r="CL21" s="10">
        <v>40</v>
      </c>
      <c r="CM21" s="10">
        <v>40</v>
      </c>
      <c r="CN21" s="10">
        <v>40</v>
      </c>
      <c r="CO21" s="10">
        <v>20</v>
      </c>
      <c r="CP21" s="10">
        <v>20</v>
      </c>
      <c r="CQ21" s="10">
        <v>40</v>
      </c>
      <c r="CR21" s="10">
        <v>30</v>
      </c>
      <c r="CT21" s="11">
        <v>0.67</v>
      </c>
      <c r="CU21" s="11">
        <v>0.67</v>
      </c>
      <c r="CW21" s="10">
        <v>7</v>
      </c>
      <c r="CX21" s="10">
        <v>84</v>
      </c>
      <c r="CZ21" s="10" t="s">
        <v>25</v>
      </c>
      <c r="DA21" s="10" t="s">
        <v>28</v>
      </c>
      <c r="DB21" s="10" t="s">
        <v>28</v>
      </c>
      <c r="DC21" s="10" t="s">
        <v>25</v>
      </c>
      <c r="DD21" s="10" t="s">
        <v>25</v>
      </c>
      <c r="DF21" s="39">
        <v>20209</v>
      </c>
      <c r="DG21" s="39">
        <v>15000</v>
      </c>
      <c r="DJ21" s="9" t="s">
        <v>1715</v>
      </c>
      <c r="DK21" s="9" t="s">
        <v>1715</v>
      </c>
      <c r="DM21" s="9" t="s">
        <v>25</v>
      </c>
      <c r="DU21" s="9" t="s">
        <v>1717</v>
      </c>
      <c r="DV21" s="9" t="s">
        <v>1763</v>
      </c>
      <c r="DW21" s="11">
        <v>1</v>
      </c>
      <c r="EC21" s="9" t="s">
        <v>635</v>
      </c>
      <c r="ED21" s="9" t="s">
        <v>1755</v>
      </c>
      <c r="EE21" s="9" t="s">
        <v>1755</v>
      </c>
      <c r="EF21" s="9" t="s">
        <v>1755</v>
      </c>
      <c r="EG21" s="9" t="s">
        <v>1755</v>
      </c>
      <c r="EH21" s="9" t="s">
        <v>1755</v>
      </c>
      <c r="EI21" s="9" t="s">
        <v>1755</v>
      </c>
      <c r="EJ21" s="9" t="s">
        <v>1755</v>
      </c>
      <c r="EK21" s="9" t="s">
        <v>1755</v>
      </c>
      <c r="EL21" s="9" t="s">
        <v>1755</v>
      </c>
      <c r="EM21" s="9" t="s">
        <v>1755</v>
      </c>
      <c r="EN21" s="9" t="s">
        <v>1755</v>
      </c>
      <c r="EO21" s="9" t="s">
        <v>1755</v>
      </c>
      <c r="EQ21" s="9" t="s">
        <v>1725</v>
      </c>
      <c r="ES21" s="9" t="s">
        <v>25</v>
      </c>
      <c r="ET21" s="9" t="s">
        <v>1729</v>
      </c>
      <c r="EU21" s="9" t="s">
        <v>13524</v>
      </c>
      <c r="EV21" s="9" t="s">
        <v>1919</v>
      </c>
      <c r="EX21" s="39">
        <v>6000</v>
      </c>
      <c r="FB21" s="39">
        <v>6000</v>
      </c>
      <c r="FD21" s="9" t="s">
        <v>28</v>
      </c>
      <c r="FE21" s="9" t="s">
        <v>29</v>
      </c>
      <c r="FF21" s="9" t="s">
        <v>29</v>
      </c>
      <c r="FG21" s="9" t="s">
        <v>25</v>
      </c>
    </row>
    <row r="22" spans="1:163" ht="51" x14ac:dyDescent="0.2">
      <c r="A22" s="8" t="s">
        <v>159</v>
      </c>
      <c r="B22" s="9" t="s">
        <v>1695</v>
      </c>
      <c r="C22" s="9" t="s">
        <v>1695</v>
      </c>
      <c r="F22" s="9" t="s">
        <v>1695</v>
      </c>
      <c r="G22" s="9" t="s">
        <v>1695</v>
      </c>
      <c r="H22" s="9" t="s">
        <v>1695</v>
      </c>
      <c r="AS22" s="9" t="s">
        <v>25</v>
      </c>
      <c r="AW22" s="9" t="s">
        <v>1756</v>
      </c>
      <c r="AX22" s="9" t="s">
        <v>1699</v>
      </c>
      <c r="AY22" s="9" t="s">
        <v>1750</v>
      </c>
      <c r="AZ22" s="9" t="s">
        <v>1704</v>
      </c>
      <c r="BA22" s="9" t="s">
        <v>28</v>
      </c>
      <c r="BC22" s="9" t="s">
        <v>1703</v>
      </c>
      <c r="BF22" s="9" t="s">
        <v>1704</v>
      </c>
      <c r="BH22" s="9" t="s">
        <v>1705</v>
      </c>
      <c r="BI22" s="9" t="s">
        <v>1706</v>
      </c>
      <c r="BJ22" s="9" t="s">
        <v>1707</v>
      </c>
      <c r="BK22" s="9" t="s">
        <v>1868</v>
      </c>
      <c r="BL22" s="9" t="s">
        <v>1762</v>
      </c>
      <c r="BM22" s="9" t="s">
        <v>1753</v>
      </c>
      <c r="BN22" s="9" t="s">
        <v>1703</v>
      </c>
      <c r="BP22" s="9" t="s">
        <v>1704</v>
      </c>
      <c r="BQ22" s="9" t="s">
        <v>28</v>
      </c>
      <c r="BS22" s="9" t="s">
        <v>1703</v>
      </c>
      <c r="BU22" s="9" t="s">
        <v>1704</v>
      </c>
      <c r="BV22" s="9" t="s">
        <v>1705</v>
      </c>
      <c r="BW22" s="9" t="s">
        <v>1754</v>
      </c>
      <c r="BX22" s="9" t="s">
        <v>1762</v>
      </c>
      <c r="BY22" s="9" t="s">
        <v>1753</v>
      </c>
      <c r="BZ22" s="9" t="s">
        <v>1703</v>
      </c>
      <c r="CB22" s="9" t="s">
        <v>1701</v>
      </c>
      <c r="CC22" s="9" t="s">
        <v>28</v>
      </c>
      <c r="CD22" s="9" t="s">
        <v>1712</v>
      </c>
      <c r="CE22" s="9" t="s">
        <v>1855</v>
      </c>
      <c r="CF22" s="9" t="s">
        <v>28</v>
      </c>
      <c r="CG22" s="9" t="s">
        <v>1825</v>
      </c>
      <c r="CH22" s="9" t="s">
        <v>28</v>
      </c>
      <c r="CI22" s="9" t="s">
        <v>1825</v>
      </c>
      <c r="CJ22" s="9" t="s">
        <v>1714</v>
      </c>
      <c r="CK22" s="10">
        <v>24</v>
      </c>
      <c r="CL22" s="10">
        <v>24</v>
      </c>
      <c r="CM22" s="10">
        <v>24</v>
      </c>
      <c r="CN22" s="10">
        <v>30</v>
      </c>
      <c r="CO22" s="10">
        <v>24</v>
      </c>
      <c r="CP22" s="10">
        <v>24</v>
      </c>
      <c r="CQ22" s="10">
        <v>24</v>
      </c>
      <c r="CR22" s="10">
        <v>30</v>
      </c>
      <c r="CS22" s="11">
        <v>1</v>
      </c>
      <c r="CT22" s="11">
        <v>0.6</v>
      </c>
      <c r="CU22" s="11">
        <v>0.67</v>
      </c>
      <c r="CW22" s="10">
        <v>7</v>
      </c>
      <c r="CX22" s="10">
        <v>173</v>
      </c>
      <c r="CY22" s="10">
        <v>180</v>
      </c>
      <c r="CZ22" s="10" t="s">
        <v>25</v>
      </c>
      <c r="DA22" s="10" t="s">
        <v>28</v>
      </c>
      <c r="DB22" s="10" t="s">
        <v>28</v>
      </c>
      <c r="DC22" s="10" t="s">
        <v>25</v>
      </c>
      <c r="DD22" s="10" t="s">
        <v>25</v>
      </c>
      <c r="DF22" s="39">
        <v>8000</v>
      </c>
      <c r="DG22" s="39">
        <v>20000</v>
      </c>
      <c r="DJ22" s="9" t="s">
        <v>1715</v>
      </c>
      <c r="DK22" s="9" t="s">
        <v>1715</v>
      </c>
      <c r="DM22" s="9" t="s">
        <v>28</v>
      </c>
      <c r="DN22" s="9" t="s">
        <v>28</v>
      </c>
      <c r="DO22" s="9" t="s">
        <v>25</v>
      </c>
      <c r="DP22" s="9" t="s">
        <v>28</v>
      </c>
      <c r="DQ22" s="9" t="s">
        <v>28</v>
      </c>
      <c r="DR22" s="9" t="s">
        <v>25</v>
      </c>
      <c r="DS22" s="9" t="s">
        <v>1896</v>
      </c>
      <c r="DU22" s="9" t="s">
        <v>1717</v>
      </c>
      <c r="DV22" s="9" t="s">
        <v>1746</v>
      </c>
      <c r="DW22" s="11">
        <v>0.67</v>
      </c>
      <c r="EC22" s="9" t="s">
        <v>635</v>
      </c>
      <c r="ED22" s="9" t="s">
        <v>1719</v>
      </c>
      <c r="EE22" s="9" t="s">
        <v>1720</v>
      </c>
      <c r="EF22" s="9" t="s">
        <v>1721</v>
      </c>
      <c r="EG22" s="9" t="s">
        <v>1722</v>
      </c>
      <c r="EH22" s="9" t="s">
        <v>1723</v>
      </c>
      <c r="EI22" s="9" t="s">
        <v>1724</v>
      </c>
      <c r="EJ22" s="9" t="s">
        <v>1725</v>
      </c>
      <c r="EK22" s="9" t="s">
        <v>1726</v>
      </c>
      <c r="EL22" s="9" t="s">
        <v>1727</v>
      </c>
      <c r="EM22" s="9" t="s">
        <v>1728</v>
      </c>
      <c r="EN22" s="9" t="s">
        <v>693</v>
      </c>
      <c r="EO22" s="9" t="s">
        <v>693</v>
      </c>
      <c r="EP22" s="9" t="s">
        <v>1724</v>
      </c>
      <c r="EQ22" s="9" t="s">
        <v>1724</v>
      </c>
      <c r="ES22" s="9" t="s">
        <v>25</v>
      </c>
      <c r="ET22" s="9" t="s">
        <v>1729</v>
      </c>
      <c r="EU22" s="9" t="s">
        <v>13524</v>
      </c>
      <c r="EV22" s="9" t="s">
        <v>1730</v>
      </c>
      <c r="EW22" s="39">
        <v>6000</v>
      </c>
      <c r="EX22" s="39">
        <v>6000</v>
      </c>
      <c r="EY22" s="39">
        <v>6000</v>
      </c>
      <c r="EZ22" s="39">
        <v>6000</v>
      </c>
      <c r="FA22" s="39">
        <v>6000</v>
      </c>
      <c r="FB22" s="39">
        <v>6000</v>
      </c>
      <c r="FD22" s="9" t="s">
        <v>28</v>
      </c>
      <c r="FE22" s="9" t="s">
        <v>1801</v>
      </c>
      <c r="FF22" s="9" t="s">
        <v>1842</v>
      </c>
      <c r="FG22" s="9" t="s">
        <v>25</v>
      </c>
    </row>
    <row r="23" spans="1:163" ht="51" x14ac:dyDescent="0.2">
      <c r="A23" s="8" t="s">
        <v>166</v>
      </c>
      <c r="B23" s="9" t="s">
        <v>1697</v>
      </c>
      <c r="D23" s="9" t="s">
        <v>1811</v>
      </c>
      <c r="F23" s="9" t="s">
        <v>1914</v>
      </c>
      <c r="G23" s="9" t="s">
        <v>1811</v>
      </c>
      <c r="P23" s="9" t="s">
        <v>1735</v>
      </c>
      <c r="AS23" s="9" t="s">
        <v>25</v>
      </c>
      <c r="AW23" s="9" t="s">
        <v>1823</v>
      </c>
      <c r="AX23" s="9" t="s">
        <v>1699</v>
      </c>
      <c r="AY23" s="9" t="s">
        <v>1750</v>
      </c>
      <c r="AZ23" s="9" t="s">
        <v>1704</v>
      </c>
      <c r="BA23" s="9" t="s">
        <v>28</v>
      </c>
      <c r="BB23" s="9" t="s">
        <v>1702</v>
      </c>
      <c r="BC23" s="9" t="s">
        <v>1703</v>
      </c>
      <c r="BF23" s="9" t="s">
        <v>1738</v>
      </c>
      <c r="BH23" s="9" t="s">
        <v>1705</v>
      </c>
      <c r="BI23" s="9" t="s">
        <v>1706</v>
      </c>
      <c r="BJ23" s="9" t="s">
        <v>1707</v>
      </c>
      <c r="BK23" s="9" t="s">
        <v>1705</v>
      </c>
      <c r="BL23" s="9" t="s">
        <v>1762</v>
      </c>
      <c r="BM23" s="9" t="s">
        <v>1753</v>
      </c>
      <c r="BN23" s="9" t="s">
        <v>1699</v>
      </c>
      <c r="BO23" s="9" t="s">
        <v>1750</v>
      </c>
      <c r="BP23" s="9" t="s">
        <v>1704</v>
      </c>
      <c r="BQ23" s="9" t="s">
        <v>28</v>
      </c>
      <c r="BR23" s="9" t="s">
        <v>1702</v>
      </c>
      <c r="BS23" s="9" t="s">
        <v>1703</v>
      </c>
      <c r="BU23" s="9" t="s">
        <v>1738</v>
      </c>
      <c r="BV23" s="9" t="s">
        <v>1705</v>
      </c>
      <c r="BW23" s="9" t="s">
        <v>1754</v>
      </c>
      <c r="BX23" s="9" t="s">
        <v>1762</v>
      </c>
      <c r="BY23" s="9" t="s">
        <v>1753</v>
      </c>
      <c r="BZ23" s="9" t="s">
        <v>1703</v>
      </c>
      <c r="CB23" s="9" t="s">
        <v>1738</v>
      </c>
      <c r="CC23" s="9" t="s">
        <v>28</v>
      </c>
      <c r="CD23" s="9" t="s">
        <v>1712</v>
      </c>
      <c r="CE23" s="9" t="s">
        <v>1713</v>
      </c>
      <c r="CF23" s="9" t="s">
        <v>28</v>
      </c>
      <c r="CG23" s="9" t="s">
        <v>1862</v>
      </c>
      <c r="CH23" s="9" t="s">
        <v>28</v>
      </c>
      <c r="CI23" s="9" t="s">
        <v>1863</v>
      </c>
      <c r="CJ23" s="9" t="s">
        <v>1714</v>
      </c>
      <c r="CK23" s="10">
        <v>20</v>
      </c>
      <c r="CL23" s="10">
        <v>20</v>
      </c>
      <c r="CM23" s="10">
        <v>20</v>
      </c>
      <c r="CN23" s="10">
        <v>20</v>
      </c>
      <c r="CO23" s="10">
        <v>20</v>
      </c>
      <c r="CP23" s="10">
        <v>20</v>
      </c>
      <c r="CQ23" s="10">
        <v>20</v>
      </c>
      <c r="CR23" s="10">
        <v>20</v>
      </c>
      <c r="CS23" s="11">
        <v>1</v>
      </c>
      <c r="CT23" s="11">
        <v>0.7</v>
      </c>
      <c r="CU23" s="11">
        <v>0.6</v>
      </c>
      <c r="CW23" s="10">
        <v>7</v>
      </c>
      <c r="CX23" s="10">
        <v>180</v>
      </c>
      <c r="CY23" s="10">
        <v>181</v>
      </c>
      <c r="CZ23" s="10" t="s">
        <v>25</v>
      </c>
      <c r="DA23" s="10" t="s">
        <v>28</v>
      </c>
      <c r="DB23" s="10" t="s">
        <v>28</v>
      </c>
      <c r="DC23" s="10" t="s">
        <v>25</v>
      </c>
      <c r="DD23" s="10" t="s">
        <v>25</v>
      </c>
      <c r="DF23" s="39">
        <v>10400</v>
      </c>
      <c r="DG23" s="39">
        <v>20000</v>
      </c>
      <c r="DJ23" s="9" t="s">
        <v>1715</v>
      </c>
      <c r="DK23" s="9" t="s">
        <v>1715</v>
      </c>
      <c r="DM23" s="9" t="s">
        <v>28</v>
      </c>
      <c r="DN23" s="9" t="s">
        <v>28</v>
      </c>
      <c r="DO23" s="9" t="s">
        <v>25</v>
      </c>
      <c r="DP23" s="9" t="s">
        <v>28</v>
      </c>
      <c r="DQ23" s="9" t="s">
        <v>28</v>
      </c>
      <c r="DR23" s="9" t="s">
        <v>25</v>
      </c>
      <c r="DS23" s="9" t="s">
        <v>1864</v>
      </c>
      <c r="DU23" s="9" t="s">
        <v>1717</v>
      </c>
      <c r="DV23" s="9" t="s">
        <v>1746</v>
      </c>
      <c r="DW23" s="11">
        <v>0.6</v>
      </c>
      <c r="EC23" s="9" t="s">
        <v>635</v>
      </c>
      <c r="ED23" s="9" t="s">
        <v>1755</v>
      </c>
      <c r="EE23" s="9" t="s">
        <v>1755</v>
      </c>
      <c r="EF23" s="9" t="s">
        <v>1755</v>
      </c>
      <c r="EG23" s="9" t="s">
        <v>1755</v>
      </c>
      <c r="EH23" s="9" t="s">
        <v>1755</v>
      </c>
      <c r="EI23" s="9" t="s">
        <v>1755</v>
      </c>
      <c r="EJ23" s="9" t="s">
        <v>1725</v>
      </c>
      <c r="EK23" s="9" t="s">
        <v>1726</v>
      </c>
      <c r="EL23" s="9" t="s">
        <v>1727</v>
      </c>
      <c r="EM23" s="9" t="s">
        <v>1728</v>
      </c>
      <c r="EN23" s="9" t="s">
        <v>693</v>
      </c>
      <c r="EO23" s="9" t="s">
        <v>693</v>
      </c>
      <c r="EP23" s="9" t="s">
        <v>1755</v>
      </c>
      <c r="EQ23" s="9" t="s">
        <v>1725</v>
      </c>
      <c r="ER23" s="9" t="s">
        <v>1747</v>
      </c>
      <c r="ES23" s="9" t="s">
        <v>25</v>
      </c>
      <c r="ET23" s="9" t="s">
        <v>25</v>
      </c>
    </row>
    <row r="24" spans="1:163" ht="51" x14ac:dyDescent="0.2">
      <c r="A24" s="8" t="s">
        <v>157</v>
      </c>
      <c r="B24" s="9" t="s">
        <v>1695</v>
      </c>
      <c r="D24" s="9" t="s">
        <v>1695</v>
      </c>
      <c r="F24" s="9" t="s">
        <v>1697</v>
      </c>
      <c r="H24" s="9" t="s">
        <v>1697</v>
      </c>
      <c r="P24" s="9" t="s">
        <v>1748</v>
      </c>
      <c r="R24" s="9" t="s">
        <v>1748</v>
      </c>
      <c r="T24" s="9" t="s">
        <v>1748</v>
      </c>
      <c r="V24" s="9" t="s">
        <v>1748</v>
      </c>
      <c r="AS24" s="9" t="s">
        <v>25</v>
      </c>
      <c r="AW24" s="9" t="s">
        <v>1756</v>
      </c>
      <c r="AX24" s="9" t="s">
        <v>1699</v>
      </c>
      <c r="AY24" s="9" t="s">
        <v>1750</v>
      </c>
      <c r="AZ24" s="9" t="s">
        <v>1704</v>
      </c>
      <c r="BA24" s="9" t="s">
        <v>28</v>
      </c>
      <c r="BB24" s="9" t="s">
        <v>1702</v>
      </c>
      <c r="BC24" s="9" t="s">
        <v>1703</v>
      </c>
      <c r="BF24" s="9" t="s">
        <v>29</v>
      </c>
      <c r="BG24" s="9" t="s">
        <v>1900</v>
      </c>
      <c r="BH24" s="9" t="s">
        <v>1767</v>
      </c>
      <c r="BI24" s="9" t="s">
        <v>1740</v>
      </c>
      <c r="BJ24" s="9" t="s">
        <v>1707</v>
      </c>
      <c r="BK24" s="9" t="s">
        <v>1705</v>
      </c>
      <c r="BL24" s="9" t="s">
        <v>1762</v>
      </c>
      <c r="BM24" s="9" t="s">
        <v>1742</v>
      </c>
      <c r="BN24" s="9" t="s">
        <v>1699</v>
      </c>
      <c r="BO24" s="9" t="s">
        <v>1750</v>
      </c>
      <c r="BP24" s="9" t="s">
        <v>1704</v>
      </c>
      <c r="BQ24" s="9" t="s">
        <v>28</v>
      </c>
      <c r="BR24" s="9" t="s">
        <v>1702</v>
      </c>
      <c r="BS24" s="9" t="s">
        <v>1703</v>
      </c>
      <c r="BU24" s="9" t="s">
        <v>1738</v>
      </c>
      <c r="BV24" s="9" t="s">
        <v>1901</v>
      </c>
      <c r="BW24" s="9" t="s">
        <v>1754</v>
      </c>
      <c r="BX24" s="9" t="s">
        <v>1762</v>
      </c>
      <c r="BY24" s="9" t="s">
        <v>1753</v>
      </c>
      <c r="BZ24" s="9" t="s">
        <v>1820</v>
      </c>
      <c r="CA24" s="9" t="s">
        <v>1750</v>
      </c>
      <c r="CB24" s="9" t="s">
        <v>1704</v>
      </c>
      <c r="CC24" s="9" t="s">
        <v>28</v>
      </c>
      <c r="CD24" s="9" t="s">
        <v>1778</v>
      </c>
      <c r="CE24" s="9" t="s">
        <v>1779</v>
      </c>
      <c r="CF24" s="9" t="s">
        <v>28</v>
      </c>
      <c r="CG24" s="9" t="s">
        <v>1825</v>
      </c>
      <c r="CH24" s="9" t="s">
        <v>28</v>
      </c>
      <c r="CI24" s="9" t="s">
        <v>1825</v>
      </c>
      <c r="CK24" s="10">
        <v>30</v>
      </c>
      <c r="CL24" s="10">
        <v>30</v>
      </c>
      <c r="CM24" s="10">
        <v>30</v>
      </c>
      <c r="CN24" s="10">
        <v>30</v>
      </c>
      <c r="CS24" s="11">
        <v>1</v>
      </c>
      <c r="CT24" s="11">
        <v>0.67</v>
      </c>
      <c r="CU24" s="11">
        <v>0.67</v>
      </c>
      <c r="CV24" s="10" t="s">
        <v>1902</v>
      </c>
      <c r="CW24" s="10">
        <v>7</v>
      </c>
      <c r="CX24" s="10">
        <v>180</v>
      </c>
      <c r="CZ24" s="10" t="s">
        <v>25</v>
      </c>
      <c r="DA24" s="10" t="s">
        <v>28</v>
      </c>
      <c r="DB24" s="10" t="s">
        <v>28</v>
      </c>
      <c r="DC24" s="10" t="s">
        <v>25</v>
      </c>
      <c r="DD24" s="10" t="s">
        <v>25</v>
      </c>
      <c r="DF24" s="39">
        <v>2770</v>
      </c>
      <c r="DG24" s="39">
        <v>12000</v>
      </c>
      <c r="DJ24" s="9" t="s">
        <v>1715</v>
      </c>
      <c r="DK24" s="9" t="s">
        <v>1715</v>
      </c>
      <c r="DM24" s="9" t="s">
        <v>28</v>
      </c>
      <c r="DN24" s="9" t="s">
        <v>25</v>
      </c>
      <c r="DO24" s="9" t="s">
        <v>28</v>
      </c>
      <c r="DP24" s="9" t="s">
        <v>28</v>
      </c>
      <c r="DQ24" s="9" t="s">
        <v>28</v>
      </c>
      <c r="DR24" s="9" t="s">
        <v>25</v>
      </c>
      <c r="DS24" s="9" t="s">
        <v>1903</v>
      </c>
      <c r="DU24" s="9" t="s">
        <v>1717</v>
      </c>
      <c r="DV24" s="9" t="s">
        <v>1746</v>
      </c>
      <c r="DW24" s="11">
        <v>0.67</v>
      </c>
      <c r="EC24" s="9" t="s">
        <v>635</v>
      </c>
      <c r="ED24" s="9" t="s">
        <v>1755</v>
      </c>
      <c r="EE24" s="9" t="s">
        <v>1755</v>
      </c>
      <c r="EF24" s="9" t="s">
        <v>1755</v>
      </c>
      <c r="EG24" s="9" t="s">
        <v>29</v>
      </c>
      <c r="EH24" s="9" t="s">
        <v>29</v>
      </c>
      <c r="EI24" s="9" t="s">
        <v>29</v>
      </c>
      <c r="EJ24" s="9" t="s">
        <v>1725</v>
      </c>
      <c r="EK24" s="9" t="s">
        <v>1726</v>
      </c>
      <c r="EL24" s="9" t="s">
        <v>1727</v>
      </c>
      <c r="EM24" s="9" t="s">
        <v>1728</v>
      </c>
      <c r="EN24" s="9" t="s">
        <v>693</v>
      </c>
      <c r="EO24" s="9" t="s">
        <v>693</v>
      </c>
      <c r="EP24" s="9" t="s">
        <v>1725</v>
      </c>
      <c r="ER24" s="9" t="s">
        <v>1747</v>
      </c>
      <c r="ES24" s="9" t="s">
        <v>25</v>
      </c>
      <c r="ET24" s="9" t="s">
        <v>25</v>
      </c>
    </row>
    <row r="25" spans="1:163" ht="51" x14ac:dyDescent="0.2">
      <c r="A25" s="8" t="s">
        <v>144</v>
      </c>
      <c r="B25" s="9" t="s">
        <v>1695</v>
      </c>
      <c r="F25" s="9" t="s">
        <v>1695</v>
      </c>
      <c r="O25" s="9" t="s">
        <v>1695</v>
      </c>
      <c r="P25" s="9" t="s">
        <v>1881</v>
      </c>
      <c r="AD25" s="9" t="s">
        <v>1882</v>
      </c>
      <c r="AS25" s="9" t="s">
        <v>25</v>
      </c>
      <c r="AW25" s="9" t="s">
        <v>1867</v>
      </c>
      <c r="AX25" s="9" t="s">
        <v>1699</v>
      </c>
      <c r="AY25" s="9" t="s">
        <v>1750</v>
      </c>
      <c r="AZ25" s="9" t="s">
        <v>1704</v>
      </c>
      <c r="BA25" s="9" t="s">
        <v>28</v>
      </c>
      <c r="BB25" s="9" t="s">
        <v>1702</v>
      </c>
      <c r="BC25" s="9" t="s">
        <v>1699</v>
      </c>
      <c r="BD25" s="9" t="s">
        <v>1785</v>
      </c>
      <c r="BE25" s="9" t="s">
        <v>1828</v>
      </c>
      <c r="BF25" s="9" t="s">
        <v>1704</v>
      </c>
      <c r="BH25" s="9" t="s">
        <v>1739</v>
      </c>
      <c r="BI25" s="9" t="s">
        <v>1706</v>
      </c>
      <c r="BJ25" s="9" t="s">
        <v>1707</v>
      </c>
      <c r="BK25" s="9" t="s">
        <v>1739</v>
      </c>
      <c r="BL25" s="9" t="s">
        <v>1741</v>
      </c>
      <c r="BM25" s="9" t="s">
        <v>1742</v>
      </c>
      <c r="BN25" s="9" t="s">
        <v>1699</v>
      </c>
      <c r="BO25" s="9" t="s">
        <v>1750</v>
      </c>
      <c r="BP25" s="9" t="s">
        <v>1704</v>
      </c>
      <c r="BQ25" s="9" t="s">
        <v>25</v>
      </c>
      <c r="BW25" s="9" t="s">
        <v>1711</v>
      </c>
      <c r="BZ25" s="9" t="s">
        <v>1699</v>
      </c>
      <c r="CA25" s="9" t="s">
        <v>1758</v>
      </c>
      <c r="CB25" s="9" t="s">
        <v>1803</v>
      </c>
      <c r="CC25" s="9" t="s">
        <v>28</v>
      </c>
      <c r="CD25" s="9" t="s">
        <v>1778</v>
      </c>
      <c r="CE25" s="9" t="s">
        <v>1779</v>
      </c>
      <c r="CF25" s="9" t="s">
        <v>28</v>
      </c>
      <c r="CG25" s="9" t="s">
        <v>1825</v>
      </c>
      <c r="CH25" s="9" t="s">
        <v>28</v>
      </c>
      <c r="CI25" s="9" t="s">
        <v>1825</v>
      </c>
      <c r="CJ25" s="9" t="s">
        <v>1714</v>
      </c>
      <c r="CK25" s="10">
        <v>20</v>
      </c>
      <c r="CL25" s="10">
        <v>20</v>
      </c>
      <c r="CM25" s="10">
        <v>20</v>
      </c>
      <c r="CN25" s="10">
        <v>20</v>
      </c>
      <c r="CO25" s="10">
        <v>20</v>
      </c>
      <c r="CP25" s="10">
        <v>20</v>
      </c>
      <c r="CQ25" s="10">
        <v>20</v>
      </c>
      <c r="CR25" s="10">
        <v>20</v>
      </c>
      <c r="CS25" s="11">
        <v>1</v>
      </c>
      <c r="CT25" s="11">
        <v>0.6</v>
      </c>
      <c r="CU25" s="11">
        <v>0.6</v>
      </c>
      <c r="CV25" s="10" t="s">
        <v>1883</v>
      </c>
      <c r="CX25" s="10">
        <v>182</v>
      </c>
      <c r="CZ25" s="10" t="s">
        <v>25</v>
      </c>
      <c r="DA25" s="10" t="s">
        <v>25</v>
      </c>
      <c r="DB25" s="10" t="s">
        <v>28</v>
      </c>
      <c r="DC25" s="10" t="s">
        <v>25</v>
      </c>
      <c r="DD25" s="10" t="s">
        <v>25</v>
      </c>
      <c r="DG25" s="39">
        <v>30000</v>
      </c>
      <c r="DJ25" s="9" t="s">
        <v>1715</v>
      </c>
      <c r="DK25" s="9" t="s">
        <v>1715</v>
      </c>
      <c r="DM25" s="9" t="s">
        <v>25</v>
      </c>
      <c r="DU25" s="9" t="s">
        <v>1717</v>
      </c>
      <c r="DV25" s="9" t="s">
        <v>1746</v>
      </c>
      <c r="DW25" s="11">
        <v>0.6</v>
      </c>
      <c r="EC25" s="9" t="s">
        <v>1739</v>
      </c>
      <c r="ED25" s="9" t="s">
        <v>1719</v>
      </c>
      <c r="EE25" s="9" t="s">
        <v>1720</v>
      </c>
      <c r="EF25" s="9" t="s">
        <v>1720</v>
      </c>
      <c r="EG25" s="9" t="s">
        <v>1720</v>
      </c>
      <c r="EH25" s="9" t="s">
        <v>1720</v>
      </c>
      <c r="EI25" s="9" t="s">
        <v>1720</v>
      </c>
      <c r="EJ25" s="9" t="s">
        <v>1720</v>
      </c>
      <c r="EK25" s="9" t="s">
        <v>1720</v>
      </c>
      <c r="EL25" s="9" t="s">
        <v>1720</v>
      </c>
      <c r="EM25" s="9" t="s">
        <v>1720</v>
      </c>
      <c r="EN25" s="9" t="s">
        <v>1720</v>
      </c>
      <c r="EO25" s="9" t="s">
        <v>1720</v>
      </c>
      <c r="EP25" s="9" t="s">
        <v>1719</v>
      </c>
      <c r="EQ25" s="9" t="s">
        <v>693</v>
      </c>
      <c r="ER25" s="9" t="s">
        <v>29</v>
      </c>
      <c r="ES25" s="9" t="s">
        <v>25</v>
      </c>
      <c r="ET25" s="9" t="s">
        <v>25</v>
      </c>
    </row>
    <row r="26" spans="1:163" ht="76.5" x14ac:dyDescent="0.2">
      <c r="A26" s="8" t="s">
        <v>140</v>
      </c>
      <c r="B26" s="9" t="s">
        <v>1695</v>
      </c>
      <c r="F26" s="9" t="s">
        <v>1695</v>
      </c>
      <c r="G26" s="9" t="s">
        <v>1695</v>
      </c>
      <c r="P26" s="9" t="s">
        <v>1735</v>
      </c>
      <c r="T26" s="9" t="s">
        <v>1735</v>
      </c>
      <c r="U26" s="9" t="s">
        <v>1735</v>
      </c>
      <c r="AB26" s="9" t="s">
        <v>1735</v>
      </c>
      <c r="AS26" s="9" t="s">
        <v>25</v>
      </c>
      <c r="AW26" s="9" t="s">
        <v>1867</v>
      </c>
      <c r="AX26" s="9" t="s">
        <v>1699</v>
      </c>
      <c r="AY26" s="9" t="s">
        <v>1750</v>
      </c>
      <c r="AZ26" s="9" t="s">
        <v>1704</v>
      </c>
      <c r="BA26" s="9" t="s">
        <v>28</v>
      </c>
      <c r="BB26" s="9" t="s">
        <v>1702</v>
      </c>
      <c r="BC26" s="9" t="s">
        <v>1699</v>
      </c>
      <c r="BD26" s="9" t="s">
        <v>1785</v>
      </c>
      <c r="BE26" s="9" t="s">
        <v>1828</v>
      </c>
      <c r="BF26" s="9" t="s">
        <v>1704</v>
      </c>
      <c r="BH26" s="9" t="s">
        <v>1868</v>
      </c>
      <c r="BI26" s="9" t="s">
        <v>41</v>
      </c>
      <c r="BJ26" s="9" t="s">
        <v>1707</v>
      </c>
      <c r="BK26" s="9" t="s">
        <v>1705</v>
      </c>
      <c r="BL26" s="9" t="s">
        <v>1708</v>
      </c>
      <c r="BM26" s="9" t="s">
        <v>1742</v>
      </c>
      <c r="BN26" s="9" t="s">
        <v>1699</v>
      </c>
      <c r="BO26" s="9" t="s">
        <v>1750</v>
      </c>
      <c r="BP26" s="9" t="s">
        <v>1704</v>
      </c>
      <c r="BQ26" s="9" t="s">
        <v>25</v>
      </c>
      <c r="BW26" s="9" t="s">
        <v>1711</v>
      </c>
      <c r="BZ26" s="9" t="s">
        <v>1699</v>
      </c>
      <c r="CA26" s="9" t="s">
        <v>1787</v>
      </c>
      <c r="CB26" s="9" t="s">
        <v>1704</v>
      </c>
      <c r="CC26" s="9" t="s">
        <v>25</v>
      </c>
      <c r="CE26" s="9" t="s">
        <v>1713</v>
      </c>
      <c r="CF26" s="9" t="s">
        <v>25</v>
      </c>
      <c r="CH26" s="9" t="s">
        <v>25</v>
      </c>
      <c r="CJ26" s="9" t="s">
        <v>1714</v>
      </c>
      <c r="CK26" s="10">
        <v>1</v>
      </c>
      <c r="CL26" s="10">
        <v>1</v>
      </c>
      <c r="CM26" s="10">
        <v>1</v>
      </c>
      <c r="CN26" s="10">
        <v>1</v>
      </c>
      <c r="CO26" s="10">
        <v>1</v>
      </c>
      <c r="CP26" s="10">
        <v>1</v>
      </c>
      <c r="CQ26" s="10">
        <v>1</v>
      </c>
      <c r="CR26" s="10">
        <v>1</v>
      </c>
      <c r="CS26" s="11">
        <v>0.7</v>
      </c>
      <c r="CT26" s="11">
        <v>0.7</v>
      </c>
      <c r="CU26" s="11">
        <v>0.67</v>
      </c>
      <c r="CW26" s="10">
        <v>7</v>
      </c>
      <c r="CX26" s="10">
        <v>365</v>
      </c>
      <c r="CY26" s="10">
        <v>365</v>
      </c>
      <c r="CZ26" s="10" t="s">
        <v>25</v>
      </c>
      <c r="DA26" s="10" t="s">
        <v>25</v>
      </c>
      <c r="DB26" s="10" t="s">
        <v>28</v>
      </c>
      <c r="DC26" s="10" t="s">
        <v>28</v>
      </c>
      <c r="DD26" s="10" t="s">
        <v>28</v>
      </c>
      <c r="DG26" s="39">
        <v>25000</v>
      </c>
      <c r="DH26" s="39">
        <v>25000</v>
      </c>
      <c r="DI26" s="39">
        <v>25000</v>
      </c>
      <c r="DJ26" s="9" t="s">
        <v>1715</v>
      </c>
      <c r="DK26" s="9" t="s">
        <v>1715</v>
      </c>
      <c r="DL26" s="9" t="s">
        <v>1715</v>
      </c>
      <c r="DM26" s="9" t="s">
        <v>28</v>
      </c>
      <c r="DN26" s="9" t="s">
        <v>25</v>
      </c>
      <c r="DO26" s="9" t="s">
        <v>28</v>
      </c>
      <c r="DP26" s="9" t="s">
        <v>28</v>
      </c>
      <c r="DQ26" s="9" t="s">
        <v>28</v>
      </c>
      <c r="DR26" s="9" t="s">
        <v>25</v>
      </c>
      <c r="DS26" s="9" t="s">
        <v>13517</v>
      </c>
      <c r="DT26" s="9" t="s">
        <v>1869</v>
      </c>
      <c r="DU26" s="9" t="s">
        <v>1717</v>
      </c>
      <c r="DV26" s="9" t="s">
        <v>1746</v>
      </c>
      <c r="DW26" s="11">
        <v>0.67</v>
      </c>
      <c r="EC26" s="9" t="s">
        <v>635</v>
      </c>
      <c r="ED26" s="9" t="s">
        <v>1755</v>
      </c>
      <c r="EE26" s="9" t="s">
        <v>1720</v>
      </c>
      <c r="EF26" s="9" t="s">
        <v>1721</v>
      </c>
      <c r="EG26" s="9" t="s">
        <v>1722</v>
      </c>
      <c r="EH26" s="9" t="s">
        <v>1723</v>
      </c>
      <c r="EI26" s="9" t="s">
        <v>1724</v>
      </c>
      <c r="EJ26" s="9" t="s">
        <v>1725</v>
      </c>
      <c r="EK26" s="9" t="s">
        <v>1726</v>
      </c>
      <c r="EL26" s="9" t="s">
        <v>1727</v>
      </c>
      <c r="EM26" s="9" t="s">
        <v>1728</v>
      </c>
      <c r="EN26" s="9" t="s">
        <v>693</v>
      </c>
      <c r="EO26" s="9" t="s">
        <v>693</v>
      </c>
      <c r="EP26" s="9" t="s">
        <v>1725</v>
      </c>
      <c r="EQ26" s="9" t="s">
        <v>1725</v>
      </c>
      <c r="ER26" s="9" t="s">
        <v>693</v>
      </c>
      <c r="ES26" s="9" t="s">
        <v>25</v>
      </c>
      <c r="ET26" s="9" t="s">
        <v>25</v>
      </c>
    </row>
    <row r="27" spans="1:163" ht="51" x14ac:dyDescent="0.2">
      <c r="A27" s="8" t="s">
        <v>127</v>
      </c>
      <c r="B27" s="9" t="s">
        <v>1695</v>
      </c>
      <c r="D27" s="9" t="s">
        <v>1733</v>
      </c>
      <c r="F27" s="9" t="s">
        <v>1772</v>
      </c>
      <c r="G27" s="9" t="s">
        <v>1808</v>
      </c>
      <c r="AS27" s="9" t="s">
        <v>25</v>
      </c>
      <c r="AW27" s="9" t="s">
        <v>1809</v>
      </c>
      <c r="AX27" s="9" t="s">
        <v>1699</v>
      </c>
      <c r="AY27" s="9" t="s">
        <v>1750</v>
      </c>
      <c r="AZ27" s="9" t="s">
        <v>1704</v>
      </c>
      <c r="BA27" s="9" t="s">
        <v>28</v>
      </c>
      <c r="BB27" s="9" t="s">
        <v>1702</v>
      </c>
      <c r="BC27" s="9" t="s">
        <v>1699</v>
      </c>
      <c r="BD27" s="9" t="s">
        <v>29</v>
      </c>
      <c r="BE27" s="9" t="s">
        <v>1796</v>
      </c>
      <c r="BF27" s="9" t="s">
        <v>1704</v>
      </c>
      <c r="BH27" s="9" t="s">
        <v>1705</v>
      </c>
      <c r="BI27" s="9" t="s">
        <v>1706</v>
      </c>
      <c r="BJ27" s="9" t="s">
        <v>1707</v>
      </c>
      <c r="BK27" s="9" t="s">
        <v>1705</v>
      </c>
      <c r="BL27" s="9" t="s">
        <v>1762</v>
      </c>
      <c r="BM27" s="9" t="s">
        <v>1709</v>
      </c>
      <c r="BN27" s="9" t="s">
        <v>1699</v>
      </c>
      <c r="BO27" s="9" t="s">
        <v>1750</v>
      </c>
      <c r="BP27" s="9" t="s">
        <v>1704</v>
      </c>
      <c r="BQ27" s="9" t="s">
        <v>28</v>
      </c>
      <c r="BR27" s="9" t="s">
        <v>1702</v>
      </c>
      <c r="BS27" s="9" t="s">
        <v>1776</v>
      </c>
      <c r="BT27" s="9" t="s">
        <v>1700</v>
      </c>
      <c r="BU27" s="9" t="s">
        <v>1704</v>
      </c>
      <c r="BV27" s="9" t="s">
        <v>1705</v>
      </c>
      <c r="BW27" s="9" t="s">
        <v>1711</v>
      </c>
      <c r="BZ27" s="9" t="s">
        <v>1699</v>
      </c>
      <c r="CA27" s="9" t="s">
        <v>1750</v>
      </c>
      <c r="CB27" s="9" t="s">
        <v>1738</v>
      </c>
      <c r="CC27" s="9" t="s">
        <v>28</v>
      </c>
      <c r="CD27" s="9" t="s">
        <v>1712</v>
      </c>
      <c r="CE27" s="9" t="s">
        <v>1779</v>
      </c>
      <c r="CF27" s="9" t="s">
        <v>28</v>
      </c>
      <c r="CG27" s="9" t="s">
        <v>743</v>
      </c>
      <c r="CH27" s="9" t="s">
        <v>28</v>
      </c>
      <c r="CI27" s="9" t="s">
        <v>743</v>
      </c>
      <c r="CJ27" s="9" t="s">
        <v>29</v>
      </c>
      <c r="CK27" s="10">
        <v>30</v>
      </c>
      <c r="CL27" s="10">
        <v>30</v>
      </c>
      <c r="CM27" s="10">
        <v>30</v>
      </c>
      <c r="CO27" s="10">
        <v>20</v>
      </c>
      <c r="CP27" s="10">
        <v>20</v>
      </c>
      <c r="CQ27" s="10">
        <v>20</v>
      </c>
      <c r="CS27" s="11">
        <v>1</v>
      </c>
      <c r="CT27" s="11">
        <v>1</v>
      </c>
      <c r="CU27" s="11">
        <v>0.6</v>
      </c>
      <c r="CW27" s="10">
        <v>7</v>
      </c>
      <c r="CY27" s="10">
        <v>180</v>
      </c>
      <c r="CZ27" s="10" t="s">
        <v>25</v>
      </c>
      <c r="DA27" s="10" t="s">
        <v>25</v>
      </c>
      <c r="DB27" s="10" t="s">
        <v>28</v>
      </c>
      <c r="DC27" s="10" t="s">
        <v>28</v>
      </c>
      <c r="DD27" s="10" t="s">
        <v>25</v>
      </c>
      <c r="DG27" s="39">
        <v>20000</v>
      </c>
      <c r="DH27" s="39">
        <v>20000</v>
      </c>
      <c r="DJ27" s="9" t="s">
        <v>1715</v>
      </c>
      <c r="DK27" s="9" t="s">
        <v>1715</v>
      </c>
      <c r="DL27" s="9" t="s">
        <v>1770</v>
      </c>
      <c r="DM27" s="9" t="s">
        <v>28</v>
      </c>
      <c r="DN27" s="9" t="s">
        <v>28</v>
      </c>
      <c r="DO27" s="9" t="s">
        <v>25</v>
      </c>
      <c r="DP27" s="9" t="s">
        <v>28</v>
      </c>
      <c r="DQ27" s="9" t="s">
        <v>28</v>
      </c>
      <c r="DR27" s="9" t="s">
        <v>25</v>
      </c>
      <c r="DS27" s="9" t="s">
        <v>1810</v>
      </c>
      <c r="DU27" s="9" t="s">
        <v>1717</v>
      </c>
      <c r="DV27" s="9" t="s">
        <v>1746</v>
      </c>
      <c r="DW27" s="11">
        <v>0.6</v>
      </c>
      <c r="EC27" s="9" t="s">
        <v>1739</v>
      </c>
      <c r="ED27" s="9" t="s">
        <v>1719</v>
      </c>
      <c r="EE27" s="9" t="s">
        <v>1720</v>
      </c>
      <c r="EF27" s="9" t="s">
        <v>1721</v>
      </c>
      <c r="EG27" s="9" t="s">
        <v>1722</v>
      </c>
      <c r="EH27" s="9" t="s">
        <v>1723</v>
      </c>
      <c r="EI27" s="9" t="s">
        <v>1724</v>
      </c>
      <c r="EJ27" s="9" t="s">
        <v>1725</v>
      </c>
      <c r="EK27" s="9" t="s">
        <v>1726</v>
      </c>
      <c r="EL27" s="9" t="s">
        <v>1727</v>
      </c>
      <c r="EM27" s="9" t="s">
        <v>1728</v>
      </c>
      <c r="EN27" s="9" t="s">
        <v>693</v>
      </c>
      <c r="EO27" s="9" t="s">
        <v>693</v>
      </c>
      <c r="EP27" s="9" t="s">
        <v>1725</v>
      </c>
      <c r="EQ27" s="9" t="s">
        <v>29</v>
      </c>
      <c r="ER27" s="9" t="s">
        <v>693</v>
      </c>
      <c r="ES27" s="9" t="s">
        <v>25</v>
      </c>
      <c r="ET27" s="9" t="s">
        <v>25</v>
      </c>
    </row>
    <row r="28" spans="1:163" ht="51" x14ac:dyDescent="0.2">
      <c r="A28" s="8" t="s">
        <v>131</v>
      </c>
      <c r="B28" s="9" t="s">
        <v>1695</v>
      </c>
      <c r="AS28" s="9" t="s">
        <v>25</v>
      </c>
      <c r="AW28" s="9" t="s">
        <v>1823</v>
      </c>
      <c r="AX28" s="9" t="s">
        <v>1699</v>
      </c>
      <c r="AY28" s="9" t="s">
        <v>1750</v>
      </c>
      <c r="AZ28" s="9" t="s">
        <v>1704</v>
      </c>
      <c r="BA28" s="9" t="s">
        <v>28</v>
      </c>
      <c r="BB28" s="9" t="s">
        <v>1702</v>
      </c>
      <c r="BC28" s="9" t="s">
        <v>1699</v>
      </c>
      <c r="BD28" s="9" t="s">
        <v>29</v>
      </c>
      <c r="BE28" s="9" t="s">
        <v>1824</v>
      </c>
      <c r="BF28" s="9" t="s">
        <v>1704</v>
      </c>
      <c r="BH28" s="9" t="s">
        <v>1705</v>
      </c>
      <c r="BI28" s="9" t="s">
        <v>1706</v>
      </c>
      <c r="BJ28" s="9" t="s">
        <v>1707</v>
      </c>
      <c r="BK28" s="9" t="s">
        <v>1705</v>
      </c>
      <c r="BL28" s="9" t="s">
        <v>1741</v>
      </c>
      <c r="BM28" s="9" t="s">
        <v>1742</v>
      </c>
      <c r="BN28" s="9" t="s">
        <v>1699</v>
      </c>
      <c r="BO28" s="9" t="s">
        <v>1750</v>
      </c>
      <c r="BP28" s="9" t="s">
        <v>1704</v>
      </c>
      <c r="BQ28" s="9" t="s">
        <v>28</v>
      </c>
      <c r="BR28" s="9" t="s">
        <v>1702</v>
      </c>
      <c r="BS28" s="9" t="s">
        <v>1776</v>
      </c>
      <c r="BT28" s="9" t="s">
        <v>29</v>
      </c>
      <c r="BU28" s="9" t="s">
        <v>1704</v>
      </c>
      <c r="BV28" s="9" t="s">
        <v>1761</v>
      </c>
      <c r="BW28" s="9" t="s">
        <v>1754</v>
      </c>
      <c r="BX28" s="9" t="s">
        <v>1777</v>
      </c>
      <c r="BY28" s="9" t="s">
        <v>1709</v>
      </c>
      <c r="BZ28" s="9" t="s">
        <v>1699</v>
      </c>
      <c r="CA28" s="9" t="s">
        <v>1758</v>
      </c>
      <c r="CB28" s="9" t="s">
        <v>1704</v>
      </c>
      <c r="CC28" s="9" t="s">
        <v>28</v>
      </c>
      <c r="CD28" s="9" t="s">
        <v>1778</v>
      </c>
      <c r="CE28" s="9" t="s">
        <v>1713</v>
      </c>
      <c r="CF28" s="9" t="s">
        <v>28</v>
      </c>
      <c r="CG28" s="9" t="s">
        <v>1825</v>
      </c>
      <c r="CH28" s="9" t="s">
        <v>28</v>
      </c>
      <c r="CI28" s="9" t="s">
        <v>1825</v>
      </c>
      <c r="CJ28" s="9" t="s">
        <v>1714</v>
      </c>
      <c r="CK28" s="10">
        <v>32</v>
      </c>
      <c r="CL28" s="10">
        <v>32</v>
      </c>
      <c r="CM28" s="10">
        <v>32</v>
      </c>
      <c r="CN28" s="10">
        <v>32</v>
      </c>
      <c r="CO28" s="10">
        <v>20</v>
      </c>
      <c r="CP28" s="10">
        <v>20</v>
      </c>
      <c r="CQ28" s="10">
        <v>20</v>
      </c>
      <c r="CR28" s="10">
        <v>20</v>
      </c>
      <c r="CS28" s="11">
        <v>1</v>
      </c>
      <c r="CT28" s="11">
        <v>1</v>
      </c>
      <c r="CU28" s="11">
        <v>0.67</v>
      </c>
      <c r="CV28" s="10" t="s">
        <v>1826</v>
      </c>
      <c r="CX28" s="10">
        <v>182</v>
      </c>
      <c r="CY28" s="10">
        <v>182</v>
      </c>
      <c r="CZ28" s="10" t="s">
        <v>25</v>
      </c>
      <c r="DA28" s="10" t="s">
        <v>28</v>
      </c>
      <c r="DB28" s="10" t="s">
        <v>28</v>
      </c>
      <c r="DC28" s="10" t="s">
        <v>25</v>
      </c>
      <c r="DD28" s="10" t="s">
        <v>25</v>
      </c>
      <c r="DF28" s="39">
        <v>8653</v>
      </c>
      <c r="DG28" s="39">
        <v>20000</v>
      </c>
      <c r="DJ28" s="9" t="s">
        <v>1715</v>
      </c>
      <c r="DK28" s="9" t="s">
        <v>1715</v>
      </c>
      <c r="DM28" s="9" t="s">
        <v>28</v>
      </c>
      <c r="DN28" s="9" t="s">
        <v>28</v>
      </c>
      <c r="DO28" s="9" t="s">
        <v>25</v>
      </c>
      <c r="DP28" s="9" t="s">
        <v>28</v>
      </c>
      <c r="DQ28" s="9" t="s">
        <v>28</v>
      </c>
      <c r="DR28" s="9" t="s">
        <v>25</v>
      </c>
      <c r="DS28" s="9" t="s">
        <v>1827</v>
      </c>
      <c r="DU28" s="9" t="s">
        <v>1717</v>
      </c>
      <c r="DV28" s="9" t="s">
        <v>1746</v>
      </c>
      <c r="DW28" s="11">
        <v>0.67</v>
      </c>
      <c r="EC28" s="9" t="s">
        <v>635</v>
      </c>
      <c r="ED28" s="9" t="s">
        <v>1719</v>
      </c>
      <c r="EE28" s="9" t="s">
        <v>1719</v>
      </c>
      <c r="EF28" s="9" t="s">
        <v>1719</v>
      </c>
      <c r="EG28" s="9" t="s">
        <v>1722</v>
      </c>
      <c r="EH28" s="9" t="s">
        <v>1723</v>
      </c>
      <c r="EI28" s="9" t="s">
        <v>1724</v>
      </c>
      <c r="EJ28" s="9" t="s">
        <v>1725</v>
      </c>
      <c r="EK28" s="9" t="s">
        <v>1726</v>
      </c>
      <c r="EL28" s="9" t="s">
        <v>1727</v>
      </c>
      <c r="EM28" s="9" t="s">
        <v>1728</v>
      </c>
      <c r="EN28" s="9" t="s">
        <v>693</v>
      </c>
      <c r="EO28" s="9" t="s">
        <v>693</v>
      </c>
      <c r="EP28" s="9" t="s">
        <v>29</v>
      </c>
      <c r="EQ28" s="9" t="s">
        <v>1725</v>
      </c>
      <c r="ER28" s="9" t="s">
        <v>1747</v>
      </c>
      <c r="ES28" s="9" t="s">
        <v>25</v>
      </c>
      <c r="ET28" s="9" t="s">
        <v>25</v>
      </c>
    </row>
    <row r="29" spans="1:163" ht="51" x14ac:dyDescent="0.2">
      <c r="A29" s="8" t="s">
        <v>139</v>
      </c>
      <c r="B29" s="9" t="s">
        <v>1695</v>
      </c>
      <c r="D29" s="9" t="s">
        <v>1849</v>
      </c>
      <c r="E29" s="9" t="s">
        <v>1849</v>
      </c>
      <c r="F29" s="9" t="s">
        <v>1734</v>
      </c>
      <c r="G29" s="9" t="s">
        <v>1811</v>
      </c>
      <c r="P29" s="9" t="s">
        <v>1735</v>
      </c>
      <c r="AS29" s="9" t="s">
        <v>25</v>
      </c>
      <c r="AT29" s="9" t="s">
        <v>1861</v>
      </c>
      <c r="AU29" s="9" t="s">
        <v>1790</v>
      </c>
      <c r="AW29" s="9" t="s">
        <v>1764</v>
      </c>
      <c r="AX29" s="9" t="s">
        <v>1699</v>
      </c>
      <c r="AY29" s="9" t="s">
        <v>1750</v>
      </c>
      <c r="AZ29" s="9" t="s">
        <v>1704</v>
      </c>
      <c r="BA29" s="9" t="s">
        <v>28</v>
      </c>
      <c r="BB29" s="9" t="s">
        <v>1702</v>
      </c>
      <c r="BC29" s="9" t="s">
        <v>1699</v>
      </c>
      <c r="BF29" s="9" t="s">
        <v>1704</v>
      </c>
      <c r="BI29" s="9" t="s">
        <v>1706</v>
      </c>
      <c r="BL29" s="9" t="s">
        <v>1741</v>
      </c>
      <c r="BM29" s="9" t="s">
        <v>1742</v>
      </c>
      <c r="BN29" s="9" t="s">
        <v>1699</v>
      </c>
      <c r="BO29" s="9" t="s">
        <v>1750</v>
      </c>
      <c r="BP29" s="9" t="s">
        <v>1704</v>
      </c>
      <c r="BQ29" s="9" t="s">
        <v>28</v>
      </c>
      <c r="BR29" s="9" t="s">
        <v>1702</v>
      </c>
      <c r="BS29" s="9" t="s">
        <v>1776</v>
      </c>
      <c r="BT29" s="9" t="s">
        <v>29</v>
      </c>
      <c r="BU29" s="9" t="s">
        <v>1704</v>
      </c>
      <c r="BX29" s="9" t="s">
        <v>1777</v>
      </c>
      <c r="BY29" s="9" t="s">
        <v>1753</v>
      </c>
      <c r="BZ29" s="9" t="s">
        <v>1699</v>
      </c>
      <c r="CA29" s="9" t="s">
        <v>29</v>
      </c>
      <c r="CB29" s="9" t="s">
        <v>1704</v>
      </c>
      <c r="CC29" s="9" t="s">
        <v>28</v>
      </c>
      <c r="CD29" s="9" t="s">
        <v>1712</v>
      </c>
      <c r="CE29" s="9" t="s">
        <v>1148</v>
      </c>
      <c r="CF29" s="9" t="s">
        <v>28</v>
      </c>
      <c r="CG29" s="9" t="s">
        <v>1862</v>
      </c>
      <c r="CH29" s="9" t="s">
        <v>28</v>
      </c>
      <c r="CI29" s="9" t="s">
        <v>1863</v>
      </c>
      <c r="CW29" s="10">
        <v>7</v>
      </c>
      <c r="CX29" s="10">
        <v>180</v>
      </c>
      <c r="CY29" s="10">
        <v>180</v>
      </c>
      <c r="CZ29" s="10" t="s">
        <v>25</v>
      </c>
      <c r="DA29" s="10" t="s">
        <v>25</v>
      </c>
      <c r="DB29" s="10" t="s">
        <v>28</v>
      </c>
      <c r="DC29" s="10" t="s">
        <v>25</v>
      </c>
      <c r="DD29" s="10" t="s">
        <v>25</v>
      </c>
      <c r="DG29" s="39">
        <v>30000</v>
      </c>
      <c r="DJ29" s="9" t="s">
        <v>1715</v>
      </c>
      <c r="DK29" s="9" t="s">
        <v>1715</v>
      </c>
      <c r="DM29" s="9" t="s">
        <v>28</v>
      </c>
      <c r="DN29" s="9" t="s">
        <v>25</v>
      </c>
      <c r="DO29" s="9" t="s">
        <v>28</v>
      </c>
      <c r="DP29" s="9" t="s">
        <v>25</v>
      </c>
      <c r="DQ29" s="9" t="s">
        <v>28</v>
      </c>
      <c r="DR29" s="9" t="s">
        <v>25</v>
      </c>
      <c r="DS29" s="9" t="s">
        <v>1864</v>
      </c>
      <c r="DU29" s="9" t="s">
        <v>1717</v>
      </c>
      <c r="DV29" s="9" t="s">
        <v>1746</v>
      </c>
      <c r="DW29" s="11">
        <v>0.67</v>
      </c>
      <c r="EC29" s="9" t="s">
        <v>635</v>
      </c>
      <c r="ED29" s="9" t="s">
        <v>1755</v>
      </c>
      <c r="EE29" s="9" t="s">
        <v>1755</v>
      </c>
      <c r="EF29" s="9" t="s">
        <v>1755</v>
      </c>
      <c r="EG29" s="9" t="s">
        <v>1722</v>
      </c>
      <c r="EH29" s="9" t="s">
        <v>1723</v>
      </c>
      <c r="EI29" s="9" t="s">
        <v>1724</v>
      </c>
      <c r="EJ29" s="9" t="s">
        <v>1725</v>
      </c>
      <c r="EK29" s="9" t="s">
        <v>1726</v>
      </c>
      <c r="EL29" s="9" t="s">
        <v>1727</v>
      </c>
      <c r="EM29" s="9" t="s">
        <v>1728</v>
      </c>
      <c r="EN29" s="9" t="s">
        <v>693</v>
      </c>
      <c r="EO29" s="9" t="s">
        <v>693</v>
      </c>
      <c r="EQ29" s="9" t="s">
        <v>1725</v>
      </c>
      <c r="ER29" s="9" t="s">
        <v>1747</v>
      </c>
      <c r="ES29" s="9" t="s">
        <v>25</v>
      </c>
      <c r="ET29" s="9" t="s">
        <v>1729</v>
      </c>
      <c r="EU29" s="9" t="s">
        <v>13520</v>
      </c>
      <c r="EV29" s="9" t="s">
        <v>1865</v>
      </c>
      <c r="EW29" s="39">
        <v>6000</v>
      </c>
      <c r="EX29" s="39">
        <v>6000</v>
      </c>
      <c r="EY29" s="39">
        <v>6000</v>
      </c>
      <c r="FC29" s="39">
        <v>150000</v>
      </c>
      <c r="FD29" s="9" t="s">
        <v>28</v>
      </c>
      <c r="FE29" s="9" t="s">
        <v>1801</v>
      </c>
      <c r="FF29" s="9" t="s">
        <v>1866</v>
      </c>
      <c r="FG29" s="9" t="s">
        <v>25</v>
      </c>
    </row>
    <row r="30" spans="1:163" ht="51" x14ac:dyDescent="0.2">
      <c r="A30" s="8" t="s">
        <v>120</v>
      </c>
      <c r="B30" s="9" t="s">
        <v>1695</v>
      </c>
      <c r="AS30" s="9" t="s">
        <v>25</v>
      </c>
      <c r="AW30" s="9" t="s">
        <v>1756</v>
      </c>
      <c r="AX30" s="9" t="s">
        <v>1699</v>
      </c>
      <c r="AY30" s="9" t="s">
        <v>1700</v>
      </c>
      <c r="AZ30" s="9" t="s">
        <v>1738</v>
      </c>
      <c r="BA30" s="9" t="s">
        <v>28</v>
      </c>
      <c r="BB30" s="9" t="s">
        <v>1757</v>
      </c>
      <c r="BC30" s="9" t="s">
        <v>1699</v>
      </c>
      <c r="BD30" s="9" t="s">
        <v>1758</v>
      </c>
      <c r="BF30" s="9" t="s">
        <v>1704</v>
      </c>
      <c r="BH30" s="9" t="s">
        <v>1759</v>
      </c>
      <c r="BI30" s="9" t="s">
        <v>1706</v>
      </c>
      <c r="BJ30" s="9" t="s">
        <v>1760</v>
      </c>
      <c r="BK30" s="9" t="s">
        <v>1761</v>
      </c>
      <c r="BL30" s="9" t="s">
        <v>1762</v>
      </c>
      <c r="BM30" s="9" t="s">
        <v>1753</v>
      </c>
      <c r="BN30" s="9" t="s">
        <v>1699</v>
      </c>
      <c r="BO30" s="9" t="s">
        <v>1700</v>
      </c>
      <c r="BP30" s="9" t="s">
        <v>1738</v>
      </c>
      <c r="BQ30" s="9" t="s">
        <v>25</v>
      </c>
      <c r="BW30" s="9" t="s">
        <v>1711</v>
      </c>
      <c r="BZ30" s="9" t="s">
        <v>1703</v>
      </c>
      <c r="CB30" s="9" t="s">
        <v>1701</v>
      </c>
      <c r="CC30" s="9" t="s">
        <v>25</v>
      </c>
      <c r="CE30" s="9" t="s">
        <v>631</v>
      </c>
      <c r="CF30" s="9" t="s">
        <v>25</v>
      </c>
      <c r="CH30" s="9" t="s">
        <v>25</v>
      </c>
      <c r="CJ30" s="9" t="s">
        <v>1714</v>
      </c>
      <c r="CS30" s="11">
        <v>1</v>
      </c>
      <c r="CT30" s="11">
        <v>0.6</v>
      </c>
      <c r="CU30" s="11">
        <v>0.6</v>
      </c>
      <c r="CW30" s="10">
        <v>9</v>
      </c>
      <c r="CX30" s="10">
        <v>90</v>
      </c>
      <c r="CZ30" s="10" t="s">
        <v>25</v>
      </c>
      <c r="DA30" s="10" t="s">
        <v>28</v>
      </c>
      <c r="DB30" s="10" t="s">
        <v>28</v>
      </c>
      <c r="DC30" s="10" t="s">
        <v>25</v>
      </c>
      <c r="DD30" s="10" t="s">
        <v>25</v>
      </c>
      <c r="DF30" s="39">
        <v>2310</v>
      </c>
      <c r="DG30" s="39">
        <v>2500</v>
      </c>
      <c r="DJ30" s="9" t="s">
        <v>1715</v>
      </c>
      <c r="DK30" s="9" t="s">
        <v>1715</v>
      </c>
      <c r="DM30" s="9" t="s">
        <v>25</v>
      </c>
      <c r="DU30" s="9" t="s">
        <v>1717</v>
      </c>
      <c r="DV30" s="9" t="s">
        <v>1763</v>
      </c>
      <c r="DW30" s="11">
        <v>0.6</v>
      </c>
      <c r="EC30" s="9" t="s">
        <v>635</v>
      </c>
      <c r="ED30" s="9" t="s">
        <v>1719</v>
      </c>
      <c r="EE30" s="9" t="s">
        <v>1719</v>
      </c>
      <c r="EF30" s="9" t="s">
        <v>1719</v>
      </c>
      <c r="EG30" s="9" t="s">
        <v>1719</v>
      </c>
      <c r="EH30" s="9" t="s">
        <v>1719</v>
      </c>
      <c r="EI30" s="9" t="s">
        <v>1719</v>
      </c>
      <c r="EJ30" s="9" t="s">
        <v>1719</v>
      </c>
      <c r="EP30" s="9" t="s">
        <v>1719</v>
      </c>
      <c r="EQ30" s="9" t="s">
        <v>1719</v>
      </c>
      <c r="ER30" s="9" t="s">
        <v>1747</v>
      </c>
      <c r="ES30" s="9" t="s">
        <v>25</v>
      </c>
      <c r="ET30" s="9" t="s">
        <v>25</v>
      </c>
    </row>
    <row r="31" spans="1:163" ht="38.25" x14ac:dyDescent="0.2">
      <c r="A31" s="8" t="s">
        <v>174</v>
      </c>
      <c r="B31" s="9" t="s">
        <v>1697</v>
      </c>
      <c r="G31" s="9" t="s">
        <v>1849</v>
      </c>
      <c r="O31" s="9" t="s">
        <v>1696</v>
      </c>
      <c r="AC31" s="9" t="s">
        <v>1881</v>
      </c>
      <c r="AS31" s="9" t="s">
        <v>25</v>
      </c>
      <c r="AW31" s="9" t="s">
        <v>1756</v>
      </c>
      <c r="AX31" s="9" t="s">
        <v>1699</v>
      </c>
      <c r="AY31" s="9" t="s">
        <v>1750</v>
      </c>
      <c r="AZ31" s="9" t="s">
        <v>1701</v>
      </c>
      <c r="BA31" s="9" t="s">
        <v>28</v>
      </c>
      <c r="BB31" s="9" t="s">
        <v>1702</v>
      </c>
      <c r="BC31" s="9" t="s">
        <v>1699</v>
      </c>
      <c r="BD31" s="9" t="s">
        <v>1758</v>
      </c>
      <c r="BF31" s="9" t="s">
        <v>1738</v>
      </c>
      <c r="BH31" s="9" t="s">
        <v>1751</v>
      </c>
      <c r="BI31" s="9" t="s">
        <v>1740</v>
      </c>
      <c r="BJ31" s="9" t="s">
        <v>1707</v>
      </c>
      <c r="BK31" s="9" t="s">
        <v>1751</v>
      </c>
      <c r="BL31" s="9" t="s">
        <v>1923</v>
      </c>
      <c r="BM31" s="9" t="s">
        <v>1753</v>
      </c>
      <c r="BN31" s="9" t="s">
        <v>1699</v>
      </c>
      <c r="BO31" s="9" t="s">
        <v>1750</v>
      </c>
      <c r="BP31" s="9" t="s">
        <v>1701</v>
      </c>
      <c r="BQ31" s="9" t="s">
        <v>28</v>
      </c>
      <c r="BR31" s="9" t="s">
        <v>1702</v>
      </c>
      <c r="BS31" s="9" t="s">
        <v>1776</v>
      </c>
      <c r="BT31" s="9" t="s">
        <v>1758</v>
      </c>
      <c r="BU31" s="9" t="s">
        <v>1738</v>
      </c>
      <c r="BV31" s="9" t="s">
        <v>1751</v>
      </c>
      <c r="BW31" s="9" t="s">
        <v>1754</v>
      </c>
      <c r="BX31" s="9" t="s">
        <v>1923</v>
      </c>
      <c r="BY31" s="9" t="s">
        <v>1753</v>
      </c>
      <c r="BZ31" s="9" t="s">
        <v>1703</v>
      </c>
      <c r="CB31" s="9" t="s">
        <v>1701</v>
      </c>
      <c r="CC31" s="9" t="s">
        <v>28</v>
      </c>
      <c r="CD31" s="9" t="s">
        <v>1929</v>
      </c>
      <c r="CE31" s="9" t="s">
        <v>1713</v>
      </c>
      <c r="CF31" s="9" t="s">
        <v>28</v>
      </c>
      <c r="CG31" s="9" t="s">
        <v>1862</v>
      </c>
      <c r="CH31" s="9" t="s">
        <v>28</v>
      </c>
      <c r="CI31" s="9" t="s">
        <v>1863</v>
      </c>
      <c r="CJ31" s="9" t="s">
        <v>1714</v>
      </c>
      <c r="CK31" s="10">
        <v>30</v>
      </c>
      <c r="CL31" s="10">
        <v>30</v>
      </c>
      <c r="CM31" s="10">
        <v>30</v>
      </c>
      <c r="CN31" s="10">
        <v>1</v>
      </c>
      <c r="CR31" s="10">
        <v>1</v>
      </c>
      <c r="CT31" s="11">
        <v>1</v>
      </c>
      <c r="CU31" s="11">
        <v>0.6</v>
      </c>
      <c r="CX31" s="10">
        <v>180</v>
      </c>
      <c r="CZ31" s="10" t="s">
        <v>25</v>
      </c>
      <c r="DA31" s="10" t="s">
        <v>25</v>
      </c>
      <c r="DB31" s="10" t="s">
        <v>28</v>
      </c>
      <c r="DC31" s="10" t="s">
        <v>25</v>
      </c>
      <c r="DD31" s="10" t="s">
        <v>25</v>
      </c>
      <c r="DG31" s="39">
        <v>18000</v>
      </c>
      <c r="DJ31" s="9" t="s">
        <v>1715</v>
      </c>
      <c r="DK31" s="9" t="s">
        <v>1715</v>
      </c>
      <c r="DM31" s="9" t="s">
        <v>28</v>
      </c>
      <c r="DN31" s="9" t="s">
        <v>28</v>
      </c>
      <c r="DO31" s="9" t="s">
        <v>25</v>
      </c>
      <c r="DP31" s="9" t="s">
        <v>28</v>
      </c>
      <c r="DQ31" s="9" t="s">
        <v>28</v>
      </c>
      <c r="DR31" s="9" t="s">
        <v>25</v>
      </c>
      <c r="DS31" s="9" t="s">
        <v>1847</v>
      </c>
      <c r="DU31" s="9" t="s">
        <v>1717</v>
      </c>
      <c r="DV31" s="9" t="s">
        <v>1746</v>
      </c>
      <c r="DW31" s="11">
        <v>0.6</v>
      </c>
      <c r="ED31" s="9" t="s">
        <v>1719</v>
      </c>
      <c r="EE31" s="9" t="s">
        <v>1720</v>
      </c>
      <c r="EF31" s="9" t="s">
        <v>1721</v>
      </c>
      <c r="EG31" s="9" t="s">
        <v>1722</v>
      </c>
      <c r="EH31" s="9" t="s">
        <v>1723</v>
      </c>
      <c r="EI31" s="9" t="s">
        <v>1724</v>
      </c>
      <c r="EJ31" s="9" t="s">
        <v>1725</v>
      </c>
      <c r="EK31" s="9" t="s">
        <v>1726</v>
      </c>
      <c r="EL31" s="9" t="s">
        <v>1727</v>
      </c>
      <c r="EM31" s="9" t="s">
        <v>1728</v>
      </c>
      <c r="EN31" s="9" t="s">
        <v>693</v>
      </c>
      <c r="EO31" s="9" t="s">
        <v>693</v>
      </c>
      <c r="EP31" s="9" t="s">
        <v>1724</v>
      </c>
      <c r="EQ31" s="9" t="s">
        <v>1725</v>
      </c>
      <c r="ER31" s="9" t="s">
        <v>1747</v>
      </c>
      <c r="ES31" s="9" t="s">
        <v>25</v>
      </c>
      <c r="ET31" s="9" t="s">
        <v>1729</v>
      </c>
      <c r="EU31" s="9" t="s">
        <v>1930</v>
      </c>
      <c r="EV31" s="9" t="s">
        <v>1931</v>
      </c>
      <c r="EW31" s="39">
        <v>6000</v>
      </c>
      <c r="EY31" s="39">
        <v>6000</v>
      </c>
      <c r="FB31" s="39">
        <v>6000</v>
      </c>
      <c r="FD31" s="9" t="s">
        <v>28</v>
      </c>
      <c r="FG31" s="9" t="s">
        <v>25</v>
      </c>
    </row>
    <row r="32" spans="1:163" ht="51" x14ac:dyDescent="0.2">
      <c r="A32" s="8" t="s">
        <v>124</v>
      </c>
      <c r="B32" s="9" t="s">
        <v>1695</v>
      </c>
      <c r="F32" s="9" t="s">
        <v>1788</v>
      </c>
      <c r="G32" s="9" t="s">
        <v>1734</v>
      </c>
      <c r="AS32" s="9" t="s">
        <v>28</v>
      </c>
      <c r="AT32" s="9" t="s">
        <v>1789</v>
      </c>
      <c r="AU32" s="9" t="s">
        <v>1790</v>
      </c>
      <c r="AW32" s="9" t="s">
        <v>1756</v>
      </c>
      <c r="AX32" s="9" t="s">
        <v>1699</v>
      </c>
      <c r="AY32" s="9" t="s">
        <v>1737</v>
      </c>
      <c r="AZ32" s="9" t="s">
        <v>1704</v>
      </c>
      <c r="BA32" s="9" t="s">
        <v>28</v>
      </c>
      <c r="BB32" s="9" t="s">
        <v>1702</v>
      </c>
      <c r="BC32" s="9" t="s">
        <v>1699</v>
      </c>
      <c r="BD32" s="9" t="s">
        <v>1785</v>
      </c>
      <c r="BE32" s="9" t="s">
        <v>1791</v>
      </c>
      <c r="BF32" s="9" t="s">
        <v>1704</v>
      </c>
      <c r="BH32" s="9" t="s">
        <v>1705</v>
      </c>
      <c r="BI32" s="9" t="s">
        <v>1792</v>
      </c>
      <c r="BJ32" s="9" t="s">
        <v>1707</v>
      </c>
      <c r="BK32" s="9" t="s">
        <v>1705</v>
      </c>
      <c r="BL32" s="9" t="s">
        <v>1708</v>
      </c>
      <c r="BM32" s="9" t="s">
        <v>1753</v>
      </c>
      <c r="BN32" s="9" t="s">
        <v>1699</v>
      </c>
      <c r="BO32" s="9" t="s">
        <v>1737</v>
      </c>
      <c r="BP32" s="9" t="s">
        <v>1704</v>
      </c>
      <c r="BQ32" s="9" t="s">
        <v>28</v>
      </c>
      <c r="BR32" s="9" t="s">
        <v>1757</v>
      </c>
      <c r="BS32" s="9" t="s">
        <v>1776</v>
      </c>
      <c r="BT32" s="9" t="s">
        <v>1737</v>
      </c>
      <c r="BU32" s="9" t="s">
        <v>1704</v>
      </c>
      <c r="BV32" s="9" t="s">
        <v>13901</v>
      </c>
      <c r="BW32" s="9" t="s">
        <v>1754</v>
      </c>
      <c r="BX32" s="9" t="s">
        <v>1708</v>
      </c>
      <c r="BY32" s="9" t="s">
        <v>1753</v>
      </c>
      <c r="BZ32" s="9" t="s">
        <v>1699</v>
      </c>
      <c r="CA32" s="9" t="s">
        <v>1793</v>
      </c>
      <c r="CB32" s="9" t="s">
        <v>1738</v>
      </c>
      <c r="CC32" s="9" t="s">
        <v>28</v>
      </c>
      <c r="CD32" s="9" t="s">
        <v>1778</v>
      </c>
      <c r="CE32" s="9" t="s">
        <v>1779</v>
      </c>
      <c r="CF32" s="9" t="s">
        <v>25</v>
      </c>
      <c r="CH32" s="9" t="s">
        <v>25</v>
      </c>
      <c r="CJ32" s="9" t="s">
        <v>1714</v>
      </c>
      <c r="CK32" s="10">
        <v>30</v>
      </c>
      <c r="CL32" s="10">
        <v>30</v>
      </c>
      <c r="CM32" s="10">
        <v>30</v>
      </c>
      <c r="CN32" s="10">
        <v>30</v>
      </c>
      <c r="CO32" s="10">
        <v>20</v>
      </c>
      <c r="CP32" s="10">
        <v>20</v>
      </c>
      <c r="CQ32" s="10">
        <v>20</v>
      </c>
      <c r="CR32" s="10">
        <v>20</v>
      </c>
      <c r="CS32" s="11">
        <v>1</v>
      </c>
      <c r="CT32" s="11">
        <v>1</v>
      </c>
      <c r="CU32" s="11">
        <v>0.67</v>
      </c>
      <c r="CV32" s="10" t="s">
        <v>1794</v>
      </c>
      <c r="CX32" s="10">
        <v>90</v>
      </c>
      <c r="CY32" s="10">
        <v>90</v>
      </c>
      <c r="CZ32" s="10" t="s">
        <v>25</v>
      </c>
      <c r="DA32" s="10" t="s">
        <v>25</v>
      </c>
      <c r="DB32" s="10" t="s">
        <v>28</v>
      </c>
      <c r="DC32" s="10" t="s">
        <v>25</v>
      </c>
      <c r="DD32" s="10" t="s">
        <v>25</v>
      </c>
      <c r="DG32" s="39">
        <v>20000</v>
      </c>
      <c r="DJ32" s="9" t="s">
        <v>1715</v>
      </c>
      <c r="DK32" s="9" t="s">
        <v>1715</v>
      </c>
      <c r="DM32" s="9" t="s">
        <v>25</v>
      </c>
      <c r="DU32" s="9" t="s">
        <v>1717</v>
      </c>
      <c r="DV32" s="9" t="s">
        <v>1763</v>
      </c>
      <c r="DW32" s="11">
        <v>0.67</v>
      </c>
      <c r="EC32" s="9" t="s">
        <v>1739</v>
      </c>
      <c r="ED32" s="9" t="s">
        <v>1755</v>
      </c>
      <c r="EE32" s="9" t="s">
        <v>1755</v>
      </c>
      <c r="EF32" s="9" t="s">
        <v>1755</v>
      </c>
      <c r="EG32" s="9" t="s">
        <v>1755</v>
      </c>
      <c r="EH32" s="9" t="s">
        <v>1755</v>
      </c>
      <c r="EI32" s="9" t="s">
        <v>1755</v>
      </c>
      <c r="EJ32" s="9" t="s">
        <v>1725</v>
      </c>
      <c r="EK32" s="9" t="s">
        <v>1726</v>
      </c>
      <c r="EL32" s="9" t="s">
        <v>1727</v>
      </c>
      <c r="EM32" s="9" t="s">
        <v>1728</v>
      </c>
      <c r="EN32" s="9" t="s">
        <v>693</v>
      </c>
      <c r="EO32" s="9" t="s">
        <v>693</v>
      </c>
      <c r="EP32" s="9" t="s">
        <v>29</v>
      </c>
      <c r="EQ32" s="9" t="s">
        <v>1755</v>
      </c>
      <c r="ER32" s="9" t="s">
        <v>1747</v>
      </c>
      <c r="ES32" s="9" t="s">
        <v>28</v>
      </c>
      <c r="ET32" s="9" t="s">
        <v>25</v>
      </c>
    </row>
    <row r="33" spans="1:163" ht="51" x14ac:dyDescent="0.2">
      <c r="A33" s="8" t="s">
        <v>117</v>
      </c>
      <c r="B33" s="9" t="s">
        <v>1695</v>
      </c>
      <c r="D33" s="9" t="s">
        <v>1696</v>
      </c>
      <c r="F33" s="9" t="s">
        <v>1697</v>
      </c>
      <c r="G33" s="9" t="s">
        <v>1696</v>
      </c>
      <c r="AS33" s="9" t="s">
        <v>25</v>
      </c>
      <c r="AW33" s="9" t="s">
        <v>1698</v>
      </c>
      <c r="AX33" s="9" t="s">
        <v>1699</v>
      </c>
      <c r="AY33" s="9" t="s">
        <v>1700</v>
      </c>
      <c r="AZ33" s="9" t="s">
        <v>1701</v>
      </c>
      <c r="BA33" s="9" t="s">
        <v>28</v>
      </c>
      <c r="BB33" s="9" t="s">
        <v>1702</v>
      </c>
      <c r="BC33" s="9" t="s">
        <v>1703</v>
      </c>
      <c r="BF33" s="9" t="s">
        <v>1704</v>
      </c>
      <c r="BH33" s="9" t="s">
        <v>1705</v>
      </c>
      <c r="BI33" s="9" t="s">
        <v>1706</v>
      </c>
      <c r="BJ33" s="9" t="s">
        <v>1707</v>
      </c>
      <c r="BK33" s="9" t="s">
        <v>1705</v>
      </c>
      <c r="BL33" s="9" t="s">
        <v>1708</v>
      </c>
      <c r="BM33" s="9" t="s">
        <v>1709</v>
      </c>
      <c r="BN33" s="9" t="s">
        <v>1699</v>
      </c>
      <c r="BO33" s="9" t="s">
        <v>1700</v>
      </c>
      <c r="BP33" s="9" t="s">
        <v>1701</v>
      </c>
      <c r="BQ33" s="9" t="s">
        <v>28</v>
      </c>
      <c r="BR33" s="9" t="s">
        <v>1702</v>
      </c>
      <c r="BS33" s="9" t="s">
        <v>1703</v>
      </c>
      <c r="BU33" s="9" t="s">
        <v>1704</v>
      </c>
      <c r="BV33" s="9" t="s">
        <v>13901</v>
      </c>
      <c r="BW33" s="9" t="s">
        <v>1711</v>
      </c>
      <c r="BZ33" s="9" t="s">
        <v>1699</v>
      </c>
      <c r="CA33" s="9" t="s">
        <v>1700</v>
      </c>
      <c r="CB33" s="9" t="s">
        <v>1701</v>
      </c>
      <c r="CC33" s="9" t="s">
        <v>28</v>
      </c>
      <c r="CD33" s="9" t="s">
        <v>1712</v>
      </c>
      <c r="CE33" s="9" t="s">
        <v>1713</v>
      </c>
      <c r="CF33" s="9" t="s">
        <v>28</v>
      </c>
      <c r="CG33" s="9" t="s">
        <v>743</v>
      </c>
      <c r="CH33" s="9" t="s">
        <v>28</v>
      </c>
      <c r="CI33" s="9" t="s">
        <v>743</v>
      </c>
      <c r="CJ33" s="9" t="s">
        <v>1714</v>
      </c>
      <c r="CK33" s="10">
        <v>24</v>
      </c>
      <c r="CL33" s="10">
        <v>24</v>
      </c>
      <c r="CM33" s="10">
        <v>24</v>
      </c>
      <c r="CN33" s="10">
        <v>1</v>
      </c>
      <c r="CO33" s="10">
        <v>24</v>
      </c>
      <c r="CP33" s="10">
        <v>24</v>
      </c>
      <c r="CQ33" s="10">
        <v>24</v>
      </c>
      <c r="CR33" s="10">
        <v>1</v>
      </c>
      <c r="CS33" s="11">
        <v>1</v>
      </c>
      <c r="CT33" s="11">
        <v>1</v>
      </c>
      <c r="CU33" s="11">
        <v>0.67</v>
      </c>
      <c r="CW33" s="10">
        <v>7</v>
      </c>
      <c r="CX33" s="10">
        <v>120</v>
      </c>
      <c r="CY33" s="10">
        <v>120</v>
      </c>
      <c r="CZ33" s="10" t="s">
        <v>25</v>
      </c>
      <c r="DA33" s="10" t="s">
        <v>25</v>
      </c>
      <c r="DB33" s="10" t="s">
        <v>25</v>
      </c>
      <c r="DC33" s="10" t="s">
        <v>28</v>
      </c>
      <c r="DD33" s="10" t="s">
        <v>28</v>
      </c>
      <c r="DH33" s="39">
        <v>15000</v>
      </c>
      <c r="DI33" s="39">
        <v>25000</v>
      </c>
      <c r="DJ33" s="9" t="s">
        <v>1715</v>
      </c>
      <c r="DK33" s="9" t="s">
        <v>1715</v>
      </c>
      <c r="DM33" s="9" t="s">
        <v>28</v>
      </c>
      <c r="DN33" s="9" t="s">
        <v>28</v>
      </c>
      <c r="DO33" s="9" t="s">
        <v>25</v>
      </c>
      <c r="DP33" s="9" t="s">
        <v>28</v>
      </c>
      <c r="DQ33" s="9" t="s">
        <v>28</v>
      </c>
      <c r="DR33" s="9" t="s">
        <v>25</v>
      </c>
      <c r="DS33" s="9" t="s">
        <v>612</v>
      </c>
      <c r="DT33" s="9" t="s">
        <v>1716</v>
      </c>
      <c r="DU33" s="9" t="s">
        <v>1717</v>
      </c>
      <c r="DV33" s="9" t="s">
        <v>1718</v>
      </c>
      <c r="DW33" s="11">
        <v>0.67</v>
      </c>
      <c r="DX33" s="11">
        <v>0.67</v>
      </c>
      <c r="EC33" s="9" t="s">
        <v>635</v>
      </c>
      <c r="ED33" s="9" t="s">
        <v>1719</v>
      </c>
      <c r="EE33" s="9" t="s">
        <v>1720</v>
      </c>
      <c r="EF33" s="9" t="s">
        <v>1721</v>
      </c>
      <c r="EG33" s="9" t="s">
        <v>1722</v>
      </c>
      <c r="EH33" s="9" t="s">
        <v>1723</v>
      </c>
      <c r="EI33" s="9" t="s">
        <v>1724</v>
      </c>
      <c r="EJ33" s="9" t="s">
        <v>1725</v>
      </c>
      <c r="EK33" s="9" t="s">
        <v>1726</v>
      </c>
      <c r="EL33" s="9" t="s">
        <v>1727</v>
      </c>
      <c r="EM33" s="9" t="s">
        <v>1728</v>
      </c>
      <c r="EN33" s="9" t="s">
        <v>693</v>
      </c>
      <c r="EO33" s="9" t="s">
        <v>693</v>
      </c>
      <c r="EP33" s="9" t="s">
        <v>1725</v>
      </c>
      <c r="EQ33" s="9" t="s">
        <v>1725</v>
      </c>
      <c r="ER33" s="9" t="s">
        <v>693</v>
      </c>
      <c r="ES33" s="9" t="s">
        <v>25</v>
      </c>
      <c r="ET33" s="9" t="s">
        <v>1729</v>
      </c>
      <c r="EU33" s="9" t="s">
        <v>13519</v>
      </c>
      <c r="EV33" s="9" t="s">
        <v>1730</v>
      </c>
      <c r="FD33" s="9" t="s">
        <v>28</v>
      </c>
      <c r="FE33" s="9" t="s">
        <v>1731</v>
      </c>
      <c r="FF33" s="9" t="s">
        <v>29</v>
      </c>
      <c r="FG33" s="9" t="s">
        <v>25</v>
      </c>
    </row>
    <row r="34" spans="1:163" ht="51" x14ac:dyDescent="0.2">
      <c r="A34" s="8" t="s">
        <v>168</v>
      </c>
      <c r="B34" s="9" t="s">
        <v>1697</v>
      </c>
      <c r="D34" s="9" t="s">
        <v>1697</v>
      </c>
      <c r="G34" s="9" t="s">
        <v>1697</v>
      </c>
      <c r="P34" s="9" t="s">
        <v>1735</v>
      </c>
      <c r="AB34" s="9" t="s">
        <v>1735</v>
      </c>
      <c r="AS34" s="9" t="s">
        <v>28</v>
      </c>
      <c r="AT34" s="9" t="s">
        <v>1915</v>
      </c>
      <c r="AU34" s="9" t="s">
        <v>1874</v>
      </c>
      <c r="AW34" s="9" t="s">
        <v>1756</v>
      </c>
      <c r="AX34" s="9" t="s">
        <v>1699</v>
      </c>
      <c r="AY34" s="9" t="s">
        <v>1750</v>
      </c>
      <c r="AZ34" s="9" t="s">
        <v>1704</v>
      </c>
      <c r="BA34" s="9" t="s">
        <v>28</v>
      </c>
      <c r="BB34" s="9" t="s">
        <v>1702</v>
      </c>
      <c r="BC34" s="9" t="s">
        <v>1703</v>
      </c>
      <c r="BF34" s="9" t="s">
        <v>1738</v>
      </c>
      <c r="BH34" s="9" t="s">
        <v>1854</v>
      </c>
      <c r="BI34" s="9" t="s">
        <v>1706</v>
      </c>
      <c r="BJ34" s="9" t="s">
        <v>1707</v>
      </c>
      <c r="BK34" s="9" t="s">
        <v>1767</v>
      </c>
      <c r="BL34" s="9" t="s">
        <v>1762</v>
      </c>
      <c r="BM34" s="9" t="s">
        <v>1709</v>
      </c>
      <c r="BN34" s="9" t="s">
        <v>1699</v>
      </c>
      <c r="BO34" s="9" t="s">
        <v>1750</v>
      </c>
      <c r="BP34" s="9" t="s">
        <v>1704</v>
      </c>
      <c r="BQ34" s="9" t="s">
        <v>25</v>
      </c>
      <c r="BW34" s="9" t="s">
        <v>1711</v>
      </c>
      <c r="BZ34" s="9" t="s">
        <v>1699</v>
      </c>
      <c r="CA34" s="9" t="s">
        <v>1750</v>
      </c>
      <c r="CB34" s="9" t="s">
        <v>1704</v>
      </c>
      <c r="CC34" s="9" t="s">
        <v>28</v>
      </c>
      <c r="CD34" s="9" t="s">
        <v>1778</v>
      </c>
      <c r="CE34" s="9" t="s">
        <v>1713</v>
      </c>
      <c r="CF34" s="9" t="s">
        <v>28</v>
      </c>
      <c r="CG34" s="9" t="s">
        <v>1825</v>
      </c>
      <c r="CH34" s="9" t="s">
        <v>28</v>
      </c>
      <c r="CI34" s="9" t="s">
        <v>1825</v>
      </c>
      <c r="CJ34" s="9" t="s">
        <v>1916</v>
      </c>
      <c r="CK34" s="10">
        <v>30</v>
      </c>
      <c r="CL34" s="10">
        <v>30</v>
      </c>
      <c r="CM34" s="10">
        <v>30</v>
      </c>
      <c r="CN34" s="10">
        <v>30</v>
      </c>
      <c r="CO34" s="10">
        <v>20</v>
      </c>
      <c r="CP34" s="10">
        <v>20</v>
      </c>
      <c r="CQ34" s="10">
        <v>20</v>
      </c>
      <c r="CR34" s="10">
        <v>20</v>
      </c>
      <c r="CT34" s="11">
        <v>0.7</v>
      </c>
      <c r="CU34" s="11">
        <v>0.67</v>
      </c>
      <c r="CV34" s="10" t="s">
        <v>1917</v>
      </c>
      <c r="CW34" s="10">
        <v>7</v>
      </c>
      <c r="CX34" s="10">
        <v>180</v>
      </c>
      <c r="CZ34" s="10" t="s">
        <v>25</v>
      </c>
      <c r="DA34" s="10" t="s">
        <v>28</v>
      </c>
      <c r="DB34" s="10" t="s">
        <v>28</v>
      </c>
      <c r="DC34" s="10" t="s">
        <v>25</v>
      </c>
      <c r="DD34" s="10" t="s">
        <v>25</v>
      </c>
      <c r="DF34" s="39">
        <v>15166</v>
      </c>
      <c r="DG34" s="39">
        <v>25000</v>
      </c>
      <c r="DJ34" s="9" t="s">
        <v>1715</v>
      </c>
      <c r="DK34" s="9" t="s">
        <v>1715</v>
      </c>
      <c r="DM34" s="9" t="s">
        <v>28</v>
      </c>
      <c r="DN34" s="9" t="s">
        <v>28</v>
      </c>
      <c r="DO34" s="9" t="s">
        <v>25</v>
      </c>
      <c r="DP34" s="9" t="s">
        <v>28</v>
      </c>
      <c r="DQ34" s="9" t="s">
        <v>28</v>
      </c>
      <c r="DR34" s="9" t="s">
        <v>25</v>
      </c>
      <c r="DS34" s="9" t="s">
        <v>1840</v>
      </c>
      <c r="DU34" s="9" t="s">
        <v>1717</v>
      </c>
      <c r="DV34" s="9" t="s">
        <v>1746</v>
      </c>
      <c r="DW34" s="11">
        <v>0.67</v>
      </c>
      <c r="ED34" s="9" t="s">
        <v>1719</v>
      </c>
      <c r="EE34" s="9" t="s">
        <v>1719</v>
      </c>
      <c r="EF34" s="9" t="s">
        <v>1719</v>
      </c>
      <c r="EG34" s="9" t="s">
        <v>1755</v>
      </c>
      <c r="EH34" s="9" t="s">
        <v>1755</v>
      </c>
      <c r="EI34" s="9" t="s">
        <v>1755</v>
      </c>
      <c r="EJ34" s="9" t="s">
        <v>1725</v>
      </c>
      <c r="EK34" s="9" t="s">
        <v>1726</v>
      </c>
      <c r="EL34" s="9" t="s">
        <v>1727</v>
      </c>
      <c r="EM34" s="9" t="s">
        <v>1728</v>
      </c>
      <c r="EN34" s="9" t="s">
        <v>693</v>
      </c>
      <c r="EO34" s="9" t="s">
        <v>693</v>
      </c>
      <c r="EQ34" s="9" t="s">
        <v>1725</v>
      </c>
      <c r="ER34" s="9" t="s">
        <v>1747</v>
      </c>
      <c r="ES34" s="9" t="s">
        <v>25</v>
      </c>
      <c r="ET34" s="9" t="s">
        <v>25</v>
      </c>
    </row>
    <row r="35" spans="1:163" ht="51" x14ac:dyDescent="0.2">
      <c r="A35" s="8" t="s">
        <v>143</v>
      </c>
      <c r="B35" s="9" t="s">
        <v>1695</v>
      </c>
      <c r="AS35" s="9" t="s">
        <v>25</v>
      </c>
      <c r="AW35" s="9" t="s">
        <v>1756</v>
      </c>
      <c r="AX35" s="9" t="s">
        <v>1699</v>
      </c>
      <c r="AY35" s="9" t="s">
        <v>1750</v>
      </c>
      <c r="AZ35" s="9" t="s">
        <v>1704</v>
      </c>
      <c r="BA35" s="9" t="s">
        <v>28</v>
      </c>
      <c r="BB35" s="9" t="s">
        <v>1702</v>
      </c>
      <c r="BC35" s="9" t="s">
        <v>1699</v>
      </c>
      <c r="BD35" s="9" t="s">
        <v>29</v>
      </c>
      <c r="BE35" s="9" t="s">
        <v>1879</v>
      </c>
      <c r="BF35" s="9" t="s">
        <v>1704</v>
      </c>
      <c r="BH35" s="9" t="s">
        <v>1705</v>
      </c>
      <c r="BI35" s="9" t="s">
        <v>1706</v>
      </c>
      <c r="BJ35" s="9" t="s">
        <v>1707</v>
      </c>
      <c r="BK35" s="9" t="s">
        <v>1837</v>
      </c>
      <c r="BL35" s="9" t="s">
        <v>1762</v>
      </c>
      <c r="BM35" s="9" t="s">
        <v>1858</v>
      </c>
      <c r="BN35" s="9" t="s">
        <v>1699</v>
      </c>
      <c r="BO35" s="9" t="s">
        <v>1750</v>
      </c>
      <c r="BP35" s="9" t="s">
        <v>1704</v>
      </c>
      <c r="BQ35" s="9" t="s">
        <v>28</v>
      </c>
      <c r="BR35" s="9" t="s">
        <v>1702</v>
      </c>
      <c r="BS35" s="9" t="s">
        <v>1776</v>
      </c>
      <c r="BT35" s="9" t="s">
        <v>29</v>
      </c>
      <c r="BU35" s="9" t="s">
        <v>1704</v>
      </c>
      <c r="BV35" s="9" t="s">
        <v>13901</v>
      </c>
      <c r="BW35" s="9" t="s">
        <v>1754</v>
      </c>
      <c r="BX35" s="9" t="s">
        <v>1762</v>
      </c>
      <c r="BY35" s="9" t="s">
        <v>1858</v>
      </c>
      <c r="BZ35" s="9" t="s">
        <v>1699</v>
      </c>
      <c r="CA35" s="9" t="s">
        <v>1880</v>
      </c>
      <c r="CB35" s="9" t="s">
        <v>1704</v>
      </c>
      <c r="CC35" s="9" t="s">
        <v>28</v>
      </c>
      <c r="CD35" s="9" t="s">
        <v>1778</v>
      </c>
      <c r="CE35" s="9" t="s">
        <v>1779</v>
      </c>
      <c r="CF35" s="9" t="s">
        <v>28</v>
      </c>
      <c r="CG35" s="9" t="s">
        <v>743</v>
      </c>
      <c r="CH35" s="9" t="s">
        <v>28</v>
      </c>
      <c r="CI35" s="9" t="s">
        <v>743</v>
      </c>
      <c r="CJ35" s="9" t="s">
        <v>1714</v>
      </c>
      <c r="CK35" s="10">
        <v>20</v>
      </c>
      <c r="CL35" s="10">
        <v>20</v>
      </c>
      <c r="CM35" s="10">
        <v>20</v>
      </c>
      <c r="CN35" s="10">
        <v>20</v>
      </c>
      <c r="CO35" s="10">
        <v>20</v>
      </c>
      <c r="CP35" s="10">
        <v>20</v>
      </c>
      <c r="CQ35" s="10">
        <v>20</v>
      </c>
      <c r="CR35" s="10">
        <v>20</v>
      </c>
      <c r="CS35" s="11">
        <v>1</v>
      </c>
      <c r="CT35" s="11">
        <v>0.75</v>
      </c>
      <c r="CU35" s="11">
        <v>0.6</v>
      </c>
      <c r="CW35" s="10">
        <v>7</v>
      </c>
      <c r="CX35" s="10">
        <v>180</v>
      </c>
      <c r="CZ35" s="10" t="s">
        <v>25</v>
      </c>
      <c r="DA35" s="10" t="s">
        <v>28</v>
      </c>
      <c r="DB35" s="10" t="s">
        <v>28</v>
      </c>
      <c r="DC35" s="10" t="s">
        <v>25</v>
      </c>
      <c r="DD35" s="10" t="s">
        <v>25</v>
      </c>
      <c r="DF35" s="39">
        <v>20800</v>
      </c>
      <c r="DG35" s="39">
        <v>20000</v>
      </c>
      <c r="DJ35" s="9" t="s">
        <v>1770</v>
      </c>
      <c r="DK35" s="9" t="s">
        <v>1715</v>
      </c>
      <c r="DM35" s="9" t="s">
        <v>28</v>
      </c>
      <c r="DN35" s="9" t="s">
        <v>25</v>
      </c>
      <c r="DO35" s="9" t="s">
        <v>28</v>
      </c>
      <c r="DP35" s="9" t="s">
        <v>28</v>
      </c>
      <c r="DQ35" s="9" t="s">
        <v>28</v>
      </c>
      <c r="DR35" s="9" t="s">
        <v>25</v>
      </c>
      <c r="DS35" s="9" t="s">
        <v>1840</v>
      </c>
      <c r="DU35" s="9" t="s">
        <v>1717</v>
      </c>
      <c r="DV35" s="9" t="s">
        <v>1746</v>
      </c>
      <c r="DW35" s="11">
        <v>0.6</v>
      </c>
      <c r="EC35" s="9" t="s">
        <v>635</v>
      </c>
      <c r="ED35" s="9" t="s">
        <v>1719</v>
      </c>
      <c r="EE35" s="9" t="s">
        <v>1719</v>
      </c>
      <c r="EF35" s="9" t="s">
        <v>1719</v>
      </c>
      <c r="EG35" s="9" t="s">
        <v>1722</v>
      </c>
      <c r="EH35" s="9" t="s">
        <v>1723</v>
      </c>
      <c r="EI35" s="9" t="s">
        <v>1724</v>
      </c>
      <c r="EJ35" s="9" t="s">
        <v>1725</v>
      </c>
      <c r="EK35" s="9" t="s">
        <v>1726</v>
      </c>
      <c r="EL35" s="9" t="s">
        <v>1727</v>
      </c>
      <c r="EM35" s="9" t="s">
        <v>1728</v>
      </c>
      <c r="EN35" s="9" t="s">
        <v>693</v>
      </c>
      <c r="EO35" s="9" t="s">
        <v>693</v>
      </c>
      <c r="EP35" s="9" t="s">
        <v>1725</v>
      </c>
      <c r="ER35" s="9" t="s">
        <v>693</v>
      </c>
      <c r="ES35" s="9" t="s">
        <v>28</v>
      </c>
      <c r="ET35" s="9" t="s">
        <v>25</v>
      </c>
    </row>
    <row r="36" spans="1:163" ht="51" x14ac:dyDescent="0.2">
      <c r="A36" s="8" t="s">
        <v>180</v>
      </c>
      <c r="B36" s="9" t="s">
        <v>1695</v>
      </c>
      <c r="F36" s="9" t="s">
        <v>1772</v>
      </c>
      <c r="G36" s="9" t="s">
        <v>1734</v>
      </c>
      <c r="P36" s="9" t="s">
        <v>1943</v>
      </c>
      <c r="Q36" s="9" t="s">
        <v>1943</v>
      </c>
      <c r="R36" s="9" t="s">
        <v>1944</v>
      </c>
      <c r="S36" s="9" t="s">
        <v>1748</v>
      </c>
      <c r="T36" s="9" t="s">
        <v>1943</v>
      </c>
      <c r="U36" s="9" t="s">
        <v>1943</v>
      </c>
      <c r="Y36" s="9" t="s">
        <v>1943</v>
      </c>
      <c r="AB36" s="9" t="s">
        <v>1943</v>
      </c>
      <c r="AE36" s="11">
        <v>1</v>
      </c>
      <c r="AF36" s="9" t="s">
        <v>797</v>
      </c>
      <c r="AG36" s="9" t="s">
        <v>797</v>
      </c>
      <c r="AI36" s="11">
        <v>0.5</v>
      </c>
      <c r="AJ36" s="11">
        <v>0.6</v>
      </c>
      <c r="AN36" s="9" t="s">
        <v>797</v>
      </c>
      <c r="AQ36" s="9" t="s">
        <v>797</v>
      </c>
      <c r="AS36" s="9" t="s">
        <v>25</v>
      </c>
      <c r="AW36" s="9" t="s">
        <v>1756</v>
      </c>
      <c r="AX36" s="9" t="s">
        <v>1699</v>
      </c>
      <c r="AY36" s="9" t="s">
        <v>1750</v>
      </c>
      <c r="AZ36" s="9" t="s">
        <v>1704</v>
      </c>
      <c r="BA36" s="9" t="s">
        <v>25</v>
      </c>
      <c r="BB36" s="9" t="s">
        <v>1702</v>
      </c>
      <c r="BC36" s="9" t="s">
        <v>1703</v>
      </c>
      <c r="BF36" s="9" t="s">
        <v>1704</v>
      </c>
      <c r="BI36" s="9" t="s">
        <v>1706</v>
      </c>
      <c r="BJ36" s="9" t="s">
        <v>1707</v>
      </c>
      <c r="BK36" s="9" t="s">
        <v>1945</v>
      </c>
      <c r="BL36" s="9" t="s">
        <v>1708</v>
      </c>
      <c r="BM36" s="9" t="s">
        <v>1753</v>
      </c>
      <c r="BN36" s="9" t="s">
        <v>1699</v>
      </c>
      <c r="BO36" s="9" t="s">
        <v>1750</v>
      </c>
      <c r="BP36" s="9" t="s">
        <v>1704</v>
      </c>
      <c r="BQ36" s="9" t="s">
        <v>28</v>
      </c>
      <c r="BR36" s="9" t="s">
        <v>1702</v>
      </c>
      <c r="BS36" s="9" t="s">
        <v>1703</v>
      </c>
      <c r="BT36" s="9" t="s">
        <v>1750</v>
      </c>
      <c r="BU36" s="9" t="s">
        <v>1704</v>
      </c>
      <c r="BV36" s="9" t="s">
        <v>13905</v>
      </c>
      <c r="BW36" s="9" t="s">
        <v>1889</v>
      </c>
      <c r="BX36" s="9" t="s">
        <v>1708</v>
      </c>
      <c r="BZ36" s="9" t="s">
        <v>1820</v>
      </c>
      <c r="CC36" s="9" t="s">
        <v>28</v>
      </c>
      <c r="CD36" s="9" t="s">
        <v>1712</v>
      </c>
      <c r="CE36" s="9" t="s">
        <v>994</v>
      </c>
      <c r="CF36" s="9" t="s">
        <v>28</v>
      </c>
      <c r="CG36" s="9" t="s">
        <v>29</v>
      </c>
      <c r="CH36" s="9" t="s">
        <v>28</v>
      </c>
      <c r="CI36" s="9" t="s">
        <v>29</v>
      </c>
      <c r="CJ36" s="9" t="s">
        <v>1714</v>
      </c>
      <c r="CK36" s="10">
        <v>16</v>
      </c>
      <c r="CL36" s="10">
        <v>16</v>
      </c>
      <c r="CM36" s="10">
        <v>16</v>
      </c>
      <c r="CN36" s="10">
        <v>16</v>
      </c>
      <c r="CO36" s="10">
        <v>16</v>
      </c>
      <c r="CP36" s="10">
        <v>16</v>
      </c>
      <c r="CQ36" s="10">
        <v>16</v>
      </c>
      <c r="CR36" s="10">
        <v>16</v>
      </c>
      <c r="CS36" s="11">
        <v>1</v>
      </c>
      <c r="CT36" s="11">
        <v>1</v>
      </c>
      <c r="CU36" s="11">
        <v>0.6</v>
      </c>
      <c r="CV36" s="10" t="s">
        <v>13906</v>
      </c>
      <c r="CW36" s="10">
        <v>1</v>
      </c>
      <c r="CX36" s="10">
        <v>84</v>
      </c>
      <c r="CY36" s="10">
        <v>84</v>
      </c>
      <c r="CZ36" s="10" t="s">
        <v>25</v>
      </c>
      <c r="DA36" s="10" t="s">
        <v>28</v>
      </c>
      <c r="DB36" s="10" t="s">
        <v>28</v>
      </c>
      <c r="DF36" s="39">
        <v>14000</v>
      </c>
      <c r="DG36" s="39">
        <v>15000</v>
      </c>
      <c r="DJ36" s="9" t="s">
        <v>1715</v>
      </c>
      <c r="DK36" s="9" t="s">
        <v>1715</v>
      </c>
      <c r="DM36" s="9" t="s">
        <v>25</v>
      </c>
      <c r="DU36" s="9" t="s">
        <v>1717</v>
      </c>
      <c r="DV36" s="9" t="s">
        <v>1763</v>
      </c>
      <c r="DW36" s="11">
        <v>0.6</v>
      </c>
      <c r="EC36" s="9" t="s">
        <v>1946</v>
      </c>
      <c r="ED36" s="9" t="s">
        <v>1719</v>
      </c>
      <c r="EE36" s="9" t="s">
        <v>1720</v>
      </c>
      <c r="EF36" s="9" t="s">
        <v>1721</v>
      </c>
      <c r="EG36" s="9" t="s">
        <v>1722</v>
      </c>
      <c r="EH36" s="9" t="s">
        <v>1723</v>
      </c>
      <c r="EI36" s="9" t="s">
        <v>1724</v>
      </c>
      <c r="EJ36" s="9" t="s">
        <v>1725</v>
      </c>
      <c r="EK36" s="9" t="s">
        <v>1726</v>
      </c>
      <c r="EL36" s="9" t="s">
        <v>1727</v>
      </c>
      <c r="EM36" s="9" t="s">
        <v>1728</v>
      </c>
      <c r="EN36" s="9" t="s">
        <v>693</v>
      </c>
      <c r="EO36" s="9" t="s">
        <v>693</v>
      </c>
      <c r="EP36" s="9" t="s">
        <v>1725</v>
      </c>
      <c r="EQ36" s="9" t="s">
        <v>1725</v>
      </c>
      <c r="ER36" s="9" t="s">
        <v>1747</v>
      </c>
      <c r="ES36" s="9" t="s">
        <v>28</v>
      </c>
      <c r="ET36" s="9" t="s">
        <v>25</v>
      </c>
    </row>
    <row r="37" spans="1:163" ht="63.75" x14ac:dyDescent="0.2">
      <c r="A37" s="8" t="s">
        <v>158</v>
      </c>
      <c r="B37" s="9" t="s">
        <v>1695</v>
      </c>
      <c r="H37" s="9" t="s">
        <v>1734</v>
      </c>
      <c r="P37" s="9" t="s">
        <v>1735</v>
      </c>
      <c r="AS37" s="9" t="s">
        <v>25</v>
      </c>
      <c r="AW37" s="9" t="s">
        <v>1812</v>
      </c>
      <c r="AX37" s="9" t="s">
        <v>1699</v>
      </c>
      <c r="AY37" s="9" t="s">
        <v>1750</v>
      </c>
      <c r="AZ37" s="9" t="s">
        <v>1704</v>
      </c>
      <c r="BA37" s="9" t="s">
        <v>28</v>
      </c>
      <c r="BB37" s="9" t="s">
        <v>1702</v>
      </c>
      <c r="BC37" s="9" t="s">
        <v>1699</v>
      </c>
      <c r="BD37" s="9" t="s">
        <v>1785</v>
      </c>
      <c r="BE37" s="9" t="s">
        <v>1904</v>
      </c>
      <c r="BF37" s="9" t="s">
        <v>1704</v>
      </c>
      <c r="BH37" s="9" t="s">
        <v>1905</v>
      </c>
      <c r="BI37" s="9" t="s">
        <v>1706</v>
      </c>
      <c r="BJ37" s="9" t="s">
        <v>1707</v>
      </c>
      <c r="BK37" s="9" t="s">
        <v>1906</v>
      </c>
      <c r="BL37" s="9" t="s">
        <v>1708</v>
      </c>
      <c r="BM37" s="9" t="s">
        <v>1742</v>
      </c>
      <c r="BN37" s="9" t="s">
        <v>1699</v>
      </c>
      <c r="BO37" s="9" t="s">
        <v>1750</v>
      </c>
      <c r="BP37" s="9" t="s">
        <v>1704</v>
      </c>
      <c r="BQ37" s="9" t="s">
        <v>28</v>
      </c>
      <c r="BR37" s="9" t="s">
        <v>1702</v>
      </c>
      <c r="BS37" s="9" t="s">
        <v>1776</v>
      </c>
      <c r="BT37" s="9" t="s">
        <v>29</v>
      </c>
      <c r="BU37" s="9" t="s">
        <v>1704</v>
      </c>
      <c r="BV37" s="9" t="s">
        <v>13903</v>
      </c>
      <c r="BW37" s="9" t="s">
        <v>1754</v>
      </c>
      <c r="BX37" s="9" t="s">
        <v>1777</v>
      </c>
      <c r="BY37" s="9" t="s">
        <v>1709</v>
      </c>
      <c r="BZ37" s="9" t="s">
        <v>1699</v>
      </c>
      <c r="CA37" s="9" t="s">
        <v>1758</v>
      </c>
      <c r="CB37" s="9" t="s">
        <v>1704</v>
      </c>
      <c r="CC37" s="9" t="s">
        <v>28</v>
      </c>
      <c r="CD37" s="9" t="s">
        <v>1778</v>
      </c>
      <c r="CE37" s="9" t="s">
        <v>1713</v>
      </c>
      <c r="CF37" s="9" t="s">
        <v>28</v>
      </c>
      <c r="CG37" s="9" t="s">
        <v>1825</v>
      </c>
      <c r="CH37" s="9" t="s">
        <v>28</v>
      </c>
      <c r="CI37" s="9" t="s">
        <v>1825</v>
      </c>
      <c r="CJ37" s="9" t="s">
        <v>1714</v>
      </c>
      <c r="CK37" s="10">
        <v>20</v>
      </c>
      <c r="CL37" s="10">
        <v>20</v>
      </c>
      <c r="CM37" s="10">
        <v>20</v>
      </c>
      <c r="CN37" s="10">
        <v>20</v>
      </c>
      <c r="CO37" s="10">
        <v>20</v>
      </c>
      <c r="CP37" s="10">
        <v>20</v>
      </c>
      <c r="CQ37" s="10">
        <v>20</v>
      </c>
      <c r="CR37" s="10">
        <v>20</v>
      </c>
      <c r="CS37" s="11">
        <v>1</v>
      </c>
      <c r="CT37" s="11">
        <v>1</v>
      </c>
      <c r="CU37" s="11">
        <v>0.6</v>
      </c>
      <c r="CV37" s="10" t="s">
        <v>1907</v>
      </c>
      <c r="CW37" s="10">
        <v>7</v>
      </c>
      <c r="CX37" s="10">
        <v>180</v>
      </c>
      <c r="CY37" s="10">
        <v>180</v>
      </c>
      <c r="CZ37" s="10" t="s">
        <v>25</v>
      </c>
      <c r="DA37" s="10" t="s">
        <v>28</v>
      </c>
      <c r="DB37" s="10" t="s">
        <v>28</v>
      </c>
      <c r="DC37" s="10" t="s">
        <v>28</v>
      </c>
      <c r="DD37" s="10" t="s">
        <v>25</v>
      </c>
      <c r="DF37" s="39">
        <v>6500</v>
      </c>
      <c r="DG37" s="39">
        <v>5769</v>
      </c>
      <c r="DJ37" s="9" t="s">
        <v>1715</v>
      </c>
      <c r="DK37" s="9" t="s">
        <v>1715</v>
      </c>
      <c r="DL37" s="9" t="s">
        <v>1770</v>
      </c>
      <c r="DM37" s="9" t="s">
        <v>28</v>
      </c>
      <c r="DN37" s="9" t="s">
        <v>28</v>
      </c>
      <c r="DO37" s="9" t="s">
        <v>25</v>
      </c>
      <c r="DP37" s="9" t="s">
        <v>28</v>
      </c>
      <c r="DQ37" s="9" t="s">
        <v>28</v>
      </c>
      <c r="DR37" s="9" t="s">
        <v>25</v>
      </c>
      <c r="DS37" s="9" t="s">
        <v>1847</v>
      </c>
      <c r="DU37" s="9" t="s">
        <v>1717</v>
      </c>
      <c r="DV37" s="9" t="s">
        <v>1746</v>
      </c>
      <c r="DW37" s="11">
        <v>0.6</v>
      </c>
      <c r="DX37" s="11">
        <v>0.7</v>
      </c>
      <c r="EC37" s="9" t="s">
        <v>1739</v>
      </c>
      <c r="ED37" s="9" t="s">
        <v>1755</v>
      </c>
      <c r="EE37" s="9" t="s">
        <v>1755</v>
      </c>
      <c r="EF37" s="9" t="s">
        <v>1755</v>
      </c>
      <c r="EG37" s="9" t="s">
        <v>1755</v>
      </c>
      <c r="EH37" s="9" t="s">
        <v>1755</v>
      </c>
      <c r="EI37" s="9" t="s">
        <v>1755</v>
      </c>
      <c r="EJ37" s="9" t="s">
        <v>1725</v>
      </c>
      <c r="EK37" s="9" t="s">
        <v>1726</v>
      </c>
      <c r="EL37" s="9" t="s">
        <v>1727</v>
      </c>
      <c r="EM37" s="9" t="s">
        <v>1728</v>
      </c>
      <c r="EN37" s="9" t="s">
        <v>693</v>
      </c>
      <c r="EO37" s="9" t="s">
        <v>693</v>
      </c>
      <c r="EP37" s="9" t="s">
        <v>1724</v>
      </c>
      <c r="EQ37" s="9" t="s">
        <v>1724</v>
      </c>
      <c r="ER37" s="9" t="s">
        <v>693</v>
      </c>
      <c r="ES37" s="9" t="s">
        <v>25</v>
      </c>
      <c r="ET37" s="9" t="s">
        <v>25</v>
      </c>
    </row>
    <row r="38" spans="1:163" ht="51" x14ac:dyDescent="0.2">
      <c r="A38" s="8" t="s">
        <v>150</v>
      </c>
      <c r="B38" s="9" t="s">
        <v>1695</v>
      </c>
      <c r="F38" s="9" t="s">
        <v>1788</v>
      </c>
      <c r="G38" s="9" t="s">
        <v>1734</v>
      </c>
      <c r="AS38" s="9" t="s">
        <v>25</v>
      </c>
      <c r="AW38" s="9" t="s">
        <v>1892</v>
      </c>
      <c r="AX38" s="9" t="s">
        <v>1699</v>
      </c>
      <c r="AY38" s="9" t="s">
        <v>1750</v>
      </c>
      <c r="AZ38" s="9" t="s">
        <v>1704</v>
      </c>
      <c r="BA38" s="9" t="s">
        <v>28</v>
      </c>
      <c r="BB38" s="9" t="s">
        <v>1702</v>
      </c>
      <c r="BC38" s="9" t="s">
        <v>1699</v>
      </c>
      <c r="BD38" s="9" t="s">
        <v>29</v>
      </c>
      <c r="BE38" s="9" t="s">
        <v>1893</v>
      </c>
      <c r="BF38" s="9" t="s">
        <v>1773</v>
      </c>
      <c r="BH38" s="9" t="s">
        <v>1739</v>
      </c>
      <c r="BI38" s="9" t="s">
        <v>1706</v>
      </c>
      <c r="BJ38" s="9" t="s">
        <v>1707</v>
      </c>
      <c r="BK38" s="9" t="s">
        <v>1767</v>
      </c>
      <c r="BL38" s="9" t="s">
        <v>1762</v>
      </c>
      <c r="BM38" s="9" t="s">
        <v>1742</v>
      </c>
      <c r="BN38" s="9" t="s">
        <v>1699</v>
      </c>
      <c r="BO38" s="9" t="s">
        <v>1750</v>
      </c>
      <c r="BP38" s="9" t="s">
        <v>1704</v>
      </c>
      <c r="BQ38" s="9" t="s">
        <v>28</v>
      </c>
      <c r="BR38" s="9" t="s">
        <v>1702</v>
      </c>
      <c r="BS38" s="9" t="s">
        <v>1776</v>
      </c>
      <c r="BT38" s="9" t="s">
        <v>29</v>
      </c>
      <c r="BU38" s="9" t="s">
        <v>1773</v>
      </c>
      <c r="BV38" s="9" t="s">
        <v>13901</v>
      </c>
      <c r="BW38" s="9" t="s">
        <v>1754</v>
      </c>
      <c r="BX38" s="9" t="s">
        <v>1762</v>
      </c>
      <c r="BY38" s="9" t="s">
        <v>1742</v>
      </c>
      <c r="BZ38" s="9" t="s">
        <v>1699</v>
      </c>
      <c r="CA38" s="9" t="s">
        <v>1700</v>
      </c>
      <c r="CB38" s="9" t="s">
        <v>1738</v>
      </c>
      <c r="CC38" s="9" t="s">
        <v>28</v>
      </c>
      <c r="CD38" s="9" t="s">
        <v>1778</v>
      </c>
      <c r="CE38" s="9" t="s">
        <v>631</v>
      </c>
      <c r="CF38" s="9" t="s">
        <v>25</v>
      </c>
      <c r="CH38" s="9" t="s">
        <v>25</v>
      </c>
      <c r="CJ38" s="9" t="s">
        <v>1714</v>
      </c>
      <c r="CK38" s="10">
        <v>24</v>
      </c>
      <c r="CL38" s="10">
        <v>24</v>
      </c>
      <c r="CM38" s="10">
        <v>24</v>
      </c>
      <c r="CN38" s="10">
        <v>24</v>
      </c>
      <c r="CO38" s="10">
        <v>24</v>
      </c>
      <c r="CP38" s="10">
        <v>24</v>
      </c>
      <c r="CQ38" s="10">
        <v>24</v>
      </c>
      <c r="CR38" s="10">
        <v>24</v>
      </c>
      <c r="CS38" s="11">
        <v>1</v>
      </c>
      <c r="CT38" s="11">
        <v>0.67</v>
      </c>
      <c r="CU38" s="11">
        <v>0.6</v>
      </c>
      <c r="CW38" s="10">
        <v>7</v>
      </c>
      <c r="CX38" s="10">
        <v>180</v>
      </c>
      <c r="CY38" s="10">
        <v>180</v>
      </c>
      <c r="CZ38" s="10" t="s">
        <v>25</v>
      </c>
      <c r="DA38" s="10" t="s">
        <v>25</v>
      </c>
      <c r="DB38" s="10" t="s">
        <v>28</v>
      </c>
      <c r="DC38" s="10" t="s">
        <v>25</v>
      </c>
      <c r="DD38" s="10" t="s">
        <v>25</v>
      </c>
      <c r="DG38" s="39">
        <v>25000</v>
      </c>
      <c r="DJ38" s="9" t="s">
        <v>1715</v>
      </c>
      <c r="DK38" s="9" t="s">
        <v>1715</v>
      </c>
      <c r="DM38" s="9" t="s">
        <v>28</v>
      </c>
      <c r="DN38" s="9" t="s">
        <v>25</v>
      </c>
      <c r="DO38" s="9" t="s">
        <v>28</v>
      </c>
      <c r="DP38" s="9" t="s">
        <v>28</v>
      </c>
      <c r="DQ38" s="9" t="s">
        <v>28</v>
      </c>
      <c r="DR38" s="9" t="s">
        <v>28</v>
      </c>
      <c r="DS38" s="9" t="s">
        <v>1847</v>
      </c>
      <c r="DU38" s="9" t="s">
        <v>1717</v>
      </c>
      <c r="DV38" s="9" t="s">
        <v>1746</v>
      </c>
      <c r="DW38" s="11">
        <v>0.6</v>
      </c>
      <c r="EC38" s="9" t="s">
        <v>635</v>
      </c>
      <c r="ED38" s="9" t="s">
        <v>1755</v>
      </c>
      <c r="EE38" s="9" t="s">
        <v>1720</v>
      </c>
      <c r="EF38" s="9" t="s">
        <v>1721</v>
      </c>
      <c r="EG38" s="9" t="s">
        <v>1722</v>
      </c>
      <c r="EH38" s="9" t="s">
        <v>1723</v>
      </c>
      <c r="EI38" s="9" t="s">
        <v>1724</v>
      </c>
      <c r="EJ38" s="9" t="s">
        <v>1725</v>
      </c>
      <c r="EK38" s="9" t="s">
        <v>1726</v>
      </c>
      <c r="EL38" s="9" t="s">
        <v>1727</v>
      </c>
      <c r="EM38" s="9" t="s">
        <v>1728</v>
      </c>
      <c r="EN38" s="9" t="s">
        <v>693</v>
      </c>
      <c r="EO38" s="9" t="s">
        <v>693</v>
      </c>
      <c r="EP38" s="9" t="s">
        <v>1725</v>
      </c>
      <c r="EQ38" s="9" t="s">
        <v>1725</v>
      </c>
      <c r="ER38" s="9" t="s">
        <v>1747</v>
      </c>
      <c r="ES38" s="9" t="s">
        <v>25</v>
      </c>
      <c r="ET38" s="9" t="s">
        <v>25</v>
      </c>
    </row>
    <row r="39" spans="1:163" ht="51" x14ac:dyDescent="0.2">
      <c r="A39" s="8" t="s">
        <v>135</v>
      </c>
      <c r="B39" s="9" t="s">
        <v>1695</v>
      </c>
      <c r="F39" s="9" t="s">
        <v>1695</v>
      </c>
      <c r="AS39" s="9" t="s">
        <v>25</v>
      </c>
      <c r="AW39" s="9" t="s">
        <v>1843</v>
      </c>
      <c r="AX39" s="9" t="s">
        <v>1699</v>
      </c>
      <c r="AY39" s="9" t="s">
        <v>1737</v>
      </c>
      <c r="AZ39" s="9" t="s">
        <v>1803</v>
      </c>
      <c r="BA39" s="9" t="s">
        <v>28</v>
      </c>
      <c r="BB39" s="9" t="s">
        <v>1702</v>
      </c>
      <c r="BC39" s="9" t="s">
        <v>1699</v>
      </c>
      <c r="BD39" s="9" t="s">
        <v>29</v>
      </c>
      <c r="BE39" s="9" t="s">
        <v>1844</v>
      </c>
      <c r="BF39" s="9" t="s">
        <v>1803</v>
      </c>
      <c r="BH39" s="9" t="s">
        <v>1705</v>
      </c>
      <c r="BI39" s="9" t="s">
        <v>1706</v>
      </c>
      <c r="BJ39" s="9" t="s">
        <v>1707</v>
      </c>
      <c r="BK39" s="9" t="s">
        <v>1705</v>
      </c>
      <c r="BL39" s="9" t="s">
        <v>1845</v>
      </c>
      <c r="BM39" s="9" t="s">
        <v>1742</v>
      </c>
      <c r="BN39" s="9" t="s">
        <v>1699</v>
      </c>
      <c r="BO39" s="9" t="s">
        <v>1737</v>
      </c>
      <c r="BP39" s="9" t="s">
        <v>1704</v>
      </c>
      <c r="BQ39" s="9" t="s">
        <v>28</v>
      </c>
      <c r="BR39" s="9" t="s">
        <v>1702</v>
      </c>
      <c r="BS39" s="9" t="s">
        <v>1776</v>
      </c>
      <c r="BT39" s="9" t="s">
        <v>29</v>
      </c>
      <c r="BU39" s="9" t="s">
        <v>1704</v>
      </c>
      <c r="BV39" s="9" t="s">
        <v>1705</v>
      </c>
      <c r="BW39" s="9" t="s">
        <v>1754</v>
      </c>
      <c r="BX39" s="9" t="s">
        <v>1762</v>
      </c>
      <c r="BY39" s="9" t="s">
        <v>1709</v>
      </c>
      <c r="BZ39" s="9" t="s">
        <v>1703</v>
      </c>
      <c r="CA39" s="9" t="s">
        <v>1758</v>
      </c>
      <c r="CB39" s="9" t="s">
        <v>1738</v>
      </c>
      <c r="CC39" s="9" t="s">
        <v>28</v>
      </c>
      <c r="CD39" s="9" t="s">
        <v>1712</v>
      </c>
      <c r="CE39" s="9" t="s">
        <v>29</v>
      </c>
      <c r="CF39" s="9" t="s">
        <v>28</v>
      </c>
      <c r="CG39" s="9" t="s">
        <v>29</v>
      </c>
      <c r="CH39" s="9" t="s">
        <v>28</v>
      </c>
      <c r="CI39" s="9" t="s">
        <v>29</v>
      </c>
      <c r="CJ39" s="9" t="s">
        <v>1714</v>
      </c>
      <c r="CK39" s="10">
        <v>20</v>
      </c>
      <c r="CL39" s="10">
        <v>20</v>
      </c>
      <c r="CM39" s="10">
        <v>20</v>
      </c>
      <c r="CN39" s="10">
        <v>0</v>
      </c>
      <c r="CO39" s="10">
        <v>20</v>
      </c>
      <c r="CP39" s="10">
        <v>20</v>
      </c>
      <c r="CQ39" s="10">
        <v>20</v>
      </c>
      <c r="CR39" s="10">
        <v>0</v>
      </c>
      <c r="CS39" s="11">
        <v>1</v>
      </c>
      <c r="CT39" s="11">
        <v>0.7</v>
      </c>
      <c r="CV39" s="10" t="s">
        <v>1846</v>
      </c>
      <c r="CW39" s="10">
        <v>7</v>
      </c>
      <c r="CX39" s="10">
        <v>180</v>
      </c>
      <c r="CZ39" s="10" t="s">
        <v>25</v>
      </c>
      <c r="DA39" s="10" t="s">
        <v>25</v>
      </c>
      <c r="DB39" s="10" t="s">
        <v>25</v>
      </c>
      <c r="DC39" s="10" t="s">
        <v>28</v>
      </c>
      <c r="DD39" s="10" t="s">
        <v>28</v>
      </c>
      <c r="DH39" s="39">
        <v>15000</v>
      </c>
      <c r="DI39" s="39">
        <v>15000</v>
      </c>
      <c r="DJ39" s="9" t="s">
        <v>1715</v>
      </c>
      <c r="DL39" s="9" t="s">
        <v>1770</v>
      </c>
      <c r="DM39" s="9" t="s">
        <v>28</v>
      </c>
      <c r="DN39" s="9" t="s">
        <v>25</v>
      </c>
      <c r="DO39" s="9" t="s">
        <v>28</v>
      </c>
      <c r="DP39" s="9" t="s">
        <v>28</v>
      </c>
      <c r="DQ39" s="9" t="s">
        <v>28</v>
      </c>
      <c r="DR39" s="9" t="s">
        <v>25</v>
      </c>
      <c r="DS39" s="9" t="s">
        <v>1847</v>
      </c>
      <c r="DU39" s="9" t="s">
        <v>1717</v>
      </c>
      <c r="DV39" s="9" t="s">
        <v>1746</v>
      </c>
      <c r="DX39" s="11">
        <v>0.5</v>
      </c>
      <c r="DY39" s="11">
        <v>0.6</v>
      </c>
      <c r="EC39" s="9" t="s">
        <v>1848</v>
      </c>
      <c r="ED39" s="9" t="s">
        <v>1755</v>
      </c>
      <c r="EE39" s="9" t="s">
        <v>1755</v>
      </c>
      <c r="EF39" s="9" t="s">
        <v>1755</v>
      </c>
      <c r="EG39" s="9" t="s">
        <v>1755</v>
      </c>
      <c r="EH39" s="9" t="s">
        <v>1723</v>
      </c>
      <c r="EI39" s="9" t="s">
        <v>1724</v>
      </c>
      <c r="EJ39" s="9" t="s">
        <v>1725</v>
      </c>
      <c r="EK39" s="9" t="s">
        <v>1726</v>
      </c>
      <c r="EL39" s="9" t="s">
        <v>1727</v>
      </c>
      <c r="EM39" s="9" t="s">
        <v>1728</v>
      </c>
      <c r="EN39" s="9" t="s">
        <v>693</v>
      </c>
      <c r="EO39" s="9" t="s">
        <v>693</v>
      </c>
      <c r="EP39" s="9" t="s">
        <v>1755</v>
      </c>
      <c r="EQ39" s="9" t="s">
        <v>1725</v>
      </c>
      <c r="ER39" s="9" t="s">
        <v>1747</v>
      </c>
      <c r="ES39" s="9" t="s">
        <v>25</v>
      </c>
      <c r="ET39" s="9" t="s">
        <v>25</v>
      </c>
    </row>
    <row r="40" spans="1:163" ht="51" x14ac:dyDescent="0.2">
      <c r="A40" s="8" t="s">
        <v>137</v>
      </c>
      <c r="B40" s="9" t="s">
        <v>1695</v>
      </c>
      <c r="F40" s="9" t="s">
        <v>1697</v>
      </c>
      <c r="G40" s="9" t="s">
        <v>1697</v>
      </c>
      <c r="H40" s="9" t="s">
        <v>1697</v>
      </c>
      <c r="P40" s="9" t="s">
        <v>13900</v>
      </c>
      <c r="AS40" s="9" t="s">
        <v>25</v>
      </c>
      <c r="AW40" s="9" t="s">
        <v>1852</v>
      </c>
      <c r="AX40" s="9" t="s">
        <v>1699</v>
      </c>
      <c r="AY40" s="9" t="s">
        <v>1737</v>
      </c>
      <c r="AZ40" s="9" t="s">
        <v>1803</v>
      </c>
      <c r="BA40" s="9" t="s">
        <v>28</v>
      </c>
      <c r="BB40" s="9" t="s">
        <v>1757</v>
      </c>
      <c r="BC40" s="9" t="s">
        <v>1699</v>
      </c>
      <c r="BD40" s="9" t="s">
        <v>1785</v>
      </c>
      <c r="BE40" s="9" t="s">
        <v>1853</v>
      </c>
      <c r="BF40" s="9" t="s">
        <v>1803</v>
      </c>
      <c r="BH40" s="9" t="s">
        <v>1705</v>
      </c>
      <c r="BI40" s="9" t="s">
        <v>1706</v>
      </c>
      <c r="BJ40" s="9" t="s">
        <v>1707</v>
      </c>
      <c r="BK40" s="9" t="s">
        <v>1705</v>
      </c>
      <c r="BL40" s="9" t="s">
        <v>1845</v>
      </c>
      <c r="BM40" s="9" t="s">
        <v>1742</v>
      </c>
      <c r="BN40" s="9" t="s">
        <v>1699</v>
      </c>
      <c r="BO40" s="9" t="s">
        <v>1737</v>
      </c>
      <c r="BP40" s="9" t="s">
        <v>1704</v>
      </c>
      <c r="BQ40" s="9" t="s">
        <v>28</v>
      </c>
      <c r="BR40" s="9" t="s">
        <v>1757</v>
      </c>
      <c r="BS40" s="9" t="s">
        <v>1776</v>
      </c>
      <c r="BT40" s="9" t="s">
        <v>1737</v>
      </c>
      <c r="BU40" s="9" t="s">
        <v>1704</v>
      </c>
      <c r="BV40" s="9" t="s">
        <v>13902</v>
      </c>
      <c r="BW40" s="9" t="s">
        <v>1754</v>
      </c>
      <c r="BX40" s="9" t="s">
        <v>1762</v>
      </c>
      <c r="BY40" s="9" t="s">
        <v>1709</v>
      </c>
      <c r="BZ40" s="9" t="s">
        <v>1699</v>
      </c>
      <c r="CA40" s="9" t="s">
        <v>1758</v>
      </c>
      <c r="CB40" s="9" t="s">
        <v>1738</v>
      </c>
      <c r="CC40" s="9" t="s">
        <v>28</v>
      </c>
      <c r="CD40" s="9" t="s">
        <v>1778</v>
      </c>
      <c r="CE40" s="9" t="s">
        <v>1855</v>
      </c>
      <c r="CF40" s="9" t="s">
        <v>28</v>
      </c>
      <c r="CG40" s="9" t="s">
        <v>743</v>
      </c>
      <c r="CH40" s="9" t="s">
        <v>28</v>
      </c>
      <c r="CI40" s="9" t="s">
        <v>743</v>
      </c>
      <c r="CJ40" s="9" t="s">
        <v>1714</v>
      </c>
      <c r="CK40" s="10">
        <v>40</v>
      </c>
      <c r="CL40" s="10">
        <v>40</v>
      </c>
      <c r="CM40" s="10">
        <v>40</v>
      </c>
      <c r="CN40" s="10">
        <v>40</v>
      </c>
      <c r="CO40" s="10">
        <v>20</v>
      </c>
      <c r="CP40" s="10">
        <v>20</v>
      </c>
      <c r="CQ40" s="10">
        <v>20</v>
      </c>
      <c r="CR40" s="10">
        <v>0</v>
      </c>
      <c r="CS40" s="11">
        <v>1</v>
      </c>
      <c r="CT40" s="11">
        <v>0.7</v>
      </c>
      <c r="CU40" s="11">
        <v>0.5</v>
      </c>
      <c r="CX40" s="10">
        <v>138</v>
      </c>
      <c r="CZ40" s="10" t="s">
        <v>25</v>
      </c>
      <c r="DA40" s="10" t="s">
        <v>25</v>
      </c>
      <c r="DB40" s="10" t="s">
        <v>28</v>
      </c>
      <c r="DC40" s="10" t="s">
        <v>28</v>
      </c>
      <c r="DD40" s="10" t="s">
        <v>28</v>
      </c>
      <c r="DG40" s="39">
        <v>8000</v>
      </c>
      <c r="DH40" s="39">
        <v>25000</v>
      </c>
      <c r="DI40" s="39">
        <v>25000</v>
      </c>
      <c r="DJ40" s="9" t="s">
        <v>1715</v>
      </c>
      <c r="DK40" s="9" t="s">
        <v>1715</v>
      </c>
      <c r="DL40" s="9" t="s">
        <v>1839</v>
      </c>
      <c r="DM40" s="9" t="s">
        <v>28</v>
      </c>
      <c r="DN40" s="9" t="s">
        <v>25</v>
      </c>
      <c r="DO40" s="9" t="s">
        <v>28</v>
      </c>
      <c r="DP40" s="9" t="s">
        <v>28</v>
      </c>
      <c r="DQ40" s="9" t="s">
        <v>28</v>
      </c>
      <c r="DR40" s="9" t="s">
        <v>28</v>
      </c>
      <c r="DS40" s="9" t="s">
        <v>1771</v>
      </c>
      <c r="DU40" s="9" t="s">
        <v>1717</v>
      </c>
      <c r="DV40" s="9" t="s">
        <v>1746</v>
      </c>
      <c r="DW40" s="11">
        <v>0.5</v>
      </c>
      <c r="DX40" s="11">
        <v>0.6</v>
      </c>
      <c r="DY40" s="11">
        <v>0.7</v>
      </c>
      <c r="EC40" s="9" t="s">
        <v>1739</v>
      </c>
      <c r="ED40" s="9" t="s">
        <v>1755</v>
      </c>
      <c r="EE40" s="9" t="s">
        <v>1755</v>
      </c>
      <c r="EF40" s="9" t="s">
        <v>1755</v>
      </c>
      <c r="EG40" s="9" t="s">
        <v>1720</v>
      </c>
      <c r="EH40" s="9" t="s">
        <v>1721</v>
      </c>
      <c r="EI40" s="9" t="s">
        <v>1722</v>
      </c>
      <c r="EJ40" s="9" t="s">
        <v>1723</v>
      </c>
      <c r="EK40" s="9" t="s">
        <v>1724</v>
      </c>
      <c r="EL40" s="9" t="s">
        <v>1725</v>
      </c>
      <c r="EM40" s="9" t="s">
        <v>1727</v>
      </c>
      <c r="EN40" s="9" t="s">
        <v>693</v>
      </c>
      <c r="EO40" s="9" t="s">
        <v>693</v>
      </c>
      <c r="EP40" s="9" t="s">
        <v>1725</v>
      </c>
      <c r="EQ40" s="9" t="s">
        <v>1719</v>
      </c>
      <c r="ER40" s="9" t="s">
        <v>1747</v>
      </c>
      <c r="ES40" s="9" t="s">
        <v>25</v>
      </c>
      <c r="ET40" s="9" t="s">
        <v>25</v>
      </c>
    </row>
    <row r="41" spans="1:163" ht="51" x14ac:dyDescent="0.2">
      <c r="A41" s="8" t="s">
        <v>142</v>
      </c>
      <c r="B41" s="9" t="s">
        <v>1695</v>
      </c>
      <c r="P41" s="9" t="s">
        <v>1735</v>
      </c>
      <c r="AS41" s="9" t="s">
        <v>25</v>
      </c>
      <c r="AW41" s="9" t="s">
        <v>1756</v>
      </c>
      <c r="AX41" s="9" t="s">
        <v>1699</v>
      </c>
      <c r="AY41" s="9" t="s">
        <v>1750</v>
      </c>
      <c r="AZ41" s="9" t="s">
        <v>1704</v>
      </c>
      <c r="BA41" s="9" t="s">
        <v>28</v>
      </c>
      <c r="BB41" s="9" t="s">
        <v>1702</v>
      </c>
      <c r="BC41" s="9" t="s">
        <v>1699</v>
      </c>
      <c r="BD41" s="9" t="s">
        <v>29</v>
      </c>
      <c r="BE41" s="9" t="s">
        <v>1766</v>
      </c>
      <c r="BF41" s="9" t="s">
        <v>1704</v>
      </c>
      <c r="BH41" s="9" t="s">
        <v>1739</v>
      </c>
      <c r="BI41" s="9" t="s">
        <v>1740</v>
      </c>
      <c r="BJ41" s="9" t="s">
        <v>1707</v>
      </c>
      <c r="BK41" s="9" t="s">
        <v>1739</v>
      </c>
      <c r="BL41" s="9" t="s">
        <v>1845</v>
      </c>
      <c r="BM41" s="9" t="s">
        <v>1753</v>
      </c>
      <c r="BN41" s="9" t="s">
        <v>1699</v>
      </c>
      <c r="BO41" s="9" t="s">
        <v>1750</v>
      </c>
      <c r="BP41" s="9" t="s">
        <v>1704</v>
      </c>
      <c r="BQ41" s="9" t="s">
        <v>28</v>
      </c>
      <c r="BR41" s="9" t="s">
        <v>1702</v>
      </c>
      <c r="BS41" s="9" t="s">
        <v>1776</v>
      </c>
      <c r="BT41" s="9" t="s">
        <v>1787</v>
      </c>
      <c r="BU41" s="9" t="s">
        <v>1704</v>
      </c>
      <c r="BV41" s="9" t="s">
        <v>1739</v>
      </c>
      <c r="BW41" s="9" t="s">
        <v>1754</v>
      </c>
      <c r="BX41" s="9" t="s">
        <v>1845</v>
      </c>
      <c r="BY41" s="9" t="s">
        <v>1742</v>
      </c>
      <c r="BZ41" s="9" t="s">
        <v>1699</v>
      </c>
      <c r="CA41" s="9" t="s">
        <v>1700</v>
      </c>
      <c r="CB41" s="9" t="s">
        <v>1704</v>
      </c>
      <c r="CC41" s="9" t="s">
        <v>28</v>
      </c>
      <c r="CD41" s="9" t="s">
        <v>1778</v>
      </c>
      <c r="CE41" s="9" t="s">
        <v>1779</v>
      </c>
      <c r="CF41" s="9" t="s">
        <v>28</v>
      </c>
      <c r="CG41" s="9" t="s">
        <v>743</v>
      </c>
      <c r="CH41" s="9" t="s">
        <v>28</v>
      </c>
      <c r="CI41" s="9" t="s">
        <v>743</v>
      </c>
      <c r="CJ41" s="9" t="s">
        <v>1714</v>
      </c>
      <c r="CK41" s="10">
        <v>40</v>
      </c>
      <c r="CL41" s="10">
        <v>40</v>
      </c>
      <c r="CM41" s="10">
        <v>40</v>
      </c>
      <c r="CN41" s="10">
        <v>40</v>
      </c>
      <c r="CO41" s="10">
        <v>20</v>
      </c>
      <c r="CP41" s="10">
        <v>20</v>
      </c>
      <c r="CQ41" s="10">
        <v>20</v>
      </c>
      <c r="CR41" s="10">
        <v>20</v>
      </c>
      <c r="CT41" s="11">
        <v>0.75</v>
      </c>
      <c r="CU41" s="11">
        <v>0.6</v>
      </c>
      <c r="CV41" s="10" t="s">
        <v>1877</v>
      </c>
      <c r="CW41" s="10">
        <v>7</v>
      </c>
      <c r="CX41" s="10">
        <v>180</v>
      </c>
      <c r="CY41" s="10">
        <v>180</v>
      </c>
      <c r="CZ41" s="10" t="s">
        <v>25</v>
      </c>
      <c r="DA41" s="10" t="s">
        <v>25</v>
      </c>
      <c r="DB41" s="10" t="s">
        <v>28</v>
      </c>
      <c r="DC41" s="10" t="s">
        <v>25</v>
      </c>
      <c r="DD41" s="10" t="s">
        <v>25</v>
      </c>
      <c r="DG41" s="39">
        <v>15000</v>
      </c>
      <c r="DJ41" s="9" t="s">
        <v>1781</v>
      </c>
      <c r="DK41" s="9" t="s">
        <v>1715</v>
      </c>
      <c r="DM41" s="9" t="s">
        <v>28</v>
      </c>
      <c r="DN41" s="9" t="s">
        <v>25</v>
      </c>
      <c r="DO41" s="9" t="s">
        <v>28</v>
      </c>
      <c r="DP41" s="9" t="s">
        <v>28</v>
      </c>
      <c r="DQ41" s="9" t="s">
        <v>28</v>
      </c>
      <c r="DR41" s="9" t="s">
        <v>25</v>
      </c>
      <c r="DS41" s="9" t="s">
        <v>1878</v>
      </c>
      <c r="DU41" s="9" t="s">
        <v>1717</v>
      </c>
      <c r="DV41" s="9" t="s">
        <v>1746</v>
      </c>
      <c r="DW41" s="11">
        <v>0.6</v>
      </c>
      <c r="EC41" s="9" t="s">
        <v>635</v>
      </c>
      <c r="ED41" s="9" t="s">
        <v>1719</v>
      </c>
      <c r="EE41" s="9" t="s">
        <v>1720</v>
      </c>
      <c r="EF41" s="9" t="s">
        <v>1720</v>
      </c>
      <c r="EG41" s="9" t="s">
        <v>1720</v>
      </c>
      <c r="EH41" s="9" t="s">
        <v>1720</v>
      </c>
      <c r="EI41" s="9" t="s">
        <v>1720</v>
      </c>
      <c r="EJ41" s="9" t="s">
        <v>29</v>
      </c>
      <c r="EK41" s="9" t="s">
        <v>29</v>
      </c>
      <c r="EL41" s="9" t="s">
        <v>29</v>
      </c>
      <c r="EM41" s="9" t="s">
        <v>29</v>
      </c>
      <c r="EN41" s="9" t="s">
        <v>29</v>
      </c>
      <c r="EO41" s="9" t="s">
        <v>693</v>
      </c>
      <c r="EP41" s="9" t="s">
        <v>1723</v>
      </c>
      <c r="EQ41" s="9" t="s">
        <v>693</v>
      </c>
      <c r="ER41" s="9" t="s">
        <v>29</v>
      </c>
      <c r="ES41" s="9" t="s">
        <v>25</v>
      </c>
      <c r="ET41" s="9" t="s">
        <v>25</v>
      </c>
    </row>
    <row r="42" spans="1:163" ht="63.75" x14ac:dyDescent="0.2">
      <c r="A42" s="8" t="s">
        <v>161</v>
      </c>
      <c r="B42" s="9" t="s">
        <v>1697</v>
      </c>
      <c r="G42" s="9" t="s">
        <v>1849</v>
      </c>
      <c r="AS42" s="9" t="s">
        <v>25</v>
      </c>
      <c r="AW42" s="9" t="s">
        <v>1756</v>
      </c>
      <c r="AX42" s="9" t="s">
        <v>1699</v>
      </c>
      <c r="AY42" s="9" t="s">
        <v>1700</v>
      </c>
      <c r="AZ42" s="9" t="s">
        <v>1704</v>
      </c>
      <c r="BA42" s="9" t="s">
        <v>28</v>
      </c>
      <c r="BB42" s="9" t="s">
        <v>1702</v>
      </c>
      <c r="BC42" s="9" t="s">
        <v>1703</v>
      </c>
      <c r="BF42" s="9" t="s">
        <v>1704</v>
      </c>
      <c r="BH42" s="9" t="s">
        <v>1868</v>
      </c>
      <c r="BI42" s="9" t="s">
        <v>1706</v>
      </c>
      <c r="BJ42" s="9" t="s">
        <v>1707</v>
      </c>
      <c r="BK42" s="9" t="s">
        <v>1901</v>
      </c>
      <c r="BL42" s="9" t="s">
        <v>1762</v>
      </c>
      <c r="BM42" s="9" t="s">
        <v>1753</v>
      </c>
      <c r="BN42" s="9" t="s">
        <v>1699</v>
      </c>
      <c r="BO42" s="9" t="s">
        <v>1700</v>
      </c>
      <c r="BP42" s="9" t="s">
        <v>1704</v>
      </c>
      <c r="BQ42" s="9" t="s">
        <v>28</v>
      </c>
      <c r="BR42" s="9" t="s">
        <v>1702</v>
      </c>
      <c r="BS42" s="9" t="s">
        <v>1703</v>
      </c>
      <c r="BU42" s="9" t="s">
        <v>1704</v>
      </c>
      <c r="BV42" s="9" t="s">
        <v>1868</v>
      </c>
      <c r="BW42" s="9" t="s">
        <v>1754</v>
      </c>
      <c r="BX42" s="9" t="s">
        <v>1762</v>
      </c>
      <c r="BY42" s="9" t="s">
        <v>1753</v>
      </c>
      <c r="BZ42" s="9" t="s">
        <v>1703</v>
      </c>
      <c r="CB42" s="9" t="s">
        <v>1701</v>
      </c>
      <c r="CC42" s="9" t="s">
        <v>25</v>
      </c>
      <c r="CE42" s="9" t="s">
        <v>631</v>
      </c>
      <c r="CF42" s="9" t="s">
        <v>25</v>
      </c>
      <c r="CH42" s="9" t="s">
        <v>25</v>
      </c>
      <c r="CJ42" s="9" t="s">
        <v>1714</v>
      </c>
      <c r="CK42" s="10">
        <v>40</v>
      </c>
      <c r="CL42" s="10">
        <v>40</v>
      </c>
      <c r="CM42" s="10">
        <v>40</v>
      </c>
      <c r="CN42" s="10">
        <v>40</v>
      </c>
      <c r="CO42" s="10">
        <v>30</v>
      </c>
      <c r="CP42" s="10">
        <v>1</v>
      </c>
      <c r="CQ42" s="10">
        <v>30</v>
      </c>
      <c r="CR42" s="10">
        <v>30</v>
      </c>
      <c r="CS42" s="11">
        <v>1</v>
      </c>
      <c r="CT42" s="11">
        <v>1</v>
      </c>
      <c r="CU42" s="11">
        <v>0.6</v>
      </c>
      <c r="CX42" s="10">
        <v>180</v>
      </c>
      <c r="CY42" s="10">
        <v>180</v>
      </c>
      <c r="CZ42" s="10" t="s">
        <v>25</v>
      </c>
      <c r="DA42" s="10" t="s">
        <v>25</v>
      </c>
      <c r="DB42" s="10" t="s">
        <v>28</v>
      </c>
      <c r="DC42" s="10" t="s">
        <v>25</v>
      </c>
      <c r="DD42" s="10" t="s">
        <v>25</v>
      </c>
      <c r="DG42" s="39">
        <v>25000</v>
      </c>
      <c r="DK42" s="9" t="s">
        <v>1715</v>
      </c>
      <c r="DM42" s="9" t="s">
        <v>28</v>
      </c>
      <c r="DN42" s="9" t="s">
        <v>25</v>
      </c>
      <c r="DO42" s="9" t="s">
        <v>28</v>
      </c>
      <c r="DP42" s="9" t="s">
        <v>28</v>
      </c>
      <c r="DQ42" s="9" t="s">
        <v>28</v>
      </c>
      <c r="DR42" s="9" t="s">
        <v>25</v>
      </c>
      <c r="DS42" s="9" t="s">
        <v>13516</v>
      </c>
      <c r="DU42" s="9" t="s">
        <v>1717</v>
      </c>
      <c r="DV42" s="9" t="s">
        <v>1746</v>
      </c>
      <c r="DW42" s="11">
        <v>0.6</v>
      </c>
      <c r="ED42" s="9" t="s">
        <v>1755</v>
      </c>
      <c r="EE42" s="9" t="s">
        <v>1720</v>
      </c>
      <c r="EF42" s="9" t="s">
        <v>1721</v>
      </c>
      <c r="EG42" s="9" t="s">
        <v>1722</v>
      </c>
      <c r="EH42" s="9" t="s">
        <v>1723</v>
      </c>
      <c r="EI42" s="9" t="s">
        <v>1724</v>
      </c>
      <c r="EJ42" s="9" t="s">
        <v>1725</v>
      </c>
      <c r="EK42" s="9" t="s">
        <v>1726</v>
      </c>
      <c r="EL42" s="9" t="s">
        <v>1727</v>
      </c>
      <c r="EM42" s="9" t="s">
        <v>1728</v>
      </c>
      <c r="EN42" s="9" t="s">
        <v>693</v>
      </c>
      <c r="EO42" s="9" t="s">
        <v>693</v>
      </c>
      <c r="EP42" s="9" t="s">
        <v>1755</v>
      </c>
      <c r="EQ42" s="9" t="s">
        <v>1725</v>
      </c>
      <c r="ER42" s="9" t="s">
        <v>1747</v>
      </c>
      <c r="ES42" s="9" t="s">
        <v>25</v>
      </c>
      <c r="ET42" s="9" t="s">
        <v>25</v>
      </c>
    </row>
    <row r="43" spans="1:163" ht="38.25" x14ac:dyDescent="0.2">
      <c r="A43" s="8" t="s">
        <v>163</v>
      </c>
      <c r="B43" s="9" t="s">
        <v>1697</v>
      </c>
      <c r="N43" s="9" t="s">
        <v>1697</v>
      </c>
      <c r="AS43" s="9" t="s">
        <v>25</v>
      </c>
      <c r="AW43" s="9" t="s">
        <v>1756</v>
      </c>
      <c r="AX43" s="9" t="s">
        <v>1699</v>
      </c>
      <c r="AY43" s="9" t="s">
        <v>1750</v>
      </c>
      <c r="AZ43" s="9" t="s">
        <v>1738</v>
      </c>
      <c r="BA43" s="9" t="s">
        <v>28</v>
      </c>
      <c r="BB43" s="9" t="s">
        <v>1702</v>
      </c>
      <c r="BC43" s="9" t="s">
        <v>1699</v>
      </c>
      <c r="BD43" s="9" t="s">
        <v>29</v>
      </c>
      <c r="BF43" s="9" t="s">
        <v>1704</v>
      </c>
      <c r="BH43" s="9" t="s">
        <v>1751</v>
      </c>
      <c r="BI43" s="9" t="s">
        <v>1706</v>
      </c>
      <c r="BJ43" s="9" t="s">
        <v>1707</v>
      </c>
      <c r="BK43" s="9" t="s">
        <v>1739</v>
      </c>
      <c r="BL43" s="9" t="s">
        <v>1708</v>
      </c>
      <c r="BM43" s="9" t="s">
        <v>1742</v>
      </c>
      <c r="BN43" s="9" t="s">
        <v>1699</v>
      </c>
      <c r="BO43" s="9" t="s">
        <v>1750</v>
      </c>
      <c r="BP43" s="9" t="s">
        <v>1738</v>
      </c>
      <c r="BQ43" s="9" t="s">
        <v>28</v>
      </c>
      <c r="BR43" s="9" t="s">
        <v>1702</v>
      </c>
      <c r="BS43" s="9" t="s">
        <v>1776</v>
      </c>
      <c r="BT43" s="9" t="s">
        <v>29</v>
      </c>
      <c r="BV43" s="9" t="s">
        <v>1895</v>
      </c>
      <c r="BW43" s="9" t="s">
        <v>1754</v>
      </c>
      <c r="BX43" s="9" t="s">
        <v>1708</v>
      </c>
      <c r="BY43" s="9" t="s">
        <v>1742</v>
      </c>
      <c r="CK43" s="10">
        <v>30</v>
      </c>
      <c r="CL43" s="10">
        <v>30</v>
      </c>
      <c r="CM43" s="10">
        <v>30</v>
      </c>
      <c r="CN43" s="10">
        <v>30</v>
      </c>
      <c r="CO43" s="10">
        <v>30</v>
      </c>
      <c r="CP43" s="10">
        <v>30</v>
      </c>
      <c r="CQ43" s="10">
        <v>30</v>
      </c>
      <c r="CR43" s="10">
        <v>30</v>
      </c>
      <c r="CT43" s="11">
        <v>0.75</v>
      </c>
      <c r="CU43" s="11">
        <v>0.6</v>
      </c>
      <c r="CW43" s="10">
        <v>7</v>
      </c>
      <c r="CX43" s="10">
        <v>182</v>
      </c>
      <c r="DJ43" s="9" t="s">
        <v>1715</v>
      </c>
      <c r="DK43" s="9" t="s">
        <v>1715</v>
      </c>
      <c r="DM43" s="9" t="s">
        <v>25</v>
      </c>
      <c r="DU43" s="9" t="s">
        <v>1745</v>
      </c>
      <c r="DV43" s="9" t="s">
        <v>1746</v>
      </c>
      <c r="DW43" s="11">
        <v>0.6</v>
      </c>
      <c r="EC43" s="9" t="s">
        <v>635</v>
      </c>
      <c r="ED43" s="9" t="s">
        <v>1755</v>
      </c>
      <c r="EE43" s="9" t="s">
        <v>1755</v>
      </c>
      <c r="EF43" s="9" t="s">
        <v>1755</v>
      </c>
      <c r="EG43" s="9" t="s">
        <v>1755</v>
      </c>
      <c r="EH43" s="9" t="s">
        <v>1755</v>
      </c>
      <c r="EI43" s="9" t="s">
        <v>1755</v>
      </c>
      <c r="EJ43" s="9" t="s">
        <v>1755</v>
      </c>
      <c r="EK43" s="9" t="s">
        <v>1755</v>
      </c>
      <c r="EL43" s="9" t="s">
        <v>1755</v>
      </c>
      <c r="EM43" s="9" t="s">
        <v>1755</v>
      </c>
      <c r="EN43" s="9" t="s">
        <v>1755</v>
      </c>
      <c r="EO43" s="9" t="s">
        <v>1755</v>
      </c>
      <c r="ER43" s="9" t="s">
        <v>1747</v>
      </c>
      <c r="ES43" s="9" t="s">
        <v>25</v>
      </c>
      <c r="ET43" s="9" t="s">
        <v>25</v>
      </c>
    </row>
    <row r="44" spans="1:163" ht="51" x14ac:dyDescent="0.2">
      <c r="A44" s="8" t="s">
        <v>165</v>
      </c>
      <c r="B44" s="9" t="s">
        <v>1695</v>
      </c>
      <c r="F44" s="9" t="s">
        <v>1772</v>
      </c>
      <c r="G44" s="9" t="s">
        <v>1695</v>
      </c>
      <c r="H44" s="9" t="s">
        <v>1808</v>
      </c>
      <c r="AS44" s="9" t="s">
        <v>25</v>
      </c>
      <c r="AW44" s="9" t="s">
        <v>1911</v>
      </c>
      <c r="AX44" s="9" t="s">
        <v>1699</v>
      </c>
      <c r="AY44" s="9" t="s">
        <v>1750</v>
      </c>
      <c r="AZ44" s="9" t="s">
        <v>1704</v>
      </c>
      <c r="BA44" s="9" t="s">
        <v>28</v>
      </c>
      <c r="BB44" s="9" t="s">
        <v>1702</v>
      </c>
      <c r="BC44" s="9" t="s">
        <v>1699</v>
      </c>
      <c r="BD44" s="9" t="s">
        <v>29</v>
      </c>
      <c r="BE44" s="9" t="s">
        <v>1912</v>
      </c>
      <c r="BF44" s="9" t="s">
        <v>1738</v>
      </c>
      <c r="BH44" s="9" t="s">
        <v>1705</v>
      </c>
      <c r="BI44" s="9" t="s">
        <v>1706</v>
      </c>
      <c r="BJ44" s="9" t="s">
        <v>1707</v>
      </c>
      <c r="BK44" s="9" t="s">
        <v>1767</v>
      </c>
      <c r="BL44" s="9" t="s">
        <v>1762</v>
      </c>
      <c r="BM44" s="9" t="s">
        <v>1753</v>
      </c>
      <c r="BN44" s="9" t="s">
        <v>1699</v>
      </c>
      <c r="BO44" s="9" t="s">
        <v>29</v>
      </c>
      <c r="BP44" s="9" t="s">
        <v>1704</v>
      </c>
      <c r="BQ44" s="9" t="s">
        <v>28</v>
      </c>
      <c r="BR44" s="9" t="s">
        <v>1702</v>
      </c>
      <c r="BS44" s="9" t="s">
        <v>1776</v>
      </c>
      <c r="BT44" s="9" t="s">
        <v>29</v>
      </c>
      <c r="BU44" s="9" t="s">
        <v>1704</v>
      </c>
      <c r="BV44" s="9" t="s">
        <v>13901</v>
      </c>
      <c r="BW44" s="9" t="s">
        <v>1754</v>
      </c>
      <c r="BX44" s="9" t="s">
        <v>1832</v>
      </c>
      <c r="BY44" s="9" t="s">
        <v>1709</v>
      </c>
      <c r="BZ44" s="9" t="s">
        <v>1699</v>
      </c>
      <c r="CA44" s="9" t="s">
        <v>1758</v>
      </c>
      <c r="CB44" s="9" t="s">
        <v>1704</v>
      </c>
      <c r="CC44" s="9" t="s">
        <v>28</v>
      </c>
      <c r="CD44" s="9" t="s">
        <v>1778</v>
      </c>
      <c r="CE44" s="9" t="s">
        <v>1779</v>
      </c>
      <c r="CF44" s="9" t="s">
        <v>28</v>
      </c>
      <c r="CG44" s="9" t="s">
        <v>29</v>
      </c>
      <c r="CH44" s="9" t="s">
        <v>28</v>
      </c>
      <c r="CI44" s="9" t="s">
        <v>29</v>
      </c>
      <c r="CJ44" s="9" t="s">
        <v>1714</v>
      </c>
      <c r="CK44" s="10">
        <v>24</v>
      </c>
      <c r="CL44" s="10">
        <v>24</v>
      </c>
      <c r="CM44" s="10">
        <v>24</v>
      </c>
      <c r="CN44" s="10">
        <v>0</v>
      </c>
      <c r="CO44" s="10">
        <v>24</v>
      </c>
      <c r="CP44" s="10">
        <v>24</v>
      </c>
      <c r="CQ44" s="10">
        <v>24</v>
      </c>
      <c r="CR44" s="10">
        <v>0</v>
      </c>
      <c r="CS44" s="11">
        <v>1</v>
      </c>
      <c r="CT44" s="11">
        <v>0.6</v>
      </c>
      <c r="CU44" s="11">
        <v>0.6</v>
      </c>
      <c r="CW44" s="10">
        <v>7</v>
      </c>
      <c r="CX44" s="10">
        <v>180</v>
      </c>
      <c r="CY44" s="10">
        <v>180</v>
      </c>
      <c r="CZ44" s="10" t="s">
        <v>25</v>
      </c>
      <c r="DA44" s="10" t="s">
        <v>28</v>
      </c>
      <c r="DB44" s="10" t="s">
        <v>25</v>
      </c>
      <c r="DC44" s="10" t="s">
        <v>25</v>
      </c>
      <c r="DD44" s="10" t="s">
        <v>25</v>
      </c>
      <c r="DF44" s="39">
        <v>5000</v>
      </c>
      <c r="DG44" s="39">
        <v>30000</v>
      </c>
      <c r="DJ44" s="9" t="s">
        <v>1770</v>
      </c>
      <c r="DK44" s="9" t="s">
        <v>1770</v>
      </c>
      <c r="DM44" s="9" t="s">
        <v>28</v>
      </c>
      <c r="DN44" s="9" t="s">
        <v>25</v>
      </c>
      <c r="DO44" s="9" t="s">
        <v>28</v>
      </c>
      <c r="DP44" s="9" t="s">
        <v>28</v>
      </c>
      <c r="DQ44" s="9" t="s">
        <v>28</v>
      </c>
      <c r="DR44" s="9" t="s">
        <v>25</v>
      </c>
      <c r="DS44" s="9" t="s">
        <v>1771</v>
      </c>
      <c r="DU44" s="9" t="s">
        <v>1717</v>
      </c>
      <c r="DV44" s="9" t="s">
        <v>1746</v>
      </c>
      <c r="DW44" s="11">
        <v>0.6</v>
      </c>
      <c r="EC44" s="9" t="s">
        <v>635</v>
      </c>
      <c r="ED44" s="9" t="s">
        <v>1755</v>
      </c>
      <c r="EE44" s="9" t="s">
        <v>1755</v>
      </c>
      <c r="EF44" s="9" t="s">
        <v>1721</v>
      </c>
      <c r="EG44" s="9" t="s">
        <v>1722</v>
      </c>
      <c r="EH44" s="9" t="s">
        <v>1723</v>
      </c>
      <c r="EI44" s="9" t="s">
        <v>1724</v>
      </c>
      <c r="EJ44" s="9" t="s">
        <v>1725</v>
      </c>
      <c r="EK44" s="9" t="s">
        <v>1726</v>
      </c>
      <c r="EL44" s="9" t="s">
        <v>1727</v>
      </c>
      <c r="EM44" s="9" t="s">
        <v>1728</v>
      </c>
      <c r="EN44" s="9" t="s">
        <v>693</v>
      </c>
      <c r="EO44" s="9" t="s">
        <v>693</v>
      </c>
      <c r="EP44" s="9" t="s">
        <v>1725</v>
      </c>
      <c r="EQ44" s="9" t="s">
        <v>29</v>
      </c>
      <c r="ER44" s="9" t="s">
        <v>1747</v>
      </c>
      <c r="ES44" s="9" t="s">
        <v>25</v>
      </c>
      <c r="ET44" s="9" t="s">
        <v>1729</v>
      </c>
      <c r="EU44" s="9" t="s">
        <v>13526</v>
      </c>
      <c r="EV44" s="9" t="s">
        <v>1913</v>
      </c>
      <c r="EW44" s="39">
        <v>4500</v>
      </c>
      <c r="EX44" s="39">
        <v>2250</v>
      </c>
      <c r="EY44" s="39">
        <v>2700</v>
      </c>
      <c r="EZ44" s="39">
        <v>2250</v>
      </c>
      <c r="FA44" s="39">
        <v>2250</v>
      </c>
      <c r="FD44" s="9" t="s">
        <v>28</v>
      </c>
      <c r="FE44" s="9" t="s">
        <v>1801</v>
      </c>
      <c r="FF44" s="9" t="s">
        <v>1802</v>
      </c>
      <c r="FG44" s="9" t="s">
        <v>28</v>
      </c>
    </row>
    <row r="45" spans="1:163" ht="51" x14ac:dyDescent="0.2">
      <c r="A45" s="8" t="s">
        <v>129</v>
      </c>
      <c r="B45" s="9" t="s">
        <v>1695</v>
      </c>
      <c r="F45" s="9" t="s">
        <v>1695</v>
      </c>
      <c r="P45" s="9" t="s">
        <v>1748</v>
      </c>
      <c r="T45" s="9" t="s">
        <v>1748</v>
      </c>
      <c r="AS45" s="9" t="s">
        <v>25</v>
      </c>
      <c r="AW45" s="9" t="s">
        <v>1816</v>
      </c>
      <c r="AX45" s="9" t="s">
        <v>1699</v>
      </c>
      <c r="AY45" s="9" t="s">
        <v>1750</v>
      </c>
      <c r="AZ45" s="9" t="s">
        <v>1704</v>
      </c>
      <c r="BA45" s="9" t="s">
        <v>28</v>
      </c>
      <c r="BB45" s="9" t="s">
        <v>1702</v>
      </c>
      <c r="BC45" s="9" t="s">
        <v>1699</v>
      </c>
      <c r="BD45" s="9" t="s">
        <v>29</v>
      </c>
      <c r="BE45" s="9" t="s">
        <v>1817</v>
      </c>
      <c r="BF45" s="9" t="s">
        <v>1773</v>
      </c>
      <c r="BH45" s="9" t="s">
        <v>1739</v>
      </c>
      <c r="BI45" s="9" t="s">
        <v>1706</v>
      </c>
      <c r="BJ45" s="9" t="s">
        <v>1707</v>
      </c>
      <c r="BK45" s="9" t="s">
        <v>1767</v>
      </c>
      <c r="BL45" s="9" t="s">
        <v>1762</v>
      </c>
      <c r="BM45" s="9" t="s">
        <v>1818</v>
      </c>
      <c r="BN45" s="9" t="s">
        <v>1699</v>
      </c>
      <c r="BO45" s="9" t="s">
        <v>1750</v>
      </c>
      <c r="BP45" s="9" t="s">
        <v>1704</v>
      </c>
      <c r="BQ45" s="9" t="s">
        <v>25</v>
      </c>
      <c r="BW45" s="9" t="s">
        <v>1711</v>
      </c>
      <c r="BZ45" s="9" t="s">
        <v>1699</v>
      </c>
      <c r="CA45" s="9" t="s">
        <v>1700</v>
      </c>
      <c r="CB45" s="9" t="s">
        <v>1704</v>
      </c>
      <c r="CC45" s="9" t="s">
        <v>25</v>
      </c>
      <c r="CE45" s="9" t="s">
        <v>1713</v>
      </c>
      <c r="CF45" s="9" t="s">
        <v>25</v>
      </c>
      <c r="CH45" s="9" t="s">
        <v>25</v>
      </c>
      <c r="CJ45" s="9" t="s">
        <v>1714</v>
      </c>
      <c r="CK45" s="10">
        <v>20</v>
      </c>
      <c r="CL45" s="10">
        <v>20</v>
      </c>
      <c r="CM45" s="10">
        <v>20</v>
      </c>
      <c r="CN45" s="10">
        <v>20</v>
      </c>
      <c r="CO45" s="10">
        <v>20</v>
      </c>
      <c r="CP45" s="10">
        <v>20</v>
      </c>
      <c r="CQ45" s="10">
        <v>20</v>
      </c>
      <c r="CR45" s="10">
        <v>20</v>
      </c>
      <c r="CS45" s="11">
        <v>1</v>
      </c>
      <c r="CT45" s="11">
        <v>1</v>
      </c>
      <c r="CU45" s="11">
        <v>0.6</v>
      </c>
      <c r="CW45" s="10">
        <v>7</v>
      </c>
      <c r="CX45" s="10">
        <v>180</v>
      </c>
      <c r="CZ45" s="10" t="s">
        <v>25</v>
      </c>
      <c r="DA45" s="10" t="s">
        <v>25</v>
      </c>
      <c r="DB45" s="10" t="s">
        <v>28</v>
      </c>
      <c r="DC45" s="10" t="s">
        <v>25</v>
      </c>
      <c r="DD45" s="10" t="s">
        <v>25</v>
      </c>
      <c r="DG45" s="39">
        <v>10000</v>
      </c>
      <c r="DJ45" s="9" t="s">
        <v>1715</v>
      </c>
      <c r="DK45" s="9" t="s">
        <v>1819</v>
      </c>
      <c r="DM45" s="9" t="s">
        <v>25</v>
      </c>
      <c r="DU45" s="9" t="s">
        <v>1717</v>
      </c>
      <c r="DV45" s="9" t="s">
        <v>1746</v>
      </c>
      <c r="DW45" s="11">
        <v>0.6</v>
      </c>
      <c r="EC45" s="9" t="s">
        <v>1739</v>
      </c>
      <c r="ED45" s="9" t="s">
        <v>1719</v>
      </c>
      <c r="EE45" s="9" t="s">
        <v>1719</v>
      </c>
      <c r="EF45" s="9" t="s">
        <v>1719</v>
      </c>
      <c r="EG45" s="9" t="s">
        <v>1719</v>
      </c>
      <c r="EH45" s="9" t="s">
        <v>1723</v>
      </c>
      <c r="EI45" s="9" t="s">
        <v>1724</v>
      </c>
      <c r="EJ45" s="9" t="s">
        <v>1725</v>
      </c>
      <c r="EK45" s="9" t="s">
        <v>1726</v>
      </c>
      <c r="EL45" s="9" t="s">
        <v>1727</v>
      </c>
      <c r="EM45" s="9" t="s">
        <v>1728</v>
      </c>
      <c r="EN45" s="9" t="s">
        <v>693</v>
      </c>
      <c r="EO45" s="9" t="s">
        <v>693</v>
      </c>
      <c r="EP45" s="9" t="s">
        <v>1725</v>
      </c>
      <c r="EQ45" s="9" t="s">
        <v>693</v>
      </c>
      <c r="ER45" s="9" t="s">
        <v>1747</v>
      </c>
      <c r="ES45" s="9" t="s">
        <v>25</v>
      </c>
      <c r="ET45" s="9" t="s">
        <v>25</v>
      </c>
    </row>
    <row r="46" spans="1:163" ht="51" x14ac:dyDescent="0.2">
      <c r="A46" s="8" t="s">
        <v>153</v>
      </c>
      <c r="B46" s="9" t="s">
        <v>1695</v>
      </c>
      <c r="P46" s="9" t="s">
        <v>1735</v>
      </c>
      <c r="AS46" s="9" t="s">
        <v>25</v>
      </c>
      <c r="AW46" s="9" t="s">
        <v>1756</v>
      </c>
      <c r="AX46" s="9" t="s">
        <v>1699</v>
      </c>
      <c r="AY46" s="9" t="s">
        <v>1700</v>
      </c>
      <c r="AZ46" s="9" t="s">
        <v>1704</v>
      </c>
      <c r="BA46" s="9" t="s">
        <v>28</v>
      </c>
      <c r="BB46" s="9" t="s">
        <v>1757</v>
      </c>
      <c r="BC46" s="9" t="s">
        <v>1703</v>
      </c>
      <c r="BF46" s="9" t="s">
        <v>1704</v>
      </c>
      <c r="BH46" s="9" t="s">
        <v>1895</v>
      </c>
      <c r="BI46" s="9" t="s">
        <v>1740</v>
      </c>
      <c r="BJ46" s="9" t="s">
        <v>1707</v>
      </c>
      <c r="BK46" s="9" t="s">
        <v>1895</v>
      </c>
      <c r="BL46" s="9" t="s">
        <v>1762</v>
      </c>
      <c r="BM46" s="9" t="s">
        <v>1742</v>
      </c>
      <c r="BN46" s="9" t="s">
        <v>1699</v>
      </c>
      <c r="BO46" s="9" t="s">
        <v>1700</v>
      </c>
      <c r="BP46" s="9" t="s">
        <v>1704</v>
      </c>
      <c r="BQ46" s="9" t="s">
        <v>28</v>
      </c>
      <c r="BR46" s="9" t="s">
        <v>1757</v>
      </c>
      <c r="BS46" s="9" t="s">
        <v>1776</v>
      </c>
      <c r="BT46" s="9" t="s">
        <v>29</v>
      </c>
      <c r="BU46" s="9" t="s">
        <v>1704</v>
      </c>
      <c r="BV46" s="9" t="s">
        <v>1895</v>
      </c>
      <c r="BW46" s="9" t="s">
        <v>1754</v>
      </c>
      <c r="BX46" s="9" t="s">
        <v>1762</v>
      </c>
      <c r="BY46" s="9" t="s">
        <v>1742</v>
      </c>
      <c r="BZ46" s="9" t="s">
        <v>1699</v>
      </c>
      <c r="CA46" s="9" t="s">
        <v>1750</v>
      </c>
      <c r="CB46" s="9" t="s">
        <v>1738</v>
      </c>
      <c r="CC46" s="9" t="s">
        <v>28</v>
      </c>
      <c r="CD46" s="9" t="s">
        <v>1778</v>
      </c>
      <c r="CE46" s="9" t="s">
        <v>631</v>
      </c>
      <c r="CF46" s="9" t="s">
        <v>28</v>
      </c>
      <c r="CG46" s="9" t="s">
        <v>29</v>
      </c>
      <c r="CH46" s="9" t="s">
        <v>28</v>
      </c>
      <c r="CI46" s="9" t="s">
        <v>29</v>
      </c>
      <c r="CJ46" s="9" t="s">
        <v>1714</v>
      </c>
      <c r="CK46" s="10">
        <v>30</v>
      </c>
      <c r="CO46" s="10">
        <v>30</v>
      </c>
      <c r="CS46" s="11">
        <v>1</v>
      </c>
      <c r="CT46" s="11">
        <v>0.6</v>
      </c>
      <c r="CW46" s="10">
        <v>7</v>
      </c>
      <c r="DJ46" s="9" t="s">
        <v>1770</v>
      </c>
      <c r="DK46" s="9" t="s">
        <v>1715</v>
      </c>
      <c r="DM46" s="9" t="s">
        <v>25</v>
      </c>
      <c r="DU46" s="9" t="s">
        <v>1717</v>
      </c>
      <c r="DV46" s="9" t="s">
        <v>29</v>
      </c>
      <c r="EC46" s="9" t="s">
        <v>635</v>
      </c>
      <c r="ED46" s="9" t="s">
        <v>29</v>
      </c>
      <c r="EE46" s="9" t="s">
        <v>29</v>
      </c>
      <c r="EF46" s="9" t="s">
        <v>29</v>
      </c>
      <c r="EG46" s="9" t="s">
        <v>29</v>
      </c>
      <c r="EH46" s="9" t="s">
        <v>1755</v>
      </c>
      <c r="EI46" s="9" t="s">
        <v>1724</v>
      </c>
      <c r="EJ46" s="9" t="s">
        <v>1725</v>
      </c>
      <c r="EK46" s="9" t="s">
        <v>1726</v>
      </c>
      <c r="EL46" s="9" t="s">
        <v>1727</v>
      </c>
      <c r="EM46" s="9" t="s">
        <v>1728</v>
      </c>
      <c r="EN46" s="9" t="s">
        <v>693</v>
      </c>
      <c r="EO46" s="9" t="s">
        <v>693</v>
      </c>
      <c r="EP46" s="9" t="s">
        <v>1725</v>
      </c>
      <c r="EQ46" s="9" t="s">
        <v>693</v>
      </c>
      <c r="ER46" s="9" t="s">
        <v>1747</v>
      </c>
      <c r="ES46" s="9" t="s">
        <v>25</v>
      </c>
      <c r="ET46" s="9" t="s">
        <v>25</v>
      </c>
    </row>
    <row r="47" spans="1:163" ht="38.25" x14ac:dyDescent="0.2">
      <c r="A47" s="8" t="s">
        <v>164</v>
      </c>
      <c r="B47" s="9" t="s">
        <v>1697</v>
      </c>
      <c r="P47" s="9" t="s">
        <v>1748</v>
      </c>
      <c r="AS47" s="9" t="s">
        <v>25</v>
      </c>
      <c r="AW47" s="9" t="s">
        <v>1764</v>
      </c>
      <c r="AX47" s="9" t="s">
        <v>1699</v>
      </c>
      <c r="AY47" s="9" t="s">
        <v>1750</v>
      </c>
      <c r="AZ47" s="9" t="s">
        <v>1738</v>
      </c>
      <c r="BA47" s="9" t="s">
        <v>28</v>
      </c>
      <c r="DU47" s="9" t="s">
        <v>1717</v>
      </c>
      <c r="DV47" s="9" t="s">
        <v>1746</v>
      </c>
      <c r="DW47" s="11">
        <v>0.6</v>
      </c>
      <c r="ET47" s="9" t="s">
        <v>1729</v>
      </c>
      <c r="EU47" s="9" t="s">
        <v>13525</v>
      </c>
      <c r="EV47" s="9" t="s">
        <v>1730</v>
      </c>
      <c r="FD47" s="9" t="s">
        <v>28</v>
      </c>
      <c r="FE47" s="9" t="s">
        <v>29</v>
      </c>
      <c r="FF47" s="9" t="s">
        <v>29</v>
      </c>
      <c r="FG47" s="9" t="s">
        <v>28</v>
      </c>
    </row>
    <row r="48" spans="1:163" ht="51" x14ac:dyDescent="0.2">
      <c r="A48" s="8" t="s">
        <v>155</v>
      </c>
      <c r="B48" s="9" t="s">
        <v>1695</v>
      </c>
      <c r="C48" s="9" t="s">
        <v>1697</v>
      </c>
      <c r="G48" s="9" t="s">
        <v>1695</v>
      </c>
      <c r="H48" s="9" t="s">
        <v>1695</v>
      </c>
      <c r="AS48" s="9" t="s">
        <v>25</v>
      </c>
      <c r="AW48" s="9" t="s">
        <v>1852</v>
      </c>
      <c r="AX48" s="9" t="s">
        <v>1699</v>
      </c>
      <c r="AY48" s="9" t="s">
        <v>1737</v>
      </c>
      <c r="AZ48" s="9" t="s">
        <v>1704</v>
      </c>
      <c r="BA48" s="9" t="s">
        <v>28</v>
      </c>
      <c r="BB48" s="9" t="s">
        <v>1702</v>
      </c>
      <c r="BC48" s="9" t="s">
        <v>1699</v>
      </c>
      <c r="BD48" s="9" t="s">
        <v>1785</v>
      </c>
      <c r="BE48" s="9" t="s">
        <v>1897</v>
      </c>
      <c r="BF48" s="9" t="s">
        <v>1704</v>
      </c>
      <c r="BH48" s="9" t="s">
        <v>29</v>
      </c>
      <c r="BI48" s="9" t="s">
        <v>1740</v>
      </c>
      <c r="BJ48" s="9" t="s">
        <v>1707</v>
      </c>
      <c r="BK48" s="9" t="s">
        <v>29</v>
      </c>
      <c r="BL48" s="9" t="s">
        <v>1708</v>
      </c>
      <c r="BM48" s="9" t="s">
        <v>1742</v>
      </c>
      <c r="BN48" s="9" t="s">
        <v>1699</v>
      </c>
      <c r="BO48" s="9" t="s">
        <v>1737</v>
      </c>
      <c r="BP48" s="9" t="s">
        <v>1704</v>
      </c>
      <c r="BQ48" s="9" t="s">
        <v>25</v>
      </c>
      <c r="BW48" s="9" t="s">
        <v>1711</v>
      </c>
      <c r="BZ48" s="9" t="s">
        <v>1699</v>
      </c>
      <c r="CA48" s="9" t="s">
        <v>1700</v>
      </c>
      <c r="CB48" s="9" t="s">
        <v>1704</v>
      </c>
      <c r="CC48" s="9" t="s">
        <v>25</v>
      </c>
      <c r="CE48" s="9" t="s">
        <v>1713</v>
      </c>
      <c r="CF48" s="9" t="s">
        <v>28</v>
      </c>
      <c r="CH48" s="9" t="s">
        <v>28</v>
      </c>
      <c r="CJ48" s="9" t="s">
        <v>1714</v>
      </c>
      <c r="CK48" s="10">
        <v>30</v>
      </c>
      <c r="CL48" s="10">
        <v>30</v>
      </c>
      <c r="CM48" s="10">
        <v>30</v>
      </c>
      <c r="CN48" s="10">
        <v>30</v>
      </c>
      <c r="CO48" s="10">
        <v>30</v>
      </c>
      <c r="CP48" s="10">
        <v>30</v>
      </c>
      <c r="CQ48" s="10">
        <v>30</v>
      </c>
      <c r="CR48" s="10">
        <v>30</v>
      </c>
      <c r="CT48" s="11">
        <v>0.75</v>
      </c>
      <c r="CU48" s="11">
        <v>0.6</v>
      </c>
      <c r="CV48" s="10" t="s">
        <v>1898</v>
      </c>
      <c r="CW48" s="10">
        <v>7</v>
      </c>
      <c r="CX48" s="10">
        <v>180</v>
      </c>
      <c r="CZ48" s="10" t="s">
        <v>25</v>
      </c>
      <c r="DA48" s="10" t="s">
        <v>25</v>
      </c>
      <c r="DB48" s="10" t="s">
        <v>28</v>
      </c>
      <c r="DC48" s="10" t="s">
        <v>25</v>
      </c>
      <c r="DD48" s="10" t="s">
        <v>25</v>
      </c>
      <c r="DG48" s="39">
        <v>5000</v>
      </c>
      <c r="DJ48" s="9" t="s">
        <v>1715</v>
      </c>
      <c r="DK48" s="9" t="s">
        <v>1715</v>
      </c>
      <c r="DM48" s="9" t="s">
        <v>25</v>
      </c>
      <c r="DU48" s="9" t="s">
        <v>1717</v>
      </c>
      <c r="DV48" s="9" t="s">
        <v>1746</v>
      </c>
      <c r="DW48" s="11">
        <v>0.6</v>
      </c>
      <c r="EC48" s="9" t="s">
        <v>635</v>
      </c>
      <c r="ED48" s="9" t="s">
        <v>1755</v>
      </c>
      <c r="EE48" s="9" t="s">
        <v>1755</v>
      </c>
      <c r="EF48" s="9" t="s">
        <v>1755</v>
      </c>
      <c r="EG48" s="9" t="s">
        <v>1755</v>
      </c>
      <c r="EH48" s="9" t="s">
        <v>1755</v>
      </c>
      <c r="EI48" s="9" t="s">
        <v>1755</v>
      </c>
      <c r="EJ48" s="9" t="s">
        <v>1755</v>
      </c>
      <c r="EK48" s="9" t="s">
        <v>1755</v>
      </c>
      <c r="EL48" s="9" t="s">
        <v>1755</v>
      </c>
      <c r="EM48" s="9" t="s">
        <v>1755</v>
      </c>
      <c r="EN48" s="9" t="s">
        <v>1755</v>
      </c>
      <c r="EO48" s="9" t="s">
        <v>1755</v>
      </c>
      <c r="EP48" s="9" t="s">
        <v>1725</v>
      </c>
      <c r="EQ48" s="9" t="s">
        <v>1725</v>
      </c>
      <c r="ER48" s="9" t="s">
        <v>693</v>
      </c>
      <c r="ES48" s="9" t="s">
        <v>25</v>
      </c>
      <c r="ET48" s="9" t="s">
        <v>25</v>
      </c>
    </row>
    <row r="49" spans="1:163" ht="51" x14ac:dyDescent="0.2">
      <c r="A49" s="8" t="s">
        <v>128</v>
      </c>
      <c r="B49" s="9" t="s">
        <v>1695</v>
      </c>
      <c r="D49" s="9" t="s">
        <v>1811</v>
      </c>
      <c r="E49" s="9" t="s">
        <v>1811</v>
      </c>
      <c r="F49" s="9" t="s">
        <v>1772</v>
      </c>
      <c r="G49" s="9" t="s">
        <v>1811</v>
      </c>
      <c r="N49" s="9" t="s">
        <v>1788</v>
      </c>
      <c r="P49" s="9" t="s">
        <v>1735</v>
      </c>
      <c r="Q49" s="9" t="s">
        <v>1735</v>
      </c>
      <c r="R49" s="9" t="s">
        <v>1735</v>
      </c>
      <c r="S49" s="9" t="s">
        <v>1735</v>
      </c>
      <c r="U49" s="9" t="s">
        <v>1735</v>
      </c>
      <c r="AB49" s="9" t="s">
        <v>1735</v>
      </c>
      <c r="AS49" s="9" t="s">
        <v>25</v>
      </c>
      <c r="AW49" s="9" t="s">
        <v>1812</v>
      </c>
      <c r="AX49" s="9" t="s">
        <v>1699</v>
      </c>
      <c r="AY49" s="9" t="s">
        <v>1750</v>
      </c>
      <c r="AZ49" s="9" t="s">
        <v>1704</v>
      </c>
      <c r="BA49" s="9" t="s">
        <v>28</v>
      </c>
      <c r="BB49" s="9" t="s">
        <v>1702</v>
      </c>
      <c r="BC49" s="9" t="s">
        <v>1699</v>
      </c>
      <c r="BD49" s="9" t="s">
        <v>1813</v>
      </c>
      <c r="BF49" s="9" t="s">
        <v>1704</v>
      </c>
      <c r="BH49" s="9" t="s">
        <v>1767</v>
      </c>
      <c r="BI49" s="9" t="s">
        <v>1792</v>
      </c>
      <c r="BJ49" s="9" t="s">
        <v>1707</v>
      </c>
      <c r="BK49" s="9" t="s">
        <v>1767</v>
      </c>
      <c r="BL49" s="9" t="s">
        <v>1814</v>
      </c>
      <c r="BM49" s="9" t="s">
        <v>1753</v>
      </c>
      <c r="BN49" s="9" t="s">
        <v>1699</v>
      </c>
      <c r="BO49" s="9" t="s">
        <v>1750</v>
      </c>
      <c r="BP49" s="9" t="s">
        <v>1704</v>
      </c>
      <c r="BQ49" s="9" t="s">
        <v>28</v>
      </c>
      <c r="BR49" s="9" t="s">
        <v>1702</v>
      </c>
      <c r="BS49" s="9" t="s">
        <v>1776</v>
      </c>
      <c r="BT49" s="9" t="s">
        <v>1787</v>
      </c>
      <c r="BU49" s="9" t="s">
        <v>1704</v>
      </c>
      <c r="BV49" s="9" t="s">
        <v>1767</v>
      </c>
      <c r="BW49" s="9" t="s">
        <v>1754</v>
      </c>
      <c r="BX49" s="9" t="s">
        <v>1814</v>
      </c>
      <c r="BY49" s="9" t="s">
        <v>1753</v>
      </c>
      <c r="BZ49" s="9" t="s">
        <v>1699</v>
      </c>
      <c r="CA49" s="9" t="s">
        <v>1750</v>
      </c>
      <c r="CB49" s="9" t="s">
        <v>1738</v>
      </c>
      <c r="CC49" s="9" t="s">
        <v>25</v>
      </c>
      <c r="CE49" s="9" t="s">
        <v>631</v>
      </c>
      <c r="CF49" s="9" t="s">
        <v>25</v>
      </c>
      <c r="CH49" s="9" t="s">
        <v>25</v>
      </c>
      <c r="CJ49" s="9" t="s">
        <v>1714</v>
      </c>
      <c r="CK49" s="10">
        <v>30</v>
      </c>
      <c r="CL49" s="10">
        <v>30</v>
      </c>
      <c r="CM49" s="10">
        <v>30</v>
      </c>
      <c r="CN49" s="10">
        <v>30</v>
      </c>
      <c r="CT49" s="11">
        <v>0.8</v>
      </c>
      <c r="CU49" s="11">
        <v>0.67</v>
      </c>
      <c r="CV49" s="10" t="s">
        <v>1815</v>
      </c>
      <c r="CW49" s="10">
        <v>7</v>
      </c>
      <c r="CX49" s="10">
        <v>180</v>
      </c>
      <c r="CY49" s="10">
        <v>180</v>
      </c>
      <c r="CZ49" s="10" t="s">
        <v>25</v>
      </c>
      <c r="DA49" s="10" t="s">
        <v>25</v>
      </c>
      <c r="DB49" s="10" t="s">
        <v>28</v>
      </c>
      <c r="DC49" s="10" t="s">
        <v>25</v>
      </c>
      <c r="DD49" s="10" t="s">
        <v>25</v>
      </c>
      <c r="DG49" s="39">
        <v>20000</v>
      </c>
      <c r="DJ49" s="9" t="s">
        <v>1715</v>
      </c>
      <c r="DK49" s="9" t="s">
        <v>1715</v>
      </c>
      <c r="DM49" s="9" t="s">
        <v>25</v>
      </c>
      <c r="DU49" s="9" t="s">
        <v>1717</v>
      </c>
      <c r="DV49" s="9" t="s">
        <v>1746</v>
      </c>
      <c r="DW49" s="11">
        <v>0.67</v>
      </c>
      <c r="EC49" s="9" t="s">
        <v>635</v>
      </c>
      <c r="ED49" s="9" t="s">
        <v>1755</v>
      </c>
      <c r="EE49" s="9" t="s">
        <v>1755</v>
      </c>
      <c r="EF49" s="9" t="s">
        <v>1755</v>
      </c>
      <c r="EG49" s="9" t="s">
        <v>1755</v>
      </c>
      <c r="EH49" s="9" t="s">
        <v>1755</v>
      </c>
      <c r="EI49" s="9" t="s">
        <v>1724</v>
      </c>
      <c r="EJ49" s="9" t="s">
        <v>1725</v>
      </c>
      <c r="EK49" s="9" t="s">
        <v>1726</v>
      </c>
      <c r="EL49" s="9" t="s">
        <v>1727</v>
      </c>
      <c r="EM49" s="9" t="s">
        <v>1728</v>
      </c>
      <c r="EN49" s="9" t="s">
        <v>693</v>
      </c>
      <c r="EO49" s="9" t="s">
        <v>693</v>
      </c>
      <c r="EP49" s="9" t="s">
        <v>1725</v>
      </c>
      <c r="EQ49" s="9" t="s">
        <v>29</v>
      </c>
      <c r="ER49" s="9" t="s">
        <v>1747</v>
      </c>
      <c r="ES49" s="9" t="s">
        <v>28</v>
      </c>
      <c r="ET49" s="9" t="s">
        <v>25</v>
      </c>
    </row>
    <row r="50" spans="1:163" ht="51" x14ac:dyDescent="0.2">
      <c r="A50" s="8" t="s">
        <v>126</v>
      </c>
      <c r="B50" s="9" t="s">
        <v>1695</v>
      </c>
      <c r="P50" s="9" t="s">
        <v>1748</v>
      </c>
      <c r="AS50" s="9" t="s">
        <v>25</v>
      </c>
      <c r="AW50" s="9" t="s">
        <v>1764</v>
      </c>
      <c r="AX50" s="9" t="s">
        <v>1699</v>
      </c>
      <c r="AY50" s="9" t="s">
        <v>1750</v>
      </c>
      <c r="AZ50" s="9" t="s">
        <v>1803</v>
      </c>
      <c r="BA50" s="9" t="s">
        <v>28</v>
      </c>
      <c r="BB50" s="9" t="s">
        <v>1757</v>
      </c>
      <c r="BC50" s="9" t="s">
        <v>1699</v>
      </c>
      <c r="BD50" s="9" t="s">
        <v>1804</v>
      </c>
      <c r="BF50" s="9" t="s">
        <v>29</v>
      </c>
      <c r="BG50" s="9" t="s">
        <v>1805</v>
      </c>
      <c r="BH50" s="9" t="s">
        <v>1751</v>
      </c>
      <c r="BI50" s="9" t="s">
        <v>1706</v>
      </c>
      <c r="BJ50" s="9" t="s">
        <v>1707</v>
      </c>
      <c r="BK50" s="9" t="s">
        <v>1739</v>
      </c>
      <c r="BL50" s="9" t="s">
        <v>1708</v>
      </c>
      <c r="BM50" s="9" t="s">
        <v>1742</v>
      </c>
      <c r="BN50" s="9" t="s">
        <v>1699</v>
      </c>
      <c r="BO50" s="9" t="s">
        <v>1750</v>
      </c>
      <c r="BP50" s="9" t="s">
        <v>1738</v>
      </c>
      <c r="BQ50" s="9" t="s">
        <v>28</v>
      </c>
      <c r="BR50" s="9" t="s">
        <v>1702</v>
      </c>
      <c r="BS50" s="9" t="s">
        <v>1776</v>
      </c>
      <c r="BT50" s="9" t="s">
        <v>1737</v>
      </c>
      <c r="BU50" s="9" t="s">
        <v>1704</v>
      </c>
      <c r="BV50" s="9" t="s">
        <v>1751</v>
      </c>
      <c r="BW50" s="9" t="s">
        <v>1754</v>
      </c>
      <c r="BX50" s="9" t="s">
        <v>1708</v>
      </c>
      <c r="BY50" s="9" t="s">
        <v>1742</v>
      </c>
      <c r="BZ50" s="9" t="s">
        <v>1703</v>
      </c>
      <c r="CB50" s="9" t="s">
        <v>1738</v>
      </c>
      <c r="CC50" s="9" t="s">
        <v>28</v>
      </c>
      <c r="CD50" s="9" t="s">
        <v>1778</v>
      </c>
      <c r="CE50" s="9" t="s">
        <v>1713</v>
      </c>
      <c r="CF50" s="9" t="s">
        <v>28</v>
      </c>
      <c r="CG50" s="9" t="s">
        <v>29</v>
      </c>
      <c r="CH50" s="9" t="s">
        <v>28</v>
      </c>
      <c r="CI50" s="9" t="s">
        <v>29</v>
      </c>
      <c r="CJ50" s="9" t="s">
        <v>1714</v>
      </c>
      <c r="CK50" s="10">
        <v>40</v>
      </c>
      <c r="CL50" s="10">
        <v>40</v>
      </c>
      <c r="CM50" s="10">
        <v>40</v>
      </c>
      <c r="CN50" s="10">
        <v>40</v>
      </c>
      <c r="CO50" s="10">
        <v>20</v>
      </c>
      <c r="CP50" s="10">
        <v>20</v>
      </c>
      <c r="CQ50" s="10">
        <v>20</v>
      </c>
      <c r="CR50" s="10">
        <v>20</v>
      </c>
      <c r="CS50" s="11">
        <v>1</v>
      </c>
      <c r="CT50" s="11">
        <v>0.67</v>
      </c>
      <c r="CU50" s="11">
        <v>0.6</v>
      </c>
      <c r="CW50" s="10">
        <v>7</v>
      </c>
      <c r="CX50" s="10">
        <v>180</v>
      </c>
      <c r="CY50" s="10">
        <v>180</v>
      </c>
      <c r="CZ50" s="10" t="s">
        <v>25</v>
      </c>
      <c r="DA50" s="10" t="s">
        <v>25</v>
      </c>
      <c r="DB50" s="10" t="s">
        <v>28</v>
      </c>
      <c r="DC50" s="10" t="s">
        <v>25</v>
      </c>
      <c r="DD50" s="10" t="s">
        <v>25</v>
      </c>
      <c r="DG50" s="39">
        <v>15000</v>
      </c>
      <c r="DJ50" s="9" t="s">
        <v>1715</v>
      </c>
      <c r="DK50" s="9" t="s">
        <v>1715</v>
      </c>
      <c r="DM50" s="9" t="s">
        <v>25</v>
      </c>
      <c r="DU50" s="9" t="s">
        <v>1717</v>
      </c>
      <c r="DV50" s="9" t="s">
        <v>1746</v>
      </c>
      <c r="DW50" s="11">
        <v>0.6</v>
      </c>
      <c r="EC50" s="9" t="s">
        <v>1739</v>
      </c>
      <c r="ED50" s="9" t="s">
        <v>1755</v>
      </c>
      <c r="EE50" s="9" t="s">
        <v>1720</v>
      </c>
      <c r="EF50" s="9" t="s">
        <v>1721</v>
      </c>
      <c r="EG50" s="9" t="s">
        <v>1722</v>
      </c>
      <c r="EH50" s="9" t="s">
        <v>1723</v>
      </c>
      <c r="EI50" s="9" t="s">
        <v>1724</v>
      </c>
      <c r="EJ50" s="9" t="s">
        <v>1725</v>
      </c>
      <c r="EK50" s="9" t="s">
        <v>1726</v>
      </c>
      <c r="EL50" s="9" t="s">
        <v>1727</v>
      </c>
      <c r="EM50" s="9" t="s">
        <v>1728</v>
      </c>
      <c r="EN50" s="9" t="s">
        <v>693</v>
      </c>
      <c r="EO50" s="9" t="s">
        <v>693</v>
      </c>
      <c r="EP50" s="9" t="s">
        <v>1755</v>
      </c>
      <c r="EQ50" s="9" t="s">
        <v>1725</v>
      </c>
      <c r="ER50" s="9" t="s">
        <v>1747</v>
      </c>
      <c r="ES50" s="9" t="s">
        <v>25</v>
      </c>
      <c r="ET50" s="9" t="s">
        <v>1729</v>
      </c>
      <c r="EU50" s="9" t="s">
        <v>1806</v>
      </c>
      <c r="EV50" s="9" t="s">
        <v>1730</v>
      </c>
      <c r="FD50" s="9" t="s">
        <v>28</v>
      </c>
      <c r="FE50" s="9" t="s">
        <v>29</v>
      </c>
      <c r="FF50" s="9" t="s">
        <v>1807</v>
      </c>
      <c r="FG50" s="9" t="s">
        <v>25</v>
      </c>
    </row>
    <row r="51" spans="1:163" ht="51" x14ac:dyDescent="0.2">
      <c r="A51" s="8" t="s">
        <v>130</v>
      </c>
      <c r="B51" s="9" t="s">
        <v>1697</v>
      </c>
      <c r="C51" s="9" t="s">
        <v>1697</v>
      </c>
      <c r="G51" s="9" t="s">
        <v>1697</v>
      </c>
      <c r="H51" s="9" t="s">
        <v>1697</v>
      </c>
      <c r="N51" s="9" t="s">
        <v>1697</v>
      </c>
      <c r="AS51" s="9" t="s">
        <v>25</v>
      </c>
      <c r="AX51" s="9" t="s">
        <v>1699</v>
      </c>
      <c r="AY51" s="9" t="s">
        <v>1750</v>
      </c>
      <c r="AZ51" s="9" t="s">
        <v>1738</v>
      </c>
      <c r="BA51" s="9" t="s">
        <v>28</v>
      </c>
      <c r="BB51" s="9" t="s">
        <v>1702</v>
      </c>
      <c r="BC51" s="9" t="s">
        <v>1699</v>
      </c>
      <c r="BD51" s="9" t="s">
        <v>1804</v>
      </c>
      <c r="BF51" s="9" t="s">
        <v>1704</v>
      </c>
      <c r="BH51" s="9" t="s">
        <v>1739</v>
      </c>
      <c r="BI51" s="9" t="s">
        <v>1706</v>
      </c>
      <c r="BJ51" s="9" t="s">
        <v>1707</v>
      </c>
      <c r="BK51" s="9" t="s">
        <v>13901</v>
      </c>
      <c r="BL51" s="9" t="s">
        <v>1708</v>
      </c>
      <c r="BM51" s="9" t="s">
        <v>1753</v>
      </c>
      <c r="BN51" s="9" t="s">
        <v>1699</v>
      </c>
      <c r="BO51" s="9" t="s">
        <v>1750</v>
      </c>
      <c r="BP51" s="9" t="s">
        <v>1738</v>
      </c>
      <c r="BQ51" s="9" t="s">
        <v>28</v>
      </c>
      <c r="BR51" s="9" t="s">
        <v>1702</v>
      </c>
      <c r="BS51" s="9" t="s">
        <v>1776</v>
      </c>
      <c r="BT51" s="9" t="s">
        <v>29</v>
      </c>
      <c r="BU51" s="9" t="s">
        <v>29</v>
      </c>
      <c r="BV51" s="9" t="s">
        <v>1739</v>
      </c>
      <c r="BW51" s="9" t="s">
        <v>1754</v>
      </c>
      <c r="BX51" s="9" t="s">
        <v>1708</v>
      </c>
      <c r="BY51" s="9" t="s">
        <v>1753</v>
      </c>
      <c r="BZ51" s="9" t="s">
        <v>1820</v>
      </c>
      <c r="CK51" s="10">
        <v>40</v>
      </c>
      <c r="CL51" s="10">
        <v>40</v>
      </c>
      <c r="CM51" s="10">
        <v>40</v>
      </c>
      <c r="CN51" s="10">
        <v>40</v>
      </c>
      <c r="CO51" s="10">
        <v>20</v>
      </c>
      <c r="CP51" s="10">
        <v>20</v>
      </c>
      <c r="CQ51" s="10">
        <v>20</v>
      </c>
      <c r="CR51" s="10">
        <v>20</v>
      </c>
      <c r="CT51" s="11">
        <v>0.6</v>
      </c>
      <c r="CU51" s="11">
        <v>0.6</v>
      </c>
      <c r="CW51" s="10">
        <v>7</v>
      </c>
      <c r="CX51" s="10">
        <v>90</v>
      </c>
      <c r="CY51" s="10">
        <v>90</v>
      </c>
      <c r="CZ51" s="10" t="s">
        <v>25</v>
      </c>
      <c r="DA51" s="10" t="s">
        <v>28</v>
      </c>
      <c r="DB51" s="10" t="s">
        <v>28</v>
      </c>
      <c r="DC51" s="10" t="s">
        <v>25</v>
      </c>
      <c r="DD51" s="10" t="s">
        <v>25</v>
      </c>
      <c r="DF51" s="39">
        <v>9200</v>
      </c>
      <c r="DG51" s="39">
        <v>15000</v>
      </c>
      <c r="DJ51" s="9" t="s">
        <v>1715</v>
      </c>
      <c r="DK51" s="9" t="s">
        <v>1715</v>
      </c>
      <c r="DM51" s="9" t="s">
        <v>25</v>
      </c>
      <c r="DU51" s="9" t="s">
        <v>1717</v>
      </c>
      <c r="DV51" s="9" t="s">
        <v>1763</v>
      </c>
      <c r="DW51" s="11">
        <v>0.6</v>
      </c>
      <c r="EC51" s="9" t="s">
        <v>635</v>
      </c>
      <c r="ED51" s="9" t="s">
        <v>1719</v>
      </c>
      <c r="EE51" s="9" t="s">
        <v>1719</v>
      </c>
      <c r="EF51" s="9" t="s">
        <v>1719</v>
      </c>
      <c r="EG51" s="9" t="s">
        <v>1719</v>
      </c>
      <c r="EH51" s="9" t="s">
        <v>1719</v>
      </c>
      <c r="EI51" s="9" t="s">
        <v>1719</v>
      </c>
      <c r="EJ51" s="9" t="s">
        <v>1719</v>
      </c>
      <c r="EK51" s="9" t="s">
        <v>1755</v>
      </c>
      <c r="EL51" s="9" t="s">
        <v>1755</v>
      </c>
      <c r="EM51" s="9" t="s">
        <v>1755</v>
      </c>
      <c r="EN51" s="9" t="s">
        <v>1755</v>
      </c>
      <c r="EO51" s="9" t="s">
        <v>1755</v>
      </c>
      <c r="EP51" s="9" t="s">
        <v>1755</v>
      </c>
      <c r="EQ51" s="9" t="s">
        <v>1725</v>
      </c>
      <c r="ER51" s="9" t="s">
        <v>1747</v>
      </c>
      <c r="ES51" s="9" t="s">
        <v>25</v>
      </c>
      <c r="ET51" s="9" t="s">
        <v>1821</v>
      </c>
      <c r="EU51" s="9" t="s">
        <v>13521</v>
      </c>
      <c r="EV51" s="9" t="s">
        <v>1822</v>
      </c>
      <c r="EX51" s="39">
        <v>3000</v>
      </c>
      <c r="EY51" s="39">
        <v>3000</v>
      </c>
      <c r="EZ51" s="39">
        <v>3000</v>
      </c>
      <c r="FD51" s="9" t="s">
        <v>28</v>
      </c>
      <c r="FE51" s="9" t="s">
        <v>29</v>
      </c>
      <c r="FF51" s="9" t="s">
        <v>29</v>
      </c>
      <c r="FG51" s="9" t="s">
        <v>25</v>
      </c>
    </row>
    <row r="52" spans="1:163" ht="51" x14ac:dyDescent="0.2">
      <c r="A52" s="8" t="s">
        <v>173</v>
      </c>
      <c r="B52" s="9" t="s">
        <v>1695</v>
      </c>
      <c r="AS52" s="9" t="s">
        <v>25</v>
      </c>
      <c r="AW52" s="9" t="s">
        <v>1843</v>
      </c>
      <c r="AX52" s="9" t="s">
        <v>1699</v>
      </c>
      <c r="AY52" s="9" t="s">
        <v>1750</v>
      </c>
      <c r="AZ52" s="9" t="s">
        <v>1738</v>
      </c>
      <c r="BA52" s="9" t="s">
        <v>28</v>
      </c>
      <c r="BB52" s="9" t="s">
        <v>1757</v>
      </c>
      <c r="BC52" s="9" t="s">
        <v>1703</v>
      </c>
      <c r="BF52" s="9" t="s">
        <v>1704</v>
      </c>
      <c r="BH52" s="9" t="s">
        <v>1751</v>
      </c>
      <c r="BI52" s="9" t="s">
        <v>1706</v>
      </c>
      <c r="BJ52" s="9" t="s">
        <v>1707</v>
      </c>
      <c r="BK52" s="9" t="s">
        <v>1705</v>
      </c>
      <c r="BL52" s="9" t="s">
        <v>1741</v>
      </c>
      <c r="BM52" s="9" t="s">
        <v>1742</v>
      </c>
      <c r="BN52" s="9" t="s">
        <v>1699</v>
      </c>
      <c r="BO52" s="9" t="s">
        <v>1750</v>
      </c>
      <c r="BP52" s="9" t="s">
        <v>1738</v>
      </c>
      <c r="BQ52" s="9" t="s">
        <v>28</v>
      </c>
      <c r="BR52" s="9" t="s">
        <v>1757</v>
      </c>
      <c r="BS52" s="9" t="s">
        <v>1703</v>
      </c>
      <c r="BU52" s="9" t="s">
        <v>1701</v>
      </c>
      <c r="BV52" s="9" t="s">
        <v>1751</v>
      </c>
      <c r="BW52" s="9" t="s">
        <v>1754</v>
      </c>
      <c r="BX52" s="9" t="s">
        <v>1814</v>
      </c>
      <c r="BY52" s="9" t="s">
        <v>1742</v>
      </c>
      <c r="BZ52" s="9" t="s">
        <v>1820</v>
      </c>
      <c r="CC52" s="9" t="s">
        <v>25</v>
      </c>
      <c r="CE52" s="9" t="s">
        <v>1928</v>
      </c>
      <c r="CF52" s="9" t="s">
        <v>25</v>
      </c>
      <c r="CH52" s="9" t="s">
        <v>25</v>
      </c>
      <c r="CJ52" s="9" t="s">
        <v>1714</v>
      </c>
      <c r="CK52" s="10">
        <v>30</v>
      </c>
      <c r="CL52" s="10">
        <v>30</v>
      </c>
      <c r="CM52" s="10">
        <v>30</v>
      </c>
      <c r="CN52" s="10">
        <v>30</v>
      </c>
      <c r="CO52" s="10">
        <v>30</v>
      </c>
      <c r="CP52" s="10">
        <v>30</v>
      </c>
      <c r="CQ52" s="10">
        <v>30</v>
      </c>
      <c r="CR52" s="10">
        <v>30</v>
      </c>
      <c r="CS52" s="11">
        <v>1</v>
      </c>
      <c r="CT52" s="11">
        <v>0.67</v>
      </c>
      <c r="CU52" s="11">
        <v>0.67</v>
      </c>
      <c r="CW52" s="10">
        <v>7</v>
      </c>
      <c r="CX52" s="10">
        <v>182</v>
      </c>
      <c r="CZ52" s="10" t="s">
        <v>25</v>
      </c>
      <c r="DA52" s="10" t="s">
        <v>28</v>
      </c>
      <c r="DB52" s="10" t="s">
        <v>28</v>
      </c>
      <c r="DC52" s="10" t="s">
        <v>25</v>
      </c>
      <c r="DD52" s="10" t="s">
        <v>25</v>
      </c>
      <c r="DF52" s="39">
        <v>10001</v>
      </c>
      <c r="DG52" s="39">
        <v>15000</v>
      </c>
      <c r="DJ52" s="9" t="s">
        <v>1715</v>
      </c>
      <c r="DK52" s="9" t="s">
        <v>1715</v>
      </c>
      <c r="DM52" s="9" t="s">
        <v>25</v>
      </c>
      <c r="DU52" s="9" t="s">
        <v>1717</v>
      </c>
      <c r="DV52" s="9" t="s">
        <v>1746</v>
      </c>
      <c r="DW52" s="11">
        <v>0.67</v>
      </c>
      <c r="EC52" s="9" t="s">
        <v>635</v>
      </c>
      <c r="ED52" s="9" t="s">
        <v>1755</v>
      </c>
      <c r="EE52" s="9" t="s">
        <v>1755</v>
      </c>
      <c r="EF52" s="9" t="s">
        <v>1755</v>
      </c>
      <c r="EG52" s="9" t="s">
        <v>1755</v>
      </c>
      <c r="EH52" s="9" t="s">
        <v>1755</v>
      </c>
      <c r="EI52" s="9" t="s">
        <v>1755</v>
      </c>
      <c r="EJ52" s="9" t="s">
        <v>1725</v>
      </c>
      <c r="EK52" s="9" t="s">
        <v>1726</v>
      </c>
      <c r="EL52" s="9" t="s">
        <v>1727</v>
      </c>
      <c r="EM52" s="9" t="s">
        <v>1728</v>
      </c>
      <c r="EN52" s="9" t="s">
        <v>693</v>
      </c>
      <c r="EO52" s="9" t="s">
        <v>693</v>
      </c>
      <c r="EP52" s="9" t="s">
        <v>1725</v>
      </c>
      <c r="EQ52" s="9" t="s">
        <v>1725</v>
      </c>
      <c r="ER52" s="9" t="s">
        <v>1747</v>
      </c>
      <c r="ES52" s="9" t="s">
        <v>25</v>
      </c>
      <c r="ET52" s="9" t="s">
        <v>25</v>
      </c>
    </row>
    <row r="53" spans="1:163" ht="51" x14ac:dyDescent="0.2">
      <c r="A53" s="8" t="s">
        <v>178</v>
      </c>
      <c r="B53" s="9" t="s">
        <v>1695</v>
      </c>
      <c r="P53" s="9" t="s">
        <v>1748</v>
      </c>
      <c r="AS53" s="9" t="s">
        <v>25</v>
      </c>
      <c r="AW53" s="9" t="s">
        <v>1756</v>
      </c>
      <c r="AX53" s="9" t="s">
        <v>1699</v>
      </c>
      <c r="AY53" s="9" t="s">
        <v>1750</v>
      </c>
      <c r="AZ53" s="9" t="s">
        <v>1701</v>
      </c>
      <c r="BA53" s="9" t="s">
        <v>28</v>
      </c>
      <c r="BB53" s="9" t="s">
        <v>1702</v>
      </c>
      <c r="BC53" s="9" t="s">
        <v>1699</v>
      </c>
      <c r="BD53" s="9" t="s">
        <v>29</v>
      </c>
      <c r="BE53" s="9" t="s">
        <v>1940</v>
      </c>
      <c r="BF53" s="9" t="s">
        <v>1773</v>
      </c>
      <c r="BH53" s="9" t="s">
        <v>1751</v>
      </c>
      <c r="BI53" s="9" t="s">
        <v>1740</v>
      </c>
      <c r="BJ53" s="9" t="s">
        <v>1707</v>
      </c>
      <c r="BK53" s="9" t="s">
        <v>1739</v>
      </c>
      <c r="BL53" s="9" t="s">
        <v>1845</v>
      </c>
      <c r="BM53" s="9" t="s">
        <v>1753</v>
      </c>
      <c r="BN53" s="9" t="s">
        <v>1699</v>
      </c>
      <c r="BO53" s="9" t="s">
        <v>1750</v>
      </c>
      <c r="BP53" s="9" t="s">
        <v>1704</v>
      </c>
      <c r="BQ53" s="9" t="s">
        <v>28</v>
      </c>
      <c r="BR53" s="9" t="s">
        <v>1702</v>
      </c>
      <c r="BS53" s="9" t="s">
        <v>1776</v>
      </c>
      <c r="BT53" s="9" t="s">
        <v>1700</v>
      </c>
      <c r="BU53" s="9" t="s">
        <v>1704</v>
      </c>
      <c r="BV53" s="9" t="s">
        <v>13901</v>
      </c>
      <c r="BW53" s="9" t="s">
        <v>1754</v>
      </c>
      <c r="BX53" s="9" t="s">
        <v>1743</v>
      </c>
      <c r="BY53" s="9" t="s">
        <v>1909</v>
      </c>
      <c r="BZ53" s="9" t="s">
        <v>1699</v>
      </c>
      <c r="CA53" s="9" t="s">
        <v>1758</v>
      </c>
      <c r="CB53" s="9" t="s">
        <v>1704</v>
      </c>
      <c r="CC53" s="9" t="s">
        <v>28</v>
      </c>
      <c r="CD53" s="9" t="s">
        <v>1778</v>
      </c>
      <c r="CE53" s="9" t="s">
        <v>1779</v>
      </c>
      <c r="CF53" s="9" t="s">
        <v>28</v>
      </c>
      <c r="CG53" s="9" t="s">
        <v>743</v>
      </c>
      <c r="CH53" s="9" t="s">
        <v>28</v>
      </c>
      <c r="CI53" s="9" t="s">
        <v>743</v>
      </c>
      <c r="CJ53" s="9" t="s">
        <v>1714</v>
      </c>
      <c r="CK53" s="10">
        <v>30</v>
      </c>
      <c r="CL53" s="10">
        <v>30</v>
      </c>
      <c r="CM53" s="10">
        <v>30</v>
      </c>
      <c r="CN53" s="10">
        <v>30</v>
      </c>
      <c r="CO53" s="10">
        <v>20</v>
      </c>
      <c r="CP53" s="10">
        <v>20</v>
      </c>
      <c r="CQ53" s="10">
        <v>20</v>
      </c>
      <c r="CR53" s="10">
        <v>20</v>
      </c>
      <c r="CS53" s="11">
        <v>1</v>
      </c>
      <c r="CT53" s="11">
        <v>0.75</v>
      </c>
      <c r="CU53" s="11">
        <v>0.67</v>
      </c>
      <c r="CW53" s="10">
        <v>14</v>
      </c>
      <c r="CX53" s="10">
        <v>180</v>
      </c>
      <c r="CZ53" s="10" t="s">
        <v>25</v>
      </c>
      <c r="DA53" s="10" t="s">
        <v>25</v>
      </c>
      <c r="DB53" s="10" t="s">
        <v>28</v>
      </c>
      <c r="DC53" s="10" t="s">
        <v>25</v>
      </c>
      <c r="DD53" s="10" t="s">
        <v>25</v>
      </c>
      <c r="DG53" s="39">
        <v>15000</v>
      </c>
      <c r="DJ53" s="9" t="s">
        <v>1770</v>
      </c>
      <c r="DK53" s="9" t="s">
        <v>1715</v>
      </c>
      <c r="DM53" s="9" t="s">
        <v>28</v>
      </c>
      <c r="DN53" s="9" t="s">
        <v>25</v>
      </c>
      <c r="DO53" s="9" t="s">
        <v>28</v>
      </c>
      <c r="DP53" s="9" t="s">
        <v>28</v>
      </c>
      <c r="DQ53" s="9" t="s">
        <v>28</v>
      </c>
      <c r="DR53" s="9" t="s">
        <v>28</v>
      </c>
      <c r="DS53" s="9" t="s">
        <v>1840</v>
      </c>
      <c r="DU53" s="9" t="s">
        <v>1717</v>
      </c>
      <c r="DV53" s="9" t="s">
        <v>1746</v>
      </c>
      <c r="DW53" s="11">
        <v>0.67</v>
      </c>
      <c r="EC53" s="9" t="s">
        <v>1739</v>
      </c>
      <c r="ED53" s="9" t="s">
        <v>1755</v>
      </c>
      <c r="EE53" s="9" t="s">
        <v>1720</v>
      </c>
      <c r="EF53" s="9" t="s">
        <v>1721</v>
      </c>
      <c r="EG53" s="9" t="s">
        <v>1722</v>
      </c>
      <c r="EH53" s="9" t="s">
        <v>1723</v>
      </c>
      <c r="EI53" s="9" t="s">
        <v>1724</v>
      </c>
      <c r="EJ53" s="9" t="s">
        <v>1725</v>
      </c>
      <c r="EK53" s="9" t="s">
        <v>1726</v>
      </c>
      <c r="EL53" s="9" t="s">
        <v>1727</v>
      </c>
      <c r="EM53" s="9" t="s">
        <v>1728</v>
      </c>
      <c r="EN53" s="9" t="s">
        <v>693</v>
      </c>
      <c r="EO53" s="9" t="s">
        <v>693</v>
      </c>
      <c r="EP53" s="9" t="s">
        <v>1725</v>
      </c>
      <c r="EQ53" s="9" t="s">
        <v>1719</v>
      </c>
      <c r="ER53" s="9" t="s">
        <v>1747</v>
      </c>
      <c r="ES53" s="9" t="s">
        <v>28</v>
      </c>
      <c r="ET53" s="9" t="s">
        <v>25</v>
      </c>
    </row>
    <row r="54" spans="1:163" ht="25.5" x14ac:dyDescent="0.2">
      <c r="A54" s="8" t="s">
        <v>151</v>
      </c>
      <c r="B54" s="9" t="s">
        <v>1734</v>
      </c>
      <c r="P54" s="9" t="s">
        <v>1735</v>
      </c>
      <c r="AS54" s="9" t="s">
        <v>25</v>
      </c>
      <c r="AW54" s="9" t="s">
        <v>1852</v>
      </c>
      <c r="AX54" s="9" t="s">
        <v>1703</v>
      </c>
      <c r="AZ54" s="9" t="s">
        <v>1704</v>
      </c>
      <c r="BA54" s="9" t="s">
        <v>25</v>
      </c>
      <c r="BI54" s="9" t="s">
        <v>1740</v>
      </c>
      <c r="BJ54" s="9" t="s">
        <v>1711</v>
      </c>
      <c r="BN54" s="9" t="s">
        <v>1703</v>
      </c>
      <c r="BP54" s="9" t="s">
        <v>1701</v>
      </c>
      <c r="BQ54" s="9" t="s">
        <v>25</v>
      </c>
      <c r="BW54" s="9" t="s">
        <v>1711</v>
      </c>
      <c r="BZ54" s="9" t="s">
        <v>1820</v>
      </c>
      <c r="CK54" s="10">
        <v>24</v>
      </c>
      <c r="CL54" s="10">
        <v>24</v>
      </c>
      <c r="CM54" s="10">
        <v>24</v>
      </c>
      <c r="CS54" s="11">
        <v>1</v>
      </c>
      <c r="CT54" s="11">
        <v>0.7</v>
      </c>
      <c r="CU54" s="11">
        <v>0.7</v>
      </c>
      <c r="CX54" s="10">
        <v>280</v>
      </c>
      <c r="CZ54" s="10" t="s">
        <v>25</v>
      </c>
      <c r="DA54" s="10" t="s">
        <v>25</v>
      </c>
      <c r="DB54" s="10" t="s">
        <v>28</v>
      </c>
      <c r="DC54" s="10" t="s">
        <v>25</v>
      </c>
      <c r="DD54" s="10" t="s">
        <v>25</v>
      </c>
      <c r="DG54" s="39">
        <v>20000</v>
      </c>
      <c r="DJ54" s="9" t="s">
        <v>1715</v>
      </c>
      <c r="DK54" s="9" t="s">
        <v>1715</v>
      </c>
      <c r="DM54" s="9" t="s">
        <v>25</v>
      </c>
      <c r="DU54" s="9" t="s">
        <v>1717</v>
      </c>
      <c r="DV54" s="9" t="s">
        <v>1746</v>
      </c>
      <c r="DW54" s="11">
        <v>0.7</v>
      </c>
      <c r="EC54" s="9" t="s">
        <v>635</v>
      </c>
      <c r="ED54" s="9" t="s">
        <v>1755</v>
      </c>
      <c r="EE54" s="9" t="s">
        <v>1720</v>
      </c>
      <c r="EF54" s="9" t="s">
        <v>1721</v>
      </c>
      <c r="EG54" s="9" t="s">
        <v>1722</v>
      </c>
      <c r="EH54" s="9" t="s">
        <v>1723</v>
      </c>
      <c r="EI54" s="9" t="s">
        <v>1724</v>
      </c>
      <c r="EJ54" s="9" t="s">
        <v>1725</v>
      </c>
      <c r="EK54" s="9" t="s">
        <v>1726</v>
      </c>
      <c r="EL54" s="9" t="s">
        <v>1727</v>
      </c>
      <c r="EM54" s="9" t="s">
        <v>1728</v>
      </c>
      <c r="EN54" s="9" t="s">
        <v>693</v>
      </c>
      <c r="EO54" s="9" t="s">
        <v>693</v>
      </c>
      <c r="EP54" s="9" t="s">
        <v>1725</v>
      </c>
      <c r="EQ54" s="9" t="s">
        <v>1725</v>
      </c>
      <c r="ER54" s="9" t="s">
        <v>1747</v>
      </c>
      <c r="ES54" s="9" t="s">
        <v>25</v>
      </c>
      <c r="ET54" s="9" t="s">
        <v>25</v>
      </c>
    </row>
    <row r="55" spans="1:163" ht="51" x14ac:dyDescent="0.2">
      <c r="A55" s="8" t="s">
        <v>172</v>
      </c>
      <c r="B55" s="9" t="s">
        <v>1695</v>
      </c>
      <c r="AS55" s="9" t="s">
        <v>25</v>
      </c>
      <c r="AW55" s="9" t="s">
        <v>1927</v>
      </c>
      <c r="AX55" s="9" t="s">
        <v>1699</v>
      </c>
      <c r="AY55" s="9" t="s">
        <v>1700</v>
      </c>
      <c r="AZ55" s="9" t="s">
        <v>1773</v>
      </c>
      <c r="BA55" s="9" t="s">
        <v>28</v>
      </c>
      <c r="BB55" s="9" t="s">
        <v>1702</v>
      </c>
      <c r="BC55" s="9" t="s">
        <v>1703</v>
      </c>
      <c r="BF55" s="9" t="s">
        <v>1701</v>
      </c>
      <c r="BH55" s="9" t="s">
        <v>1895</v>
      </c>
      <c r="BI55" s="9" t="s">
        <v>1706</v>
      </c>
      <c r="BJ55" s="9" t="s">
        <v>1760</v>
      </c>
      <c r="BK55" s="9" t="s">
        <v>1895</v>
      </c>
      <c r="BL55" s="9" t="s">
        <v>1741</v>
      </c>
      <c r="BM55" s="9" t="s">
        <v>1833</v>
      </c>
      <c r="BN55" s="9" t="s">
        <v>1699</v>
      </c>
      <c r="BO55" s="9" t="s">
        <v>1700</v>
      </c>
      <c r="BP55" s="9" t="s">
        <v>1701</v>
      </c>
      <c r="BQ55" s="9" t="s">
        <v>28</v>
      </c>
      <c r="BR55" s="9" t="s">
        <v>1702</v>
      </c>
      <c r="BS55" s="9" t="s">
        <v>1703</v>
      </c>
      <c r="BU55" s="9" t="s">
        <v>1701</v>
      </c>
      <c r="BV55" s="9" t="s">
        <v>1895</v>
      </c>
      <c r="BW55" s="9" t="s">
        <v>1760</v>
      </c>
      <c r="BX55" s="9" t="s">
        <v>1741</v>
      </c>
      <c r="BY55" s="9" t="s">
        <v>1833</v>
      </c>
      <c r="BZ55" s="9" t="s">
        <v>1703</v>
      </c>
      <c r="CB55" s="9" t="s">
        <v>1704</v>
      </c>
      <c r="CC55" s="9" t="s">
        <v>28</v>
      </c>
      <c r="CF55" s="9" t="s">
        <v>28</v>
      </c>
      <c r="CG55" s="9" t="s">
        <v>1825</v>
      </c>
      <c r="CH55" s="9" t="s">
        <v>28</v>
      </c>
      <c r="CI55" s="9" t="s">
        <v>1825</v>
      </c>
      <c r="CT55" s="11">
        <v>0.6</v>
      </c>
      <c r="CU55" s="11">
        <v>0.6</v>
      </c>
      <c r="CW55" s="10">
        <v>7</v>
      </c>
      <c r="CX55" s="10">
        <v>91</v>
      </c>
      <c r="CY55" s="10">
        <v>91</v>
      </c>
      <c r="CZ55" s="10" t="s">
        <v>28</v>
      </c>
      <c r="DA55" s="10" t="s">
        <v>28</v>
      </c>
      <c r="DB55" s="10" t="s">
        <v>28</v>
      </c>
      <c r="DC55" s="10" t="s">
        <v>25</v>
      </c>
      <c r="DD55" s="10" t="s">
        <v>25</v>
      </c>
      <c r="DF55" s="39">
        <v>10000</v>
      </c>
      <c r="DG55" s="39">
        <v>10000</v>
      </c>
      <c r="DJ55" s="9" t="s">
        <v>1715</v>
      </c>
      <c r="DK55" s="9" t="s">
        <v>1715</v>
      </c>
      <c r="DM55" s="9" t="s">
        <v>25</v>
      </c>
      <c r="DU55" s="9" t="s">
        <v>1717</v>
      </c>
      <c r="DV55" s="9" t="s">
        <v>1763</v>
      </c>
      <c r="DW55" s="11">
        <v>1</v>
      </c>
      <c r="EP55" s="9" t="s">
        <v>1755</v>
      </c>
      <c r="ET55" s="9" t="s">
        <v>25</v>
      </c>
    </row>
    <row r="56" spans="1:163" ht="38.25" x14ac:dyDescent="0.2">
      <c r="A56" s="8" t="s">
        <v>119</v>
      </c>
      <c r="B56" s="9" t="s">
        <v>1697</v>
      </c>
      <c r="P56" s="9" t="s">
        <v>1748</v>
      </c>
      <c r="AS56" s="9" t="s">
        <v>25</v>
      </c>
      <c r="AW56" s="9" t="s">
        <v>1749</v>
      </c>
      <c r="AX56" s="9" t="s">
        <v>1699</v>
      </c>
      <c r="AY56" s="9" t="s">
        <v>1750</v>
      </c>
      <c r="AZ56" s="9" t="s">
        <v>1738</v>
      </c>
      <c r="BA56" s="9" t="s">
        <v>28</v>
      </c>
      <c r="BB56" s="9" t="s">
        <v>1702</v>
      </c>
      <c r="BC56" s="9" t="s">
        <v>1703</v>
      </c>
      <c r="BF56" s="9" t="s">
        <v>1704</v>
      </c>
      <c r="BH56" s="9" t="s">
        <v>1751</v>
      </c>
      <c r="BI56" s="9" t="s">
        <v>1706</v>
      </c>
      <c r="BJ56" s="9" t="s">
        <v>1707</v>
      </c>
      <c r="BK56" s="9" t="s">
        <v>29</v>
      </c>
      <c r="BL56" s="9" t="s">
        <v>1752</v>
      </c>
      <c r="BM56" s="9" t="s">
        <v>1753</v>
      </c>
      <c r="BN56" s="9" t="s">
        <v>1699</v>
      </c>
      <c r="BO56" s="9" t="s">
        <v>1750</v>
      </c>
      <c r="BP56" s="9" t="s">
        <v>1738</v>
      </c>
      <c r="BQ56" s="9" t="s">
        <v>28</v>
      </c>
      <c r="BR56" s="9" t="s">
        <v>1702</v>
      </c>
      <c r="BS56" s="9" t="s">
        <v>1703</v>
      </c>
      <c r="BU56" s="9" t="s">
        <v>1704</v>
      </c>
      <c r="BV56" s="9" t="s">
        <v>29</v>
      </c>
      <c r="BW56" s="9" t="s">
        <v>1754</v>
      </c>
      <c r="BX56" s="9" t="s">
        <v>1752</v>
      </c>
      <c r="BY56" s="9" t="s">
        <v>1753</v>
      </c>
      <c r="BZ56" s="9" t="s">
        <v>1703</v>
      </c>
      <c r="CB56" s="9" t="s">
        <v>1738</v>
      </c>
      <c r="CC56" s="9" t="s">
        <v>28</v>
      </c>
      <c r="CD56" s="9" t="s">
        <v>1712</v>
      </c>
      <c r="CE56" s="9" t="s">
        <v>1713</v>
      </c>
      <c r="CF56" s="9" t="s">
        <v>28</v>
      </c>
      <c r="CG56" s="9" t="s">
        <v>743</v>
      </c>
      <c r="CH56" s="9" t="s">
        <v>28</v>
      </c>
      <c r="CI56" s="9" t="s">
        <v>743</v>
      </c>
      <c r="CJ56" s="9" t="s">
        <v>1714</v>
      </c>
      <c r="CK56" s="10">
        <v>20</v>
      </c>
      <c r="CL56" s="10">
        <v>20</v>
      </c>
      <c r="CM56" s="10">
        <v>20</v>
      </c>
      <c r="CN56" s="10">
        <v>20</v>
      </c>
      <c r="CO56" s="10">
        <v>20</v>
      </c>
      <c r="CP56" s="10">
        <v>20</v>
      </c>
      <c r="CQ56" s="10">
        <v>20</v>
      </c>
      <c r="CR56" s="10">
        <v>20</v>
      </c>
      <c r="CS56" s="11">
        <v>1</v>
      </c>
      <c r="CT56" s="11">
        <v>0.6</v>
      </c>
      <c r="CU56" s="11">
        <v>0.6</v>
      </c>
      <c r="CW56" s="10">
        <v>7</v>
      </c>
      <c r="CX56" s="10">
        <v>175</v>
      </c>
      <c r="CY56" s="10">
        <v>180</v>
      </c>
      <c r="CZ56" s="10" t="s">
        <v>25</v>
      </c>
      <c r="DA56" s="10" t="s">
        <v>28</v>
      </c>
      <c r="DB56" s="10" t="s">
        <v>28</v>
      </c>
      <c r="DC56" s="10" t="s">
        <v>25</v>
      </c>
      <c r="DD56" s="10" t="s">
        <v>25</v>
      </c>
      <c r="DF56" s="39">
        <v>10000</v>
      </c>
      <c r="DG56" s="39">
        <v>10000</v>
      </c>
      <c r="DJ56" s="9" t="s">
        <v>1715</v>
      </c>
      <c r="DK56" s="9" t="s">
        <v>1715</v>
      </c>
      <c r="DM56" s="9" t="s">
        <v>25</v>
      </c>
      <c r="DU56" s="9" t="s">
        <v>1717</v>
      </c>
      <c r="DV56" s="9" t="s">
        <v>1746</v>
      </c>
      <c r="DW56" s="11">
        <v>0.6</v>
      </c>
      <c r="ED56" s="9" t="s">
        <v>1755</v>
      </c>
      <c r="EE56" s="9" t="s">
        <v>1755</v>
      </c>
      <c r="EF56" s="9" t="s">
        <v>1755</v>
      </c>
      <c r="EG56" s="9" t="s">
        <v>1755</v>
      </c>
      <c r="EH56" s="9" t="s">
        <v>1755</v>
      </c>
      <c r="EI56" s="9" t="s">
        <v>1755</v>
      </c>
      <c r="EJ56" s="9" t="s">
        <v>1725</v>
      </c>
      <c r="EK56" s="9" t="s">
        <v>1726</v>
      </c>
      <c r="EL56" s="9" t="s">
        <v>1727</v>
      </c>
      <c r="EM56" s="9" t="s">
        <v>1728</v>
      </c>
      <c r="EN56" s="9" t="s">
        <v>693</v>
      </c>
      <c r="EO56" s="9" t="s">
        <v>693</v>
      </c>
      <c r="EP56" s="9" t="s">
        <v>1725</v>
      </c>
      <c r="EQ56" s="9" t="s">
        <v>29</v>
      </c>
      <c r="ER56" s="9" t="s">
        <v>1755</v>
      </c>
      <c r="ES56" s="9" t="s">
        <v>25</v>
      </c>
      <c r="ET56" s="9" t="s">
        <v>25</v>
      </c>
    </row>
    <row r="57" spans="1:163" ht="51" x14ac:dyDescent="0.2">
      <c r="A57" s="8" t="s">
        <v>146</v>
      </c>
      <c r="B57" s="9" t="s">
        <v>1695</v>
      </c>
      <c r="F57" s="9" t="s">
        <v>1695</v>
      </c>
      <c r="P57" s="9" t="s">
        <v>1886</v>
      </c>
      <c r="AS57" s="9" t="s">
        <v>25</v>
      </c>
      <c r="AW57" s="9" t="s">
        <v>1749</v>
      </c>
      <c r="AX57" s="9" t="s">
        <v>1699</v>
      </c>
      <c r="AY57" s="9" t="s">
        <v>1750</v>
      </c>
      <c r="AZ57" s="9" t="s">
        <v>1738</v>
      </c>
      <c r="BA57" s="9" t="s">
        <v>28</v>
      </c>
      <c r="BB57" s="9" t="s">
        <v>1757</v>
      </c>
      <c r="BC57" s="9" t="s">
        <v>1699</v>
      </c>
      <c r="BD57" s="9" t="s">
        <v>1787</v>
      </c>
      <c r="BF57" s="9" t="s">
        <v>1738</v>
      </c>
      <c r="BH57" s="9" t="s">
        <v>1739</v>
      </c>
      <c r="BI57" s="9" t="s">
        <v>1706</v>
      </c>
      <c r="BJ57" s="9" t="s">
        <v>1707</v>
      </c>
      <c r="BK57" s="9" t="s">
        <v>1739</v>
      </c>
      <c r="BL57" s="9" t="s">
        <v>1741</v>
      </c>
      <c r="BM57" s="9" t="s">
        <v>1833</v>
      </c>
      <c r="BN57" s="9" t="s">
        <v>1703</v>
      </c>
      <c r="BP57" s="9" t="s">
        <v>1738</v>
      </c>
      <c r="BQ57" s="9" t="s">
        <v>25</v>
      </c>
      <c r="BW57" s="9" t="s">
        <v>1754</v>
      </c>
      <c r="BX57" s="9" t="s">
        <v>1887</v>
      </c>
      <c r="BY57" s="9" t="s">
        <v>1709</v>
      </c>
      <c r="BZ57" s="9" t="s">
        <v>1699</v>
      </c>
      <c r="CA57" s="9" t="s">
        <v>1787</v>
      </c>
      <c r="CB57" s="9" t="s">
        <v>1738</v>
      </c>
      <c r="CC57" s="9" t="s">
        <v>28</v>
      </c>
      <c r="CD57" s="9" t="s">
        <v>1778</v>
      </c>
      <c r="CF57" s="9" t="s">
        <v>28</v>
      </c>
      <c r="CH57" s="9" t="s">
        <v>28</v>
      </c>
      <c r="CK57" s="10">
        <v>20</v>
      </c>
      <c r="CL57" s="10">
        <v>20</v>
      </c>
      <c r="CM57" s="10">
        <v>20</v>
      </c>
      <c r="CN57" s="10">
        <v>20</v>
      </c>
      <c r="CO57" s="10">
        <v>20</v>
      </c>
      <c r="CP57" s="10">
        <v>20</v>
      </c>
      <c r="CQ57" s="10">
        <v>20</v>
      </c>
      <c r="CR57" s="10">
        <v>20</v>
      </c>
      <c r="CS57" s="11">
        <v>0.6</v>
      </c>
      <c r="CT57" s="11">
        <v>0.6</v>
      </c>
      <c r="CU57" s="11">
        <v>0.6</v>
      </c>
      <c r="CW57" s="10">
        <v>5</v>
      </c>
      <c r="CX57" s="10">
        <v>90</v>
      </c>
      <c r="CZ57" s="10" t="s">
        <v>28</v>
      </c>
      <c r="DA57" s="10" t="s">
        <v>28</v>
      </c>
      <c r="DB57" s="10" t="s">
        <v>28</v>
      </c>
      <c r="DC57" s="10" t="s">
        <v>25</v>
      </c>
      <c r="DD57" s="10" t="s">
        <v>25</v>
      </c>
      <c r="DE57" s="39">
        <v>3500</v>
      </c>
      <c r="DF57" s="39">
        <v>15166</v>
      </c>
      <c r="DG57" s="39">
        <v>20000</v>
      </c>
      <c r="DJ57" s="9" t="s">
        <v>1715</v>
      </c>
      <c r="DK57" s="9" t="s">
        <v>1715</v>
      </c>
      <c r="DM57" s="9" t="s">
        <v>25</v>
      </c>
      <c r="DU57" s="9" t="s">
        <v>1745</v>
      </c>
      <c r="DV57" s="9" t="s">
        <v>1763</v>
      </c>
      <c r="DW57" s="11">
        <v>0.6</v>
      </c>
      <c r="ED57" s="9" t="s">
        <v>1719</v>
      </c>
      <c r="EE57" s="9" t="s">
        <v>1720</v>
      </c>
      <c r="EF57" s="9" t="s">
        <v>1721</v>
      </c>
      <c r="EG57" s="9" t="s">
        <v>1722</v>
      </c>
      <c r="EH57" s="9" t="s">
        <v>1723</v>
      </c>
      <c r="EI57" s="9" t="s">
        <v>1724</v>
      </c>
      <c r="EJ57" s="9" t="s">
        <v>1725</v>
      </c>
      <c r="EK57" s="9" t="s">
        <v>1726</v>
      </c>
      <c r="EL57" s="9" t="s">
        <v>1727</v>
      </c>
      <c r="EM57" s="9" t="s">
        <v>1728</v>
      </c>
      <c r="EN57" s="9" t="s">
        <v>693</v>
      </c>
      <c r="EO57" s="9" t="s">
        <v>693</v>
      </c>
      <c r="ER57" s="9" t="s">
        <v>1725</v>
      </c>
      <c r="ES57" s="9" t="s">
        <v>25</v>
      </c>
      <c r="ET57" s="9" t="s">
        <v>25</v>
      </c>
    </row>
    <row r="58" spans="1:163" ht="51" x14ac:dyDescent="0.2">
      <c r="A58" s="8" t="s">
        <v>149</v>
      </c>
      <c r="B58" s="9" t="s">
        <v>1695</v>
      </c>
      <c r="C58" s="9" t="s">
        <v>1849</v>
      </c>
      <c r="D58" s="9" t="s">
        <v>1849</v>
      </c>
      <c r="E58" s="9" t="s">
        <v>1849</v>
      </c>
      <c r="F58" s="9" t="s">
        <v>1849</v>
      </c>
      <c r="M58" s="9" t="s">
        <v>1849</v>
      </c>
      <c r="P58" s="9" t="s">
        <v>1735</v>
      </c>
      <c r="AS58" s="9" t="s">
        <v>25</v>
      </c>
      <c r="AW58" s="9" t="s">
        <v>1816</v>
      </c>
      <c r="AX58" s="9" t="s">
        <v>1699</v>
      </c>
      <c r="AY58" s="9" t="s">
        <v>1750</v>
      </c>
      <c r="AZ58" s="9" t="s">
        <v>1704</v>
      </c>
      <c r="BA58" s="9" t="s">
        <v>28</v>
      </c>
      <c r="BB58" s="9" t="s">
        <v>1702</v>
      </c>
      <c r="BC58" s="9" t="s">
        <v>1699</v>
      </c>
      <c r="BD58" s="9" t="s">
        <v>1890</v>
      </c>
      <c r="BE58" s="9" t="s">
        <v>1891</v>
      </c>
      <c r="BF58" s="9" t="s">
        <v>1704</v>
      </c>
      <c r="BH58" s="9" t="s">
        <v>1705</v>
      </c>
      <c r="BI58" s="9" t="s">
        <v>1706</v>
      </c>
      <c r="BJ58" s="9" t="s">
        <v>1707</v>
      </c>
      <c r="BK58" s="9" t="s">
        <v>1739</v>
      </c>
      <c r="BL58" s="9" t="s">
        <v>1769</v>
      </c>
      <c r="BM58" s="9" t="s">
        <v>1818</v>
      </c>
      <c r="BN58" s="9" t="s">
        <v>1768</v>
      </c>
      <c r="BO58" s="9" t="s">
        <v>1737</v>
      </c>
      <c r="BP58" s="9" t="s">
        <v>1704</v>
      </c>
      <c r="BQ58" s="9" t="s">
        <v>28</v>
      </c>
      <c r="BR58" s="9" t="s">
        <v>1702</v>
      </c>
      <c r="BS58" s="9" t="s">
        <v>1776</v>
      </c>
      <c r="BT58" s="9" t="s">
        <v>29</v>
      </c>
      <c r="BU58" s="9" t="s">
        <v>1704</v>
      </c>
      <c r="BV58" s="9" t="s">
        <v>13901</v>
      </c>
      <c r="BW58" s="9" t="s">
        <v>1754</v>
      </c>
      <c r="BX58" s="9" t="s">
        <v>1777</v>
      </c>
      <c r="BY58" s="9" t="s">
        <v>1709</v>
      </c>
      <c r="BZ58" s="9" t="s">
        <v>1699</v>
      </c>
      <c r="CA58" s="9" t="s">
        <v>1758</v>
      </c>
      <c r="CB58" s="9" t="s">
        <v>1738</v>
      </c>
      <c r="CC58" s="9" t="s">
        <v>28</v>
      </c>
      <c r="CD58" s="9" t="s">
        <v>1778</v>
      </c>
      <c r="CE58" s="9" t="s">
        <v>1713</v>
      </c>
      <c r="CF58" s="9" t="s">
        <v>28</v>
      </c>
      <c r="CG58" s="9" t="s">
        <v>1859</v>
      </c>
      <c r="CH58" s="9" t="s">
        <v>28</v>
      </c>
      <c r="CI58" s="9" t="s">
        <v>1859</v>
      </c>
      <c r="CJ58" s="9" t="s">
        <v>1714</v>
      </c>
      <c r="CK58" s="10">
        <v>20</v>
      </c>
      <c r="CL58" s="10">
        <v>20</v>
      </c>
      <c r="CM58" s="10">
        <v>20</v>
      </c>
      <c r="CN58" s="10">
        <v>20</v>
      </c>
      <c r="CO58" s="10">
        <v>1</v>
      </c>
      <c r="CP58" s="10">
        <v>1</v>
      </c>
      <c r="CQ58" s="10">
        <v>1</v>
      </c>
      <c r="CR58" s="10">
        <v>1</v>
      </c>
      <c r="CS58" s="11">
        <v>1</v>
      </c>
      <c r="CT58" s="11">
        <v>0.75</v>
      </c>
      <c r="CU58" s="11">
        <v>0.6</v>
      </c>
      <c r="CV58" s="10" t="s">
        <v>1406</v>
      </c>
      <c r="CX58" s="10">
        <v>182</v>
      </c>
      <c r="CZ58" s="10" t="s">
        <v>25</v>
      </c>
      <c r="DA58" s="10" t="s">
        <v>25</v>
      </c>
      <c r="DB58" s="10" t="s">
        <v>28</v>
      </c>
      <c r="DC58" s="10" t="s">
        <v>25</v>
      </c>
      <c r="DD58" s="10" t="s">
        <v>25</v>
      </c>
      <c r="DG58" s="39">
        <v>15000</v>
      </c>
      <c r="DJ58" s="9" t="s">
        <v>1715</v>
      </c>
      <c r="DK58" s="9" t="s">
        <v>1715</v>
      </c>
      <c r="DM58" s="9" t="s">
        <v>25</v>
      </c>
      <c r="DU58" s="9" t="s">
        <v>1717</v>
      </c>
      <c r="DV58" s="9" t="s">
        <v>1746</v>
      </c>
      <c r="DW58" s="11">
        <v>0.6</v>
      </c>
      <c r="EC58" s="9" t="s">
        <v>1739</v>
      </c>
      <c r="ED58" s="9" t="s">
        <v>1755</v>
      </c>
      <c r="EE58" s="9" t="s">
        <v>1755</v>
      </c>
      <c r="EF58" s="9" t="s">
        <v>1755</v>
      </c>
      <c r="EG58" s="9" t="s">
        <v>1755</v>
      </c>
      <c r="EH58" s="9" t="s">
        <v>1755</v>
      </c>
      <c r="EI58" s="9" t="s">
        <v>1755</v>
      </c>
      <c r="EJ58" s="9" t="s">
        <v>1725</v>
      </c>
      <c r="EK58" s="9" t="s">
        <v>1726</v>
      </c>
      <c r="EL58" s="9" t="s">
        <v>1727</v>
      </c>
      <c r="EM58" s="9" t="s">
        <v>1728</v>
      </c>
      <c r="EN58" s="9" t="s">
        <v>693</v>
      </c>
      <c r="EO58" s="9" t="s">
        <v>693</v>
      </c>
      <c r="EP58" s="9" t="s">
        <v>1755</v>
      </c>
      <c r="EQ58" s="9" t="s">
        <v>1725</v>
      </c>
      <c r="ER58" s="9" t="s">
        <v>1747</v>
      </c>
      <c r="ES58" s="9" t="s">
        <v>25</v>
      </c>
      <c r="ET58" s="9" t="s">
        <v>25</v>
      </c>
    </row>
    <row r="59" spans="1:163" ht="63.75" x14ac:dyDescent="0.2">
      <c r="A59" s="8" t="s">
        <v>145</v>
      </c>
      <c r="B59" s="9" t="s">
        <v>1695</v>
      </c>
      <c r="F59" s="9" t="s">
        <v>1884</v>
      </c>
      <c r="AS59" s="9" t="s">
        <v>25</v>
      </c>
      <c r="AW59" s="9" t="s">
        <v>1829</v>
      </c>
      <c r="AX59" s="9" t="s">
        <v>1699</v>
      </c>
      <c r="AY59" s="9" t="s">
        <v>1700</v>
      </c>
      <c r="AZ59" s="9" t="s">
        <v>1704</v>
      </c>
      <c r="BA59" s="9" t="s">
        <v>28</v>
      </c>
      <c r="BB59" s="9" t="s">
        <v>1702</v>
      </c>
      <c r="BC59" s="9" t="s">
        <v>1703</v>
      </c>
      <c r="BF59" s="9" t="s">
        <v>1704</v>
      </c>
      <c r="BH59" s="9" t="s">
        <v>1751</v>
      </c>
      <c r="BI59" s="9" t="s">
        <v>1740</v>
      </c>
      <c r="BJ59" s="9" t="s">
        <v>1707</v>
      </c>
      <c r="BK59" s="9" t="s">
        <v>1705</v>
      </c>
      <c r="BL59" s="9" t="s">
        <v>1708</v>
      </c>
      <c r="BM59" s="9" t="s">
        <v>1753</v>
      </c>
      <c r="BN59" s="9" t="s">
        <v>1699</v>
      </c>
      <c r="BO59" s="9" t="s">
        <v>1700</v>
      </c>
      <c r="BP59" s="9" t="s">
        <v>1704</v>
      </c>
      <c r="BQ59" s="9" t="s">
        <v>28</v>
      </c>
      <c r="BR59" s="9" t="s">
        <v>1702</v>
      </c>
      <c r="BS59" s="9" t="s">
        <v>1703</v>
      </c>
      <c r="BU59" s="9" t="s">
        <v>1704</v>
      </c>
      <c r="BV59" s="9" t="s">
        <v>1751</v>
      </c>
      <c r="BW59" s="9" t="s">
        <v>1754</v>
      </c>
      <c r="BX59" s="9" t="s">
        <v>1708</v>
      </c>
      <c r="BY59" s="9" t="s">
        <v>1753</v>
      </c>
      <c r="BZ59" s="9" t="s">
        <v>1699</v>
      </c>
      <c r="CA59" s="9" t="s">
        <v>1758</v>
      </c>
      <c r="CB59" s="9" t="s">
        <v>1704</v>
      </c>
      <c r="CC59" s="9" t="s">
        <v>28</v>
      </c>
      <c r="CD59" s="9" t="s">
        <v>1778</v>
      </c>
      <c r="CE59" s="9" t="s">
        <v>1779</v>
      </c>
      <c r="CF59" s="9" t="s">
        <v>28</v>
      </c>
      <c r="CG59" s="9" t="s">
        <v>743</v>
      </c>
      <c r="CH59" s="9" t="s">
        <v>28</v>
      </c>
      <c r="CI59" s="9" t="s">
        <v>743</v>
      </c>
      <c r="CJ59" s="9" t="s">
        <v>1714</v>
      </c>
      <c r="CK59" s="10">
        <v>20</v>
      </c>
      <c r="CL59" s="10">
        <v>20</v>
      </c>
      <c r="CM59" s="10">
        <v>20</v>
      </c>
      <c r="CN59" s="10">
        <v>20</v>
      </c>
      <c r="CO59" s="10">
        <v>20</v>
      </c>
      <c r="CP59" s="10">
        <v>20</v>
      </c>
      <c r="CQ59" s="10">
        <v>20</v>
      </c>
      <c r="CR59" s="10">
        <v>20</v>
      </c>
      <c r="CT59" s="11">
        <v>0.8</v>
      </c>
      <c r="CU59" s="11">
        <v>0.67</v>
      </c>
      <c r="CV59" s="10" t="s">
        <v>1885</v>
      </c>
      <c r="CW59" s="10">
        <v>7</v>
      </c>
      <c r="CX59" s="10">
        <v>180</v>
      </c>
      <c r="CY59" s="10">
        <v>180</v>
      </c>
      <c r="CZ59" s="10" t="s">
        <v>25</v>
      </c>
      <c r="DA59" s="10" t="s">
        <v>25</v>
      </c>
      <c r="DB59" s="10" t="s">
        <v>28</v>
      </c>
      <c r="DC59" s="10" t="s">
        <v>25</v>
      </c>
      <c r="DD59" s="10" t="s">
        <v>25</v>
      </c>
      <c r="DG59" s="39">
        <v>20000</v>
      </c>
      <c r="DJ59" s="9" t="s">
        <v>1715</v>
      </c>
      <c r="DK59" s="9" t="s">
        <v>1715</v>
      </c>
      <c r="DM59" s="9" t="s">
        <v>28</v>
      </c>
      <c r="DN59" s="9" t="s">
        <v>28</v>
      </c>
      <c r="DO59" s="9" t="s">
        <v>25</v>
      </c>
      <c r="DP59" s="9" t="s">
        <v>28</v>
      </c>
      <c r="DQ59" s="9" t="s">
        <v>28</v>
      </c>
      <c r="DR59" s="9" t="s">
        <v>25</v>
      </c>
      <c r="DS59" s="9" t="s">
        <v>13516</v>
      </c>
      <c r="DU59" s="9" t="s">
        <v>1717</v>
      </c>
      <c r="DV59" s="9" t="s">
        <v>1746</v>
      </c>
      <c r="DW59" s="11">
        <v>0.67</v>
      </c>
      <c r="EC59" s="9" t="s">
        <v>1739</v>
      </c>
      <c r="ED59" s="9" t="s">
        <v>1719</v>
      </c>
      <c r="EE59" s="9" t="s">
        <v>1720</v>
      </c>
      <c r="EF59" s="9" t="s">
        <v>1721</v>
      </c>
      <c r="EG59" s="9" t="s">
        <v>1722</v>
      </c>
      <c r="EH59" s="9" t="s">
        <v>1723</v>
      </c>
      <c r="EI59" s="9" t="s">
        <v>1724</v>
      </c>
      <c r="EJ59" s="9" t="s">
        <v>1725</v>
      </c>
      <c r="EK59" s="9" t="s">
        <v>1726</v>
      </c>
      <c r="EL59" s="9" t="s">
        <v>1727</v>
      </c>
      <c r="EM59" s="9" t="s">
        <v>1728</v>
      </c>
      <c r="EN59" s="9" t="s">
        <v>693</v>
      </c>
      <c r="EO59" s="9" t="s">
        <v>693</v>
      </c>
      <c r="EP59" s="9" t="s">
        <v>1724</v>
      </c>
      <c r="EQ59" s="9" t="s">
        <v>1725</v>
      </c>
      <c r="ER59" s="9" t="s">
        <v>1747</v>
      </c>
      <c r="ES59" s="9" t="s">
        <v>25</v>
      </c>
      <c r="ET59" s="9" t="s">
        <v>25</v>
      </c>
    </row>
    <row r="60" spans="1:163" ht="51" x14ac:dyDescent="0.2">
      <c r="A60" s="8" t="s">
        <v>141</v>
      </c>
      <c r="B60" s="9" t="s">
        <v>1870</v>
      </c>
      <c r="G60" s="9" t="s">
        <v>1733</v>
      </c>
      <c r="H60" s="9" t="s">
        <v>1734</v>
      </c>
      <c r="N60" s="9" t="s">
        <v>1732</v>
      </c>
      <c r="O60" s="9" t="s">
        <v>1871</v>
      </c>
      <c r="P60" s="9" t="s">
        <v>1735</v>
      </c>
      <c r="AD60" s="9" t="s">
        <v>1872</v>
      </c>
      <c r="AS60" s="9" t="s">
        <v>28</v>
      </c>
      <c r="AT60" s="9" t="s">
        <v>1873</v>
      </c>
      <c r="AU60" s="9" t="s">
        <v>1874</v>
      </c>
      <c r="AW60" s="9" t="s">
        <v>1756</v>
      </c>
      <c r="AX60" s="9" t="s">
        <v>1699</v>
      </c>
      <c r="AY60" s="9" t="s">
        <v>1737</v>
      </c>
      <c r="AZ60" s="9" t="s">
        <v>1704</v>
      </c>
      <c r="BA60" s="9" t="s">
        <v>28</v>
      </c>
      <c r="BB60" s="9" t="s">
        <v>1702</v>
      </c>
      <c r="BC60" s="9" t="s">
        <v>1699</v>
      </c>
      <c r="BD60" s="9" t="s">
        <v>29</v>
      </c>
      <c r="BE60" s="9" t="s">
        <v>1875</v>
      </c>
      <c r="BF60" s="9" t="s">
        <v>1803</v>
      </c>
      <c r="BH60" s="9" t="s">
        <v>1739</v>
      </c>
      <c r="BI60" s="9" t="s">
        <v>1706</v>
      </c>
      <c r="BJ60" s="9" t="s">
        <v>1707</v>
      </c>
      <c r="BK60" s="9" t="s">
        <v>1739</v>
      </c>
      <c r="BL60" s="9" t="s">
        <v>1814</v>
      </c>
      <c r="BM60" s="9" t="s">
        <v>1742</v>
      </c>
      <c r="BN60" s="9" t="s">
        <v>1703</v>
      </c>
      <c r="BP60" s="28">
        <v>50000</v>
      </c>
      <c r="BQ60" s="9" t="s">
        <v>25</v>
      </c>
      <c r="BW60" s="9" t="s">
        <v>1711</v>
      </c>
      <c r="BZ60" s="9" t="s">
        <v>1699</v>
      </c>
      <c r="CA60" s="9" t="s">
        <v>1787</v>
      </c>
      <c r="CB60" s="9" t="s">
        <v>1704</v>
      </c>
      <c r="CC60" s="9" t="s">
        <v>28</v>
      </c>
      <c r="CD60" s="9" t="s">
        <v>1876</v>
      </c>
      <c r="CE60" s="9" t="s">
        <v>631</v>
      </c>
      <c r="CF60" s="9" t="s">
        <v>28</v>
      </c>
      <c r="CG60" s="9" t="s">
        <v>29</v>
      </c>
      <c r="CH60" s="9" t="s">
        <v>28</v>
      </c>
      <c r="CJ60" s="9" t="s">
        <v>1714</v>
      </c>
      <c r="CK60" s="10">
        <v>20</v>
      </c>
      <c r="CL60" s="10">
        <v>20</v>
      </c>
      <c r="CM60" s="10">
        <v>20</v>
      </c>
      <c r="CN60" s="10">
        <v>20</v>
      </c>
      <c r="CO60" s="10">
        <v>20</v>
      </c>
      <c r="CP60" s="10">
        <v>20</v>
      </c>
      <c r="CQ60" s="10">
        <v>20</v>
      </c>
      <c r="CR60" s="10">
        <v>20</v>
      </c>
      <c r="CT60" s="11">
        <v>0.75</v>
      </c>
      <c r="CU60" s="11">
        <v>0.55000000000000004</v>
      </c>
      <c r="CZ60" s="10" t="s">
        <v>25</v>
      </c>
      <c r="DA60" s="10" t="s">
        <v>25</v>
      </c>
      <c r="DB60" s="10" t="s">
        <v>25</v>
      </c>
      <c r="DC60" s="10" t="s">
        <v>25</v>
      </c>
      <c r="DD60" s="10" t="s">
        <v>25</v>
      </c>
      <c r="DJ60" s="9" t="s">
        <v>1715</v>
      </c>
      <c r="DK60" s="9" t="s">
        <v>1715</v>
      </c>
      <c r="DM60" s="9" t="s">
        <v>28</v>
      </c>
      <c r="DN60" s="9" t="s">
        <v>25</v>
      </c>
      <c r="DO60" s="9" t="s">
        <v>25</v>
      </c>
      <c r="DP60" s="9" t="s">
        <v>28</v>
      </c>
      <c r="DQ60" s="9" t="s">
        <v>28</v>
      </c>
      <c r="DR60" s="9" t="s">
        <v>28</v>
      </c>
      <c r="DS60" s="9" t="s">
        <v>612</v>
      </c>
      <c r="DU60" s="9" t="s">
        <v>1745</v>
      </c>
      <c r="DW60" s="11">
        <v>0.55000000000000004</v>
      </c>
      <c r="EC60" s="9" t="s">
        <v>635</v>
      </c>
      <c r="ED60" s="9" t="s">
        <v>1719</v>
      </c>
      <c r="EE60" s="9" t="s">
        <v>1719</v>
      </c>
      <c r="EF60" s="9" t="s">
        <v>1721</v>
      </c>
      <c r="EG60" s="9" t="s">
        <v>1722</v>
      </c>
      <c r="EH60" s="9" t="s">
        <v>1723</v>
      </c>
      <c r="EI60" s="9" t="s">
        <v>1724</v>
      </c>
      <c r="EJ60" s="9" t="s">
        <v>1725</v>
      </c>
      <c r="EK60" s="9" t="s">
        <v>1726</v>
      </c>
      <c r="EL60" s="9" t="s">
        <v>1727</v>
      </c>
      <c r="EM60" s="9" t="s">
        <v>1728</v>
      </c>
      <c r="EN60" s="9" t="s">
        <v>693</v>
      </c>
      <c r="EO60" s="9" t="s">
        <v>693</v>
      </c>
      <c r="EP60" s="9" t="s">
        <v>29</v>
      </c>
      <c r="EQ60" s="9" t="s">
        <v>29</v>
      </c>
      <c r="ER60" s="9" t="s">
        <v>29</v>
      </c>
      <c r="ES60" s="9" t="s">
        <v>25</v>
      </c>
      <c r="ET60" s="9" t="s">
        <v>25</v>
      </c>
      <c r="FD60" s="9" t="s">
        <v>28</v>
      </c>
      <c r="FE60" s="9" t="s">
        <v>29</v>
      </c>
      <c r="FF60" s="9" t="s">
        <v>1802</v>
      </c>
      <c r="FG60" s="9" t="s">
        <v>25</v>
      </c>
    </row>
    <row r="61" spans="1:163" ht="51" x14ac:dyDescent="0.2">
      <c r="A61" s="8" t="s">
        <v>132</v>
      </c>
      <c r="B61" s="9" t="s">
        <v>1695</v>
      </c>
      <c r="AS61" s="9" t="s">
        <v>25</v>
      </c>
      <c r="AW61" s="9" t="s">
        <v>635</v>
      </c>
      <c r="AX61" s="9" t="s">
        <v>1699</v>
      </c>
      <c r="AY61" s="9" t="s">
        <v>1750</v>
      </c>
      <c r="AZ61" s="9" t="s">
        <v>1704</v>
      </c>
      <c r="BA61" s="9" t="s">
        <v>28</v>
      </c>
      <c r="BB61" s="9" t="s">
        <v>1702</v>
      </c>
      <c r="BC61" s="9" t="s">
        <v>1699</v>
      </c>
      <c r="BD61" s="9" t="s">
        <v>29</v>
      </c>
      <c r="BE61" s="9" t="s">
        <v>1828</v>
      </c>
      <c r="BF61" s="9" t="s">
        <v>1704</v>
      </c>
      <c r="BH61" s="9" t="s">
        <v>1705</v>
      </c>
      <c r="BI61" s="9" t="s">
        <v>1706</v>
      </c>
      <c r="BJ61" s="9" t="s">
        <v>1707</v>
      </c>
      <c r="BK61" s="9" t="s">
        <v>1705</v>
      </c>
      <c r="BL61" s="9" t="s">
        <v>1708</v>
      </c>
      <c r="BM61" s="9" t="s">
        <v>1742</v>
      </c>
      <c r="BN61" s="9" t="s">
        <v>1699</v>
      </c>
      <c r="BO61" s="9" t="s">
        <v>1750</v>
      </c>
      <c r="BP61" s="9" t="s">
        <v>1704</v>
      </c>
      <c r="BQ61" s="9" t="s">
        <v>25</v>
      </c>
      <c r="BW61" s="9" t="s">
        <v>1711</v>
      </c>
      <c r="BZ61" s="9" t="s">
        <v>1699</v>
      </c>
      <c r="CA61" s="9" t="s">
        <v>1700</v>
      </c>
      <c r="CB61" s="9" t="s">
        <v>1704</v>
      </c>
      <c r="CC61" s="9" t="s">
        <v>28</v>
      </c>
      <c r="CD61" s="9" t="s">
        <v>1712</v>
      </c>
      <c r="CE61" s="9" t="s">
        <v>1713</v>
      </c>
      <c r="CF61" s="9" t="s">
        <v>28</v>
      </c>
      <c r="CG61" s="9" t="s">
        <v>743</v>
      </c>
      <c r="CH61" s="9" t="s">
        <v>28</v>
      </c>
      <c r="CI61" s="9" t="s">
        <v>743</v>
      </c>
      <c r="CJ61" s="9" t="s">
        <v>1714</v>
      </c>
      <c r="CK61" s="10">
        <v>20</v>
      </c>
      <c r="CL61" s="10">
        <v>20</v>
      </c>
      <c r="CM61" s="10">
        <v>20</v>
      </c>
      <c r="CN61" s="10">
        <v>0</v>
      </c>
      <c r="CO61" s="10">
        <v>20</v>
      </c>
      <c r="CP61" s="10">
        <v>20</v>
      </c>
      <c r="CQ61" s="10">
        <v>20</v>
      </c>
      <c r="CR61" s="10">
        <v>0</v>
      </c>
      <c r="CT61" s="11">
        <v>0.67</v>
      </c>
      <c r="CU61" s="11">
        <v>0.67</v>
      </c>
      <c r="CW61" s="10">
        <v>7</v>
      </c>
      <c r="CX61" s="10">
        <v>180</v>
      </c>
      <c r="CZ61" s="10" t="s">
        <v>25</v>
      </c>
      <c r="DA61" s="10" t="s">
        <v>28</v>
      </c>
      <c r="DB61" s="10" t="s">
        <v>28</v>
      </c>
      <c r="DC61" s="10" t="s">
        <v>25</v>
      </c>
      <c r="DD61" s="10" t="s">
        <v>25</v>
      </c>
      <c r="DF61" s="39">
        <v>20000</v>
      </c>
      <c r="DG61" s="39">
        <v>25000</v>
      </c>
      <c r="DJ61" s="9" t="s">
        <v>1770</v>
      </c>
      <c r="DK61" s="9" t="s">
        <v>1715</v>
      </c>
      <c r="DM61" s="9" t="s">
        <v>28</v>
      </c>
      <c r="DN61" s="9" t="s">
        <v>28</v>
      </c>
      <c r="DO61" s="9" t="s">
        <v>25</v>
      </c>
      <c r="DP61" s="9" t="s">
        <v>28</v>
      </c>
      <c r="DQ61" s="9" t="s">
        <v>28</v>
      </c>
      <c r="DR61" s="9" t="s">
        <v>25</v>
      </c>
      <c r="DS61" s="9" t="s">
        <v>612</v>
      </c>
      <c r="DU61" s="9" t="s">
        <v>1717</v>
      </c>
      <c r="DV61" s="9" t="s">
        <v>1746</v>
      </c>
      <c r="DW61" s="11">
        <v>0.67</v>
      </c>
      <c r="ED61" s="9" t="s">
        <v>1719</v>
      </c>
      <c r="EE61" s="9" t="s">
        <v>1720</v>
      </c>
      <c r="EF61" s="9" t="s">
        <v>1721</v>
      </c>
      <c r="EG61" s="9" t="s">
        <v>1722</v>
      </c>
      <c r="EH61" s="9" t="s">
        <v>1723</v>
      </c>
      <c r="EI61" s="9" t="s">
        <v>1724</v>
      </c>
      <c r="EJ61" s="9" t="s">
        <v>1725</v>
      </c>
      <c r="EK61" s="9" t="s">
        <v>1726</v>
      </c>
      <c r="EL61" s="9" t="s">
        <v>1727</v>
      </c>
      <c r="EM61" s="9" t="s">
        <v>1728</v>
      </c>
      <c r="EN61" s="9" t="s">
        <v>693</v>
      </c>
      <c r="EO61" s="9" t="s">
        <v>693</v>
      </c>
      <c r="EP61" s="9" t="s">
        <v>1725</v>
      </c>
      <c r="ER61" s="9" t="s">
        <v>1747</v>
      </c>
      <c r="ES61" s="9" t="s">
        <v>25</v>
      </c>
      <c r="ET61" s="9" t="s">
        <v>25</v>
      </c>
    </row>
    <row r="62" spans="1:163" ht="63.75" x14ac:dyDescent="0.2">
      <c r="A62" s="8" t="s">
        <v>136</v>
      </c>
      <c r="B62" s="9" t="s">
        <v>1695</v>
      </c>
      <c r="D62" s="9" t="s">
        <v>1849</v>
      </c>
      <c r="F62" s="9" t="s">
        <v>1695</v>
      </c>
      <c r="P62" s="9" t="s">
        <v>1735</v>
      </c>
      <c r="Q62" s="9" t="s">
        <v>1735</v>
      </c>
      <c r="R62" s="9" t="s">
        <v>1735</v>
      </c>
      <c r="AS62" s="9" t="s">
        <v>25</v>
      </c>
      <c r="AW62" s="9" t="s">
        <v>1850</v>
      </c>
      <c r="AX62" s="9" t="s">
        <v>1699</v>
      </c>
      <c r="AY62" s="9" t="s">
        <v>1750</v>
      </c>
      <c r="AZ62" s="9" t="s">
        <v>1704</v>
      </c>
      <c r="BA62" s="9" t="s">
        <v>28</v>
      </c>
      <c r="BB62" s="9" t="s">
        <v>1702</v>
      </c>
      <c r="BC62" s="9" t="s">
        <v>1699</v>
      </c>
      <c r="BD62" s="9" t="s">
        <v>1787</v>
      </c>
      <c r="BF62" s="9" t="s">
        <v>1704</v>
      </c>
      <c r="BH62" s="9" t="s">
        <v>1751</v>
      </c>
      <c r="BI62" s="9" t="s">
        <v>1706</v>
      </c>
      <c r="BJ62" s="9" t="s">
        <v>1707</v>
      </c>
      <c r="BK62" s="9" t="s">
        <v>1705</v>
      </c>
      <c r="BL62" s="9" t="s">
        <v>1814</v>
      </c>
      <c r="BM62" s="9" t="s">
        <v>1742</v>
      </c>
      <c r="BN62" s="9" t="s">
        <v>1699</v>
      </c>
      <c r="BO62" s="9" t="s">
        <v>1750</v>
      </c>
      <c r="BP62" s="9" t="s">
        <v>1704</v>
      </c>
      <c r="BQ62" s="9" t="s">
        <v>28</v>
      </c>
      <c r="BR62" s="9" t="s">
        <v>1702</v>
      </c>
      <c r="BS62" s="9" t="s">
        <v>1776</v>
      </c>
      <c r="BT62" s="9" t="s">
        <v>1787</v>
      </c>
      <c r="BU62" s="9" t="s">
        <v>1704</v>
      </c>
      <c r="BV62" s="9" t="s">
        <v>1705</v>
      </c>
      <c r="BW62" s="9" t="s">
        <v>1754</v>
      </c>
      <c r="BX62" s="9" t="s">
        <v>1814</v>
      </c>
      <c r="BY62" s="9" t="s">
        <v>1742</v>
      </c>
      <c r="BZ62" s="9" t="s">
        <v>1699</v>
      </c>
      <c r="CA62" s="9" t="s">
        <v>1700</v>
      </c>
      <c r="CB62" s="9" t="s">
        <v>1704</v>
      </c>
      <c r="CC62" s="9" t="s">
        <v>28</v>
      </c>
      <c r="CD62" s="9" t="s">
        <v>1778</v>
      </c>
      <c r="CE62" s="9" t="s">
        <v>1713</v>
      </c>
      <c r="CF62" s="9" t="s">
        <v>28</v>
      </c>
      <c r="CG62" s="9" t="s">
        <v>29</v>
      </c>
      <c r="CH62" s="9" t="s">
        <v>28</v>
      </c>
      <c r="CI62" s="9" t="s">
        <v>29</v>
      </c>
      <c r="CJ62" s="9" t="s">
        <v>1714</v>
      </c>
      <c r="CK62" s="10">
        <v>30</v>
      </c>
      <c r="CL62" s="10">
        <v>30</v>
      </c>
      <c r="CM62" s="10">
        <v>30</v>
      </c>
      <c r="CN62" s="10">
        <v>30</v>
      </c>
      <c r="CS62" s="11">
        <v>1</v>
      </c>
      <c r="CT62" s="11">
        <v>0.8</v>
      </c>
      <c r="CU62" s="11">
        <v>0.6</v>
      </c>
      <c r="CW62" s="10">
        <v>5</v>
      </c>
      <c r="CX62" s="10">
        <v>365</v>
      </c>
      <c r="CZ62" s="10" t="s">
        <v>25</v>
      </c>
      <c r="DA62" s="10" t="s">
        <v>28</v>
      </c>
      <c r="DB62" s="10" t="s">
        <v>28</v>
      </c>
      <c r="DC62" s="10" t="s">
        <v>28</v>
      </c>
      <c r="DD62" s="10" t="s">
        <v>25</v>
      </c>
      <c r="DF62" s="39">
        <v>4077</v>
      </c>
      <c r="DG62" s="39">
        <v>15000</v>
      </c>
      <c r="DH62" s="39">
        <v>10000</v>
      </c>
      <c r="DJ62" s="9" t="s">
        <v>1770</v>
      </c>
      <c r="DK62" s="9" t="s">
        <v>1715</v>
      </c>
      <c r="DL62" s="9" t="s">
        <v>1715</v>
      </c>
      <c r="DM62" s="9" t="s">
        <v>28</v>
      </c>
      <c r="DN62" s="9" t="s">
        <v>25</v>
      </c>
      <c r="DO62" s="9" t="s">
        <v>28</v>
      </c>
      <c r="DP62" s="9" t="s">
        <v>28</v>
      </c>
      <c r="DQ62" s="9" t="s">
        <v>28</v>
      </c>
      <c r="DR62" s="9" t="s">
        <v>25</v>
      </c>
      <c r="DS62" s="9" t="s">
        <v>13516</v>
      </c>
      <c r="DU62" s="9" t="s">
        <v>1717</v>
      </c>
      <c r="DV62" s="9" t="s">
        <v>1746</v>
      </c>
      <c r="DW62" s="11">
        <v>0.6</v>
      </c>
      <c r="DX62" s="11">
        <v>0.6</v>
      </c>
      <c r="EC62" s="9" t="s">
        <v>635</v>
      </c>
      <c r="ED62" s="9" t="s">
        <v>1755</v>
      </c>
      <c r="EE62" s="9" t="s">
        <v>1720</v>
      </c>
      <c r="EF62" s="9" t="s">
        <v>1721</v>
      </c>
      <c r="EG62" s="9" t="s">
        <v>1723</v>
      </c>
      <c r="EH62" s="9" t="s">
        <v>1725</v>
      </c>
      <c r="EI62" s="9" t="s">
        <v>693</v>
      </c>
      <c r="EJ62" s="9" t="s">
        <v>693</v>
      </c>
      <c r="EK62" s="9" t="s">
        <v>693</v>
      </c>
      <c r="EL62" s="9" t="s">
        <v>693</v>
      </c>
      <c r="EM62" s="9" t="s">
        <v>693</v>
      </c>
      <c r="EN62" s="9" t="s">
        <v>693</v>
      </c>
      <c r="EO62" s="9" t="s">
        <v>693</v>
      </c>
      <c r="EP62" s="9" t="s">
        <v>1755</v>
      </c>
      <c r="EQ62" s="9" t="s">
        <v>1725</v>
      </c>
      <c r="ER62" s="9" t="s">
        <v>29</v>
      </c>
      <c r="ES62" s="9" t="s">
        <v>25</v>
      </c>
      <c r="ET62" s="9" t="s">
        <v>1729</v>
      </c>
      <c r="EU62" s="9" t="s">
        <v>13523</v>
      </c>
      <c r="EV62" s="9" t="s">
        <v>1730</v>
      </c>
      <c r="EW62" s="39">
        <v>500</v>
      </c>
      <c r="EX62" s="39">
        <v>500</v>
      </c>
      <c r="EY62" s="39">
        <v>500</v>
      </c>
      <c r="EZ62" s="39">
        <v>500</v>
      </c>
      <c r="FD62" s="9" t="s">
        <v>28</v>
      </c>
      <c r="FE62" s="9" t="s">
        <v>1801</v>
      </c>
      <c r="FF62" s="9" t="s">
        <v>1851</v>
      </c>
      <c r="FG62" s="9" t="s">
        <v>28</v>
      </c>
    </row>
    <row r="63" spans="1:163" ht="51" x14ac:dyDescent="0.2">
      <c r="A63" s="8" t="s">
        <v>177</v>
      </c>
      <c r="B63" s="9" t="s">
        <v>1695</v>
      </c>
      <c r="F63" s="9" t="s">
        <v>1697</v>
      </c>
      <c r="G63" s="9" t="s">
        <v>1696</v>
      </c>
      <c r="P63" s="9" t="s">
        <v>1735</v>
      </c>
      <c r="Q63" s="9" t="s">
        <v>1735</v>
      </c>
      <c r="AS63" s="9" t="s">
        <v>25</v>
      </c>
      <c r="AW63" s="9" t="s">
        <v>1698</v>
      </c>
      <c r="AX63" s="9" t="s">
        <v>1699</v>
      </c>
      <c r="AY63" s="9" t="s">
        <v>1750</v>
      </c>
      <c r="AZ63" s="9" t="s">
        <v>1704</v>
      </c>
      <c r="BA63" s="9" t="s">
        <v>28</v>
      </c>
      <c r="BB63" s="9" t="s">
        <v>1702</v>
      </c>
      <c r="BC63" s="9" t="s">
        <v>1699</v>
      </c>
      <c r="BD63" s="9" t="s">
        <v>1758</v>
      </c>
      <c r="BF63" s="9" t="s">
        <v>1704</v>
      </c>
      <c r="BH63" s="9" t="s">
        <v>1710</v>
      </c>
      <c r="BI63" s="9" t="s">
        <v>1706</v>
      </c>
      <c r="BJ63" s="9" t="s">
        <v>1707</v>
      </c>
      <c r="BK63" s="9" t="s">
        <v>13901</v>
      </c>
      <c r="BL63" s="9" t="s">
        <v>1752</v>
      </c>
      <c r="BM63" s="9" t="s">
        <v>1742</v>
      </c>
      <c r="BN63" s="9" t="s">
        <v>1699</v>
      </c>
      <c r="BO63" s="9" t="s">
        <v>1750</v>
      </c>
      <c r="BP63" s="9" t="s">
        <v>1704</v>
      </c>
      <c r="BQ63" s="9" t="s">
        <v>25</v>
      </c>
      <c r="BW63" s="9" t="s">
        <v>1711</v>
      </c>
      <c r="BZ63" s="9" t="s">
        <v>1699</v>
      </c>
      <c r="CA63" s="9" t="s">
        <v>1750</v>
      </c>
      <c r="CB63" s="9" t="s">
        <v>1738</v>
      </c>
      <c r="CC63" s="9" t="s">
        <v>28</v>
      </c>
      <c r="CD63" s="9" t="s">
        <v>1778</v>
      </c>
      <c r="CE63" s="9" t="s">
        <v>1938</v>
      </c>
      <c r="CF63" s="9" t="s">
        <v>28</v>
      </c>
      <c r="CG63" s="9" t="s">
        <v>29</v>
      </c>
      <c r="CH63" s="9" t="s">
        <v>28</v>
      </c>
      <c r="CI63" s="9" t="s">
        <v>29</v>
      </c>
      <c r="CJ63" s="9" t="s">
        <v>1714</v>
      </c>
      <c r="CK63" s="10">
        <v>20</v>
      </c>
      <c r="CL63" s="10">
        <v>20</v>
      </c>
      <c r="CM63" s="10">
        <v>20</v>
      </c>
      <c r="CN63" s="10">
        <v>20</v>
      </c>
      <c r="CO63" s="10">
        <v>20</v>
      </c>
      <c r="CP63" s="10">
        <v>20</v>
      </c>
      <c r="CQ63" s="10">
        <v>20</v>
      </c>
      <c r="CR63" s="10">
        <v>20</v>
      </c>
      <c r="CS63" s="11">
        <v>1</v>
      </c>
      <c r="CT63" s="11">
        <v>0.7</v>
      </c>
      <c r="CU63" s="11">
        <v>0.6</v>
      </c>
      <c r="CV63" s="10" t="s">
        <v>1939</v>
      </c>
      <c r="CW63" s="10">
        <v>7</v>
      </c>
      <c r="CX63" s="10">
        <v>180</v>
      </c>
      <c r="CZ63" s="10" t="s">
        <v>25</v>
      </c>
      <c r="DA63" s="10" t="s">
        <v>25</v>
      </c>
      <c r="DB63" s="10" t="s">
        <v>28</v>
      </c>
      <c r="DC63" s="10" t="s">
        <v>25</v>
      </c>
      <c r="DD63" s="10" t="s">
        <v>25</v>
      </c>
      <c r="DG63" s="39">
        <v>15000</v>
      </c>
      <c r="DJ63" s="9" t="s">
        <v>1715</v>
      </c>
      <c r="DK63" s="9" t="s">
        <v>1715</v>
      </c>
      <c r="DM63" s="9" t="s">
        <v>28</v>
      </c>
      <c r="DN63" s="9" t="s">
        <v>25</v>
      </c>
      <c r="DO63" s="9" t="s">
        <v>25</v>
      </c>
      <c r="DP63" s="9" t="s">
        <v>28</v>
      </c>
      <c r="DQ63" s="9" t="s">
        <v>28</v>
      </c>
      <c r="DR63" s="9" t="s">
        <v>25</v>
      </c>
      <c r="DS63" s="9" t="s">
        <v>1810</v>
      </c>
      <c r="DU63" s="9" t="s">
        <v>1717</v>
      </c>
      <c r="DV63" s="9" t="s">
        <v>1746</v>
      </c>
      <c r="DW63" s="11">
        <v>0.6</v>
      </c>
      <c r="EC63" s="9" t="s">
        <v>635</v>
      </c>
      <c r="ED63" s="9" t="s">
        <v>1719</v>
      </c>
      <c r="EE63" s="9" t="s">
        <v>1720</v>
      </c>
      <c r="EF63" s="9" t="s">
        <v>1721</v>
      </c>
      <c r="EG63" s="9" t="s">
        <v>1722</v>
      </c>
      <c r="EH63" s="9" t="s">
        <v>1723</v>
      </c>
      <c r="EI63" s="9" t="s">
        <v>1724</v>
      </c>
      <c r="EJ63" s="9" t="s">
        <v>1725</v>
      </c>
      <c r="EK63" s="9" t="s">
        <v>1726</v>
      </c>
      <c r="EL63" s="9" t="s">
        <v>1727</v>
      </c>
      <c r="EM63" s="9" t="s">
        <v>1728</v>
      </c>
      <c r="EN63" s="9" t="s">
        <v>693</v>
      </c>
      <c r="EO63" s="9" t="s">
        <v>693</v>
      </c>
      <c r="EP63" s="9" t="s">
        <v>1725</v>
      </c>
      <c r="EQ63" s="9" t="s">
        <v>1725</v>
      </c>
      <c r="ER63" s="9" t="s">
        <v>693</v>
      </c>
      <c r="ES63" s="9" t="s">
        <v>25</v>
      </c>
      <c r="ET63" s="9" t="s">
        <v>1729</v>
      </c>
      <c r="EU63" s="9" t="s">
        <v>13521</v>
      </c>
      <c r="EV63" s="9" t="s">
        <v>29</v>
      </c>
      <c r="FD63" s="9" t="s">
        <v>25</v>
      </c>
      <c r="FE63" s="9" t="s">
        <v>1801</v>
      </c>
      <c r="FF63" s="9" t="s">
        <v>29</v>
      </c>
      <c r="FG63" s="9" t="s">
        <v>25</v>
      </c>
    </row>
    <row r="64" spans="1:163" ht="51" x14ac:dyDescent="0.2">
      <c r="A64" s="8" t="s">
        <v>162</v>
      </c>
      <c r="B64" s="9" t="s">
        <v>1695</v>
      </c>
      <c r="D64" s="9" t="s">
        <v>1697</v>
      </c>
      <c r="F64" s="9" t="s">
        <v>1697</v>
      </c>
      <c r="AS64" s="9" t="s">
        <v>25</v>
      </c>
      <c r="AW64" s="9" t="s">
        <v>1756</v>
      </c>
      <c r="AX64" s="9" t="s">
        <v>1699</v>
      </c>
      <c r="AY64" s="9" t="s">
        <v>1750</v>
      </c>
      <c r="AZ64" s="9" t="s">
        <v>1704</v>
      </c>
      <c r="BA64" s="9" t="s">
        <v>28</v>
      </c>
      <c r="BB64" s="9" t="s">
        <v>1702</v>
      </c>
      <c r="BC64" s="9" t="s">
        <v>1703</v>
      </c>
      <c r="BF64" s="9" t="s">
        <v>1704</v>
      </c>
      <c r="BH64" s="9" t="s">
        <v>1910</v>
      </c>
      <c r="BI64" s="9" t="s">
        <v>1706</v>
      </c>
      <c r="BJ64" s="9" t="s">
        <v>1707</v>
      </c>
      <c r="BK64" s="9" t="s">
        <v>1910</v>
      </c>
      <c r="BL64" s="9" t="s">
        <v>1708</v>
      </c>
      <c r="BM64" s="9" t="s">
        <v>1753</v>
      </c>
      <c r="BN64" s="9" t="s">
        <v>1699</v>
      </c>
      <c r="BO64" s="9" t="s">
        <v>1750</v>
      </c>
      <c r="BP64" s="9" t="s">
        <v>1704</v>
      </c>
      <c r="BQ64" s="9" t="s">
        <v>28</v>
      </c>
      <c r="BR64" s="9" t="s">
        <v>1702</v>
      </c>
      <c r="BS64" s="9" t="s">
        <v>1703</v>
      </c>
      <c r="BU64" s="9" t="s">
        <v>1704</v>
      </c>
      <c r="BV64" s="9" t="s">
        <v>13904</v>
      </c>
      <c r="BW64" s="9" t="s">
        <v>1754</v>
      </c>
      <c r="BX64" s="9" t="s">
        <v>1708</v>
      </c>
      <c r="BY64" s="9" t="s">
        <v>1753</v>
      </c>
      <c r="BZ64" s="9" t="s">
        <v>1699</v>
      </c>
      <c r="CA64" s="9" t="s">
        <v>1750</v>
      </c>
      <c r="CB64" s="9" t="s">
        <v>1704</v>
      </c>
      <c r="CC64" s="9" t="s">
        <v>28</v>
      </c>
      <c r="CD64" s="9" t="s">
        <v>1778</v>
      </c>
      <c r="CE64" s="9" t="s">
        <v>1713</v>
      </c>
      <c r="CF64" s="9" t="s">
        <v>25</v>
      </c>
      <c r="CH64" s="9" t="s">
        <v>25</v>
      </c>
      <c r="CJ64" s="9" t="s">
        <v>1714</v>
      </c>
      <c r="CK64" s="10">
        <v>20</v>
      </c>
      <c r="CL64" s="10">
        <v>20</v>
      </c>
      <c r="CM64" s="10">
        <v>20</v>
      </c>
      <c r="CN64" s="10">
        <v>20</v>
      </c>
      <c r="CO64" s="10">
        <v>20</v>
      </c>
      <c r="CP64" s="10">
        <v>20</v>
      </c>
      <c r="CQ64" s="10">
        <v>20</v>
      </c>
      <c r="CR64" s="10">
        <v>20</v>
      </c>
      <c r="CS64" s="11">
        <v>1</v>
      </c>
      <c r="CT64" s="11">
        <v>0.8</v>
      </c>
      <c r="CU64" s="11">
        <v>0.67</v>
      </c>
      <c r="CW64" s="10">
        <v>7</v>
      </c>
      <c r="CX64" s="10">
        <v>180</v>
      </c>
      <c r="CY64" s="10">
        <v>180</v>
      </c>
      <c r="CZ64" s="10" t="s">
        <v>25</v>
      </c>
      <c r="DA64" s="10" t="s">
        <v>28</v>
      </c>
      <c r="DB64" s="10" t="s">
        <v>28</v>
      </c>
      <c r="DC64" s="10" t="s">
        <v>25</v>
      </c>
      <c r="DD64" s="10" t="s">
        <v>25</v>
      </c>
      <c r="DF64" s="39">
        <v>5000</v>
      </c>
      <c r="DG64" s="39">
        <v>30000</v>
      </c>
      <c r="DJ64" s="9" t="s">
        <v>1715</v>
      </c>
      <c r="DK64" s="9" t="s">
        <v>1715</v>
      </c>
      <c r="DM64" s="9" t="s">
        <v>28</v>
      </c>
      <c r="DN64" s="9" t="s">
        <v>28</v>
      </c>
      <c r="DO64" s="9" t="s">
        <v>25</v>
      </c>
      <c r="DP64" s="9" t="s">
        <v>28</v>
      </c>
      <c r="DQ64" s="9" t="s">
        <v>28</v>
      </c>
      <c r="DR64" s="9" t="s">
        <v>25</v>
      </c>
      <c r="DU64" s="9" t="s">
        <v>1717</v>
      </c>
      <c r="DV64" s="9" t="s">
        <v>1746</v>
      </c>
      <c r="DW64" s="11">
        <v>0.67</v>
      </c>
      <c r="EC64" s="9" t="s">
        <v>635</v>
      </c>
      <c r="ED64" s="9" t="s">
        <v>1719</v>
      </c>
      <c r="EE64" s="9" t="s">
        <v>1720</v>
      </c>
      <c r="EF64" s="9" t="s">
        <v>1721</v>
      </c>
      <c r="EG64" s="9" t="s">
        <v>1722</v>
      </c>
      <c r="EH64" s="9" t="s">
        <v>1723</v>
      </c>
      <c r="EI64" s="9" t="s">
        <v>1724</v>
      </c>
      <c r="EJ64" s="9" t="s">
        <v>1725</v>
      </c>
      <c r="EK64" s="9" t="s">
        <v>1726</v>
      </c>
      <c r="EL64" s="9" t="s">
        <v>1727</v>
      </c>
      <c r="EM64" s="9" t="s">
        <v>1728</v>
      </c>
      <c r="EN64" s="9" t="s">
        <v>693</v>
      </c>
      <c r="EO64" s="9" t="s">
        <v>693</v>
      </c>
      <c r="EP64" s="9" t="s">
        <v>1725</v>
      </c>
      <c r="EQ64" s="9" t="s">
        <v>1725</v>
      </c>
      <c r="ER64" s="9" t="s">
        <v>1747</v>
      </c>
      <c r="ES64" s="9" t="s">
        <v>25</v>
      </c>
      <c r="ET64" s="9" t="s">
        <v>25</v>
      </c>
    </row>
    <row r="65" spans="1:163" ht="51" x14ac:dyDescent="0.2">
      <c r="A65" s="8" t="s">
        <v>148</v>
      </c>
      <c r="B65" s="9" t="s">
        <v>1695</v>
      </c>
      <c r="C65" s="9" t="s">
        <v>1808</v>
      </c>
      <c r="H65" s="9" t="s">
        <v>1734</v>
      </c>
      <c r="P65" s="9" t="s">
        <v>1735</v>
      </c>
      <c r="Y65" s="9" t="s">
        <v>1735</v>
      </c>
      <c r="AS65" s="9" t="s">
        <v>25</v>
      </c>
      <c r="AW65" s="9" t="s">
        <v>1736</v>
      </c>
      <c r="AX65" s="9" t="s">
        <v>1699</v>
      </c>
      <c r="AY65" s="9" t="s">
        <v>1888</v>
      </c>
      <c r="AZ65" s="9" t="s">
        <v>1704</v>
      </c>
      <c r="BA65" s="9" t="s">
        <v>28</v>
      </c>
      <c r="BB65" s="9" t="s">
        <v>1702</v>
      </c>
      <c r="BC65" s="9" t="s">
        <v>1703</v>
      </c>
      <c r="BF65" s="9" t="s">
        <v>1704</v>
      </c>
      <c r="BH65" s="9" t="s">
        <v>1751</v>
      </c>
      <c r="BI65" s="9" t="s">
        <v>1706</v>
      </c>
      <c r="BJ65" s="9" t="s">
        <v>1707</v>
      </c>
      <c r="BK65" s="9" t="s">
        <v>1751</v>
      </c>
      <c r="BL65" s="9" t="s">
        <v>1762</v>
      </c>
      <c r="BM65" s="9" t="s">
        <v>1753</v>
      </c>
      <c r="BN65" s="9" t="s">
        <v>1699</v>
      </c>
      <c r="BO65" s="9" t="s">
        <v>1888</v>
      </c>
      <c r="BP65" s="9" t="s">
        <v>1704</v>
      </c>
      <c r="BQ65" s="9" t="s">
        <v>25</v>
      </c>
      <c r="BW65" s="9" t="s">
        <v>1889</v>
      </c>
      <c r="BX65" s="9" t="s">
        <v>1762</v>
      </c>
      <c r="BZ65" s="9" t="s">
        <v>1699</v>
      </c>
      <c r="CA65" s="9" t="s">
        <v>1758</v>
      </c>
      <c r="CB65" s="9" t="s">
        <v>1738</v>
      </c>
      <c r="CC65" s="9" t="s">
        <v>28</v>
      </c>
      <c r="CD65" s="9" t="s">
        <v>1778</v>
      </c>
      <c r="CE65" s="9" t="s">
        <v>1855</v>
      </c>
      <c r="CF65" s="9" t="s">
        <v>28</v>
      </c>
      <c r="CG65" s="9" t="s">
        <v>743</v>
      </c>
      <c r="CH65" s="9" t="s">
        <v>28</v>
      </c>
      <c r="CI65" s="9" t="s">
        <v>743</v>
      </c>
      <c r="CJ65" s="9" t="s">
        <v>1714</v>
      </c>
      <c r="CK65" s="10">
        <v>38</v>
      </c>
      <c r="CL65" s="10">
        <v>38</v>
      </c>
      <c r="CM65" s="10">
        <v>38</v>
      </c>
      <c r="CN65" s="10">
        <v>38</v>
      </c>
      <c r="CO65" s="10">
        <v>18</v>
      </c>
      <c r="CR65" s="10">
        <v>18</v>
      </c>
      <c r="CS65" s="11">
        <v>1</v>
      </c>
      <c r="CT65" s="11">
        <v>0.67</v>
      </c>
      <c r="CU65" s="11">
        <v>0.6</v>
      </c>
      <c r="CW65" s="10">
        <v>14</v>
      </c>
      <c r="CX65" s="10">
        <v>180</v>
      </c>
      <c r="CY65" s="10">
        <v>180</v>
      </c>
      <c r="CZ65" s="10" t="s">
        <v>25</v>
      </c>
      <c r="DA65" s="10" t="s">
        <v>25</v>
      </c>
      <c r="DB65" s="10" t="s">
        <v>28</v>
      </c>
      <c r="DC65" s="10" t="s">
        <v>28</v>
      </c>
      <c r="DD65" s="10" t="s">
        <v>25</v>
      </c>
      <c r="DG65" s="39">
        <v>15000</v>
      </c>
      <c r="DH65" s="39">
        <v>15000</v>
      </c>
      <c r="DJ65" s="9" t="s">
        <v>1715</v>
      </c>
      <c r="DK65" s="9" t="s">
        <v>1715</v>
      </c>
      <c r="DL65" s="9" t="s">
        <v>1770</v>
      </c>
      <c r="DM65" s="9" t="s">
        <v>25</v>
      </c>
      <c r="DU65" s="9" t="s">
        <v>1717</v>
      </c>
      <c r="DV65" s="9" t="s">
        <v>1746</v>
      </c>
      <c r="DW65" s="11">
        <v>0.6</v>
      </c>
      <c r="EC65" s="9" t="s">
        <v>1751</v>
      </c>
      <c r="ED65" s="9" t="s">
        <v>1719</v>
      </c>
      <c r="EE65" s="9" t="s">
        <v>1719</v>
      </c>
      <c r="EF65" s="9" t="s">
        <v>1719</v>
      </c>
      <c r="EG65" s="9" t="s">
        <v>1723</v>
      </c>
      <c r="EH65" s="9" t="s">
        <v>1723</v>
      </c>
      <c r="EI65" s="9" t="s">
        <v>1724</v>
      </c>
      <c r="EJ65" s="9" t="s">
        <v>1725</v>
      </c>
      <c r="EK65" s="9" t="s">
        <v>1724</v>
      </c>
      <c r="EL65" s="9" t="s">
        <v>1727</v>
      </c>
      <c r="EM65" s="9" t="s">
        <v>1728</v>
      </c>
      <c r="EN65" s="9" t="s">
        <v>693</v>
      </c>
      <c r="EO65" s="9" t="s">
        <v>693</v>
      </c>
      <c r="EP65" s="9" t="s">
        <v>1725</v>
      </c>
      <c r="EQ65" s="9" t="s">
        <v>1725</v>
      </c>
      <c r="ER65" s="9" t="s">
        <v>1747</v>
      </c>
      <c r="ES65" s="9" t="s">
        <v>25</v>
      </c>
      <c r="ET65" s="9" t="s">
        <v>25</v>
      </c>
    </row>
    <row r="66" spans="1:163" ht="51" x14ac:dyDescent="0.2">
      <c r="A66" s="8" t="s">
        <v>167</v>
      </c>
      <c r="B66" s="9" t="s">
        <v>1695</v>
      </c>
      <c r="D66" s="9" t="s">
        <v>1772</v>
      </c>
      <c r="E66" s="9" t="s">
        <v>1772</v>
      </c>
      <c r="F66" s="9" t="s">
        <v>1772</v>
      </c>
      <c r="G66" s="9" t="s">
        <v>1772</v>
      </c>
      <c r="AS66" s="9" t="s">
        <v>25</v>
      </c>
      <c r="AW66" s="9" t="s">
        <v>1756</v>
      </c>
      <c r="AX66" s="9" t="s">
        <v>1699</v>
      </c>
      <c r="AY66" s="9" t="s">
        <v>1750</v>
      </c>
      <c r="AZ66" s="9" t="s">
        <v>1704</v>
      </c>
      <c r="BA66" s="9" t="s">
        <v>28</v>
      </c>
      <c r="BB66" s="9" t="s">
        <v>1702</v>
      </c>
      <c r="BC66" s="9" t="s">
        <v>1699</v>
      </c>
      <c r="BD66" s="9" t="s">
        <v>1785</v>
      </c>
      <c r="BE66" s="9" t="s">
        <v>1766</v>
      </c>
      <c r="BF66" s="9" t="s">
        <v>1704</v>
      </c>
      <c r="BH66" s="9" t="s">
        <v>1705</v>
      </c>
      <c r="BI66" s="9" t="s">
        <v>1706</v>
      </c>
      <c r="BJ66" s="9" t="s">
        <v>1707</v>
      </c>
      <c r="BK66" s="9" t="s">
        <v>1705</v>
      </c>
      <c r="BL66" s="9" t="s">
        <v>1752</v>
      </c>
      <c r="BM66" s="9" t="s">
        <v>1742</v>
      </c>
      <c r="BN66" s="9" t="s">
        <v>1699</v>
      </c>
      <c r="BO66" s="9" t="s">
        <v>1750</v>
      </c>
      <c r="BP66" s="9" t="s">
        <v>1704</v>
      </c>
      <c r="BQ66" s="9" t="s">
        <v>28</v>
      </c>
      <c r="BR66" s="9" t="s">
        <v>1702</v>
      </c>
      <c r="BS66" s="9" t="s">
        <v>1776</v>
      </c>
      <c r="BT66" s="9" t="s">
        <v>29</v>
      </c>
      <c r="BU66" s="9" t="s">
        <v>1704</v>
      </c>
      <c r="BV66" s="9" t="s">
        <v>1705</v>
      </c>
      <c r="BW66" s="9" t="s">
        <v>1711</v>
      </c>
      <c r="BZ66" s="9" t="s">
        <v>1699</v>
      </c>
      <c r="CA66" s="9" t="s">
        <v>1750</v>
      </c>
      <c r="CB66" s="9" t="s">
        <v>1704</v>
      </c>
      <c r="CC66" s="9" t="s">
        <v>28</v>
      </c>
      <c r="CD66" s="9" t="s">
        <v>1778</v>
      </c>
      <c r="CE66" s="9" t="s">
        <v>1713</v>
      </c>
      <c r="CF66" s="9" t="s">
        <v>28</v>
      </c>
      <c r="CG66" s="9" t="s">
        <v>1862</v>
      </c>
      <c r="CH66" s="9" t="s">
        <v>28</v>
      </c>
      <c r="CI66" s="9" t="s">
        <v>1863</v>
      </c>
      <c r="CJ66" s="9" t="s">
        <v>1714</v>
      </c>
      <c r="CK66" s="10">
        <v>20</v>
      </c>
      <c r="CL66" s="10">
        <v>20</v>
      </c>
      <c r="CM66" s="10">
        <v>20</v>
      </c>
      <c r="CN66" s="10">
        <v>20</v>
      </c>
      <c r="CO66" s="10">
        <v>20</v>
      </c>
      <c r="CP66" s="10">
        <v>20</v>
      </c>
      <c r="CQ66" s="10">
        <v>20</v>
      </c>
      <c r="CR66" s="10">
        <v>20</v>
      </c>
      <c r="CS66" s="11">
        <v>1</v>
      </c>
      <c r="CT66" s="11">
        <v>1</v>
      </c>
      <c r="CU66" s="11">
        <v>0.67</v>
      </c>
      <c r="CW66" s="10">
        <v>7</v>
      </c>
      <c r="CX66" s="10">
        <v>180</v>
      </c>
      <c r="CY66" s="10">
        <v>180</v>
      </c>
      <c r="CZ66" s="10" t="s">
        <v>25</v>
      </c>
      <c r="DA66" s="10" t="s">
        <v>25</v>
      </c>
      <c r="DB66" s="10" t="s">
        <v>28</v>
      </c>
      <c r="DC66" s="10" t="s">
        <v>25</v>
      </c>
      <c r="DD66" s="10" t="s">
        <v>25</v>
      </c>
      <c r="DG66" s="39">
        <v>20000</v>
      </c>
      <c r="DJ66" s="9" t="s">
        <v>1715</v>
      </c>
      <c r="DK66" s="9" t="s">
        <v>1715</v>
      </c>
      <c r="DM66" s="9" t="s">
        <v>25</v>
      </c>
      <c r="DU66" s="9" t="s">
        <v>1717</v>
      </c>
      <c r="DV66" s="9" t="s">
        <v>1746</v>
      </c>
      <c r="DW66" s="11">
        <v>0.67</v>
      </c>
      <c r="EC66" s="9" t="s">
        <v>635</v>
      </c>
      <c r="ED66" s="9" t="s">
        <v>1719</v>
      </c>
      <c r="EE66" s="9" t="s">
        <v>1720</v>
      </c>
      <c r="EF66" s="9" t="s">
        <v>1721</v>
      </c>
      <c r="EG66" s="9" t="s">
        <v>1722</v>
      </c>
      <c r="EH66" s="9" t="s">
        <v>1723</v>
      </c>
      <c r="EI66" s="9" t="s">
        <v>1724</v>
      </c>
      <c r="EJ66" s="9" t="s">
        <v>1725</v>
      </c>
      <c r="EK66" s="9" t="s">
        <v>1726</v>
      </c>
      <c r="EL66" s="9" t="s">
        <v>1727</v>
      </c>
      <c r="EM66" s="9" t="s">
        <v>1728</v>
      </c>
      <c r="EN66" s="9" t="s">
        <v>693</v>
      </c>
      <c r="EO66" s="9" t="s">
        <v>693</v>
      </c>
      <c r="EP66" s="9" t="s">
        <v>1725</v>
      </c>
      <c r="ER66" s="9" t="s">
        <v>1755</v>
      </c>
      <c r="ES66" s="9" t="s">
        <v>28</v>
      </c>
      <c r="ET66" s="9" t="s">
        <v>25</v>
      </c>
    </row>
    <row r="67" spans="1:163" x14ac:dyDescent="0.2">
      <c r="A67" s="71" t="s">
        <v>14025</v>
      </c>
      <c r="B67" s="72">
        <f>COUNTA(B3:B66)</f>
        <v>64</v>
      </c>
      <c r="C67" s="72">
        <f t="shared" ref="C67:BN67" si="0">COUNTA(C3:C66)</f>
        <v>8</v>
      </c>
      <c r="D67" s="72">
        <f t="shared" si="0"/>
        <v>17</v>
      </c>
      <c r="E67" s="72">
        <f t="shared" si="0"/>
        <v>5</v>
      </c>
      <c r="F67" s="72">
        <f t="shared" si="0"/>
        <v>37</v>
      </c>
      <c r="G67" s="72">
        <f t="shared" si="0"/>
        <v>26</v>
      </c>
      <c r="H67" s="72">
        <f t="shared" si="0"/>
        <v>14</v>
      </c>
      <c r="I67" s="72">
        <f t="shared" si="0"/>
        <v>0</v>
      </c>
      <c r="J67" s="72">
        <f t="shared" si="0"/>
        <v>0</v>
      </c>
      <c r="K67" s="72">
        <f t="shared" si="0"/>
        <v>0</v>
      </c>
      <c r="L67" s="72">
        <f t="shared" si="0"/>
        <v>0</v>
      </c>
      <c r="M67" s="72">
        <f t="shared" si="0"/>
        <v>2</v>
      </c>
      <c r="N67" s="72">
        <f t="shared" si="0"/>
        <v>5</v>
      </c>
      <c r="O67" s="72">
        <f t="shared" si="0"/>
        <v>3</v>
      </c>
      <c r="P67" s="72">
        <f t="shared" si="0"/>
        <v>35</v>
      </c>
      <c r="Q67" s="72">
        <f t="shared" si="0"/>
        <v>7</v>
      </c>
      <c r="R67" s="72">
        <f t="shared" si="0"/>
        <v>7</v>
      </c>
      <c r="S67" s="72">
        <f t="shared" si="0"/>
        <v>4</v>
      </c>
      <c r="T67" s="72">
        <f t="shared" si="0"/>
        <v>5</v>
      </c>
      <c r="U67" s="72">
        <f t="shared" si="0"/>
        <v>6</v>
      </c>
      <c r="V67" s="72">
        <f t="shared" si="0"/>
        <v>3</v>
      </c>
      <c r="W67" s="72">
        <f t="shared" si="0"/>
        <v>0</v>
      </c>
      <c r="X67" s="72">
        <f t="shared" si="0"/>
        <v>0</v>
      </c>
      <c r="Y67" s="72">
        <f t="shared" si="0"/>
        <v>2</v>
      </c>
      <c r="Z67" s="72">
        <f t="shared" si="0"/>
        <v>0</v>
      </c>
      <c r="AA67" s="72">
        <f t="shared" si="0"/>
        <v>0</v>
      </c>
      <c r="AB67" s="72">
        <f t="shared" si="0"/>
        <v>5</v>
      </c>
      <c r="AC67" s="72">
        <f t="shared" si="0"/>
        <v>1</v>
      </c>
      <c r="AD67" s="72">
        <f t="shared" si="0"/>
        <v>2</v>
      </c>
      <c r="AE67" s="72">
        <f t="shared" si="0"/>
        <v>1</v>
      </c>
      <c r="AF67" s="72">
        <f t="shared" si="0"/>
        <v>1</v>
      </c>
      <c r="AG67" s="72">
        <f t="shared" si="0"/>
        <v>1</v>
      </c>
      <c r="AH67" s="72">
        <f t="shared" si="0"/>
        <v>0</v>
      </c>
      <c r="AI67" s="72">
        <f t="shared" si="0"/>
        <v>1</v>
      </c>
      <c r="AJ67" s="72">
        <f t="shared" si="0"/>
        <v>1</v>
      </c>
      <c r="AK67" s="72">
        <f t="shared" si="0"/>
        <v>0</v>
      </c>
      <c r="AL67" s="72">
        <f t="shared" si="0"/>
        <v>0</v>
      </c>
      <c r="AM67" s="72">
        <f t="shared" si="0"/>
        <v>0</v>
      </c>
      <c r="AN67" s="72">
        <f t="shared" si="0"/>
        <v>1</v>
      </c>
      <c r="AO67" s="72">
        <f t="shared" si="0"/>
        <v>0</v>
      </c>
      <c r="AP67" s="72">
        <f t="shared" si="0"/>
        <v>0</v>
      </c>
      <c r="AQ67" s="72">
        <f t="shared" si="0"/>
        <v>1</v>
      </c>
      <c r="AR67" s="72">
        <f t="shared" si="0"/>
        <v>0</v>
      </c>
      <c r="AS67" s="72">
        <f t="shared" si="0"/>
        <v>64</v>
      </c>
      <c r="AT67" s="72">
        <f t="shared" si="0"/>
        <v>5</v>
      </c>
      <c r="AU67" s="72">
        <f t="shared" si="0"/>
        <v>5</v>
      </c>
      <c r="AV67" s="72">
        <f t="shared" si="0"/>
        <v>0</v>
      </c>
      <c r="AW67" s="72">
        <f t="shared" si="0"/>
        <v>63</v>
      </c>
      <c r="AX67" s="72">
        <f t="shared" si="0"/>
        <v>64</v>
      </c>
      <c r="AY67" s="72">
        <f t="shared" si="0"/>
        <v>63</v>
      </c>
      <c r="AZ67" s="72">
        <f t="shared" si="0"/>
        <v>64</v>
      </c>
      <c r="BA67" s="72">
        <f t="shared" si="0"/>
        <v>64</v>
      </c>
      <c r="BB67" s="72">
        <f t="shared" si="0"/>
        <v>61</v>
      </c>
      <c r="BC67" s="72">
        <f t="shared" si="0"/>
        <v>62</v>
      </c>
      <c r="BD67" s="72">
        <f t="shared" si="0"/>
        <v>41</v>
      </c>
      <c r="BE67" s="72">
        <f t="shared" si="0"/>
        <v>31</v>
      </c>
      <c r="BF67" s="72">
        <f t="shared" si="0"/>
        <v>62</v>
      </c>
      <c r="BG67" s="72">
        <f t="shared" si="0"/>
        <v>4</v>
      </c>
      <c r="BH67" s="72">
        <f t="shared" si="0"/>
        <v>60</v>
      </c>
      <c r="BI67" s="72">
        <f t="shared" si="0"/>
        <v>63</v>
      </c>
      <c r="BJ67" s="72">
        <f t="shared" si="0"/>
        <v>62</v>
      </c>
      <c r="BK67" s="72">
        <f t="shared" si="0"/>
        <v>61</v>
      </c>
      <c r="BL67" s="72">
        <f t="shared" si="0"/>
        <v>62</v>
      </c>
      <c r="BM67" s="72">
        <f t="shared" si="0"/>
        <v>62</v>
      </c>
      <c r="BN67" s="72">
        <f t="shared" si="0"/>
        <v>63</v>
      </c>
      <c r="BO67" s="72">
        <f t="shared" ref="BO67:DZ67" si="1">COUNTA(BO3:BO66)</f>
        <v>55</v>
      </c>
      <c r="BP67" s="72">
        <f t="shared" si="1"/>
        <v>63</v>
      </c>
      <c r="BQ67" s="72">
        <f t="shared" si="1"/>
        <v>63</v>
      </c>
      <c r="BR67" s="72">
        <f t="shared" si="1"/>
        <v>47</v>
      </c>
      <c r="BS67" s="72">
        <f t="shared" si="1"/>
        <v>48</v>
      </c>
      <c r="BT67" s="72">
        <f t="shared" si="1"/>
        <v>31</v>
      </c>
      <c r="BU67" s="72">
        <f t="shared" si="1"/>
        <v>47</v>
      </c>
      <c r="BV67" s="72">
        <f t="shared" si="1"/>
        <v>47</v>
      </c>
      <c r="BW67" s="72">
        <f t="shared" si="1"/>
        <v>62</v>
      </c>
      <c r="BX67" s="72">
        <f t="shared" si="1"/>
        <v>44</v>
      </c>
      <c r="BY67" s="72">
        <f t="shared" si="1"/>
        <v>42</v>
      </c>
      <c r="BZ67" s="72">
        <f t="shared" si="1"/>
        <v>62</v>
      </c>
      <c r="CA67" s="72">
        <f t="shared" si="1"/>
        <v>45</v>
      </c>
      <c r="CB67" s="72">
        <f t="shared" si="1"/>
        <v>58</v>
      </c>
      <c r="CC67" s="72">
        <f t="shared" si="1"/>
        <v>60</v>
      </c>
      <c r="CD67" s="72">
        <f t="shared" si="1"/>
        <v>46</v>
      </c>
      <c r="CE67" s="72">
        <f t="shared" si="1"/>
        <v>58</v>
      </c>
      <c r="CF67" s="72">
        <f t="shared" si="1"/>
        <v>60</v>
      </c>
      <c r="CG67" s="72">
        <f t="shared" si="1"/>
        <v>42</v>
      </c>
      <c r="CH67" s="72">
        <f t="shared" si="1"/>
        <v>60</v>
      </c>
      <c r="CI67" s="72">
        <f t="shared" si="1"/>
        <v>40</v>
      </c>
      <c r="CJ67" s="72">
        <f t="shared" si="1"/>
        <v>54</v>
      </c>
      <c r="CK67" s="72">
        <f t="shared" si="1"/>
        <v>60</v>
      </c>
      <c r="CL67" s="72">
        <f t="shared" si="1"/>
        <v>59</v>
      </c>
      <c r="CM67" s="72">
        <f t="shared" si="1"/>
        <v>59</v>
      </c>
      <c r="CN67" s="72">
        <f t="shared" si="1"/>
        <v>56</v>
      </c>
      <c r="CO67" s="72">
        <f t="shared" si="1"/>
        <v>55</v>
      </c>
      <c r="CP67" s="72">
        <f t="shared" si="1"/>
        <v>52</v>
      </c>
      <c r="CQ67" s="72">
        <f t="shared" si="1"/>
        <v>52</v>
      </c>
      <c r="CR67" s="72">
        <f t="shared" si="1"/>
        <v>53</v>
      </c>
      <c r="CS67" s="72">
        <f t="shared" si="1"/>
        <v>48</v>
      </c>
      <c r="CT67" s="72">
        <f t="shared" si="1"/>
        <v>60</v>
      </c>
      <c r="CU67" s="72">
        <f t="shared" si="1"/>
        <v>59</v>
      </c>
      <c r="CV67" s="72">
        <f t="shared" si="1"/>
        <v>18</v>
      </c>
      <c r="CW67" s="72">
        <f t="shared" si="1"/>
        <v>52</v>
      </c>
      <c r="CX67" s="72">
        <f t="shared" si="1"/>
        <v>58</v>
      </c>
      <c r="CY67" s="72">
        <f t="shared" si="1"/>
        <v>34</v>
      </c>
      <c r="CZ67" s="72">
        <f t="shared" si="1"/>
        <v>61</v>
      </c>
      <c r="DA67" s="72">
        <f t="shared" si="1"/>
        <v>61</v>
      </c>
      <c r="DB67" s="72">
        <f t="shared" si="1"/>
        <v>61</v>
      </c>
      <c r="DC67" s="72">
        <f t="shared" si="1"/>
        <v>60</v>
      </c>
      <c r="DD67" s="72">
        <f t="shared" si="1"/>
        <v>60</v>
      </c>
      <c r="DE67" s="72">
        <f t="shared" si="1"/>
        <v>2</v>
      </c>
      <c r="DF67" s="72">
        <f t="shared" si="1"/>
        <v>25</v>
      </c>
      <c r="DG67" s="72">
        <f t="shared" si="1"/>
        <v>57</v>
      </c>
      <c r="DH67" s="72">
        <f t="shared" si="1"/>
        <v>13</v>
      </c>
      <c r="DI67" s="72">
        <f t="shared" si="1"/>
        <v>5</v>
      </c>
      <c r="DJ67" s="72">
        <f t="shared" si="1"/>
        <v>62</v>
      </c>
      <c r="DK67" s="72">
        <f t="shared" si="1"/>
        <v>62</v>
      </c>
      <c r="DL67" s="72">
        <f t="shared" si="1"/>
        <v>14</v>
      </c>
      <c r="DM67" s="72">
        <f t="shared" si="1"/>
        <v>63</v>
      </c>
      <c r="DN67" s="72">
        <f t="shared" si="1"/>
        <v>41</v>
      </c>
      <c r="DO67" s="72">
        <f t="shared" si="1"/>
        <v>42</v>
      </c>
      <c r="DP67" s="72">
        <f t="shared" si="1"/>
        <v>42</v>
      </c>
      <c r="DQ67" s="72">
        <f t="shared" si="1"/>
        <v>42</v>
      </c>
      <c r="DR67" s="72">
        <f t="shared" si="1"/>
        <v>42</v>
      </c>
      <c r="DS67" s="72">
        <f t="shared" si="1"/>
        <v>41</v>
      </c>
      <c r="DT67" s="72">
        <f t="shared" si="1"/>
        <v>5</v>
      </c>
      <c r="DU67" s="72">
        <f t="shared" si="1"/>
        <v>64</v>
      </c>
      <c r="DV67" s="72">
        <f t="shared" si="1"/>
        <v>63</v>
      </c>
      <c r="DW67" s="72">
        <f t="shared" si="1"/>
        <v>62</v>
      </c>
      <c r="DX67" s="72">
        <f t="shared" si="1"/>
        <v>9</v>
      </c>
      <c r="DY67" s="72">
        <f t="shared" si="1"/>
        <v>2</v>
      </c>
      <c r="DZ67" s="72">
        <f t="shared" si="1"/>
        <v>0</v>
      </c>
      <c r="EA67" s="72">
        <f t="shared" ref="EA67:FG67" si="2">COUNTA(EA3:EA66)</f>
        <v>0</v>
      </c>
      <c r="EB67" s="72">
        <f t="shared" si="2"/>
        <v>0</v>
      </c>
      <c r="EC67" s="72">
        <f t="shared" si="2"/>
        <v>56</v>
      </c>
      <c r="ED67" s="72">
        <f t="shared" si="2"/>
        <v>61</v>
      </c>
      <c r="EE67" s="72">
        <f t="shared" si="2"/>
        <v>61</v>
      </c>
      <c r="EF67" s="72">
        <f t="shared" si="2"/>
        <v>61</v>
      </c>
      <c r="EG67" s="72">
        <f t="shared" si="2"/>
        <v>61</v>
      </c>
      <c r="EH67" s="72">
        <f t="shared" si="2"/>
        <v>61</v>
      </c>
      <c r="EI67" s="72">
        <f t="shared" si="2"/>
        <v>61</v>
      </c>
      <c r="EJ67" s="72">
        <f t="shared" si="2"/>
        <v>62</v>
      </c>
      <c r="EK67" s="72">
        <f t="shared" si="2"/>
        <v>59</v>
      </c>
      <c r="EL67" s="72">
        <f t="shared" si="2"/>
        <v>59</v>
      </c>
      <c r="EM67" s="72">
        <f t="shared" si="2"/>
        <v>59</v>
      </c>
      <c r="EN67" s="72">
        <f t="shared" si="2"/>
        <v>59</v>
      </c>
      <c r="EO67" s="72">
        <f t="shared" si="2"/>
        <v>59</v>
      </c>
      <c r="EP67" s="72">
        <f t="shared" si="2"/>
        <v>58</v>
      </c>
      <c r="EQ67" s="72">
        <f t="shared" si="2"/>
        <v>54</v>
      </c>
      <c r="ER67" s="72">
        <f t="shared" si="2"/>
        <v>60</v>
      </c>
      <c r="ES67" s="72">
        <f t="shared" si="2"/>
        <v>62</v>
      </c>
      <c r="ET67" s="72">
        <f t="shared" si="2"/>
        <v>64</v>
      </c>
      <c r="EU67" s="72">
        <f t="shared" si="2"/>
        <v>18</v>
      </c>
      <c r="EV67" s="72">
        <f t="shared" si="2"/>
        <v>18</v>
      </c>
      <c r="EW67" s="72">
        <f t="shared" si="2"/>
        <v>8</v>
      </c>
      <c r="EX67" s="72">
        <f t="shared" si="2"/>
        <v>9</v>
      </c>
      <c r="EY67" s="72">
        <f t="shared" si="2"/>
        <v>9</v>
      </c>
      <c r="EZ67" s="72">
        <f t="shared" si="2"/>
        <v>6</v>
      </c>
      <c r="FA67" s="72">
        <f t="shared" si="2"/>
        <v>4</v>
      </c>
      <c r="FB67" s="72">
        <f t="shared" si="2"/>
        <v>4</v>
      </c>
      <c r="FC67" s="72">
        <f t="shared" si="2"/>
        <v>1</v>
      </c>
      <c r="FD67" s="72">
        <f t="shared" si="2"/>
        <v>19</v>
      </c>
      <c r="FE67" s="72">
        <f t="shared" si="2"/>
        <v>17</v>
      </c>
      <c r="FF67" s="72">
        <f t="shared" si="2"/>
        <v>17</v>
      </c>
      <c r="FG67" s="72">
        <f t="shared" si="2"/>
        <v>18</v>
      </c>
    </row>
  </sheetData>
  <autoFilter ref="A2:FG66" xr:uid="{B676034F-EE8C-400B-B737-78A86930456E}">
    <sortState xmlns:xlrd2="http://schemas.microsoft.com/office/spreadsheetml/2017/richdata2" ref="A3:FG66">
      <sortCondition ref="A3:A66"/>
    </sortState>
  </autoFilter>
  <conditionalFormatting sqref="A3:A66">
    <cfRule type="duplicateValues" dxfId="2" priority="1"/>
    <cfRule type="duplicateValues" dxfId="1" priority="2"/>
    <cfRule type="duplicateValues" dxfId="0" priority="3"/>
  </conditionalFormatting>
  <hyperlinks>
    <hyperlink ref="A1" location="Index!A1" display="Index"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D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8"/>
    <col min="2" max="21" width="30.7109375" style="9" customWidth="1"/>
    <col min="22" max="22" width="30.7109375" style="39" customWidth="1"/>
    <col min="23" max="52" width="30.7109375" style="9" customWidth="1"/>
    <col min="53" max="53" width="120.7109375" style="9" customWidth="1"/>
    <col min="54" max="54" width="30.7109375" style="39" customWidth="1"/>
    <col min="55" max="55" width="50.7109375" style="9" customWidth="1"/>
    <col min="56" max="85" width="30.7109375" style="9" customWidth="1"/>
    <col min="86" max="86" width="80.7109375" style="9" customWidth="1"/>
    <col min="87" max="158" width="30.7109375" style="9" customWidth="1"/>
    <col min="159" max="159" width="30.7109375" style="39" customWidth="1"/>
    <col min="160" max="186" width="30.7109375" style="9" customWidth="1"/>
    <col min="187" max="187" width="30.7109375" style="64" customWidth="1"/>
    <col min="188" max="208" width="30.7109375" style="9" customWidth="1"/>
    <col min="209" max="209" width="40.7109375" style="9" customWidth="1"/>
    <col min="210" max="212" width="30.7109375" style="9" customWidth="1"/>
    <col min="213" max="16384" width="9.140625" style="8"/>
  </cols>
  <sheetData>
    <row r="1" spans="1:212" s="30" customFormat="1" x14ac:dyDescent="0.2">
      <c r="A1" s="70" t="s">
        <v>181</v>
      </c>
      <c r="B1" s="12" t="s">
        <v>1947</v>
      </c>
      <c r="C1" s="12" t="s">
        <v>1948</v>
      </c>
      <c r="D1" s="12" t="s">
        <v>1949</v>
      </c>
      <c r="E1" s="12" t="s">
        <v>1950</v>
      </c>
      <c r="F1" s="12" t="s">
        <v>1951</v>
      </c>
      <c r="G1" s="12" t="s">
        <v>1952</v>
      </c>
      <c r="H1" s="12" t="s">
        <v>1953</v>
      </c>
      <c r="I1" s="12" t="s">
        <v>1954</v>
      </c>
      <c r="J1" s="12" t="s">
        <v>1955</v>
      </c>
      <c r="K1" s="12" t="s">
        <v>1956</v>
      </c>
      <c r="L1" s="12" t="s">
        <v>1957</v>
      </c>
      <c r="M1" s="12" t="s">
        <v>1958</v>
      </c>
      <c r="N1" s="12" t="s">
        <v>1959</v>
      </c>
      <c r="O1" s="12" t="s">
        <v>1960</v>
      </c>
      <c r="P1" s="12" t="s">
        <v>1961</v>
      </c>
      <c r="Q1" s="12" t="s">
        <v>1962</v>
      </c>
      <c r="R1" s="12" t="s">
        <v>1963</v>
      </c>
      <c r="S1" s="12" t="s">
        <v>1964</v>
      </c>
      <c r="T1" s="12" t="s">
        <v>1965</v>
      </c>
      <c r="U1" s="12" t="s">
        <v>1966</v>
      </c>
      <c r="V1" s="38" t="s">
        <v>1967</v>
      </c>
      <c r="W1" s="12" t="s">
        <v>1968</v>
      </c>
      <c r="X1" s="12" t="s">
        <v>1969</v>
      </c>
      <c r="Y1" s="12" t="s">
        <v>1970</v>
      </c>
      <c r="Z1" s="12" t="s">
        <v>1971</v>
      </c>
      <c r="AA1" s="12" t="s">
        <v>1972</v>
      </c>
      <c r="AB1" s="12" t="s">
        <v>1973</v>
      </c>
      <c r="AC1" s="12" t="s">
        <v>1974</v>
      </c>
      <c r="AD1" s="12" t="s">
        <v>1975</v>
      </c>
      <c r="AE1" s="12" t="s">
        <v>1976</v>
      </c>
      <c r="AF1" s="12" t="s">
        <v>1977</v>
      </c>
      <c r="AG1" s="12" t="s">
        <v>1978</v>
      </c>
      <c r="AH1" s="12" t="s">
        <v>1979</v>
      </c>
      <c r="AI1" s="12" t="s">
        <v>1980</v>
      </c>
      <c r="AJ1" s="12" t="s">
        <v>1981</v>
      </c>
      <c r="AK1" s="12" t="s">
        <v>1982</v>
      </c>
      <c r="AL1" s="12" t="s">
        <v>1983</v>
      </c>
      <c r="AM1" s="12" t="s">
        <v>1984</v>
      </c>
      <c r="AN1" s="12" t="s">
        <v>1985</v>
      </c>
      <c r="AO1" s="12" t="s">
        <v>1986</v>
      </c>
      <c r="AP1" s="12" t="s">
        <v>1987</v>
      </c>
      <c r="AQ1" s="12" t="s">
        <v>1988</v>
      </c>
      <c r="AR1" s="12" t="s">
        <v>1989</v>
      </c>
      <c r="AS1" s="12" t="s">
        <v>1990</v>
      </c>
      <c r="AT1" s="12" t="s">
        <v>1991</v>
      </c>
      <c r="AU1" s="12" t="s">
        <v>1992</v>
      </c>
      <c r="AV1" s="12" t="s">
        <v>1993</v>
      </c>
      <c r="AW1" s="12" t="s">
        <v>1994</v>
      </c>
      <c r="AX1" s="12" t="s">
        <v>1995</v>
      </c>
      <c r="AY1" s="12" t="s">
        <v>1996</v>
      </c>
      <c r="AZ1" s="12" t="s">
        <v>1997</v>
      </c>
      <c r="BA1" s="12" t="s">
        <v>1998</v>
      </c>
      <c r="BB1" s="38" t="s">
        <v>1999</v>
      </c>
      <c r="BC1" s="12" t="s">
        <v>2000</v>
      </c>
      <c r="BD1" s="12" t="s">
        <v>2001</v>
      </c>
      <c r="BE1" s="12" t="s">
        <v>2002</v>
      </c>
      <c r="BF1" s="12" t="s">
        <v>2003</v>
      </c>
      <c r="BG1" s="12" t="s">
        <v>2004</v>
      </c>
      <c r="BH1" s="12" t="s">
        <v>2005</v>
      </c>
      <c r="BI1" s="12" t="s">
        <v>2006</v>
      </c>
      <c r="BJ1" s="12" t="s">
        <v>2007</v>
      </c>
      <c r="BK1" s="12" t="s">
        <v>2008</v>
      </c>
      <c r="BL1" s="12" t="s">
        <v>2009</v>
      </c>
      <c r="BM1" s="12" t="s">
        <v>2010</v>
      </c>
      <c r="BN1" s="12" t="s">
        <v>2011</v>
      </c>
      <c r="BO1" s="12" t="s">
        <v>2012</v>
      </c>
      <c r="BP1" s="12" t="s">
        <v>2013</v>
      </c>
      <c r="BQ1" s="12" t="s">
        <v>2014</v>
      </c>
      <c r="BR1" s="12" t="s">
        <v>2015</v>
      </c>
      <c r="BS1" s="12" t="s">
        <v>2016</v>
      </c>
      <c r="BT1" s="12" t="s">
        <v>2017</v>
      </c>
      <c r="BU1" s="12" t="s">
        <v>2018</v>
      </c>
      <c r="BV1" s="12" t="s">
        <v>2019</v>
      </c>
      <c r="BW1" s="12" t="s">
        <v>2020</v>
      </c>
      <c r="BX1" s="12" t="s">
        <v>2021</v>
      </c>
      <c r="BY1" s="12" t="s">
        <v>2022</v>
      </c>
      <c r="BZ1" s="12" t="s">
        <v>2023</v>
      </c>
      <c r="CA1" s="12" t="s">
        <v>2024</v>
      </c>
      <c r="CB1" s="12" t="s">
        <v>2025</v>
      </c>
      <c r="CC1" s="12" t="s">
        <v>2026</v>
      </c>
      <c r="CD1" s="12" t="s">
        <v>2027</v>
      </c>
      <c r="CE1" s="12" t="s">
        <v>2028</v>
      </c>
      <c r="CF1" s="12" t="s">
        <v>2029</v>
      </c>
      <c r="CG1" s="12" t="s">
        <v>2030</v>
      </c>
      <c r="CH1" s="12" t="s">
        <v>2031</v>
      </c>
      <c r="CI1" s="12" t="s">
        <v>2032</v>
      </c>
      <c r="CJ1" s="12" t="s">
        <v>2033</v>
      </c>
      <c r="CK1" s="12" t="s">
        <v>2034</v>
      </c>
      <c r="CL1" s="12" t="s">
        <v>2035</v>
      </c>
      <c r="CM1" s="12" t="s">
        <v>2036</v>
      </c>
      <c r="CN1" s="12" t="s">
        <v>2037</v>
      </c>
      <c r="CO1" s="12" t="s">
        <v>2038</v>
      </c>
      <c r="CP1" s="12" t="s">
        <v>2039</v>
      </c>
      <c r="CQ1" s="12" t="s">
        <v>2040</v>
      </c>
      <c r="CR1" s="12" t="s">
        <v>2041</v>
      </c>
      <c r="CS1" s="12" t="s">
        <v>2042</v>
      </c>
      <c r="CT1" s="12" t="s">
        <v>2043</v>
      </c>
      <c r="CU1" s="12" t="s">
        <v>2044</v>
      </c>
      <c r="CV1" s="12" t="s">
        <v>2045</v>
      </c>
      <c r="CW1" s="12" t="s">
        <v>2046</v>
      </c>
      <c r="CX1" s="12" t="s">
        <v>2047</v>
      </c>
      <c r="CY1" s="12" t="s">
        <v>2048</v>
      </c>
      <c r="CZ1" s="12" t="s">
        <v>2049</v>
      </c>
      <c r="DA1" s="12" t="s">
        <v>2050</v>
      </c>
      <c r="DB1" s="12" t="s">
        <v>2051</v>
      </c>
      <c r="DC1" s="12" t="s">
        <v>2052</v>
      </c>
      <c r="DD1" s="12" t="s">
        <v>2053</v>
      </c>
      <c r="DE1" s="12" t="s">
        <v>2054</v>
      </c>
      <c r="DF1" s="12" t="s">
        <v>2055</v>
      </c>
      <c r="DG1" s="12" t="s">
        <v>2056</v>
      </c>
      <c r="DH1" s="12" t="s">
        <v>2057</v>
      </c>
      <c r="DI1" s="12" t="s">
        <v>2058</v>
      </c>
      <c r="DJ1" s="12" t="s">
        <v>2059</v>
      </c>
      <c r="DK1" s="12" t="s">
        <v>2060</v>
      </c>
      <c r="DL1" s="12" t="s">
        <v>2061</v>
      </c>
      <c r="DM1" s="12" t="s">
        <v>2062</v>
      </c>
      <c r="DN1" s="12" t="s">
        <v>2063</v>
      </c>
      <c r="DO1" s="12" t="s">
        <v>2064</v>
      </c>
      <c r="DP1" s="12" t="s">
        <v>2065</v>
      </c>
      <c r="DQ1" s="12" t="s">
        <v>2066</v>
      </c>
      <c r="DR1" s="12" t="s">
        <v>2067</v>
      </c>
      <c r="DS1" s="12" t="s">
        <v>2068</v>
      </c>
      <c r="DT1" s="12" t="s">
        <v>2069</v>
      </c>
      <c r="DU1" s="12" t="s">
        <v>2070</v>
      </c>
      <c r="DV1" s="12" t="s">
        <v>2071</v>
      </c>
      <c r="DW1" s="12" t="s">
        <v>2072</v>
      </c>
      <c r="DX1" s="12" t="s">
        <v>2073</v>
      </c>
      <c r="DY1" s="12" t="s">
        <v>2074</v>
      </c>
      <c r="DZ1" s="12" t="s">
        <v>2075</v>
      </c>
      <c r="EA1" s="12" t="s">
        <v>2076</v>
      </c>
      <c r="EB1" s="12" t="s">
        <v>2077</v>
      </c>
      <c r="EC1" s="12" t="s">
        <v>2078</v>
      </c>
      <c r="ED1" s="12" t="s">
        <v>2079</v>
      </c>
      <c r="EE1" s="12" t="s">
        <v>2080</v>
      </c>
      <c r="EF1" s="12" t="s">
        <v>2081</v>
      </c>
      <c r="EG1" s="12" t="s">
        <v>2082</v>
      </c>
      <c r="EH1" s="12" t="s">
        <v>2083</v>
      </c>
      <c r="EI1" s="12" t="s">
        <v>2084</v>
      </c>
      <c r="EJ1" s="12" t="s">
        <v>2085</v>
      </c>
      <c r="EK1" s="12" t="s">
        <v>2086</v>
      </c>
      <c r="EL1" s="12" t="s">
        <v>2087</v>
      </c>
      <c r="EM1" s="12" t="s">
        <v>2088</v>
      </c>
      <c r="EN1" s="12" t="s">
        <v>2089</v>
      </c>
      <c r="EO1" s="12" t="s">
        <v>2090</v>
      </c>
      <c r="EP1" s="12" t="s">
        <v>2091</v>
      </c>
      <c r="EQ1" s="12" t="s">
        <v>2092</v>
      </c>
      <c r="ER1" s="12" t="s">
        <v>2093</v>
      </c>
      <c r="ES1" s="12" t="s">
        <v>2094</v>
      </c>
      <c r="ET1" s="12" t="s">
        <v>2095</v>
      </c>
      <c r="EU1" s="12" t="s">
        <v>2096</v>
      </c>
      <c r="EV1" s="12" t="s">
        <v>2097</v>
      </c>
      <c r="EW1" s="12" t="s">
        <v>2098</v>
      </c>
      <c r="EX1" s="12" t="s">
        <v>2099</v>
      </c>
      <c r="EY1" s="12" t="s">
        <v>2100</v>
      </c>
      <c r="EZ1" s="12" t="s">
        <v>2101</v>
      </c>
      <c r="FA1" s="12" t="s">
        <v>2102</v>
      </c>
      <c r="FB1" s="12" t="s">
        <v>2103</v>
      </c>
      <c r="FC1" s="38" t="s">
        <v>2104</v>
      </c>
      <c r="FD1" s="12" t="s">
        <v>2105</v>
      </c>
      <c r="FE1" s="12" t="s">
        <v>2106</v>
      </c>
      <c r="FF1" s="12" t="s">
        <v>2107</v>
      </c>
      <c r="FG1" s="12" t="s">
        <v>2108</v>
      </c>
      <c r="FH1" s="12" t="s">
        <v>2109</v>
      </c>
      <c r="FI1" s="12" t="s">
        <v>2110</v>
      </c>
      <c r="FJ1" s="12" t="s">
        <v>2111</v>
      </c>
      <c r="FK1" s="12" t="s">
        <v>2112</v>
      </c>
      <c r="FL1" s="12" t="s">
        <v>2113</v>
      </c>
      <c r="FM1" s="12" t="s">
        <v>2114</v>
      </c>
      <c r="FN1" s="12" t="s">
        <v>2115</v>
      </c>
      <c r="FO1" s="12" t="s">
        <v>2116</v>
      </c>
      <c r="FP1" s="12" t="s">
        <v>2117</v>
      </c>
      <c r="FQ1" s="12" t="s">
        <v>2118</v>
      </c>
      <c r="FR1" s="12" t="s">
        <v>2119</v>
      </c>
      <c r="FS1" s="12" t="s">
        <v>2120</v>
      </c>
      <c r="FT1" s="12" t="s">
        <v>2121</v>
      </c>
      <c r="FU1" s="12" t="s">
        <v>2122</v>
      </c>
      <c r="FV1" s="12" t="s">
        <v>2123</v>
      </c>
      <c r="FW1" s="12" t="s">
        <v>2124</v>
      </c>
      <c r="FX1" s="12" t="s">
        <v>2125</v>
      </c>
      <c r="FY1" s="12" t="s">
        <v>2126</v>
      </c>
      <c r="FZ1" s="12" t="s">
        <v>2127</v>
      </c>
      <c r="GA1" s="12" t="s">
        <v>2128</v>
      </c>
      <c r="GB1" s="12" t="s">
        <v>2129</v>
      </c>
      <c r="GC1" s="12" t="s">
        <v>2130</v>
      </c>
      <c r="GD1" s="12" t="s">
        <v>2131</v>
      </c>
      <c r="GE1" s="62" t="s">
        <v>2132</v>
      </c>
      <c r="GF1" s="12" t="s">
        <v>2133</v>
      </c>
      <c r="GG1" s="12" t="s">
        <v>2134</v>
      </c>
      <c r="GH1" s="12" t="s">
        <v>2135</v>
      </c>
      <c r="GI1" s="12" t="s">
        <v>2136</v>
      </c>
      <c r="GJ1" s="12" t="s">
        <v>2137</v>
      </c>
      <c r="GK1" s="12" t="s">
        <v>2138</v>
      </c>
      <c r="GL1" s="12" t="s">
        <v>2139</v>
      </c>
      <c r="GM1" s="12" t="s">
        <v>2140</v>
      </c>
      <c r="GN1" s="12" t="s">
        <v>2141</v>
      </c>
      <c r="GO1" s="12" t="s">
        <v>2142</v>
      </c>
      <c r="GP1" s="12" t="s">
        <v>2143</v>
      </c>
      <c r="GQ1" s="12" t="s">
        <v>2144</v>
      </c>
      <c r="GR1" s="12" t="s">
        <v>2145</v>
      </c>
      <c r="GS1" s="12" t="s">
        <v>2146</v>
      </c>
      <c r="GT1" s="12" t="s">
        <v>2147</v>
      </c>
      <c r="GU1" s="12" t="s">
        <v>2148</v>
      </c>
      <c r="GV1" s="12" t="s">
        <v>2149</v>
      </c>
      <c r="GW1" s="12" t="s">
        <v>2150</v>
      </c>
      <c r="GX1" s="12" t="s">
        <v>2151</v>
      </c>
      <c r="GY1" s="12" t="s">
        <v>2152</v>
      </c>
      <c r="GZ1" s="12" t="s">
        <v>2153</v>
      </c>
      <c r="HA1" s="12" t="s">
        <v>2154</v>
      </c>
      <c r="HB1" s="12" t="s">
        <v>2155</v>
      </c>
      <c r="HC1" s="12" t="s">
        <v>2156</v>
      </c>
      <c r="HD1" s="12" t="s">
        <v>2157</v>
      </c>
    </row>
    <row r="2" spans="1:212" s="30" customFormat="1" ht="51" x14ac:dyDescent="0.2">
      <c r="A2" s="30" t="s">
        <v>116</v>
      </c>
      <c r="B2" s="75" t="s">
        <v>13160</v>
      </c>
      <c r="C2" s="12" t="s">
        <v>13036</v>
      </c>
      <c r="D2" s="12" t="s">
        <v>13037</v>
      </c>
      <c r="E2" s="75" t="s">
        <v>13038</v>
      </c>
      <c r="F2" s="75" t="s">
        <v>13039</v>
      </c>
      <c r="G2" s="12" t="s">
        <v>13040</v>
      </c>
      <c r="H2" s="75" t="s">
        <v>13041</v>
      </c>
      <c r="I2" s="75" t="s">
        <v>13042</v>
      </c>
      <c r="J2" s="12" t="s">
        <v>13043</v>
      </c>
      <c r="K2" s="12" t="s">
        <v>13044</v>
      </c>
      <c r="L2" s="12" t="s">
        <v>13045</v>
      </c>
      <c r="M2" s="75" t="s">
        <v>13046</v>
      </c>
      <c r="N2" s="75" t="s">
        <v>13047</v>
      </c>
      <c r="O2" s="75" t="s">
        <v>13048</v>
      </c>
      <c r="P2" s="12" t="s">
        <v>14507</v>
      </c>
      <c r="Q2" s="24" t="s">
        <v>14508</v>
      </c>
      <c r="R2" s="12" t="s">
        <v>13049</v>
      </c>
      <c r="S2" s="12" t="s">
        <v>13050</v>
      </c>
      <c r="T2" s="75" t="s">
        <v>14509</v>
      </c>
      <c r="U2" s="82" t="s">
        <v>14510</v>
      </c>
      <c r="V2" s="85" t="s">
        <v>14511</v>
      </c>
      <c r="W2" s="82" t="s">
        <v>14512</v>
      </c>
      <c r="X2" s="75" t="s">
        <v>14513</v>
      </c>
      <c r="Y2" s="75" t="s">
        <v>14514</v>
      </c>
      <c r="Z2" s="75" t="s">
        <v>14515</v>
      </c>
      <c r="AA2" s="75" t="s">
        <v>14516</v>
      </c>
      <c r="AB2" s="12" t="s">
        <v>13051</v>
      </c>
      <c r="AC2" s="12" t="s">
        <v>13052</v>
      </c>
      <c r="AD2" s="75" t="s">
        <v>13053</v>
      </c>
      <c r="AE2" s="75" t="s">
        <v>13054</v>
      </c>
      <c r="AF2" s="75" t="s">
        <v>13055</v>
      </c>
      <c r="AG2" s="12" t="s">
        <v>13056</v>
      </c>
      <c r="AH2" s="12" t="s">
        <v>13057</v>
      </c>
      <c r="AI2" s="75" t="s">
        <v>13058</v>
      </c>
      <c r="AJ2" s="12" t="s">
        <v>14517</v>
      </c>
      <c r="AK2" s="12" t="s">
        <v>14518</v>
      </c>
      <c r="AL2" s="75" t="s">
        <v>13059</v>
      </c>
      <c r="AM2" s="75" t="s">
        <v>13060</v>
      </c>
      <c r="AN2" s="12" t="s">
        <v>13061</v>
      </c>
      <c r="AO2" s="75" t="s">
        <v>13062</v>
      </c>
      <c r="AP2" s="12" t="s">
        <v>13063</v>
      </c>
      <c r="AQ2" s="12" t="s">
        <v>13064</v>
      </c>
      <c r="AR2" s="12" t="s">
        <v>13065</v>
      </c>
      <c r="AS2" s="12" t="s">
        <v>13066</v>
      </c>
      <c r="AT2" s="12" t="s">
        <v>13067</v>
      </c>
      <c r="AU2" s="12" t="s">
        <v>13068</v>
      </c>
      <c r="AV2" s="12" t="s">
        <v>13069</v>
      </c>
      <c r="AW2" s="12" t="s">
        <v>13070</v>
      </c>
      <c r="AX2" s="12" t="s">
        <v>14519</v>
      </c>
      <c r="AY2" s="12" t="s">
        <v>14520</v>
      </c>
      <c r="AZ2" s="12" t="s">
        <v>14521</v>
      </c>
      <c r="BA2" s="12" t="s">
        <v>13071</v>
      </c>
      <c r="BB2" s="38" t="s">
        <v>13072</v>
      </c>
      <c r="BC2" s="12" t="s">
        <v>13073</v>
      </c>
      <c r="BD2" s="12" t="s">
        <v>13074</v>
      </c>
      <c r="BE2" s="12" t="s">
        <v>13075</v>
      </c>
      <c r="BF2" s="75" t="s">
        <v>13076</v>
      </c>
      <c r="BG2" s="75" t="s">
        <v>14530</v>
      </c>
      <c r="BH2" s="75" t="s">
        <v>14531</v>
      </c>
      <c r="BI2" s="75" t="s">
        <v>14532</v>
      </c>
      <c r="BJ2" s="75" t="s">
        <v>14533</v>
      </c>
      <c r="BK2" s="75" t="s">
        <v>14534</v>
      </c>
      <c r="BL2" s="75" t="s">
        <v>14535</v>
      </c>
      <c r="BM2" s="75" t="s">
        <v>14536</v>
      </c>
      <c r="BN2" s="75" t="s">
        <v>14537</v>
      </c>
      <c r="BO2" s="75" t="s">
        <v>14538</v>
      </c>
      <c r="BP2" s="75" t="s">
        <v>14539</v>
      </c>
      <c r="BQ2" s="75" t="s">
        <v>14540</v>
      </c>
      <c r="BR2" s="75" t="s">
        <v>14541</v>
      </c>
      <c r="BS2" s="12" t="s">
        <v>13077</v>
      </c>
      <c r="BT2" s="75" t="s">
        <v>13078</v>
      </c>
      <c r="BU2" s="75" t="s">
        <v>13079</v>
      </c>
      <c r="BV2" s="12" t="s">
        <v>13080</v>
      </c>
      <c r="BW2" s="75" t="s">
        <v>13081</v>
      </c>
      <c r="BX2" s="75" t="s">
        <v>13082</v>
      </c>
      <c r="BY2" s="75" t="s">
        <v>13083</v>
      </c>
      <c r="BZ2" s="75" t="s">
        <v>13084</v>
      </c>
      <c r="CA2" s="75" t="s">
        <v>13085</v>
      </c>
      <c r="CB2" s="75" t="s">
        <v>13086</v>
      </c>
      <c r="CC2" s="75" t="s">
        <v>13087</v>
      </c>
      <c r="CD2" s="75" t="s">
        <v>13088</v>
      </c>
      <c r="CE2" s="12" t="s">
        <v>13089</v>
      </c>
      <c r="CF2" s="12" t="s">
        <v>13090</v>
      </c>
      <c r="CG2" s="12" t="s">
        <v>13091</v>
      </c>
      <c r="CH2" s="75" t="s">
        <v>13092</v>
      </c>
      <c r="CI2" s="75" t="s">
        <v>13093</v>
      </c>
      <c r="CJ2" s="75" t="s">
        <v>13094</v>
      </c>
      <c r="CK2" s="75" t="s">
        <v>13095</v>
      </c>
      <c r="CL2" s="75" t="s">
        <v>13096</v>
      </c>
      <c r="CM2" s="75" t="s">
        <v>13097</v>
      </c>
      <c r="CN2" s="75" t="s">
        <v>13098</v>
      </c>
      <c r="CO2" s="75" t="s">
        <v>13099</v>
      </c>
      <c r="CP2" s="75" t="s">
        <v>13100</v>
      </c>
      <c r="CQ2" s="75" t="s">
        <v>13101</v>
      </c>
      <c r="CR2" s="75" t="s">
        <v>13102</v>
      </c>
      <c r="CS2" s="75" t="s">
        <v>13103</v>
      </c>
      <c r="CT2" s="75" t="s">
        <v>13104</v>
      </c>
      <c r="CU2" s="75" t="s">
        <v>13105</v>
      </c>
      <c r="CV2" s="75" t="s">
        <v>13106</v>
      </c>
      <c r="CW2" s="75" t="s">
        <v>13107</v>
      </c>
      <c r="CX2" s="75" t="s">
        <v>13108</v>
      </c>
      <c r="CY2" s="75" t="s">
        <v>13109</v>
      </c>
      <c r="CZ2" s="75" t="s">
        <v>13110</v>
      </c>
      <c r="DA2" s="75" t="s">
        <v>13111</v>
      </c>
      <c r="DB2" s="75" t="s">
        <v>14543</v>
      </c>
      <c r="DC2" s="75" t="s">
        <v>13112</v>
      </c>
      <c r="DD2" s="75" t="s">
        <v>13113</v>
      </c>
      <c r="DE2" s="75" t="s">
        <v>13114</v>
      </c>
      <c r="DF2" s="75" t="s">
        <v>13115</v>
      </c>
      <c r="DG2" s="75" t="s">
        <v>13116</v>
      </c>
      <c r="DH2" s="75" t="s">
        <v>13117</v>
      </c>
      <c r="DI2" s="75" t="s">
        <v>13118</v>
      </c>
      <c r="DJ2" s="75" t="s">
        <v>13119</v>
      </c>
      <c r="DK2" s="75" t="s">
        <v>13120</v>
      </c>
      <c r="DL2" s="75" t="s">
        <v>13121</v>
      </c>
      <c r="DM2" s="75" t="s">
        <v>13122</v>
      </c>
      <c r="DN2" s="75" t="s">
        <v>13123</v>
      </c>
      <c r="DO2" s="75" t="s">
        <v>13124</v>
      </c>
      <c r="DP2" s="75" t="s">
        <v>13125</v>
      </c>
      <c r="DQ2" s="75" t="s">
        <v>13126</v>
      </c>
      <c r="DR2" s="75" t="s">
        <v>13127</v>
      </c>
      <c r="DS2" s="75" t="s">
        <v>13128</v>
      </c>
      <c r="DT2" s="75" t="s">
        <v>13129</v>
      </c>
      <c r="DU2" s="75" t="s">
        <v>13130</v>
      </c>
      <c r="DV2" s="75" t="s">
        <v>13131</v>
      </c>
      <c r="DW2" s="75" t="s">
        <v>14542</v>
      </c>
      <c r="DX2" s="75" t="s">
        <v>13132</v>
      </c>
      <c r="DY2" s="75" t="s">
        <v>13133</v>
      </c>
      <c r="DZ2" s="12" t="s">
        <v>13134</v>
      </c>
      <c r="EA2" s="75" t="s">
        <v>13135</v>
      </c>
      <c r="EB2" s="75" t="s">
        <v>13136</v>
      </c>
      <c r="EC2" s="75" t="s">
        <v>13137</v>
      </c>
      <c r="ED2" s="75" t="s">
        <v>13138</v>
      </c>
      <c r="EE2" s="75" t="s">
        <v>13139</v>
      </c>
      <c r="EF2" s="75" t="s">
        <v>13140</v>
      </c>
      <c r="EG2" s="75" t="s">
        <v>13141</v>
      </c>
      <c r="EH2" s="75" t="s">
        <v>13142</v>
      </c>
      <c r="EI2" s="75" t="s">
        <v>13143</v>
      </c>
      <c r="EJ2" s="75" t="s">
        <v>13144</v>
      </c>
      <c r="EK2" s="75" t="s">
        <v>13145</v>
      </c>
      <c r="EL2" s="75" t="s">
        <v>13146</v>
      </c>
      <c r="EM2" s="75" t="s">
        <v>13147</v>
      </c>
      <c r="EN2" s="75" t="s">
        <v>13148</v>
      </c>
      <c r="EO2" s="75" t="s">
        <v>13149</v>
      </c>
      <c r="EP2" s="12" t="s">
        <v>13150</v>
      </c>
      <c r="EQ2" s="75" t="s">
        <v>13151</v>
      </c>
      <c r="ER2" s="12" t="s">
        <v>13152</v>
      </c>
      <c r="ES2" s="12" t="s">
        <v>13153</v>
      </c>
      <c r="ET2" s="12" t="s">
        <v>13154</v>
      </c>
      <c r="EU2" s="12" t="s">
        <v>13155</v>
      </c>
      <c r="EV2" s="12" t="s">
        <v>13156</v>
      </c>
      <c r="EW2" s="12" t="s">
        <v>13157</v>
      </c>
      <c r="EX2" s="12" t="s">
        <v>13158</v>
      </c>
      <c r="EY2" s="75" t="s">
        <v>12452</v>
      </c>
      <c r="EZ2" s="75" t="s">
        <v>12453</v>
      </c>
      <c r="FA2" s="75" t="s">
        <v>12454</v>
      </c>
      <c r="FB2" s="12" t="s">
        <v>12455</v>
      </c>
      <c r="FC2" s="38" t="s">
        <v>12456</v>
      </c>
      <c r="FD2" s="12" t="s">
        <v>12457</v>
      </c>
      <c r="FE2" s="12" t="s">
        <v>12458</v>
      </c>
      <c r="FF2" s="75" t="s">
        <v>12459</v>
      </c>
      <c r="FG2" s="75" t="s">
        <v>12460</v>
      </c>
      <c r="FH2" s="12" t="s">
        <v>12461</v>
      </c>
      <c r="FI2" s="75" t="s">
        <v>12462</v>
      </c>
      <c r="FJ2" s="12" t="s">
        <v>12463</v>
      </c>
      <c r="FK2" s="12" t="s">
        <v>12464</v>
      </c>
      <c r="FL2" s="12" t="s">
        <v>12465</v>
      </c>
      <c r="FM2" s="12" t="s">
        <v>12466</v>
      </c>
      <c r="FN2" s="12" t="s">
        <v>12467</v>
      </c>
      <c r="FO2" s="12" t="s">
        <v>12468</v>
      </c>
      <c r="FP2" s="12" t="s">
        <v>14545</v>
      </c>
      <c r="FQ2" s="12" t="s">
        <v>12469</v>
      </c>
      <c r="FR2" s="12" t="s">
        <v>12470</v>
      </c>
      <c r="FS2" s="12" t="s">
        <v>12471</v>
      </c>
      <c r="FT2" s="12" t="s">
        <v>12472</v>
      </c>
      <c r="FU2" s="12" t="s">
        <v>12473</v>
      </c>
      <c r="FV2" s="12" t="s">
        <v>12474</v>
      </c>
      <c r="FW2" s="75" t="s">
        <v>12475</v>
      </c>
      <c r="FX2" s="75" t="s">
        <v>12476</v>
      </c>
      <c r="FY2" s="75" t="s">
        <v>12477</v>
      </c>
      <c r="FZ2" s="75" t="s">
        <v>12478</v>
      </c>
      <c r="GA2" s="75" t="s">
        <v>12479</v>
      </c>
      <c r="GB2" s="12" t="s">
        <v>12480</v>
      </c>
      <c r="GC2" s="75" t="s">
        <v>12481</v>
      </c>
      <c r="GD2" s="12" t="s">
        <v>14544</v>
      </c>
      <c r="GE2" s="86" t="s">
        <v>12482</v>
      </c>
      <c r="GF2" s="12" t="s">
        <v>12483</v>
      </c>
      <c r="GG2" s="75" t="s">
        <v>12484</v>
      </c>
      <c r="GH2" s="75" t="s">
        <v>12485</v>
      </c>
      <c r="GI2" s="75" t="s">
        <v>12486</v>
      </c>
      <c r="GJ2" s="75" t="s">
        <v>12487</v>
      </c>
      <c r="GK2" s="75" t="s">
        <v>12488</v>
      </c>
      <c r="GL2" s="75" t="s">
        <v>12489</v>
      </c>
      <c r="GM2" s="75" t="s">
        <v>12490</v>
      </c>
      <c r="GN2" s="12" t="s">
        <v>12491</v>
      </c>
      <c r="GO2" s="12" t="s">
        <v>12492</v>
      </c>
      <c r="GP2" s="12" t="s">
        <v>12493</v>
      </c>
      <c r="GQ2" s="75" t="s">
        <v>12494</v>
      </c>
      <c r="GR2" s="12" t="s">
        <v>12495</v>
      </c>
      <c r="GS2" s="24" t="s">
        <v>12496</v>
      </c>
      <c r="GT2" s="24" t="s">
        <v>12497</v>
      </c>
      <c r="GU2" s="24" t="s">
        <v>12498</v>
      </c>
      <c r="GV2" s="24" t="s">
        <v>13159</v>
      </c>
      <c r="GW2" s="75" t="s">
        <v>12499</v>
      </c>
      <c r="GX2" s="75" t="s">
        <v>12500</v>
      </c>
      <c r="GY2" s="75" t="s">
        <v>12501</v>
      </c>
      <c r="GZ2" s="12" t="s">
        <v>12502</v>
      </c>
      <c r="HA2" s="12" t="s">
        <v>12503</v>
      </c>
      <c r="HB2" s="12" t="s">
        <v>12504</v>
      </c>
      <c r="HC2" s="75" t="s">
        <v>12505</v>
      </c>
      <c r="HD2" s="75" t="s">
        <v>12506</v>
      </c>
    </row>
    <row r="3" spans="1:212" ht="51" x14ac:dyDescent="0.2">
      <c r="A3" s="8" t="s">
        <v>152</v>
      </c>
      <c r="B3" s="9" t="s">
        <v>2158</v>
      </c>
      <c r="C3" s="9" t="s">
        <v>25</v>
      </c>
      <c r="E3" s="9" t="s">
        <v>25</v>
      </c>
      <c r="G3" s="9" t="s">
        <v>2185</v>
      </c>
      <c r="H3" s="11">
        <v>0.75</v>
      </c>
      <c r="I3" s="11">
        <v>0.75</v>
      </c>
      <c r="J3" s="11">
        <v>0.94</v>
      </c>
      <c r="K3" s="11">
        <v>0.88</v>
      </c>
      <c r="L3" s="11">
        <v>0.92</v>
      </c>
      <c r="M3" s="11">
        <v>0.12</v>
      </c>
      <c r="N3" s="11">
        <v>0.11</v>
      </c>
      <c r="O3" s="11">
        <v>0.12</v>
      </c>
      <c r="P3" s="9" t="s">
        <v>28</v>
      </c>
      <c r="Q3" s="11">
        <v>0.05</v>
      </c>
      <c r="R3" s="11">
        <v>0.75</v>
      </c>
      <c r="S3" s="11">
        <v>0.75</v>
      </c>
      <c r="T3" s="9" t="s">
        <v>28</v>
      </c>
      <c r="U3" s="9" t="s">
        <v>25</v>
      </c>
      <c r="W3" s="9" t="s">
        <v>25</v>
      </c>
      <c r="Y3" s="11">
        <v>0.03</v>
      </c>
      <c r="Z3" s="11">
        <v>0.25</v>
      </c>
      <c r="AA3" s="11">
        <v>0.25</v>
      </c>
      <c r="AB3" s="9" t="s">
        <v>28</v>
      </c>
      <c r="AC3" s="11">
        <v>7.0000000000000007E-2</v>
      </c>
      <c r="AD3" s="9" t="s">
        <v>2160</v>
      </c>
      <c r="AE3" s="11">
        <v>0.01</v>
      </c>
      <c r="AF3" s="11">
        <v>0.1</v>
      </c>
      <c r="AG3" s="9" t="s">
        <v>2162</v>
      </c>
      <c r="AI3" s="9" t="s">
        <v>2163</v>
      </c>
      <c r="AJ3" s="9" t="s">
        <v>28</v>
      </c>
      <c r="AK3" s="9" t="s">
        <v>25</v>
      </c>
      <c r="AL3" s="9" t="s">
        <v>2164</v>
      </c>
      <c r="AM3" s="9" t="s">
        <v>28</v>
      </c>
      <c r="AN3" s="9" t="s">
        <v>25</v>
      </c>
      <c r="AO3" s="9" t="s">
        <v>2165</v>
      </c>
      <c r="AP3" s="9" t="s">
        <v>2188</v>
      </c>
      <c r="AQ3" s="9" t="s">
        <v>25</v>
      </c>
      <c r="AS3" s="9" t="s">
        <v>2167</v>
      </c>
      <c r="AT3" s="9" t="s">
        <v>25</v>
      </c>
      <c r="AV3" s="9" t="s">
        <v>28</v>
      </c>
      <c r="AW3" s="9" t="s">
        <v>28</v>
      </c>
      <c r="AX3" s="9" t="s">
        <v>28</v>
      </c>
      <c r="AY3" s="9" t="s">
        <v>28</v>
      </c>
      <c r="AZ3" s="9" t="s">
        <v>25</v>
      </c>
      <c r="BA3" s="9" t="s">
        <v>2365</v>
      </c>
      <c r="BB3" s="39">
        <v>6000</v>
      </c>
      <c r="BC3" s="9" t="s">
        <v>13924</v>
      </c>
      <c r="BD3" s="9" t="s">
        <v>2169</v>
      </c>
      <c r="BE3" s="9" t="s">
        <v>2170</v>
      </c>
      <c r="BF3" s="9" t="s">
        <v>2171</v>
      </c>
      <c r="BS3" s="9" t="s">
        <v>25</v>
      </c>
      <c r="BT3" s="9" t="s">
        <v>25</v>
      </c>
      <c r="BV3" s="11">
        <v>0.28999999999999998</v>
      </c>
      <c r="BW3" s="9" t="s">
        <v>732</v>
      </c>
      <c r="BX3" s="9" t="s">
        <v>732</v>
      </c>
      <c r="BY3" s="9" t="s">
        <v>2191</v>
      </c>
      <c r="BZ3" s="9" t="s">
        <v>732</v>
      </c>
      <c r="CA3" s="9" t="s">
        <v>732</v>
      </c>
      <c r="CB3" s="9" t="s">
        <v>732</v>
      </c>
      <c r="CC3" s="9" t="s">
        <v>732</v>
      </c>
      <c r="CD3" s="9" t="s">
        <v>29</v>
      </c>
      <c r="CE3" s="9" t="s">
        <v>28</v>
      </c>
      <c r="CF3" s="9">
        <v>1</v>
      </c>
      <c r="CG3" s="9" t="s">
        <v>2192</v>
      </c>
      <c r="CH3" s="9" t="s">
        <v>2366</v>
      </c>
      <c r="CJ3" s="9">
        <v>22</v>
      </c>
      <c r="CO3" s="9">
        <v>1</v>
      </c>
      <c r="CP3" s="9">
        <v>1</v>
      </c>
      <c r="CY3" s="9">
        <v>1</v>
      </c>
      <c r="CZ3" s="9">
        <v>1</v>
      </c>
      <c r="DC3" s="9">
        <v>1</v>
      </c>
      <c r="DD3" s="9">
        <v>1</v>
      </c>
      <c r="DG3" s="9">
        <v>1</v>
      </c>
      <c r="DH3" s="9">
        <v>1</v>
      </c>
      <c r="DK3" s="9">
        <v>1</v>
      </c>
      <c r="DL3" s="9">
        <v>1</v>
      </c>
      <c r="DT3" s="9">
        <v>14</v>
      </c>
      <c r="DZ3" s="9" t="s">
        <v>25</v>
      </c>
      <c r="EA3" s="9" t="s">
        <v>28</v>
      </c>
      <c r="EB3" s="9" t="s">
        <v>25</v>
      </c>
      <c r="EC3" s="9" t="s">
        <v>25</v>
      </c>
      <c r="ED3" s="9" t="s">
        <v>25</v>
      </c>
      <c r="EE3" s="9" t="s">
        <v>25</v>
      </c>
      <c r="EF3" s="9" t="s">
        <v>25</v>
      </c>
      <c r="EG3" s="9" t="s">
        <v>25</v>
      </c>
      <c r="EH3" s="9" t="s">
        <v>25</v>
      </c>
      <c r="EI3" s="9" t="s">
        <v>25</v>
      </c>
      <c r="EJ3" s="9" t="s">
        <v>25</v>
      </c>
      <c r="EK3" s="9" t="s">
        <v>25</v>
      </c>
      <c r="EL3" s="9" t="s">
        <v>25</v>
      </c>
      <c r="EM3" s="9" t="s">
        <v>25</v>
      </c>
      <c r="EN3" s="9" t="s">
        <v>25</v>
      </c>
      <c r="EO3" s="9" t="s">
        <v>25</v>
      </c>
      <c r="EQ3" s="9" t="s">
        <v>25</v>
      </c>
      <c r="ER3" s="9" t="s">
        <v>2169</v>
      </c>
      <c r="ES3" s="9" t="s">
        <v>28</v>
      </c>
      <c r="ET3" s="9" t="s">
        <v>28</v>
      </c>
      <c r="EU3" s="9" t="s">
        <v>28</v>
      </c>
      <c r="EV3" s="9" t="s">
        <v>28</v>
      </c>
      <c r="EW3" s="9" t="s">
        <v>28</v>
      </c>
      <c r="EX3" s="9" t="s">
        <v>25</v>
      </c>
      <c r="EY3" s="9" t="s">
        <v>28</v>
      </c>
      <c r="EZ3" s="9" t="s">
        <v>2175</v>
      </c>
      <c r="FB3" s="9" t="s">
        <v>2302</v>
      </c>
      <c r="FC3" s="39">
        <v>180000</v>
      </c>
      <c r="FD3" s="9" t="s">
        <v>25</v>
      </c>
      <c r="FE3" s="9" t="s">
        <v>13527</v>
      </c>
      <c r="FF3" s="9" t="s">
        <v>28</v>
      </c>
      <c r="FG3" s="9" t="s">
        <v>13950</v>
      </c>
      <c r="FH3" s="9" t="s">
        <v>28</v>
      </c>
      <c r="FI3" s="9" t="s">
        <v>2177</v>
      </c>
      <c r="FJ3" s="11">
        <v>0.75</v>
      </c>
      <c r="FK3" s="11">
        <v>1</v>
      </c>
      <c r="FO3" s="11">
        <v>1</v>
      </c>
      <c r="FW3" s="9" t="s">
        <v>25</v>
      </c>
      <c r="GC3" s="9" t="s">
        <v>28</v>
      </c>
      <c r="GD3" s="9" t="s">
        <v>28</v>
      </c>
      <c r="GE3" s="63" t="s">
        <v>13162</v>
      </c>
      <c r="GF3" s="9" t="s">
        <v>2181</v>
      </c>
      <c r="GG3" s="9" t="s">
        <v>2183</v>
      </c>
      <c r="GH3" s="9" t="s">
        <v>2183</v>
      </c>
      <c r="GI3" s="9" t="s">
        <v>2182</v>
      </c>
      <c r="GJ3" s="9" t="s">
        <v>2182</v>
      </c>
      <c r="GK3" s="9">
        <v>15</v>
      </c>
      <c r="GM3" s="9" t="s">
        <v>29</v>
      </c>
      <c r="GN3" s="9" t="s">
        <v>2367</v>
      </c>
      <c r="GQ3" s="9" t="s">
        <v>253</v>
      </c>
      <c r="GR3" s="9" t="s">
        <v>25</v>
      </c>
      <c r="GW3" s="9" t="s">
        <v>25</v>
      </c>
      <c r="GX3" s="9" t="s">
        <v>25</v>
      </c>
      <c r="GY3" s="9" t="s">
        <v>25</v>
      </c>
      <c r="GZ3" s="9" t="s">
        <v>41</v>
      </c>
      <c r="HC3" s="9" t="s">
        <v>25</v>
      </c>
    </row>
    <row r="4" spans="1:212" ht="38.25" x14ac:dyDescent="0.2">
      <c r="A4" s="8" t="s">
        <v>133</v>
      </c>
      <c r="B4" s="9" t="s">
        <v>2158</v>
      </c>
      <c r="C4" s="9" t="s">
        <v>25</v>
      </c>
      <c r="E4" s="9" t="s">
        <v>28</v>
      </c>
      <c r="F4" s="9" t="s">
        <v>2206</v>
      </c>
      <c r="G4" s="9" t="s">
        <v>2159</v>
      </c>
      <c r="H4" s="11">
        <v>0.75</v>
      </c>
      <c r="I4" s="11">
        <v>0.75</v>
      </c>
      <c r="J4" s="11">
        <v>1</v>
      </c>
      <c r="K4" s="11">
        <v>1</v>
      </c>
      <c r="L4" s="11">
        <v>1</v>
      </c>
      <c r="M4" s="11">
        <v>0.28999999999999998</v>
      </c>
      <c r="N4" s="11">
        <v>0.28999999999999998</v>
      </c>
      <c r="O4" s="11">
        <v>0.28999999999999998</v>
      </c>
      <c r="P4" s="9" t="s">
        <v>28</v>
      </c>
      <c r="Q4" s="11">
        <v>0.12</v>
      </c>
      <c r="R4" s="11">
        <v>0.75</v>
      </c>
      <c r="S4" s="11">
        <v>0.75</v>
      </c>
      <c r="T4" s="9" t="s">
        <v>28</v>
      </c>
      <c r="U4" s="9" t="s">
        <v>28</v>
      </c>
      <c r="V4" s="39">
        <v>30250</v>
      </c>
      <c r="W4" s="9" t="s">
        <v>25</v>
      </c>
      <c r="Y4" s="11">
        <v>0.12</v>
      </c>
      <c r="Z4" s="11">
        <v>0.75</v>
      </c>
      <c r="AA4" s="11">
        <v>0.75</v>
      </c>
      <c r="AB4" s="9" t="s">
        <v>28</v>
      </c>
      <c r="AC4" s="11">
        <v>0.1</v>
      </c>
      <c r="AD4" s="9" t="s">
        <v>2256</v>
      </c>
      <c r="AE4" s="11">
        <v>0.01</v>
      </c>
      <c r="AF4" s="9" t="s">
        <v>2161</v>
      </c>
      <c r="AG4" s="9" t="s">
        <v>2162</v>
      </c>
      <c r="AI4" s="9" t="s">
        <v>2163</v>
      </c>
      <c r="AJ4" s="9" t="s">
        <v>28</v>
      </c>
      <c r="AK4" s="9" t="s">
        <v>28</v>
      </c>
      <c r="AL4" s="9" t="s">
        <v>2164</v>
      </c>
      <c r="AM4" s="9" t="s">
        <v>25</v>
      </c>
      <c r="AN4" s="9" t="s">
        <v>25</v>
      </c>
      <c r="AO4" s="9" t="s">
        <v>2276</v>
      </c>
      <c r="AP4" s="9" t="s">
        <v>2188</v>
      </c>
      <c r="AQ4" s="9" t="s">
        <v>25</v>
      </c>
      <c r="AS4" s="9" t="s">
        <v>2167</v>
      </c>
      <c r="AT4" s="9" t="s">
        <v>25</v>
      </c>
      <c r="AV4" s="9" t="s">
        <v>28</v>
      </c>
      <c r="AW4" s="9" t="s">
        <v>28</v>
      </c>
      <c r="AX4" s="9" t="s">
        <v>28</v>
      </c>
      <c r="AY4" s="9" t="s">
        <v>28</v>
      </c>
      <c r="AZ4" s="9" t="s">
        <v>25</v>
      </c>
      <c r="BA4" s="9" t="s">
        <v>2277</v>
      </c>
      <c r="BB4" s="39">
        <v>9750</v>
      </c>
      <c r="BC4" s="9" t="s">
        <v>13915</v>
      </c>
      <c r="BD4" s="9" t="s">
        <v>2169</v>
      </c>
      <c r="BE4" s="9" t="s">
        <v>2269</v>
      </c>
      <c r="BF4" s="9" t="s">
        <v>2171</v>
      </c>
      <c r="BS4" s="9" t="s">
        <v>25</v>
      </c>
      <c r="BT4" s="9" t="s">
        <v>25</v>
      </c>
      <c r="BV4" s="11">
        <v>0</v>
      </c>
      <c r="BW4" s="9" t="s">
        <v>115</v>
      </c>
      <c r="BX4" s="9" t="s">
        <v>115</v>
      </c>
      <c r="BY4" s="9" t="s">
        <v>115</v>
      </c>
      <c r="BZ4" s="9" t="s">
        <v>732</v>
      </c>
      <c r="CA4" s="9" t="s">
        <v>732</v>
      </c>
      <c r="CB4" s="9" t="s">
        <v>732</v>
      </c>
      <c r="CC4" s="9" t="s">
        <v>2228</v>
      </c>
      <c r="CD4" s="9" t="s">
        <v>2228</v>
      </c>
      <c r="CE4" s="9" t="s">
        <v>28</v>
      </c>
      <c r="CF4" s="9">
        <v>1</v>
      </c>
      <c r="CG4" s="9" t="s">
        <v>2192</v>
      </c>
      <c r="CH4" s="9" t="s">
        <v>2278</v>
      </c>
      <c r="CI4" s="9" t="s">
        <v>2279</v>
      </c>
      <c r="CJ4" s="9">
        <v>1</v>
      </c>
      <c r="CO4" s="9">
        <v>1</v>
      </c>
      <c r="CS4" s="9">
        <v>1</v>
      </c>
      <c r="DL4" s="9">
        <v>1</v>
      </c>
      <c r="DT4" s="9">
        <v>12</v>
      </c>
      <c r="DZ4" s="9" t="s">
        <v>25</v>
      </c>
      <c r="EA4" s="9" t="s">
        <v>28</v>
      </c>
      <c r="EC4" s="9" t="s">
        <v>28</v>
      </c>
      <c r="EO4" s="9" t="s">
        <v>25</v>
      </c>
      <c r="EQ4" s="9" t="s">
        <v>25</v>
      </c>
      <c r="ER4" s="9" t="s">
        <v>2169</v>
      </c>
      <c r="ES4" s="9" t="s">
        <v>28</v>
      </c>
      <c r="ET4" s="9" t="s">
        <v>28</v>
      </c>
      <c r="EU4" s="9" t="s">
        <v>28</v>
      </c>
      <c r="EV4" s="9" t="s">
        <v>28</v>
      </c>
      <c r="EW4" s="9" t="s">
        <v>28</v>
      </c>
      <c r="EX4" s="9" t="s">
        <v>28</v>
      </c>
      <c r="EY4" s="9" t="s">
        <v>25</v>
      </c>
      <c r="GR4" s="9" t="s">
        <v>1015</v>
      </c>
      <c r="GW4" s="9" t="s">
        <v>25</v>
      </c>
      <c r="GX4" s="9" t="s">
        <v>25</v>
      </c>
      <c r="GY4" s="9" t="s">
        <v>25</v>
      </c>
      <c r="GZ4" s="9" t="s">
        <v>25</v>
      </c>
      <c r="HC4" s="9" t="s">
        <v>28</v>
      </c>
      <c r="HD4" s="9" t="s">
        <v>2280</v>
      </c>
    </row>
    <row r="5" spans="1:212" ht="63.75" x14ac:dyDescent="0.2">
      <c r="A5" s="8" t="s">
        <v>156</v>
      </c>
      <c r="B5" s="9" t="s">
        <v>2158</v>
      </c>
      <c r="C5" s="9" t="s">
        <v>25</v>
      </c>
      <c r="E5" s="9" t="s">
        <v>25</v>
      </c>
      <c r="G5" s="9" t="s">
        <v>2159</v>
      </c>
      <c r="H5" s="11">
        <v>0.4</v>
      </c>
      <c r="I5" s="11">
        <v>0.4</v>
      </c>
      <c r="J5" s="11">
        <v>0.94</v>
      </c>
      <c r="K5" s="11">
        <v>0.86</v>
      </c>
      <c r="L5" s="11">
        <v>0.88</v>
      </c>
      <c r="M5" s="11">
        <v>0.08</v>
      </c>
      <c r="N5" s="11">
        <v>0.08</v>
      </c>
      <c r="O5" s="11">
        <v>0.08</v>
      </c>
      <c r="P5" s="9" t="s">
        <v>28</v>
      </c>
      <c r="R5" s="11">
        <v>0.4</v>
      </c>
      <c r="S5" s="11">
        <v>0.4</v>
      </c>
      <c r="T5" s="9" t="s">
        <v>28</v>
      </c>
      <c r="U5" s="9" t="s">
        <v>28</v>
      </c>
      <c r="V5" s="39">
        <v>35400</v>
      </c>
      <c r="W5" s="9" t="s">
        <v>25</v>
      </c>
      <c r="Y5" s="11">
        <v>0.04</v>
      </c>
      <c r="Z5" s="11">
        <v>0.2</v>
      </c>
      <c r="AA5" s="11">
        <v>0.2</v>
      </c>
      <c r="AB5" s="9" t="s">
        <v>25</v>
      </c>
      <c r="AD5" s="9" t="s">
        <v>2160</v>
      </c>
      <c r="AE5" s="9" t="s">
        <v>2248</v>
      </c>
      <c r="AF5" s="11">
        <v>0.1</v>
      </c>
      <c r="AG5" s="9" t="s">
        <v>2162</v>
      </c>
      <c r="AI5" s="9" t="s">
        <v>2201</v>
      </c>
      <c r="AJ5" s="9" t="s">
        <v>28</v>
      </c>
      <c r="AK5" s="9" t="s">
        <v>28</v>
      </c>
      <c r="AL5" s="9" t="s">
        <v>2164</v>
      </c>
      <c r="AM5" s="9" t="s">
        <v>28</v>
      </c>
      <c r="AN5" s="9" t="s">
        <v>25</v>
      </c>
      <c r="AO5" s="9" t="s">
        <v>2219</v>
      </c>
      <c r="AP5" s="9" t="s">
        <v>2188</v>
      </c>
      <c r="AQ5" s="9" t="s">
        <v>25</v>
      </c>
      <c r="AS5" s="9" t="s">
        <v>2167</v>
      </c>
      <c r="AT5" s="9" t="s">
        <v>25</v>
      </c>
      <c r="AV5" s="9" t="s">
        <v>28</v>
      </c>
      <c r="AW5" s="9" t="s">
        <v>28</v>
      </c>
      <c r="AX5" s="9" t="s">
        <v>28</v>
      </c>
      <c r="AY5" s="9" t="s">
        <v>28</v>
      </c>
      <c r="AZ5" s="9" t="s">
        <v>28</v>
      </c>
      <c r="BA5" s="9" t="s">
        <v>2378</v>
      </c>
      <c r="BB5" s="39">
        <v>5100</v>
      </c>
      <c r="BC5" s="9" t="s">
        <v>13920</v>
      </c>
      <c r="BD5" s="9" t="s">
        <v>25</v>
      </c>
      <c r="BF5" s="9" t="s">
        <v>2238</v>
      </c>
      <c r="BM5" s="11">
        <v>0.25</v>
      </c>
      <c r="BN5" s="11">
        <v>0.5</v>
      </c>
      <c r="BO5" s="11">
        <v>0.75</v>
      </c>
      <c r="BP5" s="11">
        <v>1</v>
      </c>
      <c r="BQ5" s="11">
        <v>1</v>
      </c>
      <c r="BR5" s="11">
        <v>1</v>
      </c>
      <c r="BS5" s="9" t="s">
        <v>25</v>
      </c>
      <c r="BT5" s="9" t="s">
        <v>28</v>
      </c>
      <c r="BU5" s="9" t="s">
        <v>2222</v>
      </c>
      <c r="BV5" s="11">
        <v>0.22</v>
      </c>
      <c r="BW5" s="9" t="s">
        <v>115</v>
      </c>
      <c r="BX5" s="9" t="s">
        <v>115</v>
      </c>
      <c r="BY5" s="9" t="s">
        <v>115</v>
      </c>
      <c r="BZ5" s="9" t="s">
        <v>732</v>
      </c>
      <c r="CA5" s="9" t="s">
        <v>115</v>
      </c>
      <c r="CB5" s="9" t="s">
        <v>732</v>
      </c>
      <c r="CC5" s="9" t="s">
        <v>2228</v>
      </c>
      <c r="CD5" s="9" t="s">
        <v>2228</v>
      </c>
      <c r="CE5" s="9" t="s">
        <v>28</v>
      </c>
      <c r="CF5" s="9">
        <v>1</v>
      </c>
      <c r="CG5" s="9" t="s">
        <v>2192</v>
      </c>
      <c r="CH5" s="9" t="s">
        <v>2379</v>
      </c>
      <c r="CI5" s="9" t="s">
        <v>2265</v>
      </c>
      <c r="CJ5" s="9">
        <v>3</v>
      </c>
      <c r="CK5" s="9">
        <v>2</v>
      </c>
      <c r="CM5" s="9">
        <v>1</v>
      </c>
      <c r="CO5" s="9">
        <v>1</v>
      </c>
      <c r="CP5" s="9">
        <v>1</v>
      </c>
      <c r="CR5" s="9">
        <v>1</v>
      </c>
      <c r="CS5" s="9">
        <v>1</v>
      </c>
      <c r="CY5" s="9">
        <v>1</v>
      </c>
      <c r="CZ5" s="9">
        <v>1</v>
      </c>
      <c r="DA5" s="9">
        <v>1</v>
      </c>
      <c r="DB5" s="9">
        <v>1</v>
      </c>
      <c r="DE5" s="9">
        <v>1</v>
      </c>
      <c r="DF5" s="9">
        <v>1</v>
      </c>
      <c r="DI5" s="9">
        <v>1</v>
      </c>
      <c r="DJ5" s="9">
        <v>1</v>
      </c>
      <c r="DL5" s="9">
        <v>1</v>
      </c>
      <c r="DN5" s="9">
        <v>1</v>
      </c>
      <c r="DP5" s="9">
        <v>1</v>
      </c>
      <c r="DQ5" s="9">
        <v>1</v>
      </c>
      <c r="DR5" s="9">
        <v>1</v>
      </c>
      <c r="DT5" s="9">
        <v>12</v>
      </c>
      <c r="DZ5" s="9" t="s">
        <v>28</v>
      </c>
      <c r="EA5" s="9" t="s">
        <v>28</v>
      </c>
      <c r="EB5" s="9" t="s">
        <v>28</v>
      </c>
      <c r="EC5" s="9" t="s">
        <v>28</v>
      </c>
      <c r="ED5" s="9" t="s">
        <v>28</v>
      </c>
      <c r="EE5" s="9" t="s">
        <v>28</v>
      </c>
      <c r="EF5" s="9" t="s">
        <v>28</v>
      </c>
      <c r="EG5" s="9" t="s">
        <v>28</v>
      </c>
      <c r="EH5" s="9" t="s">
        <v>28</v>
      </c>
      <c r="EI5" s="9" t="s">
        <v>28</v>
      </c>
      <c r="EJ5" s="9" t="s">
        <v>28</v>
      </c>
      <c r="EK5" s="9" t="s">
        <v>25</v>
      </c>
      <c r="EL5" s="9" t="s">
        <v>25</v>
      </c>
      <c r="EM5" s="9" t="s">
        <v>25</v>
      </c>
      <c r="EN5" s="9" t="s">
        <v>25</v>
      </c>
      <c r="EO5" s="9" t="s">
        <v>28</v>
      </c>
      <c r="EP5" s="9" t="s">
        <v>2380</v>
      </c>
      <c r="EQ5" s="9" t="s">
        <v>25</v>
      </c>
      <c r="ER5" s="9" t="s">
        <v>41</v>
      </c>
      <c r="ES5" s="9" t="s">
        <v>28</v>
      </c>
      <c r="ET5" s="9" t="s">
        <v>28</v>
      </c>
      <c r="EU5" s="9" t="s">
        <v>28</v>
      </c>
      <c r="EV5" s="9" t="s">
        <v>28</v>
      </c>
      <c r="EW5" s="9" t="s">
        <v>41</v>
      </c>
      <c r="EX5" s="9" t="s">
        <v>41</v>
      </c>
      <c r="EY5" s="9" t="s">
        <v>28</v>
      </c>
      <c r="EZ5" s="9" t="s">
        <v>2175</v>
      </c>
      <c r="FB5" s="9" t="s">
        <v>1874</v>
      </c>
      <c r="FC5" s="39">
        <v>255000</v>
      </c>
      <c r="FD5" s="9" t="s">
        <v>25</v>
      </c>
      <c r="FE5" s="9" t="s">
        <v>253</v>
      </c>
      <c r="FF5" s="9" t="s">
        <v>25</v>
      </c>
      <c r="FH5" s="9" t="s">
        <v>28</v>
      </c>
      <c r="FI5" s="9" t="s">
        <v>256</v>
      </c>
      <c r="FJ5" s="11">
        <v>1</v>
      </c>
      <c r="FK5" s="11">
        <v>1</v>
      </c>
      <c r="FL5" s="11">
        <v>1</v>
      </c>
      <c r="FO5" s="11">
        <v>1</v>
      </c>
      <c r="FT5" s="11">
        <v>1</v>
      </c>
      <c r="FU5" s="11">
        <v>1</v>
      </c>
      <c r="FW5" s="9" t="s">
        <v>25</v>
      </c>
      <c r="GC5" s="9" t="s">
        <v>28</v>
      </c>
      <c r="GD5" s="9" t="s">
        <v>25</v>
      </c>
      <c r="GE5" s="63" t="s">
        <v>13162</v>
      </c>
      <c r="GF5" s="9" t="s">
        <v>248</v>
      </c>
      <c r="GG5" s="9" t="s">
        <v>635</v>
      </c>
      <c r="GH5" s="9" t="s">
        <v>635</v>
      </c>
      <c r="GI5" s="9" t="s">
        <v>2182</v>
      </c>
      <c r="GJ5" s="9" t="s">
        <v>635</v>
      </c>
      <c r="GK5" s="9">
        <v>10</v>
      </c>
      <c r="GM5" s="9" t="s">
        <v>635</v>
      </c>
      <c r="GQ5" s="9" t="s">
        <v>2229</v>
      </c>
      <c r="GR5" s="9" t="s">
        <v>25</v>
      </c>
      <c r="GW5" s="9" t="s">
        <v>25</v>
      </c>
      <c r="GX5" s="9" t="s">
        <v>25</v>
      </c>
      <c r="GY5" s="9" t="s">
        <v>25</v>
      </c>
      <c r="GZ5" s="9" t="s">
        <v>25</v>
      </c>
      <c r="HC5" s="9" t="s">
        <v>28</v>
      </c>
    </row>
    <row r="6" spans="1:212" ht="76.5" x14ac:dyDescent="0.2">
      <c r="A6" s="8" t="s">
        <v>179</v>
      </c>
      <c r="B6" s="9" t="s">
        <v>2158</v>
      </c>
      <c r="C6" s="9" t="s">
        <v>25</v>
      </c>
      <c r="E6" s="9" t="s">
        <v>25</v>
      </c>
      <c r="G6" s="9" t="s">
        <v>2185</v>
      </c>
      <c r="H6" s="11">
        <v>0.75</v>
      </c>
      <c r="I6" s="11">
        <v>0.75</v>
      </c>
      <c r="O6" s="11">
        <v>0.12</v>
      </c>
      <c r="P6" s="9" t="s">
        <v>28</v>
      </c>
      <c r="Q6" s="11">
        <v>0.18</v>
      </c>
      <c r="R6" s="11">
        <v>0.75</v>
      </c>
      <c r="S6" s="11">
        <v>0.75</v>
      </c>
      <c r="T6" s="9" t="s">
        <v>28</v>
      </c>
      <c r="U6" s="9" t="s">
        <v>25</v>
      </c>
      <c r="W6" s="9" t="s">
        <v>25</v>
      </c>
      <c r="Y6" s="11">
        <v>0.05</v>
      </c>
      <c r="Z6" s="11">
        <v>0.75</v>
      </c>
      <c r="AA6" s="11">
        <v>0.75</v>
      </c>
      <c r="AB6" s="9" t="s">
        <v>41</v>
      </c>
      <c r="AD6" s="9" t="s">
        <v>41</v>
      </c>
      <c r="AE6" s="9" t="s">
        <v>2248</v>
      </c>
      <c r="AG6" s="9" t="s">
        <v>2162</v>
      </c>
      <c r="AI6" s="9" t="s">
        <v>2163</v>
      </c>
      <c r="AJ6" s="9" t="s">
        <v>28</v>
      </c>
      <c r="AK6" s="9" t="s">
        <v>1015</v>
      </c>
      <c r="AL6" s="9" t="s">
        <v>2164</v>
      </c>
      <c r="AM6" s="9" t="s">
        <v>25</v>
      </c>
      <c r="AN6" s="9" t="s">
        <v>25</v>
      </c>
      <c r="AO6" s="9" t="s">
        <v>2165</v>
      </c>
      <c r="AP6" s="9" t="s">
        <v>2188</v>
      </c>
      <c r="AQ6" s="9" t="s">
        <v>25</v>
      </c>
      <c r="AS6" s="9" t="s">
        <v>2203</v>
      </c>
      <c r="AT6" s="9" t="s">
        <v>25</v>
      </c>
      <c r="AV6" s="9" t="s">
        <v>28</v>
      </c>
      <c r="AW6" s="9" t="s">
        <v>28</v>
      </c>
      <c r="AX6" s="9" t="s">
        <v>28</v>
      </c>
      <c r="AY6" s="9" t="s">
        <v>28</v>
      </c>
      <c r="AZ6" s="9" t="s">
        <v>28</v>
      </c>
      <c r="BA6" s="9" t="s">
        <v>2446</v>
      </c>
      <c r="BC6" s="9" t="s">
        <v>13927</v>
      </c>
      <c r="BD6" s="9" t="s">
        <v>2169</v>
      </c>
      <c r="BE6" s="9" t="s">
        <v>2170</v>
      </c>
      <c r="BF6" s="9" t="s">
        <v>2171</v>
      </c>
      <c r="BS6" s="9" t="s">
        <v>25</v>
      </c>
      <c r="BT6" s="9" t="s">
        <v>28</v>
      </c>
      <c r="BU6" s="9" t="s">
        <v>29</v>
      </c>
      <c r="BV6" s="11">
        <v>0.5</v>
      </c>
      <c r="BW6" s="9" t="s">
        <v>732</v>
      </c>
      <c r="BX6" s="9" t="s">
        <v>732</v>
      </c>
      <c r="BY6" s="9" t="s">
        <v>732</v>
      </c>
      <c r="BZ6" s="9" t="s">
        <v>732</v>
      </c>
      <c r="CA6" s="9" t="s">
        <v>732</v>
      </c>
      <c r="CB6" s="9" t="s">
        <v>29</v>
      </c>
      <c r="CC6" s="9" t="s">
        <v>732</v>
      </c>
      <c r="CD6" s="9" t="s">
        <v>29</v>
      </c>
      <c r="CE6" s="9" t="s">
        <v>28</v>
      </c>
      <c r="CF6" s="9">
        <v>1</v>
      </c>
      <c r="CG6" s="9" t="s">
        <v>2192</v>
      </c>
      <c r="CH6" s="9" t="s">
        <v>13948</v>
      </c>
      <c r="CL6" s="9">
        <v>1</v>
      </c>
      <c r="CO6" s="9">
        <v>1</v>
      </c>
      <c r="CP6" s="9">
        <v>1</v>
      </c>
      <c r="CY6" s="9">
        <v>3</v>
      </c>
      <c r="DA6" s="9">
        <v>1</v>
      </c>
      <c r="DB6" s="9">
        <v>1</v>
      </c>
      <c r="DC6" s="9">
        <v>1</v>
      </c>
      <c r="DG6" s="9">
        <v>1</v>
      </c>
      <c r="DK6" s="9">
        <v>1</v>
      </c>
      <c r="DN6" s="9">
        <v>1</v>
      </c>
      <c r="DO6" s="9">
        <v>1</v>
      </c>
      <c r="DT6" s="9">
        <v>11</v>
      </c>
      <c r="DZ6" s="9" t="s">
        <v>25</v>
      </c>
      <c r="EA6" s="9" t="s">
        <v>28</v>
      </c>
      <c r="EQ6" s="9" t="s">
        <v>28</v>
      </c>
      <c r="ER6" s="9" t="s">
        <v>2169</v>
      </c>
      <c r="ES6" s="9" t="s">
        <v>28</v>
      </c>
      <c r="ET6" s="9" t="s">
        <v>28</v>
      </c>
      <c r="EU6" s="9" t="s">
        <v>28</v>
      </c>
      <c r="EV6" s="9" t="s">
        <v>28</v>
      </c>
      <c r="EW6" s="9" t="s">
        <v>28</v>
      </c>
      <c r="EX6" s="9" t="s">
        <v>41</v>
      </c>
      <c r="EY6" s="9" t="s">
        <v>25</v>
      </c>
      <c r="GR6" s="9" t="s">
        <v>25</v>
      </c>
      <c r="GW6" s="9" t="s">
        <v>25</v>
      </c>
      <c r="GX6" s="9" t="s">
        <v>25</v>
      </c>
      <c r="GY6" s="9" t="s">
        <v>25</v>
      </c>
      <c r="GZ6" s="9" t="s">
        <v>28</v>
      </c>
      <c r="HA6" s="9" t="s">
        <v>14594</v>
      </c>
      <c r="HC6" s="9" t="s">
        <v>41</v>
      </c>
    </row>
    <row r="7" spans="1:212" ht="51" x14ac:dyDescent="0.2">
      <c r="A7" s="8" t="s">
        <v>122</v>
      </c>
      <c r="B7" s="9" t="s">
        <v>2218</v>
      </c>
      <c r="C7" s="9" t="s">
        <v>25</v>
      </c>
      <c r="E7" s="9" t="s">
        <v>25</v>
      </c>
      <c r="G7" s="9" t="s">
        <v>2185</v>
      </c>
      <c r="H7" s="11">
        <v>0.75</v>
      </c>
      <c r="I7" s="11">
        <v>0.75</v>
      </c>
      <c r="J7" s="11">
        <v>0.97</v>
      </c>
      <c r="K7" s="11">
        <v>0.92</v>
      </c>
      <c r="L7" s="11">
        <v>0.95</v>
      </c>
      <c r="M7" s="11">
        <v>0.09</v>
      </c>
      <c r="N7" s="11">
        <v>0.06</v>
      </c>
      <c r="O7" s="11">
        <v>0.08</v>
      </c>
      <c r="P7" s="9" t="s">
        <v>28</v>
      </c>
      <c r="Q7" s="11">
        <v>0.14000000000000001</v>
      </c>
      <c r="R7" s="11">
        <v>0.75</v>
      </c>
      <c r="S7" s="11">
        <v>0.75</v>
      </c>
      <c r="T7" s="9" t="s">
        <v>28</v>
      </c>
      <c r="U7" s="9" t="s">
        <v>25</v>
      </c>
      <c r="W7" s="9" t="s">
        <v>25</v>
      </c>
      <c r="Y7" s="11">
        <v>0.05</v>
      </c>
      <c r="Z7" s="11">
        <v>0.2</v>
      </c>
      <c r="AA7" s="11">
        <v>0.2</v>
      </c>
      <c r="AB7" s="9" t="s">
        <v>28</v>
      </c>
      <c r="AC7" s="11">
        <v>0.03</v>
      </c>
      <c r="AD7" s="9" t="s">
        <v>2160</v>
      </c>
      <c r="AE7" s="11">
        <v>0.01</v>
      </c>
      <c r="AF7" s="11">
        <v>0.06</v>
      </c>
      <c r="AG7" s="9" t="s">
        <v>2162</v>
      </c>
      <c r="AI7" s="9" t="s">
        <v>2163</v>
      </c>
      <c r="AJ7" s="9" t="s">
        <v>28</v>
      </c>
      <c r="AK7" s="9" t="s">
        <v>1015</v>
      </c>
      <c r="AL7" s="9" t="s">
        <v>2164</v>
      </c>
      <c r="AM7" s="9" t="s">
        <v>25</v>
      </c>
      <c r="AN7" s="9" t="s">
        <v>25</v>
      </c>
      <c r="AO7" s="9" t="s">
        <v>2219</v>
      </c>
      <c r="AP7" s="9" t="s">
        <v>2188</v>
      </c>
      <c r="AQ7" s="9" t="s">
        <v>25</v>
      </c>
      <c r="AS7" s="9" t="s">
        <v>2189</v>
      </c>
      <c r="AT7" s="9" t="s">
        <v>28</v>
      </c>
      <c r="AU7" s="9" t="s">
        <v>2220</v>
      </c>
      <c r="AV7" s="9" t="s">
        <v>28</v>
      </c>
      <c r="AW7" s="9" t="s">
        <v>25</v>
      </c>
      <c r="AX7" s="9" t="s">
        <v>28</v>
      </c>
      <c r="AY7" s="9" t="s">
        <v>25</v>
      </c>
      <c r="AZ7" s="9" t="s">
        <v>25</v>
      </c>
      <c r="BA7" s="9" t="s">
        <v>2221</v>
      </c>
      <c r="BB7" s="39">
        <v>17400</v>
      </c>
      <c r="BC7" s="9" t="s">
        <v>2212</v>
      </c>
      <c r="BD7" s="9" t="s">
        <v>25</v>
      </c>
      <c r="BF7" s="9" t="s">
        <v>2171</v>
      </c>
      <c r="BS7" s="9" t="s">
        <v>25</v>
      </c>
      <c r="BT7" s="9" t="s">
        <v>28</v>
      </c>
      <c r="BU7" s="9" t="s">
        <v>2222</v>
      </c>
      <c r="BV7" s="11">
        <v>0.13</v>
      </c>
      <c r="BW7" s="9" t="s">
        <v>115</v>
      </c>
      <c r="BX7" s="9" t="s">
        <v>2191</v>
      </c>
      <c r="BY7" s="9" t="s">
        <v>115</v>
      </c>
      <c r="BZ7" s="9" t="s">
        <v>732</v>
      </c>
      <c r="CA7" s="9" t="s">
        <v>2191</v>
      </c>
      <c r="CB7" s="9" t="s">
        <v>732</v>
      </c>
      <c r="CC7" s="9" t="s">
        <v>732</v>
      </c>
      <c r="CD7" s="9" t="s">
        <v>732</v>
      </c>
      <c r="CE7" s="9" t="s">
        <v>28</v>
      </c>
      <c r="CF7" s="9">
        <v>1</v>
      </c>
      <c r="CG7" s="9" t="s">
        <v>2192</v>
      </c>
      <c r="CH7" s="9" t="s">
        <v>2223</v>
      </c>
      <c r="CM7" s="9">
        <v>1</v>
      </c>
      <c r="CO7" s="9">
        <v>1</v>
      </c>
      <c r="CQ7" s="9">
        <v>1</v>
      </c>
      <c r="CU7" s="9">
        <v>1</v>
      </c>
      <c r="CZ7" s="9">
        <v>1</v>
      </c>
      <c r="DA7" s="9">
        <v>1</v>
      </c>
      <c r="DB7" s="9">
        <v>1</v>
      </c>
      <c r="DH7" s="9">
        <v>1</v>
      </c>
      <c r="DI7" s="9">
        <v>1</v>
      </c>
      <c r="DJ7" s="9">
        <v>1</v>
      </c>
      <c r="DL7" s="9">
        <v>1</v>
      </c>
      <c r="DM7" s="9">
        <v>1</v>
      </c>
      <c r="DT7" s="9">
        <v>1</v>
      </c>
      <c r="DZ7" s="9" t="s">
        <v>28</v>
      </c>
      <c r="EA7" s="9" t="s">
        <v>28</v>
      </c>
      <c r="EC7" s="9" t="s">
        <v>28</v>
      </c>
      <c r="EH7" s="9" t="s">
        <v>28</v>
      </c>
      <c r="EQ7" s="9" t="s">
        <v>28</v>
      </c>
      <c r="ER7" s="9" t="s">
        <v>2169</v>
      </c>
      <c r="ES7" s="9" t="s">
        <v>28</v>
      </c>
      <c r="ET7" s="9" t="s">
        <v>28</v>
      </c>
      <c r="EU7" s="9" t="s">
        <v>28</v>
      </c>
      <c r="EV7" s="9" t="s">
        <v>28</v>
      </c>
      <c r="EW7" s="9" t="s">
        <v>28</v>
      </c>
      <c r="EX7" s="9" t="s">
        <v>25</v>
      </c>
      <c r="EY7" s="9" t="s">
        <v>28</v>
      </c>
      <c r="EZ7" s="9" t="s">
        <v>2175</v>
      </c>
      <c r="FB7" s="9" t="s">
        <v>2214</v>
      </c>
      <c r="FD7" s="9" t="s">
        <v>28</v>
      </c>
      <c r="FE7" s="9" t="s">
        <v>253</v>
      </c>
      <c r="FF7" s="9" t="s">
        <v>25</v>
      </c>
      <c r="FH7" s="9" t="s">
        <v>28</v>
      </c>
      <c r="FI7" s="9" t="s">
        <v>256</v>
      </c>
      <c r="FJ7" s="11">
        <v>0.5</v>
      </c>
      <c r="FK7" s="11">
        <v>0.9</v>
      </c>
      <c r="FL7" s="11">
        <v>0.9</v>
      </c>
      <c r="FO7" s="11">
        <v>0.5</v>
      </c>
      <c r="FU7" s="11">
        <v>0.5</v>
      </c>
      <c r="FW7" s="9" t="s">
        <v>25</v>
      </c>
      <c r="GC7" s="9" t="s">
        <v>25</v>
      </c>
      <c r="GD7" s="9" t="s">
        <v>25</v>
      </c>
      <c r="GE7" s="63" t="s">
        <v>13162</v>
      </c>
      <c r="GF7" s="9" t="s">
        <v>2181</v>
      </c>
      <c r="GG7" s="9" t="s">
        <v>635</v>
      </c>
      <c r="GH7" s="9" t="s">
        <v>635</v>
      </c>
      <c r="GI7" s="9" t="s">
        <v>2182</v>
      </c>
      <c r="GJ7" s="9" t="s">
        <v>2182</v>
      </c>
      <c r="GK7" s="9">
        <v>10</v>
      </c>
      <c r="GM7" s="9" t="s">
        <v>635</v>
      </c>
      <c r="GQ7" s="9" t="s">
        <v>253</v>
      </c>
      <c r="GR7" s="9" t="s">
        <v>28</v>
      </c>
      <c r="GS7" s="9" t="s">
        <v>25</v>
      </c>
      <c r="GT7" s="9" t="s">
        <v>25</v>
      </c>
      <c r="GU7" s="9" t="s">
        <v>28</v>
      </c>
      <c r="GW7" s="9" t="s">
        <v>25</v>
      </c>
      <c r="GX7" s="9" t="s">
        <v>25</v>
      </c>
      <c r="GY7" s="9" t="s">
        <v>25</v>
      </c>
      <c r="GZ7" s="9" t="s">
        <v>25</v>
      </c>
      <c r="HC7" s="9" t="s">
        <v>25</v>
      </c>
    </row>
    <row r="8" spans="1:212" ht="38.25" x14ac:dyDescent="0.2">
      <c r="A8" s="8" t="s">
        <v>160</v>
      </c>
      <c r="B8" s="9" t="s">
        <v>2158</v>
      </c>
      <c r="C8" s="9" t="s">
        <v>25</v>
      </c>
      <c r="E8" s="9" t="s">
        <v>28</v>
      </c>
      <c r="F8" s="9" t="s">
        <v>2200</v>
      </c>
      <c r="G8" s="9" t="s">
        <v>2159</v>
      </c>
      <c r="H8" s="11">
        <v>0.85</v>
      </c>
      <c r="I8" s="11">
        <v>0.85</v>
      </c>
      <c r="J8" s="11">
        <v>0.9</v>
      </c>
      <c r="K8" s="11">
        <v>0.87</v>
      </c>
      <c r="L8" s="11">
        <v>0.88</v>
      </c>
      <c r="M8" s="11">
        <v>0.06</v>
      </c>
      <c r="N8" s="11">
        <v>0.06</v>
      </c>
      <c r="O8" s="11">
        <v>0.06</v>
      </c>
      <c r="P8" s="9" t="s">
        <v>28</v>
      </c>
      <c r="Q8" s="11">
        <v>0.85</v>
      </c>
      <c r="R8" s="11">
        <v>0.85</v>
      </c>
      <c r="S8" s="11">
        <v>0.85</v>
      </c>
      <c r="T8" s="9" t="s">
        <v>28</v>
      </c>
      <c r="U8" s="9" t="s">
        <v>25</v>
      </c>
      <c r="W8" s="9" t="s">
        <v>25</v>
      </c>
      <c r="Y8" s="11">
        <v>0.04</v>
      </c>
      <c r="Z8" s="11">
        <v>0.85</v>
      </c>
      <c r="AA8" s="11">
        <v>0.85</v>
      </c>
      <c r="AB8" s="9" t="s">
        <v>28</v>
      </c>
      <c r="AC8" s="11">
        <v>0.06</v>
      </c>
      <c r="AD8" s="9" t="s">
        <v>2201</v>
      </c>
      <c r="AG8" s="9" t="s">
        <v>2162</v>
      </c>
      <c r="AI8" s="9" t="s">
        <v>2163</v>
      </c>
      <c r="AJ8" s="9" t="s">
        <v>28</v>
      </c>
      <c r="AK8" s="9" t="s">
        <v>28</v>
      </c>
      <c r="AL8" s="9" t="s">
        <v>2186</v>
      </c>
      <c r="AM8" s="9" t="s">
        <v>28</v>
      </c>
      <c r="AN8" s="9" t="s">
        <v>25</v>
      </c>
      <c r="AO8" s="9" t="s">
        <v>2202</v>
      </c>
      <c r="AP8" s="9" t="s">
        <v>2188</v>
      </c>
      <c r="AQ8" s="9" t="s">
        <v>25</v>
      </c>
      <c r="AS8" s="9" t="s">
        <v>2230</v>
      </c>
      <c r="AT8" s="9" t="s">
        <v>25</v>
      </c>
      <c r="AV8" s="9" t="s">
        <v>28</v>
      </c>
      <c r="AW8" s="9" t="s">
        <v>28</v>
      </c>
      <c r="AX8" s="9" t="s">
        <v>28</v>
      </c>
      <c r="AY8" s="9" t="s">
        <v>28</v>
      </c>
      <c r="AZ8" s="9" t="s">
        <v>25</v>
      </c>
      <c r="BA8" s="9" t="s">
        <v>2389</v>
      </c>
      <c r="BB8" s="39">
        <v>4000</v>
      </c>
      <c r="BC8" s="9" t="s">
        <v>13912</v>
      </c>
      <c r="BD8" s="9" t="s">
        <v>25</v>
      </c>
      <c r="BF8" s="9" t="s">
        <v>2171</v>
      </c>
      <c r="BS8" s="9" t="s">
        <v>25</v>
      </c>
      <c r="BT8" s="9" t="s">
        <v>25</v>
      </c>
      <c r="BV8" s="11">
        <v>0.01</v>
      </c>
      <c r="BW8" s="9" t="s">
        <v>2191</v>
      </c>
      <c r="BX8" s="9" t="s">
        <v>2191</v>
      </c>
      <c r="BY8" s="9" t="s">
        <v>115</v>
      </c>
      <c r="BZ8" s="9" t="s">
        <v>732</v>
      </c>
      <c r="CA8" s="9" t="s">
        <v>732</v>
      </c>
      <c r="CB8" s="9" t="s">
        <v>732</v>
      </c>
      <c r="CC8" s="9" t="s">
        <v>2228</v>
      </c>
      <c r="CD8" s="9" t="s">
        <v>115</v>
      </c>
      <c r="CE8" s="9" t="s">
        <v>28</v>
      </c>
      <c r="CF8" s="9">
        <v>3</v>
      </c>
      <c r="CG8" s="9" t="s">
        <v>2192</v>
      </c>
      <c r="CH8" s="9" t="s">
        <v>2390</v>
      </c>
      <c r="CL8" s="9">
        <v>1</v>
      </c>
      <c r="CM8" s="9">
        <v>0</v>
      </c>
      <c r="CO8" s="9">
        <v>2</v>
      </c>
      <c r="CQ8" s="9">
        <v>1</v>
      </c>
      <c r="CU8" s="9">
        <v>1</v>
      </c>
      <c r="CY8" s="9">
        <v>0</v>
      </c>
      <c r="CZ8" s="9">
        <v>2</v>
      </c>
      <c r="DB8" s="9">
        <v>1</v>
      </c>
      <c r="DD8" s="9">
        <v>1</v>
      </c>
      <c r="DE8" s="9">
        <v>1</v>
      </c>
      <c r="DH8" s="9">
        <v>1</v>
      </c>
      <c r="DN8" s="9">
        <v>1</v>
      </c>
      <c r="DQ8" s="9">
        <v>1</v>
      </c>
      <c r="DT8" s="9">
        <v>14</v>
      </c>
      <c r="DZ8" s="9" t="s">
        <v>25</v>
      </c>
      <c r="EA8" s="9" t="s">
        <v>25</v>
      </c>
      <c r="EQ8" s="9" t="s">
        <v>25</v>
      </c>
      <c r="ER8" s="9" t="s">
        <v>2169</v>
      </c>
      <c r="ES8" s="9" t="s">
        <v>25</v>
      </c>
      <c r="ET8" s="9" t="s">
        <v>25</v>
      </c>
      <c r="EU8" s="9" t="s">
        <v>28</v>
      </c>
      <c r="EV8" s="9" t="s">
        <v>28</v>
      </c>
      <c r="EW8" s="9" t="s">
        <v>25</v>
      </c>
      <c r="EX8" s="9" t="s">
        <v>25</v>
      </c>
      <c r="EY8" s="9" t="s">
        <v>25</v>
      </c>
      <c r="GR8" s="9" t="s">
        <v>25</v>
      </c>
      <c r="GS8" s="9" t="s">
        <v>25</v>
      </c>
      <c r="GT8" s="9" t="s">
        <v>25</v>
      </c>
      <c r="GU8" s="9" t="s">
        <v>28</v>
      </c>
      <c r="GW8" s="9" t="s">
        <v>25</v>
      </c>
      <c r="GX8" s="9" t="s">
        <v>25</v>
      </c>
      <c r="GY8" s="9" t="s">
        <v>25</v>
      </c>
      <c r="GZ8" s="9" t="s">
        <v>25</v>
      </c>
      <c r="HC8" s="9" t="s">
        <v>28</v>
      </c>
      <c r="HD8" s="9" t="s">
        <v>2391</v>
      </c>
    </row>
    <row r="9" spans="1:212" ht="63.75" x14ac:dyDescent="0.2">
      <c r="A9" s="8" t="s">
        <v>154</v>
      </c>
      <c r="B9" s="9" t="s">
        <v>2218</v>
      </c>
      <c r="C9" s="9" t="s">
        <v>25</v>
      </c>
      <c r="E9" s="9" t="s">
        <v>25</v>
      </c>
      <c r="G9" s="9" t="s">
        <v>2185</v>
      </c>
      <c r="H9" s="11">
        <v>0.8</v>
      </c>
      <c r="I9" s="11">
        <v>0.8</v>
      </c>
      <c r="J9" s="11">
        <v>0.96</v>
      </c>
      <c r="K9" s="11">
        <v>0.82</v>
      </c>
      <c r="L9" s="11">
        <v>0.85</v>
      </c>
      <c r="M9" s="11">
        <v>0.06</v>
      </c>
      <c r="N9" s="11">
        <v>0.06</v>
      </c>
      <c r="O9" s="11">
        <v>0.06</v>
      </c>
      <c r="P9" s="9" t="s">
        <v>28</v>
      </c>
      <c r="Q9" s="11">
        <v>0.14000000000000001</v>
      </c>
      <c r="R9" s="11">
        <v>0.8</v>
      </c>
      <c r="S9" s="11">
        <v>0.8</v>
      </c>
      <c r="T9" s="9" t="s">
        <v>28</v>
      </c>
      <c r="U9" s="9" t="s">
        <v>28</v>
      </c>
      <c r="V9" s="39">
        <v>31500</v>
      </c>
      <c r="W9" s="9" t="s">
        <v>25</v>
      </c>
      <c r="Y9" s="11">
        <v>0.15</v>
      </c>
      <c r="Z9" s="11">
        <v>0.8</v>
      </c>
      <c r="AA9" s="11">
        <v>0.8</v>
      </c>
      <c r="AB9" s="9" t="s">
        <v>28</v>
      </c>
      <c r="AC9" s="11">
        <v>0.06</v>
      </c>
      <c r="AD9" s="9" t="s">
        <v>2160</v>
      </c>
      <c r="AE9" s="9" t="s">
        <v>2248</v>
      </c>
      <c r="AF9" s="11">
        <v>0.03</v>
      </c>
      <c r="AG9" s="9" t="s">
        <v>2162</v>
      </c>
      <c r="AI9" s="9" t="s">
        <v>2163</v>
      </c>
      <c r="AJ9" s="9" t="s">
        <v>28</v>
      </c>
      <c r="AK9" s="9" t="s">
        <v>28</v>
      </c>
      <c r="AL9" s="9" t="s">
        <v>2164</v>
      </c>
      <c r="AM9" s="9" t="s">
        <v>28</v>
      </c>
      <c r="AN9" s="9" t="s">
        <v>25</v>
      </c>
      <c r="AO9" s="9" t="s">
        <v>2165</v>
      </c>
      <c r="AP9" s="9" t="s">
        <v>2188</v>
      </c>
      <c r="AQ9" s="9" t="s">
        <v>28</v>
      </c>
      <c r="AR9" s="9" t="s">
        <v>2372</v>
      </c>
      <c r="AS9" s="9" t="s">
        <v>2230</v>
      </c>
      <c r="AT9" s="9" t="s">
        <v>25</v>
      </c>
      <c r="AV9" s="9" t="s">
        <v>28</v>
      </c>
      <c r="AW9" s="9" t="s">
        <v>28</v>
      </c>
      <c r="AX9" s="9" t="s">
        <v>28</v>
      </c>
      <c r="AY9" s="9" t="s">
        <v>28</v>
      </c>
      <c r="AZ9" s="9" t="s">
        <v>25</v>
      </c>
      <c r="BA9" s="9" t="s">
        <v>2373</v>
      </c>
      <c r="BB9" s="39">
        <v>7000</v>
      </c>
      <c r="BC9" s="9" t="s">
        <v>13925</v>
      </c>
      <c r="BD9" s="9" t="s">
        <v>25</v>
      </c>
      <c r="BF9" s="9" t="s">
        <v>2171</v>
      </c>
      <c r="BS9" s="9" t="s">
        <v>25</v>
      </c>
      <c r="BT9" s="9" t="s">
        <v>25</v>
      </c>
      <c r="BV9" s="11">
        <v>0.05</v>
      </c>
      <c r="BW9" s="9" t="s">
        <v>115</v>
      </c>
      <c r="BX9" s="9" t="s">
        <v>115</v>
      </c>
      <c r="BY9" s="9" t="s">
        <v>115</v>
      </c>
      <c r="BZ9" s="9" t="s">
        <v>732</v>
      </c>
      <c r="CA9" s="9" t="s">
        <v>732</v>
      </c>
      <c r="CB9" s="9" t="s">
        <v>732</v>
      </c>
      <c r="CC9" s="9" t="s">
        <v>2228</v>
      </c>
      <c r="CD9" s="9" t="s">
        <v>115</v>
      </c>
      <c r="CE9" s="9" t="s">
        <v>28</v>
      </c>
      <c r="CF9" s="9">
        <v>1</v>
      </c>
      <c r="CG9" s="9" t="s">
        <v>2172</v>
      </c>
      <c r="CH9" s="9" t="s">
        <v>2374</v>
      </c>
      <c r="CL9" s="9">
        <v>1</v>
      </c>
      <c r="CM9" s="9">
        <v>1</v>
      </c>
      <c r="CY9" s="9">
        <v>1</v>
      </c>
      <c r="CZ9" s="9">
        <v>1</v>
      </c>
      <c r="DA9" s="9">
        <v>1</v>
      </c>
      <c r="DB9" s="9">
        <v>1</v>
      </c>
      <c r="DC9" s="9">
        <v>1</v>
      </c>
      <c r="DD9" s="9">
        <v>1</v>
      </c>
      <c r="DE9" s="9">
        <v>1</v>
      </c>
      <c r="DF9" s="9">
        <v>1</v>
      </c>
      <c r="DG9" s="9">
        <v>1</v>
      </c>
      <c r="DH9" s="9">
        <v>1</v>
      </c>
      <c r="DI9" s="9">
        <v>1</v>
      </c>
      <c r="DJ9" s="9">
        <v>1</v>
      </c>
      <c r="DK9" s="9">
        <v>1</v>
      </c>
      <c r="DL9" s="9">
        <v>1</v>
      </c>
      <c r="DN9" s="9">
        <v>1</v>
      </c>
      <c r="DO9" s="9">
        <v>1</v>
      </c>
      <c r="DT9" s="9">
        <v>12</v>
      </c>
      <c r="DZ9" s="9" t="s">
        <v>25</v>
      </c>
      <c r="EA9" s="9" t="s">
        <v>28</v>
      </c>
      <c r="EB9" s="9" t="s">
        <v>28</v>
      </c>
      <c r="EC9" s="9" t="s">
        <v>28</v>
      </c>
      <c r="ED9" s="9" t="s">
        <v>28</v>
      </c>
      <c r="EE9" s="9" t="s">
        <v>28</v>
      </c>
      <c r="EF9" s="9" t="s">
        <v>28</v>
      </c>
      <c r="EG9" s="9" t="s">
        <v>28</v>
      </c>
      <c r="EH9" s="9" t="s">
        <v>28</v>
      </c>
      <c r="EI9" s="9" t="s">
        <v>28</v>
      </c>
      <c r="EJ9" s="9" t="s">
        <v>28</v>
      </c>
      <c r="EK9" s="9" t="s">
        <v>25</v>
      </c>
      <c r="EL9" s="9" t="s">
        <v>25</v>
      </c>
      <c r="EQ9" s="9" t="s">
        <v>25</v>
      </c>
      <c r="ER9" s="9" t="s">
        <v>2169</v>
      </c>
      <c r="ES9" s="9" t="s">
        <v>28</v>
      </c>
      <c r="ET9" s="9" t="s">
        <v>28</v>
      </c>
      <c r="EU9" s="9" t="s">
        <v>28</v>
      </c>
      <c r="EV9" s="9" t="s">
        <v>28</v>
      </c>
      <c r="EW9" s="9" t="s">
        <v>28</v>
      </c>
      <c r="EX9" s="9" t="s">
        <v>28</v>
      </c>
      <c r="EY9" s="9" t="s">
        <v>25</v>
      </c>
      <c r="GR9" s="9" t="s">
        <v>28</v>
      </c>
      <c r="GS9" s="9" t="s">
        <v>28</v>
      </c>
      <c r="GT9" s="9" t="s">
        <v>28</v>
      </c>
      <c r="GU9" s="9" t="s">
        <v>25</v>
      </c>
      <c r="GV9" s="9" t="s">
        <v>25</v>
      </c>
      <c r="GW9" s="9" t="s">
        <v>25</v>
      </c>
      <c r="GX9" s="9" t="s">
        <v>25</v>
      </c>
      <c r="GY9" s="9" t="s">
        <v>25</v>
      </c>
      <c r="GZ9" s="9" t="s">
        <v>28</v>
      </c>
      <c r="HA9" s="9" t="s">
        <v>2375</v>
      </c>
      <c r="HC9" s="9" t="s">
        <v>25</v>
      </c>
    </row>
    <row r="10" spans="1:212" ht="51" x14ac:dyDescent="0.2">
      <c r="A10" s="8" t="s">
        <v>170</v>
      </c>
      <c r="B10" s="9" t="s">
        <v>2243</v>
      </c>
      <c r="C10" s="9" t="s">
        <v>25</v>
      </c>
      <c r="E10" s="9" t="s">
        <v>25</v>
      </c>
      <c r="G10" s="9" t="s">
        <v>2159</v>
      </c>
      <c r="H10" s="11">
        <v>0.9</v>
      </c>
      <c r="I10" s="11">
        <v>0.9</v>
      </c>
      <c r="J10" s="11">
        <v>0.14000000000000001</v>
      </c>
      <c r="K10" s="11">
        <v>0.85</v>
      </c>
      <c r="L10" s="11">
        <v>0.92</v>
      </c>
      <c r="M10" s="11">
        <v>0.06</v>
      </c>
      <c r="N10" s="11">
        <v>0.08</v>
      </c>
      <c r="O10" s="11">
        <v>7.0000000000000007E-2</v>
      </c>
      <c r="P10" s="9" t="s">
        <v>28</v>
      </c>
      <c r="Q10" s="11">
        <v>0.16</v>
      </c>
      <c r="R10" s="11">
        <v>0.9</v>
      </c>
      <c r="S10" s="11">
        <v>0.9</v>
      </c>
      <c r="T10" s="9" t="s">
        <v>41</v>
      </c>
      <c r="AB10" s="9" t="s">
        <v>28</v>
      </c>
      <c r="AC10" s="11">
        <v>0.06</v>
      </c>
      <c r="AD10" s="9" t="s">
        <v>2201</v>
      </c>
      <c r="AG10" s="9" t="s">
        <v>2162</v>
      </c>
      <c r="AI10" s="9" t="s">
        <v>2201</v>
      </c>
      <c r="AJ10" s="9" t="s">
        <v>28</v>
      </c>
      <c r="AK10" s="9" t="s">
        <v>25</v>
      </c>
      <c r="AL10" s="9" t="s">
        <v>2164</v>
      </c>
      <c r="AM10" s="9" t="s">
        <v>28</v>
      </c>
      <c r="AN10" s="9" t="s">
        <v>25</v>
      </c>
      <c r="AO10" s="9" t="s">
        <v>2202</v>
      </c>
      <c r="AP10" s="9" t="s">
        <v>2188</v>
      </c>
      <c r="AQ10" s="9" t="s">
        <v>25</v>
      </c>
      <c r="AS10" s="9" t="s">
        <v>2167</v>
      </c>
      <c r="AT10" s="9" t="s">
        <v>25</v>
      </c>
      <c r="AV10" s="9" t="s">
        <v>28</v>
      </c>
      <c r="AW10" s="9" t="s">
        <v>28</v>
      </c>
      <c r="AX10" s="9" t="s">
        <v>28</v>
      </c>
      <c r="AY10" s="9" t="s">
        <v>28</v>
      </c>
      <c r="AZ10" s="9" t="s">
        <v>25</v>
      </c>
      <c r="BA10" s="9" t="s">
        <v>2423</v>
      </c>
      <c r="BB10" s="39">
        <v>2000</v>
      </c>
      <c r="BC10" s="9" t="s">
        <v>13931</v>
      </c>
      <c r="BD10" s="9" t="s">
        <v>2169</v>
      </c>
      <c r="BE10" s="9" t="s">
        <v>2170</v>
      </c>
      <c r="BF10" s="9" t="s">
        <v>2171</v>
      </c>
      <c r="BS10" s="9" t="s">
        <v>25</v>
      </c>
      <c r="BT10" s="9" t="s">
        <v>28</v>
      </c>
      <c r="BU10" s="9" t="s">
        <v>29</v>
      </c>
      <c r="BV10" s="11">
        <v>0</v>
      </c>
      <c r="BW10" s="9" t="s">
        <v>115</v>
      </c>
      <c r="BX10" s="9" t="s">
        <v>115</v>
      </c>
      <c r="BY10" s="9" t="s">
        <v>115</v>
      </c>
      <c r="BZ10" s="9" t="s">
        <v>732</v>
      </c>
      <c r="CA10" s="9" t="s">
        <v>732</v>
      </c>
      <c r="CB10" s="9" t="s">
        <v>732</v>
      </c>
      <c r="CC10" s="9" t="s">
        <v>732</v>
      </c>
      <c r="CD10" s="9" t="s">
        <v>732</v>
      </c>
      <c r="CE10" s="9" t="s">
        <v>28</v>
      </c>
      <c r="CF10" s="9">
        <v>1</v>
      </c>
      <c r="CG10" s="9" t="s">
        <v>2172</v>
      </c>
      <c r="CH10" s="9" t="s">
        <v>2424</v>
      </c>
      <c r="CU10" s="9">
        <v>1</v>
      </c>
      <c r="CZ10" s="9">
        <v>2</v>
      </c>
      <c r="DD10" s="9">
        <v>1</v>
      </c>
      <c r="DH10" s="9">
        <v>5</v>
      </c>
      <c r="DJ10" s="9">
        <v>4</v>
      </c>
      <c r="DO10" s="9">
        <v>1</v>
      </c>
      <c r="DT10" s="9">
        <v>12</v>
      </c>
      <c r="DZ10" s="9" t="s">
        <v>25</v>
      </c>
      <c r="EA10" s="9" t="s">
        <v>28</v>
      </c>
      <c r="EB10" s="9" t="s">
        <v>25</v>
      </c>
      <c r="EC10" s="9" t="s">
        <v>25</v>
      </c>
      <c r="ED10" s="9" t="s">
        <v>25</v>
      </c>
      <c r="EE10" s="9" t="s">
        <v>25</v>
      </c>
      <c r="EF10" s="9" t="s">
        <v>25</v>
      </c>
      <c r="EG10" s="9" t="s">
        <v>25</v>
      </c>
      <c r="EH10" s="9" t="s">
        <v>25</v>
      </c>
      <c r="EI10" s="9" t="s">
        <v>25</v>
      </c>
      <c r="EJ10" s="9" t="s">
        <v>25</v>
      </c>
      <c r="EK10" s="9" t="s">
        <v>25</v>
      </c>
      <c r="EL10" s="9" t="s">
        <v>25</v>
      </c>
      <c r="EM10" s="9" t="s">
        <v>25</v>
      </c>
      <c r="EN10" s="9" t="s">
        <v>25</v>
      </c>
      <c r="EO10" s="9" t="s">
        <v>25</v>
      </c>
      <c r="EQ10" s="9" t="s">
        <v>25</v>
      </c>
      <c r="ER10" s="9" t="s">
        <v>25</v>
      </c>
      <c r="ES10" s="9" t="s">
        <v>41</v>
      </c>
      <c r="ET10" s="9" t="s">
        <v>41</v>
      </c>
      <c r="EU10" s="9" t="s">
        <v>41</v>
      </c>
      <c r="EV10" s="9" t="s">
        <v>41</v>
      </c>
      <c r="EW10" s="9" t="s">
        <v>41</v>
      </c>
      <c r="EX10" s="9" t="s">
        <v>25</v>
      </c>
      <c r="EY10" s="9" t="s">
        <v>25</v>
      </c>
      <c r="GR10" s="9" t="s">
        <v>25</v>
      </c>
      <c r="GW10" s="9" t="s">
        <v>25</v>
      </c>
      <c r="GX10" s="9" t="s">
        <v>25</v>
      </c>
      <c r="GY10" s="9" t="s">
        <v>25</v>
      </c>
      <c r="GZ10" s="9" t="s">
        <v>25</v>
      </c>
      <c r="HC10" s="9" t="s">
        <v>41</v>
      </c>
    </row>
    <row r="11" spans="1:212" ht="51" x14ac:dyDescent="0.2">
      <c r="A11" s="8" t="s">
        <v>176</v>
      </c>
      <c r="B11" s="9" t="s">
        <v>2158</v>
      </c>
      <c r="C11" s="9" t="s">
        <v>25</v>
      </c>
      <c r="E11" s="9" t="s">
        <v>25</v>
      </c>
      <c r="G11" s="9" t="s">
        <v>2185</v>
      </c>
      <c r="H11" s="11">
        <v>0.5</v>
      </c>
      <c r="I11" s="11">
        <v>0.5</v>
      </c>
      <c r="J11" s="11">
        <v>1</v>
      </c>
      <c r="K11" s="11">
        <v>0.99</v>
      </c>
      <c r="L11" s="11">
        <v>0.99</v>
      </c>
      <c r="M11" s="11">
        <v>0.06</v>
      </c>
      <c r="N11" s="11">
        <v>0.06</v>
      </c>
      <c r="O11" s="11">
        <v>0.06</v>
      </c>
      <c r="P11" s="9" t="s">
        <v>25</v>
      </c>
      <c r="T11" s="9" t="s">
        <v>28</v>
      </c>
      <c r="U11" s="9" t="s">
        <v>25</v>
      </c>
      <c r="Y11" s="11">
        <v>0.5</v>
      </c>
      <c r="Z11" s="11">
        <v>0.13</v>
      </c>
      <c r="AA11" s="11">
        <v>0.5</v>
      </c>
      <c r="AB11" s="9" t="s">
        <v>28</v>
      </c>
      <c r="AC11" s="11">
        <v>0.05</v>
      </c>
      <c r="AD11" s="9" t="s">
        <v>2201</v>
      </c>
      <c r="AG11" s="9" t="s">
        <v>2162</v>
      </c>
      <c r="AI11" s="9" t="s">
        <v>2163</v>
      </c>
      <c r="AJ11" s="9" t="s">
        <v>25</v>
      </c>
      <c r="AL11" s="9" t="s">
        <v>2164</v>
      </c>
      <c r="AM11" s="9" t="s">
        <v>25</v>
      </c>
      <c r="AN11" s="9" t="s">
        <v>2169</v>
      </c>
      <c r="AP11" s="9" t="s">
        <v>2188</v>
      </c>
      <c r="AQ11" s="9" t="s">
        <v>25</v>
      </c>
      <c r="AS11" s="9" t="s">
        <v>2203</v>
      </c>
      <c r="AT11" s="9" t="s">
        <v>25</v>
      </c>
      <c r="AV11" s="9" t="s">
        <v>28</v>
      </c>
      <c r="AW11" s="9" t="s">
        <v>25</v>
      </c>
      <c r="AX11" s="9" t="s">
        <v>25</v>
      </c>
      <c r="AY11" s="9" t="s">
        <v>25</v>
      </c>
      <c r="AZ11" s="9" t="s">
        <v>28</v>
      </c>
      <c r="BA11" s="9" t="s">
        <v>2440</v>
      </c>
      <c r="BC11" s="9" t="s">
        <v>1874</v>
      </c>
      <c r="BD11" s="9" t="s">
        <v>25</v>
      </c>
      <c r="BF11" s="9" t="s">
        <v>2171</v>
      </c>
      <c r="BS11" s="9" t="s">
        <v>25</v>
      </c>
      <c r="BT11" s="9" t="s">
        <v>25</v>
      </c>
      <c r="BV11" s="11">
        <v>0</v>
      </c>
      <c r="BW11" s="9" t="s">
        <v>115</v>
      </c>
      <c r="BX11" s="9" t="s">
        <v>732</v>
      </c>
      <c r="BZ11" s="9" t="s">
        <v>732</v>
      </c>
      <c r="CA11" s="9" t="s">
        <v>732</v>
      </c>
      <c r="CB11" s="9" t="s">
        <v>732</v>
      </c>
      <c r="CC11" s="9" t="s">
        <v>2296</v>
      </c>
      <c r="CD11" s="9" t="s">
        <v>732</v>
      </c>
      <c r="CE11" s="9" t="s">
        <v>28</v>
      </c>
      <c r="CF11" s="9">
        <v>2</v>
      </c>
      <c r="CG11" s="9" t="s">
        <v>2172</v>
      </c>
      <c r="CH11" s="9" t="s">
        <v>2441</v>
      </c>
      <c r="DT11" s="9">
        <v>1</v>
      </c>
      <c r="DZ11" s="9" t="s">
        <v>25</v>
      </c>
      <c r="EA11" s="9" t="s">
        <v>25</v>
      </c>
      <c r="EQ11" s="9" t="s">
        <v>28</v>
      </c>
      <c r="ER11" s="9" t="s">
        <v>2169</v>
      </c>
      <c r="ES11" s="9" t="s">
        <v>41</v>
      </c>
      <c r="ET11" s="9" t="s">
        <v>41</v>
      </c>
      <c r="EU11" s="9" t="s">
        <v>41</v>
      </c>
      <c r="EV11" s="9" t="s">
        <v>41</v>
      </c>
      <c r="EW11" s="9" t="s">
        <v>41</v>
      </c>
      <c r="EX11" s="9" t="s">
        <v>41</v>
      </c>
      <c r="EY11" s="9" t="s">
        <v>28</v>
      </c>
      <c r="EZ11" s="9" t="s">
        <v>2175</v>
      </c>
      <c r="FB11" s="9" t="s">
        <v>2176</v>
      </c>
      <c r="FD11" s="9" t="s">
        <v>25</v>
      </c>
      <c r="FE11" s="9" t="s">
        <v>13529</v>
      </c>
      <c r="FF11" s="9" t="s">
        <v>25</v>
      </c>
      <c r="FH11" s="9" t="s">
        <v>28</v>
      </c>
      <c r="FI11" s="9" t="s">
        <v>2177</v>
      </c>
      <c r="FK11" s="11">
        <v>1</v>
      </c>
      <c r="FL11" s="11">
        <v>1</v>
      </c>
      <c r="FW11" s="9" t="s">
        <v>25</v>
      </c>
      <c r="GC11" s="9" t="s">
        <v>28</v>
      </c>
      <c r="GG11" s="9" t="s">
        <v>635</v>
      </c>
      <c r="GH11" s="9" t="s">
        <v>2183</v>
      </c>
      <c r="GI11" s="9" t="s">
        <v>2183</v>
      </c>
      <c r="GJ11" s="9" t="s">
        <v>2182</v>
      </c>
      <c r="GR11" s="9" t="s">
        <v>1015</v>
      </c>
      <c r="GW11" s="9" t="s">
        <v>25</v>
      </c>
      <c r="GX11" s="9" t="s">
        <v>25</v>
      </c>
      <c r="GY11" s="9" t="s">
        <v>25</v>
      </c>
      <c r="GZ11" s="9" t="s">
        <v>41</v>
      </c>
      <c r="HC11" s="9" t="s">
        <v>41</v>
      </c>
    </row>
    <row r="12" spans="1:212" ht="38.25" x14ac:dyDescent="0.2">
      <c r="A12" s="8" t="s">
        <v>175</v>
      </c>
      <c r="B12" s="9" t="s">
        <v>2158</v>
      </c>
      <c r="C12" s="9" t="s">
        <v>25</v>
      </c>
      <c r="E12" s="9" t="s">
        <v>25</v>
      </c>
      <c r="G12" s="9" t="s">
        <v>2185</v>
      </c>
      <c r="H12" s="11">
        <v>0.5</v>
      </c>
      <c r="I12" s="11">
        <v>1</v>
      </c>
      <c r="J12" s="11">
        <v>0.98</v>
      </c>
      <c r="K12" s="11">
        <v>0.93</v>
      </c>
      <c r="L12" s="11">
        <v>0.94</v>
      </c>
      <c r="M12" s="11">
        <v>7.0000000000000007E-2</v>
      </c>
      <c r="N12" s="11">
        <v>0.08</v>
      </c>
      <c r="O12" s="11">
        <v>0.08</v>
      </c>
      <c r="P12" s="9" t="s">
        <v>28</v>
      </c>
      <c r="Q12" s="11">
        <v>0.14000000000000001</v>
      </c>
      <c r="R12" s="11">
        <v>1</v>
      </c>
      <c r="S12" s="11">
        <v>1</v>
      </c>
      <c r="T12" s="9" t="s">
        <v>41</v>
      </c>
      <c r="AB12" s="9" t="s">
        <v>28</v>
      </c>
      <c r="AC12" s="11">
        <v>0.08</v>
      </c>
      <c r="AD12" s="9" t="s">
        <v>2160</v>
      </c>
      <c r="AE12" s="11">
        <v>0.01</v>
      </c>
      <c r="AF12" s="11">
        <v>0.15</v>
      </c>
      <c r="AG12" s="9" t="s">
        <v>2162</v>
      </c>
      <c r="AI12" s="9" t="s">
        <v>2163</v>
      </c>
      <c r="AJ12" s="9" t="s">
        <v>25</v>
      </c>
      <c r="AL12" s="9" t="s">
        <v>2164</v>
      </c>
      <c r="AM12" s="9" t="s">
        <v>25</v>
      </c>
      <c r="AN12" s="9" t="s">
        <v>25</v>
      </c>
      <c r="AO12" s="9" t="s">
        <v>2244</v>
      </c>
      <c r="AP12" s="9" t="s">
        <v>2188</v>
      </c>
      <c r="AQ12" s="9" t="s">
        <v>28</v>
      </c>
      <c r="AR12" s="9" t="s">
        <v>2437</v>
      </c>
      <c r="AS12" s="9" t="s">
        <v>2167</v>
      </c>
      <c r="AT12" s="9" t="s">
        <v>25</v>
      </c>
      <c r="AV12" s="9" t="s">
        <v>28</v>
      </c>
      <c r="AW12" s="9" t="s">
        <v>28</v>
      </c>
      <c r="AX12" s="9" t="s">
        <v>28</v>
      </c>
      <c r="AY12" s="9" t="s">
        <v>28</v>
      </c>
      <c r="AZ12" s="9" t="s">
        <v>25</v>
      </c>
      <c r="BA12" s="9" t="s">
        <v>2438</v>
      </c>
      <c r="BB12" s="39">
        <v>6000</v>
      </c>
      <c r="BC12" s="9" t="s">
        <v>13920</v>
      </c>
      <c r="BD12" s="9" t="s">
        <v>2169</v>
      </c>
      <c r="BE12" s="9" t="s">
        <v>2170</v>
      </c>
      <c r="BF12" s="9" t="s">
        <v>2286</v>
      </c>
      <c r="BG12" s="11">
        <v>0</v>
      </c>
      <c r="BH12" s="11">
        <v>1</v>
      </c>
      <c r="BS12" s="9" t="s">
        <v>25</v>
      </c>
      <c r="BT12" s="9" t="s">
        <v>25</v>
      </c>
      <c r="BV12" s="11">
        <v>0.01</v>
      </c>
      <c r="BW12" s="9" t="s">
        <v>732</v>
      </c>
      <c r="BX12" s="9" t="s">
        <v>732</v>
      </c>
      <c r="BY12" s="9" t="s">
        <v>2191</v>
      </c>
      <c r="BZ12" s="9" t="s">
        <v>732</v>
      </c>
      <c r="CA12" s="9" t="s">
        <v>732</v>
      </c>
      <c r="CB12" s="9" t="s">
        <v>115</v>
      </c>
      <c r="CC12" s="9" t="s">
        <v>732</v>
      </c>
      <c r="CD12" s="9" t="s">
        <v>2228</v>
      </c>
      <c r="CE12" s="9" t="s">
        <v>28</v>
      </c>
      <c r="CF12" s="9">
        <v>1</v>
      </c>
      <c r="CG12" s="9" t="s">
        <v>2192</v>
      </c>
      <c r="CH12" s="9" t="s">
        <v>2439</v>
      </c>
      <c r="CM12" s="9">
        <v>1</v>
      </c>
      <c r="CO12" s="9">
        <v>1</v>
      </c>
      <c r="CP12" s="9">
        <v>1</v>
      </c>
      <c r="CY12" s="9">
        <v>1</v>
      </c>
      <c r="CZ12" s="9">
        <v>1</v>
      </c>
      <c r="DC12" s="9">
        <v>1</v>
      </c>
      <c r="DD12" s="9">
        <v>1</v>
      </c>
      <c r="DG12" s="9">
        <v>1</v>
      </c>
      <c r="DH12" s="9">
        <v>1</v>
      </c>
      <c r="DK12" s="9">
        <v>1</v>
      </c>
      <c r="DL12" s="9">
        <v>1</v>
      </c>
      <c r="DT12" s="9">
        <v>1</v>
      </c>
      <c r="DZ12" s="9" t="s">
        <v>28</v>
      </c>
      <c r="EA12" s="9" t="s">
        <v>28</v>
      </c>
      <c r="EB12" s="9" t="s">
        <v>28</v>
      </c>
      <c r="EC12" s="9" t="s">
        <v>25</v>
      </c>
      <c r="ED12" s="9" t="s">
        <v>28</v>
      </c>
      <c r="EE12" s="9" t="s">
        <v>28</v>
      </c>
      <c r="EF12" s="9" t="s">
        <v>25</v>
      </c>
      <c r="EG12" s="9" t="s">
        <v>28</v>
      </c>
      <c r="EH12" s="9" t="s">
        <v>28</v>
      </c>
      <c r="EI12" s="9" t="s">
        <v>28</v>
      </c>
      <c r="EJ12" s="9" t="s">
        <v>25</v>
      </c>
      <c r="EK12" s="9" t="s">
        <v>25</v>
      </c>
      <c r="EL12" s="9" t="s">
        <v>25</v>
      </c>
      <c r="EM12" s="9" t="s">
        <v>25</v>
      </c>
      <c r="EN12" s="9" t="s">
        <v>25</v>
      </c>
      <c r="EO12" s="9" t="s">
        <v>25</v>
      </c>
      <c r="EQ12" s="9" t="s">
        <v>28</v>
      </c>
      <c r="ER12" s="9" t="s">
        <v>41</v>
      </c>
      <c r="ES12" s="9" t="s">
        <v>41</v>
      </c>
      <c r="ET12" s="9" t="s">
        <v>25</v>
      </c>
      <c r="EU12" s="9" t="s">
        <v>28</v>
      </c>
      <c r="EV12" s="9" t="s">
        <v>28</v>
      </c>
      <c r="EW12" s="9" t="s">
        <v>28</v>
      </c>
      <c r="EX12" s="9" t="s">
        <v>25</v>
      </c>
      <c r="EY12" s="9" t="s">
        <v>28</v>
      </c>
      <c r="EZ12" s="9" t="s">
        <v>2175</v>
      </c>
      <c r="FB12" s="9" t="s">
        <v>2239</v>
      </c>
      <c r="FC12" s="39">
        <v>150000</v>
      </c>
      <c r="FD12" s="9" t="s">
        <v>25</v>
      </c>
      <c r="FE12" s="9" t="s">
        <v>13528</v>
      </c>
      <c r="FF12" s="9" t="s">
        <v>25</v>
      </c>
      <c r="FH12" s="9" t="s">
        <v>25</v>
      </c>
      <c r="FI12" s="9" t="s">
        <v>249</v>
      </c>
      <c r="FJ12" s="11">
        <v>0.75</v>
      </c>
      <c r="FK12" s="11">
        <v>1</v>
      </c>
      <c r="FL12" s="11">
        <v>1</v>
      </c>
      <c r="FM12" s="11">
        <v>1</v>
      </c>
      <c r="FO12" s="11">
        <v>1</v>
      </c>
      <c r="FW12" s="9" t="s">
        <v>25</v>
      </c>
      <c r="GC12" s="9" t="s">
        <v>28</v>
      </c>
      <c r="GD12" s="9" t="s">
        <v>25</v>
      </c>
      <c r="GE12" s="63" t="s">
        <v>13162</v>
      </c>
      <c r="GF12" s="9" t="s">
        <v>2181</v>
      </c>
      <c r="GG12" s="9" t="s">
        <v>2183</v>
      </c>
      <c r="GH12" s="9" t="s">
        <v>2182</v>
      </c>
      <c r="GI12" s="9" t="s">
        <v>2183</v>
      </c>
      <c r="GJ12" s="9" t="s">
        <v>2182</v>
      </c>
      <c r="GK12" s="9">
        <v>15</v>
      </c>
      <c r="GM12" s="9" t="s">
        <v>2232</v>
      </c>
      <c r="GO12" s="9" t="s">
        <v>2233</v>
      </c>
      <c r="GQ12" s="9" t="s">
        <v>253</v>
      </c>
      <c r="GR12" s="9" t="s">
        <v>28</v>
      </c>
      <c r="GS12" s="9" t="s">
        <v>28</v>
      </c>
      <c r="GT12" s="9" t="s">
        <v>25</v>
      </c>
      <c r="GU12" s="9" t="s">
        <v>28</v>
      </c>
      <c r="GV12" s="9" t="s">
        <v>25</v>
      </c>
      <c r="GW12" s="9" t="s">
        <v>25</v>
      </c>
      <c r="GX12" s="9" t="s">
        <v>25</v>
      </c>
      <c r="GY12" s="9" t="s">
        <v>25</v>
      </c>
      <c r="GZ12" s="9" t="s">
        <v>25</v>
      </c>
      <c r="HC12" s="9" t="s">
        <v>25</v>
      </c>
    </row>
    <row r="13" spans="1:212" ht="51" x14ac:dyDescent="0.2">
      <c r="A13" s="8" t="s">
        <v>121</v>
      </c>
      <c r="B13" s="9" t="s">
        <v>2158</v>
      </c>
      <c r="C13" s="9" t="s">
        <v>25</v>
      </c>
      <c r="E13" s="9" t="s">
        <v>28</v>
      </c>
      <c r="F13" s="9" t="s">
        <v>2200</v>
      </c>
      <c r="G13" s="9" t="s">
        <v>2185</v>
      </c>
      <c r="H13" s="11">
        <v>1</v>
      </c>
      <c r="I13" s="11">
        <v>1</v>
      </c>
      <c r="J13" s="11">
        <v>0.98</v>
      </c>
      <c r="K13" s="11">
        <v>0.95</v>
      </c>
      <c r="L13" s="11">
        <v>0.97</v>
      </c>
      <c r="M13" s="11">
        <v>7.0000000000000007E-2</v>
      </c>
      <c r="N13" s="11">
        <v>7.0000000000000007E-2</v>
      </c>
      <c r="O13" s="11">
        <v>7.0000000000000007E-2</v>
      </c>
      <c r="P13" s="9" t="s">
        <v>28</v>
      </c>
      <c r="Q13" s="11">
        <v>0.13</v>
      </c>
      <c r="R13" s="11">
        <v>1</v>
      </c>
      <c r="S13" s="11">
        <v>1</v>
      </c>
      <c r="T13" s="9" t="s">
        <v>28</v>
      </c>
      <c r="U13" s="9" t="s">
        <v>25</v>
      </c>
      <c r="W13" s="9" t="s">
        <v>25</v>
      </c>
      <c r="Y13" s="11">
        <v>0.06</v>
      </c>
      <c r="Z13" s="11">
        <v>1</v>
      </c>
      <c r="AA13" s="11">
        <v>1</v>
      </c>
      <c r="AB13" s="9" t="s">
        <v>28</v>
      </c>
      <c r="AC13" s="11">
        <v>0.06</v>
      </c>
      <c r="AD13" s="9" t="s">
        <v>2160</v>
      </c>
      <c r="AE13" s="11">
        <v>0.01</v>
      </c>
      <c r="AF13" s="11">
        <v>0.05</v>
      </c>
      <c r="AG13" s="9" t="s">
        <v>2162</v>
      </c>
      <c r="AI13" s="9" t="s">
        <v>2163</v>
      </c>
      <c r="AJ13" s="9" t="s">
        <v>28</v>
      </c>
      <c r="AK13" s="9" t="s">
        <v>25</v>
      </c>
      <c r="AL13" s="9" t="s">
        <v>2164</v>
      </c>
      <c r="AM13" s="9" t="s">
        <v>28</v>
      </c>
      <c r="AN13" s="9" t="s">
        <v>2187</v>
      </c>
      <c r="AO13" s="9" t="s">
        <v>2165</v>
      </c>
      <c r="AP13" s="9" t="s">
        <v>2166</v>
      </c>
      <c r="AQ13" s="9" t="s">
        <v>25</v>
      </c>
      <c r="AS13" s="9" t="s">
        <v>2203</v>
      </c>
      <c r="AT13" s="9" t="s">
        <v>25</v>
      </c>
      <c r="AV13" s="9" t="s">
        <v>28</v>
      </c>
      <c r="AW13" s="9" t="s">
        <v>25</v>
      </c>
      <c r="AX13" s="9" t="s">
        <v>28</v>
      </c>
      <c r="AY13" s="9" t="s">
        <v>25</v>
      </c>
      <c r="AZ13" s="9" t="s">
        <v>25</v>
      </c>
      <c r="BA13" s="9" t="s">
        <v>2211</v>
      </c>
      <c r="BB13" s="39">
        <v>13725</v>
      </c>
      <c r="BC13" s="9" t="s">
        <v>2212</v>
      </c>
      <c r="BD13" s="9" t="s">
        <v>2169</v>
      </c>
      <c r="BE13" s="9" t="s">
        <v>2170</v>
      </c>
      <c r="BF13" s="9" t="s">
        <v>2171</v>
      </c>
      <c r="BS13" s="9" t="s">
        <v>25</v>
      </c>
      <c r="BT13" s="9" t="s">
        <v>25</v>
      </c>
      <c r="BV13" s="11">
        <v>0.01</v>
      </c>
      <c r="BW13" s="9" t="s">
        <v>732</v>
      </c>
      <c r="BX13" s="9" t="s">
        <v>732</v>
      </c>
      <c r="BY13" s="9" t="s">
        <v>732</v>
      </c>
      <c r="BZ13" s="9" t="s">
        <v>732</v>
      </c>
      <c r="CA13" s="9" t="s">
        <v>732</v>
      </c>
      <c r="CB13" s="9" t="s">
        <v>732</v>
      </c>
      <c r="CC13" s="9" t="s">
        <v>732</v>
      </c>
      <c r="CD13" s="9" t="s">
        <v>732</v>
      </c>
      <c r="CE13" s="9" t="s">
        <v>28</v>
      </c>
      <c r="CF13" s="9">
        <v>2</v>
      </c>
      <c r="CG13" s="9" t="s">
        <v>2192</v>
      </c>
      <c r="CH13" s="9" t="s">
        <v>13935</v>
      </c>
      <c r="CM13" s="9">
        <v>1</v>
      </c>
      <c r="CO13" s="9">
        <v>1</v>
      </c>
      <c r="CX13" s="9">
        <v>1</v>
      </c>
      <c r="CY13" s="9">
        <v>1</v>
      </c>
      <c r="DA13" s="9">
        <v>1</v>
      </c>
      <c r="DB13" s="9">
        <v>1</v>
      </c>
      <c r="DC13" s="9">
        <v>1</v>
      </c>
      <c r="DF13" s="9">
        <v>1</v>
      </c>
      <c r="DI13" s="9">
        <v>1</v>
      </c>
      <c r="DK13" s="9">
        <v>1</v>
      </c>
      <c r="DN13" s="9">
        <v>1</v>
      </c>
      <c r="DT13" s="9">
        <v>11</v>
      </c>
      <c r="DZ13" s="9" t="s">
        <v>28</v>
      </c>
      <c r="EA13" s="9" t="s">
        <v>28</v>
      </c>
      <c r="EB13" s="9" t="s">
        <v>25</v>
      </c>
      <c r="EC13" s="9" t="s">
        <v>25</v>
      </c>
      <c r="ED13" s="9" t="s">
        <v>25</v>
      </c>
      <c r="EE13" s="9" t="s">
        <v>25</v>
      </c>
      <c r="EF13" s="9" t="s">
        <v>25</v>
      </c>
      <c r="EG13" s="9" t="s">
        <v>25</v>
      </c>
      <c r="EH13" s="9" t="s">
        <v>25</v>
      </c>
      <c r="EI13" s="9" t="s">
        <v>25</v>
      </c>
      <c r="EJ13" s="9" t="s">
        <v>25</v>
      </c>
      <c r="EK13" s="9" t="s">
        <v>25</v>
      </c>
      <c r="EL13" s="9" t="s">
        <v>28</v>
      </c>
      <c r="EM13" s="9" t="s">
        <v>25</v>
      </c>
      <c r="EN13" s="9" t="s">
        <v>25</v>
      </c>
      <c r="EO13" s="9" t="s">
        <v>25</v>
      </c>
      <c r="EQ13" s="9" t="s">
        <v>28</v>
      </c>
      <c r="ER13" s="9" t="s">
        <v>2169</v>
      </c>
      <c r="ES13" s="9" t="s">
        <v>28</v>
      </c>
      <c r="ET13" s="9" t="s">
        <v>28</v>
      </c>
      <c r="EU13" s="9" t="s">
        <v>28</v>
      </c>
      <c r="EV13" s="9" t="s">
        <v>28</v>
      </c>
      <c r="EW13" s="9" t="s">
        <v>28</v>
      </c>
      <c r="EX13" s="9" t="s">
        <v>28</v>
      </c>
      <c r="EY13" s="9" t="s">
        <v>28</v>
      </c>
      <c r="EZ13" s="9" t="s">
        <v>29</v>
      </c>
      <c r="FA13" s="9" t="s">
        <v>2213</v>
      </c>
      <c r="FB13" s="9" t="s">
        <v>2214</v>
      </c>
      <c r="FD13" s="9" t="s">
        <v>25</v>
      </c>
      <c r="FE13" s="9" t="s">
        <v>13527</v>
      </c>
      <c r="FF13" s="9" t="s">
        <v>25</v>
      </c>
      <c r="FH13" s="9" t="s">
        <v>28</v>
      </c>
      <c r="FI13" s="9" t="s">
        <v>2215</v>
      </c>
      <c r="FJ13" s="11">
        <v>0.5</v>
      </c>
      <c r="FK13" s="11">
        <v>1</v>
      </c>
      <c r="FN13" s="11">
        <v>1</v>
      </c>
      <c r="FO13" s="11">
        <v>1</v>
      </c>
      <c r="FW13" s="9" t="s">
        <v>28</v>
      </c>
      <c r="FX13" s="9" t="s">
        <v>2193</v>
      </c>
      <c r="FZ13" s="9" t="s">
        <v>2216</v>
      </c>
      <c r="GA13" s="9" t="s">
        <v>256</v>
      </c>
      <c r="GB13" s="9" t="s">
        <v>2217</v>
      </c>
      <c r="GC13" s="9" t="s">
        <v>28</v>
      </c>
      <c r="GD13" s="9" t="s">
        <v>25</v>
      </c>
      <c r="GE13" s="63" t="s">
        <v>13162</v>
      </c>
      <c r="GF13" s="9" t="s">
        <v>2181</v>
      </c>
      <c r="GG13" s="9" t="s">
        <v>2182</v>
      </c>
      <c r="GH13" s="9" t="s">
        <v>2182</v>
      </c>
      <c r="GI13" s="9" t="s">
        <v>2182</v>
      </c>
      <c r="GJ13" s="9" t="s">
        <v>2182</v>
      </c>
      <c r="GK13" s="9">
        <v>15</v>
      </c>
      <c r="GM13" s="9" t="s">
        <v>635</v>
      </c>
      <c r="GQ13" s="9" t="s">
        <v>635</v>
      </c>
      <c r="GR13" s="9" t="s">
        <v>25</v>
      </c>
      <c r="GW13" s="9" t="s">
        <v>25</v>
      </c>
      <c r="GX13" s="9" t="s">
        <v>25</v>
      </c>
      <c r="GY13" s="9" t="s">
        <v>25</v>
      </c>
      <c r="GZ13" s="9" t="s">
        <v>25</v>
      </c>
      <c r="HC13" s="9" t="s">
        <v>25</v>
      </c>
    </row>
    <row r="14" spans="1:212" ht="63.75" x14ac:dyDescent="0.2">
      <c r="A14" s="8" t="s">
        <v>147</v>
      </c>
      <c r="B14" s="9" t="s">
        <v>2158</v>
      </c>
      <c r="C14" s="9" t="s">
        <v>25</v>
      </c>
      <c r="E14" s="9" t="s">
        <v>25</v>
      </c>
      <c r="G14" s="9" t="s">
        <v>2185</v>
      </c>
      <c r="H14" s="11">
        <v>0.75</v>
      </c>
      <c r="I14" s="11">
        <v>0.75</v>
      </c>
      <c r="J14" s="11">
        <v>0.97</v>
      </c>
      <c r="K14" s="11">
        <v>0.93</v>
      </c>
      <c r="L14" s="11">
        <v>0.94</v>
      </c>
      <c r="M14" s="11">
        <v>0.08</v>
      </c>
      <c r="N14" s="11">
        <v>0.09</v>
      </c>
      <c r="O14" s="11">
        <v>0.08</v>
      </c>
      <c r="P14" s="9" t="s">
        <v>28</v>
      </c>
      <c r="Q14" s="11">
        <v>0.14000000000000001</v>
      </c>
      <c r="R14" s="11">
        <v>0.75</v>
      </c>
      <c r="S14" s="11">
        <v>0.75</v>
      </c>
      <c r="T14" s="9" t="s">
        <v>28</v>
      </c>
      <c r="U14" s="9" t="s">
        <v>28</v>
      </c>
      <c r="V14" s="39">
        <v>61000</v>
      </c>
      <c r="W14" s="9" t="s">
        <v>25</v>
      </c>
      <c r="Y14" s="11">
        <v>0.09</v>
      </c>
      <c r="Z14" s="11">
        <v>0.75</v>
      </c>
      <c r="AA14" s="11">
        <v>0.75</v>
      </c>
      <c r="AB14" s="9" t="s">
        <v>28</v>
      </c>
      <c r="AC14" s="11">
        <v>0.06</v>
      </c>
      <c r="AD14" s="9" t="s">
        <v>2160</v>
      </c>
      <c r="AE14" s="11">
        <v>0.01</v>
      </c>
      <c r="AF14" s="11">
        <v>0.15</v>
      </c>
      <c r="AG14" s="9" t="s">
        <v>2162</v>
      </c>
      <c r="AI14" s="9" t="s">
        <v>2163</v>
      </c>
      <c r="AJ14" s="9" t="s">
        <v>28</v>
      </c>
      <c r="AK14" s="9" t="s">
        <v>28</v>
      </c>
      <c r="AL14" s="9" t="s">
        <v>2164</v>
      </c>
      <c r="AM14" s="9" t="s">
        <v>25</v>
      </c>
      <c r="AN14" s="9" t="s">
        <v>25</v>
      </c>
      <c r="AO14" s="9" t="s">
        <v>2165</v>
      </c>
      <c r="AP14" s="9" t="s">
        <v>2188</v>
      </c>
      <c r="AQ14" s="9" t="s">
        <v>28</v>
      </c>
      <c r="AR14" s="9" t="s">
        <v>2347</v>
      </c>
      <c r="AS14" s="9" t="s">
        <v>2167</v>
      </c>
      <c r="AT14" s="9" t="s">
        <v>25</v>
      </c>
      <c r="AV14" s="9" t="s">
        <v>28</v>
      </c>
      <c r="AW14" s="9" t="s">
        <v>25</v>
      </c>
      <c r="AX14" s="9" t="s">
        <v>28</v>
      </c>
      <c r="AY14" s="9" t="s">
        <v>25</v>
      </c>
      <c r="AZ14" s="9" t="s">
        <v>25</v>
      </c>
      <c r="BA14" s="9" t="s">
        <v>2348</v>
      </c>
      <c r="BB14" s="39">
        <v>5000</v>
      </c>
      <c r="BC14" s="9" t="s">
        <v>13920</v>
      </c>
      <c r="BD14" s="9" t="s">
        <v>2169</v>
      </c>
      <c r="BE14" s="9" t="s">
        <v>2349</v>
      </c>
      <c r="BF14" s="9" t="s">
        <v>2171</v>
      </c>
      <c r="BS14" s="9" t="s">
        <v>25</v>
      </c>
      <c r="BT14" s="9" t="s">
        <v>25</v>
      </c>
      <c r="BV14" s="11">
        <v>0.01</v>
      </c>
      <c r="BW14" s="9" t="s">
        <v>732</v>
      </c>
      <c r="BX14" s="9" t="s">
        <v>732</v>
      </c>
      <c r="BY14" s="9" t="s">
        <v>115</v>
      </c>
      <c r="BZ14" s="9" t="s">
        <v>732</v>
      </c>
      <c r="CA14" s="9" t="s">
        <v>2296</v>
      </c>
      <c r="CB14" s="9" t="s">
        <v>732</v>
      </c>
      <c r="CC14" s="9" t="s">
        <v>732</v>
      </c>
      <c r="CD14" s="9" t="s">
        <v>732</v>
      </c>
      <c r="CE14" s="9" t="s">
        <v>28</v>
      </c>
      <c r="CF14" s="9">
        <v>2</v>
      </c>
      <c r="CG14" s="9" t="s">
        <v>2192</v>
      </c>
      <c r="CH14" s="9" t="s">
        <v>13943</v>
      </c>
      <c r="CJ14" s="9">
        <v>15</v>
      </c>
      <c r="CM14" s="9">
        <v>1</v>
      </c>
      <c r="CP14" s="9">
        <v>1</v>
      </c>
      <c r="CY14" s="9">
        <v>1</v>
      </c>
      <c r="CZ14" s="9">
        <v>1</v>
      </c>
      <c r="DA14" s="9">
        <v>1</v>
      </c>
      <c r="DB14" s="9">
        <v>1</v>
      </c>
      <c r="DC14" s="9">
        <v>1</v>
      </c>
      <c r="DD14" s="9">
        <v>1</v>
      </c>
      <c r="DE14" s="9">
        <v>1</v>
      </c>
      <c r="DF14" s="9">
        <v>1</v>
      </c>
      <c r="DG14" s="9">
        <v>1</v>
      </c>
      <c r="DH14" s="9">
        <v>1</v>
      </c>
      <c r="DI14" s="9">
        <v>1</v>
      </c>
      <c r="DJ14" s="9">
        <v>1</v>
      </c>
      <c r="DM14" s="9">
        <v>1</v>
      </c>
      <c r="DQ14" s="9">
        <v>1</v>
      </c>
      <c r="DT14" s="9">
        <v>12</v>
      </c>
      <c r="DZ14" s="9" t="s">
        <v>25</v>
      </c>
      <c r="EA14" s="9" t="s">
        <v>28</v>
      </c>
      <c r="EB14" s="9" t="s">
        <v>28</v>
      </c>
      <c r="EC14" s="9" t="s">
        <v>28</v>
      </c>
      <c r="ED14" s="9" t="s">
        <v>28</v>
      </c>
      <c r="EE14" s="9" t="s">
        <v>28</v>
      </c>
      <c r="EF14" s="9" t="s">
        <v>25</v>
      </c>
      <c r="EG14" s="9" t="s">
        <v>25</v>
      </c>
      <c r="EH14" s="9" t="s">
        <v>28</v>
      </c>
      <c r="EI14" s="9" t="s">
        <v>28</v>
      </c>
      <c r="EJ14" s="9" t="s">
        <v>28</v>
      </c>
      <c r="EK14" s="9" t="s">
        <v>25</v>
      </c>
      <c r="EL14" s="9" t="s">
        <v>25</v>
      </c>
      <c r="EM14" s="9" t="s">
        <v>25</v>
      </c>
      <c r="EN14" s="9" t="s">
        <v>28</v>
      </c>
      <c r="EO14" s="9" t="s">
        <v>28</v>
      </c>
      <c r="EP14" s="9" t="s">
        <v>2350</v>
      </c>
      <c r="EQ14" s="9" t="s">
        <v>28</v>
      </c>
      <c r="ER14" s="9" t="s">
        <v>2169</v>
      </c>
      <c r="ES14" s="9" t="s">
        <v>28</v>
      </c>
      <c r="ET14" s="9" t="s">
        <v>28</v>
      </c>
      <c r="EU14" s="9" t="s">
        <v>28</v>
      </c>
      <c r="EV14" s="9" t="s">
        <v>28</v>
      </c>
      <c r="EW14" s="9" t="s">
        <v>28</v>
      </c>
      <c r="EX14" s="9" t="s">
        <v>25</v>
      </c>
      <c r="EY14" s="9" t="s">
        <v>25</v>
      </c>
      <c r="GR14" s="9" t="s">
        <v>1015</v>
      </c>
      <c r="GW14" s="9" t="s">
        <v>25</v>
      </c>
      <c r="GX14" s="9" t="s">
        <v>25</v>
      </c>
      <c r="GY14" s="9" t="s">
        <v>25</v>
      </c>
      <c r="GZ14" s="9" t="s">
        <v>25</v>
      </c>
      <c r="HC14" s="9" t="s">
        <v>41</v>
      </c>
    </row>
    <row r="15" spans="1:212" ht="51" x14ac:dyDescent="0.2">
      <c r="A15" s="8" t="s">
        <v>138</v>
      </c>
      <c r="B15" s="9" t="s">
        <v>2158</v>
      </c>
      <c r="C15" s="9" t="s">
        <v>25</v>
      </c>
      <c r="E15" s="9" t="s">
        <v>25</v>
      </c>
      <c r="G15" s="9" t="s">
        <v>2304</v>
      </c>
      <c r="H15" s="11">
        <v>0.5</v>
      </c>
      <c r="I15" s="11">
        <v>0.5</v>
      </c>
      <c r="J15" s="11">
        <v>1</v>
      </c>
      <c r="K15" s="11">
        <v>0.99</v>
      </c>
      <c r="L15" s="11">
        <v>0.99</v>
      </c>
      <c r="M15" s="11">
        <v>7.0000000000000007E-2</v>
      </c>
      <c r="N15" s="11">
        <v>0.09</v>
      </c>
      <c r="O15" s="11">
        <v>0.08</v>
      </c>
      <c r="P15" s="9" t="s">
        <v>28</v>
      </c>
      <c r="Q15" s="11">
        <v>0.2</v>
      </c>
      <c r="R15" s="11">
        <v>0.5</v>
      </c>
      <c r="S15" s="11">
        <v>0.5</v>
      </c>
      <c r="T15" s="9" t="s">
        <v>41</v>
      </c>
      <c r="AB15" s="9" t="s">
        <v>28</v>
      </c>
      <c r="AC15" s="11">
        <v>0.05</v>
      </c>
      <c r="AD15" s="9" t="s">
        <v>2160</v>
      </c>
      <c r="AE15" s="11">
        <v>0.02</v>
      </c>
      <c r="AF15" s="9" t="s">
        <v>2161</v>
      </c>
      <c r="AG15" s="9" t="s">
        <v>2162</v>
      </c>
      <c r="AI15" s="9" t="s">
        <v>2163</v>
      </c>
      <c r="AJ15" s="9" t="s">
        <v>28</v>
      </c>
      <c r="AK15" s="9" t="s">
        <v>28</v>
      </c>
      <c r="AL15" s="9" t="s">
        <v>2164</v>
      </c>
      <c r="AM15" s="9" t="s">
        <v>25</v>
      </c>
      <c r="AN15" s="9" t="s">
        <v>25</v>
      </c>
      <c r="AO15" s="9" t="s">
        <v>2219</v>
      </c>
      <c r="AP15" s="9" t="s">
        <v>2188</v>
      </c>
      <c r="AQ15" s="9" t="s">
        <v>25</v>
      </c>
      <c r="AS15" s="9" t="s">
        <v>2230</v>
      </c>
      <c r="AT15" s="9" t="s">
        <v>25</v>
      </c>
      <c r="AV15" s="9" t="s">
        <v>28</v>
      </c>
      <c r="AW15" s="9" t="s">
        <v>28</v>
      </c>
      <c r="AX15" s="9" t="s">
        <v>28</v>
      </c>
      <c r="AY15" s="9" t="s">
        <v>28</v>
      </c>
      <c r="AZ15" s="9" t="s">
        <v>25</v>
      </c>
      <c r="BA15" s="9" t="s">
        <v>2305</v>
      </c>
      <c r="BC15" s="9" t="s">
        <v>13917</v>
      </c>
      <c r="BD15" s="9" t="s">
        <v>2169</v>
      </c>
      <c r="BE15" s="9" t="s">
        <v>2170</v>
      </c>
      <c r="BF15" s="9" t="s">
        <v>2171</v>
      </c>
      <c r="BS15" s="9" t="s">
        <v>25</v>
      </c>
      <c r="BT15" s="9" t="s">
        <v>25</v>
      </c>
      <c r="BV15" s="11">
        <v>0.01</v>
      </c>
      <c r="BW15" s="9" t="s">
        <v>115</v>
      </c>
      <c r="BX15" s="9" t="s">
        <v>115</v>
      </c>
      <c r="BY15" s="9" t="s">
        <v>115</v>
      </c>
      <c r="BZ15" s="9" t="s">
        <v>732</v>
      </c>
      <c r="CA15" s="9" t="s">
        <v>115</v>
      </c>
      <c r="CB15" s="9" t="s">
        <v>115</v>
      </c>
      <c r="CC15" s="9" t="s">
        <v>732</v>
      </c>
      <c r="CD15" s="9" t="s">
        <v>2228</v>
      </c>
      <c r="CE15" s="9" t="s">
        <v>28</v>
      </c>
      <c r="CF15" s="9">
        <v>2</v>
      </c>
      <c r="CG15" s="9" t="s">
        <v>2192</v>
      </c>
      <c r="CH15" s="9" t="s">
        <v>13940</v>
      </c>
      <c r="CJ15" s="9">
        <v>22</v>
      </c>
      <c r="CL15" s="9">
        <v>1</v>
      </c>
      <c r="CM15" s="9">
        <v>1</v>
      </c>
      <c r="CR15" s="9">
        <v>1</v>
      </c>
      <c r="CY15" s="9">
        <v>1</v>
      </c>
      <c r="CZ15" s="9">
        <v>1</v>
      </c>
      <c r="DA15" s="9">
        <v>1</v>
      </c>
      <c r="DB15" s="9">
        <v>1</v>
      </c>
      <c r="DE15" s="9">
        <v>1</v>
      </c>
      <c r="DG15" s="9">
        <v>1</v>
      </c>
      <c r="DK15" s="9">
        <v>1</v>
      </c>
      <c r="DL15" s="9">
        <v>1</v>
      </c>
      <c r="DT15" s="9">
        <v>12</v>
      </c>
      <c r="DU15" s="9">
        <v>1</v>
      </c>
      <c r="DZ15" s="9" t="s">
        <v>25</v>
      </c>
      <c r="EA15" s="9" t="s">
        <v>28</v>
      </c>
      <c r="EB15" s="9" t="s">
        <v>28</v>
      </c>
      <c r="EC15" s="9" t="s">
        <v>28</v>
      </c>
      <c r="ED15" s="9" t="s">
        <v>28</v>
      </c>
      <c r="EE15" s="9" t="s">
        <v>28</v>
      </c>
      <c r="EF15" s="9" t="s">
        <v>28</v>
      </c>
      <c r="EG15" s="9" t="s">
        <v>28</v>
      </c>
      <c r="EH15" s="9" t="s">
        <v>28</v>
      </c>
      <c r="EI15" s="9" t="s">
        <v>28</v>
      </c>
      <c r="EJ15" s="9" t="s">
        <v>28</v>
      </c>
      <c r="EK15" s="9" t="s">
        <v>28</v>
      </c>
      <c r="EL15" s="9" t="s">
        <v>25</v>
      </c>
      <c r="EO15" s="9" t="s">
        <v>25</v>
      </c>
      <c r="EQ15" s="9" t="s">
        <v>25</v>
      </c>
      <c r="ER15" s="9" t="s">
        <v>25</v>
      </c>
      <c r="ES15" s="9" t="s">
        <v>28</v>
      </c>
      <c r="ET15" s="9" t="s">
        <v>28</v>
      </c>
      <c r="EU15" s="9" t="s">
        <v>28</v>
      </c>
      <c r="EV15" s="9" t="s">
        <v>28</v>
      </c>
      <c r="EW15" s="9" t="s">
        <v>25</v>
      </c>
      <c r="EX15" s="9" t="s">
        <v>28</v>
      </c>
      <c r="EY15" s="9" t="s">
        <v>28</v>
      </c>
      <c r="EZ15" s="9" t="s">
        <v>2175</v>
      </c>
      <c r="FB15" s="9" t="s">
        <v>2214</v>
      </c>
      <c r="FD15" s="9" t="s">
        <v>25</v>
      </c>
      <c r="FE15" s="9" t="s">
        <v>253</v>
      </c>
      <c r="FF15" s="9" t="s">
        <v>25</v>
      </c>
      <c r="FH15" s="9" t="s">
        <v>25</v>
      </c>
      <c r="FI15" s="9" t="s">
        <v>635</v>
      </c>
      <c r="FJ15" s="11">
        <v>0.6</v>
      </c>
      <c r="FK15" s="11">
        <v>0.75</v>
      </c>
      <c r="FL15" s="11">
        <v>0.75</v>
      </c>
      <c r="FO15" s="11">
        <v>0.75</v>
      </c>
      <c r="FU15" s="11">
        <v>0.6</v>
      </c>
      <c r="FW15" s="9" t="s">
        <v>28</v>
      </c>
      <c r="FX15" s="9" t="s">
        <v>2193</v>
      </c>
      <c r="FZ15" s="9" t="s">
        <v>2306</v>
      </c>
      <c r="GA15" s="9" t="s">
        <v>256</v>
      </c>
      <c r="GB15" s="9" t="s">
        <v>29</v>
      </c>
      <c r="GC15" s="9" t="s">
        <v>25</v>
      </c>
      <c r="GD15" s="9" t="s">
        <v>25</v>
      </c>
      <c r="GE15" s="63" t="s">
        <v>13162</v>
      </c>
      <c r="GF15" s="9" t="s">
        <v>2181</v>
      </c>
      <c r="GG15" s="9" t="s">
        <v>635</v>
      </c>
      <c r="GH15" s="9" t="s">
        <v>635</v>
      </c>
      <c r="GI15" s="9" t="s">
        <v>2182</v>
      </c>
      <c r="GJ15" s="9" t="s">
        <v>2182</v>
      </c>
      <c r="GK15" s="9">
        <v>10</v>
      </c>
      <c r="GM15" s="9" t="s">
        <v>2232</v>
      </c>
      <c r="GO15" s="9" t="s">
        <v>2307</v>
      </c>
      <c r="GQ15" s="9" t="s">
        <v>635</v>
      </c>
      <c r="GR15" s="9" t="s">
        <v>25</v>
      </c>
      <c r="GW15" s="9" t="s">
        <v>25</v>
      </c>
      <c r="GX15" s="9" t="s">
        <v>25</v>
      </c>
      <c r="GY15" s="9" t="s">
        <v>25</v>
      </c>
      <c r="GZ15" s="9" t="s">
        <v>25</v>
      </c>
      <c r="HC15" s="9" t="s">
        <v>25</v>
      </c>
    </row>
    <row r="16" spans="1:212" ht="38.25" x14ac:dyDescent="0.2">
      <c r="A16" s="8" t="s">
        <v>118</v>
      </c>
      <c r="B16" s="9" t="s">
        <v>2158</v>
      </c>
      <c r="C16" s="9" t="s">
        <v>25</v>
      </c>
      <c r="E16" s="9" t="s">
        <v>25</v>
      </c>
      <c r="G16" s="9" t="s">
        <v>2185</v>
      </c>
      <c r="H16" s="11">
        <v>0.5</v>
      </c>
      <c r="I16" s="11">
        <v>0.5</v>
      </c>
      <c r="J16" s="11">
        <v>0.98</v>
      </c>
      <c r="K16" s="11">
        <v>0.96</v>
      </c>
      <c r="L16" s="11">
        <v>0.96</v>
      </c>
      <c r="M16" s="11">
        <v>0.08</v>
      </c>
      <c r="N16" s="11">
        <v>0.09</v>
      </c>
      <c r="O16" s="11">
        <v>0.08</v>
      </c>
      <c r="P16" s="9" t="s">
        <v>28</v>
      </c>
      <c r="Q16" s="11">
        <v>0.14000000000000001</v>
      </c>
      <c r="R16" s="11">
        <v>0.5</v>
      </c>
      <c r="S16" s="11">
        <v>0.5</v>
      </c>
      <c r="T16" s="9" t="s">
        <v>28</v>
      </c>
      <c r="U16" s="9" t="s">
        <v>25</v>
      </c>
      <c r="W16" s="9" t="s">
        <v>25</v>
      </c>
      <c r="Y16" s="11">
        <v>0.03</v>
      </c>
      <c r="Z16" s="11">
        <v>0.5</v>
      </c>
      <c r="AA16" s="11">
        <v>0.5</v>
      </c>
      <c r="AB16" s="9" t="s">
        <v>28</v>
      </c>
      <c r="AC16" s="11">
        <v>0.06</v>
      </c>
      <c r="AD16" s="9" t="s">
        <v>2160</v>
      </c>
      <c r="AE16" s="11">
        <v>0.01</v>
      </c>
      <c r="AF16" s="11">
        <v>0.01</v>
      </c>
      <c r="AG16" s="9" t="s">
        <v>2162</v>
      </c>
      <c r="AI16" s="9" t="s">
        <v>2163</v>
      </c>
      <c r="AJ16" s="9" t="s">
        <v>28</v>
      </c>
      <c r="AK16" s="9" t="s">
        <v>28</v>
      </c>
      <c r="AL16" s="9" t="s">
        <v>2186</v>
      </c>
      <c r="AN16" s="9" t="s">
        <v>2187</v>
      </c>
      <c r="AO16" s="9" t="s">
        <v>2165</v>
      </c>
      <c r="AP16" s="9" t="s">
        <v>2188</v>
      </c>
      <c r="AQ16" s="9" t="s">
        <v>25</v>
      </c>
      <c r="AS16" s="9" t="s">
        <v>2189</v>
      </c>
      <c r="AT16" s="9" t="s">
        <v>25</v>
      </c>
      <c r="AV16" s="9" t="s">
        <v>28</v>
      </c>
      <c r="AW16" s="9" t="s">
        <v>28</v>
      </c>
      <c r="AX16" s="9" t="s">
        <v>25</v>
      </c>
      <c r="AY16" s="9" t="s">
        <v>25</v>
      </c>
      <c r="AZ16" s="9" t="s">
        <v>25</v>
      </c>
      <c r="BA16" s="9" t="s">
        <v>2190</v>
      </c>
      <c r="BC16" s="9" t="s">
        <v>14522</v>
      </c>
      <c r="BD16" s="9" t="s">
        <v>2169</v>
      </c>
      <c r="BE16" s="9" t="s">
        <v>2170</v>
      </c>
      <c r="BF16" s="9" t="s">
        <v>2171</v>
      </c>
      <c r="BS16" s="9" t="s">
        <v>25</v>
      </c>
      <c r="BT16" s="9" t="s">
        <v>25</v>
      </c>
      <c r="BV16" s="11">
        <v>0.01</v>
      </c>
      <c r="BW16" s="9" t="s">
        <v>115</v>
      </c>
      <c r="BX16" s="9" t="s">
        <v>115</v>
      </c>
      <c r="BY16" s="9" t="s">
        <v>115</v>
      </c>
      <c r="BZ16" s="9" t="s">
        <v>732</v>
      </c>
      <c r="CA16" s="9" t="s">
        <v>732</v>
      </c>
      <c r="CB16" s="9" t="s">
        <v>732</v>
      </c>
      <c r="CC16" s="9" t="s">
        <v>732</v>
      </c>
      <c r="CD16" s="9" t="s">
        <v>2191</v>
      </c>
      <c r="CE16" s="9" t="s">
        <v>28</v>
      </c>
      <c r="CF16" s="9">
        <v>2</v>
      </c>
      <c r="CG16" s="9" t="s">
        <v>2192</v>
      </c>
      <c r="CH16" s="9" t="s">
        <v>13933</v>
      </c>
      <c r="CM16" s="9">
        <v>0</v>
      </c>
      <c r="CO16" s="9">
        <v>2</v>
      </c>
      <c r="CP16" s="9">
        <v>2</v>
      </c>
      <c r="CS16" s="9">
        <v>2</v>
      </c>
      <c r="DC16" s="9">
        <v>2</v>
      </c>
      <c r="DE16" s="9">
        <v>2</v>
      </c>
      <c r="DJ16" s="9">
        <v>2</v>
      </c>
      <c r="DK16" s="9">
        <v>2</v>
      </c>
      <c r="DT16" s="9">
        <v>12</v>
      </c>
      <c r="DZ16" s="9" t="s">
        <v>28</v>
      </c>
      <c r="EA16" s="9" t="s">
        <v>25</v>
      </c>
      <c r="EQ16" s="9" t="s">
        <v>28</v>
      </c>
      <c r="ER16" s="9" t="s">
        <v>2169</v>
      </c>
      <c r="ES16" s="9" t="s">
        <v>28</v>
      </c>
      <c r="ET16" s="9" t="s">
        <v>28</v>
      </c>
      <c r="EU16" s="9" t="s">
        <v>28</v>
      </c>
      <c r="EV16" s="9" t="s">
        <v>28</v>
      </c>
      <c r="EW16" s="9" t="s">
        <v>28</v>
      </c>
      <c r="EX16" s="9" t="s">
        <v>28</v>
      </c>
      <c r="EY16" s="9" t="s">
        <v>28</v>
      </c>
      <c r="EZ16" s="9" t="s">
        <v>2175</v>
      </c>
      <c r="FB16" s="9" t="s">
        <v>1874</v>
      </c>
      <c r="FC16" s="39">
        <v>285000</v>
      </c>
      <c r="FD16" s="9" t="s">
        <v>28</v>
      </c>
      <c r="FE16" s="9" t="s">
        <v>253</v>
      </c>
      <c r="FF16" s="9" t="s">
        <v>25</v>
      </c>
      <c r="FH16" s="9" t="s">
        <v>28</v>
      </c>
      <c r="FI16" s="9" t="s">
        <v>256</v>
      </c>
      <c r="FJ16" s="11">
        <v>1</v>
      </c>
      <c r="FK16" s="11">
        <v>0.95</v>
      </c>
      <c r="FV16" s="11">
        <v>0.95</v>
      </c>
      <c r="FW16" s="9" t="s">
        <v>28</v>
      </c>
      <c r="FX16" s="9" t="s">
        <v>2193</v>
      </c>
      <c r="FZ16" s="9" t="s">
        <v>2194</v>
      </c>
      <c r="GA16" s="9" t="s">
        <v>2195</v>
      </c>
      <c r="GB16" s="9" t="s">
        <v>2180</v>
      </c>
      <c r="GC16" s="9" t="s">
        <v>28</v>
      </c>
      <c r="GD16" s="9" t="s">
        <v>25</v>
      </c>
      <c r="GE16" s="63" t="s">
        <v>13162</v>
      </c>
      <c r="GF16" s="9" t="s">
        <v>2181</v>
      </c>
      <c r="GG16" s="9" t="s">
        <v>635</v>
      </c>
      <c r="GH16" s="9" t="s">
        <v>635</v>
      </c>
      <c r="GI16" s="9" t="s">
        <v>2182</v>
      </c>
      <c r="GJ16" s="9" t="s">
        <v>2182</v>
      </c>
      <c r="GK16" s="9">
        <v>15</v>
      </c>
      <c r="GM16" s="9" t="s">
        <v>2196</v>
      </c>
      <c r="GO16" s="9" t="s">
        <v>2197</v>
      </c>
      <c r="GP16" s="9" t="s">
        <v>2198</v>
      </c>
      <c r="GQ16" s="9" t="s">
        <v>635</v>
      </c>
      <c r="GR16" s="9" t="s">
        <v>25</v>
      </c>
      <c r="GW16" s="9" t="s">
        <v>25</v>
      </c>
      <c r="GX16" s="9" t="s">
        <v>25</v>
      </c>
      <c r="GY16" s="9" t="s">
        <v>25</v>
      </c>
      <c r="GZ16" s="9" t="s">
        <v>28</v>
      </c>
      <c r="HA16" s="9" t="s">
        <v>2199</v>
      </c>
      <c r="HC16" s="9" t="s">
        <v>25</v>
      </c>
    </row>
    <row r="17" spans="1:212" ht="63.75" x14ac:dyDescent="0.2">
      <c r="A17" s="8" t="s">
        <v>134</v>
      </c>
      <c r="B17" s="9" t="s">
        <v>2158</v>
      </c>
      <c r="C17" s="9" t="s">
        <v>25</v>
      </c>
      <c r="E17" s="9" t="s">
        <v>25</v>
      </c>
      <c r="G17" s="9" t="s">
        <v>2185</v>
      </c>
      <c r="H17" s="11">
        <v>1</v>
      </c>
      <c r="I17" s="11">
        <v>1</v>
      </c>
      <c r="J17" s="11">
        <v>0.99</v>
      </c>
      <c r="K17" s="11">
        <v>0.91</v>
      </c>
      <c r="L17" s="11">
        <v>0.91</v>
      </c>
      <c r="M17" s="11">
        <v>7.0000000000000007E-2</v>
      </c>
      <c r="N17" s="11">
        <v>0.1</v>
      </c>
      <c r="O17" s="11">
        <v>0.13</v>
      </c>
      <c r="P17" s="9" t="s">
        <v>28</v>
      </c>
      <c r="Q17" s="11">
        <v>0.1</v>
      </c>
      <c r="R17" s="11">
        <v>1</v>
      </c>
      <c r="S17" s="11">
        <v>1</v>
      </c>
      <c r="T17" s="9" t="s">
        <v>28</v>
      </c>
      <c r="U17" s="9" t="s">
        <v>25</v>
      </c>
      <c r="W17" s="9" t="s">
        <v>25</v>
      </c>
      <c r="Y17" s="11">
        <v>0.55000000000000004</v>
      </c>
      <c r="Z17" s="11">
        <v>1</v>
      </c>
      <c r="AA17" s="11">
        <v>1</v>
      </c>
      <c r="AB17" s="9" t="s">
        <v>28</v>
      </c>
      <c r="AC17" s="11">
        <v>0.1</v>
      </c>
      <c r="AD17" s="9" t="s">
        <v>2256</v>
      </c>
      <c r="AE17" s="11">
        <v>0.01</v>
      </c>
      <c r="AF17" s="9" t="s">
        <v>2161</v>
      </c>
      <c r="AG17" s="9" t="s">
        <v>2162</v>
      </c>
      <c r="AI17" s="9" t="s">
        <v>2163</v>
      </c>
      <c r="AJ17" s="9" t="s">
        <v>28</v>
      </c>
      <c r="AK17" s="9" t="s">
        <v>28</v>
      </c>
      <c r="AL17" s="9" t="s">
        <v>2164</v>
      </c>
      <c r="AM17" s="9" t="s">
        <v>28</v>
      </c>
      <c r="AN17" s="9" t="s">
        <v>25</v>
      </c>
      <c r="AO17" s="9" t="s">
        <v>2219</v>
      </c>
      <c r="AP17" s="9" t="s">
        <v>2188</v>
      </c>
      <c r="AQ17" s="9" t="s">
        <v>25</v>
      </c>
      <c r="AS17" s="9" t="s">
        <v>2230</v>
      </c>
      <c r="AT17" s="9" t="s">
        <v>25</v>
      </c>
      <c r="AV17" s="9" t="s">
        <v>28</v>
      </c>
      <c r="AW17" s="9" t="s">
        <v>25</v>
      </c>
      <c r="AX17" s="9" t="s">
        <v>28</v>
      </c>
      <c r="AY17" s="9" t="s">
        <v>25</v>
      </c>
      <c r="AZ17" s="9" t="s">
        <v>25</v>
      </c>
      <c r="BA17" s="9" t="s">
        <v>2281</v>
      </c>
      <c r="BB17" s="39">
        <v>9750</v>
      </c>
      <c r="BC17" s="9" t="s">
        <v>13916</v>
      </c>
      <c r="BD17" s="9" t="s">
        <v>2169</v>
      </c>
      <c r="BE17" s="9" t="s">
        <v>2170</v>
      </c>
      <c r="BF17" s="9" t="s">
        <v>2171</v>
      </c>
      <c r="BS17" s="9" t="s">
        <v>25</v>
      </c>
      <c r="BT17" s="9" t="s">
        <v>28</v>
      </c>
      <c r="BU17" s="9" t="s">
        <v>2222</v>
      </c>
      <c r="BV17" s="11">
        <v>0</v>
      </c>
      <c r="BW17" s="9" t="s">
        <v>732</v>
      </c>
      <c r="BX17" s="9" t="s">
        <v>732</v>
      </c>
      <c r="BY17" s="9" t="s">
        <v>115</v>
      </c>
      <c r="BZ17" s="9" t="s">
        <v>732</v>
      </c>
      <c r="CA17" s="9" t="s">
        <v>732</v>
      </c>
      <c r="CB17" s="9" t="s">
        <v>115</v>
      </c>
      <c r="CC17" s="9" t="s">
        <v>732</v>
      </c>
      <c r="CD17" s="9" t="s">
        <v>29</v>
      </c>
      <c r="CE17" s="9" t="s">
        <v>28</v>
      </c>
      <c r="CF17" s="9">
        <v>1</v>
      </c>
      <c r="CG17" s="9" t="s">
        <v>2172</v>
      </c>
      <c r="CH17" s="9" t="s">
        <v>2282</v>
      </c>
      <c r="CM17" s="9">
        <v>1</v>
      </c>
      <c r="CN17" s="9">
        <v>1</v>
      </c>
      <c r="CP17" s="9">
        <v>1</v>
      </c>
      <c r="CU17" s="9">
        <v>1</v>
      </c>
      <c r="CZ17" s="9">
        <v>1</v>
      </c>
      <c r="DA17" s="9">
        <v>1</v>
      </c>
      <c r="DB17" s="9">
        <v>1</v>
      </c>
      <c r="DC17" s="9">
        <v>1</v>
      </c>
      <c r="DE17" s="9">
        <v>1</v>
      </c>
      <c r="DF17" s="9">
        <v>1</v>
      </c>
      <c r="DI17" s="9">
        <v>1</v>
      </c>
      <c r="DK17" s="9">
        <v>1</v>
      </c>
      <c r="DL17" s="9">
        <v>2</v>
      </c>
      <c r="DR17" s="9">
        <v>1</v>
      </c>
      <c r="DT17" s="9">
        <v>12</v>
      </c>
      <c r="DV17" s="9">
        <v>1</v>
      </c>
      <c r="DZ17" s="9" t="s">
        <v>25</v>
      </c>
      <c r="EA17" s="9" t="s">
        <v>28</v>
      </c>
      <c r="EB17" s="9" t="s">
        <v>28</v>
      </c>
      <c r="EC17" s="9" t="s">
        <v>28</v>
      </c>
      <c r="ED17" s="9" t="s">
        <v>28</v>
      </c>
      <c r="EE17" s="9" t="s">
        <v>28</v>
      </c>
      <c r="EF17" s="9" t="s">
        <v>25</v>
      </c>
      <c r="EG17" s="9" t="s">
        <v>25</v>
      </c>
      <c r="EH17" s="9" t="s">
        <v>28</v>
      </c>
      <c r="EJ17" s="9" t="s">
        <v>25</v>
      </c>
      <c r="EK17" s="9" t="s">
        <v>25</v>
      </c>
      <c r="EL17" s="9" t="s">
        <v>25</v>
      </c>
      <c r="EQ17" s="9" t="s">
        <v>28</v>
      </c>
      <c r="ER17" s="9" t="s">
        <v>2169</v>
      </c>
      <c r="ES17" s="9" t="s">
        <v>28</v>
      </c>
      <c r="ET17" s="9" t="s">
        <v>28</v>
      </c>
      <c r="EU17" s="9" t="s">
        <v>28</v>
      </c>
      <c r="EV17" s="9" t="s">
        <v>28</v>
      </c>
      <c r="EW17" s="9" t="s">
        <v>28</v>
      </c>
      <c r="EX17" s="9" t="s">
        <v>25</v>
      </c>
      <c r="EY17" s="9" t="s">
        <v>25</v>
      </c>
      <c r="GR17" s="9" t="s">
        <v>28</v>
      </c>
      <c r="GS17" s="9" t="s">
        <v>28</v>
      </c>
      <c r="GT17" s="9" t="s">
        <v>25</v>
      </c>
      <c r="GU17" s="9" t="s">
        <v>28</v>
      </c>
      <c r="GV17" s="9" t="s">
        <v>25</v>
      </c>
      <c r="GW17" s="9" t="s">
        <v>25</v>
      </c>
      <c r="GX17" s="9" t="s">
        <v>25</v>
      </c>
      <c r="GY17" s="9" t="s">
        <v>25</v>
      </c>
      <c r="GZ17" s="9" t="s">
        <v>41</v>
      </c>
      <c r="HC17" s="9" t="s">
        <v>25</v>
      </c>
    </row>
    <row r="18" spans="1:212" ht="51" x14ac:dyDescent="0.2">
      <c r="A18" s="8" t="s">
        <v>171</v>
      </c>
      <c r="B18" s="9" t="s">
        <v>2158</v>
      </c>
      <c r="C18" s="9" t="s">
        <v>25</v>
      </c>
      <c r="E18" s="9" t="s">
        <v>28</v>
      </c>
      <c r="F18" s="9" t="s">
        <v>2200</v>
      </c>
      <c r="G18" s="9" t="s">
        <v>2185</v>
      </c>
      <c r="H18" s="11">
        <v>0.6</v>
      </c>
      <c r="I18" s="11">
        <v>0.75</v>
      </c>
      <c r="J18" s="11">
        <v>0.98</v>
      </c>
      <c r="K18" s="11">
        <v>0.94</v>
      </c>
      <c r="L18" s="11">
        <v>0.95</v>
      </c>
      <c r="M18" s="11">
        <v>0.08</v>
      </c>
      <c r="N18" s="11">
        <v>0.09</v>
      </c>
      <c r="O18" s="11">
        <v>0.09</v>
      </c>
      <c r="P18" s="9" t="s">
        <v>28</v>
      </c>
      <c r="Q18" s="11">
        <v>0.15</v>
      </c>
      <c r="R18" s="11">
        <v>0.6</v>
      </c>
      <c r="S18" s="11">
        <v>0.6</v>
      </c>
      <c r="T18" s="9" t="s">
        <v>28</v>
      </c>
      <c r="U18" s="9" t="s">
        <v>28</v>
      </c>
      <c r="V18" s="39">
        <v>35500</v>
      </c>
      <c r="W18" s="9" t="s">
        <v>25</v>
      </c>
      <c r="Y18" s="11">
        <v>0.1</v>
      </c>
      <c r="Z18" s="11">
        <v>0.3</v>
      </c>
      <c r="AA18" s="11">
        <v>0.3</v>
      </c>
      <c r="AB18" s="9" t="s">
        <v>28</v>
      </c>
      <c r="AC18" s="11">
        <v>0.1</v>
      </c>
      <c r="AD18" s="9" t="s">
        <v>2256</v>
      </c>
      <c r="AE18" s="11">
        <v>0.01</v>
      </c>
      <c r="AF18" s="11">
        <v>0.03</v>
      </c>
      <c r="AG18" s="9" t="s">
        <v>2162</v>
      </c>
      <c r="AI18" s="9" t="s">
        <v>2163</v>
      </c>
      <c r="AJ18" s="9" t="s">
        <v>28</v>
      </c>
      <c r="AK18" s="9" t="s">
        <v>28</v>
      </c>
      <c r="AL18" s="9" t="s">
        <v>2164</v>
      </c>
      <c r="AM18" s="9" t="s">
        <v>28</v>
      </c>
      <c r="AN18" s="9" t="s">
        <v>25</v>
      </c>
      <c r="AO18" s="9" t="s">
        <v>2165</v>
      </c>
      <c r="AP18" s="9" t="s">
        <v>2188</v>
      </c>
      <c r="AQ18" s="9" t="s">
        <v>25</v>
      </c>
      <c r="AS18" s="9" t="s">
        <v>2167</v>
      </c>
      <c r="AT18" s="9" t="s">
        <v>25</v>
      </c>
      <c r="AV18" s="9" t="s">
        <v>28</v>
      </c>
      <c r="AW18" s="9" t="s">
        <v>25</v>
      </c>
      <c r="AX18" s="9" t="s">
        <v>28</v>
      </c>
      <c r="AY18" s="9" t="s">
        <v>25</v>
      </c>
      <c r="AZ18" s="9" t="s">
        <v>25</v>
      </c>
      <c r="BA18" s="9" t="s">
        <v>2425</v>
      </c>
      <c r="BB18" s="39">
        <v>3000</v>
      </c>
      <c r="BC18" s="9" t="s">
        <v>13912</v>
      </c>
      <c r="BD18" s="9" t="s">
        <v>25</v>
      </c>
      <c r="BF18" s="9" t="s">
        <v>2171</v>
      </c>
      <c r="BS18" s="9" t="s">
        <v>25</v>
      </c>
      <c r="BT18" s="9" t="s">
        <v>25</v>
      </c>
      <c r="BV18" s="11">
        <v>0.01</v>
      </c>
      <c r="BW18" s="9" t="s">
        <v>732</v>
      </c>
      <c r="BX18" s="9" t="s">
        <v>732</v>
      </c>
      <c r="BY18" s="9" t="s">
        <v>732</v>
      </c>
      <c r="BZ18" s="9" t="s">
        <v>732</v>
      </c>
      <c r="CA18" s="9" t="s">
        <v>732</v>
      </c>
      <c r="CB18" s="9" t="s">
        <v>732</v>
      </c>
      <c r="CC18" s="9" t="s">
        <v>732</v>
      </c>
      <c r="CD18" s="9" t="s">
        <v>2228</v>
      </c>
      <c r="CE18" s="9" t="s">
        <v>28</v>
      </c>
      <c r="CF18" s="9">
        <v>1</v>
      </c>
      <c r="CG18" s="9" t="s">
        <v>2192</v>
      </c>
      <c r="CH18" s="9" t="s">
        <v>2426</v>
      </c>
      <c r="CM18" s="9">
        <v>1</v>
      </c>
      <c r="CO18" s="9">
        <v>1</v>
      </c>
      <c r="CS18" s="9">
        <v>1</v>
      </c>
      <c r="CZ18" s="9">
        <v>1</v>
      </c>
      <c r="DA18" s="9">
        <v>1</v>
      </c>
      <c r="DB18" s="9">
        <v>2</v>
      </c>
      <c r="DD18" s="9">
        <v>1</v>
      </c>
      <c r="DF18" s="9">
        <v>1</v>
      </c>
      <c r="DG18" s="9">
        <v>1</v>
      </c>
      <c r="DJ18" s="9">
        <v>1</v>
      </c>
      <c r="DK18" s="9">
        <v>1</v>
      </c>
      <c r="DL18" s="9">
        <v>1</v>
      </c>
      <c r="DR18" s="9">
        <v>1</v>
      </c>
      <c r="DT18" s="9">
        <v>7</v>
      </c>
      <c r="DZ18" s="9" t="s">
        <v>25</v>
      </c>
      <c r="EA18" s="9" t="s">
        <v>28</v>
      </c>
      <c r="EB18" s="9" t="s">
        <v>28</v>
      </c>
      <c r="EC18" s="9" t="s">
        <v>28</v>
      </c>
      <c r="ED18" s="9" t="s">
        <v>28</v>
      </c>
      <c r="EE18" s="9" t="s">
        <v>28</v>
      </c>
      <c r="EF18" s="9" t="s">
        <v>28</v>
      </c>
      <c r="EG18" s="9" t="s">
        <v>28</v>
      </c>
      <c r="EH18" s="9" t="s">
        <v>28</v>
      </c>
      <c r="EI18" s="9" t="s">
        <v>28</v>
      </c>
      <c r="EK18" s="9" t="s">
        <v>25</v>
      </c>
      <c r="EL18" s="9" t="s">
        <v>25</v>
      </c>
      <c r="EM18" s="9" t="s">
        <v>25</v>
      </c>
      <c r="EN18" s="9" t="s">
        <v>25</v>
      </c>
      <c r="EO18" s="9" t="s">
        <v>25</v>
      </c>
      <c r="EQ18" s="9" t="s">
        <v>28</v>
      </c>
      <c r="ER18" s="9" t="s">
        <v>25</v>
      </c>
      <c r="ES18" s="9" t="s">
        <v>28</v>
      </c>
      <c r="ET18" s="9" t="s">
        <v>28</v>
      </c>
      <c r="EU18" s="9" t="s">
        <v>28</v>
      </c>
      <c r="EV18" s="9" t="s">
        <v>28</v>
      </c>
      <c r="EW18" s="9" t="s">
        <v>28</v>
      </c>
      <c r="EX18" s="9" t="s">
        <v>28</v>
      </c>
      <c r="EY18" s="9" t="s">
        <v>28</v>
      </c>
      <c r="EZ18" s="9" t="s">
        <v>2175</v>
      </c>
      <c r="FB18" s="9" t="s">
        <v>2302</v>
      </c>
      <c r="FC18" s="39">
        <v>290000</v>
      </c>
      <c r="FD18" s="9" t="s">
        <v>25</v>
      </c>
      <c r="FE18" s="9" t="s">
        <v>13528</v>
      </c>
      <c r="FF18" s="9" t="s">
        <v>25</v>
      </c>
      <c r="FH18" s="9" t="s">
        <v>28</v>
      </c>
      <c r="FI18" s="9" t="s">
        <v>256</v>
      </c>
      <c r="FJ18" s="11">
        <v>0.5</v>
      </c>
      <c r="FK18" s="11">
        <v>1</v>
      </c>
      <c r="FL18" s="11">
        <v>1</v>
      </c>
      <c r="FO18" s="11">
        <v>1</v>
      </c>
      <c r="FW18" s="9" t="s">
        <v>25</v>
      </c>
      <c r="GC18" s="9" t="s">
        <v>28</v>
      </c>
      <c r="GD18" s="9" t="s">
        <v>25</v>
      </c>
      <c r="GE18" s="63" t="s">
        <v>13162</v>
      </c>
      <c r="GF18" s="9" t="s">
        <v>2181</v>
      </c>
      <c r="GG18" s="9" t="s">
        <v>2182</v>
      </c>
      <c r="GH18" s="9" t="s">
        <v>2183</v>
      </c>
      <c r="GI18" s="9" t="s">
        <v>2182</v>
      </c>
      <c r="GJ18" s="9" t="s">
        <v>2182</v>
      </c>
      <c r="GK18" s="9">
        <v>15</v>
      </c>
      <c r="GM18" s="9" t="s">
        <v>2232</v>
      </c>
      <c r="GO18" s="9" t="s">
        <v>2197</v>
      </c>
      <c r="GQ18" s="9" t="s">
        <v>2186</v>
      </c>
      <c r="GR18" s="9" t="s">
        <v>28</v>
      </c>
      <c r="GS18" s="9" t="s">
        <v>28</v>
      </c>
      <c r="GT18" s="9" t="s">
        <v>25</v>
      </c>
      <c r="GU18" s="9" t="s">
        <v>25</v>
      </c>
      <c r="GV18" s="9" t="s">
        <v>25</v>
      </c>
      <c r="GW18" s="9" t="s">
        <v>25</v>
      </c>
      <c r="GX18" s="9" t="s">
        <v>25</v>
      </c>
      <c r="GY18" s="9" t="s">
        <v>25</v>
      </c>
      <c r="GZ18" s="9" t="s">
        <v>41</v>
      </c>
      <c r="HC18" s="9" t="s">
        <v>28</v>
      </c>
      <c r="HD18" s="9" t="s">
        <v>2427</v>
      </c>
    </row>
    <row r="19" spans="1:212" ht="38.25" x14ac:dyDescent="0.2">
      <c r="A19" s="8" t="s">
        <v>123</v>
      </c>
      <c r="B19" s="9" t="s">
        <v>2218</v>
      </c>
      <c r="C19" s="9" t="s">
        <v>25</v>
      </c>
      <c r="E19" s="9" t="s">
        <v>25</v>
      </c>
      <c r="G19" s="9" t="s">
        <v>2224</v>
      </c>
      <c r="H19" s="11">
        <v>0.5</v>
      </c>
      <c r="I19" s="11">
        <v>0.5</v>
      </c>
      <c r="J19" s="11">
        <v>0.97</v>
      </c>
      <c r="K19" s="11">
        <v>0.92</v>
      </c>
      <c r="L19" s="11">
        <v>0.94</v>
      </c>
      <c r="M19" s="11">
        <v>7.0000000000000007E-2</v>
      </c>
      <c r="N19" s="11">
        <v>7.0000000000000007E-2</v>
      </c>
      <c r="O19" s="11">
        <v>7.0000000000000007E-2</v>
      </c>
      <c r="P19" s="9" t="s">
        <v>28</v>
      </c>
      <c r="Q19" s="11">
        <v>0.14000000000000001</v>
      </c>
      <c r="R19" s="11">
        <v>0.5</v>
      </c>
      <c r="S19" s="11">
        <v>0.5</v>
      </c>
      <c r="T19" s="9" t="s">
        <v>28</v>
      </c>
      <c r="U19" s="9" t="s">
        <v>28</v>
      </c>
      <c r="V19" s="39">
        <v>26775</v>
      </c>
      <c r="W19" s="9" t="s">
        <v>28</v>
      </c>
      <c r="X19" s="9" t="s">
        <v>2225</v>
      </c>
      <c r="Y19" s="11">
        <v>0.03</v>
      </c>
      <c r="Z19" s="11">
        <v>0.25</v>
      </c>
      <c r="AA19" s="11">
        <v>0.25</v>
      </c>
      <c r="AB19" s="9" t="s">
        <v>28</v>
      </c>
      <c r="AC19" s="11">
        <v>0.06</v>
      </c>
      <c r="AD19" s="9" t="s">
        <v>2160</v>
      </c>
      <c r="AE19" s="11">
        <v>0.01</v>
      </c>
      <c r="AF19" s="11">
        <v>0.15</v>
      </c>
      <c r="AG19" s="9" t="s">
        <v>2162</v>
      </c>
      <c r="AI19" s="9" t="s">
        <v>2163</v>
      </c>
      <c r="AJ19" s="9" t="s">
        <v>28</v>
      </c>
      <c r="AK19" s="9" t="s">
        <v>28</v>
      </c>
      <c r="AL19" s="9" t="s">
        <v>2164</v>
      </c>
      <c r="AM19" s="9" t="s">
        <v>28</v>
      </c>
      <c r="AN19" s="9" t="s">
        <v>25</v>
      </c>
      <c r="AO19" s="9" t="s">
        <v>2165</v>
      </c>
      <c r="AP19" s="9" t="s">
        <v>2166</v>
      </c>
      <c r="AQ19" s="9" t="s">
        <v>25</v>
      </c>
      <c r="AS19" s="9" t="s">
        <v>2203</v>
      </c>
      <c r="AT19" s="9" t="s">
        <v>25</v>
      </c>
      <c r="AV19" s="9" t="s">
        <v>28</v>
      </c>
      <c r="AW19" s="9" t="s">
        <v>25</v>
      </c>
      <c r="AX19" s="9" t="s">
        <v>28</v>
      </c>
      <c r="AY19" s="9" t="s">
        <v>25</v>
      </c>
      <c r="AZ19" s="9" t="s">
        <v>25</v>
      </c>
      <c r="BA19" s="9" t="s">
        <v>2226</v>
      </c>
      <c r="BB19" s="39">
        <v>13725</v>
      </c>
      <c r="BC19" s="9" t="s">
        <v>2227</v>
      </c>
      <c r="BD19" s="9" t="s">
        <v>2169</v>
      </c>
      <c r="BE19" s="9" t="s">
        <v>2170</v>
      </c>
      <c r="BF19" s="9" t="s">
        <v>2171</v>
      </c>
      <c r="BS19" s="9" t="s">
        <v>25</v>
      </c>
      <c r="BT19" s="9" t="s">
        <v>25</v>
      </c>
      <c r="BV19" s="11">
        <v>0.02</v>
      </c>
      <c r="BW19" s="9" t="s">
        <v>732</v>
      </c>
      <c r="BX19" s="9" t="s">
        <v>732</v>
      </c>
      <c r="BY19" s="9" t="s">
        <v>115</v>
      </c>
      <c r="BZ19" s="9" t="s">
        <v>732</v>
      </c>
      <c r="CA19" s="9" t="s">
        <v>732</v>
      </c>
      <c r="CB19" s="9" t="s">
        <v>732</v>
      </c>
      <c r="CC19" s="9" t="s">
        <v>2228</v>
      </c>
      <c r="CD19" s="9" t="s">
        <v>2228</v>
      </c>
      <c r="CE19" s="9" t="s">
        <v>28</v>
      </c>
      <c r="CF19" s="9">
        <v>2</v>
      </c>
      <c r="CG19" s="9" t="s">
        <v>2192</v>
      </c>
      <c r="CH19" s="9" t="s">
        <v>13936</v>
      </c>
      <c r="CM19" s="9">
        <v>1</v>
      </c>
      <c r="CO19" s="9">
        <v>1</v>
      </c>
      <c r="CZ19" s="9">
        <v>1</v>
      </c>
      <c r="DB19" s="9">
        <v>1</v>
      </c>
      <c r="DD19" s="9">
        <v>1</v>
      </c>
      <c r="DH19" s="9">
        <v>1</v>
      </c>
      <c r="DI19" s="9">
        <v>1</v>
      </c>
      <c r="DJ19" s="9">
        <v>1</v>
      </c>
      <c r="DM19" s="9">
        <v>1</v>
      </c>
      <c r="DN19" s="9">
        <v>1</v>
      </c>
      <c r="DT19" s="9">
        <v>12</v>
      </c>
      <c r="DZ19" s="9" t="s">
        <v>25</v>
      </c>
      <c r="EA19" s="9" t="s">
        <v>25</v>
      </c>
      <c r="EQ19" s="9" t="s">
        <v>25</v>
      </c>
      <c r="ER19" s="9" t="s">
        <v>25</v>
      </c>
      <c r="ES19" s="9" t="s">
        <v>28</v>
      </c>
      <c r="ET19" s="9" t="s">
        <v>28</v>
      </c>
      <c r="EU19" s="9" t="s">
        <v>28</v>
      </c>
      <c r="EV19" s="9" t="s">
        <v>28</v>
      </c>
      <c r="EW19" s="9" t="s">
        <v>28</v>
      </c>
      <c r="EX19" s="9" t="s">
        <v>25</v>
      </c>
      <c r="EY19" s="9" t="s">
        <v>28</v>
      </c>
      <c r="EZ19" s="9" t="s">
        <v>2175</v>
      </c>
      <c r="FB19" s="9" t="s">
        <v>1874</v>
      </c>
      <c r="FC19" s="39">
        <v>200000</v>
      </c>
      <c r="FD19" s="9" t="s">
        <v>25</v>
      </c>
      <c r="FE19" s="9" t="s">
        <v>253</v>
      </c>
      <c r="FF19" s="9" t="s">
        <v>25</v>
      </c>
      <c r="FH19" s="9" t="s">
        <v>28</v>
      </c>
      <c r="FI19" s="9" t="s">
        <v>2215</v>
      </c>
      <c r="FJ19" s="11">
        <v>0.4</v>
      </c>
      <c r="FK19" s="11">
        <v>1</v>
      </c>
      <c r="FO19" s="11">
        <v>1</v>
      </c>
      <c r="FW19" s="9" t="s">
        <v>25</v>
      </c>
      <c r="GC19" s="9" t="s">
        <v>28</v>
      </c>
      <c r="GD19" s="9" t="s">
        <v>25</v>
      </c>
      <c r="GE19" s="63" t="s">
        <v>13162</v>
      </c>
      <c r="GF19" s="9" t="s">
        <v>2181</v>
      </c>
      <c r="GG19" s="9" t="s">
        <v>2182</v>
      </c>
      <c r="GH19" s="9" t="s">
        <v>2182</v>
      </c>
      <c r="GI19" s="9" t="s">
        <v>2182</v>
      </c>
      <c r="GJ19" s="9" t="s">
        <v>2182</v>
      </c>
      <c r="GK19" s="9">
        <v>20</v>
      </c>
      <c r="GM19" s="9" t="s">
        <v>635</v>
      </c>
      <c r="GQ19" s="9" t="s">
        <v>2229</v>
      </c>
      <c r="GR19" s="9" t="s">
        <v>28</v>
      </c>
      <c r="GS19" s="9" t="s">
        <v>28</v>
      </c>
      <c r="GT19" s="9" t="s">
        <v>25</v>
      </c>
      <c r="GU19" s="9" t="s">
        <v>28</v>
      </c>
      <c r="GV19" s="9" t="s">
        <v>25</v>
      </c>
      <c r="GW19" s="9" t="s">
        <v>25</v>
      </c>
      <c r="GX19" s="9" t="s">
        <v>25</v>
      </c>
      <c r="GY19" s="9" t="s">
        <v>25</v>
      </c>
      <c r="GZ19" s="9" t="s">
        <v>25</v>
      </c>
      <c r="HC19" s="9" t="s">
        <v>25</v>
      </c>
    </row>
    <row r="20" spans="1:212" ht="51" x14ac:dyDescent="0.2">
      <c r="A20" s="8" t="s">
        <v>125</v>
      </c>
      <c r="B20" s="9" t="s">
        <v>2218</v>
      </c>
      <c r="C20" s="9" t="s">
        <v>25</v>
      </c>
      <c r="E20" s="9" t="s">
        <v>25</v>
      </c>
      <c r="G20" s="9" t="s">
        <v>2236</v>
      </c>
      <c r="H20" s="11">
        <v>1</v>
      </c>
      <c r="I20" s="11">
        <v>1</v>
      </c>
      <c r="L20" s="11">
        <v>0.97</v>
      </c>
      <c r="M20" s="11">
        <v>0.12</v>
      </c>
      <c r="O20" s="11">
        <v>0.12</v>
      </c>
      <c r="P20" s="9" t="s">
        <v>28</v>
      </c>
      <c r="Q20" s="11">
        <v>0.14000000000000001</v>
      </c>
      <c r="R20" s="11">
        <v>1</v>
      </c>
      <c r="S20" s="11">
        <v>1</v>
      </c>
      <c r="T20" s="9" t="s">
        <v>28</v>
      </c>
      <c r="U20" s="9" t="s">
        <v>25</v>
      </c>
      <c r="W20" s="9" t="s">
        <v>25</v>
      </c>
      <c r="Y20" s="11">
        <v>0.05</v>
      </c>
      <c r="Z20" s="11">
        <v>1</v>
      </c>
      <c r="AA20" s="11">
        <v>1</v>
      </c>
      <c r="AB20" s="9" t="s">
        <v>28</v>
      </c>
      <c r="AC20" s="11">
        <v>0.06</v>
      </c>
      <c r="AD20" s="9" t="s">
        <v>2160</v>
      </c>
      <c r="AE20" s="11">
        <v>0.01</v>
      </c>
      <c r="AG20" s="9" t="s">
        <v>2162</v>
      </c>
      <c r="AI20" s="9" t="s">
        <v>2163</v>
      </c>
      <c r="AJ20" s="9" t="s">
        <v>28</v>
      </c>
      <c r="AK20" s="9" t="s">
        <v>25</v>
      </c>
      <c r="AL20" s="9" t="s">
        <v>2164</v>
      </c>
      <c r="AM20" s="9" t="s">
        <v>28</v>
      </c>
      <c r="AN20" s="9" t="s">
        <v>25</v>
      </c>
      <c r="AO20" s="9" t="s">
        <v>2165</v>
      </c>
      <c r="AP20" s="9" t="s">
        <v>2188</v>
      </c>
      <c r="AQ20" s="9" t="s">
        <v>25</v>
      </c>
      <c r="AS20" s="9" t="s">
        <v>2203</v>
      </c>
      <c r="AT20" s="9" t="s">
        <v>25</v>
      </c>
      <c r="AV20" s="9" t="s">
        <v>28</v>
      </c>
      <c r="AW20" s="9" t="s">
        <v>28</v>
      </c>
      <c r="AX20" s="9" t="s">
        <v>28</v>
      </c>
      <c r="AY20" s="9" t="s">
        <v>28</v>
      </c>
      <c r="AZ20" s="9" t="s">
        <v>28</v>
      </c>
      <c r="BA20" s="9" t="s">
        <v>13908</v>
      </c>
      <c r="BB20" s="39">
        <v>9150</v>
      </c>
      <c r="BC20" s="9" t="s">
        <v>14523</v>
      </c>
      <c r="BD20" s="9" t="s">
        <v>2169</v>
      </c>
      <c r="BE20" s="9" t="s">
        <v>2237</v>
      </c>
      <c r="BF20" s="9" t="s">
        <v>2238</v>
      </c>
      <c r="BM20" s="11">
        <v>0.25</v>
      </c>
      <c r="BN20" s="11">
        <v>0.5</v>
      </c>
      <c r="BO20" s="11">
        <v>0.75</v>
      </c>
      <c r="BP20" s="11">
        <v>1</v>
      </c>
      <c r="BQ20" s="11">
        <v>1</v>
      </c>
      <c r="BR20" s="11">
        <v>1</v>
      </c>
      <c r="BS20" s="9" t="s">
        <v>25</v>
      </c>
      <c r="BT20" s="9" t="s">
        <v>28</v>
      </c>
      <c r="BU20" s="9" t="s">
        <v>2222</v>
      </c>
      <c r="BV20" s="11">
        <v>0.01</v>
      </c>
      <c r="BW20" s="9" t="s">
        <v>732</v>
      </c>
      <c r="BX20" s="9" t="s">
        <v>732</v>
      </c>
      <c r="BY20" s="9" t="s">
        <v>732</v>
      </c>
      <c r="BZ20" s="9" t="s">
        <v>732</v>
      </c>
      <c r="CA20" s="9" t="s">
        <v>732</v>
      </c>
      <c r="CB20" s="9" t="s">
        <v>732</v>
      </c>
      <c r="CC20" s="9" t="s">
        <v>732</v>
      </c>
      <c r="CD20" s="9" t="s">
        <v>2228</v>
      </c>
      <c r="CE20" s="9" t="s">
        <v>28</v>
      </c>
      <c r="CF20" s="9">
        <v>2</v>
      </c>
      <c r="CG20" s="9" t="s">
        <v>2192</v>
      </c>
      <c r="CH20" s="9" t="s">
        <v>13938</v>
      </c>
      <c r="CM20" s="9">
        <v>1</v>
      </c>
      <c r="CO20" s="9">
        <v>1</v>
      </c>
      <c r="CP20" s="9">
        <v>1</v>
      </c>
      <c r="CZ20" s="9">
        <v>1</v>
      </c>
      <c r="DA20" s="9">
        <v>1</v>
      </c>
      <c r="DB20" s="9">
        <v>1</v>
      </c>
      <c r="DD20" s="9">
        <v>1</v>
      </c>
      <c r="DE20" s="9">
        <v>1</v>
      </c>
      <c r="DF20" s="9">
        <v>1</v>
      </c>
      <c r="DG20" s="9">
        <v>1</v>
      </c>
      <c r="DL20" s="9">
        <v>1</v>
      </c>
      <c r="DM20" s="9">
        <v>1</v>
      </c>
      <c r="DN20" s="9">
        <v>1</v>
      </c>
      <c r="DT20" s="9">
        <v>6</v>
      </c>
      <c r="DZ20" s="9" t="s">
        <v>25</v>
      </c>
      <c r="EA20" s="9" t="s">
        <v>28</v>
      </c>
      <c r="EB20" s="9" t="s">
        <v>28</v>
      </c>
      <c r="EC20" s="9" t="s">
        <v>28</v>
      </c>
      <c r="ED20" s="9" t="s">
        <v>28</v>
      </c>
      <c r="EE20" s="9" t="s">
        <v>28</v>
      </c>
      <c r="EF20" s="9" t="s">
        <v>25</v>
      </c>
      <c r="EG20" s="9" t="s">
        <v>28</v>
      </c>
      <c r="EH20" s="9" t="s">
        <v>28</v>
      </c>
      <c r="EI20" s="9" t="s">
        <v>28</v>
      </c>
      <c r="EJ20" s="9" t="s">
        <v>28</v>
      </c>
      <c r="EK20" s="9" t="s">
        <v>28</v>
      </c>
      <c r="EL20" s="9" t="s">
        <v>25</v>
      </c>
      <c r="EO20" s="9" t="s">
        <v>28</v>
      </c>
      <c r="EP20" s="9" t="s">
        <v>72</v>
      </c>
      <c r="EQ20" s="9" t="s">
        <v>28</v>
      </c>
      <c r="ER20" s="9" t="s">
        <v>2169</v>
      </c>
      <c r="ES20" s="9" t="s">
        <v>28</v>
      </c>
      <c r="ET20" s="9" t="s">
        <v>28</v>
      </c>
      <c r="EU20" s="9" t="s">
        <v>28</v>
      </c>
      <c r="EV20" s="9" t="s">
        <v>28</v>
      </c>
      <c r="EW20" s="9" t="s">
        <v>28</v>
      </c>
      <c r="EX20" s="9" t="s">
        <v>28</v>
      </c>
      <c r="EY20" s="9" t="s">
        <v>28</v>
      </c>
      <c r="EZ20" s="9" t="s">
        <v>2175</v>
      </c>
      <c r="FB20" s="9" t="s">
        <v>2239</v>
      </c>
      <c r="FC20" s="39">
        <v>250000</v>
      </c>
      <c r="FD20" s="9" t="s">
        <v>28</v>
      </c>
      <c r="FE20" s="9" t="s">
        <v>13528</v>
      </c>
      <c r="FF20" s="9" t="s">
        <v>25</v>
      </c>
      <c r="FH20" s="9" t="s">
        <v>28</v>
      </c>
      <c r="FI20" s="9" t="s">
        <v>2177</v>
      </c>
      <c r="FJ20" s="11">
        <v>0.8</v>
      </c>
      <c r="FK20" s="11">
        <v>1</v>
      </c>
      <c r="FO20" s="11">
        <v>1</v>
      </c>
      <c r="FW20" s="9" t="s">
        <v>25</v>
      </c>
      <c r="GC20" s="9" t="s">
        <v>28</v>
      </c>
      <c r="GD20" s="9" t="s">
        <v>25</v>
      </c>
      <c r="GE20" s="63" t="s">
        <v>13162</v>
      </c>
      <c r="GF20" s="9" t="s">
        <v>2181</v>
      </c>
      <c r="GG20" s="9" t="s">
        <v>2183</v>
      </c>
      <c r="GH20" s="9" t="s">
        <v>2183</v>
      </c>
      <c r="GI20" s="9" t="s">
        <v>2240</v>
      </c>
      <c r="GJ20" s="9" t="s">
        <v>2240</v>
      </c>
      <c r="GK20" s="9">
        <v>15</v>
      </c>
      <c r="GL20" s="9" t="s">
        <v>2241</v>
      </c>
      <c r="GM20" s="9" t="s">
        <v>635</v>
      </c>
      <c r="GQ20" s="9" t="s">
        <v>2229</v>
      </c>
      <c r="GR20" s="9" t="s">
        <v>25</v>
      </c>
      <c r="GW20" s="9" t="s">
        <v>25</v>
      </c>
      <c r="GX20" s="9" t="s">
        <v>25</v>
      </c>
      <c r="GY20" s="9" t="s">
        <v>25</v>
      </c>
      <c r="GZ20" s="9" t="s">
        <v>25</v>
      </c>
      <c r="HC20" s="9" t="s">
        <v>28</v>
      </c>
      <c r="HD20" s="9" t="s">
        <v>2242</v>
      </c>
    </row>
    <row r="21" spans="1:212" ht="51" x14ac:dyDescent="0.2">
      <c r="A21" s="8" t="s">
        <v>169</v>
      </c>
      <c r="B21" s="9" t="s">
        <v>2158</v>
      </c>
      <c r="C21" s="9" t="s">
        <v>25</v>
      </c>
      <c r="E21" s="9" t="s">
        <v>28</v>
      </c>
      <c r="F21" s="9" t="s">
        <v>2200</v>
      </c>
      <c r="G21" s="9" t="s">
        <v>2159</v>
      </c>
      <c r="H21" s="11">
        <v>0.65</v>
      </c>
      <c r="I21" s="11">
        <v>0.75</v>
      </c>
      <c r="J21" s="11">
        <v>0.94</v>
      </c>
      <c r="K21" s="11">
        <v>0.82</v>
      </c>
      <c r="L21" s="11">
        <v>0.84</v>
      </c>
      <c r="M21" s="11">
        <v>0.06</v>
      </c>
      <c r="N21" s="11">
        <v>0.05</v>
      </c>
      <c r="O21" s="11">
        <v>0.05</v>
      </c>
      <c r="P21" s="9" t="s">
        <v>28</v>
      </c>
      <c r="Q21" s="11">
        <v>0.15</v>
      </c>
      <c r="R21" s="11">
        <v>0.65</v>
      </c>
      <c r="S21" s="11">
        <v>0.65</v>
      </c>
      <c r="T21" s="9" t="s">
        <v>28</v>
      </c>
      <c r="U21" s="9" t="s">
        <v>25</v>
      </c>
      <c r="W21" s="9" t="s">
        <v>25</v>
      </c>
      <c r="Y21" s="11">
        <v>7.0000000000000007E-2</v>
      </c>
      <c r="Z21" s="11">
        <v>0.65</v>
      </c>
      <c r="AA21" s="11">
        <v>0.65</v>
      </c>
      <c r="AB21" s="9" t="s">
        <v>28</v>
      </c>
      <c r="AC21" s="11">
        <v>0.05</v>
      </c>
      <c r="AD21" s="9" t="s">
        <v>2160</v>
      </c>
      <c r="AE21" s="11">
        <v>0.02</v>
      </c>
      <c r="AF21" s="11">
        <v>0.1</v>
      </c>
      <c r="AG21" s="9" t="s">
        <v>2162</v>
      </c>
      <c r="AI21" s="9" t="s">
        <v>2163</v>
      </c>
      <c r="AJ21" s="9" t="s">
        <v>28</v>
      </c>
      <c r="AK21" s="9" t="s">
        <v>28</v>
      </c>
      <c r="AL21" s="9" t="s">
        <v>2164</v>
      </c>
      <c r="AM21" s="9" t="s">
        <v>25</v>
      </c>
      <c r="AN21" s="9" t="s">
        <v>25</v>
      </c>
      <c r="AO21" s="9" t="s">
        <v>2202</v>
      </c>
      <c r="AP21" s="9" t="s">
        <v>2188</v>
      </c>
      <c r="AQ21" s="9" t="s">
        <v>25</v>
      </c>
      <c r="AS21" s="9" t="s">
        <v>2167</v>
      </c>
      <c r="AT21" s="9" t="s">
        <v>25</v>
      </c>
      <c r="AV21" s="9" t="s">
        <v>28</v>
      </c>
      <c r="AW21" s="9" t="s">
        <v>28</v>
      </c>
      <c r="AX21" s="9" t="s">
        <v>28</v>
      </c>
      <c r="AY21" s="9" t="s">
        <v>28</v>
      </c>
      <c r="AZ21" s="9" t="s">
        <v>25</v>
      </c>
      <c r="BA21" s="9" t="s">
        <v>2420</v>
      </c>
      <c r="BB21" s="39">
        <v>5000</v>
      </c>
      <c r="BC21" s="9" t="s">
        <v>13929</v>
      </c>
      <c r="BD21" s="9" t="s">
        <v>25</v>
      </c>
      <c r="BF21" s="9" t="s">
        <v>2171</v>
      </c>
      <c r="BS21" s="9" t="s">
        <v>25</v>
      </c>
      <c r="BT21" s="9" t="s">
        <v>25</v>
      </c>
      <c r="BV21" s="11">
        <v>0.01</v>
      </c>
      <c r="BW21" s="9" t="s">
        <v>115</v>
      </c>
      <c r="BX21" s="9" t="s">
        <v>732</v>
      </c>
      <c r="BY21" s="9" t="s">
        <v>115</v>
      </c>
      <c r="BZ21" s="9" t="s">
        <v>732</v>
      </c>
      <c r="CA21" s="9" t="s">
        <v>732</v>
      </c>
      <c r="CB21" s="9" t="s">
        <v>732</v>
      </c>
      <c r="CC21" s="9" t="s">
        <v>2228</v>
      </c>
      <c r="CD21" s="9" t="s">
        <v>2228</v>
      </c>
      <c r="CE21" s="9" t="s">
        <v>28</v>
      </c>
      <c r="CF21" s="9">
        <v>2</v>
      </c>
      <c r="CG21" s="9" t="s">
        <v>2172</v>
      </c>
      <c r="CH21" s="9" t="s">
        <v>2421</v>
      </c>
      <c r="CK21" s="9">
        <v>1</v>
      </c>
      <c r="CL21" s="9">
        <v>1</v>
      </c>
      <c r="CO21" s="9">
        <v>1</v>
      </c>
      <c r="CP21" s="9">
        <v>1</v>
      </c>
      <c r="CZ21" s="9">
        <v>1</v>
      </c>
      <c r="DA21" s="9">
        <v>1</v>
      </c>
      <c r="DB21" s="9">
        <v>1</v>
      </c>
      <c r="DD21" s="9">
        <v>1</v>
      </c>
      <c r="DE21" s="9">
        <v>1</v>
      </c>
      <c r="DH21" s="9">
        <v>1</v>
      </c>
      <c r="DJ21" s="9">
        <v>1</v>
      </c>
      <c r="DL21" s="9">
        <v>1</v>
      </c>
      <c r="DP21" s="9">
        <v>1</v>
      </c>
      <c r="DS21" s="9">
        <v>12</v>
      </c>
      <c r="DT21" s="9">
        <v>12</v>
      </c>
      <c r="DZ21" s="9" t="s">
        <v>25</v>
      </c>
      <c r="EA21" s="9" t="s">
        <v>28</v>
      </c>
      <c r="EB21" s="9" t="s">
        <v>28</v>
      </c>
      <c r="EC21" s="9" t="s">
        <v>28</v>
      </c>
      <c r="ED21" s="9" t="s">
        <v>28</v>
      </c>
      <c r="EE21" s="9" t="s">
        <v>25</v>
      </c>
      <c r="EF21" s="9" t="s">
        <v>28</v>
      </c>
      <c r="EG21" s="9" t="s">
        <v>28</v>
      </c>
      <c r="EH21" s="9" t="s">
        <v>28</v>
      </c>
      <c r="EI21" s="9" t="s">
        <v>28</v>
      </c>
      <c r="EJ21" s="9" t="s">
        <v>28</v>
      </c>
      <c r="EK21" s="9" t="s">
        <v>25</v>
      </c>
      <c r="EL21" s="9" t="s">
        <v>25</v>
      </c>
      <c r="EM21" s="9" t="s">
        <v>25</v>
      </c>
      <c r="EN21" s="9" t="s">
        <v>25</v>
      </c>
      <c r="EO21" s="9" t="s">
        <v>28</v>
      </c>
      <c r="EQ21" s="9" t="s">
        <v>25</v>
      </c>
      <c r="ER21" s="9" t="s">
        <v>25</v>
      </c>
      <c r="ES21" s="9" t="s">
        <v>28</v>
      </c>
      <c r="ET21" s="9" t="s">
        <v>25</v>
      </c>
      <c r="EU21" s="9" t="s">
        <v>28</v>
      </c>
      <c r="EV21" s="9" t="s">
        <v>28</v>
      </c>
      <c r="EW21" s="9" t="s">
        <v>28</v>
      </c>
      <c r="EX21" s="9" t="s">
        <v>25</v>
      </c>
      <c r="EY21" s="9" t="s">
        <v>25</v>
      </c>
      <c r="GR21" s="9" t="s">
        <v>25</v>
      </c>
      <c r="GW21" s="9" t="s">
        <v>25</v>
      </c>
      <c r="GX21" s="9" t="s">
        <v>25</v>
      </c>
      <c r="GY21" s="9" t="s">
        <v>25</v>
      </c>
      <c r="GZ21" s="9" t="s">
        <v>25</v>
      </c>
      <c r="HC21" s="9" t="s">
        <v>28</v>
      </c>
      <c r="HD21" s="9" t="s">
        <v>2422</v>
      </c>
    </row>
    <row r="22" spans="1:212" ht="51" x14ac:dyDescent="0.2">
      <c r="A22" s="8" t="s">
        <v>159</v>
      </c>
      <c r="B22" s="9" t="s">
        <v>2158</v>
      </c>
      <c r="C22" s="9" t="s">
        <v>25</v>
      </c>
      <c r="E22" s="9" t="s">
        <v>28</v>
      </c>
      <c r="F22" s="9" t="s">
        <v>2206</v>
      </c>
      <c r="G22" s="9" t="s">
        <v>2185</v>
      </c>
      <c r="H22" s="11">
        <v>0.9</v>
      </c>
      <c r="I22" s="11">
        <v>0.9</v>
      </c>
      <c r="J22" s="11">
        <v>0.95</v>
      </c>
      <c r="K22" s="11">
        <v>0.95</v>
      </c>
      <c r="L22" s="11">
        <v>0.95</v>
      </c>
      <c r="M22" s="11">
        <v>0.16</v>
      </c>
      <c r="N22" s="11">
        <v>0.15</v>
      </c>
      <c r="O22" s="11">
        <v>0.16</v>
      </c>
      <c r="P22" s="9" t="s">
        <v>28</v>
      </c>
      <c r="Q22" s="11">
        <v>0.13</v>
      </c>
      <c r="R22" s="11">
        <v>0.9</v>
      </c>
      <c r="S22" s="11">
        <v>0.9</v>
      </c>
      <c r="T22" s="9" t="s">
        <v>28</v>
      </c>
      <c r="U22" s="9" t="s">
        <v>28</v>
      </c>
      <c r="V22" s="39">
        <v>34500</v>
      </c>
      <c r="W22" s="9" t="s">
        <v>25</v>
      </c>
      <c r="Y22" s="11">
        <v>0.21</v>
      </c>
      <c r="Z22" s="11">
        <v>0.12</v>
      </c>
      <c r="AA22" s="11">
        <v>0.12</v>
      </c>
      <c r="AB22" s="9" t="s">
        <v>28</v>
      </c>
      <c r="AC22" s="11">
        <v>0.06</v>
      </c>
      <c r="AD22" s="9" t="s">
        <v>2160</v>
      </c>
      <c r="AE22" s="11">
        <v>0.02</v>
      </c>
      <c r="AF22" s="11">
        <v>0.12</v>
      </c>
      <c r="AG22" s="9" t="s">
        <v>2162</v>
      </c>
      <c r="AI22" s="9" t="s">
        <v>2163</v>
      </c>
      <c r="AJ22" s="9" t="s">
        <v>28</v>
      </c>
      <c r="AK22" s="9" t="s">
        <v>28</v>
      </c>
      <c r="AN22" s="9" t="s">
        <v>25</v>
      </c>
      <c r="AO22" s="9" t="s">
        <v>2202</v>
      </c>
      <c r="AP22" s="9" t="s">
        <v>2188</v>
      </c>
      <c r="AQ22" s="9" t="s">
        <v>25</v>
      </c>
      <c r="AS22" s="9" t="s">
        <v>2167</v>
      </c>
      <c r="AT22" s="9" t="s">
        <v>25</v>
      </c>
      <c r="AV22" s="9" t="s">
        <v>28</v>
      </c>
      <c r="AW22" s="9" t="s">
        <v>28</v>
      </c>
      <c r="AX22" s="9" t="s">
        <v>28</v>
      </c>
      <c r="AY22" s="9" t="s">
        <v>28</v>
      </c>
      <c r="AZ22" s="9" t="s">
        <v>25</v>
      </c>
      <c r="BA22" s="9" t="s">
        <v>2387</v>
      </c>
      <c r="BB22" s="39">
        <v>2000</v>
      </c>
      <c r="BC22" s="9" t="s">
        <v>13912</v>
      </c>
      <c r="BD22" s="9" t="s">
        <v>2169</v>
      </c>
      <c r="BE22" s="9" t="s">
        <v>2170</v>
      </c>
      <c r="BF22" s="9" t="s">
        <v>2171</v>
      </c>
      <c r="BS22" s="9" t="s">
        <v>25</v>
      </c>
      <c r="BT22" s="9" t="s">
        <v>25</v>
      </c>
      <c r="BV22" s="11">
        <v>0</v>
      </c>
      <c r="BW22" s="9" t="s">
        <v>115</v>
      </c>
      <c r="BX22" s="9" t="s">
        <v>115</v>
      </c>
      <c r="BY22" s="9" t="s">
        <v>115</v>
      </c>
      <c r="BZ22" s="9" t="s">
        <v>732</v>
      </c>
      <c r="CA22" s="9" t="s">
        <v>732</v>
      </c>
      <c r="CB22" s="9" t="s">
        <v>732</v>
      </c>
      <c r="CC22" s="9" t="s">
        <v>115</v>
      </c>
      <c r="CD22" s="9" t="s">
        <v>115</v>
      </c>
      <c r="CE22" s="9" t="s">
        <v>28</v>
      </c>
      <c r="CF22" s="9">
        <v>1</v>
      </c>
      <c r="CG22" s="9" t="s">
        <v>2192</v>
      </c>
      <c r="CH22" s="9" t="s">
        <v>13945</v>
      </c>
      <c r="CI22" s="9" t="s">
        <v>2388</v>
      </c>
      <c r="CL22" s="9">
        <v>1</v>
      </c>
      <c r="CP22" s="9">
        <v>1</v>
      </c>
      <c r="CU22" s="9">
        <v>1</v>
      </c>
      <c r="CY22" s="9">
        <v>1</v>
      </c>
      <c r="CZ22" s="9">
        <v>1</v>
      </c>
      <c r="DA22" s="9">
        <v>1</v>
      </c>
      <c r="DB22" s="9">
        <v>1</v>
      </c>
      <c r="DF22" s="9">
        <v>1</v>
      </c>
      <c r="DG22" s="9">
        <v>1</v>
      </c>
      <c r="DK22" s="9">
        <v>1</v>
      </c>
      <c r="DN22" s="9">
        <v>1</v>
      </c>
      <c r="DP22" s="9">
        <v>1</v>
      </c>
      <c r="DQ22" s="9">
        <v>1</v>
      </c>
      <c r="DT22" s="9">
        <v>10</v>
      </c>
      <c r="DV22" s="9">
        <v>1</v>
      </c>
      <c r="DY22" s="9">
        <v>1</v>
      </c>
      <c r="DZ22" s="9" t="s">
        <v>25</v>
      </c>
      <c r="EA22" s="9" t="s">
        <v>28</v>
      </c>
      <c r="EB22" s="9" t="s">
        <v>25</v>
      </c>
      <c r="EC22" s="9" t="s">
        <v>25</v>
      </c>
      <c r="ED22" s="9" t="s">
        <v>25</v>
      </c>
      <c r="EE22" s="9" t="s">
        <v>25</v>
      </c>
      <c r="EF22" s="9" t="s">
        <v>25</v>
      </c>
      <c r="EG22" s="9" t="s">
        <v>25</v>
      </c>
      <c r="EH22" s="9" t="s">
        <v>25</v>
      </c>
      <c r="EI22" s="9" t="s">
        <v>25</v>
      </c>
      <c r="EJ22" s="9" t="s">
        <v>25</v>
      </c>
      <c r="EK22" s="9" t="s">
        <v>25</v>
      </c>
      <c r="EL22" s="9" t="s">
        <v>25</v>
      </c>
      <c r="EM22" s="9" t="s">
        <v>25</v>
      </c>
      <c r="EN22" s="9" t="s">
        <v>25</v>
      </c>
      <c r="EO22" s="9" t="s">
        <v>25</v>
      </c>
      <c r="EQ22" s="9" t="s">
        <v>28</v>
      </c>
      <c r="ER22" s="9" t="s">
        <v>2169</v>
      </c>
      <c r="ES22" s="9" t="s">
        <v>28</v>
      </c>
      <c r="ET22" s="9" t="s">
        <v>25</v>
      </c>
      <c r="EU22" s="9" t="s">
        <v>28</v>
      </c>
      <c r="EV22" s="9" t="s">
        <v>28</v>
      </c>
      <c r="EW22" s="9" t="s">
        <v>28</v>
      </c>
      <c r="EX22" s="9" t="s">
        <v>25</v>
      </c>
      <c r="EY22" s="9" t="s">
        <v>25</v>
      </c>
      <c r="GR22" s="9" t="s">
        <v>25</v>
      </c>
      <c r="GW22" s="9" t="s">
        <v>25</v>
      </c>
      <c r="GX22" s="9" t="s">
        <v>25</v>
      </c>
      <c r="GY22" s="9" t="s">
        <v>25</v>
      </c>
      <c r="GZ22" s="9" t="s">
        <v>25</v>
      </c>
      <c r="HC22" s="9" t="s">
        <v>25</v>
      </c>
    </row>
    <row r="23" spans="1:212" ht="63.75" x14ac:dyDescent="0.2">
      <c r="A23" s="8" t="s">
        <v>166</v>
      </c>
      <c r="B23" s="9" t="s">
        <v>2158</v>
      </c>
      <c r="C23" s="9" t="s">
        <v>25</v>
      </c>
      <c r="E23" s="9" t="s">
        <v>25</v>
      </c>
      <c r="G23" s="9" t="s">
        <v>2159</v>
      </c>
      <c r="H23" s="11">
        <v>0.75</v>
      </c>
      <c r="I23" s="11">
        <v>1</v>
      </c>
      <c r="J23" s="11">
        <v>0.96</v>
      </c>
      <c r="K23" s="11">
        <v>0.91</v>
      </c>
      <c r="L23" s="11">
        <v>0.92</v>
      </c>
      <c r="M23" s="11">
        <v>0.06</v>
      </c>
      <c r="N23" s="11">
        <v>0.06</v>
      </c>
      <c r="O23" s="11">
        <v>0.06</v>
      </c>
      <c r="P23" s="9" t="s">
        <v>28</v>
      </c>
      <c r="Q23" s="11">
        <v>0.15</v>
      </c>
      <c r="R23" s="11">
        <v>0.75</v>
      </c>
      <c r="S23" s="11">
        <v>0.75</v>
      </c>
      <c r="T23" s="9" t="s">
        <v>28</v>
      </c>
      <c r="U23" s="9" t="s">
        <v>25</v>
      </c>
      <c r="W23" s="9" t="s">
        <v>25</v>
      </c>
      <c r="Y23" s="11">
        <v>0.08</v>
      </c>
      <c r="Z23" s="11">
        <v>0.75</v>
      </c>
      <c r="AA23" s="11">
        <v>0.75</v>
      </c>
      <c r="AB23" s="9" t="s">
        <v>28</v>
      </c>
      <c r="AC23" s="11">
        <v>0.06</v>
      </c>
      <c r="AD23" s="9" t="s">
        <v>2160</v>
      </c>
      <c r="AE23" s="11">
        <v>0.01</v>
      </c>
      <c r="AF23" s="11">
        <v>0.09</v>
      </c>
      <c r="AG23" s="9" t="s">
        <v>2162</v>
      </c>
      <c r="AI23" s="9" t="s">
        <v>2163</v>
      </c>
      <c r="AJ23" s="9" t="s">
        <v>28</v>
      </c>
      <c r="AK23" s="9" t="s">
        <v>25</v>
      </c>
      <c r="AL23" s="9" t="s">
        <v>2164</v>
      </c>
      <c r="AM23" s="9" t="s">
        <v>25</v>
      </c>
      <c r="AN23" s="9" t="s">
        <v>25</v>
      </c>
      <c r="AO23" s="9" t="s">
        <v>2244</v>
      </c>
      <c r="AP23" s="9" t="s">
        <v>2188</v>
      </c>
      <c r="AQ23" s="9" t="s">
        <v>25</v>
      </c>
      <c r="AS23" s="9" t="s">
        <v>2167</v>
      </c>
      <c r="AT23" s="9" t="s">
        <v>25</v>
      </c>
      <c r="AV23" s="9" t="s">
        <v>28</v>
      </c>
      <c r="AW23" s="9" t="s">
        <v>28</v>
      </c>
      <c r="AX23" s="9" t="s">
        <v>25</v>
      </c>
      <c r="AY23" s="9" t="s">
        <v>25</v>
      </c>
      <c r="AZ23" s="9" t="s">
        <v>25</v>
      </c>
      <c r="BA23" s="9" t="s">
        <v>2410</v>
      </c>
      <c r="BB23" s="39">
        <v>2500</v>
      </c>
      <c r="BC23" s="9" t="s">
        <v>13929</v>
      </c>
      <c r="BD23" s="9" t="s">
        <v>2169</v>
      </c>
      <c r="BE23" s="9" t="s">
        <v>2170</v>
      </c>
      <c r="BF23" s="9" t="s">
        <v>2171</v>
      </c>
      <c r="BS23" s="9" t="s">
        <v>25</v>
      </c>
      <c r="BT23" s="9" t="s">
        <v>25</v>
      </c>
      <c r="BV23" s="11">
        <v>0.01</v>
      </c>
      <c r="BW23" s="9" t="s">
        <v>115</v>
      </c>
      <c r="BX23" s="9" t="s">
        <v>732</v>
      </c>
      <c r="BY23" s="9" t="s">
        <v>115</v>
      </c>
      <c r="BZ23" s="9" t="s">
        <v>732</v>
      </c>
      <c r="CA23" s="9" t="s">
        <v>732</v>
      </c>
      <c r="CB23" s="9" t="s">
        <v>732</v>
      </c>
      <c r="CC23" s="9" t="s">
        <v>732</v>
      </c>
      <c r="CD23" s="9" t="s">
        <v>2228</v>
      </c>
      <c r="CE23" s="9" t="s">
        <v>28</v>
      </c>
      <c r="CF23" s="9">
        <v>1</v>
      </c>
      <c r="CG23" s="9" t="s">
        <v>2172</v>
      </c>
      <c r="CH23" s="9" t="s">
        <v>13946</v>
      </c>
      <c r="CL23" s="9">
        <v>0</v>
      </c>
      <c r="CM23" s="9">
        <v>1</v>
      </c>
      <c r="CO23" s="9">
        <v>1</v>
      </c>
      <c r="CY23" s="9">
        <v>1</v>
      </c>
      <c r="CZ23" s="9">
        <v>1</v>
      </c>
      <c r="DA23" s="9">
        <v>1</v>
      </c>
      <c r="DB23" s="9">
        <v>1</v>
      </c>
      <c r="DC23" s="9">
        <v>2</v>
      </c>
      <c r="DD23" s="9">
        <v>1</v>
      </c>
      <c r="DE23" s="9">
        <v>1</v>
      </c>
      <c r="DF23" s="9">
        <v>1</v>
      </c>
      <c r="DG23" s="9">
        <v>1</v>
      </c>
      <c r="DH23" s="9">
        <v>1</v>
      </c>
      <c r="DI23" s="9">
        <v>1</v>
      </c>
      <c r="DJ23" s="9">
        <v>1</v>
      </c>
      <c r="DK23" s="9">
        <v>1</v>
      </c>
      <c r="DO23" s="9">
        <v>1</v>
      </c>
      <c r="DQ23" s="9">
        <v>1</v>
      </c>
      <c r="DR23" s="9">
        <v>1</v>
      </c>
      <c r="DT23" s="9">
        <v>10</v>
      </c>
      <c r="DZ23" s="9" t="s">
        <v>25</v>
      </c>
      <c r="EA23" s="9" t="s">
        <v>28</v>
      </c>
      <c r="EB23" s="9" t="s">
        <v>28</v>
      </c>
      <c r="EC23" s="9" t="s">
        <v>28</v>
      </c>
      <c r="ED23" s="9" t="s">
        <v>25</v>
      </c>
      <c r="EE23" s="9" t="s">
        <v>28</v>
      </c>
      <c r="EF23" s="9" t="s">
        <v>25</v>
      </c>
      <c r="EG23" s="9" t="s">
        <v>28</v>
      </c>
      <c r="EH23" s="9" t="s">
        <v>25</v>
      </c>
      <c r="EI23" s="9" t="s">
        <v>25</v>
      </c>
      <c r="EJ23" s="9" t="s">
        <v>25</v>
      </c>
      <c r="EK23" s="9" t="s">
        <v>25</v>
      </c>
      <c r="EL23" s="9" t="s">
        <v>25</v>
      </c>
      <c r="EM23" s="9" t="s">
        <v>28</v>
      </c>
      <c r="EN23" s="9" t="s">
        <v>25</v>
      </c>
      <c r="EO23" s="9" t="s">
        <v>28</v>
      </c>
      <c r="EP23" s="9" t="s">
        <v>2411</v>
      </c>
      <c r="EQ23" s="9" t="s">
        <v>25</v>
      </c>
      <c r="ER23" s="9" t="s">
        <v>41</v>
      </c>
      <c r="ES23" s="9" t="s">
        <v>41</v>
      </c>
      <c r="ET23" s="9" t="s">
        <v>25</v>
      </c>
      <c r="EU23" s="9" t="s">
        <v>28</v>
      </c>
      <c r="EV23" s="9" t="s">
        <v>28</v>
      </c>
      <c r="EW23" s="9" t="s">
        <v>25</v>
      </c>
      <c r="EX23" s="9" t="s">
        <v>25</v>
      </c>
      <c r="EY23" s="9" t="s">
        <v>25</v>
      </c>
      <c r="GR23" s="9" t="s">
        <v>1015</v>
      </c>
      <c r="GW23" s="9" t="s">
        <v>25</v>
      </c>
      <c r="GX23" s="9" t="s">
        <v>25</v>
      </c>
      <c r="GY23" s="9" t="s">
        <v>25</v>
      </c>
      <c r="GZ23" s="9" t="s">
        <v>25</v>
      </c>
      <c r="HC23" s="9" t="s">
        <v>41</v>
      </c>
    </row>
    <row r="24" spans="1:212" ht="38.25" x14ac:dyDescent="0.2">
      <c r="A24" s="8" t="s">
        <v>157</v>
      </c>
      <c r="B24" s="9" t="s">
        <v>2158</v>
      </c>
      <c r="C24" s="9" t="s">
        <v>25</v>
      </c>
      <c r="E24" s="9" t="s">
        <v>28</v>
      </c>
      <c r="F24" s="9" t="s">
        <v>2206</v>
      </c>
      <c r="G24" s="9" t="s">
        <v>2224</v>
      </c>
      <c r="H24" s="11">
        <v>0.9</v>
      </c>
      <c r="I24" s="11">
        <v>0.9</v>
      </c>
      <c r="P24" s="9" t="s">
        <v>28</v>
      </c>
      <c r="R24" s="11">
        <v>0.9</v>
      </c>
      <c r="S24" s="11">
        <v>0.9</v>
      </c>
      <c r="T24" s="9" t="s">
        <v>28</v>
      </c>
      <c r="U24" s="9" t="s">
        <v>25</v>
      </c>
      <c r="W24" s="9" t="s">
        <v>25</v>
      </c>
      <c r="Z24" s="11">
        <v>0.9</v>
      </c>
      <c r="AA24" s="11">
        <v>0.9</v>
      </c>
      <c r="AB24" s="9" t="s">
        <v>41</v>
      </c>
      <c r="AD24" s="9" t="s">
        <v>2256</v>
      </c>
      <c r="AE24" s="11">
        <v>0.01</v>
      </c>
      <c r="AG24" s="9" t="s">
        <v>2162</v>
      </c>
      <c r="AI24" s="9" t="s">
        <v>2163</v>
      </c>
      <c r="AJ24" s="9" t="s">
        <v>25</v>
      </c>
      <c r="AL24" s="9" t="s">
        <v>2164</v>
      </c>
      <c r="AM24" s="9" t="s">
        <v>28</v>
      </c>
      <c r="AN24" s="9" t="s">
        <v>25</v>
      </c>
      <c r="AO24" s="9" t="s">
        <v>2244</v>
      </c>
      <c r="AP24" s="9" t="s">
        <v>2188</v>
      </c>
      <c r="AS24" s="9" t="s">
        <v>2203</v>
      </c>
      <c r="AT24" s="9" t="s">
        <v>25</v>
      </c>
      <c r="AV24" s="9" t="s">
        <v>28</v>
      </c>
      <c r="BA24" s="9" t="s">
        <v>2381</v>
      </c>
      <c r="BB24" s="39">
        <v>1000</v>
      </c>
      <c r="BC24" s="9" t="s">
        <v>13926</v>
      </c>
      <c r="BD24" s="9" t="s">
        <v>25</v>
      </c>
      <c r="BF24" s="9" t="s">
        <v>2171</v>
      </c>
      <c r="BS24" s="9" t="s">
        <v>25</v>
      </c>
      <c r="BT24" s="9" t="s">
        <v>28</v>
      </c>
      <c r="BU24" s="9" t="s">
        <v>2287</v>
      </c>
      <c r="BV24" s="11">
        <v>0</v>
      </c>
      <c r="BW24" s="9" t="s">
        <v>115</v>
      </c>
      <c r="BX24" s="9" t="s">
        <v>115</v>
      </c>
      <c r="BY24" s="9" t="s">
        <v>115</v>
      </c>
      <c r="BZ24" s="9" t="s">
        <v>115</v>
      </c>
      <c r="CA24" s="9" t="s">
        <v>115</v>
      </c>
      <c r="CB24" s="9" t="s">
        <v>732</v>
      </c>
      <c r="CC24" s="9" t="s">
        <v>732</v>
      </c>
      <c r="CD24" s="9" t="s">
        <v>732</v>
      </c>
      <c r="CE24" s="9" t="s">
        <v>28</v>
      </c>
      <c r="CF24" s="9">
        <v>2</v>
      </c>
      <c r="CG24" s="9" t="s">
        <v>2192</v>
      </c>
      <c r="CH24" s="9" t="s">
        <v>2382</v>
      </c>
      <c r="DZ24" s="9" t="s">
        <v>25</v>
      </c>
      <c r="EA24" s="9" t="s">
        <v>28</v>
      </c>
      <c r="EQ24" s="9" t="s">
        <v>25</v>
      </c>
      <c r="ER24" s="9" t="s">
        <v>41</v>
      </c>
      <c r="ES24" s="9" t="s">
        <v>41</v>
      </c>
      <c r="ET24" s="9" t="s">
        <v>41</v>
      </c>
      <c r="EU24" s="9" t="s">
        <v>25</v>
      </c>
      <c r="EV24" s="9" t="s">
        <v>28</v>
      </c>
      <c r="EW24" s="9" t="s">
        <v>41</v>
      </c>
      <c r="EX24" s="9" t="s">
        <v>25</v>
      </c>
      <c r="EY24" s="9" t="s">
        <v>25</v>
      </c>
      <c r="GR24" s="9" t="s">
        <v>1015</v>
      </c>
      <c r="GW24" s="9" t="s">
        <v>41</v>
      </c>
      <c r="GX24" s="9" t="s">
        <v>41</v>
      </c>
      <c r="GY24" s="9" t="s">
        <v>41</v>
      </c>
      <c r="GZ24" s="9" t="s">
        <v>41</v>
      </c>
      <c r="HC24" s="9" t="s">
        <v>25</v>
      </c>
    </row>
    <row r="25" spans="1:212" ht="38.25" x14ac:dyDescent="0.2">
      <c r="A25" s="8" t="s">
        <v>144</v>
      </c>
      <c r="B25" s="9" t="s">
        <v>2158</v>
      </c>
      <c r="C25" s="9" t="s">
        <v>25</v>
      </c>
      <c r="E25" s="9" t="s">
        <v>25</v>
      </c>
      <c r="G25" s="9" t="s">
        <v>2185</v>
      </c>
      <c r="H25" s="11">
        <v>0.8</v>
      </c>
      <c r="I25" s="11">
        <v>0.8</v>
      </c>
      <c r="J25" s="11">
        <v>0.99</v>
      </c>
      <c r="K25" s="11">
        <v>0.97</v>
      </c>
      <c r="L25" s="11">
        <v>0.98</v>
      </c>
      <c r="M25" s="11">
        <v>0.08</v>
      </c>
      <c r="N25" s="11">
        <v>0.09</v>
      </c>
      <c r="O25" s="11">
        <v>0.09</v>
      </c>
      <c r="P25" s="9" t="s">
        <v>28</v>
      </c>
      <c r="Q25" s="11">
        <v>0.17</v>
      </c>
      <c r="R25" s="11">
        <v>0.8</v>
      </c>
      <c r="S25" s="11">
        <v>0.8</v>
      </c>
      <c r="T25" s="9" t="s">
        <v>28</v>
      </c>
      <c r="U25" s="9" t="s">
        <v>25</v>
      </c>
      <c r="W25" s="9" t="s">
        <v>28</v>
      </c>
      <c r="X25" s="9" t="s">
        <v>2336</v>
      </c>
      <c r="Y25" s="11">
        <v>0.05</v>
      </c>
      <c r="Z25" s="11">
        <v>0.2</v>
      </c>
      <c r="AA25" s="11">
        <v>0.2</v>
      </c>
      <c r="AB25" s="9" t="s">
        <v>28</v>
      </c>
      <c r="AC25" s="11">
        <v>0.06</v>
      </c>
      <c r="AD25" s="9" t="s">
        <v>2160</v>
      </c>
      <c r="AE25" s="11">
        <v>0.02</v>
      </c>
      <c r="AF25" s="11">
        <v>0.14000000000000001</v>
      </c>
      <c r="AG25" s="9" t="s">
        <v>2162</v>
      </c>
      <c r="AI25" s="9" t="s">
        <v>2163</v>
      </c>
      <c r="AJ25" s="9" t="s">
        <v>28</v>
      </c>
      <c r="AK25" s="9" t="s">
        <v>28</v>
      </c>
      <c r="AL25" s="9" t="s">
        <v>2186</v>
      </c>
      <c r="AN25" s="9" t="s">
        <v>25</v>
      </c>
      <c r="AO25" s="9" t="s">
        <v>2165</v>
      </c>
      <c r="AP25" s="9" t="s">
        <v>2188</v>
      </c>
      <c r="AS25" s="9" t="s">
        <v>2203</v>
      </c>
      <c r="AT25" s="9" t="s">
        <v>25</v>
      </c>
      <c r="AV25" s="9" t="s">
        <v>28</v>
      </c>
      <c r="AW25" s="9" t="s">
        <v>28</v>
      </c>
      <c r="AX25" s="9" t="s">
        <v>28</v>
      </c>
      <c r="AY25" s="9" t="s">
        <v>28</v>
      </c>
      <c r="AZ25" s="9" t="s">
        <v>25</v>
      </c>
      <c r="BA25" s="9" t="s">
        <v>2337</v>
      </c>
      <c r="BB25" s="39">
        <v>17100</v>
      </c>
      <c r="BC25" s="9" t="s">
        <v>13919</v>
      </c>
      <c r="BD25" s="9" t="s">
        <v>2169</v>
      </c>
      <c r="BE25" s="9" t="s">
        <v>2170</v>
      </c>
      <c r="BF25" s="9" t="s">
        <v>2171</v>
      </c>
      <c r="BS25" s="9" t="s">
        <v>25</v>
      </c>
      <c r="BT25" s="9" t="s">
        <v>28</v>
      </c>
      <c r="BU25" s="9" t="s">
        <v>2222</v>
      </c>
      <c r="BV25" s="11">
        <v>0</v>
      </c>
      <c r="BW25" s="9" t="s">
        <v>115</v>
      </c>
      <c r="BX25" s="9" t="s">
        <v>115</v>
      </c>
      <c r="BY25" s="9" t="s">
        <v>115</v>
      </c>
      <c r="BZ25" s="9" t="s">
        <v>732</v>
      </c>
      <c r="CA25" s="9" t="s">
        <v>732</v>
      </c>
      <c r="CB25" s="9" t="s">
        <v>732</v>
      </c>
      <c r="CC25" s="9" t="s">
        <v>732</v>
      </c>
      <c r="CD25" s="9" t="s">
        <v>115</v>
      </c>
      <c r="CE25" s="9" t="s">
        <v>28</v>
      </c>
      <c r="CF25" s="9">
        <v>2</v>
      </c>
      <c r="CG25" s="9" t="s">
        <v>2192</v>
      </c>
      <c r="CH25" s="9" t="s">
        <v>2338</v>
      </c>
      <c r="CM25" s="9">
        <v>1</v>
      </c>
      <c r="CO25" s="9">
        <v>1</v>
      </c>
      <c r="CP25" s="9">
        <v>2</v>
      </c>
      <c r="CY25" s="9">
        <v>1</v>
      </c>
      <c r="DA25" s="9">
        <v>1</v>
      </c>
      <c r="DB25" s="9">
        <v>1</v>
      </c>
      <c r="DC25" s="9">
        <v>1</v>
      </c>
      <c r="DG25" s="9">
        <v>2</v>
      </c>
      <c r="DK25" s="9">
        <v>1</v>
      </c>
      <c r="DN25" s="9">
        <v>1</v>
      </c>
      <c r="DP25" s="9">
        <v>1</v>
      </c>
      <c r="DQ25" s="9">
        <v>1</v>
      </c>
      <c r="DT25" s="9">
        <v>12</v>
      </c>
      <c r="DZ25" s="9" t="s">
        <v>25</v>
      </c>
      <c r="EA25" s="9" t="s">
        <v>25</v>
      </c>
      <c r="EQ25" s="9" t="s">
        <v>28</v>
      </c>
      <c r="ER25" s="9" t="s">
        <v>2169</v>
      </c>
      <c r="ES25" s="9" t="s">
        <v>28</v>
      </c>
      <c r="ET25" s="9" t="s">
        <v>28</v>
      </c>
      <c r="EU25" s="9" t="s">
        <v>28</v>
      </c>
      <c r="EV25" s="9" t="s">
        <v>28</v>
      </c>
      <c r="EW25" s="9" t="s">
        <v>28</v>
      </c>
      <c r="EX25" s="9" t="s">
        <v>25</v>
      </c>
      <c r="EY25" s="9" t="s">
        <v>28</v>
      </c>
      <c r="EZ25" s="9" t="s">
        <v>2175</v>
      </c>
      <c r="FB25" s="9" t="s">
        <v>2176</v>
      </c>
      <c r="FD25" s="9" t="s">
        <v>25</v>
      </c>
      <c r="FE25" s="9" t="s">
        <v>13528</v>
      </c>
      <c r="FF25" s="9" t="s">
        <v>28</v>
      </c>
      <c r="FG25" s="9" t="s">
        <v>2339</v>
      </c>
      <c r="FH25" s="9" t="s">
        <v>25</v>
      </c>
      <c r="FI25" s="9" t="s">
        <v>2177</v>
      </c>
      <c r="FJ25" s="11">
        <v>0.8</v>
      </c>
      <c r="FK25" s="11">
        <v>0.8</v>
      </c>
      <c r="FO25" s="11">
        <v>0.8</v>
      </c>
      <c r="FW25" s="9" t="s">
        <v>28</v>
      </c>
      <c r="FX25" s="9" t="s">
        <v>2193</v>
      </c>
      <c r="FZ25" s="9" t="s">
        <v>2340</v>
      </c>
      <c r="GA25" s="9" t="s">
        <v>256</v>
      </c>
      <c r="GB25" s="9" t="s">
        <v>2341</v>
      </c>
      <c r="GC25" s="9" t="s">
        <v>25</v>
      </c>
      <c r="GD25" s="9" t="s">
        <v>25</v>
      </c>
      <c r="GE25" s="63" t="s">
        <v>13162</v>
      </c>
      <c r="GF25" s="9" t="s">
        <v>2181</v>
      </c>
      <c r="GG25" s="9" t="s">
        <v>2182</v>
      </c>
      <c r="GH25" s="9" t="s">
        <v>635</v>
      </c>
      <c r="GI25" s="9" t="s">
        <v>2182</v>
      </c>
      <c r="GJ25" s="9" t="s">
        <v>2182</v>
      </c>
      <c r="GK25" s="9">
        <v>15</v>
      </c>
      <c r="GM25" s="9" t="s">
        <v>2232</v>
      </c>
      <c r="GO25" s="9" t="s">
        <v>2233</v>
      </c>
      <c r="GQ25" s="9" t="s">
        <v>635</v>
      </c>
      <c r="GR25" s="9" t="s">
        <v>28</v>
      </c>
      <c r="GS25" s="9" t="s">
        <v>28</v>
      </c>
      <c r="GT25" s="9" t="s">
        <v>25</v>
      </c>
      <c r="GU25" s="9" t="s">
        <v>28</v>
      </c>
      <c r="GV25" s="9" t="s">
        <v>25</v>
      </c>
      <c r="GW25" s="9" t="s">
        <v>25</v>
      </c>
      <c r="GX25" s="9" t="s">
        <v>25</v>
      </c>
      <c r="GY25" s="9" t="s">
        <v>25</v>
      </c>
      <c r="GZ25" s="9" t="s">
        <v>25</v>
      </c>
      <c r="HC25" s="9" t="s">
        <v>25</v>
      </c>
    </row>
    <row r="26" spans="1:212" ht="63.75" x14ac:dyDescent="0.2">
      <c r="A26" s="8" t="s">
        <v>140</v>
      </c>
      <c r="B26" s="9" t="s">
        <v>2158</v>
      </c>
      <c r="C26" s="9" t="s">
        <v>25</v>
      </c>
      <c r="E26" s="9" t="s">
        <v>28</v>
      </c>
      <c r="F26" s="9" t="s">
        <v>2206</v>
      </c>
      <c r="G26" s="9" t="s">
        <v>2159</v>
      </c>
      <c r="H26" s="11">
        <v>0.6</v>
      </c>
      <c r="I26" s="11">
        <v>0.6</v>
      </c>
      <c r="J26" s="11">
        <v>0.95</v>
      </c>
      <c r="K26" s="11">
        <v>0.86</v>
      </c>
      <c r="L26" s="11">
        <v>0.88</v>
      </c>
      <c r="M26" s="11">
        <v>0.06</v>
      </c>
      <c r="N26" s="11">
        <v>7.0000000000000007E-2</v>
      </c>
      <c r="O26" s="11">
        <v>7.0000000000000007E-2</v>
      </c>
      <c r="P26" s="9" t="s">
        <v>28</v>
      </c>
      <c r="Q26" s="11">
        <v>0.11</v>
      </c>
      <c r="R26" s="11">
        <v>0.6</v>
      </c>
      <c r="S26" s="11">
        <v>0.6</v>
      </c>
      <c r="T26" s="9" t="s">
        <v>28</v>
      </c>
      <c r="U26" s="9" t="s">
        <v>28</v>
      </c>
      <c r="V26" s="39">
        <v>20000</v>
      </c>
      <c r="W26" s="9" t="s">
        <v>25</v>
      </c>
      <c r="Y26" s="11">
        <v>0.03</v>
      </c>
      <c r="Z26" s="11">
        <v>0.6</v>
      </c>
      <c r="AA26" s="11">
        <v>0.6</v>
      </c>
      <c r="AB26" s="9" t="s">
        <v>28</v>
      </c>
      <c r="AC26" s="11">
        <v>0.06</v>
      </c>
      <c r="AD26" s="9" t="s">
        <v>2256</v>
      </c>
      <c r="AE26" s="11">
        <v>0.01</v>
      </c>
      <c r="AF26" s="11">
        <v>0.05</v>
      </c>
      <c r="AG26" s="9" t="s">
        <v>2162</v>
      </c>
      <c r="AI26" s="9" t="s">
        <v>2163</v>
      </c>
      <c r="AJ26" s="9" t="s">
        <v>28</v>
      </c>
      <c r="AK26" s="9" t="s">
        <v>28</v>
      </c>
      <c r="AL26" s="9" t="s">
        <v>2164</v>
      </c>
      <c r="AM26" s="9" t="s">
        <v>28</v>
      </c>
      <c r="AN26" s="9" t="s">
        <v>25</v>
      </c>
      <c r="AO26" s="9" t="s">
        <v>2165</v>
      </c>
      <c r="AP26" s="9" t="s">
        <v>2188</v>
      </c>
      <c r="AQ26" s="9" t="s">
        <v>25</v>
      </c>
      <c r="AS26" s="9" t="s">
        <v>2203</v>
      </c>
      <c r="AT26" s="9" t="s">
        <v>25</v>
      </c>
      <c r="AV26" s="9" t="s">
        <v>28</v>
      </c>
      <c r="AW26" s="9" t="s">
        <v>28</v>
      </c>
      <c r="AX26" s="9" t="s">
        <v>28</v>
      </c>
      <c r="AY26" s="9" t="s">
        <v>28</v>
      </c>
      <c r="AZ26" s="9" t="s">
        <v>25</v>
      </c>
      <c r="BA26" s="9" t="s">
        <v>2314</v>
      </c>
      <c r="BB26" s="39">
        <v>7800</v>
      </c>
      <c r="BC26" s="9" t="s">
        <v>2315</v>
      </c>
      <c r="BD26" s="9" t="s">
        <v>25</v>
      </c>
      <c r="BF26" s="9" t="s">
        <v>2171</v>
      </c>
      <c r="BS26" s="9" t="s">
        <v>25</v>
      </c>
      <c r="BT26" s="9" t="s">
        <v>25</v>
      </c>
      <c r="BV26" s="11">
        <v>0.01</v>
      </c>
      <c r="BW26" s="9" t="s">
        <v>732</v>
      </c>
      <c r="BX26" s="9" t="s">
        <v>732</v>
      </c>
      <c r="BY26" s="9" t="s">
        <v>115</v>
      </c>
      <c r="BZ26" s="9" t="s">
        <v>732</v>
      </c>
      <c r="CA26" s="9" t="s">
        <v>732</v>
      </c>
      <c r="CB26" s="9" t="s">
        <v>115</v>
      </c>
      <c r="CC26" s="9" t="s">
        <v>732</v>
      </c>
      <c r="CD26" s="9" t="s">
        <v>2191</v>
      </c>
      <c r="CE26" s="9" t="s">
        <v>28</v>
      </c>
      <c r="CF26" s="9">
        <v>1</v>
      </c>
      <c r="CG26" s="9" t="s">
        <v>2192</v>
      </c>
      <c r="CH26" s="9" t="s">
        <v>2316</v>
      </c>
      <c r="CI26" s="9" t="s">
        <v>2317</v>
      </c>
      <c r="CJ26" s="9">
        <v>4</v>
      </c>
      <c r="CL26" s="9">
        <v>1</v>
      </c>
      <c r="CO26" s="9">
        <v>1</v>
      </c>
      <c r="CP26" s="9">
        <v>1</v>
      </c>
      <c r="CS26" s="9">
        <v>1</v>
      </c>
      <c r="CZ26" s="9">
        <v>1</v>
      </c>
      <c r="DA26" s="9">
        <v>1</v>
      </c>
      <c r="DB26" s="9">
        <v>1</v>
      </c>
      <c r="DI26" s="9">
        <v>1</v>
      </c>
      <c r="DJ26" s="9">
        <v>1</v>
      </c>
      <c r="DK26" s="9">
        <v>1</v>
      </c>
      <c r="DL26" s="9">
        <v>1</v>
      </c>
      <c r="DP26" s="9">
        <v>1</v>
      </c>
      <c r="DQ26" s="9">
        <v>1</v>
      </c>
      <c r="DT26" s="9">
        <v>1</v>
      </c>
      <c r="DZ26" s="9" t="s">
        <v>25</v>
      </c>
      <c r="EA26" s="9" t="s">
        <v>28</v>
      </c>
      <c r="EB26" s="9" t="s">
        <v>28</v>
      </c>
      <c r="EC26" s="9" t="s">
        <v>28</v>
      </c>
      <c r="ED26" s="9" t="s">
        <v>28</v>
      </c>
      <c r="EE26" s="9" t="s">
        <v>28</v>
      </c>
      <c r="EF26" s="9" t="s">
        <v>28</v>
      </c>
      <c r="EG26" s="9" t="s">
        <v>28</v>
      </c>
      <c r="EH26" s="9" t="s">
        <v>28</v>
      </c>
      <c r="EI26" s="9" t="s">
        <v>28</v>
      </c>
      <c r="EJ26" s="9" t="s">
        <v>28</v>
      </c>
      <c r="EK26" s="9" t="s">
        <v>25</v>
      </c>
      <c r="EL26" s="9" t="s">
        <v>25</v>
      </c>
      <c r="EM26" s="9" t="s">
        <v>28</v>
      </c>
      <c r="EN26" s="9" t="s">
        <v>25</v>
      </c>
      <c r="EO26" s="9" t="s">
        <v>28</v>
      </c>
      <c r="EP26" s="9" t="s">
        <v>2318</v>
      </c>
      <c r="EQ26" s="9" t="s">
        <v>28</v>
      </c>
      <c r="ER26" s="9" t="s">
        <v>25</v>
      </c>
      <c r="ES26" s="9" t="s">
        <v>28</v>
      </c>
      <c r="ET26" s="9" t="s">
        <v>28</v>
      </c>
      <c r="EU26" s="9" t="s">
        <v>28</v>
      </c>
      <c r="EV26" s="9" t="s">
        <v>28</v>
      </c>
      <c r="EW26" s="9" t="s">
        <v>28</v>
      </c>
      <c r="EX26" s="9" t="s">
        <v>28</v>
      </c>
      <c r="EY26" s="9" t="s">
        <v>28</v>
      </c>
      <c r="EZ26" s="9" t="s">
        <v>2175</v>
      </c>
      <c r="FB26" s="9" t="s">
        <v>2176</v>
      </c>
      <c r="FD26" s="9" t="s">
        <v>25</v>
      </c>
      <c r="FE26" s="9" t="s">
        <v>13528</v>
      </c>
      <c r="FF26" s="9" t="s">
        <v>25</v>
      </c>
      <c r="FH26" s="9" t="s">
        <v>25</v>
      </c>
      <c r="FI26" s="9" t="s">
        <v>2177</v>
      </c>
      <c r="FJ26" s="11">
        <v>0.5</v>
      </c>
      <c r="FK26" s="11">
        <v>1</v>
      </c>
      <c r="FL26" s="11">
        <v>1</v>
      </c>
      <c r="FO26" s="11">
        <v>1</v>
      </c>
      <c r="FW26" s="9" t="s">
        <v>25</v>
      </c>
      <c r="GC26" s="9" t="s">
        <v>28</v>
      </c>
      <c r="GD26" s="9" t="s">
        <v>25</v>
      </c>
      <c r="GE26" s="63" t="s">
        <v>13162</v>
      </c>
      <c r="GF26" s="9" t="s">
        <v>2181</v>
      </c>
      <c r="GG26" s="9" t="s">
        <v>2182</v>
      </c>
      <c r="GH26" s="9" t="s">
        <v>2183</v>
      </c>
      <c r="GI26" s="9" t="s">
        <v>2182</v>
      </c>
      <c r="GJ26" s="9" t="s">
        <v>2182</v>
      </c>
      <c r="GK26" s="9">
        <v>5</v>
      </c>
      <c r="GM26" s="9" t="s">
        <v>635</v>
      </c>
      <c r="GQ26" s="9" t="s">
        <v>2186</v>
      </c>
      <c r="GR26" s="9" t="s">
        <v>25</v>
      </c>
      <c r="GW26" s="9" t="s">
        <v>25</v>
      </c>
      <c r="GX26" s="9" t="s">
        <v>25</v>
      </c>
      <c r="GY26" s="9" t="s">
        <v>25</v>
      </c>
      <c r="GZ26" s="9" t="s">
        <v>41</v>
      </c>
      <c r="HC26" s="9" t="s">
        <v>25</v>
      </c>
    </row>
    <row r="27" spans="1:212" ht="51" x14ac:dyDescent="0.2">
      <c r="A27" s="8" t="s">
        <v>127</v>
      </c>
      <c r="B27" s="9" t="s">
        <v>2218</v>
      </c>
      <c r="C27" s="9" t="s">
        <v>25</v>
      </c>
      <c r="E27" s="9" t="s">
        <v>25</v>
      </c>
      <c r="G27" s="9" t="s">
        <v>2185</v>
      </c>
      <c r="H27" s="11">
        <v>0.75</v>
      </c>
      <c r="J27" s="11">
        <v>0.93</v>
      </c>
      <c r="K27" s="11">
        <v>0.88</v>
      </c>
      <c r="L27" s="11">
        <v>0.89</v>
      </c>
      <c r="M27" s="11">
        <v>0.06</v>
      </c>
      <c r="N27" s="11">
        <v>0.06</v>
      </c>
      <c r="O27" s="11">
        <v>0.06</v>
      </c>
      <c r="P27" s="9" t="s">
        <v>28</v>
      </c>
      <c r="Q27" s="11">
        <v>0.14000000000000001</v>
      </c>
      <c r="R27" s="11">
        <v>0.75</v>
      </c>
      <c r="S27" s="11">
        <v>0.75</v>
      </c>
      <c r="T27" s="9" t="s">
        <v>28</v>
      </c>
      <c r="Y27" s="11">
        <v>0.06</v>
      </c>
      <c r="Z27" s="11">
        <v>0.75</v>
      </c>
      <c r="AA27" s="11">
        <v>0.75</v>
      </c>
      <c r="AB27" s="9" t="s">
        <v>28</v>
      </c>
      <c r="AC27" s="11">
        <v>0.05</v>
      </c>
      <c r="AE27" s="9" t="s">
        <v>2248</v>
      </c>
      <c r="AG27" s="9" t="s">
        <v>2162</v>
      </c>
      <c r="AI27" s="9" t="s">
        <v>2163</v>
      </c>
      <c r="AJ27" s="9" t="s">
        <v>28</v>
      </c>
      <c r="AL27" s="9" t="s">
        <v>2164</v>
      </c>
      <c r="AM27" s="9" t="s">
        <v>28</v>
      </c>
      <c r="AN27" s="9" t="s">
        <v>25</v>
      </c>
      <c r="AP27" s="9" t="s">
        <v>2188</v>
      </c>
      <c r="AS27" s="9" t="s">
        <v>2203</v>
      </c>
      <c r="AT27" s="9" t="s">
        <v>25</v>
      </c>
      <c r="BA27" s="9" t="s">
        <v>2249</v>
      </c>
      <c r="BB27" s="39">
        <v>12600</v>
      </c>
      <c r="BC27" s="9" t="s">
        <v>13912</v>
      </c>
      <c r="BD27" s="9" t="s">
        <v>2169</v>
      </c>
      <c r="BE27" s="9" t="s">
        <v>2170</v>
      </c>
      <c r="BF27" s="9" t="s">
        <v>2171</v>
      </c>
      <c r="BS27" s="9" t="s">
        <v>25</v>
      </c>
      <c r="BT27" s="9" t="s">
        <v>28</v>
      </c>
      <c r="BU27" s="9" t="s">
        <v>2222</v>
      </c>
      <c r="BV27" s="11">
        <v>0.02</v>
      </c>
      <c r="BW27" s="9" t="s">
        <v>115</v>
      </c>
      <c r="BX27" s="9" t="s">
        <v>115</v>
      </c>
      <c r="BY27" s="9" t="s">
        <v>115</v>
      </c>
      <c r="BZ27" s="9" t="s">
        <v>732</v>
      </c>
      <c r="CA27" s="9" t="s">
        <v>732</v>
      </c>
      <c r="CB27" s="9" t="s">
        <v>732</v>
      </c>
      <c r="CC27" s="9" t="s">
        <v>732</v>
      </c>
      <c r="CD27" s="9" t="s">
        <v>732</v>
      </c>
      <c r="CE27" s="9" t="s">
        <v>28</v>
      </c>
      <c r="CF27" s="9">
        <v>1</v>
      </c>
      <c r="CG27" s="9" t="s">
        <v>2192</v>
      </c>
      <c r="CH27" s="9" t="s">
        <v>13939</v>
      </c>
      <c r="CM27" s="9">
        <v>1</v>
      </c>
      <c r="CO27" s="9">
        <v>1</v>
      </c>
      <c r="CP27" s="9">
        <v>1</v>
      </c>
      <c r="CY27" s="9">
        <v>1</v>
      </c>
      <c r="DK27" s="9">
        <v>1</v>
      </c>
      <c r="DL27" s="9">
        <v>1</v>
      </c>
      <c r="DT27" s="9">
        <v>9</v>
      </c>
      <c r="DZ27" s="9" t="s">
        <v>25</v>
      </c>
      <c r="EA27" s="9" t="s">
        <v>28</v>
      </c>
      <c r="EB27" s="9" t="s">
        <v>28</v>
      </c>
      <c r="EC27" s="9" t="s">
        <v>28</v>
      </c>
      <c r="ED27" s="9" t="s">
        <v>25</v>
      </c>
      <c r="EE27" s="9" t="s">
        <v>25</v>
      </c>
      <c r="EF27" s="9" t="s">
        <v>25</v>
      </c>
      <c r="EG27" s="9" t="s">
        <v>28</v>
      </c>
      <c r="EH27" s="9" t="s">
        <v>28</v>
      </c>
      <c r="EI27" s="9" t="s">
        <v>28</v>
      </c>
      <c r="EJ27" s="9" t="s">
        <v>25</v>
      </c>
      <c r="EK27" s="9" t="s">
        <v>25</v>
      </c>
      <c r="EL27" s="9" t="s">
        <v>25</v>
      </c>
      <c r="EO27" s="9" t="s">
        <v>25</v>
      </c>
      <c r="EQ27" s="9" t="s">
        <v>28</v>
      </c>
      <c r="ER27" s="9" t="s">
        <v>2169</v>
      </c>
      <c r="ES27" s="9" t="s">
        <v>28</v>
      </c>
      <c r="ET27" s="9" t="s">
        <v>28</v>
      </c>
      <c r="EU27" s="9" t="s">
        <v>28</v>
      </c>
      <c r="EV27" s="9" t="s">
        <v>28</v>
      </c>
      <c r="EW27" s="9" t="s">
        <v>28</v>
      </c>
      <c r="EX27" s="9" t="s">
        <v>28</v>
      </c>
      <c r="EY27" s="9" t="s">
        <v>28</v>
      </c>
      <c r="EZ27" s="9" t="s">
        <v>2175</v>
      </c>
      <c r="FB27" s="9" t="s">
        <v>2214</v>
      </c>
      <c r="FD27" s="9" t="s">
        <v>28</v>
      </c>
      <c r="FE27" s="9" t="s">
        <v>13527</v>
      </c>
      <c r="FF27" s="9" t="s">
        <v>25</v>
      </c>
      <c r="FH27" s="9" t="s">
        <v>28</v>
      </c>
      <c r="FI27" s="9" t="s">
        <v>2177</v>
      </c>
      <c r="FJ27" s="11">
        <v>0.75</v>
      </c>
      <c r="FK27" s="11">
        <v>1</v>
      </c>
      <c r="FL27" s="11">
        <v>1</v>
      </c>
      <c r="FN27" s="11">
        <v>1</v>
      </c>
      <c r="FO27" s="11">
        <v>1</v>
      </c>
      <c r="FP27" s="11">
        <v>1</v>
      </c>
      <c r="FW27" s="9" t="s">
        <v>28</v>
      </c>
      <c r="FX27" s="9" t="s">
        <v>2193</v>
      </c>
      <c r="FZ27" s="9" t="s">
        <v>2250</v>
      </c>
      <c r="GA27" s="9" t="s">
        <v>256</v>
      </c>
      <c r="GB27" s="9" t="s">
        <v>2180</v>
      </c>
      <c r="GC27" s="9" t="s">
        <v>25</v>
      </c>
      <c r="GD27" s="9" t="s">
        <v>25</v>
      </c>
      <c r="GE27" s="63" t="s">
        <v>13162</v>
      </c>
      <c r="GF27" s="9" t="s">
        <v>2195</v>
      </c>
      <c r="GG27" s="9" t="s">
        <v>2182</v>
      </c>
      <c r="GI27" s="9" t="s">
        <v>2182</v>
      </c>
      <c r="GJ27" s="9" t="s">
        <v>2182</v>
      </c>
      <c r="GM27" s="9" t="s">
        <v>2251</v>
      </c>
      <c r="GP27" s="9" t="s">
        <v>700</v>
      </c>
      <c r="GQ27" s="9" t="s">
        <v>2229</v>
      </c>
      <c r="GR27" s="9" t="s">
        <v>1015</v>
      </c>
      <c r="GW27" s="9" t="s">
        <v>25</v>
      </c>
      <c r="GX27" s="9" t="s">
        <v>25</v>
      </c>
      <c r="GY27" s="9" t="s">
        <v>25</v>
      </c>
      <c r="GZ27" s="9" t="s">
        <v>28</v>
      </c>
      <c r="HC27" s="9" t="s">
        <v>41</v>
      </c>
    </row>
    <row r="28" spans="1:212" ht="51" x14ac:dyDescent="0.2">
      <c r="A28" s="8" t="s">
        <v>131</v>
      </c>
      <c r="B28" s="9" t="s">
        <v>2218</v>
      </c>
      <c r="C28" s="9" t="s">
        <v>25</v>
      </c>
      <c r="E28" s="9" t="s">
        <v>25</v>
      </c>
      <c r="G28" s="9" t="s">
        <v>2185</v>
      </c>
      <c r="H28" s="11">
        <v>0.5</v>
      </c>
      <c r="I28" s="11">
        <v>0.5</v>
      </c>
      <c r="J28" s="11">
        <v>0.98</v>
      </c>
      <c r="K28" s="11">
        <v>0.9</v>
      </c>
      <c r="L28" s="11">
        <v>0.91</v>
      </c>
      <c r="M28" s="11">
        <v>7.0000000000000007E-2</v>
      </c>
      <c r="N28" s="11">
        <v>0.05</v>
      </c>
      <c r="O28" s="11">
        <v>0.06</v>
      </c>
      <c r="P28" s="9" t="s">
        <v>28</v>
      </c>
      <c r="Q28" s="11">
        <v>0.15</v>
      </c>
      <c r="R28" s="11">
        <v>0.5</v>
      </c>
      <c r="S28" s="11">
        <v>0.5</v>
      </c>
      <c r="T28" s="9" t="s">
        <v>41</v>
      </c>
      <c r="AB28" s="9" t="s">
        <v>28</v>
      </c>
      <c r="AC28" s="11">
        <v>0.04</v>
      </c>
      <c r="AD28" s="9" t="s">
        <v>2256</v>
      </c>
      <c r="AE28" s="9" t="s">
        <v>2248</v>
      </c>
      <c r="AF28" s="11">
        <v>0.1</v>
      </c>
      <c r="AG28" s="9" t="s">
        <v>2162</v>
      </c>
      <c r="AI28" s="9" t="s">
        <v>2163</v>
      </c>
      <c r="AJ28" s="9" t="s">
        <v>28</v>
      </c>
      <c r="AK28" s="9" t="s">
        <v>1015</v>
      </c>
      <c r="AL28" s="9" t="s">
        <v>29</v>
      </c>
      <c r="AN28" s="9" t="s">
        <v>25</v>
      </c>
      <c r="AO28" s="9" t="s">
        <v>2165</v>
      </c>
      <c r="AP28" s="9" t="s">
        <v>2166</v>
      </c>
      <c r="AQ28" s="9" t="s">
        <v>25</v>
      </c>
      <c r="AS28" s="9" t="s">
        <v>2203</v>
      </c>
      <c r="AT28" s="9" t="s">
        <v>25</v>
      </c>
      <c r="AV28" s="9" t="s">
        <v>28</v>
      </c>
      <c r="AW28" s="9" t="s">
        <v>28</v>
      </c>
      <c r="AX28" s="9" t="s">
        <v>28</v>
      </c>
      <c r="AY28" s="9" t="s">
        <v>28</v>
      </c>
      <c r="AZ28" s="9" t="s">
        <v>25</v>
      </c>
      <c r="BA28" s="9" t="s">
        <v>2268</v>
      </c>
      <c r="BB28" s="39">
        <v>12200</v>
      </c>
      <c r="BC28" s="9" t="s">
        <v>13913</v>
      </c>
      <c r="BD28" s="9" t="s">
        <v>2169</v>
      </c>
      <c r="BE28" s="9" t="s">
        <v>2269</v>
      </c>
      <c r="BF28" s="9" t="s">
        <v>2171</v>
      </c>
      <c r="BS28" s="9" t="s">
        <v>25</v>
      </c>
      <c r="BT28" s="9" t="s">
        <v>28</v>
      </c>
      <c r="BU28" s="9" t="s">
        <v>2222</v>
      </c>
      <c r="BV28" s="11">
        <v>0.01</v>
      </c>
      <c r="BW28" s="9" t="s">
        <v>732</v>
      </c>
      <c r="BX28" s="9" t="s">
        <v>732</v>
      </c>
      <c r="BY28" s="9" t="s">
        <v>115</v>
      </c>
      <c r="BZ28" s="9" t="s">
        <v>732</v>
      </c>
      <c r="CA28" s="9" t="s">
        <v>732</v>
      </c>
      <c r="CB28" s="9" t="s">
        <v>732</v>
      </c>
      <c r="CC28" s="9" t="s">
        <v>2228</v>
      </c>
      <c r="CD28" s="9" t="s">
        <v>2228</v>
      </c>
      <c r="CE28" s="9" t="s">
        <v>28</v>
      </c>
      <c r="CF28" s="9">
        <v>1</v>
      </c>
      <c r="CG28" s="9" t="s">
        <v>2192</v>
      </c>
      <c r="CH28" s="9" t="s">
        <v>2270</v>
      </c>
      <c r="CM28" s="9">
        <v>1</v>
      </c>
      <c r="CO28" s="9">
        <v>2</v>
      </c>
      <c r="DA28" s="9">
        <v>2</v>
      </c>
      <c r="DB28" s="9">
        <v>1</v>
      </c>
      <c r="DE28" s="9">
        <v>1</v>
      </c>
      <c r="DF28" s="9">
        <v>2</v>
      </c>
      <c r="DI28" s="9">
        <v>1</v>
      </c>
      <c r="DJ28" s="9">
        <v>1</v>
      </c>
      <c r="DL28" s="9">
        <v>1</v>
      </c>
      <c r="DN28" s="9">
        <v>2</v>
      </c>
      <c r="DR28" s="9">
        <v>1</v>
      </c>
      <c r="DT28" s="9">
        <v>12</v>
      </c>
      <c r="DZ28" s="9" t="s">
        <v>25</v>
      </c>
      <c r="EA28" s="9" t="s">
        <v>25</v>
      </c>
      <c r="EQ28" s="9" t="s">
        <v>25</v>
      </c>
      <c r="ER28" s="9" t="s">
        <v>2169</v>
      </c>
      <c r="ES28" s="9" t="s">
        <v>28</v>
      </c>
      <c r="ET28" s="9" t="s">
        <v>28</v>
      </c>
      <c r="EU28" s="9" t="s">
        <v>28</v>
      </c>
      <c r="EV28" s="9" t="s">
        <v>28</v>
      </c>
      <c r="EW28" s="9" t="s">
        <v>28</v>
      </c>
      <c r="EX28" s="9" t="s">
        <v>25</v>
      </c>
      <c r="EY28" s="9" t="s">
        <v>28</v>
      </c>
      <c r="EZ28" s="9" t="s">
        <v>2175</v>
      </c>
      <c r="FB28" s="9" t="s">
        <v>2214</v>
      </c>
      <c r="FD28" s="9" t="s">
        <v>25</v>
      </c>
      <c r="FE28" s="9" t="s">
        <v>13529</v>
      </c>
      <c r="FF28" s="9" t="s">
        <v>25</v>
      </c>
      <c r="FH28" s="9" t="s">
        <v>28</v>
      </c>
      <c r="FI28" s="9" t="s">
        <v>2177</v>
      </c>
      <c r="FJ28" s="11">
        <v>0.5</v>
      </c>
      <c r="FK28" s="11">
        <v>1</v>
      </c>
      <c r="FL28" s="11">
        <v>1</v>
      </c>
      <c r="FW28" s="9" t="s">
        <v>25</v>
      </c>
      <c r="GC28" s="9" t="s">
        <v>25</v>
      </c>
      <c r="GD28" s="9" t="s">
        <v>25</v>
      </c>
      <c r="GE28" s="63" t="s">
        <v>13162</v>
      </c>
      <c r="GF28" s="9" t="s">
        <v>2181</v>
      </c>
      <c r="GG28" s="9" t="s">
        <v>2183</v>
      </c>
      <c r="GH28" s="9" t="s">
        <v>2183</v>
      </c>
      <c r="GI28" s="9" t="s">
        <v>2182</v>
      </c>
      <c r="GJ28" s="9" t="s">
        <v>2182</v>
      </c>
      <c r="GK28" s="9">
        <v>15</v>
      </c>
      <c r="GM28" s="9" t="s">
        <v>635</v>
      </c>
      <c r="GQ28" s="9" t="s">
        <v>635</v>
      </c>
      <c r="GR28" s="9" t="s">
        <v>25</v>
      </c>
      <c r="GW28" s="9" t="s">
        <v>25</v>
      </c>
      <c r="GX28" s="9" t="s">
        <v>25</v>
      </c>
      <c r="GY28" s="9" t="s">
        <v>25</v>
      </c>
      <c r="GZ28" s="9" t="s">
        <v>41</v>
      </c>
      <c r="HC28" s="9" t="s">
        <v>25</v>
      </c>
    </row>
    <row r="29" spans="1:212" ht="51" x14ac:dyDescent="0.2">
      <c r="A29" s="8" t="s">
        <v>139</v>
      </c>
      <c r="B29" s="9" t="s">
        <v>2218</v>
      </c>
      <c r="C29" s="9" t="s">
        <v>25</v>
      </c>
      <c r="E29" s="9" t="s">
        <v>28</v>
      </c>
      <c r="F29" s="9" t="s">
        <v>2200</v>
      </c>
      <c r="G29" s="9" t="s">
        <v>2304</v>
      </c>
      <c r="H29" s="11">
        <v>0.5</v>
      </c>
      <c r="I29" s="11">
        <v>0.75</v>
      </c>
      <c r="J29" s="11">
        <v>0.95</v>
      </c>
      <c r="K29" s="11">
        <v>0.95</v>
      </c>
      <c r="L29" s="11">
        <v>0.95</v>
      </c>
      <c r="M29" s="11">
        <v>7.0000000000000007E-2</v>
      </c>
      <c r="N29" s="11">
        <v>7.0000000000000007E-2</v>
      </c>
      <c r="O29" s="11">
        <v>7.0000000000000007E-2</v>
      </c>
      <c r="P29" s="9" t="s">
        <v>28</v>
      </c>
      <c r="Q29" s="11">
        <v>0.15</v>
      </c>
      <c r="R29" s="11">
        <v>0.5</v>
      </c>
      <c r="S29" s="11">
        <v>0.5</v>
      </c>
      <c r="T29" s="9" t="s">
        <v>28</v>
      </c>
      <c r="U29" s="9" t="s">
        <v>28</v>
      </c>
      <c r="V29" s="39">
        <v>28500</v>
      </c>
      <c r="W29" s="9" t="s">
        <v>25</v>
      </c>
      <c r="Y29" s="11">
        <v>0.04</v>
      </c>
      <c r="Z29" s="11">
        <v>0.5</v>
      </c>
      <c r="AA29" s="11">
        <v>0.5</v>
      </c>
      <c r="AB29" s="9" t="s">
        <v>28</v>
      </c>
      <c r="AC29" s="11">
        <v>0.06</v>
      </c>
      <c r="AD29" s="9" t="s">
        <v>2160</v>
      </c>
      <c r="AE29" s="11">
        <v>0.01</v>
      </c>
      <c r="AF29" s="9" t="s">
        <v>2161</v>
      </c>
      <c r="AG29" s="9" t="s">
        <v>2162</v>
      </c>
      <c r="AI29" s="9" t="s">
        <v>2163</v>
      </c>
      <c r="AJ29" s="9" t="s">
        <v>28</v>
      </c>
      <c r="AK29" s="9" t="s">
        <v>25</v>
      </c>
      <c r="AL29" s="9" t="s">
        <v>2164</v>
      </c>
      <c r="AM29" s="9" t="s">
        <v>25</v>
      </c>
      <c r="AN29" s="9" t="s">
        <v>25</v>
      </c>
      <c r="AO29" s="9" t="s">
        <v>2165</v>
      </c>
      <c r="AP29" s="9" t="s">
        <v>2188</v>
      </c>
      <c r="AQ29" s="9" t="s">
        <v>28</v>
      </c>
      <c r="AR29" s="9" t="s">
        <v>2308</v>
      </c>
      <c r="AS29" s="9" t="s">
        <v>2167</v>
      </c>
      <c r="AT29" s="9" t="s">
        <v>25</v>
      </c>
      <c r="AV29" s="9" t="s">
        <v>28</v>
      </c>
      <c r="AW29" s="9" t="s">
        <v>25</v>
      </c>
      <c r="AX29" s="9" t="s">
        <v>28</v>
      </c>
      <c r="AY29" s="9" t="s">
        <v>25</v>
      </c>
      <c r="AZ29" s="9" t="s">
        <v>25</v>
      </c>
      <c r="BA29" s="9" t="s">
        <v>2309</v>
      </c>
      <c r="BB29" s="39">
        <v>10000</v>
      </c>
      <c r="BC29" s="9" t="s">
        <v>13912</v>
      </c>
      <c r="BD29" s="9" t="s">
        <v>2169</v>
      </c>
      <c r="BE29" s="9" t="s">
        <v>2269</v>
      </c>
      <c r="BF29" s="9" t="s">
        <v>2171</v>
      </c>
      <c r="BG29" s="11">
        <v>0</v>
      </c>
      <c r="BH29" s="11">
        <v>1</v>
      </c>
      <c r="BS29" s="9" t="s">
        <v>25</v>
      </c>
      <c r="BT29" s="9" t="s">
        <v>25</v>
      </c>
      <c r="BV29" s="11">
        <v>0</v>
      </c>
      <c r="BW29" s="9" t="s">
        <v>732</v>
      </c>
      <c r="BX29" s="9" t="s">
        <v>732</v>
      </c>
      <c r="BY29" s="9" t="s">
        <v>115</v>
      </c>
      <c r="BZ29" s="9" t="s">
        <v>732</v>
      </c>
      <c r="CA29" s="9" t="s">
        <v>732</v>
      </c>
      <c r="CB29" s="9" t="s">
        <v>732</v>
      </c>
      <c r="CC29" s="9" t="s">
        <v>2228</v>
      </c>
      <c r="CD29" s="9" t="s">
        <v>2228</v>
      </c>
      <c r="CE29" s="9" t="s">
        <v>28</v>
      </c>
      <c r="CF29" s="9">
        <v>2</v>
      </c>
      <c r="CG29" s="9" t="s">
        <v>2192</v>
      </c>
      <c r="CH29" s="9" t="s">
        <v>2310</v>
      </c>
      <c r="CM29" s="9">
        <v>1</v>
      </c>
      <c r="CO29" s="9">
        <v>1</v>
      </c>
      <c r="CZ29" s="9">
        <v>1</v>
      </c>
      <c r="DD29" s="9">
        <v>1</v>
      </c>
      <c r="DH29" s="9">
        <v>1</v>
      </c>
      <c r="DL29" s="9">
        <v>1</v>
      </c>
      <c r="DT29" s="9">
        <v>11</v>
      </c>
      <c r="DV29" s="9">
        <v>1</v>
      </c>
      <c r="DZ29" s="9" t="s">
        <v>25</v>
      </c>
      <c r="EA29" s="9" t="s">
        <v>28</v>
      </c>
      <c r="EC29" s="9" t="s">
        <v>28</v>
      </c>
      <c r="EO29" s="9" t="s">
        <v>25</v>
      </c>
      <c r="EQ29" s="9" t="s">
        <v>25</v>
      </c>
      <c r="ER29" s="9" t="s">
        <v>25</v>
      </c>
      <c r="ES29" s="9" t="s">
        <v>25</v>
      </c>
      <c r="ET29" s="9" t="s">
        <v>28</v>
      </c>
      <c r="EU29" s="9" t="s">
        <v>28</v>
      </c>
      <c r="EV29" s="9" t="s">
        <v>28</v>
      </c>
      <c r="EW29" s="9" t="s">
        <v>25</v>
      </c>
      <c r="EX29" s="9" t="s">
        <v>25</v>
      </c>
      <c r="EY29" s="9" t="s">
        <v>28</v>
      </c>
      <c r="EZ29" s="9" t="s">
        <v>2175</v>
      </c>
      <c r="FB29" s="9" t="s">
        <v>2292</v>
      </c>
      <c r="FC29" s="39">
        <v>145000</v>
      </c>
      <c r="FD29" s="9" t="s">
        <v>25</v>
      </c>
      <c r="FE29" s="9" t="s">
        <v>13527</v>
      </c>
      <c r="FF29" s="9" t="s">
        <v>25</v>
      </c>
      <c r="FH29" s="9" t="s">
        <v>28</v>
      </c>
      <c r="FI29" s="9" t="s">
        <v>2177</v>
      </c>
      <c r="FJ29" s="11">
        <v>0.75</v>
      </c>
      <c r="FK29" s="11">
        <v>0.75</v>
      </c>
      <c r="FO29" s="11">
        <v>0.75</v>
      </c>
      <c r="FW29" s="9" t="s">
        <v>25</v>
      </c>
      <c r="GC29" s="9" t="s">
        <v>28</v>
      </c>
      <c r="GD29" s="9" t="s">
        <v>28</v>
      </c>
      <c r="GE29" s="63" t="s">
        <v>13162</v>
      </c>
      <c r="GF29" s="9" t="s">
        <v>2181</v>
      </c>
      <c r="GG29" s="9" t="s">
        <v>635</v>
      </c>
      <c r="GH29" s="9" t="s">
        <v>2183</v>
      </c>
      <c r="GI29" s="9" t="s">
        <v>2182</v>
      </c>
      <c r="GJ29" s="9" t="s">
        <v>2182</v>
      </c>
      <c r="GK29" s="9">
        <v>15</v>
      </c>
      <c r="GM29" s="9" t="s">
        <v>2311</v>
      </c>
      <c r="GN29" s="9" t="s">
        <v>13951</v>
      </c>
      <c r="GO29" s="9" t="s">
        <v>2197</v>
      </c>
      <c r="GP29" s="9" t="s">
        <v>632</v>
      </c>
      <c r="GQ29" s="9" t="s">
        <v>253</v>
      </c>
      <c r="GR29" s="9" t="s">
        <v>1015</v>
      </c>
      <c r="GW29" s="9" t="s">
        <v>25</v>
      </c>
      <c r="GX29" s="9" t="s">
        <v>25</v>
      </c>
      <c r="GY29" s="9" t="s">
        <v>25</v>
      </c>
      <c r="GZ29" s="9" t="s">
        <v>28</v>
      </c>
      <c r="HA29" s="9" t="s">
        <v>612</v>
      </c>
      <c r="HB29" s="9" t="s">
        <v>2312</v>
      </c>
      <c r="HC29" s="9" t="s">
        <v>28</v>
      </c>
      <c r="HD29" s="9" t="s">
        <v>2313</v>
      </c>
    </row>
    <row r="30" spans="1:212" ht="25.5" x14ac:dyDescent="0.2">
      <c r="A30" s="8" t="s">
        <v>120</v>
      </c>
      <c r="B30" s="9" t="s">
        <v>2158</v>
      </c>
      <c r="C30" s="9" t="s">
        <v>2169</v>
      </c>
      <c r="D30" s="9" t="s">
        <v>689</v>
      </c>
      <c r="E30" s="9" t="s">
        <v>28</v>
      </c>
      <c r="F30" s="9" t="s">
        <v>2206</v>
      </c>
      <c r="G30" s="9" t="s">
        <v>2207</v>
      </c>
      <c r="H30" s="11">
        <v>0.75</v>
      </c>
      <c r="J30" s="11">
        <v>1</v>
      </c>
      <c r="K30" s="11">
        <v>0.9</v>
      </c>
      <c r="L30" s="11">
        <v>0.95</v>
      </c>
      <c r="P30" s="9" t="s">
        <v>28</v>
      </c>
      <c r="Q30" s="11">
        <v>0.01</v>
      </c>
      <c r="R30" s="11">
        <v>0.75</v>
      </c>
      <c r="S30" s="11">
        <v>0.75</v>
      </c>
      <c r="T30" s="9" t="s">
        <v>25</v>
      </c>
      <c r="AB30" s="9" t="s">
        <v>25</v>
      </c>
      <c r="AD30" s="9" t="s">
        <v>2201</v>
      </c>
      <c r="AG30" s="9" t="s">
        <v>860</v>
      </c>
      <c r="AI30" s="9" t="s">
        <v>2201</v>
      </c>
      <c r="AJ30" s="9" t="s">
        <v>25</v>
      </c>
      <c r="AL30" s="9" t="s">
        <v>2208</v>
      </c>
      <c r="AN30" s="9" t="s">
        <v>25</v>
      </c>
      <c r="AP30" s="9" t="s">
        <v>2166</v>
      </c>
      <c r="AQ30" s="9" t="s">
        <v>28</v>
      </c>
      <c r="AR30" s="9" t="s">
        <v>2209</v>
      </c>
      <c r="AS30" s="9" t="s">
        <v>2203</v>
      </c>
      <c r="AT30" s="9" t="s">
        <v>25</v>
      </c>
      <c r="BA30" s="9" t="s">
        <v>2210</v>
      </c>
      <c r="BB30" s="39">
        <v>9750</v>
      </c>
      <c r="BC30" s="9" t="s">
        <v>13911</v>
      </c>
      <c r="BD30" s="9" t="s">
        <v>25</v>
      </c>
      <c r="BF30" s="9" t="s">
        <v>2171</v>
      </c>
      <c r="BS30" s="9" t="s">
        <v>25</v>
      </c>
      <c r="BT30" s="9" t="s">
        <v>25</v>
      </c>
      <c r="BV30" s="11">
        <v>0</v>
      </c>
      <c r="CE30" s="9" t="s">
        <v>25</v>
      </c>
      <c r="ES30" s="9" t="s">
        <v>25</v>
      </c>
      <c r="ET30" s="9" t="s">
        <v>25</v>
      </c>
      <c r="EU30" s="9" t="s">
        <v>28</v>
      </c>
      <c r="EV30" s="9" t="s">
        <v>28</v>
      </c>
      <c r="EW30" s="9" t="s">
        <v>28</v>
      </c>
      <c r="EX30" s="9" t="s">
        <v>25</v>
      </c>
      <c r="EY30" s="9" t="s">
        <v>25</v>
      </c>
      <c r="GR30" s="9" t="s">
        <v>25</v>
      </c>
      <c r="GW30" s="9" t="s">
        <v>25</v>
      </c>
      <c r="GX30" s="9" t="s">
        <v>25</v>
      </c>
      <c r="GY30" s="9" t="s">
        <v>25</v>
      </c>
      <c r="GZ30" s="9" t="s">
        <v>25</v>
      </c>
      <c r="HC30" s="9" t="s">
        <v>25</v>
      </c>
    </row>
    <row r="31" spans="1:212" ht="38.25" x14ac:dyDescent="0.2">
      <c r="A31" s="8" t="s">
        <v>174</v>
      </c>
      <c r="B31" s="9" t="s">
        <v>2158</v>
      </c>
      <c r="C31" s="9" t="s">
        <v>25</v>
      </c>
      <c r="E31" s="9" t="s">
        <v>28</v>
      </c>
      <c r="F31" s="9" t="s">
        <v>2200</v>
      </c>
      <c r="G31" s="9" t="s">
        <v>2185</v>
      </c>
      <c r="H31" s="11">
        <v>0.8</v>
      </c>
      <c r="I31" s="11">
        <v>0.8</v>
      </c>
      <c r="J31" s="11">
        <v>0.9</v>
      </c>
      <c r="K31" s="11">
        <v>0.85</v>
      </c>
      <c r="L31" s="11">
        <v>0.87</v>
      </c>
      <c r="M31" s="11">
        <v>0.06</v>
      </c>
      <c r="N31" s="11">
        <v>0.06</v>
      </c>
      <c r="O31" s="11">
        <v>0.06</v>
      </c>
      <c r="P31" s="9" t="s">
        <v>28</v>
      </c>
      <c r="Q31" s="11">
        <v>0.16</v>
      </c>
      <c r="R31" s="11">
        <v>0.8</v>
      </c>
      <c r="S31" s="11">
        <v>0.8</v>
      </c>
      <c r="T31" s="9" t="s">
        <v>28</v>
      </c>
      <c r="U31" s="9" t="s">
        <v>25</v>
      </c>
      <c r="W31" s="9" t="s">
        <v>28</v>
      </c>
      <c r="X31" s="9" t="s">
        <v>2434</v>
      </c>
      <c r="Y31" s="11">
        <v>0.12</v>
      </c>
      <c r="Z31" s="11">
        <v>0.1</v>
      </c>
      <c r="AA31" s="11">
        <v>0.1</v>
      </c>
      <c r="AB31" s="9" t="s">
        <v>28</v>
      </c>
      <c r="AC31" s="11">
        <v>0.06</v>
      </c>
      <c r="AD31" s="9" t="s">
        <v>2160</v>
      </c>
      <c r="AE31" s="11">
        <v>0.01</v>
      </c>
      <c r="AF31" s="11">
        <v>0.1</v>
      </c>
      <c r="AG31" s="9" t="s">
        <v>2162</v>
      </c>
      <c r="AI31" s="9" t="s">
        <v>2201</v>
      </c>
      <c r="AJ31" s="9" t="s">
        <v>28</v>
      </c>
      <c r="AK31" s="9" t="s">
        <v>28</v>
      </c>
      <c r="AL31" s="9" t="s">
        <v>2164</v>
      </c>
      <c r="AM31" s="9" t="s">
        <v>28</v>
      </c>
      <c r="AN31" s="9" t="s">
        <v>25</v>
      </c>
      <c r="AO31" s="9" t="s">
        <v>2202</v>
      </c>
      <c r="AP31" s="9" t="s">
        <v>2188</v>
      </c>
      <c r="AS31" s="9" t="s">
        <v>2167</v>
      </c>
      <c r="AT31" s="9" t="s">
        <v>25</v>
      </c>
      <c r="AV31" s="9" t="s">
        <v>28</v>
      </c>
      <c r="AW31" s="9" t="s">
        <v>28</v>
      </c>
      <c r="AX31" s="9" t="s">
        <v>28</v>
      </c>
      <c r="AY31" s="9" t="s">
        <v>28</v>
      </c>
      <c r="BA31" s="9" t="s">
        <v>2435</v>
      </c>
      <c r="BB31" s="39">
        <v>9150</v>
      </c>
      <c r="BC31" s="9" t="s">
        <v>13912</v>
      </c>
      <c r="BD31" s="9" t="s">
        <v>2169</v>
      </c>
      <c r="BE31" s="9" t="s">
        <v>2170</v>
      </c>
      <c r="BF31" s="9" t="s">
        <v>2171</v>
      </c>
      <c r="BS31" s="9" t="s">
        <v>25</v>
      </c>
      <c r="BT31" s="9" t="s">
        <v>25</v>
      </c>
      <c r="BV31" s="11">
        <v>0.01</v>
      </c>
      <c r="BW31" s="9" t="s">
        <v>115</v>
      </c>
      <c r="BX31" s="9" t="s">
        <v>732</v>
      </c>
      <c r="BY31" s="9" t="s">
        <v>115</v>
      </c>
      <c r="BZ31" s="9" t="s">
        <v>732</v>
      </c>
      <c r="CA31" s="9" t="s">
        <v>732</v>
      </c>
      <c r="CB31" s="9" t="s">
        <v>732</v>
      </c>
      <c r="CC31" s="9" t="s">
        <v>732</v>
      </c>
      <c r="CD31" s="9" t="s">
        <v>732</v>
      </c>
      <c r="CE31" s="9" t="s">
        <v>28</v>
      </c>
      <c r="CF31" s="9">
        <v>1</v>
      </c>
      <c r="CG31" s="9" t="s">
        <v>2192</v>
      </c>
      <c r="CH31" s="9" t="s">
        <v>2436</v>
      </c>
      <c r="CL31" s="9">
        <v>1</v>
      </c>
      <c r="CO31" s="9">
        <v>1</v>
      </c>
      <c r="DA31" s="9">
        <v>1</v>
      </c>
      <c r="DB31" s="9">
        <v>1</v>
      </c>
      <c r="DE31" s="9">
        <v>1</v>
      </c>
      <c r="DG31" s="9">
        <v>1</v>
      </c>
      <c r="DK31" s="9">
        <v>1</v>
      </c>
      <c r="DQ31" s="9">
        <v>1</v>
      </c>
      <c r="DT31" s="9">
        <v>1</v>
      </c>
      <c r="DZ31" s="9" t="s">
        <v>25</v>
      </c>
      <c r="EA31" s="9" t="s">
        <v>28</v>
      </c>
      <c r="EC31" s="9" t="s">
        <v>28</v>
      </c>
      <c r="EQ31" s="9" t="s">
        <v>25</v>
      </c>
      <c r="ER31" s="9" t="s">
        <v>41</v>
      </c>
      <c r="ES31" s="9" t="s">
        <v>28</v>
      </c>
      <c r="ET31" s="9" t="s">
        <v>28</v>
      </c>
      <c r="EU31" s="9" t="s">
        <v>28</v>
      </c>
      <c r="EV31" s="9" t="s">
        <v>28</v>
      </c>
      <c r="EW31" s="9" t="s">
        <v>28</v>
      </c>
      <c r="EX31" s="9" t="s">
        <v>28</v>
      </c>
      <c r="EY31" s="9" t="s">
        <v>25</v>
      </c>
      <c r="GR31" s="9" t="s">
        <v>1015</v>
      </c>
      <c r="GW31" s="9" t="s">
        <v>25</v>
      </c>
      <c r="GX31" s="9" t="s">
        <v>25</v>
      </c>
      <c r="GY31" s="9" t="s">
        <v>25</v>
      </c>
      <c r="GZ31" s="9" t="s">
        <v>25</v>
      </c>
      <c r="HC31" s="9" t="s">
        <v>28</v>
      </c>
    </row>
    <row r="32" spans="1:212" ht="63.75" x14ac:dyDescent="0.2">
      <c r="A32" s="8" t="s">
        <v>124</v>
      </c>
      <c r="B32" s="9" t="s">
        <v>2158</v>
      </c>
      <c r="C32" s="9" t="s">
        <v>25</v>
      </c>
      <c r="E32" s="9" t="s">
        <v>25</v>
      </c>
      <c r="G32" s="9" t="s">
        <v>2185</v>
      </c>
      <c r="H32" s="11">
        <v>0.75</v>
      </c>
      <c r="I32" s="11">
        <v>0.75</v>
      </c>
      <c r="L32" s="11">
        <v>0.96</v>
      </c>
      <c r="O32" s="11">
        <v>0.1</v>
      </c>
      <c r="P32" s="9" t="s">
        <v>28</v>
      </c>
      <c r="Q32" s="11">
        <v>0.06</v>
      </c>
      <c r="R32" s="11">
        <v>0.75</v>
      </c>
      <c r="S32" s="11">
        <v>0.75</v>
      </c>
      <c r="T32" s="9" t="s">
        <v>28</v>
      </c>
      <c r="U32" s="9" t="s">
        <v>25</v>
      </c>
      <c r="W32" s="9" t="s">
        <v>25</v>
      </c>
      <c r="Y32" s="11">
        <v>0.01</v>
      </c>
      <c r="Z32" s="11">
        <v>0.75</v>
      </c>
      <c r="AA32" s="11">
        <v>0.75</v>
      </c>
      <c r="AB32" s="9" t="s">
        <v>28</v>
      </c>
      <c r="AC32" s="11">
        <v>0.06</v>
      </c>
      <c r="AD32" s="9" t="s">
        <v>2160</v>
      </c>
      <c r="AE32" s="11">
        <v>0.01</v>
      </c>
      <c r="AF32" s="9" t="s">
        <v>2161</v>
      </c>
      <c r="AG32" s="9" t="s">
        <v>2162</v>
      </c>
      <c r="AI32" s="9" t="s">
        <v>2201</v>
      </c>
      <c r="AJ32" s="9" t="s">
        <v>28</v>
      </c>
      <c r="AK32" s="9" t="s">
        <v>28</v>
      </c>
      <c r="AL32" s="9" t="s">
        <v>2164</v>
      </c>
      <c r="AM32" s="9" t="s">
        <v>28</v>
      </c>
      <c r="AN32" s="9" t="s">
        <v>2169</v>
      </c>
      <c r="AO32" s="9" t="s">
        <v>2219</v>
      </c>
      <c r="AP32" s="9" t="s">
        <v>2188</v>
      </c>
      <c r="AQ32" s="9" t="s">
        <v>25</v>
      </c>
      <c r="AS32" s="9" t="s">
        <v>2230</v>
      </c>
      <c r="AT32" s="9" t="s">
        <v>25</v>
      </c>
      <c r="AV32" s="9" t="s">
        <v>28</v>
      </c>
      <c r="AW32" s="9" t="s">
        <v>25</v>
      </c>
      <c r="AX32" s="9" t="s">
        <v>28</v>
      </c>
      <c r="AY32" s="9" t="s">
        <v>25</v>
      </c>
      <c r="AZ32" s="9" t="s">
        <v>25</v>
      </c>
      <c r="BA32" s="9" t="s">
        <v>2231</v>
      </c>
      <c r="BB32" s="39">
        <v>4500</v>
      </c>
      <c r="BC32" s="9" t="s">
        <v>14524</v>
      </c>
      <c r="BD32" s="9" t="s">
        <v>25</v>
      </c>
      <c r="BF32" s="9" t="s">
        <v>2171</v>
      </c>
      <c r="BS32" s="9" t="s">
        <v>25</v>
      </c>
      <c r="BT32" s="9" t="s">
        <v>28</v>
      </c>
      <c r="BU32" s="9" t="s">
        <v>2222</v>
      </c>
      <c r="BV32" s="11">
        <v>0</v>
      </c>
      <c r="BW32" s="9" t="s">
        <v>2191</v>
      </c>
      <c r="BX32" s="9" t="s">
        <v>2191</v>
      </c>
      <c r="BY32" s="9" t="s">
        <v>115</v>
      </c>
      <c r="BZ32" s="9" t="s">
        <v>732</v>
      </c>
      <c r="CA32" s="9" t="s">
        <v>732</v>
      </c>
      <c r="CB32" s="9" t="s">
        <v>732</v>
      </c>
      <c r="CC32" s="9" t="s">
        <v>732</v>
      </c>
      <c r="CD32" s="9" t="s">
        <v>732</v>
      </c>
      <c r="CE32" s="9" t="s">
        <v>28</v>
      </c>
      <c r="CF32" s="9">
        <v>2</v>
      </c>
      <c r="CG32" s="9" t="s">
        <v>2192</v>
      </c>
      <c r="CH32" s="9" t="s">
        <v>13937</v>
      </c>
      <c r="CM32" s="9">
        <v>1</v>
      </c>
      <c r="CO32" s="9">
        <v>1</v>
      </c>
      <c r="CP32" s="9">
        <v>1</v>
      </c>
      <c r="CZ32" s="9">
        <v>1</v>
      </c>
      <c r="DA32" s="9">
        <v>1</v>
      </c>
      <c r="DB32" s="9">
        <v>1</v>
      </c>
      <c r="DI32" s="9">
        <v>1</v>
      </c>
      <c r="DJ32" s="9">
        <v>1</v>
      </c>
      <c r="DM32" s="9">
        <v>1</v>
      </c>
      <c r="DN32" s="9">
        <v>1</v>
      </c>
      <c r="DT32" s="9">
        <v>12</v>
      </c>
      <c r="DZ32" s="9" t="s">
        <v>25</v>
      </c>
      <c r="EA32" s="9" t="s">
        <v>28</v>
      </c>
      <c r="EB32" s="9" t="s">
        <v>28</v>
      </c>
      <c r="EC32" s="9" t="s">
        <v>28</v>
      </c>
      <c r="ED32" s="9" t="s">
        <v>28</v>
      </c>
      <c r="EE32" s="9" t="s">
        <v>28</v>
      </c>
      <c r="EF32" s="9" t="s">
        <v>28</v>
      </c>
      <c r="EG32" s="9" t="s">
        <v>28</v>
      </c>
      <c r="EH32" s="9" t="s">
        <v>28</v>
      </c>
      <c r="EI32" s="9" t="s">
        <v>28</v>
      </c>
      <c r="EJ32" s="9" t="s">
        <v>25</v>
      </c>
      <c r="EK32" s="9" t="s">
        <v>25</v>
      </c>
      <c r="EL32" s="9" t="s">
        <v>25</v>
      </c>
      <c r="EM32" s="9" t="s">
        <v>25</v>
      </c>
      <c r="EN32" s="9" t="s">
        <v>28</v>
      </c>
      <c r="EO32" s="9" t="s">
        <v>25</v>
      </c>
      <c r="EQ32" s="9" t="s">
        <v>28</v>
      </c>
      <c r="ER32" s="9" t="s">
        <v>2169</v>
      </c>
      <c r="ES32" s="9" t="s">
        <v>28</v>
      </c>
      <c r="ET32" s="9" t="s">
        <v>41</v>
      </c>
      <c r="EU32" s="9" t="s">
        <v>28</v>
      </c>
      <c r="EV32" s="9" t="s">
        <v>28</v>
      </c>
      <c r="EW32" s="9" t="s">
        <v>28</v>
      </c>
      <c r="EX32" s="9" t="s">
        <v>25</v>
      </c>
      <c r="EY32" s="9" t="s">
        <v>28</v>
      </c>
      <c r="EZ32" s="9" t="s">
        <v>2175</v>
      </c>
      <c r="FB32" s="9" t="s">
        <v>2214</v>
      </c>
      <c r="FD32" s="9" t="s">
        <v>25</v>
      </c>
      <c r="FE32" s="9" t="s">
        <v>253</v>
      </c>
      <c r="FF32" s="9" t="s">
        <v>25</v>
      </c>
      <c r="FH32" s="9" t="s">
        <v>28</v>
      </c>
      <c r="FI32" s="9" t="s">
        <v>2177</v>
      </c>
      <c r="FJ32" s="11">
        <v>1</v>
      </c>
      <c r="FK32" s="11">
        <v>1</v>
      </c>
      <c r="FL32" s="11">
        <v>1</v>
      </c>
      <c r="FO32" s="11">
        <v>1</v>
      </c>
      <c r="FW32" s="9" t="s">
        <v>25</v>
      </c>
      <c r="GC32" s="9" t="s">
        <v>28</v>
      </c>
      <c r="GD32" s="9" t="s">
        <v>25</v>
      </c>
      <c r="GE32" s="63" t="s">
        <v>13162</v>
      </c>
      <c r="GF32" s="9" t="s">
        <v>2181</v>
      </c>
      <c r="GG32" s="9" t="s">
        <v>2183</v>
      </c>
      <c r="GH32" s="9" t="s">
        <v>635</v>
      </c>
      <c r="GI32" s="9" t="s">
        <v>2182</v>
      </c>
      <c r="GJ32" s="9" t="s">
        <v>2182</v>
      </c>
      <c r="GK32" s="9">
        <v>10</v>
      </c>
      <c r="GM32" s="9" t="s">
        <v>2232</v>
      </c>
      <c r="GO32" s="9" t="s">
        <v>2233</v>
      </c>
      <c r="GQ32" s="9" t="s">
        <v>253</v>
      </c>
      <c r="GR32" s="9" t="s">
        <v>25</v>
      </c>
      <c r="GT32" s="9" t="s">
        <v>25</v>
      </c>
      <c r="GU32" s="9" t="s">
        <v>25</v>
      </c>
      <c r="GW32" s="9" t="s">
        <v>25</v>
      </c>
      <c r="GX32" s="9" t="s">
        <v>25</v>
      </c>
      <c r="GY32" s="9" t="s">
        <v>25</v>
      </c>
      <c r="GZ32" s="9" t="s">
        <v>28</v>
      </c>
      <c r="HA32" s="9" t="s">
        <v>2234</v>
      </c>
      <c r="HB32" s="9" t="s">
        <v>2235</v>
      </c>
      <c r="HC32" s="9" t="s">
        <v>25</v>
      </c>
    </row>
    <row r="33" spans="1:212" ht="63.75" x14ac:dyDescent="0.2">
      <c r="A33" s="8" t="s">
        <v>117</v>
      </c>
      <c r="B33" s="9" t="s">
        <v>2158</v>
      </c>
      <c r="C33" s="9" t="s">
        <v>25</v>
      </c>
      <c r="E33" s="9" t="s">
        <v>25</v>
      </c>
      <c r="G33" s="9" t="s">
        <v>2159</v>
      </c>
      <c r="H33" s="11">
        <v>0.65</v>
      </c>
      <c r="I33" s="11">
        <v>0.65</v>
      </c>
      <c r="J33" s="11">
        <v>0.99</v>
      </c>
      <c r="K33" s="11">
        <v>0.92</v>
      </c>
      <c r="L33" s="11">
        <v>0.94</v>
      </c>
      <c r="M33" s="11">
        <v>7.0000000000000007E-2</v>
      </c>
      <c r="N33" s="11">
        <v>0.08</v>
      </c>
      <c r="O33" s="11">
        <v>0.08</v>
      </c>
      <c r="P33" s="9" t="s">
        <v>28</v>
      </c>
      <c r="Q33" s="11">
        <v>0.16</v>
      </c>
      <c r="R33" s="11">
        <v>0.65</v>
      </c>
      <c r="S33" s="11">
        <v>0.65</v>
      </c>
      <c r="T33" s="9" t="s">
        <v>28</v>
      </c>
      <c r="U33" s="9" t="s">
        <v>28</v>
      </c>
      <c r="V33" s="39">
        <v>31350</v>
      </c>
      <c r="W33" s="9" t="s">
        <v>25</v>
      </c>
      <c r="Y33" s="11">
        <v>0.05</v>
      </c>
      <c r="Z33" s="11">
        <v>0.65</v>
      </c>
      <c r="AA33" s="11">
        <v>0.65</v>
      </c>
      <c r="AB33" s="9" t="s">
        <v>28</v>
      </c>
      <c r="AC33" s="11">
        <v>0.06</v>
      </c>
      <c r="AD33" s="9" t="s">
        <v>2160</v>
      </c>
      <c r="AE33" s="11">
        <v>0.01</v>
      </c>
      <c r="AF33" s="9" t="s">
        <v>2161</v>
      </c>
      <c r="AG33" s="9" t="s">
        <v>2162</v>
      </c>
      <c r="AI33" s="9" t="s">
        <v>2163</v>
      </c>
      <c r="AJ33" s="9" t="s">
        <v>28</v>
      </c>
      <c r="AK33" s="9" t="s">
        <v>28</v>
      </c>
      <c r="AL33" s="9" t="s">
        <v>2164</v>
      </c>
      <c r="AM33" s="9" t="s">
        <v>28</v>
      </c>
      <c r="AN33" s="9" t="s">
        <v>25</v>
      </c>
      <c r="AO33" s="9" t="s">
        <v>2165</v>
      </c>
      <c r="AP33" s="9" t="s">
        <v>2166</v>
      </c>
      <c r="AQ33" s="9" t="s">
        <v>25</v>
      </c>
      <c r="AS33" s="9" t="s">
        <v>2167</v>
      </c>
      <c r="AT33" s="9" t="s">
        <v>25</v>
      </c>
      <c r="AV33" s="9" t="s">
        <v>28</v>
      </c>
      <c r="AW33" s="9" t="s">
        <v>25</v>
      </c>
      <c r="AX33" s="9" t="s">
        <v>28</v>
      </c>
      <c r="AY33" s="9" t="s">
        <v>25</v>
      </c>
      <c r="AZ33" s="9" t="s">
        <v>25</v>
      </c>
      <c r="BA33" s="9" t="s">
        <v>2168</v>
      </c>
      <c r="BB33" s="39">
        <v>9150</v>
      </c>
      <c r="BC33" s="9" t="s">
        <v>13909</v>
      </c>
      <c r="BD33" s="9" t="s">
        <v>2169</v>
      </c>
      <c r="BE33" s="9" t="s">
        <v>2170</v>
      </c>
      <c r="BF33" s="9" t="s">
        <v>2171</v>
      </c>
      <c r="BS33" s="9" t="s">
        <v>25</v>
      </c>
      <c r="BT33" s="9" t="s">
        <v>25</v>
      </c>
      <c r="BV33" s="11">
        <v>0.01</v>
      </c>
      <c r="BW33" s="9" t="s">
        <v>115</v>
      </c>
      <c r="BX33" s="9" t="s">
        <v>732</v>
      </c>
      <c r="BY33" s="9" t="s">
        <v>115</v>
      </c>
      <c r="BZ33" s="9" t="s">
        <v>732</v>
      </c>
      <c r="CA33" s="9" t="s">
        <v>732</v>
      </c>
      <c r="CB33" s="9" t="s">
        <v>732</v>
      </c>
      <c r="CC33" s="9" t="s">
        <v>732</v>
      </c>
      <c r="CD33" s="9" t="s">
        <v>732</v>
      </c>
      <c r="CE33" s="9" t="s">
        <v>28</v>
      </c>
      <c r="CF33" s="9">
        <v>2</v>
      </c>
      <c r="CG33" s="9" t="s">
        <v>2172</v>
      </c>
      <c r="CH33" s="9" t="s">
        <v>2173</v>
      </c>
      <c r="CM33" s="9">
        <v>1</v>
      </c>
      <c r="CO33" s="9">
        <v>1</v>
      </c>
      <c r="CP33" s="9">
        <v>1</v>
      </c>
      <c r="CS33" s="9">
        <v>1</v>
      </c>
      <c r="CZ33" s="9">
        <v>1</v>
      </c>
      <c r="DA33" s="9">
        <v>1</v>
      </c>
      <c r="DB33" s="9">
        <v>1</v>
      </c>
      <c r="DC33" s="9">
        <v>1</v>
      </c>
      <c r="DI33" s="9">
        <v>1</v>
      </c>
      <c r="DJ33" s="9">
        <v>1</v>
      </c>
      <c r="DK33" s="9">
        <v>1</v>
      </c>
      <c r="DL33" s="9">
        <v>1</v>
      </c>
      <c r="DR33" s="9">
        <v>1</v>
      </c>
      <c r="DT33" s="9">
        <v>12</v>
      </c>
      <c r="DV33" s="9">
        <v>1</v>
      </c>
      <c r="DZ33" s="9" t="s">
        <v>25</v>
      </c>
      <c r="EA33" s="9" t="s">
        <v>28</v>
      </c>
      <c r="EB33" s="9" t="s">
        <v>28</v>
      </c>
      <c r="EC33" s="9" t="s">
        <v>28</v>
      </c>
      <c r="ED33" s="9" t="s">
        <v>28</v>
      </c>
      <c r="EE33" s="9" t="s">
        <v>28</v>
      </c>
      <c r="EF33" s="9" t="s">
        <v>28</v>
      </c>
      <c r="EG33" s="9" t="s">
        <v>28</v>
      </c>
      <c r="EH33" s="9" t="s">
        <v>28</v>
      </c>
      <c r="EI33" s="9" t="s">
        <v>28</v>
      </c>
      <c r="EJ33" s="9" t="s">
        <v>28</v>
      </c>
      <c r="EM33" s="9" t="s">
        <v>28</v>
      </c>
      <c r="EN33" s="9" t="s">
        <v>28</v>
      </c>
      <c r="EO33" s="9" t="s">
        <v>28</v>
      </c>
      <c r="EP33" s="9" t="s">
        <v>2174</v>
      </c>
      <c r="EQ33" s="9" t="s">
        <v>28</v>
      </c>
      <c r="ER33" s="9" t="s">
        <v>2169</v>
      </c>
      <c r="ES33" s="9" t="s">
        <v>28</v>
      </c>
      <c r="ET33" s="9" t="s">
        <v>28</v>
      </c>
      <c r="EU33" s="9" t="s">
        <v>28</v>
      </c>
      <c r="EV33" s="9" t="s">
        <v>28</v>
      </c>
      <c r="EW33" s="9" t="s">
        <v>28</v>
      </c>
      <c r="EX33" s="9" t="s">
        <v>41</v>
      </c>
      <c r="EY33" s="9" t="s">
        <v>28</v>
      </c>
      <c r="EZ33" s="9" t="s">
        <v>2175</v>
      </c>
      <c r="FB33" s="9" t="s">
        <v>2176</v>
      </c>
      <c r="FD33" s="9" t="s">
        <v>28</v>
      </c>
      <c r="FE33" s="9" t="s">
        <v>13527</v>
      </c>
      <c r="FF33" s="9" t="s">
        <v>25</v>
      </c>
      <c r="FH33" s="9" t="s">
        <v>28</v>
      </c>
      <c r="FI33" s="9" t="s">
        <v>2177</v>
      </c>
      <c r="FJ33" s="11">
        <v>0.75</v>
      </c>
      <c r="FK33" s="11">
        <v>1</v>
      </c>
      <c r="FO33" s="11">
        <v>1</v>
      </c>
      <c r="FW33" s="9" t="s">
        <v>28</v>
      </c>
      <c r="FX33" s="9" t="s">
        <v>29</v>
      </c>
      <c r="FY33" s="9" t="s">
        <v>2178</v>
      </c>
      <c r="FZ33" s="9" t="s">
        <v>2179</v>
      </c>
      <c r="GA33" s="9" t="s">
        <v>256</v>
      </c>
      <c r="GB33" s="9" t="s">
        <v>2180</v>
      </c>
      <c r="GC33" s="9" t="s">
        <v>28</v>
      </c>
      <c r="GD33" s="9" t="s">
        <v>25</v>
      </c>
      <c r="GE33" s="63" t="s">
        <v>13162</v>
      </c>
      <c r="GF33" s="9" t="s">
        <v>2181</v>
      </c>
      <c r="GG33" s="9" t="s">
        <v>2182</v>
      </c>
      <c r="GH33" s="9" t="s">
        <v>2183</v>
      </c>
      <c r="GI33" s="9" t="s">
        <v>2182</v>
      </c>
      <c r="GJ33" s="9" t="s">
        <v>2182</v>
      </c>
      <c r="GK33" s="9">
        <v>15</v>
      </c>
      <c r="GM33" s="9" t="s">
        <v>635</v>
      </c>
      <c r="GQ33" s="9" t="s">
        <v>253</v>
      </c>
      <c r="GR33" s="9" t="s">
        <v>28</v>
      </c>
      <c r="GS33" s="9" t="s">
        <v>1015</v>
      </c>
      <c r="GT33" s="9" t="s">
        <v>25</v>
      </c>
      <c r="GU33" s="9" t="s">
        <v>28</v>
      </c>
      <c r="GW33" s="9" t="s">
        <v>25</v>
      </c>
      <c r="GX33" s="9" t="s">
        <v>25</v>
      </c>
      <c r="GY33" s="9" t="s">
        <v>25</v>
      </c>
      <c r="GZ33" s="9" t="s">
        <v>25</v>
      </c>
      <c r="HC33" s="9" t="s">
        <v>28</v>
      </c>
      <c r="HD33" s="9" t="s">
        <v>2184</v>
      </c>
    </row>
    <row r="34" spans="1:212" ht="63.75" x14ac:dyDescent="0.2">
      <c r="A34" s="8" t="s">
        <v>168</v>
      </c>
      <c r="B34" s="9" t="s">
        <v>2218</v>
      </c>
      <c r="C34" s="9" t="s">
        <v>25</v>
      </c>
      <c r="E34" s="9" t="s">
        <v>28</v>
      </c>
      <c r="F34" s="9" t="s">
        <v>2200</v>
      </c>
      <c r="G34" s="9" t="s">
        <v>2185</v>
      </c>
      <c r="H34" s="11">
        <v>0.9</v>
      </c>
      <c r="I34" s="11">
        <v>0.9</v>
      </c>
      <c r="J34" s="11">
        <v>0.95</v>
      </c>
      <c r="K34" s="11">
        <v>0.92</v>
      </c>
      <c r="L34" s="11">
        <v>0.93</v>
      </c>
      <c r="M34" s="11">
        <v>0.06</v>
      </c>
      <c r="N34" s="11">
        <v>0.06</v>
      </c>
      <c r="O34" s="11">
        <v>0.06</v>
      </c>
      <c r="P34" s="9" t="s">
        <v>28</v>
      </c>
      <c r="Q34" s="11">
        <v>0.18</v>
      </c>
      <c r="R34" s="11">
        <v>0.9</v>
      </c>
      <c r="S34" s="11">
        <v>0.9</v>
      </c>
      <c r="T34" s="9" t="s">
        <v>28</v>
      </c>
      <c r="U34" s="9" t="s">
        <v>28</v>
      </c>
      <c r="V34" s="39">
        <v>31350</v>
      </c>
      <c r="W34" s="9" t="s">
        <v>25</v>
      </c>
      <c r="Y34" s="11">
        <v>0.06</v>
      </c>
      <c r="Z34" s="11">
        <v>0.9</v>
      </c>
      <c r="AA34" s="11">
        <v>0.9</v>
      </c>
      <c r="AB34" s="9" t="s">
        <v>28</v>
      </c>
      <c r="AC34" s="11">
        <v>0.06</v>
      </c>
      <c r="AD34" s="9" t="s">
        <v>2256</v>
      </c>
      <c r="AE34" s="9" t="s">
        <v>2248</v>
      </c>
      <c r="AF34" s="9" t="s">
        <v>2161</v>
      </c>
      <c r="AG34" s="9" t="s">
        <v>2414</v>
      </c>
      <c r="AI34" s="9" t="s">
        <v>2163</v>
      </c>
      <c r="AJ34" s="9" t="s">
        <v>28</v>
      </c>
      <c r="AK34" s="9" t="s">
        <v>28</v>
      </c>
      <c r="AL34" s="9" t="s">
        <v>2164</v>
      </c>
      <c r="AM34" s="9" t="s">
        <v>25</v>
      </c>
      <c r="AN34" s="9" t="s">
        <v>25</v>
      </c>
      <c r="AO34" s="9" t="s">
        <v>2244</v>
      </c>
      <c r="AP34" s="9" t="s">
        <v>2188</v>
      </c>
      <c r="AQ34" s="9" t="s">
        <v>28</v>
      </c>
      <c r="AR34" s="9" t="s">
        <v>2415</v>
      </c>
      <c r="AS34" s="9" t="s">
        <v>2203</v>
      </c>
      <c r="AT34" s="9" t="s">
        <v>25</v>
      </c>
      <c r="AV34" s="9" t="s">
        <v>28</v>
      </c>
      <c r="AW34" s="9" t="s">
        <v>25</v>
      </c>
      <c r="AX34" s="9" t="s">
        <v>28</v>
      </c>
      <c r="AY34" s="9" t="s">
        <v>25</v>
      </c>
      <c r="AZ34" s="9" t="s">
        <v>25</v>
      </c>
      <c r="BA34" s="9" t="s">
        <v>2416</v>
      </c>
      <c r="BB34" s="39">
        <v>9150</v>
      </c>
      <c r="BC34" s="9" t="s">
        <v>13920</v>
      </c>
      <c r="BD34" s="9" t="s">
        <v>2169</v>
      </c>
      <c r="BE34" s="9" t="s">
        <v>2170</v>
      </c>
      <c r="BF34" s="9" t="s">
        <v>2171</v>
      </c>
      <c r="BS34" s="9" t="s">
        <v>25</v>
      </c>
      <c r="BT34" s="9" t="s">
        <v>28</v>
      </c>
      <c r="BU34" s="9" t="s">
        <v>2222</v>
      </c>
      <c r="BV34" s="11">
        <v>0.27</v>
      </c>
      <c r="BW34" s="9" t="s">
        <v>115</v>
      </c>
      <c r="BX34" s="9" t="s">
        <v>115</v>
      </c>
      <c r="BY34" s="9" t="s">
        <v>115</v>
      </c>
      <c r="BZ34" s="9" t="s">
        <v>732</v>
      </c>
      <c r="CA34" s="9" t="s">
        <v>732</v>
      </c>
      <c r="CB34" s="9" t="s">
        <v>732</v>
      </c>
      <c r="CC34" s="9" t="s">
        <v>2228</v>
      </c>
      <c r="CD34" s="9" t="s">
        <v>2228</v>
      </c>
      <c r="CE34" s="9" t="s">
        <v>28</v>
      </c>
      <c r="CF34" s="9">
        <v>1</v>
      </c>
      <c r="CG34" s="9" t="s">
        <v>2192</v>
      </c>
      <c r="CH34" s="9" t="s">
        <v>2417</v>
      </c>
      <c r="CI34" s="9" t="s">
        <v>2418</v>
      </c>
      <c r="CM34" s="9">
        <v>1</v>
      </c>
      <c r="CO34" s="9">
        <v>1</v>
      </c>
      <c r="CP34" s="9">
        <v>1</v>
      </c>
      <c r="CU34" s="9">
        <v>1</v>
      </c>
      <c r="CY34" s="9">
        <v>1</v>
      </c>
      <c r="CZ34" s="9">
        <v>1</v>
      </c>
      <c r="DA34" s="9">
        <v>1</v>
      </c>
      <c r="DB34" s="9">
        <v>1</v>
      </c>
      <c r="DD34" s="9">
        <v>1</v>
      </c>
      <c r="DE34" s="9">
        <v>1</v>
      </c>
      <c r="DF34" s="9">
        <v>1</v>
      </c>
      <c r="DH34" s="9">
        <v>1</v>
      </c>
      <c r="DI34" s="9">
        <v>1</v>
      </c>
      <c r="DJ34" s="9">
        <v>1</v>
      </c>
      <c r="DL34" s="9">
        <v>1</v>
      </c>
      <c r="DN34" s="9">
        <v>1</v>
      </c>
      <c r="DO34" s="9">
        <v>1</v>
      </c>
      <c r="DP34" s="9">
        <v>1</v>
      </c>
      <c r="DV34" s="9">
        <v>1</v>
      </c>
      <c r="DZ34" s="9" t="s">
        <v>25</v>
      </c>
      <c r="EA34" s="9" t="s">
        <v>28</v>
      </c>
      <c r="EB34" s="9" t="s">
        <v>28</v>
      </c>
      <c r="EC34" s="9" t="s">
        <v>28</v>
      </c>
      <c r="ED34" s="9" t="s">
        <v>28</v>
      </c>
      <c r="EE34" s="9" t="s">
        <v>28</v>
      </c>
      <c r="EF34" s="9" t="s">
        <v>28</v>
      </c>
      <c r="EG34" s="9" t="s">
        <v>28</v>
      </c>
      <c r="EH34" s="9" t="s">
        <v>28</v>
      </c>
      <c r="EI34" s="9" t="s">
        <v>28</v>
      </c>
      <c r="EJ34" s="9" t="s">
        <v>28</v>
      </c>
      <c r="EK34" s="9" t="s">
        <v>28</v>
      </c>
      <c r="EL34" s="9" t="s">
        <v>25</v>
      </c>
      <c r="EM34" s="9" t="s">
        <v>25</v>
      </c>
      <c r="EN34" s="9" t="s">
        <v>28</v>
      </c>
      <c r="EO34" s="9" t="s">
        <v>28</v>
      </c>
      <c r="EP34" s="9" t="s">
        <v>2419</v>
      </c>
      <c r="EQ34" s="9" t="s">
        <v>25</v>
      </c>
      <c r="ER34" s="9" t="s">
        <v>41</v>
      </c>
      <c r="ES34" s="9" t="s">
        <v>28</v>
      </c>
      <c r="ET34" s="9" t="s">
        <v>28</v>
      </c>
      <c r="EU34" s="9" t="s">
        <v>28</v>
      </c>
      <c r="EV34" s="9" t="s">
        <v>28</v>
      </c>
      <c r="EW34" s="9" t="s">
        <v>28</v>
      </c>
      <c r="EX34" s="9" t="s">
        <v>25</v>
      </c>
      <c r="EY34" s="9" t="s">
        <v>25</v>
      </c>
      <c r="GR34" s="9" t="s">
        <v>1015</v>
      </c>
      <c r="GW34" s="9" t="s">
        <v>25</v>
      </c>
      <c r="GX34" s="9" t="s">
        <v>25</v>
      </c>
      <c r="GY34" s="9" t="s">
        <v>25</v>
      </c>
      <c r="GZ34" s="9" t="s">
        <v>28</v>
      </c>
      <c r="HA34" s="9" t="s">
        <v>2255</v>
      </c>
      <c r="HC34" s="9" t="s">
        <v>41</v>
      </c>
    </row>
    <row r="35" spans="1:212" ht="51" x14ac:dyDescent="0.2">
      <c r="A35" s="8" t="s">
        <v>143</v>
      </c>
      <c r="B35" s="9" t="s">
        <v>2218</v>
      </c>
      <c r="C35" s="9" t="s">
        <v>25</v>
      </c>
      <c r="E35" s="9" t="s">
        <v>25</v>
      </c>
      <c r="G35" s="9" t="s">
        <v>2185</v>
      </c>
      <c r="H35" s="11">
        <v>0.75</v>
      </c>
      <c r="I35" s="11">
        <v>0.75</v>
      </c>
      <c r="J35" s="11">
        <v>0.98</v>
      </c>
      <c r="K35" s="11">
        <v>0.92</v>
      </c>
      <c r="L35" s="11">
        <v>0.93</v>
      </c>
      <c r="M35" s="11">
        <v>0.06</v>
      </c>
      <c r="N35" s="11">
        <v>7.0000000000000007E-2</v>
      </c>
      <c r="O35" s="11">
        <v>7.0000000000000007E-2</v>
      </c>
      <c r="P35" s="9" t="s">
        <v>28</v>
      </c>
      <c r="Q35" s="11">
        <v>0.14000000000000001</v>
      </c>
      <c r="R35" s="11">
        <v>0.75</v>
      </c>
      <c r="S35" s="11">
        <v>0.75</v>
      </c>
      <c r="T35" s="9" t="s">
        <v>28</v>
      </c>
      <c r="U35" s="9" t="s">
        <v>28</v>
      </c>
      <c r="V35" s="39">
        <v>28500</v>
      </c>
      <c r="W35" s="9" t="s">
        <v>25</v>
      </c>
      <c r="Y35" s="11">
        <v>0.06</v>
      </c>
      <c r="Z35" s="11">
        <v>0.75</v>
      </c>
      <c r="AA35" s="11">
        <v>0.75</v>
      </c>
      <c r="AB35" s="9" t="s">
        <v>28</v>
      </c>
      <c r="AC35" s="11">
        <v>0.06</v>
      </c>
      <c r="AD35" s="9" t="s">
        <v>2256</v>
      </c>
      <c r="AE35" s="9" t="s">
        <v>2248</v>
      </c>
      <c r="AF35" s="11">
        <v>0.1</v>
      </c>
      <c r="AG35" s="9" t="s">
        <v>2162</v>
      </c>
      <c r="AI35" s="9" t="s">
        <v>2163</v>
      </c>
      <c r="AJ35" s="9" t="s">
        <v>28</v>
      </c>
      <c r="AK35" s="9" t="s">
        <v>28</v>
      </c>
      <c r="AL35" s="9" t="s">
        <v>2186</v>
      </c>
      <c r="AN35" s="9" t="s">
        <v>25</v>
      </c>
      <c r="AO35" s="9" t="s">
        <v>2165</v>
      </c>
      <c r="AP35" s="9" t="s">
        <v>2188</v>
      </c>
      <c r="AQ35" s="9" t="s">
        <v>25</v>
      </c>
      <c r="AS35" s="9" t="s">
        <v>2203</v>
      </c>
      <c r="AT35" s="9" t="s">
        <v>25</v>
      </c>
      <c r="AV35" s="9" t="s">
        <v>28</v>
      </c>
      <c r="AW35" s="9" t="s">
        <v>25</v>
      </c>
      <c r="AX35" s="9" t="s">
        <v>28</v>
      </c>
      <c r="AY35" s="9" t="s">
        <v>25</v>
      </c>
      <c r="AZ35" s="9" t="s">
        <v>25</v>
      </c>
      <c r="BA35" s="9" t="s">
        <v>2329</v>
      </c>
      <c r="BB35" s="39">
        <v>8700</v>
      </c>
      <c r="BC35" s="9" t="s">
        <v>14525</v>
      </c>
      <c r="BD35" s="9" t="s">
        <v>2169</v>
      </c>
      <c r="BE35" s="9" t="s">
        <v>2170</v>
      </c>
      <c r="BF35" s="9" t="s">
        <v>2171</v>
      </c>
      <c r="BS35" s="9" t="s">
        <v>25</v>
      </c>
      <c r="BT35" s="9" t="s">
        <v>28</v>
      </c>
      <c r="BU35" s="9" t="s">
        <v>2222</v>
      </c>
      <c r="BV35" s="11">
        <v>0.01</v>
      </c>
      <c r="BW35" s="9" t="s">
        <v>2191</v>
      </c>
      <c r="BX35" s="9" t="s">
        <v>732</v>
      </c>
      <c r="BY35" s="9" t="s">
        <v>115</v>
      </c>
      <c r="BZ35" s="9" t="s">
        <v>732</v>
      </c>
      <c r="CA35" s="9" t="s">
        <v>732</v>
      </c>
      <c r="CB35" s="9" t="s">
        <v>732</v>
      </c>
      <c r="CC35" s="9" t="s">
        <v>732</v>
      </c>
      <c r="CD35" s="9" t="s">
        <v>2228</v>
      </c>
      <c r="CE35" s="9" t="s">
        <v>28</v>
      </c>
      <c r="CF35" s="9">
        <v>3</v>
      </c>
      <c r="CG35" s="9" t="s">
        <v>2192</v>
      </c>
      <c r="CH35" s="9" t="s">
        <v>2330</v>
      </c>
      <c r="CI35" s="9" t="s">
        <v>2331</v>
      </c>
      <c r="CM35" s="9">
        <v>1</v>
      </c>
      <c r="CO35" s="9">
        <v>1</v>
      </c>
      <c r="CP35" s="9">
        <v>1</v>
      </c>
      <c r="CR35" s="9">
        <v>1</v>
      </c>
      <c r="CY35" s="9">
        <v>1</v>
      </c>
      <c r="DA35" s="9">
        <v>1</v>
      </c>
      <c r="DB35" s="9">
        <v>1</v>
      </c>
      <c r="DC35" s="9">
        <v>2</v>
      </c>
      <c r="DE35" s="9">
        <v>1</v>
      </c>
      <c r="DF35" s="9">
        <v>1</v>
      </c>
      <c r="DI35" s="9">
        <v>1</v>
      </c>
      <c r="DJ35" s="9">
        <v>1</v>
      </c>
      <c r="DN35" s="9">
        <v>2</v>
      </c>
      <c r="DP35" s="9">
        <v>1</v>
      </c>
      <c r="DQ35" s="9">
        <v>1</v>
      </c>
      <c r="DT35" s="9">
        <v>11</v>
      </c>
      <c r="DZ35" s="9" t="s">
        <v>25</v>
      </c>
      <c r="EA35" s="9" t="s">
        <v>28</v>
      </c>
      <c r="EB35" s="9" t="s">
        <v>28</v>
      </c>
      <c r="EC35" s="9" t="s">
        <v>28</v>
      </c>
      <c r="ED35" s="9" t="s">
        <v>28</v>
      </c>
      <c r="EE35" s="9" t="s">
        <v>28</v>
      </c>
      <c r="EF35" s="9" t="s">
        <v>28</v>
      </c>
      <c r="EG35" s="9" t="s">
        <v>28</v>
      </c>
      <c r="EH35" s="9" t="s">
        <v>28</v>
      </c>
      <c r="EI35" s="9" t="s">
        <v>28</v>
      </c>
      <c r="EL35" s="9" t="s">
        <v>28</v>
      </c>
      <c r="EM35" s="9" t="s">
        <v>28</v>
      </c>
      <c r="EN35" s="9" t="s">
        <v>28</v>
      </c>
      <c r="EQ35" s="9" t="s">
        <v>28</v>
      </c>
      <c r="ER35" s="9" t="s">
        <v>25</v>
      </c>
      <c r="ES35" s="9" t="s">
        <v>28</v>
      </c>
      <c r="ET35" s="9" t="s">
        <v>28</v>
      </c>
      <c r="EU35" s="9" t="s">
        <v>28</v>
      </c>
      <c r="EV35" s="9" t="s">
        <v>28</v>
      </c>
      <c r="EW35" s="9" t="s">
        <v>28</v>
      </c>
      <c r="EX35" s="9" t="s">
        <v>25</v>
      </c>
      <c r="EY35" s="9" t="s">
        <v>28</v>
      </c>
      <c r="EZ35" s="9" t="s">
        <v>2175</v>
      </c>
      <c r="FB35" s="9" t="s">
        <v>2214</v>
      </c>
      <c r="FD35" s="9" t="s">
        <v>25</v>
      </c>
      <c r="FE35" s="9" t="s">
        <v>13527</v>
      </c>
      <c r="FF35" s="9" t="s">
        <v>25</v>
      </c>
      <c r="FH35" s="9" t="s">
        <v>28</v>
      </c>
      <c r="FI35" s="9" t="s">
        <v>2177</v>
      </c>
      <c r="FJ35" s="11">
        <v>1</v>
      </c>
      <c r="FK35" s="11">
        <v>1</v>
      </c>
      <c r="FW35" s="9" t="s">
        <v>28</v>
      </c>
      <c r="FX35" s="9" t="s">
        <v>29</v>
      </c>
      <c r="FY35" s="9" t="s">
        <v>2332</v>
      </c>
      <c r="FZ35" s="9" t="s">
        <v>2332</v>
      </c>
      <c r="GA35" s="9" t="s">
        <v>256</v>
      </c>
      <c r="GB35" s="9" t="s">
        <v>2333</v>
      </c>
      <c r="GC35" s="9" t="s">
        <v>28</v>
      </c>
      <c r="GD35" s="9" t="s">
        <v>28</v>
      </c>
      <c r="GE35" s="63" t="s">
        <v>13162</v>
      </c>
      <c r="GF35" s="9" t="s">
        <v>635</v>
      </c>
      <c r="GI35" s="9" t="s">
        <v>2182</v>
      </c>
      <c r="GJ35" s="9" t="s">
        <v>2182</v>
      </c>
      <c r="GK35" s="9">
        <v>20</v>
      </c>
      <c r="GM35" s="9" t="s">
        <v>2311</v>
      </c>
      <c r="GN35" s="9" t="s">
        <v>2334</v>
      </c>
      <c r="GQ35" s="9" t="s">
        <v>635</v>
      </c>
      <c r="GR35" s="9" t="s">
        <v>28</v>
      </c>
      <c r="GS35" s="9" t="s">
        <v>28</v>
      </c>
      <c r="GT35" s="9" t="s">
        <v>25</v>
      </c>
      <c r="GU35" s="9" t="s">
        <v>25</v>
      </c>
      <c r="GV35" s="9" t="s">
        <v>25</v>
      </c>
      <c r="GW35" s="9" t="s">
        <v>25</v>
      </c>
      <c r="GX35" s="9" t="s">
        <v>25</v>
      </c>
      <c r="GY35" s="9" t="s">
        <v>25</v>
      </c>
      <c r="GZ35" s="9" t="s">
        <v>28</v>
      </c>
      <c r="HA35" s="9" t="s">
        <v>612</v>
      </c>
      <c r="HB35" s="9" t="s">
        <v>2335</v>
      </c>
      <c r="HC35" s="9" t="s">
        <v>25</v>
      </c>
    </row>
    <row r="36" spans="1:212" ht="178.5" x14ac:dyDescent="0.2">
      <c r="A36" s="8" t="s">
        <v>180</v>
      </c>
      <c r="B36" s="9" t="s">
        <v>2158</v>
      </c>
      <c r="C36" s="9" t="s">
        <v>25</v>
      </c>
      <c r="E36" s="9" t="s">
        <v>28</v>
      </c>
      <c r="F36" s="9" t="s">
        <v>2206</v>
      </c>
      <c r="G36" s="9" t="s">
        <v>2159</v>
      </c>
      <c r="H36" s="11">
        <v>0.7</v>
      </c>
      <c r="I36" s="11">
        <v>0.7</v>
      </c>
      <c r="J36" s="11">
        <v>0.94</v>
      </c>
      <c r="K36" s="11">
        <v>0.93</v>
      </c>
      <c r="L36" s="11">
        <v>0.93</v>
      </c>
      <c r="M36" s="11">
        <v>0.06</v>
      </c>
      <c r="N36" s="11">
        <v>7.0000000000000007E-2</v>
      </c>
      <c r="O36" s="11">
        <v>0.06</v>
      </c>
      <c r="P36" s="9" t="s">
        <v>28</v>
      </c>
      <c r="Q36" s="11">
        <v>0.5</v>
      </c>
      <c r="R36" s="11">
        <v>0.7</v>
      </c>
      <c r="S36" s="11">
        <v>0.7</v>
      </c>
      <c r="T36" s="9" t="s">
        <v>28</v>
      </c>
      <c r="U36" s="9" t="s">
        <v>28</v>
      </c>
      <c r="V36" s="39">
        <v>57000</v>
      </c>
      <c r="W36" s="9" t="s">
        <v>25</v>
      </c>
      <c r="Y36" s="11">
        <v>0.01</v>
      </c>
      <c r="Z36" s="11">
        <v>1</v>
      </c>
      <c r="AA36" s="11">
        <v>1</v>
      </c>
      <c r="AB36" s="9" t="s">
        <v>28</v>
      </c>
      <c r="AC36" s="11">
        <v>0.05</v>
      </c>
      <c r="AD36" s="9" t="s">
        <v>2201</v>
      </c>
      <c r="AG36" s="9" t="s">
        <v>2414</v>
      </c>
      <c r="AI36" s="9" t="s">
        <v>2201</v>
      </c>
      <c r="AJ36" s="9" t="s">
        <v>25</v>
      </c>
      <c r="AL36" s="9" t="s">
        <v>2208</v>
      </c>
      <c r="AN36" s="9" t="s">
        <v>25</v>
      </c>
      <c r="AO36" s="9" t="s">
        <v>2219</v>
      </c>
      <c r="AP36" s="9" t="s">
        <v>2166</v>
      </c>
      <c r="AQ36" s="9" t="s">
        <v>28</v>
      </c>
      <c r="AR36" s="9" t="s">
        <v>2447</v>
      </c>
      <c r="AS36" s="9" t="s">
        <v>2189</v>
      </c>
      <c r="AT36" s="9" t="s">
        <v>25</v>
      </c>
      <c r="AV36" s="9" t="s">
        <v>28</v>
      </c>
      <c r="AW36" s="9" t="s">
        <v>28</v>
      </c>
      <c r="AX36" s="9" t="s">
        <v>28</v>
      </c>
      <c r="AY36" s="9" t="s">
        <v>28</v>
      </c>
      <c r="AZ36" s="9" t="s">
        <v>28</v>
      </c>
      <c r="BA36" s="9" t="s">
        <v>2448</v>
      </c>
      <c r="BB36" s="39">
        <v>13500</v>
      </c>
      <c r="BC36" s="9" t="s">
        <v>13929</v>
      </c>
      <c r="BD36" s="9" t="s">
        <v>2169</v>
      </c>
      <c r="BE36" s="9" t="s">
        <v>2170</v>
      </c>
      <c r="BF36" s="9" t="s">
        <v>2171</v>
      </c>
      <c r="BS36" s="9" t="s">
        <v>28</v>
      </c>
      <c r="BT36" s="9" t="s">
        <v>25</v>
      </c>
      <c r="BV36" s="11">
        <v>0.01</v>
      </c>
      <c r="BW36" s="9" t="s">
        <v>115</v>
      </c>
      <c r="BX36" s="9" t="s">
        <v>732</v>
      </c>
      <c r="BY36" s="9" t="s">
        <v>115</v>
      </c>
      <c r="BZ36" s="9" t="s">
        <v>732</v>
      </c>
      <c r="CA36" s="9" t="s">
        <v>732</v>
      </c>
      <c r="CB36" s="9" t="s">
        <v>115</v>
      </c>
      <c r="CC36" s="9" t="s">
        <v>115</v>
      </c>
      <c r="CD36" s="9" t="s">
        <v>732</v>
      </c>
      <c r="CE36" s="9" t="s">
        <v>28</v>
      </c>
      <c r="CF36" s="9">
        <v>1</v>
      </c>
      <c r="CG36" s="9" t="s">
        <v>2192</v>
      </c>
      <c r="CH36" s="9" t="s">
        <v>2441</v>
      </c>
      <c r="DT36" s="9">
        <v>28</v>
      </c>
      <c r="DZ36" s="9" t="s">
        <v>28</v>
      </c>
      <c r="EA36" s="9" t="s">
        <v>28</v>
      </c>
      <c r="EB36" s="9" t="s">
        <v>25</v>
      </c>
      <c r="EC36" s="9" t="s">
        <v>25</v>
      </c>
      <c r="ED36" s="9" t="s">
        <v>25</v>
      </c>
      <c r="EE36" s="9" t="s">
        <v>25</v>
      </c>
      <c r="EF36" s="9" t="s">
        <v>25</v>
      </c>
      <c r="EG36" s="9" t="s">
        <v>25</v>
      </c>
      <c r="EH36" s="9" t="s">
        <v>25</v>
      </c>
      <c r="EI36" s="9" t="s">
        <v>25</v>
      </c>
      <c r="EJ36" s="9" t="s">
        <v>25</v>
      </c>
      <c r="EK36" s="9" t="s">
        <v>25</v>
      </c>
      <c r="EL36" s="9" t="s">
        <v>25</v>
      </c>
      <c r="EM36" s="9" t="s">
        <v>25</v>
      </c>
      <c r="EN36" s="9" t="s">
        <v>25</v>
      </c>
      <c r="EQ36" s="9" t="s">
        <v>28</v>
      </c>
      <c r="ER36" s="9" t="s">
        <v>25</v>
      </c>
      <c r="ES36" s="9" t="s">
        <v>25</v>
      </c>
      <c r="ET36" s="9" t="s">
        <v>25</v>
      </c>
      <c r="EU36" s="9" t="s">
        <v>25</v>
      </c>
      <c r="EV36" s="9" t="s">
        <v>25</v>
      </c>
      <c r="EW36" s="9" t="s">
        <v>25</v>
      </c>
      <c r="EX36" s="9" t="s">
        <v>25</v>
      </c>
      <c r="EY36" s="9" t="s">
        <v>25</v>
      </c>
      <c r="GR36" s="9" t="s">
        <v>25</v>
      </c>
      <c r="GW36" s="9" t="s">
        <v>25</v>
      </c>
      <c r="GX36" s="9" t="s">
        <v>25</v>
      </c>
      <c r="GY36" s="9" t="s">
        <v>25</v>
      </c>
      <c r="GZ36" s="9" t="s">
        <v>28</v>
      </c>
      <c r="HA36" s="9" t="s">
        <v>2255</v>
      </c>
      <c r="HC36" s="9" t="s">
        <v>25</v>
      </c>
    </row>
    <row r="37" spans="1:212" ht="51" x14ac:dyDescent="0.2">
      <c r="A37" s="8" t="s">
        <v>158</v>
      </c>
      <c r="B37" s="9" t="s">
        <v>2158</v>
      </c>
      <c r="C37" s="9" t="s">
        <v>25</v>
      </c>
      <c r="E37" s="9" t="s">
        <v>28</v>
      </c>
      <c r="F37" s="9" t="s">
        <v>2200</v>
      </c>
      <c r="G37" s="9" t="s">
        <v>2185</v>
      </c>
      <c r="H37" s="11">
        <v>0.5</v>
      </c>
      <c r="I37" s="11">
        <v>0.5</v>
      </c>
      <c r="J37" s="11">
        <v>0.96</v>
      </c>
      <c r="K37" s="11">
        <v>0.8</v>
      </c>
      <c r="L37" s="11">
        <v>0.83</v>
      </c>
      <c r="M37" s="11">
        <v>0.14000000000000001</v>
      </c>
      <c r="N37" s="11">
        <v>0.1</v>
      </c>
      <c r="O37" s="11">
        <v>0.1</v>
      </c>
      <c r="P37" s="9" t="s">
        <v>28</v>
      </c>
      <c r="Q37" s="11">
        <v>0.23</v>
      </c>
      <c r="R37" s="11">
        <v>0.5</v>
      </c>
      <c r="S37" s="11">
        <v>0.5</v>
      </c>
      <c r="T37" s="9" t="s">
        <v>28</v>
      </c>
      <c r="U37" s="9" t="s">
        <v>28</v>
      </c>
      <c r="V37" s="39">
        <v>26900</v>
      </c>
      <c r="W37" s="9" t="s">
        <v>28</v>
      </c>
      <c r="X37" s="9" t="s">
        <v>2383</v>
      </c>
      <c r="Y37" s="11">
        <v>7.0000000000000007E-2</v>
      </c>
      <c r="Z37" s="11">
        <v>0.5</v>
      </c>
      <c r="AA37" s="11">
        <v>0.5</v>
      </c>
      <c r="AB37" s="9" t="s">
        <v>25</v>
      </c>
      <c r="AD37" s="9" t="s">
        <v>2256</v>
      </c>
      <c r="AE37" s="9" t="s">
        <v>2248</v>
      </c>
      <c r="AF37" s="9" t="s">
        <v>2161</v>
      </c>
      <c r="AG37" s="9" t="s">
        <v>2162</v>
      </c>
      <c r="AI37" s="9" t="s">
        <v>2201</v>
      </c>
      <c r="AJ37" s="9" t="s">
        <v>28</v>
      </c>
      <c r="AK37" s="9" t="s">
        <v>28</v>
      </c>
      <c r="AL37" s="9" t="s">
        <v>2164</v>
      </c>
      <c r="AM37" s="9" t="s">
        <v>25</v>
      </c>
      <c r="AN37" s="9" t="s">
        <v>2169</v>
      </c>
      <c r="AO37" s="9" t="s">
        <v>2165</v>
      </c>
      <c r="AP37" s="9" t="s">
        <v>2166</v>
      </c>
      <c r="AQ37" s="9" t="s">
        <v>25</v>
      </c>
      <c r="AS37" s="9" t="s">
        <v>2203</v>
      </c>
      <c r="AT37" s="9" t="s">
        <v>25</v>
      </c>
      <c r="AV37" s="9" t="s">
        <v>28</v>
      </c>
      <c r="AW37" s="9" t="s">
        <v>28</v>
      </c>
      <c r="AX37" s="9" t="s">
        <v>28</v>
      </c>
      <c r="AY37" s="9" t="s">
        <v>28</v>
      </c>
      <c r="AZ37" s="9" t="s">
        <v>25</v>
      </c>
      <c r="BA37" s="9" t="s">
        <v>2384</v>
      </c>
      <c r="BB37" s="39">
        <v>11600</v>
      </c>
      <c r="BC37" s="9" t="s">
        <v>13927</v>
      </c>
      <c r="BD37" s="9" t="s">
        <v>2169</v>
      </c>
      <c r="BE37" s="9" t="s">
        <v>2352</v>
      </c>
      <c r="BF37" s="9" t="s">
        <v>2171</v>
      </c>
      <c r="BS37" s="9" t="s">
        <v>25</v>
      </c>
      <c r="BT37" s="9" t="s">
        <v>25</v>
      </c>
      <c r="BV37" s="11">
        <v>0.01</v>
      </c>
      <c r="BW37" s="9" t="s">
        <v>2296</v>
      </c>
      <c r="BX37" s="9" t="s">
        <v>2296</v>
      </c>
      <c r="BY37" s="9" t="s">
        <v>115</v>
      </c>
      <c r="BZ37" s="9" t="s">
        <v>732</v>
      </c>
      <c r="CA37" s="9" t="s">
        <v>732</v>
      </c>
      <c r="CB37" s="9" t="s">
        <v>732</v>
      </c>
      <c r="CC37" s="9" t="s">
        <v>732</v>
      </c>
      <c r="CD37" s="9" t="s">
        <v>2296</v>
      </c>
      <c r="CE37" s="9" t="s">
        <v>28</v>
      </c>
      <c r="CF37" s="9">
        <v>1</v>
      </c>
      <c r="CG37" s="9" t="s">
        <v>2192</v>
      </c>
      <c r="CH37" s="9" t="s">
        <v>2385</v>
      </c>
      <c r="CJ37" s="9">
        <v>13</v>
      </c>
      <c r="CK37" s="9">
        <v>3</v>
      </c>
      <c r="CM37" s="9">
        <v>1</v>
      </c>
      <c r="CO37" s="9">
        <v>1</v>
      </c>
      <c r="CP37" s="9">
        <v>1</v>
      </c>
      <c r="CY37" s="9">
        <v>1</v>
      </c>
      <c r="CZ37" s="9">
        <v>1</v>
      </c>
      <c r="DA37" s="9">
        <v>1</v>
      </c>
      <c r="DB37" s="9">
        <v>1</v>
      </c>
      <c r="DC37" s="9">
        <v>1</v>
      </c>
      <c r="DD37" s="9">
        <v>1</v>
      </c>
      <c r="DE37" s="9">
        <v>1</v>
      </c>
      <c r="DF37" s="9">
        <v>1</v>
      </c>
      <c r="DK37" s="9">
        <v>1</v>
      </c>
      <c r="DL37" s="9">
        <v>1</v>
      </c>
      <c r="DN37" s="9">
        <v>1</v>
      </c>
      <c r="DQ37" s="9">
        <v>1</v>
      </c>
      <c r="DT37" s="9">
        <v>12</v>
      </c>
      <c r="DZ37" s="9" t="s">
        <v>25</v>
      </c>
      <c r="EA37" s="9" t="s">
        <v>28</v>
      </c>
      <c r="EB37" s="9" t="s">
        <v>25</v>
      </c>
      <c r="EC37" s="9" t="s">
        <v>25</v>
      </c>
      <c r="ED37" s="9" t="s">
        <v>25</v>
      </c>
      <c r="EE37" s="9" t="s">
        <v>25</v>
      </c>
      <c r="EF37" s="9" t="s">
        <v>25</v>
      </c>
      <c r="EG37" s="9" t="s">
        <v>25</v>
      </c>
      <c r="EH37" s="9" t="s">
        <v>25</v>
      </c>
      <c r="EI37" s="9" t="s">
        <v>25</v>
      </c>
      <c r="EJ37" s="9" t="s">
        <v>25</v>
      </c>
      <c r="EK37" s="9" t="s">
        <v>25</v>
      </c>
      <c r="EL37" s="9" t="s">
        <v>28</v>
      </c>
      <c r="EN37" s="9" t="s">
        <v>28</v>
      </c>
      <c r="EO37" s="9" t="s">
        <v>25</v>
      </c>
      <c r="EQ37" s="9" t="s">
        <v>28</v>
      </c>
      <c r="ER37" s="9" t="s">
        <v>2169</v>
      </c>
      <c r="ES37" s="9" t="s">
        <v>28</v>
      </c>
      <c r="ET37" s="9" t="s">
        <v>28</v>
      </c>
      <c r="EU37" s="9" t="s">
        <v>28</v>
      </c>
      <c r="EV37" s="9" t="s">
        <v>28</v>
      </c>
      <c r="EW37" s="9" t="s">
        <v>28</v>
      </c>
      <c r="EX37" s="9" t="s">
        <v>28</v>
      </c>
      <c r="EY37" s="9" t="s">
        <v>28</v>
      </c>
      <c r="EZ37" s="9" t="s">
        <v>2175</v>
      </c>
      <c r="FB37" s="9" t="s">
        <v>2176</v>
      </c>
      <c r="FD37" s="9" t="s">
        <v>28</v>
      </c>
      <c r="FE37" s="9" t="s">
        <v>13529</v>
      </c>
      <c r="FF37" s="9" t="s">
        <v>25</v>
      </c>
      <c r="FH37" s="9" t="s">
        <v>28</v>
      </c>
      <c r="FI37" s="9" t="s">
        <v>2215</v>
      </c>
      <c r="FJ37" s="11">
        <v>0.5</v>
      </c>
      <c r="FK37" s="11">
        <v>1</v>
      </c>
      <c r="FL37" s="11">
        <v>1</v>
      </c>
      <c r="FM37" s="11">
        <v>0.5</v>
      </c>
      <c r="FN37" s="11">
        <v>0.5</v>
      </c>
      <c r="FO37" s="11">
        <v>0.5</v>
      </c>
      <c r="FP37" s="11">
        <v>0.5</v>
      </c>
      <c r="FR37" s="11">
        <v>0.5</v>
      </c>
      <c r="FS37" s="11">
        <v>1</v>
      </c>
      <c r="FU37" s="11">
        <v>0.5</v>
      </c>
      <c r="FW37" s="9" t="s">
        <v>25</v>
      </c>
      <c r="GC37" s="9" t="s">
        <v>25</v>
      </c>
      <c r="GD37" s="9" t="s">
        <v>25</v>
      </c>
      <c r="GE37" s="63" t="s">
        <v>13162</v>
      </c>
      <c r="GF37" s="9" t="s">
        <v>2181</v>
      </c>
      <c r="GG37" s="9" t="s">
        <v>2182</v>
      </c>
      <c r="GH37" s="9" t="s">
        <v>2182</v>
      </c>
      <c r="GI37" s="9" t="s">
        <v>2182</v>
      </c>
      <c r="GJ37" s="9" t="s">
        <v>2182</v>
      </c>
      <c r="GK37" s="9">
        <v>15</v>
      </c>
      <c r="GM37" s="9" t="s">
        <v>2232</v>
      </c>
      <c r="GO37" s="9" t="s">
        <v>2307</v>
      </c>
      <c r="GQ37" s="9" t="s">
        <v>2229</v>
      </c>
      <c r="GR37" s="9" t="s">
        <v>1015</v>
      </c>
      <c r="GW37" s="9" t="s">
        <v>25</v>
      </c>
      <c r="GX37" s="9" t="s">
        <v>28</v>
      </c>
      <c r="GY37" s="9" t="s">
        <v>28</v>
      </c>
      <c r="GZ37" s="9" t="s">
        <v>28</v>
      </c>
      <c r="HA37" s="9" t="s">
        <v>2255</v>
      </c>
      <c r="HC37" s="9" t="s">
        <v>28</v>
      </c>
      <c r="HD37" s="9" t="s">
        <v>2386</v>
      </c>
    </row>
    <row r="38" spans="1:212" ht="51" x14ac:dyDescent="0.2">
      <c r="A38" s="8" t="s">
        <v>150</v>
      </c>
      <c r="B38" s="9" t="s">
        <v>2158</v>
      </c>
      <c r="C38" s="9" t="s">
        <v>25</v>
      </c>
      <c r="E38" s="9" t="s">
        <v>25</v>
      </c>
      <c r="G38" s="9" t="s">
        <v>2185</v>
      </c>
      <c r="H38" s="11">
        <v>0.5</v>
      </c>
      <c r="I38" s="11">
        <v>1</v>
      </c>
      <c r="J38" s="11">
        <v>0.94</v>
      </c>
      <c r="K38" s="11">
        <v>0.84</v>
      </c>
      <c r="L38" s="11">
        <v>0.91</v>
      </c>
      <c r="M38" s="11">
        <v>0.08</v>
      </c>
      <c r="N38" s="11">
        <v>7.0000000000000007E-2</v>
      </c>
      <c r="O38" s="11">
        <v>7.0000000000000007E-2</v>
      </c>
      <c r="P38" s="9" t="s">
        <v>28</v>
      </c>
      <c r="Q38" s="11">
        <v>0.18</v>
      </c>
      <c r="R38" s="11">
        <v>0.5</v>
      </c>
      <c r="S38" s="11">
        <v>0.5</v>
      </c>
      <c r="T38" s="9" t="s">
        <v>28</v>
      </c>
      <c r="U38" s="9" t="s">
        <v>25</v>
      </c>
      <c r="W38" s="9" t="s">
        <v>25</v>
      </c>
      <c r="Y38" s="11">
        <v>0.09</v>
      </c>
      <c r="Z38" s="11">
        <v>0.5</v>
      </c>
      <c r="AA38" s="11">
        <v>0.5</v>
      </c>
      <c r="AB38" s="9" t="s">
        <v>25</v>
      </c>
      <c r="AD38" s="9" t="s">
        <v>2256</v>
      </c>
      <c r="AE38" s="9" t="s">
        <v>2248</v>
      </c>
      <c r="AF38" s="11">
        <v>0.05</v>
      </c>
      <c r="AG38" s="9" t="s">
        <v>2162</v>
      </c>
      <c r="AI38" s="9" t="s">
        <v>2163</v>
      </c>
      <c r="AJ38" s="9" t="s">
        <v>28</v>
      </c>
      <c r="AK38" s="9" t="s">
        <v>1015</v>
      </c>
      <c r="AL38" s="9" t="s">
        <v>2164</v>
      </c>
      <c r="AM38" s="9" t="s">
        <v>25</v>
      </c>
      <c r="AN38" s="9" t="s">
        <v>25</v>
      </c>
      <c r="AO38" s="9" t="s">
        <v>2165</v>
      </c>
      <c r="AP38" s="9" t="s">
        <v>2188</v>
      </c>
      <c r="AQ38" s="9" t="s">
        <v>25</v>
      </c>
      <c r="AS38" s="9" t="s">
        <v>2230</v>
      </c>
      <c r="AT38" s="9" t="s">
        <v>25</v>
      </c>
      <c r="AV38" s="9" t="s">
        <v>28</v>
      </c>
      <c r="AW38" s="9" t="s">
        <v>25</v>
      </c>
      <c r="AX38" s="9" t="s">
        <v>25</v>
      </c>
      <c r="AY38" s="9" t="s">
        <v>25</v>
      </c>
      <c r="AZ38" s="9" t="s">
        <v>25</v>
      </c>
      <c r="BA38" s="9" t="s">
        <v>2357</v>
      </c>
      <c r="BB38" s="39">
        <v>6000</v>
      </c>
      <c r="BC38" s="9" t="s">
        <v>13922</v>
      </c>
      <c r="BD38" s="9" t="s">
        <v>2169</v>
      </c>
      <c r="BE38" s="9" t="s">
        <v>2269</v>
      </c>
      <c r="BF38" s="9" t="s">
        <v>2171</v>
      </c>
      <c r="BS38" s="9" t="s">
        <v>25</v>
      </c>
      <c r="BT38" s="9" t="s">
        <v>28</v>
      </c>
      <c r="BU38" s="9" t="s">
        <v>2253</v>
      </c>
      <c r="BV38" s="11">
        <v>0.31</v>
      </c>
      <c r="BW38" s="9" t="s">
        <v>732</v>
      </c>
      <c r="BX38" s="9" t="s">
        <v>732</v>
      </c>
      <c r="BY38" s="9" t="s">
        <v>2191</v>
      </c>
      <c r="BZ38" s="9" t="s">
        <v>732</v>
      </c>
      <c r="CA38" s="9" t="s">
        <v>732</v>
      </c>
      <c r="CB38" s="9" t="s">
        <v>732</v>
      </c>
      <c r="CC38" s="9" t="s">
        <v>2228</v>
      </c>
      <c r="CD38" s="9" t="s">
        <v>2228</v>
      </c>
      <c r="CE38" s="9" t="s">
        <v>28</v>
      </c>
      <c r="CF38" s="9">
        <v>1</v>
      </c>
      <c r="CG38" s="9" t="s">
        <v>2192</v>
      </c>
      <c r="CH38" s="9" t="s">
        <v>2358</v>
      </c>
      <c r="CJ38" s="9">
        <v>3</v>
      </c>
      <c r="CL38" s="9">
        <v>1</v>
      </c>
      <c r="CZ38" s="9">
        <v>1</v>
      </c>
      <c r="DA38" s="9">
        <v>1</v>
      </c>
      <c r="DB38" s="9">
        <v>1</v>
      </c>
      <c r="DE38" s="9">
        <v>1</v>
      </c>
      <c r="DF38" s="9">
        <v>1</v>
      </c>
      <c r="DI38" s="9">
        <v>1</v>
      </c>
      <c r="DJ38" s="9">
        <v>1</v>
      </c>
      <c r="DN38" s="9">
        <v>1</v>
      </c>
      <c r="DR38" s="9">
        <v>1</v>
      </c>
      <c r="DT38" s="9">
        <v>12</v>
      </c>
      <c r="DZ38" s="9" t="s">
        <v>25</v>
      </c>
      <c r="EA38" s="9" t="s">
        <v>25</v>
      </c>
      <c r="EQ38" s="9" t="s">
        <v>25</v>
      </c>
      <c r="ER38" s="9" t="s">
        <v>25</v>
      </c>
      <c r="ES38" s="9" t="s">
        <v>28</v>
      </c>
      <c r="ET38" s="9" t="s">
        <v>28</v>
      </c>
      <c r="EU38" s="9" t="s">
        <v>28</v>
      </c>
      <c r="EV38" s="9" t="s">
        <v>28</v>
      </c>
      <c r="EW38" s="9" t="s">
        <v>28</v>
      </c>
      <c r="EX38" s="9" t="s">
        <v>25</v>
      </c>
      <c r="EY38" s="9" t="s">
        <v>28</v>
      </c>
      <c r="EZ38" s="9" t="s">
        <v>2175</v>
      </c>
      <c r="FB38" s="9" t="s">
        <v>2359</v>
      </c>
      <c r="FD38" s="9" t="s">
        <v>28</v>
      </c>
      <c r="FE38" s="9" t="s">
        <v>13527</v>
      </c>
      <c r="FF38" s="9" t="s">
        <v>25</v>
      </c>
      <c r="FH38" s="9" t="s">
        <v>28</v>
      </c>
      <c r="FI38" s="9" t="s">
        <v>249</v>
      </c>
      <c r="FJ38" s="11">
        <v>1</v>
      </c>
      <c r="FK38" s="11">
        <v>1</v>
      </c>
      <c r="FO38" s="11">
        <v>1</v>
      </c>
      <c r="FW38" s="9" t="s">
        <v>25</v>
      </c>
      <c r="GC38" s="9" t="s">
        <v>28</v>
      </c>
      <c r="GD38" s="9" t="s">
        <v>25</v>
      </c>
      <c r="GE38" s="64" t="s">
        <v>2275</v>
      </c>
      <c r="GF38" s="9" t="s">
        <v>2181</v>
      </c>
      <c r="GG38" s="9" t="s">
        <v>635</v>
      </c>
      <c r="GH38" s="9" t="s">
        <v>2183</v>
      </c>
      <c r="GI38" s="9" t="s">
        <v>2182</v>
      </c>
      <c r="GJ38" s="9" t="s">
        <v>2182</v>
      </c>
      <c r="GK38" s="9">
        <v>5</v>
      </c>
      <c r="GM38" s="9" t="s">
        <v>29</v>
      </c>
      <c r="GN38" s="9" t="s">
        <v>2360</v>
      </c>
      <c r="GQ38" s="9" t="s">
        <v>635</v>
      </c>
      <c r="GR38" s="9" t="s">
        <v>28</v>
      </c>
      <c r="GS38" s="9" t="s">
        <v>28</v>
      </c>
      <c r="GT38" s="9" t="s">
        <v>28</v>
      </c>
      <c r="GU38" s="9" t="s">
        <v>25</v>
      </c>
      <c r="GV38" s="9" t="s">
        <v>25</v>
      </c>
      <c r="GW38" s="9" t="s">
        <v>25</v>
      </c>
      <c r="GX38" s="9" t="s">
        <v>25</v>
      </c>
      <c r="GY38" s="9" t="s">
        <v>25</v>
      </c>
      <c r="GZ38" s="9" t="s">
        <v>25</v>
      </c>
      <c r="HC38" s="9" t="s">
        <v>28</v>
      </c>
      <c r="HD38" s="9" t="s">
        <v>2361</v>
      </c>
    </row>
    <row r="39" spans="1:212" ht="51" x14ac:dyDescent="0.2">
      <c r="A39" s="8" t="s">
        <v>135</v>
      </c>
      <c r="B39" s="9" t="s">
        <v>2158</v>
      </c>
      <c r="C39" s="9" t="s">
        <v>2169</v>
      </c>
      <c r="D39" s="9" t="s">
        <v>743</v>
      </c>
      <c r="E39" s="9" t="s">
        <v>25</v>
      </c>
      <c r="G39" s="9" t="s">
        <v>2185</v>
      </c>
      <c r="H39" s="11">
        <v>0.5</v>
      </c>
      <c r="I39" s="11">
        <v>0.25</v>
      </c>
      <c r="J39" s="11">
        <v>0.92</v>
      </c>
      <c r="K39" s="11">
        <v>0.86</v>
      </c>
      <c r="L39" s="11">
        <v>0.89</v>
      </c>
      <c r="P39" s="9" t="s">
        <v>28</v>
      </c>
      <c r="Q39" s="11">
        <v>0.17</v>
      </c>
      <c r="R39" s="11">
        <v>0.5</v>
      </c>
      <c r="S39" s="11">
        <v>0.5</v>
      </c>
      <c r="T39" s="9" t="s">
        <v>28</v>
      </c>
      <c r="U39" s="9" t="s">
        <v>28</v>
      </c>
      <c r="V39" s="39">
        <v>19500</v>
      </c>
      <c r="W39" s="9" t="s">
        <v>28</v>
      </c>
      <c r="X39" s="9" t="s">
        <v>2283</v>
      </c>
      <c r="Y39" s="11">
        <v>1</v>
      </c>
      <c r="Z39" s="11">
        <v>0.5</v>
      </c>
      <c r="AA39" s="11">
        <v>0.5</v>
      </c>
      <c r="AB39" s="9" t="s">
        <v>28</v>
      </c>
      <c r="AC39" s="11">
        <v>0.03</v>
      </c>
      <c r="AD39" s="9" t="s">
        <v>2256</v>
      </c>
      <c r="AE39" s="9" t="s">
        <v>2248</v>
      </c>
      <c r="AF39" s="11">
        <v>0.01</v>
      </c>
      <c r="AG39" s="9" t="s">
        <v>2284</v>
      </c>
      <c r="AI39" s="9" t="s">
        <v>2163</v>
      </c>
      <c r="AJ39" s="9" t="s">
        <v>28</v>
      </c>
      <c r="AK39" s="9" t="s">
        <v>28</v>
      </c>
      <c r="AL39" s="9" t="s">
        <v>2164</v>
      </c>
      <c r="AM39" s="9" t="s">
        <v>25</v>
      </c>
      <c r="AN39" s="9" t="s">
        <v>25</v>
      </c>
      <c r="AO39" s="9" t="s">
        <v>2276</v>
      </c>
      <c r="AP39" s="9" t="s">
        <v>2188</v>
      </c>
      <c r="AQ39" s="9" t="s">
        <v>25</v>
      </c>
      <c r="AS39" s="9" t="s">
        <v>2203</v>
      </c>
      <c r="AT39" s="9" t="s">
        <v>25</v>
      </c>
      <c r="AV39" s="9" t="s">
        <v>28</v>
      </c>
      <c r="AW39" s="9" t="s">
        <v>25</v>
      </c>
      <c r="AX39" s="9" t="s">
        <v>28</v>
      </c>
      <c r="AY39" s="9" t="s">
        <v>25</v>
      </c>
      <c r="AZ39" s="9" t="s">
        <v>28</v>
      </c>
      <c r="BA39" s="9" t="s">
        <v>2285</v>
      </c>
      <c r="BB39" s="39">
        <v>11600</v>
      </c>
      <c r="BC39" s="9" t="s">
        <v>13932</v>
      </c>
      <c r="BD39" s="9" t="s">
        <v>2169</v>
      </c>
      <c r="BE39" s="9" t="s">
        <v>2170</v>
      </c>
      <c r="BF39" s="9" t="s">
        <v>2286</v>
      </c>
      <c r="BI39" s="11">
        <v>1</v>
      </c>
      <c r="BS39" s="9" t="s">
        <v>25</v>
      </c>
      <c r="BT39" s="9" t="s">
        <v>28</v>
      </c>
      <c r="BU39" s="9" t="s">
        <v>2287</v>
      </c>
      <c r="BV39" s="11">
        <v>0</v>
      </c>
      <c r="BW39" s="9" t="s">
        <v>732</v>
      </c>
      <c r="BX39" s="9" t="s">
        <v>732</v>
      </c>
      <c r="BY39" s="9" t="s">
        <v>732</v>
      </c>
      <c r="BZ39" s="9" t="s">
        <v>732</v>
      </c>
      <c r="CA39" s="9" t="s">
        <v>732</v>
      </c>
      <c r="CB39" s="9" t="s">
        <v>732</v>
      </c>
      <c r="CC39" s="9" t="s">
        <v>2228</v>
      </c>
      <c r="CD39" s="9" t="s">
        <v>29</v>
      </c>
      <c r="CE39" s="9" t="s">
        <v>28</v>
      </c>
      <c r="CF39" s="9">
        <v>3</v>
      </c>
      <c r="CG39" s="9" t="s">
        <v>2192</v>
      </c>
      <c r="CH39" s="9" t="s">
        <v>2288</v>
      </c>
      <c r="CI39" s="9" t="s">
        <v>2289</v>
      </c>
      <c r="CM39" s="9">
        <v>1</v>
      </c>
      <c r="CR39" s="9">
        <v>1</v>
      </c>
      <c r="CU39" s="9">
        <v>1</v>
      </c>
      <c r="CY39" s="9">
        <v>2</v>
      </c>
      <c r="DC39" s="9">
        <v>1</v>
      </c>
      <c r="DK39" s="9">
        <v>1</v>
      </c>
      <c r="DQ39" s="9">
        <v>1</v>
      </c>
      <c r="DS39" s="9">
        <v>11</v>
      </c>
      <c r="DZ39" s="9" t="s">
        <v>25</v>
      </c>
      <c r="EA39" s="9" t="s">
        <v>28</v>
      </c>
      <c r="EL39" s="9" t="s">
        <v>28</v>
      </c>
      <c r="EO39" s="9" t="s">
        <v>28</v>
      </c>
      <c r="EP39" s="9" t="s">
        <v>2290</v>
      </c>
      <c r="EQ39" s="9" t="s">
        <v>25</v>
      </c>
      <c r="ER39" s="9" t="s">
        <v>2169</v>
      </c>
      <c r="ES39" s="9" t="s">
        <v>28</v>
      </c>
      <c r="ET39" s="9" t="s">
        <v>28</v>
      </c>
      <c r="EU39" s="9" t="s">
        <v>28</v>
      </c>
      <c r="EV39" s="9" t="s">
        <v>28</v>
      </c>
      <c r="EW39" s="9" t="s">
        <v>28</v>
      </c>
      <c r="EX39" s="9" t="s">
        <v>28</v>
      </c>
      <c r="EY39" s="9" t="s">
        <v>28</v>
      </c>
      <c r="EZ39" s="9" t="s">
        <v>2291</v>
      </c>
      <c r="FB39" s="9" t="s">
        <v>2292</v>
      </c>
      <c r="FC39" s="39">
        <v>290000</v>
      </c>
      <c r="FD39" s="9" t="s">
        <v>25</v>
      </c>
      <c r="FE39" s="9" t="s">
        <v>13527</v>
      </c>
      <c r="FF39" s="9" t="s">
        <v>25</v>
      </c>
      <c r="FH39" s="9" t="s">
        <v>28</v>
      </c>
      <c r="FI39" s="9" t="s">
        <v>2215</v>
      </c>
      <c r="FJ39" s="11">
        <v>1</v>
      </c>
      <c r="FK39" s="11">
        <v>0.95</v>
      </c>
      <c r="FL39" s="11">
        <v>0.95</v>
      </c>
      <c r="FW39" s="9" t="s">
        <v>28</v>
      </c>
      <c r="FX39" s="9" t="s">
        <v>2193</v>
      </c>
      <c r="FZ39" s="9" t="s">
        <v>2293</v>
      </c>
      <c r="GA39" s="9" t="s">
        <v>256</v>
      </c>
      <c r="GB39" s="9" t="s">
        <v>2180</v>
      </c>
      <c r="GC39" s="9" t="s">
        <v>25</v>
      </c>
      <c r="GD39" s="9" t="s">
        <v>25</v>
      </c>
      <c r="GE39" s="63" t="s">
        <v>13162</v>
      </c>
      <c r="GF39" s="9" t="s">
        <v>2181</v>
      </c>
      <c r="GG39" s="9" t="s">
        <v>635</v>
      </c>
      <c r="GH39" s="9" t="s">
        <v>635</v>
      </c>
      <c r="GI39" s="9" t="s">
        <v>2182</v>
      </c>
      <c r="GJ39" s="9" t="s">
        <v>2182</v>
      </c>
      <c r="GK39" s="9">
        <v>15</v>
      </c>
      <c r="GM39" s="9" t="s">
        <v>2196</v>
      </c>
      <c r="GO39" s="9" t="s">
        <v>2197</v>
      </c>
      <c r="GP39" s="9" t="s">
        <v>2198</v>
      </c>
      <c r="GQ39" s="9" t="s">
        <v>2229</v>
      </c>
      <c r="GR39" s="9" t="s">
        <v>28</v>
      </c>
      <c r="GS39" s="9" t="s">
        <v>28</v>
      </c>
      <c r="GT39" s="9" t="s">
        <v>25</v>
      </c>
      <c r="GU39" s="9" t="s">
        <v>28</v>
      </c>
      <c r="GV39" s="9" t="s">
        <v>25</v>
      </c>
      <c r="GW39" s="9" t="s">
        <v>25</v>
      </c>
      <c r="GX39" s="9" t="s">
        <v>25</v>
      </c>
      <c r="GY39" s="9" t="s">
        <v>25</v>
      </c>
      <c r="GZ39" s="9" t="s">
        <v>28</v>
      </c>
      <c r="HA39" s="9" t="s">
        <v>2255</v>
      </c>
      <c r="HC39" s="9" t="s">
        <v>25</v>
      </c>
    </row>
    <row r="40" spans="1:212" ht="51" x14ac:dyDescent="0.2">
      <c r="A40" s="8" t="s">
        <v>137</v>
      </c>
      <c r="B40" s="9" t="s">
        <v>2158</v>
      </c>
      <c r="C40" s="9" t="s">
        <v>25</v>
      </c>
      <c r="E40" s="9" t="s">
        <v>25</v>
      </c>
      <c r="G40" s="9" t="s">
        <v>2185</v>
      </c>
      <c r="H40" s="11">
        <v>0.5</v>
      </c>
      <c r="I40" s="11">
        <v>0.25</v>
      </c>
      <c r="J40" s="11">
        <v>0.96</v>
      </c>
      <c r="K40" s="11">
        <v>0.86</v>
      </c>
      <c r="L40" s="11">
        <v>0.9</v>
      </c>
      <c r="M40" s="11">
        <v>0.08</v>
      </c>
      <c r="N40" s="11">
        <v>0.06</v>
      </c>
      <c r="O40" s="11">
        <v>7.0000000000000007E-2</v>
      </c>
      <c r="P40" s="9" t="s">
        <v>28</v>
      </c>
      <c r="Q40" s="11">
        <v>0.17</v>
      </c>
      <c r="R40" s="11">
        <v>0.5</v>
      </c>
      <c r="S40" s="11">
        <v>0.5</v>
      </c>
      <c r="T40" s="9" t="s">
        <v>41</v>
      </c>
      <c r="AB40" s="9" t="s">
        <v>28</v>
      </c>
      <c r="AC40" s="11">
        <v>0.03</v>
      </c>
      <c r="AD40" s="9" t="s">
        <v>2256</v>
      </c>
      <c r="AE40" s="11">
        <v>0.01</v>
      </c>
      <c r="AF40" s="11">
        <v>0.01</v>
      </c>
      <c r="AG40" s="9" t="s">
        <v>2284</v>
      </c>
      <c r="AI40" s="9" t="s">
        <v>2163</v>
      </c>
      <c r="AJ40" s="9" t="s">
        <v>25</v>
      </c>
      <c r="AL40" s="9" t="s">
        <v>2164</v>
      </c>
      <c r="AM40" s="9" t="s">
        <v>28</v>
      </c>
      <c r="AN40" s="9" t="s">
        <v>25</v>
      </c>
      <c r="AP40" s="9" t="s">
        <v>2188</v>
      </c>
      <c r="AQ40" s="9" t="s">
        <v>25</v>
      </c>
      <c r="AS40" s="9" t="s">
        <v>2189</v>
      </c>
      <c r="AT40" s="9" t="s">
        <v>25</v>
      </c>
      <c r="AV40" s="9" t="s">
        <v>28</v>
      </c>
      <c r="AW40" s="9" t="s">
        <v>25</v>
      </c>
      <c r="AX40" s="9" t="s">
        <v>28</v>
      </c>
      <c r="AY40" s="9" t="s">
        <v>25</v>
      </c>
      <c r="AZ40" s="9" t="s">
        <v>25</v>
      </c>
      <c r="BA40" s="9" t="s">
        <v>2299</v>
      </c>
      <c r="BB40" s="39">
        <v>11400</v>
      </c>
      <c r="BC40" s="9" t="s">
        <v>14522</v>
      </c>
      <c r="BD40" s="9" t="s">
        <v>25</v>
      </c>
      <c r="BF40" s="9" t="s">
        <v>2286</v>
      </c>
      <c r="BI40" s="11">
        <v>1</v>
      </c>
      <c r="BS40" s="9" t="s">
        <v>25</v>
      </c>
      <c r="BT40" s="9" t="s">
        <v>28</v>
      </c>
      <c r="BU40" s="9" t="s">
        <v>2287</v>
      </c>
      <c r="BV40" s="11">
        <v>0.03</v>
      </c>
      <c r="BW40" s="9" t="s">
        <v>732</v>
      </c>
      <c r="BX40" s="9" t="s">
        <v>2191</v>
      </c>
      <c r="BY40" s="9" t="s">
        <v>732</v>
      </c>
      <c r="BZ40" s="9" t="s">
        <v>732</v>
      </c>
      <c r="CA40" s="9" t="s">
        <v>732</v>
      </c>
      <c r="CB40" s="9" t="s">
        <v>732</v>
      </c>
      <c r="CC40" s="9" t="s">
        <v>732</v>
      </c>
      <c r="CD40" s="9" t="s">
        <v>2296</v>
      </c>
      <c r="CE40" s="9" t="s">
        <v>28</v>
      </c>
      <c r="CF40" s="9">
        <v>2</v>
      </c>
      <c r="CG40" s="9" t="s">
        <v>2192</v>
      </c>
      <c r="CH40" s="9" t="s">
        <v>2300</v>
      </c>
      <c r="CI40" s="9" t="s">
        <v>2301</v>
      </c>
      <c r="CL40" s="9">
        <v>1</v>
      </c>
      <c r="CN40" s="9">
        <v>1</v>
      </c>
      <c r="CO40" s="9">
        <v>1</v>
      </c>
      <c r="CQ40" s="9">
        <v>1</v>
      </c>
      <c r="CS40" s="9">
        <v>1</v>
      </c>
      <c r="CU40" s="9">
        <v>1</v>
      </c>
      <c r="CY40" s="9">
        <v>1</v>
      </c>
      <c r="CZ40" s="9">
        <v>1</v>
      </c>
      <c r="DK40" s="9">
        <v>1</v>
      </c>
      <c r="DL40" s="9">
        <v>1</v>
      </c>
      <c r="DP40" s="9">
        <v>1</v>
      </c>
      <c r="DS40" s="9">
        <v>13</v>
      </c>
      <c r="DZ40" s="9" t="s">
        <v>25</v>
      </c>
      <c r="EA40" s="9" t="s">
        <v>28</v>
      </c>
      <c r="EB40" s="9" t="s">
        <v>25</v>
      </c>
      <c r="EC40" s="9" t="s">
        <v>25</v>
      </c>
      <c r="ED40" s="9" t="s">
        <v>25</v>
      </c>
      <c r="EE40" s="9" t="s">
        <v>25</v>
      </c>
      <c r="EF40" s="9" t="s">
        <v>25</v>
      </c>
      <c r="EG40" s="9" t="s">
        <v>25</v>
      </c>
      <c r="EH40" s="9" t="s">
        <v>25</v>
      </c>
      <c r="EI40" s="9" t="s">
        <v>25</v>
      </c>
      <c r="EJ40" s="9" t="s">
        <v>25</v>
      </c>
      <c r="EK40" s="9" t="s">
        <v>25</v>
      </c>
      <c r="EL40" s="9" t="s">
        <v>28</v>
      </c>
      <c r="EM40" s="9" t="s">
        <v>25</v>
      </c>
      <c r="EN40" s="9" t="s">
        <v>25</v>
      </c>
      <c r="EO40" s="9" t="s">
        <v>25</v>
      </c>
      <c r="EQ40" s="9" t="s">
        <v>28</v>
      </c>
      <c r="ER40" s="9" t="s">
        <v>2169</v>
      </c>
      <c r="ES40" s="9" t="s">
        <v>28</v>
      </c>
      <c r="ET40" s="9" t="s">
        <v>28</v>
      </c>
      <c r="EU40" s="9" t="s">
        <v>28</v>
      </c>
      <c r="EV40" s="9" t="s">
        <v>28</v>
      </c>
      <c r="EW40" s="9" t="s">
        <v>28</v>
      </c>
      <c r="EX40" s="9" t="s">
        <v>28</v>
      </c>
      <c r="EY40" s="9" t="s">
        <v>28</v>
      </c>
      <c r="EZ40" s="9" t="s">
        <v>2291</v>
      </c>
      <c r="FB40" s="9" t="s">
        <v>2302</v>
      </c>
      <c r="FC40" s="39">
        <v>160000</v>
      </c>
      <c r="FD40" s="9" t="s">
        <v>28</v>
      </c>
      <c r="FE40" s="9" t="s">
        <v>13527</v>
      </c>
      <c r="FF40" s="9" t="s">
        <v>25</v>
      </c>
      <c r="FH40" s="9" t="s">
        <v>28</v>
      </c>
      <c r="FI40" s="9" t="s">
        <v>2215</v>
      </c>
      <c r="FJ40" s="11">
        <v>1</v>
      </c>
      <c r="FK40" s="11">
        <v>0.95</v>
      </c>
      <c r="FW40" s="9" t="s">
        <v>28</v>
      </c>
      <c r="FX40" s="9" t="s">
        <v>2193</v>
      </c>
      <c r="FZ40" s="9" t="s">
        <v>2303</v>
      </c>
      <c r="GA40" s="9" t="s">
        <v>256</v>
      </c>
      <c r="GB40" s="9" t="s">
        <v>2180</v>
      </c>
      <c r="GC40" s="9" t="s">
        <v>25</v>
      </c>
      <c r="GD40" s="9" t="s">
        <v>25</v>
      </c>
      <c r="GF40" s="9" t="s">
        <v>2181</v>
      </c>
      <c r="GG40" s="9" t="s">
        <v>2183</v>
      </c>
      <c r="GI40" s="9" t="s">
        <v>2183</v>
      </c>
      <c r="GJ40" s="9" t="s">
        <v>2240</v>
      </c>
      <c r="GK40" s="9">
        <v>15</v>
      </c>
      <c r="GM40" s="9" t="s">
        <v>2196</v>
      </c>
      <c r="GO40" s="9" t="s">
        <v>2197</v>
      </c>
      <c r="GP40" s="9" t="s">
        <v>2198</v>
      </c>
      <c r="GQ40" s="9" t="s">
        <v>2229</v>
      </c>
      <c r="GR40" s="9" t="s">
        <v>28</v>
      </c>
      <c r="GS40" s="9" t="s">
        <v>28</v>
      </c>
      <c r="GT40" s="9" t="s">
        <v>25</v>
      </c>
      <c r="GU40" s="9" t="s">
        <v>28</v>
      </c>
      <c r="GV40" s="9" t="s">
        <v>25</v>
      </c>
      <c r="GW40" s="9" t="s">
        <v>25</v>
      </c>
      <c r="GX40" s="9" t="s">
        <v>25</v>
      </c>
      <c r="GY40" s="9" t="s">
        <v>25</v>
      </c>
      <c r="GZ40" s="9" t="s">
        <v>28</v>
      </c>
      <c r="HA40" s="9" t="s">
        <v>13952</v>
      </c>
      <c r="HC40" s="9" t="s">
        <v>41</v>
      </c>
    </row>
    <row r="41" spans="1:212" ht="51" x14ac:dyDescent="0.2">
      <c r="A41" s="8" t="s">
        <v>142</v>
      </c>
      <c r="B41" s="9" t="s">
        <v>2158</v>
      </c>
      <c r="C41" s="9" t="s">
        <v>25</v>
      </c>
      <c r="E41" s="9" t="s">
        <v>28</v>
      </c>
      <c r="F41" s="9" t="s">
        <v>2200</v>
      </c>
      <c r="G41" s="9" t="s">
        <v>2324</v>
      </c>
      <c r="H41" s="11">
        <v>0.6</v>
      </c>
      <c r="I41" s="11">
        <v>1</v>
      </c>
      <c r="J41" s="11">
        <v>0.96</v>
      </c>
      <c r="K41" s="11">
        <v>0.91</v>
      </c>
      <c r="L41" s="11">
        <v>0.92</v>
      </c>
      <c r="M41" s="11">
        <v>7.0000000000000007E-2</v>
      </c>
      <c r="N41" s="11">
        <v>0.09</v>
      </c>
      <c r="O41" s="11">
        <v>0.09</v>
      </c>
      <c r="P41" s="9" t="s">
        <v>28</v>
      </c>
      <c r="Q41" s="11">
        <v>0.14000000000000001</v>
      </c>
      <c r="R41" s="11">
        <v>1</v>
      </c>
      <c r="S41" s="11">
        <v>1</v>
      </c>
      <c r="T41" s="9" t="s">
        <v>28</v>
      </c>
      <c r="U41" s="9" t="s">
        <v>28</v>
      </c>
      <c r="V41" s="39">
        <v>30000</v>
      </c>
      <c r="W41" s="9" t="s">
        <v>25</v>
      </c>
      <c r="Y41" s="11">
        <v>7.0000000000000007E-2</v>
      </c>
      <c r="Z41" s="11">
        <v>1</v>
      </c>
      <c r="AA41" s="11">
        <v>1</v>
      </c>
      <c r="AB41" s="9" t="s">
        <v>28</v>
      </c>
      <c r="AC41" s="11">
        <v>0.08</v>
      </c>
      <c r="AD41" s="9" t="s">
        <v>2160</v>
      </c>
      <c r="AE41" s="11">
        <v>0.01</v>
      </c>
      <c r="AF41" s="11">
        <v>0.03</v>
      </c>
      <c r="AG41" s="9" t="s">
        <v>2162</v>
      </c>
      <c r="AI41" s="9" t="s">
        <v>2163</v>
      </c>
      <c r="AJ41" s="9" t="s">
        <v>28</v>
      </c>
      <c r="AK41" s="9" t="s">
        <v>28</v>
      </c>
      <c r="AL41" s="9" t="s">
        <v>2164</v>
      </c>
      <c r="AM41" s="9" t="s">
        <v>25</v>
      </c>
      <c r="AN41" s="9" t="s">
        <v>25</v>
      </c>
      <c r="AO41" s="9" t="s">
        <v>2165</v>
      </c>
      <c r="AP41" s="9" t="s">
        <v>2188</v>
      </c>
      <c r="AQ41" s="9" t="s">
        <v>25</v>
      </c>
      <c r="AS41" s="9" t="s">
        <v>2203</v>
      </c>
      <c r="AT41" s="9" t="s">
        <v>25</v>
      </c>
      <c r="AV41" s="9" t="s">
        <v>28</v>
      </c>
      <c r="AW41" s="9" t="s">
        <v>25</v>
      </c>
      <c r="AX41" s="9" t="s">
        <v>25</v>
      </c>
      <c r="AY41" s="9" t="s">
        <v>25</v>
      </c>
      <c r="AZ41" s="9" t="s">
        <v>28</v>
      </c>
      <c r="BA41" s="9" t="s">
        <v>2325</v>
      </c>
      <c r="BB41" s="39">
        <v>8500</v>
      </c>
      <c r="BC41" s="9" t="s">
        <v>13918</v>
      </c>
      <c r="BD41" s="9" t="s">
        <v>2169</v>
      </c>
      <c r="BE41" s="9" t="s">
        <v>2170</v>
      </c>
      <c r="BF41" s="9" t="s">
        <v>2171</v>
      </c>
      <c r="BS41" s="9" t="s">
        <v>25</v>
      </c>
      <c r="BT41" s="9" t="s">
        <v>28</v>
      </c>
      <c r="BU41" s="9" t="s">
        <v>2222</v>
      </c>
      <c r="BV41" s="11">
        <v>0.3</v>
      </c>
      <c r="BW41" s="9" t="s">
        <v>732</v>
      </c>
      <c r="BX41" s="9" t="s">
        <v>732</v>
      </c>
      <c r="BY41" s="9" t="s">
        <v>2191</v>
      </c>
      <c r="BZ41" s="9" t="s">
        <v>2296</v>
      </c>
      <c r="CA41" s="9" t="s">
        <v>2296</v>
      </c>
      <c r="CB41" s="9" t="s">
        <v>2296</v>
      </c>
      <c r="CC41" s="9" t="s">
        <v>732</v>
      </c>
      <c r="CD41" s="9" t="s">
        <v>732</v>
      </c>
      <c r="CE41" s="9" t="s">
        <v>28</v>
      </c>
      <c r="CF41" s="9">
        <v>2</v>
      </c>
      <c r="CG41" s="9" t="s">
        <v>2192</v>
      </c>
      <c r="CH41" s="9" t="s">
        <v>13941</v>
      </c>
      <c r="CI41" s="9" t="s">
        <v>2326</v>
      </c>
      <c r="CL41" s="9">
        <v>1</v>
      </c>
      <c r="CM41" s="9">
        <v>1</v>
      </c>
      <c r="CO41" s="9">
        <v>1</v>
      </c>
      <c r="CP41" s="9">
        <v>1</v>
      </c>
      <c r="CY41" s="9">
        <v>2</v>
      </c>
      <c r="DB41" s="9">
        <v>1</v>
      </c>
      <c r="DD41" s="9">
        <v>2</v>
      </c>
      <c r="DE41" s="9">
        <v>2</v>
      </c>
      <c r="DI41" s="9">
        <v>1</v>
      </c>
      <c r="DK41" s="9">
        <v>2</v>
      </c>
      <c r="DM41" s="9">
        <v>1</v>
      </c>
      <c r="DN41" s="9">
        <v>1</v>
      </c>
      <c r="DT41" s="9">
        <v>13</v>
      </c>
      <c r="DY41" s="9">
        <v>1</v>
      </c>
      <c r="DZ41" s="9" t="s">
        <v>25</v>
      </c>
      <c r="EA41" s="9" t="s">
        <v>28</v>
      </c>
      <c r="EB41" s="9" t="s">
        <v>28</v>
      </c>
      <c r="EC41" s="9" t="s">
        <v>28</v>
      </c>
      <c r="ED41" s="9" t="s">
        <v>28</v>
      </c>
      <c r="EE41" s="9" t="s">
        <v>28</v>
      </c>
      <c r="EF41" s="9" t="s">
        <v>28</v>
      </c>
      <c r="EG41" s="9" t="s">
        <v>28</v>
      </c>
      <c r="EH41" s="9" t="s">
        <v>25</v>
      </c>
      <c r="EI41" s="9" t="s">
        <v>25</v>
      </c>
      <c r="EJ41" s="9" t="s">
        <v>25</v>
      </c>
      <c r="EK41" s="9" t="s">
        <v>25</v>
      </c>
      <c r="EL41" s="9" t="s">
        <v>25</v>
      </c>
      <c r="EO41" s="9" t="s">
        <v>25</v>
      </c>
      <c r="EQ41" s="9" t="s">
        <v>28</v>
      </c>
      <c r="ER41" s="9" t="s">
        <v>2169</v>
      </c>
      <c r="ES41" s="9" t="s">
        <v>28</v>
      </c>
      <c r="ET41" s="9" t="s">
        <v>28</v>
      </c>
      <c r="EU41" s="9" t="s">
        <v>28</v>
      </c>
      <c r="EV41" s="9" t="s">
        <v>28</v>
      </c>
      <c r="EW41" s="9" t="s">
        <v>28</v>
      </c>
      <c r="EX41" s="9" t="s">
        <v>25</v>
      </c>
      <c r="EY41" s="9" t="s">
        <v>28</v>
      </c>
      <c r="EZ41" s="9" t="s">
        <v>2175</v>
      </c>
      <c r="FB41" s="9" t="s">
        <v>2327</v>
      </c>
      <c r="FC41" s="39">
        <v>220000</v>
      </c>
      <c r="FD41" s="9" t="s">
        <v>28</v>
      </c>
      <c r="FE41" s="9" t="s">
        <v>13530</v>
      </c>
      <c r="FF41" s="9" t="s">
        <v>25</v>
      </c>
      <c r="FH41" s="9" t="s">
        <v>28</v>
      </c>
      <c r="FI41" s="9" t="s">
        <v>249</v>
      </c>
      <c r="FJ41" s="11">
        <v>1</v>
      </c>
      <c r="FK41" s="11">
        <v>1</v>
      </c>
      <c r="FW41" s="9" t="s">
        <v>25</v>
      </c>
      <c r="GC41" s="9" t="s">
        <v>28</v>
      </c>
      <c r="GD41" s="9" t="s">
        <v>25</v>
      </c>
      <c r="GE41" s="63" t="s">
        <v>13162</v>
      </c>
      <c r="GF41" s="9" t="s">
        <v>2181</v>
      </c>
      <c r="GG41" s="9" t="s">
        <v>635</v>
      </c>
      <c r="GH41" s="9" t="s">
        <v>635</v>
      </c>
      <c r="GI41" s="9" t="s">
        <v>2182</v>
      </c>
      <c r="GJ41" s="9" t="s">
        <v>2182</v>
      </c>
      <c r="GK41" s="9">
        <v>15</v>
      </c>
      <c r="GM41" s="9" t="s">
        <v>2311</v>
      </c>
      <c r="GN41" s="9" t="s">
        <v>2328</v>
      </c>
      <c r="GO41" s="9" t="s">
        <v>2197</v>
      </c>
      <c r="GP41" s="9" t="s">
        <v>632</v>
      </c>
      <c r="GQ41" s="9" t="s">
        <v>2229</v>
      </c>
      <c r="GR41" s="9" t="s">
        <v>28</v>
      </c>
      <c r="GS41" s="9" t="s">
        <v>28</v>
      </c>
      <c r="GT41" s="9" t="s">
        <v>25</v>
      </c>
      <c r="GU41" s="9" t="s">
        <v>25</v>
      </c>
      <c r="GV41" s="9" t="s">
        <v>25</v>
      </c>
      <c r="GW41" s="9" t="s">
        <v>25</v>
      </c>
      <c r="GX41" s="9" t="s">
        <v>25</v>
      </c>
      <c r="GY41" s="9" t="s">
        <v>25</v>
      </c>
      <c r="GZ41" s="9" t="s">
        <v>41</v>
      </c>
      <c r="HC41" s="9" t="s">
        <v>25</v>
      </c>
    </row>
    <row r="42" spans="1:212" ht="51" x14ac:dyDescent="0.2">
      <c r="A42" s="8" t="s">
        <v>161</v>
      </c>
      <c r="B42" s="9" t="s">
        <v>2218</v>
      </c>
      <c r="C42" s="9" t="s">
        <v>25</v>
      </c>
      <c r="E42" s="9" t="s">
        <v>28</v>
      </c>
      <c r="F42" s="9" t="s">
        <v>2200</v>
      </c>
      <c r="G42" s="9" t="s">
        <v>2159</v>
      </c>
      <c r="H42" s="11">
        <v>0.85</v>
      </c>
      <c r="I42" s="11">
        <v>0.85</v>
      </c>
      <c r="J42" s="11">
        <v>0.98</v>
      </c>
      <c r="K42" s="11">
        <v>0.92</v>
      </c>
      <c r="L42" s="11">
        <v>0.93</v>
      </c>
      <c r="M42" s="11">
        <v>0.16</v>
      </c>
      <c r="N42" s="11">
        <v>0.13</v>
      </c>
      <c r="O42" s="11">
        <v>0.13</v>
      </c>
      <c r="P42" s="9" t="s">
        <v>28</v>
      </c>
      <c r="R42" s="11">
        <v>0.85</v>
      </c>
      <c r="S42" s="11">
        <v>0.85</v>
      </c>
      <c r="T42" s="9" t="s">
        <v>28</v>
      </c>
      <c r="U42" s="9" t="s">
        <v>28</v>
      </c>
      <c r="V42" s="39">
        <v>61000</v>
      </c>
      <c r="W42" s="9" t="s">
        <v>25</v>
      </c>
      <c r="Y42" s="11">
        <v>0.12</v>
      </c>
      <c r="Z42" s="11">
        <v>0.85</v>
      </c>
      <c r="AA42" s="11">
        <v>0.85</v>
      </c>
      <c r="AB42" s="9" t="s">
        <v>25</v>
      </c>
      <c r="AD42" s="9" t="s">
        <v>2256</v>
      </c>
      <c r="AE42" s="9" t="s">
        <v>2248</v>
      </c>
      <c r="AF42" s="11">
        <v>0.1</v>
      </c>
      <c r="AG42" s="9" t="s">
        <v>2162</v>
      </c>
      <c r="AI42" s="9" t="s">
        <v>2163</v>
      </c>
      <c r="AJ42" s="9" t="s">
        <v>28</v>
      </c>
      <c r="AK42" s="9" t="s">
        <v>28</v>
      </c>
      <c r="AL42" s="9" t="s">
        <v>2164</v>
      </c>
      <c r="AM42" s="9" t="s">
        <v>25</v>
      </c>
      <c r="AN42" s="9" t="s">
        <v>25</v>
      </c>
      <c r="AO42" s="9" t="s">
        <v>2276</v>
      </c>
      <c r="AP42" s="9" t="s">
        <v>2188</v>
      </c>
      <c r="AQ42" s="9" t="s">
        <v>25</v>
      </c>
      <c r="AS42" s="9" t="s">
        <v>2230</v>
      </c>
      <c r="AT42" s="9" t="s">
        <v>25</v>
      </c>
      <c r="AV42" s="9" t="s">
        <v>28</v>
      </c>
      <c r="AW42" s="9" t="s">
        <v>28</v>
      </c>
      <c r="AX42" s="9" t="s">
        <v>28</v>
      </c>
      <c r="AY42" s="9" t="s">
        <v>28</v>
      </c>
      <c r="AZ42" s="9" t="s">
        <v>25</v>
      </c>
      <c r="BA42" s="9" t="s">
        <v>2392</v>
      </c>
      <c r="BB42" s="39">
        <v>6375</v>
      </c>
      <c r="BC42" s="9" t="s">
        <v>14524</v>
      </c>
      <c r="BD42" s="9" t="s">
        <v>25</v>
      </c>
      <c r="BF42" s="9" t="s">
        <v>2238</v>
      </c>
      <c r="BM42" s="11">
        <v>0.5</v>
      </c>
      <c r="BN42" s="11">
        <v>1</v>
      </c>
      <c r="BS42" s="9" t="s">
        <v>25</v>
      </c>
      <c r="BT42" s="9" t="s">
        <v>28</v>
      </c>
      <c r="BU42" s="9" t="s">
        <v>2222</v>
      </c>
      <c r="BV42" s="11">
        <v>0</v>
      </c>
      <c r="BW42" s="9" t="s">
        <v>732</v>
      </c>
      <c r="BX42" s="9" t="s">
        <v>732</v>
      </c>
      <c r="BY42" s="9" t="s">
        <v>732</v>
      </c>
      <c r="BZ42" s="9" t="s">
        <v>732</v>
      </c>
      <c r="CA42" s="9" t="s">
        <v>732</v>
      </c>
      <c r="CB42" s="9" t="s">
        <v>29</v>
      </c>
      <c r="CC42" s="9" t="s">
        <v>2228</v>
      </c>
      <c r="CD42" s="9" t="s">
        <v>2228</v>
      </c>
      <c r="CE42" s="9" t="s">
        <v>28</v>
      </c>
      <c r="CF42" s="9">
        <v>1</v>
      </c>
      <c r="CG42" s="9" t="s">
        <v>2192</v>
      </c>
      <c r="CH42" s="9" t="s">
        <v>2393</v>
      </c>
      <c r="CM42" s="9">
        <v>1</v>
      </c>
      <c r="CO42" s="9">
        <v>1</v>
      </c>
      <c r="CZ42" s="9">
        <v>1</v>
      </c>
      <c r="DA42" s="9">
        <v>1</v>
      </c>
      <c r="DD42" s="9">
        <v>1</v>
      </c>
      <c r="DE42" s="9">
        <v>1</v>
      </c>
      <c r="DF42" s="9">
        <v>1</v>
      </c>
      <c r="DH42" s="9">
        <v>1</v>
      </c>
      <c r="DI42" s="9">
        <v>1</v>
      </c>
      <c r="DJ42" s="9">
        <v>1</v>
      </c>
      <c r="DL42" s="9">
        <v>1</v>
      </c>
      <c r="DM42" s="9">
        <v>1</v>
      </c>
      <c r="DN42" s="9">
        <v>1</v>
      </c>
      <c r="DT42" s="9">
        <v>12</v>
      </c>
      <c r="DZ42" s="9" t="s">
        <v>28</v>
      </c>
      <c r="EA42" s="9" t="s">
        <v>28</v>
      </c>
      <c r="EC42" s="9" t="s">
        <v>28</v>
      </c>
      <c r="ED42" s="9" t="s">
        <v>28</v>
      </c>
      <c r="EF42" s="9" t="s">
        <v>28</v>
      </c>
      <c r="EG42" s="9" t="s">
        <v>28</v>
      </c>
      <c r="EH42" s="9" t="s">
        <v>28</v>
      </c>
      <c r="EI42" s="9" t="s">
        <v>28</v>
      </c>
      <c r="EQ42" s="9" t="s">
        <v>25</v>
      </c>
      <c r="ER42" s="9" t="s">
        <v>2169</v>
      </c>
      <c r="ES42" s="9" t="s">
        <v>28</v>
      </c>
      <c r="ET42" s="9" t="s">
        <v>28</v>
      </c>
      <c r="EU42" s="9" t="s">
        <v>28</v>
      </c>
      <c r="EV42" s="9" t="s">
        <v>28</v>
      </c>
      <c r="EW42" s="9" t="s">
        <v>28</v>
      </c>
      <c r="EX42" s="9" t="s">
        <v>28</v>
      </c>
      <c r="EY42" s="9" t="s">
        <v>28</v>
      </c>
      <c r="EZ42" s="9" t="s">
        <v>29</v>
      </c>
      <c r="FA42" s="9" t="s">
        <v>2394</v>
      </c>
      <c r="FB42" s="9" t="s">
        <v>2176</v>
      </c>
      <c r="FD42" s="9" t="s">
        <v>28</v>
      </c>
      <c r="FE42" s="9" t="s">
        <v>13528</v>
      </c>
      <c r="FF42" s="9" t="s">
        <v>25</v>
      </c>
      <c r="FH42" s="9" t="s">
        <v>28</v>
      </c>
      <c r="FI42" s="9" t="s">
        <v>2177</v>
      </c>
      <c r="FJ42" s="11">
        <v>0.6</v>
      </c>
      <c r="FK42" s="11">
        <v>0.85</v>
      </c>
      <c r="FW42" s="9" t="s">
        <v>28</v>
      </c>
      <c r="FX42" s="9" t="s">
        <v>2193</v>
      </c>
      <c r="FZ42" s="9" t="s">
        <v>2395</v>
      </c>
      <c r="GA42" s="9" t="s">
        <v>256</v>
      </c>
      <c r="GB42" s="9" t="s">
        <v>29</v>
      </c>
      <c r="GC42" s="9" t="s">
        <v>28</v>
      </c>
      <c r="GD42" s="9" t="s">
        <v>25</v>
      </c>
      <c r="GE42" s="64" t="s">
        <v>2396</v>
      </c>
      <c r="GF42" s="9" t="s">
        <v>2181</v>
      </c>
      <c r="GG42" s="9" t="s">
        <v>2183</v>
      </c>
      <c r="GH42" s="9" t="s">
        <v>2183</v>
      </c>
      <c r="GI42" s="9" t="s">
        <v>2182</v>
      </c>
      <c r="GJ42" s="9" t="s">
        <v>2182</v>
      </c>
      <c r="GK42" s="9">
        <v>10</v>
      </c>
      <c r="GM42" s="9" t="s">
        <v>635</v>
      </c>
      <c r="GQ42" s="9" t="s">
        <v>253</v>
      </c>
      <c r="GR42" s="9" t="s">
        <v>1015</v>
      </c>
      <c r="GW42" s="9" t="s">
        <v>25</v>
      </c>
      <c r="GX42" s="9" t="s">
        <v>25</v>
      </c>
      <c r="GY42" s="9" t="s">
        <v>25</v>
      </c>
      <c r="GZ42" s="9" t="s">
        <v>25</v>
      </c>
      <c r="HC42" s="9" t="s">
        <v>25</v>
      </c>
    </row>
    <row r="43" spans="1:212" ht="51" x14ac:dyDescent="0.2">
      <c r="A43" s="8" t="s">
        <v>163</v>
      </c>
      <c r="B43" s="9" t="s">
        <v>2368</v>
      </c>
      <c r="C43" s="9" t="s">
        <v>25</v>
      </c>
      <c r="E43" s="9" t="s">
        <v>28</v>
      </c>
      <c r="F43" s="9" t="s">
        <v>2200</v>
      </c>
      <c r="G43" s="9" t="s">
        <v>2185</v>
      </c>
      <c r="H43" s="11">
        <v>0.8</v>
      </c>
      <c r="I43" s="11">
        <v>0.8</v>
      </c>
      <c r="J43" s="11">
        <v>0.92</v>
      </c>
      <c r="K43" s="11">
        <v>0.85</v>
      </c>
      <c r="L43" s="11">
        <v>0.87</v>
      </c>
      <c r="M43" s="11">
        <v>0.08</v>
      </c>
      <c r="N43" s="11">
        <v>7.0000000000000007E-2</v>
      </c>
      <c r="O43" s="11">
        <v>7.0000000000000007E-2</v>
      </c>
      <c r="P43" s="9" t="s">
        <v>28</v>
      </c>
      <c r="T43" s="9" t="s">
        <v>25</v>
      </c>
      <c r="AB43" s="9" t="s">
        <v>25</v>
      </c>
      <c r="AD43" s="9" t="s">
        <v>2201</v>
      </c>
      <c r="AG43" s="9" t="s">
        <v>2162</v>
      </c>
      <c r="AI43" s="9" t="s">
        <v>2163</v>
      </c>
      <c r="AJ43" s="9" t="s">
        <v>25</v>
      </c>
      <c r="AL43" s="9" t="s">
        <v>2186</v>
      </c>
      <c r="AN43" s="9" t="s">
        <v>25</v>
      </c>
      <c r="AO43" s="9" t="s">
        <v>2244</v>
      </c>
      <c r="AP43" s="9" t="s">
        <v>2166</v>
      </c>
      <c r="AQ43" s="9" t="s">
        <v>25</v>
      </c>
      <c r="AS43" s="9" t="s">
        <v>2203</v>
      </c>
      <c r="AT43" s="9" t="s">
        <v>25</v>
      </c>
      <c r="AV43" s="9" t="s">
        <v>28</v>
      </c>
      <c r="AW43" s="9" t="s">
        <v>28</v>
      </c>
      <c r="AX43" s="9" t="s">
        <v>28</v>
      </c>
      <c r="AY43" s="9" t="s">
        <v>28</v>
      </c>
      <c r="AZ43" s="9" t="s">
        <v>25</v>
      </c>
      <c r="BA43" s="9" t="s">
        <v>2400</v>
      </c>
      <c r="BC43" s="9" t="s">
        <v>13912</v>
      </c>
      <c r="BD43" s="9" t="s">
        <v>25</v>
      </c>
      <c r="BF43" s="9" t="s">
        <v>2171</v>
      </c>
      <c r="BS43" s="9" t="s">
        <v>25</v>
      </c>
      <c r="BT43" s="9" t="s">
        <v>25</v>
      </c>
      <c r="BW43" s="9" t="s">
        <v>732</v>
      </c>
      <c r="BX43" s="9" t="s">
        <v>732</v>
      </c>
      <c r="BY43" s="9" t="s">
        <v>115</v>
      </c>
      <c r="BZ43" s="9" t="s">
        <v>732</v>
      </c>
      <c r="CA43" s="9" t="s">
        <v>732</v>
      </c>
      <c r="CB43" s="9" t="s">
        <v>732</v>
      </c>
      <c r="CC43" s="9" t="s">
        <v>732</v>
      </c>
      <c r="CD43" s="9" t="s">
        <v>732</v>
      </c>
      <c r="CE43" s="9" t="s">
        <v>28</v>
      </c>
      <c r="CF43" s="9">
        <v>3</v>
      </c>
      <c r="CG43" s="9" t="s">
        <v>2192</v>
      </c>
      <c r="CH43" s="9" t="s">
        <v>2401</v>
      </c>
      <c r="CL43" s="9">
        <v>1</v>
      </c>
      <c r="CM43" s="9">
        <v>1</v>
      </c>
      <c r="CO43" s="9">
        <v>2</v>
      </c>
      <c r="CZ43" s="9">
        <v>1</v>
      </c>
      <c r="DB43" s="9">
        <v>1</v>
      </c>
      <c r="DD43" s="9">
        <v>1</v>
      </c>
      <c r="DF43" s="9">
        <v>2</v>
      </c>
      <c r="DH43" s="9">
        <v>1</v>
      </c>
      <c r="DJ43" s="9">
        <v>2</v>
      </c>
      <c r="DL43" s="9">
        <v>1</v>
      </c>
      <c r="DN43" s="9">
        <v>1</v>
      </c>
      <c r="DO43" s="9">
        <v>1</v>
      </c>
      <c r="DP43" s="9">
        <v>2</v>
      </c>
      <c r="DT43" s="9">
        <v>13</v>
      </c>
      <c r="DZ43" s="9" t="s">
        <v>28</v>
      </c>
      <c r="EA43" s="9" t="s">
        <v>28</v>
      </c>
      <c r="EQ43" s="9" t="s">
        <v>28</v>
      </c>
      <c r="ER43" s="9" t="s">
        <v>2169</v>
      </c>
      <c r="ES43" s="9" t="s">
        <v>28</v>
      </c>
      <c r="ET43" s="9" t="s">
        <v>28</v>
      </c>
      <c r="EU43" s="9" t="s">
        <v>28</v>
      </c>
      <c r="EV43" s="9" t="s">
        <v>28</v>
      </c>
      <c r="EW43" s="9" t="s">
        <v>28</v>
      </c>
      <c r="EX43" s="9" t="s">
        <v>28</v>
      </c>
      <c r="EY43" s="9" t="s">
        <v>28</v>
      </c>
      <c r="EZ43" s="9" t="s">
        <v>29</v>
      </c>
      <c r="FD43" s="9" t="s">
        <v>25</v>
      </c>
      <c r="FF43" s="9" t="s">
        <v>25</v>
      </c>
      <c r="FH43" s="9" t="s">
        <v>25</v>
      </c>
      <c r="FI43" s="9" t="s">
        <v>256</v>
      </c>
      <c r="FJ43" s="11">
        <v>0.8</v>
      </c>
      <c r="FK43" s="11">
        <v>0.8</v>
      </c>
      <c r="FW43" s="9" t="s">
        <v>25</v>
      </c>
      <c r="GC43" s="9" t="s">
        <v>25</v>
      </c>
      <c r="GD43" s="9" t="s">
        <v>25</v>
      </c>
      <c r="GE43" s="63" t="s">
        <v>13162</v>
      </c>
      <c r="GG43" s="9" t="s">
        <v>2323</v>
      </c>
      <c r="GH43" s="9" t="s">
        <v>2183</v>
      </c>
      <c r="GI43" s="9" t="s">
        <v>2323</v>
      </c>
      <c r="GJ43" s="9" t="s">
        <v>2323</v>
      </c>
      <c r="GK43" s="9">
        <v>10</v>
      </c>
      <c r="GQ43" s="9" t="s">
        <v>253</v>
      </c>
      <c r="GR43" s="9" t="s">
        <v>25</v>
      </c>
      <c r="GW43" s="9" t="s">
        <v>25</v>
      </c>
      <c r="GX43" s="9" t="s">
        <v>25</v>
      </c>
      <c r="GY43" s="9" t="s">
        <v>25</v>
      </c>
      <c r="GZ43" s="9" t="s">
        <v>25</v>
      </c>
      <c r="HC43" s="9" t="s">
        <v>28</v>
      </c>
      <c r="HD43" s="9" t="s">
        <v>2402</v>
      </c>
    </row>
    <row r="44" spans="1:212" ht="51" x14ac:dyDescent="0.2">
      <c r="A44" s="8" t="s">
        <v>165</v>
      </c>
      <c r="B44" s="9" t="s">
        <v>2158</v>
      </c>
      <c r="C44" s="9" t="s">
        <v>25</v>
      </c>
      <c r="E44" s="9" t="s">
        <v>28</v>
      </c>
      <c r="F44" s="9" t="s">
        <v>2200</v>
      </c>
      <c r="G44" s="9" t="s">
        <v>2185</v>
      </c>
      <c r="H44" s="11">
        <v>0.5</v>
      </c>
      <c r="I44" s="11">
        <v>0.5</v>
      </c>
      <c r="J44" s="11">
        <v>0.98</v>
      </c>
      <c r="K44" s="11">
        <v>0.95</v>
      </c>
      <c r="L44" s="11">
        <v>0.96</v>
      </c>
      <c r="M44" s="11">
        <v>7.0000000000000007E-2</v>
      </c>
      <c r="N44" s="11">
        <v>0.08</v>
      </c>
      <c r="O44" s="11">
        <v>0.08</v>
      </c>
      <c r="P44" s="9" t="s">
        <v>28</v>
      </c>
      <c r="Q44" s="11">
        <v>0.14000000000000001</v>
      </c>
      <c r="R44" s="11">
        <v>0.5</v>
      </c>
      <c r="S44" s="11">
        <v>0.5</v>
      </c>
      <c r="T44" s="9" t="s">
        <v>28</v>
      </c>
      <c r="U44" s="9" t="s">
        <v>25</v>
      </c>
      <c r="W44" s="9" t="s">
        <v>25</v>
      </c>
      <c r="Y44" s="11">
        <v>0.05</v>
      </c>
      <c r="Z44" s="11">
        <v>0.2</v>
      </c>
      <c r="AA44" s="11">
        <v>0.2</v>
      </c>
      <c r="AB44" s="9" t="s">
        <v>28</v>
      </c>
      <c r="AC44" s="11">
        <v>0.06</v>
      </c>
      <c r="AD44" s="9" t="s">
        <v>2160</v>
      </c>
      <c r="AE44" s="11">
        <v>0.01</v>
      </c>
      <c r="AF44" s="11">
        <v>0.1</v>
      </c>
      <c r="AG44" s="9" t="s">
        <v>2162</v>
      </c>
      <c r="AI44" s="9" t="s">
        <v>2163</v>
      </c>
      <c r="AJ44" s="9" t="s">
        <v>28</v>
      </c>
      <c r="AK44" s="9" t="s">
        <v>28</v>
      </c>
      <c r="AL44" s="9" t="s">
        <v>2186</v>
      </c>
      <c r="AN44" s="9" t="s">
        <v>25</v>
      </c>
      <c r="AO44" s="9" t="s">
        <v>2165</v>
      </c>
      <c r="AP44" s="9" t="s">
        <v>2188</v>
      </c>
      <c r="AQ44" s="9" t="s">
        <v>25</v>
      </c>
      <c r="AS44" s="9" t="s">
        <v>2203</v>
      </c>
      <c r="AT44" s="9" t="s">
        <v>25</v>
      </c>
      <c r="AV44" s="9" t="s">
        <v>28</v>
      </c>
      <c r="AW44" s="9" t="s">
        <v>25</v>
      </c>
      <c r="AX44" s="9" t="s">
        <v>28</v>
      </c>
      <c r="AY44" s="9" t="s">
        <v>25</v>
      </c>
      <c r="AZ44" s="9" t="s">
        <v>25</v>
      </c>
      <c r="BA44" s="9" t="s">
        <v>2406</v>
      </c>
      <c r="BB44" s="39">
        <v>6000</v>
      </c>
      <c r="BC44" s="9" t="s">
        <v>2407</v>
      </c>
      <c r="BD44" s="9" t="s">
        <v>25</v>
      </c>
      <c r="BF44" s="9" t="s">
        <v>2171</v>
      </c>
      <c r="BS44" s="9" t="s">
        <v>28</v>
      </c>
      <c r="BT44" s="9" t="s">
        <v>28</v>
      </c>
      <c r="BU44" s="9" t="s">
        <v>2287</v>
      </c>
      <c r="BV44" s="11">
        <v>0.28999999999999998</v>
      </c>
      <c r="BW44" s="9" t="s">
        <v>2191</v>
      </c>
      <c r="BX44" s="9" t="s">
        <v>732</v>
      </c>
      <c r="BY44" s="9" t="s">
        <v>2296</v>
      </c>
      <c r="BZ44" s="9" t="s">
        <v>732</v>
      </c>
      <c r="CA44" s="9" t="s">
        <v>732</v>
      </c>
      <c r="CB44" s="9" t="s">
        <v>2296</v>
      </c>
      <c r="CC44" s="9" t="s">
        <v>732</v>
      </c>
      <c r="CD44" s="9" t="s">
        <v>732</v>
      </c>
      <c r="CE44" s="9" t="s">
        <v>28</v>
      </c>
      <c r="CF44" s="9">
        <v>1</v>
      </c>
      <c r="CG44" s="9" t="s">
        <v>2192</v>
      </c>
      <c r="CH44" s="9" t="s">
        <v>2408</v>
      </c>
      <c r="CJ44" s="9">
        <v>5</v>
      </c>
      <c r="CK44" s="9">
        <v>1</v>
      </c>
      <c r="CM44" s="9">
        <v>1</v>
      </c>
      <c r="CP44" s="9">
        <v>1</v>
      </c>
      <c r="CQ44" s="9">
        <v>1</v>
      </c>
      <c r="CS44" s="9">
        <v>1</v>
      </c>
      <c r="CY44" s="9">
        <v>1</v>
      </c>
      <c r="CZ44" s="9">
        <v>1</v>
      </c>
      <c r="DA44" s="9">
        <v>1</v>
      </c>
      <c r="DB44" s="9">
        <v>1</v>
      </c>
      <c r="DG44" s="9">
        <v>1</v>
      </c>
      <c r="DK44" s="9">
        <v>1</v>
      </c>
      <c r="DT44" s="9">
        <v>12</v>
      </c>
      <c r="DZ44" s="9" t="s">
        <v>28</v>
      </c>
      <c r="EA44" s="9" t="s">
        <v>25</v>
      </c>
      <c r="EQ44" s="9" t="s">
        <v>28</v>
      </c>
      <c r="ER44" s="9" t="s">
        <v>2169</v>
      </c>
      <c r="ES44" s="9" t="s">
        <v>28</v>
      </c>
      <c r="ET44" s="9" t="s">
        <v>25</v>
      </c>
      <c r="EU44" s="9" t="s">
        <v>28</v>
      </c>
      <c r="EV44" s="9" t="s">
        <v>28</v>
      </c>
      <c r="EW44" s="9" t="s">
        <v>28</v>
      </c>
      <c r="EX44" s="9" t="s">
        <v>25</v>
      </c>
      <c r="EY44" s="9" t="s">
        <v>28</v>
      </c>
      <c r="EZ44" s="9" t="s">
        <v>2175</v>
      </c>
      <c r="FB44" s="9" t="s">
        <v>1874</v>
      </c>
      <c r="FC44" s="39">
        <v>190000</v>
      </c>
      <c r="FD44" s="9" t="s">
        <v>25</v>
      </c>
      <c r="FE44" s="9" t="s">
        <v>253</v>
      </c>
      <c r="FF44" s="9" t="s">
        <v>25</v>
      </c>
      <c r="FH44" s="9" t="s">
        <v>28</v>
      </c>
      <c r="FI44" s="9" t="s">
        <v>256</v>
      </c>
      <c r="FJ44" s="11">
        <v>0.7</v>
      </c>
      <c r="FK44" s="11">
        <v>1</v>
      </c>
      <c r="FO44" s="11">
        <v>0.7</v>
      </c>
      <c r="FW44" s="9" t="s">
        <v>25</v>
      </c>
      <c r="GC44" s="9" t="s">
        <v>25</v>
      </c>
      <c r="GD44" s="9" t="s">
        <v>25</v>
      </c>
      <c r="GE44" s="63" t="s">
        <v>13162</v>
      </c>
      <c r="GF44" s="9" t="s">
        <v>2181</v>
      </c>
      <c r="GG44" s="9" t="s">
        <v>2182</v>
      </c>
      <c r="GH44" s="9" t="s">
        <v>2183</v>
      </c>
      <c r="GI44" s="9" t="s">
        <v>2182</v>
      </c>
      <c r="GJ44" s="9" t="s">
        <v>2182</v>
      </c>
      <c r="GK44" s="9">
        <v>7</v>
      </c>
      <c r="GM44" s="9" t="s">
        <v>635</v>
      </c>
      <c r="GQ44" s="9" t="s">
        <v>2186</v>
      </c>
      <c r="GR44" s="9" t="s">
        <v>25</v>
      </c>
      <c r="GW44" s="9" t="s">
        <v>25</v>
      </c>
      <c r="GX44" s="9" t="s">
        <v>25</v>
      </c>
      <c r="GY44" s="9" t="s">
        <v>25</v>
      </c>
      <c r="GZ44" s="9" t="s">
        <v>25</v>
      </c>
      <c r="HC44" s="9" t="s">
        <v>28</v>
      </c>
      <c r="HD44" s="9" t="s">
        <v>2409</v>
      </c>
    </row>
    <row r="45" spans="1:212" ht="51" x14ac:dyDescent="0.2">
      <c r="A45" s="8" t="s">
        <v>129</v>
      </c>
      <c r="B45" s="9" t="s">
        <v>2218</v>
      </c>
      <c r="C45" s="9" t="s">
        <v>25</v>
      </c>
      <c r="E45" s="9" t="s">
        <v>25</v>
      </c>
      <c r="G45" s="9" t="s">
        <v>2185</v>
      </c>
      <c r="H45" s="11">
        <v>0.5</v>
      </c>
      <c r="J45" s="11">
        <v>0.97</v>
      </c>
      <c r="K45" s="11">
        <v>0.86</v>
      </c>
      <c r="L45" s="11">
        <v>0.88</v>
      </c>
      <c r="M45" s="11">
        <v>7.0000000000000007E-2</v>
      </c>
      <c r="N45" s="11">
        <v>7.0000000000000007E-2</v>
      </c>
      <c r="O45" s="11">
        <v>7.0000000000000007E-2</v>
      </c>
      <c r="P45" s="9" t="s">
        <v>28</v>
      </c>
      <c r="Q45" s="11">
        <v>0.19</v>
      </c>
      <c r="R45" s="11">
        <v>0.5</v>
      </c>
      <c r="S45" s="11">
        <v>0.5</v>
      </c>
      <c r="T45" s="9" t="s">
        <v>28</v>
      </c>
      <c r="U45" s="9" t="s">
        <v>28</v>
      </c>
      <c r="V45" s="39">
        <v>33000</v>
      </c>
      <c r="W45" s="9" t="s">
        <v>25</v>
      </c>
      <c r="Y45" s="11">
        <v>0.04</v>
      </c>
      <c r="Z45" s="11">
        <v>0.5</v>
      </c>
      <c r="AA45" s="11">
        <v>0.5</v>
      </c>
      <c r="AB45" s="9" t="s">
        <v>25</v>
      </c>
      <c r="AD45" s="9" t="s">
        <v>2256</v>
      </c>
      <c r="AE45" s="9" t="s">
        <v>2248</v>
      </c>
      <c r="AF45" s="11">
        <v>0.1</v>
      </c>
      <c r="AG45" s="9" t="s">
        <v>2162</v>
      </c>
      <c r="AI45" s="9" t="s">
        <v>2163</v>
      </c>
      <c r="AJ45" s="9" t="s">
        <v>28</v>
      </c>
      <c r="AK45" s="9" t="s">
        <v>28</v>
      </c>
      <c r="AL45" s="9" t="s">
        <v>2164</v>
      </c>
      <c r="AM45" s="9" t="s">
        <v>28</v>
      </c>
      <c r="AN45" s="9" t="s">
        <v>25</v>
      </c>
      <c r="AO45" s="9" t="s">
        <v>2219</v>
      </c>
      <c r="AP45" s="9" t="s">
        <v>2188</v>
      </c>
      <c r="AQ45" s="9" t="s">
        <v>25</v>
      </c>
      <c r="AS45" s="9" t="s">
        <v>2230</v>
      </c>
      <c r="AT45" s="9" t="s">
        <v>25</v>
      </c>
      <c r="AV45" s="9" t="s">
        <v>28</v>
      </c>
      <c r="AW45" s="9" t="s">
        <v>25</v>
      </c>
      <c r="AX45" s="9" t="s">
        <v>28</v>
      </c>
      <c r="AY45" s="9" t="s">
        <v>25</v>
      </c>
      <c r="AZ45" s="9" t="s">
        <v>25</v>
      </c>
      <c r="BA45" s="9" t="s">
        <v>2257</v>
      </c>
      <c r="BB45" s="39">
        <v>7500</v>
      </c>
      <c r="BC45" s="9" t="s">
        <v>14526</v>
      </c>
      <c r="BD45" s="9" t="s">
        <v>2169</v>
      </c>
      <c r="BE45" s="9" t="s">
        <v>2170</v>
      </c>
      <c r="BF45" s="9" t="s">
        <v>2171</v>
      </c>
      <c r="BS45" s="9" t="s">
        <v>25</v>
      </c>
      <c r="BT45" s="9" t="s">
        <v>25</v>
      </c>
      <c r="BV45" s="11">
        <v>0.24</v>
      </c>
      <c r="BW45" s="9" t="s">
        <v>732</v>
      </c>
      <c r="BX45" s="9" t="s">
        <v>732</v>
      </c>
      <c r="BY45" s="9" t="s">
        <v>732</v>
      </c>
      <c r="BZ45" s="9" t="s">
        <v>732</v>
      </c>
      <c r="CA45" s="9" t="s">
        <v>732</v>
      </c>
      <c r="CB45" s="9" t="s">
        <v>732</v>
      </c>
      <c r="CC45" s="9" t="s">
        <v>732</v>
      </c>
      <c r="CD45" s="9" t="s">
        <v>732</v>
      </c>
      <c r="CE45" s="9" t="s">
        <v>28</v>
      </c>
      <c r="CF45" s="9">
        <v>2</v>
      </c>
      <c r="CG45" s="9" t="s">
        <v>2192</v>
      </c>
      <c r="CH45" s="9" t="s">
        <v>2258</v>
      </c>
      <c r="CI45" s="9" t="s">
        <v>2259</v>
      </c>
      <c r="CJ45" s="9">
        <v>5</v>
      </c>
      <c r="CK45" s="9">
        <v>8</v>
      </c>
      <c r="CL45" s="9">
        <v>1</v>
      </c>
      <c r="CN45" s="9">
        <v>1</v>
      </c>
      <c r="CO45" s="9">
        <v>1</v>
      </c>
      <c r="CY45" s="9">
        <v>1</v>
      </c>
      <c r="CZ45" s="9">
        <v>1</v>
      </c>
      <c r="DC45" s="9">
        <v>1</v>
      </c>
      <c r="DD45" s="9">
        <v>1</v>
      </c>
      <c r="DG45" s="9">
        <v>1</v>
      </c>
      <c r="DH45" s="9">
        <v>1</v>
      </c>
      <c r="DK45" s="9">
        <v>1</v>
      </c>
      <c r="DL45" s="9">
        <v>1</v>
      </c>
      <c r="DP45" s="9">
        <v>1</v>
      </c>
      <c r="DR45" s="9">
        <v>1</v>
      </c>
      <c r="DT45" s="9">
        <v>7</v>
      </c>
      <c r="DZ45" s="9" t="s">
        <v>28</v>
      </c>
      <c r="EA45" s="9" t="s">
        <v>25</v>
      </c>
      <c r="EQ45" s="9" t="s">
        <v>28</v>
      </c>
      <c r="ER45" s="9" t="s">
        <v>2169</v>
      </c>
      <c r="ES45" s="9" t="s">
        <v>28</v>
      </c>
      <c r="ET45" s="9" t="s">
        <v>28</v>
      </c>
      <c r="EU45" s="9" t="s">
        <v>28</v>
      </c>
      <c r="EV45" s="9" t="s">
        <v>28</v>
      </c>
      <c r="EW45" s="9" t="s">
        <v>28</v>
      </c>
      <c r="EX45" s="9" t="s">
        <v>25</v>
      </c>
      <c r="EY45" s="9" t="s">
        <v>28</v>
      </c>
      <c r="EZ45" s="9" t="s">
        <v>2175</v>
      </c>
      <c r="FB45" s="9" t="s">
        <v>2214</v>
      </c>
      <c r="FD45" s="9" t="s">
        <v>25</v>
      </c>
      <c r="FE45" s="9" t="s">
        <v>13527</v>
      </c>
      <c r="FF45" s="9" t="s">
        <v>25</v>
      </c>
      <c r="FH45" s="9" t="s">
        <v>25</v>
      </c>
      <c r="FI45" s="9" t="s">
        <v>256</v>
      </c>
      <c r="FJ45" s="11">
        <v>0.85</v>
      </c>
      <c r="FK45" s="11">
        <v>0.85</v>
      </c>
      <c r="FL45" s="11">
        <v>0.85</v>
      </c>
      <c r="FN45" s="11">
        <v>0.85</v>
      </c>
      <c r="FO45" s="11">
        <v>0.85</v>
      </c>
      <c r="FW45" s="9" t="s">
        <v>25</v>
      </c>
      <c r="GC45" s="9" t="s">
        <v>28</v>
      </c>
      <c r="GD45" s="9" t="s">
        <v>25</v>
      </c>
      <c r="GE45" s="63" t="s">
        <v>13162</v>
      </c>
      <c r="GF45" s="9" t="s">
        <v>2181</v>
      </c>
      <c r="GG45" s="9" t="s">
        <v>2183</v>
      </c>
      <c r="GH45" s="9" t="s">
        <v>635</v>
      </c>
      <c r="GI45" s="9" t="s">
        <v>2182</v>
      </c>
      <c r="GJ45" s="9" t="s">
        <v>635</v>
      </c>
      <c r="GK45" s="9">
        <v>15</v>
      </c>
      <c r="GM45" s="9" t="s">
        <v>635</v>
      </c>
      <c r="GO45" s="9" t="s">
        <v>2233</v>
      </c>
      <c r="GP45" s="9" t="s">
        <v>2260</v>
      </c>
      <c r="GQ45" s="9" t="s">
        <v>253</v>
      </c>
      <c r="GR45" s="9" t="s">
        <v>1015</v>
      </c>
      <c r="GW45" s="9" t="s">
        <v>25</v>
      </c>
      <c r="GX45" s="9" t="s">
        <v>25</v>
      </c>
      <c r="GY45" s="9" t="s">
        <v>25</v>
      </c>
      <c r="GZ45" s="9" t="s">
        <v>28</v>
      </c>
      <c r="HA45" s="9" t="s">
        <v>2261</v>
      </c>
      <c r="HC45" s="9" t="s">
        <v>28</v>
      </c>
      <c r="HD45" s="9" t="s">
        <v>2262</v>
      </c>
    </row>
    <row r="46" spans="1:212" ht="25.5" x14ac:dyDescent="0.2">
      <c r="A46" s="8" t="s">
        <v>153</v>
      </c>
      <c r="B46" s="9" t="s">
        <v>2368</v>
      </c>
      <c r="C46" s="9" t="s">
        <v>25</v>
      </c>
      <c r="E46" s="9" t="s">
        <v>28</v>
      </c>
      <c r="F46" s="9" t="s">
        <v>2206</v>
      </c>
      <c r="G46" s="9" t="s">
        <v>2185</v>
      </c>
      <c r="H46" s="11">
        <v>1</v>
      </c>
      <c r="I46" s="11">
        <v>1</v>
      </c>
      <c r="J46" s="11">
        <v>0.89</v>
      </c>
      <c r="K46" s="11">
        <v>0.83</v>
      </c>
      <c r="L46" s="11">
        <v>0.84</v>
      </c>
      <c r="M46" s="11">
        <v>0.05</v>
      </c>
      <c r="N46" s="11">
        <v>0.05</v>
      </c>
      <c r="O46" s="11">
        <v>0.05</v>
      </c>
      <c r="P46" s="9" t="s">
        <v>28</v>
      </c>
      <c r="Q46" s="11">
        <v>0.17</v>
      </c>
      <c r="R46" s="11">
        <v>1</v>
      </c>
      <c r="S46" s="11">
        <v>1</v>
      </c>
      <c r="T46" s="9" t="s">
        <v>25</v>
      </c>
      <c r="AB46" s="9" t="s">
        <v>28</v>
      </c>
      <c r="AC46" s="11">
        <v>0.02</v>
      </c>
      <c r="AD46" s="9" t="s">
        <v>2256</v>
      </c>
      <c r="AE46" s="11">
        <v>0.01</v>
      </c>
      <c r="AF46" s="11">
        <v>0.03</v>
      </c>
      <c r="AG46" s="9" t="s">
        <v>2162</v>
      </c>
      <c r="AI46" s="9" t="s">
        <v>2201</v>
      </c>
      <c r="AJ46" s="9" t="s">
        <v>25</v>
      </c>
      <c r="AL46" s="9" t="s">
        <v>29</v>
      </c>
      <c r="AN46" s="9" t="s">
        <v>25</v>
      </c>
      <c r="AO46" s="9" t="s">
        <v>2202</v>
      </c>
      <c r="AP46" s="9" t="s">
        <v>2369</v>
      </c>
      <c r="AQ46" s="9" t="s">
        <v>25</v>
      </c>
      <c r="CE46" s="9" t="s">
        <v>28</v>
      </c>
      <c r="CH46" s="9" t="s">
        <v>2370</v>
      </c>
      <c r="EY46" s="9" t="s">
        <v>25</v>
      </c>
      <c r="FG46" s="9" t="s">
        <v>2371</v>
      </c>
      <c r="GE46" s="63" t="s">
        <v>13162</v>
      </c>
      <c r="GL46" s="9" t="s">
        <v>2241</v>
      </c>
      <c r="GQ46" s="9" t="s">
        <v>253</v>
      </c>
      <c r="GR46" s="9" t="s">
        <v>25</v>
      </c>
      <c r="GT46" s="9" t="s">
        <v>25</v>
      </c>
      <c r="GW46" s="9" t="s">
        <v>25</v>
      </c>
      <c r="GX46" s="9" t="s">
        <v>25</v>
      </c>
      <c r="GY46" s="9" t="s">
        <v>25</v>
      </c>
      <c r="GZ46" s="9" t="s">
        <v>28</v>
      </c>
      <c r="HC46" s="9" t="s">
        <v>41</v>
      </c>
    </row>
    <row r="47" spans="1:212" ht="51" x14ac:dyDescent="0.2">
      <c r="A47" s="8" t="s">
        <v>164</v>
      </c>
      <c r="B47" s="9" t="s">
        <v>2218</v>
      </c>
      <c r="C47" s="9" t="s">
        <v>25</v>
      </c>
      <c r="E47" s="9" t="s">
        <v>28</v>
      </c>
      <c r="F47" s="9" t="s">
        <v>2200</v>
      </c>
      <c r="G47" s="9" t="s">
        <v>2159</v>
      </c>
      <c r="H47" s="11">
        <v>0.8</v>
      </c>
      <c r="I47" s="11">
        <v>0.8</v>
      </c>
      <c r="J47" s="11">
        <v>0.75</v>
      </c>
      <c r="K47" s="11">
        <v>0.68</v>
      </c>
      <c r="L47" s="11">
        <v>0.73</v>
      </c>
      <c r="M47" s="11">
        <v>0.08</v>
      </c>
      <c r="N47" s="11">
        <v>0.06</v>
      </c>
      <c r="O47" s="11">
        <v>7.0000000000000007E-2</v>
      </c>
      <c r="P47" s="9" t="s">
        <v>28</v>
      </c>
      <c r="Q47" s="11">
        <v>0.3</v>
      </c>
      <c r="R47" s="11">
        <v>0.8</v>
      </c>
      <c r="S47" s="11">
        <v>0.8</v>
      </c>
      <c r="T47" s="9" t="s">
        <v>25</v>
      </c>
      <c r="AB47" s="9" t="s">
        <v>25</v>
      </c>
      <c r="AD47" s="9" t="s">
        <v>2256</v>
      </c>
      <c r="AE47" s="11">
        <v>0.01</v>
      </c>
      <c r="AF47" s="11">
        <v>0.05</v>
      </c>
      <c r="AG47" s="9" t="s">
        <v>2162</v>
      </c>
      <c r="AI47" s="9" t="s">
        <v>2201</v>
      </c>
      <c r="AJ47" s="9" t="s">
        <v>25</v>
      </c>
      <c r="AL47" s="9" t="s">
        <v>2164</v>
      </c>
      <c r="AM47" s="9" t="s">
        <v>28</v>
      </c>
      <c r="AN47" s="9" t="s">
        <v>2169</v>
      </c>
      <c r="AO47" s="9" t="s">
        <v>2165</v>
      </c>
      <c r="AP47" s="9" t="s">
        <v>2188</v>
      </c>
      <c r="AQ47" s="9" t="s">
        <v>25</v>
      </c>
      <c r="AS47" s="9" t="s">
        <v>2203</v>
      </c>
      <c r="AT47" s="9" t="s">
        <v>25</v>
      </c>
      <c r="AV47" s="9" t="s">
        <v>28</v>
      </c>
      <c r="AW47" s="9" t="s">
        <v>28</v>
      </c>
      <c r="AX47" s="9" t="s">
        <v>28</v>
      </c>
      <c r="AY47" s="9" t="s">
        <v>28</v>
      </c>
      <c r="AZ47" s="9" t="s">
        <v>25</v>
      </c>
      <c r="BA47" s="9" t="s">
        <v>2403</v>
      </c>
      <c r="BB47" s="39">
        <v>15250</v>
      </c>
      <c r="BC47" s="9" t="s">
        <v>14527</v>
      </c>
      <c r="BD47" s="9" t="s">
        <v>25</v>
      </c>
      <c r="BF47" s="9" t="s">
        <v>2238</v>
      </c>
      <c r="BM47" s="11">
        <v>0.25</v>
      </c>
      <c r="BN47" s="11">
        <v>0.5</v>
      </c>
      <c r="BO47" s="11">
        <v>0.75</v>
      </c>
      <c r="BP47" s="11">
        <v>1</v>
      </c>
      <c r="BS47" s="9" t="s">
        <v>25</v>
      </c>
      <c r="BT47" s="9" t="s">
        <v>25</v>
      </c>
      <c r="BV47" s="11">
        <v>0.03</v>
      </c>
      <c r="BW47" s="9" t="s">
        <v>732</v>
      </c>
      <c r="BX47" s="9" t="s">
        <v>732</v>
      </c>
      <c r="BY47" s="9" t="s">
        <v>115</v>
      </c>
      <c r="BZ47" s="9" t="s">
        <v>732</v>
      </c>
      <c r="CA47" s="9" t="s">
        <v>732</v>
      </c>
      <c r="CB47" s="9" t="s">
        <v>732</v>
      </c>
      <c r="CC47" s="9" t="s">
        <v>29</v>
      </c>
      <c r="CD47" s="9" t="s">
        <v>2228</v>
      </c>
      <c r="CE47" s="9" t="s">
        <v>28</v>
      </c>
      <c r="CF47" s="9">
        <v>3</v>
      </c>
      <c r="CG47" s="9" t="s">
        <v>2172</v>
      </c>
      <c r="CH47" s="9" t="s">
        <v>2404</v>
      </c>
      <c r="DZ47" s="9" t="s">
        <v>25</v>
      </c>
      <c r="EA47" s="9" t="s">
        <v>25</v>
      </c>
      <c r="EQ47" s="9" t="s">
        <v>28</v>
      </c>
      <c r="ER47" s="9" t="s">
        <v>2169</v>
      </c>
      <c r="ES47" s="9" t="s">
        <v>28</v>
      </c>
      <c r="ET47" s="9" t="s">
        <v>25</v>
      </c>
      <c r="EU47" s="9" t="s">
        <v>28</v>
      </c>
      <c r="EV47" s="9" t="s">
        <v>28</v>
      </c>
      <c r="EW47" s="9" t="s">
        <v>28</v>
      </c>
      <c r="EX47" s="9" t="s">
        <v>25</v>
      </c>
      <c r="EY47" s="9" t="s">
        <v>28</v>
      </c>
      <c r="EZ47" s="9" t="s">
        <v>2175</v>
      </c>
      <c r="FB47" s="9" t="s">
        <v>2214</v>
      </c>
      <c r="FD47" s="9" t="s">
        <v>25</v>
      </c>
      <c r="FE47" s="9" t="s">
        <v>13528</v>
      </c>
      <c r="FF47" s="9" t="s">
        <v>25</v>
      </c>
      <c r="FH47" s="9" t="s">
        <v>25</v>
      </c>
      <c r="FI47" s="9" t="s">
        <v>256</v>
      </c>
      <c r="FJ47" s="11">
        <v>0.8</v>
      </c>
      <c r="FK47" s="11">
        <v>0.8</v>
      </c>
      <c r="FW47" s="9" t="s">
        <v>25</v>
      </c>
      <c r="GC47" s="9" t="s">
        <v>28</v>
      </c>
      <c r="GD47" s="9" t="s">
        <v>25</v>
      </c>
      <c r="GE47" s="63" t="s">
        <v>13162</v>
      </c>
      <c r="GF47" s="9" t="s">
        <v>2181</v>
      </c>
      <c r="GI47" s="9" t="s">
        <v>2182</v>
      </c>
      <c r="GJ47" s="9" t="s">
        <v>2182</v>
      </c>
      <c r="GK47" s="9">
        <v>10</v>
      </c>
      <c r="GM47" s="9" t="s">
        <v>2232</v>
      </c>
      <c r="GO47" s="9" t="s">
        <v>2233</v>
      </c>
      <c r="GQ47" s="9" t="s">
        <v>2229</v>
      </c>
      <c r="GR47" s="9" t="s">
        <v>28</v>
      </c>
      <c r="GS47" s="9" t="s">
        <v>28</v>
      </c>
      <c r="GT47" s="9" t="s">
        <v>28</v>
      </c>
      <c r="GU47" s="9" t="s">
        <v>28</v>
      </c>
      <c r="GV47" s="9" t="s">
        <v>25</v>
      </c>
      <c r="GW47" s="9" t="s">
        <v>25</v>
      </c>
      <c r="GX47" s="9" t="s">
        <v>25</v>
      </c>
      <c r="GY47" s="9" t="s">
        <v>25</v>
      </c>
      <c r="GZ47" s="9" t="s">
        <v>41</v>
      </c>
      <c r="HC47" s="9" t="s">
        <v>28</v>
      </c>
      <c r="HD47" s="9" t="s">
        <v>2405</v>
      </c>
    </row>
    <row r="48" spans="1:212" ht="51" x14ac:dyDescent="0.2">
      <c r="A48" s="8" t="s">
        <v>155</v>
      </c>
      <c r="B48" s="9" t="s">
        <v>2158</v>
      </c>
      <c r="C48" s="9" t="s">
        <v>25</v>
      </c>
      <c r="E48" s="9" t="s">
        <v>25</v>
      </c>
      <c r="G48" s="9" t="s">
        <v>2376</v>
      </c>
      <c r="H48" s="11">
        <v>0.75</v>
      </c>
      <c r="I48" s="11">
        <v>0.75</v>
      </c>
      <c r="J48" s="11">
        <v>0.99</v>
      </c>
      <c r="K48" s="11">
        <v>0.94</v>
      </c>
      <c r="L48" s="11">
        <v>0.96</v>
      </c>
      <c r="M48" s="11">
        <v>0.11</v>
      </c>
      <c r="N48" s="11">
        <v>0.09</v>
      </c>
      <c r="O48" s="11">
        <v>0.1</v>
      </c>
      <c r="P48" s="9" t="s">
        <v>28</v>
      </c>
      <c r="Q48" s="11">
        <v>0.19</v>
      </c>
      <c r="R48" s="11">
        <v>0.75</v>
      </c>
      <c r="S48" s="11">
        <v>0.75</v>
      </c>
      <c r="T48" s="9" t="s">
        <v>41</v>
      </c>
      <c r="AB48" s="9" t="s">
        <v>28</v>
      </c>
      <c r="AC48" s="11">
        <v>0.05</v>
      </c>
      <c r="AD48" s="9" t="s">
        <v>2160</v>
      </c>
      <c r="AE48" s="11">
        <v>0.01</v>
      </c>
      <c r="AF48" s="11">
        <v>0.15</v>
      </c>
      <c r="AG48" s="9" t="s">
        <v>2162</v>
      </c>
      <c r="AI48" s="9" t="s">
        <v>2163</v>
      </c>
      <c r="AJ48" s="9" t="s">
        <v>28</v>
      </c>
      <c r="AK48" s="9" t="s">
        <v>1015</v>
      </c>
      <c r="AL48" s="9" t="s">
        <v>2186</v>
      </c>
      <c r="AN48" s="9" t="s">
        <v>25</v>
      </c>
      <c r="AO48" s="9" t="s">
        <v>2165</v>
      </c>
      <c r="AP48" s="9" t="s">
        <v>2166</v>
      </c>
      <c r="AQ48" s="9" t="s">
        <v>25</v>
      </c>
      <c r="AS48" s="9" t="s">
        <v>2203</v>
      </c>
      <c r="AT48" s="9" t="s">
        <v>25</v>
      </c>
      <c r="AV48" s="9" t="s">
        <v>28</v>
      </c>
      <c r="AW48" s="9" t="s">
        <v>28</v>
      </c>
      <c r="AX48" s="9" t="s">
        <v>28</v>
      </c>
      <c r="AY48" s="9" t="s">
        <v>28</v>
      </c>
      <c r="AZ48" s="9" t="s">
        <v>25</v>
      </c>
      <c r="BA48" s="9" t="s">
        <v>2377</v>
      </c>
      <c r="BB48" s="39">
        <v>14500</v>
      </c>
      <c r="BC48" s="9" t="s">
        <v>13912</v>
      </c>
      <c r="BD48" s="9" t="s">
        <v>2169</v>
      </c>
      <c r="BE48" s="9" t="s">
        <v>2170</v>
      </c>
      <c r="BF48" s="9" t="s">
        <v>2171</v>
      </c>
      <c r="BS48" s="9" t="s">
        <v>25</v>
      </c>
      <c r="BT48" s="9" t="s">
        <v>28</v>
      </c>
      <c r="BU48" s="9" t="s">
        <v>2287</v>
      </c>
      <c r="BV48" s="11">
        <v>0.41</v>
      </c>
      <c r="BW48" s="9" t="s">
        <v>29</v>
      </c>
      <c r="BX48" s="9" t="s">
        <v>29</v>
      </c>
      <c r="BY48" s="9" t="s">
        <v>2191</v>
      </c>
      <c r="BZ48" s="9" t="s">
        <v>732</v>
      </c>
      <c r="CA48" s="9" t="s">
        <v>732</v>
      </c>
      <c r="CB48" s="9" t="s">
        <v>732</v>
      </c>
      <c r="CC48" s="9" t="s">
        <v>732</v>
      </c>
      <c r="CD48" s="9" t="s">
        <v>29</v>
      </c>
      <c r="CE48" s="9" t="s">
        <v>28</v>
      </c>
      <c r="CF48" s="9">
        <v>1</v>
      </c>
      <c r="CG48" s="9" t="s">
        <v>2192</v>
      </c>
      <c r="CH48" s="9" t="s">
        <v>13944</v>
      </c>
      <c r="CJ48" s="9">
        <v>16</v>
      </c>
      <c r="CK48" s="9">
        <v>9</v>
      </c>
      <c r="CM48" s="9">
        <v>1</v>
      </c>
      <c r="CN48" s="9">
        <v>1</v>
      </c>
      <c r="CZ48" s="9">
        <v>1</v>
      </c>
      <c r="DA48" s="9">
        <v>1</v>
      </c>
      <c r="DB48" s="9">
        <v>1</v>
      </c>
      <c r="DD48" s="9">
        <v>1</v>
      </c>
      <c r="DE48" s="9">
        <v>1</v>
      </c>
      <c r="DF48" s="9">
        <v>1</v>
      </c>
      <c r="DH48" s="9">
        <v>1</v>
      </c>
      <c r="DI48" s="9">
        <v>1</v>
      </c>
      <c r="DJ48" s="9">
        <v>1</v>
      </c>
      <c r="DL48" s="9">
        <v>1</v>
      </c>
      <c r="DM48" s="9">
        <v>1</v>
      </c>
      <c r="DN48" s="9">
        <v>1</v>
      </c>
      <c r="DP48" s="9">
        <v>1</v>
      </c>
      <c r="DT48" s="9">
        <v>11</v>
      </c>
      <c r="DZ48" s="9" t="s">
        <v>28</v>
      </c>
      <c r="EA48" s="9" t="s">
        <v>28</v>
      </c>
      <c r="EC48" s="9" t="s">
        <v>28</v>
      </c>
      <c r="EE48" s="9" t="s">
        <v>28</v>
      </c>
      <c r="EF48" s="9" t="s">
        <v>28</v>
      </c>
      <c r="EH48" s="9" t="s">
        <v>28</v>
      </c>
      <c r="EK48" s="9" t="s">
        <v>25</v>
      </c>
      <c r="EL48" s="9" t="s">
        <v>25</v>
      </c>
      <c r="EM48" s="9" t="s">
        <v>25</v>
      </c>
      <c r="EQ48" s="9" t="s">
        <v>28</v>
      </c>
      <c r="ER48" s="9" t="s">
        <v>2169</v>
      </c>
      <c r="ES48" s="9" t="s">
        <v>28</v>
      </c>
      <c r="ET48" s="9" t="s">
        <v>28</v>
      </c>
      <c r="EU48" s="9" t="s">
        <v>28</v>
      </c>
      <c r="EV48" s="9" t="s">
        <v>28</v>
      </c>
      <c r="EW48" s="9" t="s">
        <v>28</v>
      </c>
      <c r="EX48" s="9" t="s">
        <v>25</v>
      </c>
      <c r="EY48" s="9" t="s">
        <v>25</v>
      </c>
      <c r="GR48" s="9" t="s">
        <v>1015</v>
      </c>
      <c r="GW48" s="9" t="s">
        <v>25</v>
      </c>
      <c r="GX48" s="9" t="s">
        <v>25</v>
      </c>
      <c r="GY48" s="9" t="s">
        <v>25</v>
      </c>
      <c r="GZ48" s="9" t="s">
        <v>25</v>
      </c>
      <c r="HC48" s="9" t="s">
        <v>25</v>
      </c>
    </row>
    <row r="49" spans="1:212" ht="63.75" x14ac:dyDescent="0.2">
      <c r="A49" s="8" t="s">
        <v>128</v>
      </c>
      <c r="B49" s="9" t="s">
        <v>2218</v>
      </c>
      <c r="C49" s="9" t="s">
        <v>25</v>
      </c>
      <c r="E49" s="9" t="s">
        <v>28</v>
      </c>
      <c r="F49" s="9" t="s">
        <v>2200</v>
      </c>
      <c r="G49" s="9" t="s">
        <v>2185</v>
      </c>
      <c r="H49" s="11">
        <v>0.9</v>
      </c>
      <c r="I49" s="11">
        <v>0.9</v>
      </c>
      <c r="J49" s="11">
        <v>0.94</v>
      </c>
      <c r="K49" s="11">
        <v>0.87</v>
      </c>
      <c r="L49" s="11">
        <v>0.89</v>
      </c>
      <c r="M49" s="11">
        <v>0.06</v>
      </c>
      <c r="N49" s="11">
        <v>0.06</v>
      </c>
      <c r="O49" s="11">
        <v>0.06</v>
      </c>
      <c r="P49" s="9" t="s">
        <v>28</v>
      </c>
      <c r="Q49" s="11">
        <v>0.16</v>
      </c>
      <c r="R49" s="11">
        <v>0.9</v>
      </c>
      <c r="S49" s="11">
        <v>0.9</v>
      </c>
      <c r="T49" s="9" t="s">
        <v>25</v>
      </c>
      <c r="AB49" s="9" t="s">
        <v>25</v>
      </c>
      <c r="AD49" s="9" t="s">
        <v>2201</v>
      </c>
      <c r="AG49" s="9" t="s">
        <v>2162</v>
      </c>
      <c r="AI49" s="9" t="s">
        <v>2163</v>
      </c>
      <c r="AJ49" s="9" t="s">
        <v>28</v>
      </c>
      <c r="AK49" s="9" t="s">
        <v>25</v>
      </c>
      <c r="AL49" s="9" t="s">
        <v>2164</v>
      </c>
      <c r="AM49" s="9" t="s">
        <v>25</v>
      </c>
      <c r="AN49" s="9" t="s">
        <v>25</v>
      </c>
      <c r="AO49" s="9" t="s">
        <v>2165</v>
      </c>
      <c r="AP49" s="9" t="s">
        <v>2188</v>
      </c>
      <c r="AQ49" s="9" t="s">
        <v>25</v>
      </c>
      <c r="AS49" s="9" t="s">
        <v>2203</v>
      </c>
      <c r="AT49" s="9" t="s">
        <v>25</v>
      </c>
      <c r="AV49" s="9" t="s">
        <v>28</v>
      </c>
      <c r="AW49" s="9" t="s">
        <v>25</v>
      </c>
      <c r="AX49" s="9" t="s">
        <v>28</v>
      </c>
      <c r="AY49" s="9" t="s">
        <v>25</v>
      </c>
      <c r="AZ49" s="9" t="s">
        <v>25</v>
      </c>
      <c r="BA49" s="9" t="s">
        <v>2252</v>
      </c>
      <c r="BB49" s="39">
        <v>9150</v>
      </c>
      <c r="BC49" s="9" t="s">
        <v>14528</v>
      </c>
      <c r="BD49" s="9" t="s">
        <v>25</v>
      </c>
      <c r="BF49" s="9" t="s">
        <v>2171</v>
      </c>
      <c r="BS49" s="9" t="s">
        <v>25</v>
      </c>
      <c r="BT49" s="9" t="s">
        <v>28</v>
      </c>
      <c r="BU49" s="9" t="s">
        <v>2253</v>
      </c>
      <c r="BV49" s="11">
        <v>0.01</v>
      </c>
      <c r="BW49" s="9" t="s">
        <v>732</v>
      </c>
      <c r="BX49" s="9" t="s">
        <v>732</v>
      </c>
      <c r="BY49" s="9" t="s">
        <v>115</v>
      </c>
      <c r="BZ49" s="9" t="s">
        <v>732</v>
      </c>
      <c r="CA49" s="9" t="s">
        <v>732</v>
      </c>
      <c r="CB49" s="9" t="s">
        <v>732</v>
      </c>
      <c r="CC49" s="9" t="s">
        <v>732</v>
      </c>
      <c r="CD49" s="9" t="s">
        <v>732</v>
      </c>
      <c r="CE49" s="9" t="s">
        <v>28</v>
      </c>
      <c r="CF49" s="9">
        <v>1</v>
      </c>
      <c r="CG49" s="9" t="s">
        <v>2192</v>
      </c>
      <c r="CH49" s="9" t="s">
        <v>2254</v>
      </c>
      <c r="CL49" s="9">
        <v>1</v>
      </c>
      <c r="CN49" s="9">
        <v>1</v>
      </c>
      <c r="CO49" s="9">
        <v>1</v>
      </c>
      <c r="CS49" s="9">
        <v>1</v>
      </c>
      <c r="CY49" s="9">
        <v>1</v>
      </c>
      <c r="CZ49" s="9">
        <v>1</v>
      </c>
      <c r="DA49" s="9">
        <v>1</v>
      </c>
      <c r="DB49" s="9">
        <v>1</v>
      </c>
      <c r="DC49" s="9">
        <v>2</v>
      </c>
      <c r="DD49" s="9">
        <v>1</v>
      </c>
      <c r="DE49" s="9">
        <v>1</v>
      </c>
      <c r="DG49" s="9">
        <v>1</v>
      </c>
      <c r="DH49" s="9">
        <v>1</v>
      </c>
      <c r="DI49" s="9">
        <v>1</v>
      </c>
      <c r="DJ49" s="9">
        <v>1</v>
      </c>
      <c r="DK49" s="9">
        <v>1</v>
      </c>
      <c r="DL49" s="9">
        <v>1</v>
      </c>
      <c r="DP49" s="9">
        <v>1</v>
      </c>
      <c r="DQ49" s="9">
        <v>1</v>
      </c>
      <c r="DR49" s="9">
        <v>1</v>
      </c>
      <c r="DT49" s="9">
        <v>14</v>
      </c>
      <c r="DZ49" s="9" t="s">
        <v>25</v>
      </c>
      <c r="EA49" s="9" t="s">
        <v>28</v>
      </c>
      <c r="EB49" s="9" t="s">
        <v>28</v>
      </c>
      <c r="EC49" s="9" t="s">
        <v>28</v>
      </c>
      <c r="ED49" s="9" t="s">
        <v>28</v>
      </c>
      <c r="EE49" s="9" t="s">
        <v>28</v>
      </c>
      <c r="EF49" s="9" t="s">
        <v>28</v>
      </c>
      <c r="EG49" s="9" t="s">
        <v>28</v>
      </c>
      <c r="EH49" s="9" t="s">
        <v>28</v>
      </c>
      <c r="EI49" s="9" t="s">
        <v>28</v>
      </c>
      <c r="EJ49" s="9" t="s">
        <v>28</v>
      </c>
      <c r="EK49" s="9" t="s">
        <v>28</v>
      </c>
      <c r="EL49" s="9" t="s">
        <v>28</v>
      </c>
      <c r="EM49" s="9" t="s">
        <v>25</v>
      </c>
      <c r="EN49" s="9" t="s">
        <v>25</v>
      </c>
      <c r="EQ49" s="9" t="s">
        <v>28</v>
      </c>
      <c r="ER49" s="9" t="s">
        <v>2169</v>
      </c>
      <c r="ES49" s="9" t="s">
        <v>28</v>
      </c>
      <c r="ET49" s="9" t="s">
        <v>28</v>
      </c>
      <c r="EU49" s="9" t="s">
        <v>28</v>
      </c>
      <c r="EV49" s="9" t="s">
        <v>28</v>
      </c>
      <c r="EW49" s="9" t="s">
        <v>28</v>
      </c>
      <c r="EX49" s="9" t="s">
        <v>25</v>
      </c>
      <c r="EY49" s="9" t="s">
        <v>25</v>
      </c>
      <c r="GR49" s="9" t="s">
        <v>25</v>
      </c>
      <c r="GW49" s="9" t="s">
        <v>25</v>
      </c>
      <c r="GX49" s="9" t="s">
        <v>25</v>
      </c>
      <c r="GY49" s="9" t="s">
        <v>25</v>
      </c>
      <c r="GZ49" s="9" t="s">
        <v>28</v>
      </c>
      <c r="HA49" s="9" t="s">
        <v>2255</v>
      </c>
      <c r="HC49" s="9" t="s">
        <v>25</v>
      </c>
    </row>
    <row r="50" spans="1:212" ht="51" x14ac:dyDescent="0.2">
      <c r="A50" s="8" t="s">
        <v>126</v>
      </c>
      <c r="B50" s="9" t="s">
        <v>2243</v>
      </c>
      <c r="C50" s="9" t="s">
        <v>25</v>
      </c>
      <c r="E50" s="9" t="s">
        <v>25</v>
      </c>
      <c r="G50" s="9" t="s">
        <v>2185</v>
      </c>
      <c r="H50" s="11">
        <v>0.6</v>
      </c>
      <c r="I50" s="11">
        <v>0.6</v>
      </c>
      <c r="J50" s="11">
        <v>1</v>
      </c>
      <c r="K50" s="11">
        <v>0.96</v>
      </c>
      <c r="L50" s="11">
        <v>0.96</v>
      </c>
      <c r="M50" s="11">
        <v>0.12</v>
      </c>
      <c r="N50" s="11">
        <v>0.1</v>
      </c>
      <c r="O50" s="11">
        <v>0.1</v>
      </c>
      <c r="P50" s="9" t="s">
        <v>28</v>
      </c>
      <c r="Q50" s="11">
        <v>0.22</v>
      </c>
      <c r="R50" s="11">
        <v>0.6</v>
      </c>
      <c r="S50" s="11">
        <v>0.6</v>
      </c>
      <c r="T50" s="9" t="s">
        <v>28</v>
      </c>
      <c r="U50" s="9" t="s">
        <v>25</v>
      </c>
      <c r="W50" s="9" t="s">
        <v>25</v>
      </c>
      <c r="Y50" s="11">
        <v>0.03</v>
      </c>
      <c r="Z50" s="11">
        <v>0.6</v>
      </c>
      <c r="AA50" s="11">
        <v>0.6</v>
      </c>
      <c r="AB50" s="9" t="s">
        <v>28</v>
      </c>
      <c r="AC50" s="11">
        <v>0.03</v>
      </c>
      <c r="AD50" s="9" t="s">
        <v>2160</v>
      </c>
      <c r="AE50" s="11">
        <v>0.01</v>
      </c>
      <c r="AF50" s="11">
        <v>0.12</v>
      </c>
      <c r="AG50" s="9" t="s">
        <v>2162</v>
      </c>
      <c r="AI50" s="9" t="s">
        <v>41</v>
      </c>
      <c r="AJ50" s="9" t="s">
        <v>28</v>
      </c>
      <c r="AK50" s="9" t="s">
        <v>28</v>
      </c>
      <c r="AL50" s="9" t="s">
        <v>2164</v>
      </c>
      <c r="AM50" s="9" t="s">
        <v>25</v>
      </c>
      <c r="AN50" s="9" t="s">
        <v>25</v>
      </c>
      <c r="AO50" s="9" t="s">
        <v>2244</v>
      </c>
      <c r="AP50" s="9" t="s">
        <v>2188</v>
      </c>
      <c r="AQ50" s="9" t="s">
        <v>25</v>
      </c>
      <c r="AS50" s="9" t="s">
        <v>2203</v>
      </c>
      <c r="AT50" s="9" t="s">
        <v>25</v>
      </c>
      <c r="AV50" s="9" t="s">
        <v>28</v>
      </c>
      <c r="AW50" s="9" t="s">
        <v>28</v>
      </c>
      <c r="AX50" s="9" t="s">
        <v>28</v>
      </c>
      <c r="AY50" s="9" t="s">
        <v>28</v>
      </c>
      <c r="AZ50" s="9" t="s">
        <v>25</v>
      </c>
      <c r="BA50" s="9" t="s">
        <v>2245</v>
      </c>
      <c r="BB50" s="39">
        <v>11400</v>
      </c>
      <c r="BC50" s="9" t="s">
        <v>2246</v>
      </c>
      <c r="BD50" s="9" t="s">
        <v>2169</v>
      </c>
      <c r="BF50" s="9" t="s">
        <v>2171</v>
      </c>
      <c r="BS50" s="9" t="s">
        <v>28</v>
      </c>
      <c r="BT50" s="9" t="s">
        <v>25</v>
      </c>
      <c r="BV50" s="11">
        <v>0.5</v>
      </c>
      <c r="BW50" s="9" t="s">
        <v>115</v>
      </c>
      <c r="BX50" s="9" t="s">
        <v>115</v>
      </c>
      <c r="BY50" s="9" t="s">
        <v>115</v>
      </c>
      <c r="BZ50" s="9" t="s">
        <v>732</v>
      </c>
      <c r="CA50" s="9" t="s">
        <v>732</v>
      </c>
      <c r="CB50" s="9" t="s">
        <v>732</v>
      </c>
      <c r="CC50" s="9" t="s">
        <v>732</v>
      </c>
      <c r="CD50" s="9" t="s">
        <v>115</v>
      </c>
      <c r="CE50" s="9" t="s">
        <v>28</v>
      </c>
      <c r="CF50" s="9">
        <v>1</v>
      </c>
      <c r="CG50" s="9" t="s">
        <v>2172</v>
      </c>
      <c r="CH50" s="9" t="s">
        <v>2247</v>
      </c>
      <c r="CL50" s="9">
        <v>1</v>
      </c>
      <c r="CO50" s="9">
        <v>1</v>
      </c>
      <c r="CZ50" s="9">
        <v>1</v>
      </c>
      <c r="DA50" s="9">
        <v>1</v>
      </c>
      <c r="DB50" s="9">
        <v>1</v>
      </c>
      <c r="DD50" s="9">
        <v>1</v>
      </c>
      <c r="DE50" s="9">
        <v>1</v>
      </c>
      <c r="DF50" s="9">
        <v>1</v>
      </c>
      <c r="DH50" s="9">
        <v>1</v>
      </c>
      <c r="DI50" s="9">
        <v>1</v>
      </c>
      <c r="DK50" s="9">
        <v>1</v>
      </c>
      <c r="DN50" s="9">
        <v>1</v>
      </c>
      <c r="DT50" s="9">
        <v>5</v>
      </c>
      <c r="DZ50" s="9" t="s">
        <v>25</v>
      </c>
      <c r="EA50" s="9" t="s">
        <v>25</v>
      </c>
      <c r="EQ50" s="9" t="s">
        <v>28</v>
      </c>
      <c r="ER50" s="9" t="s">
        <v>2169</v>
      </c>
      <c r="ES50" s="9" t="s">
        <v>41</v>
      </c>
      <c r="ET50" s="9" t="s">
        <v>41</v>
      </c>
      <c r="EU50" s="9" t="s">
        <v>28</v>
      </c>
      <c r="EV50" s="9" t="s">
        <v>28</v>
      </c>
      <c r="EW50" s="9" t="s">
        <v>28</v>
      </c>
      <c r="EX50" s="9" t="s">
        <v>41</v>
      </c>
      <c r="EY50" s="9" t="s">
        <v>28</v>
      </c>
      <c r="EZ50" s="9" t="s">
        <v>2175</v>
      </c>
      <c r="FB50" s="9" t="s">
        <v>2214</v>
      </c>
      <c r="FD50" s="9" t="s">
        <v>28</v>
      </c>
      <c r="FE50" s="9" t="s">
        <v>13528</v>
      </c>
      <c r="FF50" s="9" t="s">
        <v>25</v>
      </c>
      <c r="FH50" s="9" t="s">
        <v>28</v>
      </c>
      <c r="FI50" s="9" t="s">
        <v>256</v>
      </c>
      <c r="FJ50" s="11">
        <v>0.75</v>
      </c>
      <c r="FK50" s="11">
        <v>1</v>
      </c>
      <c r="FO50" s="11">
        <v>0.75</v>
      </c>
      <c r="FP50" s="11">
        <v>1</v>
      </c>
      <c r="FW50" s="9" t="s">
        <v>25</v>
      </c>
      <c r="GC50" s="9" t="s">
        <v>28</v>
      </c>
      <c r="GD50" s="9" t="s">
        <v>25</v>
      </c>
      <c r="GE50" s="63" t="s">
        <v>13162</v>
      </c>
      <c r="GF50" s="9" t="s">
        <v>2181</v>
      </c>
      <c r="GI50" s="9" t="s">
        <v>2182</v>
      </c>
      <c r="GJ50" s="9" t="s">
        <v>2182</v>
      </c>
      <c r="GK50" s="9">
        <v>15</v>
      </c>
      <c r="GM50" s="9" t="s">
        <v>2232</v>
      </c>
      <c r="GO50" s="9" t="s">
        <v>2233</v>
      </c>
      <c r="GQ50" s="9" t="s">
        <v>253</v>
      </c>
      <c r="GR50" s="9" t="s">
        <v>28</v>
      </c>
      <c r="GS50" s="9" t="s">
        <v>25</v>
      </c>
      <c r="GT50" s="9" t="s">
        <v>25</v>
      </c>
      <c r="GU50" s="9" t="s">
        <v>28</v>
      </c>
      <c r="GW50" s="9" t="s">
        <v>25</v>
      </c>
      <c r="GX50" s="9" t="s">
        <v>25</v>
      </c>
      <c r="GY50" s="9" t="s">
        <v>25</v>
      </c>
      <c r="GZ50" s="9" t="s">
        <v>41</v>
      </c>
      <c r="HC50" s="9" t="s">
        <v>41</v>
      </c>
    </row>
    <row r="51" spans="1:212" ht="51" x14ac:dyDescent="0.2">
      <c r="A51" s="8" t="s">
        <v>130</v>
      </c>
      <c r="B51" s="9" t="s">
        <v>2243</v>
      </c>
      <c r="C51" s="9" t="s">
        <v>25</v>
      </c>
      <c r="E51" s="9" t="s">
        <v>28</v>
      </c>
      <c r="F51" s="9" t="s">
        <v>2206</v>
      </c>
      <c r="G51" s="9" t="s">
        <v>2185</v>
      </c>
      <c r="H51" s="11">
        <v>0.8</v>
      </c>
      <c r="I51" s="11">
        <v>0.8</v>
      </c>
      <c r="J51" s="11">
        <v>0.92</v>
      </c>
      <c r="K51" s="11">
        <v>0.75</v>
      </c>
      <c r="L51" s="11">
        <v>0.77</v>
      </c>
      <c r="M51" s="11">
        <v>0.06</v>
      </c>
      <c r="N51" s="11">
        <v>0.05</v>
      </c>
      <c r="O51" s="11">
        <v>0.05</v>
      </c>
      <c r="P51" s="9" t="s">
        <v>28</v>
      </c>
      <c r="Q51" s="11">
        <v>0.24</v>
      </c>
      <c r="R51" s="11">
        <v>0.8</v>
      </c>
      <c r="S51" s="11">
        <v>0.8</v>
      </c>
      <c r="T51" s="9" t="s">
        <v>28</v>
      </c>
      <c r="U51" s="9" t="s">
        <v>28</v>
      </c>
      <c r="V51" s="39">
        <v>29800</v>
      </c>
      <c r="W51" s="9" t="s">
        <v>25</v>
      </c>
      <c r="Y51" s="11">
        <v>0.04</v>
      </c>
      <c r="Z51" s="11">
        <v>0.8</v>
      </c>
      <c r="AA51" s="11">
        <v>0.8</v>
      </c>
      <c r="AB51" s="9" t="s">
        <v>25</v>
      </c>
      <c r="AD51" s="9" t="s">
        <v>2160</v>
      </c>
      <c r="AE51" s="11">
        <v>0.01</v>
      </c>
      <c r="AF51" s="9" t="s">
        <v>2161</v>
      </c>
      <c r="AG51" s="9" t="s">
        <v>2162</v>
      </c>
      <c r="AI51" s="9" t="s">
        <v>2201</v>
      </c>
      <c r="AJ51" s="9" t="s">
        <v>28</v>
      </c>
      <c r="AK51" s="9" t="s">
        <v>28</v>
      </c>
      <c r="AL51" s="9" t="s">
        <v>2164</v>
      </c>
      <c r="AM51" s="9" t="s">
        <v>25</v>
      </c>
      <c r="AN51" s="9" t="s">
        <v>25</v>
      </c>
      <c r="AO51" s="9" t="s">
        <v>2202</v>
      </c>
      <c r="AP51" s="9" t="s">
        <v>2188</v>
      </c>
      <c r="AQ51" s="9" t="s">
        <v>25</v>
      </c>
      <c r="AS51" s="9" t="s">
        <v>2203</v>
      </c>
      <c r="AT51" s="9" t="s">
        <v>25</v>
      </c>
      <c r="AV51" s="9" t="s">
        <v>28</v>
      </c>
      <c r="AW51" s="9" t="s">
        <v>28</v>
      </c>
      <c r="AX51" s="9" t="s">
        <v>28</v>
      </c>
      <c r="AY51" s="9" t="s">
        <v>28</v>
      </c>
      <c r="AZ51" s="9" t="s">
        <v>25</v>
      </c>
      <c r="BA51" s="9" t="s">
        <v>2263</v>
      </c>
      <c r="BB51" s="39">
        <v>8700</v>
      </c>
      <c r="BC51" s="9" t="s">
        <v>14529</v>
      </c>
      <c r="BD51" s="9" t="s">
        <v>2169</v>
      </c>
      <c r="BE51" s="9" t="s">
        <v>2170</v>
      </c>
      <c r="BF51" s="9" t="s">
        <v>2171</v>
      </c>
      <c r="BS51" s="9" t="s">
        <v>25</v>
      </c>
      <c r="BT51" s="9" t="s">
        <v>25</v>
      </c>
      <c r="BV51" s="11">
        <v>0.01</v>
      </c>
      <c r="BW51" s="9" t="s">
        <v>115</v>
      </c>
      <c r="BX51" s="9" t="s">
        <v>732</v>
      </c>
      <c r="BY51" s="9" t="s">
        <v>115</v>
      </c>
      <c r="BZ51" s="9" t="s">
        <v>732</v>
      </c>
      <c r="CA51" s="9" t="s">
        <v>732</v>
      </c>
      <c r="CB51" s="9" t="s">
        <v>115</v>
      </c>
      <c r="CC51" s="9" t="s">
        <v>732</v>
      </c>
      <c r="CD51" s="9" t="s">
        <v>732</v>
      </c>
      <c r="CE51" s="9" t="s">
        <v>28</v>
      </c>
      <c r="CF51" s="9">
        <v>2</v>
      </c>
      <c r="CG51" s="9" t="s">
        <v>2172</v>
      </c>
      <c r="CH51" s="9" t="s">
        <v>2264</v>
      </c>
      <c r="CI51" s="9" t="s">
        <v>2265</v>
      </c>
      <c r="CL51" s="9">
        <v>1</v>
      </c>
      <c r="CP51" s="9">
        <v>1</v>
      </c>
      <c r="CU51" s="9">
        <v>1</v>
      </c>
      <c r="CZ51" s="9">
        <v>1</v>
      </c>
      <c r="DA51" s="9">
        <v>1</v>
      </c>
      <c r="DB51" s="9">
        <v>1</v>
      </c>
      <c r="DD51" s="9">
        <v>1</v>
      </c>
      <c r="DE51" s="9">
        <v>1</v>
      </c>
      <c r="DF51" s="9">
        <v>1</v>
      </c>
      <c r="DG51" s="9">
        <v>1</v>
      </c>
      <c r="DL51" s="9">
        <v>1</v>
      </c>
      <c r="DN51" s="9">
        <v>1</v>
      </c>
      <c r="DO51" s="9">
        <v>1</v>
      </c>
      <c r="DT51" s="9">
        <v>12</v>
      </c>
      <c r="DZ51" s="9" t="s">
        <v>25</v>
      </c>
      <c r="EA51" s="9" t="s">
        <v>28</v>
      </c>
      <c r="EB51" s="9" t="s">
        <v>25</v>
      </c>
      <c r="EC51" s="9" t="s">
        <v>25</v>
      </c>
      <c r="ED51" s="9" t="s">
        <v>25</v>
      </c>
      <c r="EE51" s="9" t="s">
        <v>25</v>
      </c>
      <c r="EF51" s="9" t="s">
        <v>25</v>
      </c>
      <c r="EG51" s="9" t="s">
        <v>25</v>
      </c>
      <c r="EH51" s="9" t="s">
        <v>25</v>
      </c>
      <c r="EI51" s="9" t="s">
        <v>25</v>
      </c>
      <c r="EJ51" s="9" t="s">
        <v>25</v>
      </c>
      <c r="EK51" s="9" t="s">
        <v>28</v>
      </c>
      <c r="EL51" s="9" t="s">
        <v>25</v>
      </c>
      <c r="EM51" s="9" t="s">
        <v>25</v>
      </c>
      <c r="EN51" s="9" t="s">
        <v>25</v>
      </c>
      <c r="EO51" s="9" t="s">
        <v>28</v>
      </c>
      <c r="EP51" s="9" t="s">
        <v>2266</v>
      </c>
      <c r="EQ51" s="9" t="s">
        <v>28</v>
      </c>
      <c r="ER51" s="9" t="s">
        <v>2169</v>
      </c>
      <c r="ES51" s="9" t="s">
        <v>41</v>
      </c>
      <c r="ET51" s="9" t="s">
        <v>41</v>
      </c>
      <c r="EU51" s="9" t="s">
        <v>41</v>
      </c>
      <c r="EV51" s="9" t="s">
        <v>41</v>
      </c>
      <c r="EW51" s="9" t="s">
        <v>25</v>
      </c>
      <c r="EX51" s="9" t="s">
        <v>25</v>
      </c>
      <c r="EY51" s="9" t="s">
        <v>25</v>
      </c>
      <c r="GR51" s="9" t="s">
        <v>25</v>
      </c>
      <c r="GW51" s="9" t="s">
        <v>25</v>
      </c>
      <c r="GX51" s="9" t="s">
        <v>25</v>
      </c>
      <c r="GY51" s="9" t="s">
        <v>25</v>
      </c>
      <c r="GZ51" s="9" t="s">
        <v>25</v>
      </c>
      <c r="HC51" s="9" t="s">
        <v>28</v>
      </c>
      <c r="HD51" s="9" t="s">
        <v>2267</v>
      </c>
    </row>
    <row r="52" spans="1:212" ht="51" x14ac:dyDescent="0.2">
      <c r="A52" s="8" t="s">
        <v>173</v>
      </c>
      <c r="B52" s="9" t="s">
        <v>2158</v>
      </c>
      <c r="C52" s="9" t="s">
        <v>25</v>
      </c>
      <c r="E52" s="9" t="s">
        <v>25</v>
      </c>
      <c r="G52" s="9" t="s">
        <v>2236</v>
      </c>
      <c r="H52" s="11">
        <v>0.9</v>
      </c>
      <c r="I52" s="11">
        <v>0.9</v>
      </c>
      <c r="P52" s="9" t="s">
        <v>28</v>
      </c>
      <c r="Q52" s="11">
        <v>0.04</v>
      </c>
      <c r="R52" s="11">
        <v>0.9</v>
      </c>
      <c r="S52" s="11">
        <v>0.9</v>
      </c>
      <c r="T52" s="9" t="s">
        <v>25</v>
      </c>
      <c r="AB52" s="9" t="s">
        <v>28</v>
      </c>
      <c r="AC52" s="11">
        <v>0.05</v>
      </c>
      <c r="AD52" s="9" t="s">
        <v>2201</v>
      </c>
      <c r="AG52" s="9" t="s">
        <v>2162</v>
      </c>
      <c r="AI52" s="9" t="s">
        <v>2431</v>
      </c>
      <c r="AJ52" s="9" t="s">
        <v>28</v>
      </c>
      <c r="AK52" s="9" t="s">
        <v>1015</v>
      </c>
      <c r="AL52" s="9" t="s">
        <v>2164</v>
      </c>
      <c r="AM52" s="9" t="s">
        <v>28</v>
      </c>
      <c r="AN52" s="9" t="s">
        <v>25</v>
      </c>
      <c r="AO52" s="9" t="s">
        <v>2165</v>
      </c>
      <c r="AP52" s="9" t="s">
        <v>2369</v>
      </c>
      <c r="AQ52" s="9" t="s">
        <v>25</v>
      </c>
      <c r="BV52" s="11">
        <v>0.01</v>
      </c>
      <c r="BW52" s="9" t="s">
        <v>2191</v>
      </c>
      <c r="BX52" s="9" t="s">
        <v>2191</v>
      </c>
      <c r="BY52" s="9" t="s">
        <v>115</v>
      </c>
      <c r="BZ52" s="9" t="s">
        <v>732</v>
      </c>
      <c r="CA52" s="9" t="s">
        <v>732</v>
      </c>
      <c r="CB52" s="9" t="s">
        <v>732</v>
      </c>
      <c r="CC52" s="9" t="s">
        <v>732</v>
      </c>
      <c r="CD52" s="9" t="s">
        <v>2228</v>
      </c>
      <c r="CE52" s="9" t="s">
        <v>28</v>
      </c>
      <c r="CF52" s="9">
        <v>2</v>
      </c>
      <c r="CG52" s="9" t="s">
        <v>2192</v>
      </c>
      <c r="CH52" s="9" t="s">
        <v>2432</v>
      </c>
      <c r="CL52" s="9">
        <v>1</v>
      </c>
      <c r="CM52" s="9">
        <v>1</v>
      </c>
      <c r="CY52" s="9">
        <v>2</v>
      </c>
      <c r="DA52" s="9">
        <v>1</v>
      </c>
      <c r="DB52" s="9">
        <v>2</v>
      </c>
      <c r="DC52" s="9">
        <v>1</v>
      </c>
      <c r="DE52" s="9">
        <v>1</v>
      </c>
      <c r="DG52" s="9">
        <v>1</v>
      </c>
      <c r="DJ52" s="9">
        <v>1</v>
      </c>
      <c r="DN52" s="9">
        <v>1</v>
      </c>
      <c r="DP52" s="9">
        <v>1</v>
      </c>
      <c r="DT52" s="9">
        <v>12</v>
      </c>
      <c r="DV52" s="9">
        <v>1</v>
      </c>
      <c r="DZ52" s="9" t="s">
        <v>25</v>
      </c>
      <c r="EA52" s="9" t="s">
        <v>28</v>
      </c>
      <c r="EI52" s="9" t="s">
        <v>25</v>
      </c>
      <c r="EQ52" s="9" t="s">
        <v>28</v>
      </c>
      <c r="ER52" s="9" t="s">
        <v>25</v>
      </c>
      <c r="ES52" s="9" t="s">
        <v>28</v>
      </c>
      <c r="ET52" s="9" t="s">
        <v>28</v>
      </c>
      <c r="EU52" s="9" t="s">
        <v>41</v>
      </c>
      <c r="EV52" s="9" t="s">
        <v>28</v>
      </c>
      <c r="EW52" s="9" t="s">
        <v>28</v>
      </c>
      <c r="EX52" s="9" t="s">
        <v>25</v>
      </c>
      <c r="EY52" s="9" t="s">
        <v>25</v>
      </c>
      <c r="GR52" s="9" t="s">
        <v>25</v>
      </c>
      <c r="GW52" s="9" t="s">
        <v>25</v>
      </c>
      <c r="GX52" s="9" t="s">
        <v>25</v>
      </c>
      <c r="GY52" s="9" t="s">
        <v>25</v>
      </c>
      <c r="GZ52" s="9" t="s">
        <v>28</v>
      </c>
      <c r="HA52" s="9" t="s">
        <v>2199</v>
      </c>
      <c r="HC52" s="9" t="s">
        <v>28</v>
      </c>
      <c r="HD52" s="9" t="s">
        <v>2433</v>
      </c>
    </row>
    <row r="53" spans="1:212" ht="51" x14ac:dyDescent="0.2">
      <c r="A53" s="8" t="s">
        <v>178</v>
      </c>
      <c r="B53" s="9" t="s">
        <v>2158</v>
      </c>
      <c r="C53" s="9" t="s">
        <v>25</v>
      </c>
      <c r="E53" s="9" t="s">
        <v>25</v>
      </c>
      <c r="G53" s="9" t="s">
        <v>2304</v>
      </c>
      <c r="H53" s="11">
        <v>0.85</v>
      </c>
      <c r="I53" s="11">
        <v>0.95</v>
      </c>
      <c r="J53" s="11">
        <v>0.2</v>
      </c>
      <c r="K53" s="11">
        <v>0.8</v>
      </c>
      <c r="L53" s="11">
        <v>0.95</v>
      </c>
      <c r="M53" s="11">
        <v>0.09</v>
      </c>
      <c r="N53" s="11">
        <v>0.1</v>
      </c>
      <c r="O53" s="11">
        <v>0.19</v>
      </c>
      <c r="P53" s="9" t="s">
        <v>28</v>
      </c>
      <c r="Q53" s="11">
        <v>0.11</v>
      </c>
      <c r="R53" s="11">
        <v>0.85</v>
      </c>
      <c r="S53" s="11">
        <v>0.85</v>
      </c>
      <c r="T53" s="9" t="s">
        <v>28</v>
      </c>
      <c r="U53" s="9" t="s">
        <v>28</v>
      </c>
      <c r="V53" s="39">
        <v>29000</v>
      </c>
      <c r="W53" s="9" t="s">
        <v>25</v>
      </c>
      <c r="Y53" s="11">
        <v>0.04</v>
      </c>
      <c r="Z53" s="11">
        <v>0.1</v>
      </c>
      <c r="AA53" s="11">
        <v>0.1</v>
      </c>
      <c r="AB53" s="9" t="s">
        <v>28</v>
      </c>
      <c r="AC53" s="11">
        <v>0.06</v>
      </c>
      <c r="AD53" s="9" t="s">
        <v>2201</v>
      </c>
      <c r="AG53" s="9" t="s">
        <v>2162</v>
      </c>
      <c r="AI53" s="9" t="s">
        <v>2163</v>
      </c>
      <c r="AJ53" s="9" t="s">
        <v>28</v>
      </c>
      <c r="AK53" s="9" t="s">
        <v>25</v>
      </c>
      <c r="AL53" s="9" t="s">
        <v>2164</v>
      </c>
      <c r="AM53" s="9" t="s">
        <v>28</v>
      </c>
      <c r="AN53" s="9" t="s">
        <v>25</v>
      </c>
      <c r="AO53" s="9" t="s">
        <v>2165</v>
      </c>
      <c r="AP53" s="9" t="s">
        <v>2166</v>
      </c>
      <c r="AQ53" s="9" t="s">
        <v>25</v>
      </c>
      <c r="AS53" s="9" t="s">
        <v>2189</v>
      </c>
      <c r="AT53" s="9" t="s">
        <v>28</v>
      </c>
      <c r="AU53" s="9">
        <v>0</v>
      </c>
      <c r="AV53" s="9" t="s">
        <v>28</v>
      </c>
      <c r="AW53" s="9" t="s">
        <v>28</v>
      </c>
      <c r="AX53" s="9" t="s">
        <v>28</v>
      </c>
      <c r="AY53" s="9" t="s">
        <v>28</v>
      </c>
      <c r="AZ53" s="9" t="s">
        <v>25</v>
      </c>
      <c r="BA53" s="9" t="s">
        <v>2443</v>
      </c>
      <c r="BB53" s="39">
        <v>8700</v>
      </c>
      <c r="BC53" s="9" t="s">
        <v>13912</v>
      </c>
      <c r="BD53" s="9" t="s">
        <v>2169</v>
      </c>
      <c r="BE53" s="9" t="s">
        <v>2170</v>
      </c>
      <c r="BF53" s="9" t="s">
        <v>2171</v>
      </c>
      <c r="BM53" s="11">
        <v>0.5</v>
      </c>
      <c r="BN53" s="11">
        <v>1</v>
      </c>
      <c r="BO53" s="11">
        <v>1</v>
      </c>
      <c r="BP53" s="11">
        <v>1</v>
      </c>
      <c r="BQ53" s="11">
        <v>1</v>
      </c>
      <c r="BR53" s="11">
        <v>1</v>
      </c>
      <c r="BS53" s="9" t="s">
        <v>25</v>
      </c>
      <c r="BT53" s="9" t="s">
        <v>25</v>
      </c>
      <c r="BV53" s="11">
        <v>0.01</v>
      </c>
      <c r="BW53" s="9" t="s">
        <v>732</v>
      </c>
      <c r="BX53" s="9" t="s">
        <v>732</v>
      </c>
      <c r="BY53" s="9" t="s">
        <v>732</v>
      </c>
      <c r="BZ53" s="9" t="s">
        <v>732</v>
      </c>
      <c r="CA53" s="9" t="s">
        <v>732</v>
      </c>
      <c r="CB53" s="9" t="s">
        <v>2191</v>
      </c>
      <c r="CC53" s="9" t="s">
        <v>732</v>
      </c>
      <c r="CD53" s="9" t="s">
        <v>2228</v>
      </c>
      <c r="CE53" s="9" t="s">
        <v>28</v>
      </c>
      <c r="CF53" s="9">
        <v>1</v>
      </c>
      <c r="CG53" s="9" t="s">
        <v>2192</v>
      </c>
      <c r="CH53" s="9" t="s">
        <v>2444</v>
      </c>
      <c r="CI53" s="9" t="s">
        <v>2445</v>
      </c>
      <c r="CJ53" s="9">
        <v>13</v>
      </c>
      <c r="CL53" s="9">
        <v>1</v>
      </c>
      <c r="CM53" s="9">
        <v>1</v>
      </c>
      <c r="CO53" s="9">
        <v>1</v>
      </c>
      <c r="CR53" s="9">
        <v>1</v>
      </c>
      <c r="CS53" s="9">
        <v>1</v>
      </c>
      <c r="CZ53" s="9">
        <v>1</v>
      </c>
      <c r="DA53" s="9">
        <v>1</v>
      </c>
      <c r="DB53" s="9">
        <v>1</v>
      </c>
      <c r="DE53" s="9">
        <v>1</v>
      </c>
      <c r="DF53" s="9">
        <v>1</v>
      </c>
      <c r="DI53" s="9">
        <v>1</v>
      </c>
      <c r="DJ53" s="9">
        <v>1</v>
      </c>
      <c r="DN53" s="9">
        <v>1</v>
      </c>
      <c r="DT53" s="9">
        <v>13</v>
      </c>
      <c r="DZ53" s="9" t="s">
        <v>25</v>
      </c>
      <c r="EA53" s="9" t="s">
        <v>28</v>
      </c>
      <c r="EB53" s="9" t="s">
        <v>28</v>
      </c>
      <c r="EC53" s="9" t="s">
        <v>28</v>
      </c>
      <c r="ED53" s="9" t="s">
        <v>28</v>
      </c>
      <c r="EE53" s="9" t="s">
        <v>28</v>
      </c>
      <c r="EF53" s="9" t="s">
        <v>25</v>
      </c>
      <c r="EG53" s="9" t="s">
        <v>28</v>
      </c>
      <c r="EH53" s="9" t="s">
        <v>28</v>
      </c>
      <c r="EI53" s="9" t="s">
        <v>28</v>
      </c>
      <c r="EJ53" s="9" t="s">
        <v>25</v>
      </c>
      <c r="EK53" s="9" t="s">
        <v>25</v>
      </c>
      <c r="EL53" s="9" t="s">
        <v>25</v>
      </c>
      <c r="EO53" s="9" t="s">
        <v>25</v>
      </c>
      <c r="EQ53" s="9" t="s">
        <v>28</v>
      </c>
      <c r="ER53" s="9" t="s">
        <v>41</v>
      </c>
      <c r="ES53" s="9" t="s">
        <v>25</v>
      </c>
      <c r="ET53" s="9" t="s">
        <v>25</v>
      </c>
      <c r="EU53" s="9" t="s">
        <v>25</v>
      </c>
      <c r="EV53" s="9" t="s">
        <v>41</v>
      </c>
      <c r="EW53" s="9" t="s">
        <v>25</v>
      </c>
      <c r="EX53" s="9" t="s">
        <v>25</v>
      </c>
      <c r="EY53" s="9" t="s">
        <v>28</v>
      </c>
      <c r="EZ53" s="9" t="s">
        <v>2175</v>
      </c>
      <c r="FB53" s="9" t="s">
        <v>2214</v>
      </c>
      <c r="FD53" s="9" t="s">
        <v>28</v>
      </c>
      <c r="FE53" s="9" t="s">
        <v>13528</v>
      </c>
      <c r="FF53" s="9" t="s">
        <v>25</v>
      </c>
      <c r="FH53" s="9" t="s">
        <v>28</v>
      </c>
      <c r="FI53" s="9" t="s">
        <v>256</v>
      </c>
      <c r="FJ53" s="11">
        <v>0.8</v>
      </c>
      <c r="FK53" s="11">
        <v>0.8</v>
      </c>
      <c r="FO53" s="11">
        <v>0.8</v>
      </c>
      <c r="FP53" s="11">
        <v>1</v>
      </c>
      <c r="FV53" s="11">
        <v>0.8</v>
      </c>
      <c r="FW53" s="9" t="s">
        <v>25</v>
      </c>
      <c r="GC53" s="9" t="s">
        <v>28</v>
      </c>
      <c r="GD53" s="9" t="s">
        <v>28</v>
      </c>
      <c r="GE53" s="63" t="s">
        <v>13162</v>
      </c>
      <c r="GF53" s="9" t="s">
        <v>2181</v>
      </c>
      <c r="GG53" s="9" t="s">
        <v>2183</v>
      </c>
      <c r="GH53" s="9" t="s">
        <v>2183</v>
      </c>
      <c r="GI53" s="9" t="s">
        <v>2183</v>
      </c>
      <c r="GJ53" s="9" t="s">
        <v>2182</v>
      </c>
      <c r="GK53" s="9">
        <v>20</v>
      </c>
      <c r="GM53" s="9" t="s">
        <v>2232</v>
      </c>
      <c r="GO53" s="9" t="s">
        <v>2197</v>
      </c>
      <c r="GQ53" s="9" t="s">
        <v>635</v>
      </c>
      <c r="GR53" s="9" t="s">
        <v>1015</v>
      </c>
      <c r="GW53" s="9" t="s">
        <v>25</v>
      </c>
      <c r="GX53" s="9" t="s">
        <v>25</v>
      </c>
      <c r="GY53" s="9" t="s">
        <v>25</v>
      </c>
      <c r="GZ53" s="9" t="s">
        <v>25</v>
      </c>
      <c r="HC53" s="9" t="s">
        <v>25</v>
      </c>
    </row>
    <row r="54" spans="1:212" ht="51" x14ac:dyDescent="0.2">
      <c r="A54" s="8" t="s">
        <v>151</v>
      </c>
      <c r="B54" s="9" t="s">
        <v>2158</v>
      </c>
      <c r="C54" s="9" t="s">
        <v>2169</v>
      </c>
      <c r="D54" s="9" t="s">
        <v>2362</v>
      </c>
      <c r="E54" s="9" t="s">
        <v>25</v>
      </c>
      <c r="G54" s="9" t="s">
        <v>2185</v>
      </c>
      <c r="H54" s="11">
        <v>0.8</v>
      </c>
      <c r="I54" s="11">
        <v>0.8</v>
      </c>
      <c r="J54" s="11">
        <v>0.91</v>
      </c>
      <c r="K54" s="11">
        <v>0.72</v>
      </c>
      <c r="L54" s="11">
        <v>0.88</v>
      </c>
      <c r="M54" s="11">
        <v>7.0000000000000007E-2</v>
      </c>
      <c r="N54" s="11">
        <v>0.08</v>
      </c>
      <c r="O54" s="11">
        <v>0.08</v>
      </c>
      <c r="P54" s="9" t="s">
        <v>28</v>
      </c>
      <c r="Q54" s="11">
        <v>0.13</v>
      </c>
      <c r="R54" s="11">
        <v>0.8</v>
      </c>
      <c r="S54" s="11">
        <v>0.8</v>
      </c>
      <c r="T54" s="9" t="s">
        <v>28</v>
      </c>
      <c r="U54" s="9" t="s">
        <v>25</v>
      </c>
      <c r="W54" s="9" t="s">
        <v>28</v>
      </c>
      <c r="Y54" s="11">
        <v>0.19</v>
      </c>
      <c r="Z54" s="11">
        <v>0.8</v>
      </c>
      <c r="AA54" s="11">
        <v>0.8</v>
      </c>
      <c r="AB54" s="9" t="s">
        <v>25</v>
      </c>
      <c r="AD54" s="9" t="s">
        <v>2201</v>
      </c>
      <c r="AG54" s="9" t="s">
        <v>2162</v>
      </c>
      <c r="AI54" s="9" t="s">
        <v>2201</v>
      </c>
      <c r="AJ54" s="9" t="s">
        <v>28</v>
      </c>
      <c r="AK54" s="9" t="s">
        <v>28</v>
      </c>
      <c r="AL54" s="9" t="s">
        <v>2208</v>
      </c>
      <c r="AN54" s="9" t="s">
        <v>2169</v>
      </c>
      <c r="AO54" s="9" t="s">
        <v>2165</v>
      </c>
      <c r="AP54" s="9" t="s">
        <v>2166</v>
      </c>
      <c r="AQ54" s="9" t="s">
        <v>25</v>
      </c>
      <c r="AS54" s="9" t="s">
        <v>2203</v>
      </c>
      <c r="AT54" s="9" t="s">
        <v>25</v>
      </c>
      <c r="AV54" s="9" t="s">
        <v>28</v>
      </c>
      <c r="AW54" s="9" t="s">
        <v>28</v>
      </c>
      <c r="AX54" s="9" t="s">
        <v>25</v>
      </c>
      <c r="AY54" s="9" t="s">
        <v>25</v>
      </c>
      <c r="AZ54" s="9" t="s">
        <v>25</v>
      </c>
      <c r="BA54" s="9" t="s">
        <v>2363</v>
      </c>
      <c r="BB54" s="39">
        <v>12200</v>
      </c>
      <c r="BC54" s="9" t="s">
        <v>13923</v>
      </c>
      <c r="BD54" s="9" t="s">
        <v>2169</v>
      </c>
      <c r="BE54" s="9" t="s">
        <v>2170</v>
      </c>
      <c r="BF54" s="9" t="s">
        <v>2171</v>
      </c>
      <c r="BS54" s="9" t="s">
        <v>25</v>
      </c>
      <c r="BT54" s="9" t="s">
        <v>28</v>
      </c>
      <c r="BU54" s="9" t="s">
        <v>2222</v>
      </c>
      <c r="BV54" s="11">
        <v>0.17</v>
      </c>
      <c r="BW54" s="9" t="s">
        <v>732</v>
      </c>
      <c r="BX54" s="9" t="s">
        <v>732</v>
      </c>
      <c r="BY54" s="9" t="s">
        <v>115</v>
      </c>
      <c r="BZ54" s="9" t="s">
        <v>732</v>
      </c>
      <c r="CA54" s="9" t="s">
        <v>732</v>
      </c>
      <c r="CB54" s="9" t="s">
        <v>732</v>
      </c>
      <c r="CC54" s="9" t="s">
        <v>732</v>
      </c>
      <c r="CD54" s="9" t="s">
        <v>732</v>
      </c>
      <c r="CE54" s="9" t="s">
        <v>28</v>
      </c>
      <c r="CF54" s="9">
        <v>1</v>
      </c>
      <c r="CG54" s="9" t="s">
        <v>2192</v>
      </c>
      <c r="CH54" s="9" t="s">
        <v>2364</v>
      </c>
      <c r="CJ54" s="9">
        <v>1</v>
      </c>
      <c r="CL54" s="9">
        <v>1</v>
      </c>
      <c r="CM54" s="9">
        <v>1</v>
      </c>
      <c r="CO54" s="9">
        <v>1</v>
      </c>
      <c r="CP54" s="9">
        <v>1</v>
      </c>
      <c r="CZ54" s="9">
        <v>1</v>
      </c>
      <c r="DA54" s="9">
        <v>1</v>
      </c>
      <c r="DB54" s="9">
        <v>3</v>
      </c>
      <c r="DD54" s="9">
        <v>1</v>
      </c>
      <c r="DE54" s="9">
        <v>1</v>
      </c>
      <c r="DF54" s="9">
        <v>1</v>
      </c>
      <c r="DI54" s="9">
        <v>1</v>
      </c>
      <c r="DJ54" s="9">
        <v>1</v>
      </c>
      <c r="DL54" s="9">
        <v>1</v>
      </c>
      <c r="DN54" s="9">
        <v>1</v>
      </c>
      <c r="DR54" s="9">
        <v>1</v>
      </c>
      <c r="DT54" s="9">
        <v>12</v>
      </c>
      <c r="DZ54" s="9" t="s">
        <v>25</v>
      </c>
      <c r="EA54" s="9" t="s">
        <v>28</v>
      </c>
      <c r="EB54" s="9" t="s">
        <v>28</v>
      </c>
      <c r="EC54" s="9" t="s">
        <v>28</v>
      </c>
      <c r="ED54" s="9" t="s">
        <v>28</v>
      </c>
      <c r="EE54" s="9" t="s">
        <v>28</v>
      </c>
      <c r="EF54" s="9" t="s">
        <v>28</v>
      </c>
      <c r="EG54" s="9" t="s">
        <v>28</v>
      </c>
      <c r="EH54" s="9" t="s">
        <v>28</v>
      </c>
      <c r="EI54" s="9" t="s">
        <v>28</v>
      </c>
      <c r="EJ54" s="9" t="s">
        <v>28</v>
      </c>
      <c r="EK54" s="9" t="s">
        <v>25</v>
      </c>
      <c r="EL54" s="9" t="s">
        <v>25</v>
      </c>
      <c r="EO54" s="9" t="s">
        <v>25</v>
      </c>
      <c r="EQ54" s="9" t="s">
        <v>25</v>
      </c>
      <c r="ER54" s="9" t="s">
        <v>2169</v>
      </c>
      <c r="ES54" s="9" t="s">
        <v>28</v>
      </c>
      <c r="ET54" s="9" t="s">
        <v>25</v>
      </c>
      <c r="EU54" s="9" t="s">
        <v>28</v>
      </c>
      <c r="EV54" s="9" t="s">
        <v>28</v>
      </c>
      <c r="EW54" s="9" t="s">
        <v>28</v>
      </c>
      <c r="EX54" s="9" t="s">
        <v>25</v>
      </c>
      <c r="EY54" s="9" t="s">
        <v>25</v>
      </c>
      <c r="GR54" s="9" t="s">
        <v>1015</v>
      </c>
      <c r="GW54" s="9" t="s">
        <v>25</v>
      </c>
      <c r="GX54" s="9" t="s">
        <v>25</v>
      </c>
      <c r="GY54" s="9" t="s">
        <v>25</v>
      </c>
      <c r="GZ54" s="9" t="s">
        <v>25</v>
      </c>
      <c r="HC54" s="9" t="s">
        <v>41</v>
      </c>
    </row>
    <row r="55" spans="1:212" ht="63.75" x14ac:dyDescent="0.2">
      <c r="A55" s="8" t="s">
        <v>172</v>
      </c>
      <c r="B55" s="9" t="s">
        <v>2243</v>
      </c>
      <c r="C55" s="9" t="s">
        <v>25</v>
      </c>
      <c r="E55" s="9" t="s">
        <v>25</v>
      </c>
      <c r="G55" s="9" t="s">
        <v>2185</v>
      </c>
      <c r="H55" s="11">
        <v>1</v>
      </c>
      <c r="I55" s="11">
        <v>1</v>
      </c>
      <c r="P55" s="9" t="s">
        <v>28</v>
      </c>
      <c r="T55" s="9" t="s">
        <v>28</v>
      </c>
      <c r="U55" s="9" t="s">
        <v>25</v>
      </c>
      <c r="W55" s="9" t="s">
        <v>28</v>
      </c>
      <c r="AB55" s="9" t="s">
        <v>28</v>
      </c>
      <c r="AC55" s="11">
        <v>0.05</v>
      </c>
      <c r="AD55" s="9" t="s">
        <v>2160</v>
      </c>
      <c r="AG55" s="9" t="s">
        <v>2162</v>
      </c>
      <c r="AI55" s="9" t="s">
        <v>2163</v>
      </c>
      <c r="AJ55" s="9" t="s">
        <v>28</v>
      </c>
      <c r="AK55" s="9" t="s">
        <v>28</v>
      </c>
      <c r="AN55" s="9" t="s">
        <v>2169</v>
      </c>
      <c r="AP55" s="9" t="s">
        <v>2188</v>
      </c>
      <c r="AQ55" s="9" t="s">
        <v>28</v>
      </c>
      <c r="AR55" s="9" t="s">
        <v>25</v>
      </c>
      <c r="AS55" s="9" t="s">
        <v>2203</v>
      </c>
      <c r="AT55" s="9" t="s">
        <v>25</v>
      </c>
      <c r="AV55" s="9" t="s">
        <v>28</v>
      </c>
      <c r="AW55" s="9" t="s">
        <v>25</v>
      </c>
      <c r="AX55" s="9" t="s">
        <v>28</v>
      </c>
      <c r="AY55" s="9" t="s">
        <v>25</v>
      </c>
      <c r="AZ55" s="9" t="s">
        <v>25</v>
      </c>
      <c r="BC55" s="9" t="s">
        <v>13931</v>
      </c>
      <c r="BD55" s="9" t="s">
        <v>2169</v>
      </c>
      <c r="BE55" s="9" t="s">
        <v>2170</v>
      </c>
      <c r="BF55" s="9" t="s">
        <v>2171</v>
      </c>
      <c r="BS55" s="9" t="s">
        <v>25</v>
      </c>
      <c r="BT55" s="9" t="s">
        <v>25</v>
      </c>
      <c r="BW55" s="9" t="s">
        <v>115</v>
      </c>
      <c r="BX55" s="9" t="s">
        <v>732</v>
      </c>
      <c r="BY55" s="9" t="s">
        <v>115</v>
      </c>
      <c r="BZ55" s="9" t="s">
        <v>732</v>
      </c>
      <c r="CA55" s="9" t="s">
        <v>732</v>
      </c>
      <c r="CB55" s="9" t="s">
        <v>732</v>
      </c>
      <c r="CC55" s="9" t="s">
        <v>2228</v>
      </c>
      <c r="CD55" s="9" t="s">
        <v>2228</v>
      </c>
      <c r="CE55" s="9" t="s">
        <v>28</v>
      </c>
      <c r="CF55" s="9">
        <v>1</v>
      </c>
      <c r="CG55" s="9" t="s">
        <v>2172</v>
      </c>
      <c r="CH55" s="9" t="s">
        <v>2428</v>
      </c>
      <c r="DZ55" s="9" t="s">
        <v>25</v>
      </c>
      <c r="EA55" s="9" t="s">
        <v>25</v>
      </c>
      <c r="EQ55" s="9" t="s">
        <v>25</v>
      </c>
      <c r="ER55" s="9" t="s">
        <v>2169</v>
      </c>
      <c r="ES55" s="9" t="s">
        <v>28</v>
      </c>
      <c r="ET55" s="9" t="s">
        <v>25</v>
      </c>
      <c r="EU55" s="9" t="s">
        <v>28</v>
      </c>
      <c r="EV55" s="9" t="s">
        <v>28</v>
      </c>
      <c r="EW55" s="9" t="s">
        <v>28</v>
      </c>
      <c r="EX55" s="9" t="s">
        <v>25</v>
      </c>
      <c r="EY55" s="9" t="s">
        <v>28</v>
      </c>
      <c r="EZ55" s="9" t="s">
        <v>2175</v>
      </c>
      <c r="FB55" s="9" t="s">
        <v>2429</v>
      </c>
      <c r="FD55" s="9" t="s">
        <v>25</v>
      </c>
      <c r="FF55" s="9" t="s">
        <v>25</v>
      </c>
      <c r="FH55" s="9" t="s">
        <v>28</v>
      </c>
      <c r="FI55" s="9" t="s">
        <v>2430</v>
      </c>
      <c r="FW55" s="9" t="s">
        <v>25</v>
      </c>
      <c r="GC55" s="9" t="s">
        <v>28</v>
      </c>
      <c r="GD55" s="9" t="s">
        <v>25</v>
      </c>
      <c r="GF55" s="9" t="s">
        <v>2181</v>
      </c>
      <c r="GM55" s="9" t="s">
        <v>2232</v>
      </c>
      <c r="GO55" s="9" t="s">
        <v>2233</v>
      </c>
      <c r="GR55" s="9" t="s">
        <v>25</v>
      </c>
      <c r="GW55" s="9" t="s">
        <v>25</v>
      </c>
      <c r="GX55" s="9" t="s">
        <v>25</v>
      </c>
      <c r="GY55" s="9" t="s">
        <v>25</v>
      </c>
      <c r="GZ55" s="9" t="s">
        <v>25</v>
      </c>
      <c r="HC55" s="9" t="s">
        <v>25</v>
      </c>
    </row>
    <row r="56" spans="1:212" ht="51" x14ac:dyDescent="0.2">
      <c r="A56" s="8" t="s">
        <v>119</v>
      </c>
      <c r="B56" s="9" t="s">
        <v>2158</v>
      </c>
      <c r="C56" s="9" t="s">
        <v>25</v>
      </c>
      <c r="E56" s="9" t="s">
        <v>28</v>
      </c>
      <c r="F56" s="9" t="s">
        <v>2200</v>
      </c>
      <c r="G56" s="9" t="s">
        <v>2159</v>
      </c>
      <c r="H56" s="11">
        <v>0.85</v>
      </c>
      <c r="I56" s="11">
        <v>1</v>
      </c>
      <c r="J56" s="11">
        <v>0.96</v>
      </c>
      <c r="K56" s="11">
        <v>0.96</v>
      </c>
      <c r="L56" s="11">
        <v>0.96</v>
      </c>
      <c r="M56" s="11">
        <v>0.06</v>
      </c>
      <c r="N56" s="11">
        <v>0.06</v>
      </c>
      <c r="O56" s="11">
        <v>0.06</v>
      </c>
      <c r="P56" s="9" t="s">
        <v>28</v>
      </c>
      <c r="Q56" s="11">
        <v>0.17</v>
      </c>
      <c r="R56" s="11">
        <v>0.85</v>
      </c>
      <c r="S56" s="11">
        <v>0.85</v>
      </c>
      <c r="T56" s="9" t="s">
        <v>28</v>
      </c>
      <c r="U56" s="9" t="s">
        <v>28</v>
      </c>
      <c r="V56" s="39">
        <v>161500</v>
      </c>
      <c r="W56" s="9" t="s">
        <v>25</v>
      </c>
      <c r="Y56" s="11">
        <v>0.16</v>
      </c>
      <c r="Z56" s="11">
        <v>0.85</v>
      </c>
      <c r="AA56" s="11">
        <v>0.85</v>
      </c>
      <c r="AB56" s="9" t="s">
        <v>28</v>
      </c>
      <c r="AC56" s="11">
        <v>0.06</v>
      </c>
      <c r="AD56" s="9" t="s">
        <v>2201</v>
      </c>
      <c r="AG56" s="9" t="s">
        <v>2162</v>
      </c>
      <c r="AI56" s="9" t="s">
        <v>2163</v>
      </c>
      <c r="AJ56" s="9" t="s">
        <v>28</v>
      </c>
      <c r="AK56" s="9" t="s">
        <v>28</v>
      </c>
      <c r="AL56" s="9" t="s">
        <v>2164</v>
      </c>
      <c r="AM56" s="9" t="s">
        <v>25</v>
      </c>
      <c r="AN56" s="9" t="s">
        <v>25</v>
      </c>
      <c r="AO56" s="9" t="s">
        <v>2202</v>
      </c>
      <c r="AP56" s="9" t="s">
        <v>2188</v>
      </c>
      <c r="AS56" s="9" t="s">
        <v>2203</v>
      </c>
      <c r="AT56" s="9" t="s">
        <v>25</v>
      </c>
      <c r="BA56" s="9" t="s">
        <v>2204</v>
      </c>
      <c r="BB56" s="39">
        <v>8700</v>
      </c>
      <c r="BC56" s="9" t="s">
        <v>13910</v>
      </c>
      <c r="BD56" s="9" t="s">
        <v>2169</v>
      </c>
      <c r="BE56" s="9" t="s">
        <v>2170</v>
      </c>
      <c r="BF56" s="9" t="s">
        <v>2171</v>
      </c>
      <c r="BS56" s="9" t="s">
        <v>25</v>
      </c>
      <c r="BT56" s="9" t="s">
        <v>25</v>
      </c>
      <c r="BV56" s="11">
        <v>0.31</v>
      </c>
      <c r="BW56" s="9" t="s">
        <v>115</v>
      </c>
      <c r="BX56" s="9" t="s">
        <v>732</v>
      </c>
      <c r="BY56" s="9" t="s">
        <v>115</v>
      </c>
      <c r="BZ56" s="9" t="s">
        <v>732</v>
      </c>
      <c r="CA56" s="9" t="s">
        <v>732</v>
      </c>
      <c r="CB56" s="9" t="s">
        <v>732</v>
      </c>
      <c r="CC56" s="9" t="s">
        <v>732</v>
      </c>
      <c r="CD56" s="9" t="s">
        <v>732</v>
      </c>
      <c r="CE56" s="9" t="s">
        <v>28</v>
      </c>
      <c r="CF56" s="9">
        <v>1</v>
      </c>
      <c r="CG56" s="9" t="s">
        <v>2192</v>
      </c>
      <c r="CH56" s="9" t="s">
        <v>13934</v>
      </c>
      <c r="CL56" s="9">
        <v>1</v>
      </c>
      <c r="CO56" s="9">
        <v>1</v>
      </c>
      <c r="CP56" s="9">
        <v>1</v>
      </c>
      <c r="CU56" s="9">
        <v>1</v>
      </c>
      <c r="CZ56" s="9">
        <v>1</v>
      </c>
      <c r="DA56" s="9">
        <v>1</v>
      </c>
      <c r="DB56" s="9">
        <v>1</v>
      </c>
      <c r="DD56" s="9">
        <v>1</v>
      </c>
      <c r="DF56" s="9">
        <v>1</v>
      </c>
      <c r="DH56" s="9">
        <v>1</v>
      </c>
      <c r="DI56" s="9">
        <v>1</v>
      </c>
      <c r="DL56" s="9">
        <v>1</v>
      </c>
      <c r="DN56" s="9">
        <v>1</v>
      </c>
      <c r="DP56" s="9">
        <v>1</v>
      </c>
      <c r="DT56" s="9">
        <v>1</v>
      </c>
      <c r="DZ56" s="9" t="s">
        <v>25</v>
      </c>
      <c r="EA56" s="9" t="s">
        <v>28</v>
      </c>
      <c r="EB56" s="9" t="s">
        <v>25</v>
      </c>
      <c r="EC56" s="9" t="s">
        <v>25</v>
      </c>
      <c r="ED56" s="9" t="s">
        <v>28</v>
      </c>
      <c r="EE56" s="9" t="s">
        <v>28</v>
      </c>
      <c r="EF56" s="9" t="s">
        <v>28</v>
      </c>
      <c r="EG56" s="9" t="s">
        <v>25</v>
      </c>
      <c r="EH56" s="9" t="s">
        <v>28</v>
      </c>
      <c r="EI56" s="9" t="s">
        <v>28</v>
      </c>
      <c r="EJ56" s="9" t="s">
        <v>25</v>
      </c>
      <c r="EK56" s="9" t="s">
        <v>25</v>
      </c>
      <c r="EL56" s="9" t="s">
        <v>25</v>
      </c>
      <c r="EM56" s="9" t="s">
        <v>25</v>
      </c>
      <c r="EN56" s="9" t="s">
        <v>25</v>
      </c>
      <c r="EO56" s="9" t="s">
        <v>25</v>
      </c>
      <c r="EQ56" s="9" t="s">
        <v>25</v>
      </c>
      <c r="ER56" s="9" t="s">
        <v>25</v>
      </c>
      <c r="ES56" s="9" t="s">
        <v>28</v>
      </c>
      <c r="ET56" s="9" t="s">
        <v>25</v>
      </c>
      <c r="EU56" s="9" t="s">
        <v>28</v>
      </c>
      <c r="EV56" s="9" t="s">
        <v>28</v>
      </c>
      <c r="EW56" s="9" t="s">
        <v>28</v>
      </c>
      <c r="EX56" s="9" t="s">
        <v>28</v>
      </c>
      <c r="EY56" s="9" t="s">
        <v>25</v>
      </c>
      <c r="GR56" s="9" t="s">
        <v>25</v>
      </c>
      <c r="GW56" s="9" t="s">
        <v>25</v>
      </c>
      <c r="GX56" s="9" t="s">
        <v>25</v>
      </c>
      <c r="GY56" s="9" t="s">
        <v>25</v>
      </c>
      <c r="GZ56" s="9" t="s">
        <v>28</v>
      </c>
      <c r="HC56" s="9" t="s">
        <v>28</v>
      </c>
      <c r="HD56" s="9" t="s">
        <v>2205</v>
      </c>
    </row>
    <row r="57" spans="1:212" ht="63.75" x14ac:dyDescent="0.2">
      <c r="A57" s="8" t="s">
        <v>146</v>
      </c>
      <c r="B57" s="9" t="s">
        <v>2243</v>
      </c>
      <c r="C57" s="9" t="s">
        <v>25</v>
      </c>
      <c r="E57" s="9" t="s">
        <v>28</v>
      </c>
      <c r="F57" s="9" t="s">
        <v>2200</v>
      </c>
      <c r="G57" s="9" t="s">
        <v>2185</v>
      </c>
      <c r="H57" s="11">
        <v>0.5</v>
      </c>
      <c r="I57" s="11">
        <v>0.5</v>
      </c>
      <c r="P57" s="9" t="s">
        <v>28</v>
      </c>
      <c r="Q57" s="11">
        <v>0.5</v>
      </c>
      <c r="R57" s="11">
        <v>0.5</v>
      </c>
      <c r="S57" s="11">
        <v>0.5</v>
      </c>
      <c r="T57" s="9" t="s">
        <v>25</v>
      </c>
      <c r="AB57" s="9" t="s">
        <v>28</v>
      </c>
      <c r="AC57" s="11">
        <v>0.05</v>
      </c>
      <c r="AD57" s="9" t="s">
        <v>2160</v>
      </c>
      <c r="AE57" s="11">
        <v>0.01</v>
      </c>
      <c r="AF57" s="11">
        <v>0.15</v>
      </c>
      <c r="AG57" s="9" t="s">
        <v>2162</v>
      </c>
      <c r="AI57" s="9" t="s">
        <v>2201</v>
      </c>
      <c r="AJ57" s="9" t="s">
        <v>25</v>
      </c>
      <c r="AL57" s="9" t="s">
        <v>2164</v>
      </c>
      <c r="AM57" s="9" t="s">
        <v>28</v>
      </c>
      <c r="AN57" s="9" t="s">
        <v>2187</v>
      </c>
      <c r="AO57" s="9" t="s">
        <v>2202</v>
      </c>
      <c r="AP57" s="9" t="s">
        <v>2166</v>
      </c>
      <c r="AQ57" s="9" t="s">
        <v>25</v>
      </c>
      <c r="AS57" s="9" t="s">
        <v>2167</v>
      </c>
      <c r="AT57" s="9" t="s">
        <v>25</v>
      </c>
      <c r="AV57" s="9" t="s">
        <v>28</v>
      </c>
      <c r="AW57" s="9" t="s">
        <v>28</v>
      </c>
      <c r="AX57" s="9" t="s">
        <v>28</v>
      </c>
      <c r="AY57" s="9" t="s">
        <v>28</v>
      </c>
      <c r="AZ57" s="9" t="s">
        <v>28</v>
      </c>
      <c r="BA57" s="9" t="s">
        <v>2345</v>
      </c>
      <c r="BB57" s="39">
        <v>5000</v>
      </c>
      <c r="BC57" s="9" t="s">
        <v>2212</v>
      </c>
      <c r="BD57" s="9" t="s">
        <v>2169</v>
      </c>
      <c r="BE57" s="9" t="s">
        <v>2170</v>
      </c>
      <c r="BF57" s="9" t="s">
        <v>2171</v>
      </c>
      <c r="BS57" s="9" t="s">
        <v>25</v>
      </c>
      <c r="BT57" s="9" t="s">
        <v>28</v>
      </c>
      <c r="BU57" s="9" t="s">
        <v>2287</v>
      </c>
      <c r="BW57" s="9" t="s">
        <v>2191</v>
      </c>
      <c r="BX57" s="9" t="s">
        <v>732</v>
      </c>
      <c r="BY57" s="9" t="s">
        <v>115</v>
      </c>
      <c r="BZ57" s="9" t="s">
        <v>732</v>
      </c>
      <c r="CA57" s="9" t="s">
        <v>732</v>
      </c>
      <c r="CB57" s="9" t="s">
        <v>2191</v>
      </c>
      <c r="CC57" s="9" t="s">
        <v>2296</v>
      </c>
      <c r="CD57" s="9" t="s">
        <v>115</v>
      </c>
      <c r="CE57" s="9" t="s">
        <v>28</v>
      </c>
      <c r="CF57" s="9">
        <v>1</v>
      </c>
      <c r="CG57" s="9" t="s">
        <v>2192</v>
      </c>
      <c r="CH57" s="9" t="s">
        <v>13942</v>
      </c>
      <c r="CI57" s="9" t="s">
        <v>2346</v>
      </c>
      <c r="CM57" s="9">
        <v>1</v>
      </c>
      <c r="DA57" s="9">
        <v>1</v>
      </c>
      <c r="DC57" s="9">
        <v>1</v>
      </c>
      <c r="DE57" s="9">
        <v>1</v>
      </c>
      <c r="DF57" s="9">
        <v>1</v>
      </c>
      <c r="DG57" s="9">
        <v>1</v>
      </c>
      <c r="DI57" s="9">
        <v>1</v>
      </c>
      <c r="DN57" s="9">
        <v>1</v>
      </c>
      <c r="DT57" s="9">
        <v>12</v>
      </c>
      <c r="DZ57" s="9" t="s">
        <v>28</v>
      </c>
      <c r="EA57" s="9" t="s">
        <v>25</v>
      </c>
      <c r="EQ57" s="9" t="s">
        <v>28</v>
      </c>
      <c r="ER57" s="9" t="s">
        <v>2169</v>
      </c>
      <c r="ES57" s="9" t="s">
        <v>28</v>
      </c>
      <c r="ET57" s="9" t="s">
        <v>28</v>
      </c>
      <c r="EU57" s="9" t="s">
        <v>28</v>
      </c>
      <c r="EV57" s="9" t="s">
        <v>28</v>
      </c>
      <c r="EW57" s="9" t="s">
        <v>28</v>
      </c>
      <c r="EX57" s="9" t="s">
        <v>28</v>
      </c>
      <c r="EY57" s="9" t="s">
        <v>25</v>
      </c>
      <c r="GR57" s="9" t="s">
        <v>28</v>
      </c>
      <c r="GS57" s="9" t="s">
        <v>28</v>
      </c>
      <c r="GT57" s="9" t="s">
        <v>25</v>
      </c>
      <c r="GU57" s="9" t="s">
        <v>28</v>
      </c>
      <c r="GV57" s="9" t="s">
        <v>25</v>
      </c>
      <c r="GW57" s="9" t="s">
        <v>25</v>
      </c>
      <c r="GX57" s="9" t="s">
        <v>41</v>
      </c>
      <c r="GY57" s="9" t="s">
        <v>41</v>
      </c>
      <c r="GZ57" s="9" t="s">
        <v>41</v>
      </c>
      <c r="HC57" s="9" t="s">
        <v>41</v>
      </c>
    </row>
    <row r="58" spans="1:212" ht="51" x14ac:dyDescent="0.2">
      <c r="A58" s="8" t="s">
        <v>149</v>
      </c>
      <c r="B58" s="9" t="s">
        <v>2218</v>
      </c>
      <c r="C58" s="9" t="s">
        <v>25</v>
      </c>
      <c r="E58" s="9" t="s">
        <v>28</v>
      </c>
      <c r="F58" s="9" t="s">
        <v>2200</v>
      </c>
      <c r="G58" s="9" t="s">
        <v>2185</v>
      </c>
      <c r="H58" s="11">
        <v>0.65</v>
      </c>
      <c r="I58" s="11">
        <v>0.65</v>
      </c>
      <c r="J58" s="11">
        <v>0.98</v>
      </c>
      <c r="K58" s="11">
        <v>0.93</v>
      </c>
      <c r="L58" s="11">
        <v>0.94</v>
      </c>
      <c r="M58" s="11">
        <v>0.08</v>
      </c>
      <c r="N58" s="11">
        <v>0.1</v>
      </c>
      <c r="O58" s="11">
        <v>0.09</v>
      </c>
      <c r="P58" s="9" t="s">
        <v>28</v>
      </c>
      <c r="Q58" s="11">
        <v>0.14000000000000001</v>
      </c>
      <c r="R58" s="11">
        <v>0.65</v>
      </c>
      <c r="S58" s="11">
        <v>0.65</v>
      </c>
      <c r="T58" s="9" t="s">
        <v>28</v>
      </c>
      <c r="U58" s="9" t="s">
        <v>28</v>
      </c>
      <c r="V58" s="39">
        <v>28750</v>
      </c>
      <c r="W58" s="9" t="s">
        <v>25</v>
      </c>
      <c r="Y58" s="11">
        <v>0.16</v>
      </c>
      <c r="Z58" s="11">
        <v>0.65</v>
      </c>
      <c r="AA58" s="11">
        <v>0.65</v>
      </c>
      <c r="AB58" s="9" t="s">
        <v>25</v>
      </c>
      <c r="AD58" s="9" t="s">
        <v>2256</v>
      </c>
      <c r="AE58" s="9" t="s">
        <v>2248</v>
      </c>
      <c r="AF58" s="11">
        <v>0.04</v>
      </c>
      <c r="AG58" s="9" t="s">
        <v>2162</v>
      </c>
      <c r="AI58" s="9" t="s">
        <v>2201</v>
      </c>
      <c r="AJ58" s="9" t="s">
        <v>28</v>
      </c>
      <c r="AK58" s="9" t="s">
        <v>28</v>
      </c>
      <c r="AL58" s="9" t="s">
        <v>2164</v>
      </c>
      <c r="AM58" s="9" t="s">
        <v>25</v>
      </c>
      <c r="AN58" s="9" t="s">
        <v>25</v>
      </c>
      <c r="AO58" s="9" t="s">
        <v>2219</v>
      </c>
      <c r="AP58" s="9" t="s">
        <v>2188</v>
      </c>
      <c r="AQ58" s="9" t="s">
        <v>28</v>
      </c>
      <c r="AR58" s="9" t="s">
        <v>2355</v>
      </c>
      <c r="AS58" s="9" t="s">
        <v>2230</v>
      </c>
      <c r="AT58" s="9" t="s">
        <v>25</v>
      </c>
      <c r="AV58" s="9" t="s">
        <v>28</v>
      </c>
      <c r="AW58" s="9" t="s">
        <v>25</v>
      </c>
      <c r="AX58" s="9" t="s">
        <v>28</v>
      </c>
      <c r="AY58" s="9" t="s">
        <v>25</v>
      </c>
      <c r="AZ58" s="9" t="s">
        <v>25</v>
      </c>
      <c r="BA58" s="9" t="s">
        <v>2356</v>
      </c>
      <c r="BB58" s="39">
        <v>9750</v>
      </c>
      <c r="BC58" s="9" t="s">
        <v>13912</v>
      </c>
      <c r="BD58" s="9" t="s">
        <v>25</v>
      </c>
      <c r="BF58" s="9" t="s">
        <v>2171</v>
      </c>
      <c r="BS58" s="9" t="s">
        <v>25</v>
      </c>
      <c r="BT58" s="9" t="s">
        <v>25</v>
      </c>
      <c r="BV58" s="11">
        <v>0.18</v>
      </c>
      <c r="BW58" s="9" t="s">
        <v>115</v>
      </c>
      <c r="BX58" s="9" t="s">
        <v>115</v>
      </c>
      <c r="BY58" s="9" t="s">
        <v>115</v>
      </c>
      <c r="BZ58" s="9" t="s">
        <v>732</v>
      </c>
      <c r="CA58" s="9" t="s">
        <v>732</v>
      </c>
      <c r="CB58" s="9" t="s">
        <v>732</v>
      </c>
      <c r="CC58" s="9" t="s">
        <v>732</v>
      </c>
      <c r="CD58" s="9" t="s">
        <v>2191</v>
      </c>
      <c r="CE58" s="9" t="s">
        <v>28</v>
      </c>
      <c r="CF58" s="9">
        <v>2</v>
      </c>
      <c r="CG58" s="9" t="s">
        <v>2192</v>
      </c>
      <c r="CH58" s="9" t="s">
        <v>2343</v>
      </c>
      <c r="CI58" s="9" t="s">
        <v>2344</v>
      </c>
      <c r="CJ58" s="9">
        <v>8</v>
      </c>
      <c r="CK58" s="9">
        <v>5</v>
      </c>
      <c r="CL58" s="9">
        <v>1</v>
      </c>
      <c r="CO58" s="9">
        <v>1</v>
      </c>
      <c r="CP58" s="9">
        <v>1</v>
      </c>
      <c r="CR58" s="9">
        <v>1</v>
      </c>
      <c r="CZ58" s="9">
        <v>1</v>
      </c>
      <c r="DA58" s="9">
        <v>1</v>
      </c>
      <c r="DB58" s="9">
        <v>1</v>
      </c>
      <c r="DE58" s="9">
        <v>1</v>
      </c>
      <c r="DF58" s="9">
        <v>1</v>
      </c>
      <c r="DI58" s="9">
        <v>1</v>
      </c>
      <c r="DM58" s="9">
        <v>1</v>
      </c>
      <c r="DN58" s="9">
        <v>1</v>
      </c>
      <c r="DT58" s="9">
        <v>1</v>
      </c>
      <c r="DY58" s="9">
        <v>1</v>
      </c>
      <c r="DZ58" s="9" t="s">
        <v>28</v>
      </c>
      <c r="EA58" s="9" t="s">
        <v>28</v>
      </c>
      <c r="EB58" s="9" t="s">
        <v>28</v>
      </c>
      <c r="EC58" s="9" t="s">
        <v>28</v>
      </c>
      <c r="ED58" s="9" t="s">
        <v>25</v>
      </c>
      <c r="EE58" s="9" t="s">
        <v>25</v>
      </c>
      <c r="EF58" s="9" t="s">
        <v>25</v>
      </c>
      <c r="EG58" s="9" t="s">
        <v>28</v>
      </c>
      <c r="EH58" s="9" t="s">
        <v>28</v>
      </c>
      <c r="EI58" s="9" t="s">
        <v>25</v>
      </c>
      <c r="EJ58" s="9" t="s">
        <v>25</v>
      </c>
      <c r="EK58" s="9" t="s">
        <v>25</v>
      </c>
      <c r="EL58" s="9" t="s">
        <v>25</v>
      </c>
      <c r="EM58" s="9" t="s">
        <v>25</v>
      </c>
      <c r="EN58" s="9" t="s">
        <v>25</v>
      </c>
      <c r="EO58" s="9" t="s">
        <v>25</v>
      </c>
      <c r="EQ58" s="9" t="s">
        <v>28</v>
      </c>
      <c r="ER58" s="9" t="s">
        <v>2169</v>
      </c>
      <c r="ES58" s="9" t="s">
        <v>28</v>
      </c>
      <c r="ET58" s="9" t="s">
        <v>28</v>
      </c>
      <c r="EU58" s="9" t="s">
        <v>28</v>
      </c>
      <c r="EV58" s="9" t="s">
        <v>28</v>
      </c>
      <c r="EW58" s="9" t="s">
        <v>28</v>
      </c>
      <c r="EX58" s="9" t="s">
        <v>25</v>
      </c>
      <c r="EY58" s="9" t="s">
        <v>28</v>
      </c>
      <c r="EZ58" s="9" t="s">
        <v>2175</v>
      </c>
      <c r="FB58" s="9" t="s">
        <v>2214</v>
      </c>
      <c r="FD58" s="9" t="s">
        <v>25</v>
      </c>
      <c r="FE58" s="9" t="s">
        <v>253</v>
      </c>
      <c r="FF58" s="9" t="s">
        <v>25</v>
      </c>
      <c r="FH58" s="9" t="s">
        <v>28</v>
      </c>
      <c r="FI58" s="9" t="s">
        <v>2177</v>
      </c>
      <c r="FJ58" s="11">
        <v>0.75</v>
      </c>
      <c r="FK58" s="11">
        <v>1</v>
      </c>
      <c r="FM58" s="11">
        <v>0.9</v>
      </c>
      <c r="FW58" s="9" t="s">
        <v>25</v>
      </c>
      <c r="GC58" s="9" t="s">
        <v>25</v>
      </c>
      <c r="GD58" s="9" t="s">
        <v>25</v>
      </c>
      <c r="GE58" s="63" t="s">
        <v>13162</v>
      </c>
      <c r="GF58" s="9" t="s">
        <v>2181</v>
      </c>
      <c r="GG58" s="9" t="s">
        <v>2183</v>
      </c>
      <c r="GH58" s="9" t="s">
        <v>635</v>
      </c>
      <c r="GI58" s="9" t="s">
        <v>2182</v>
      </c>
      <c r="GJ58" s="9" t="s">
        <v>2182</v>
      </c>
      <c r="GK58" s="9">
        <v>15</v>
      </c>
      <c r="GM58" s="9" t="s">
        <v>635</v>
      </c>
      <c r="GO58" s="9" t="s">
        <v>2197</v>
      </c>
      <c r="GP58" s="9" t="s">
        <v>700</v>
      </c>
      <c r="GQ58" s="9" t="s">
        <v>2229</v>
      </c>
      <c r="GR58" s="9" t="s">
        <v>28</v>
      </c>
      <c r="GS58" s="9" t="s">
        <v>28</v>
      </c>
      <c r="GT58" s="9" t="s">
        <v>25</v>
      </c>
      <c r="GU58" s="9" t="s">
        <v>28</v>
      </c>
      <c r="GV58" s="9" t="s">
        <v>25</v>
      </c>
      <c r="GW58" s="9" t="s">
        <v>25</v>
      </c>
      <c r="GX58" s="9" t="s">
        <v>25</v>
      </c>
      <c r="GY58" s="9" t="s">
        <v>25</v>
      </c>
      <c r="GZ58" s="9" t="s">
        <v>25</v>
      </c>
      <c r="HC58" s="9" t="s">
        <v>25</v>
      </c>
    </row>
    <row r="59" spans="1:212" ht="51" x14ac:dyDescent="0.2">
      <c r="A59" s="8" t="s">
        <v>145</v>
      </c>
      <c r="B59" s="9" t="s">
        <v>2218</v>
      </c>
      <c r="C59" s="9" t="s">
        <v>25</v>
      </c>
      <c r="E59" s="9" t="s">
        <v>28</v>
      </c>
      <c r="F59" s="9" t="s">
        <v>2200</v>
      </c>
      <c r="G59" s="9" t="s">
        <v>2185</v>
      </c>
      <c r="H59" s="11">
        <v>0.65</v>
      </c>
      <c r="I59" s="11">
        <v>0.65</v>
      </c>
      <c r="J59" s="11">
        <v>0.98</v>
      </c>
      <c r="K59" s="11">
        <v>0.93</v>
      </c>
      <c r="L59" s="11">
        <v>0.94</v>
      </c>
      <c r="M59" s="11">
        <v>0.08</v>
      </c>
      <c r="N59" s="11">
        <v>0.1</v>
      </c>
      <c r="O59" s="11">
        <v>0.09</v>
      </c>
      <c r="P59" s="9" t="s">
        <v>28</v>
      </c>
      <c r="Q59" s="11">
        <v>0.14000000000000001</v>
      </c>
      <c r="R59" s="11">
        <v>0.65</v>
      </c>
      <c r="S59" s="11">
        <v>0.65</v>
      </c>
      <c r="T59" s="9" t="s">
        <v>28</v>
      </c>
      <c r="U59" s="9" t="s">
        <v>28</v>
      </c>
      <c r="V59" s="39">
        <v>28750</v>
      </c>
      <c r="W59" s="9" t="s">
        <v>25</v>
      </c>
      <c r="Y59" s="11">
        <v>0.16</v>
      </c>
      <c r="Z59" s="11">
        <v>0.65</v>
      </c>
      <c r="AA59" s="11">
        <v>0.65</v>
      </c>
      <c r="AB59" s="9" t="s">
        <v>25</v>
      </c>
      <c r="AC59" s="11">
        <v>0.03</v>
      </c>
      <c r="AD59" s="9" t="s">
        <v>2256</v>
      </c>
      <c r="AE59" s="9" t="s">
        <v>2248</v>
      </c>
      <c r="AF59" s="11">
        <v>0.04</v>
      </c>
      <c r="AG59" s="9" t="s">
        <v>2162</v>
      </c>
      <c r="AI59" s="9" t="s">
        <v>2201</v>
      </c>
      <c r="AJ59" s="9" t="s">
        <v>28</v>
      </c>
      <c r="AK59" s="9" t="s">
        <v>28</v>
      </c>
      <c r="AL59" s="9" t="s">
        <v>2164</v>
      </c>
      <c r="AM59" s="9" t="s">
        <v>25</v>
      </c>
      <c r="AN59" s="9" t="s">
        <v>25</v>
      </c>
      <c r="AO59" s="9" t="s">
        <v>2219</v>
      </c>
      <c r="AP59" s="9" t="s">
        <v>2188</v>
      </c>
      <c r="AQ59" s="9" t="s">
        <v>25</v>
      </c>
      <c r="AS59" s="9" t="s">
        <v>2230</v>
      </c>
      <c r="AT59" s="9" t="s">
        <v>25</v>
      </c>
      <c r="AV59" s="9" t="s">
        <v>28</v>
      </c>
      <c r="AW59" s="9" t="s">
        <v>25</v>
      </c>
      <c r="AX59" s="9" t="s">
        <v>28</v>
      </c>
      <c r="AY59" s="9" t="s">
        <v>25</v>
      </c>
      <c r="AZ59" s="9" t="s">
        <v>25</v>
      </c>
      <c r="BA59" s="9" t="s">
        <v>2342</v>
      </c>
      <c r="BB59" s="39">
        <v>9750</v>
      </c>
      <c r="BC59" s="9" t="s">
        <v>13912</v>
      </c>
      <c r="BD59" s="9" t="s">
        <v>25</v>
      </c>
      <c r="BF59" s="9" t="s">
        <v>2171</v>
      </c>
      <c r="BS59" s="9" t="s">
        <v>25</v>
      </c>
      <c r="BT59" s="9" t="s">
        <v>25</v>
      </c>
      <c r="BV59" s="11">
        <v>0.18</v>
      </c>
      <c r="BW59" s="9" t="s">
        <v>115</v>
      </c>
      <c r="BX59" s="9" t="s">
        <v>115</v>
      </c>
      <c r="BY59" s="9" t="s">
        <v>115</v>
      </c>
      <c r="BZ59" s="9" t="s">
        <v>732</v>
      </c>
      <c r="CA59" s="9" t="s">
        <v>732</v>
      </c>
      <c r="CB59" s="9" t="s">
        <v>732</v>
      </c>
      <c r="CC59" s="9" t="s">
        <v>732</v>
      </c>
      <c r="CD59" s="9" t="s">
        <v>2191</v>
      </c>
      <c r="CE59" s="9" t="s">
        <v>28</v>
      </c>
      <c r="CF59" s="9">
        <v>2</v>
      </c>
      <c r="CG59" s="9" t="s">
        <v>2192</v>
      </c>
      <c r="CH59" s="9" t="s">
        <v>2343</v>
      </c>
      <c r="CI59" s="9" t="s">
        <v>2344</v>
      </c>
      <c r="CJ59" s="9">
        <v>8</v>
      </c>
      <c r="CK59" s="9">
        <v>5</v>
      </c>
      <c r="CL59" s="9">
        <v>1</v>
      </c>
      <c r="CO59" s="9">
        <v>1</v>
      </c>
      <c r="CP59" s="9">
        <v>1</v>
      </c>
      <c r="CR59" s="9">
        <v>1</v>
      </c>
      <c r="CZ59" s="9">
        <v>1</v>
      </c>
      <c r="DA59" s="9">
        <v>1</v>
      </c>
      <c r="DB59" s="9">
        <v>1</v>
      </c>
      <c r="DE59" s="9">
        <v>1</v>
      </c>
      <c r="DF59" s="9">
        <v>1</v>
      </c>
      <c r="DI59" s="9">
        <v>1</v>
      </c>
      <c r="DM59" s="9">
        <v>1</v>
      </c>
      <c r="DN59" s="9">
        <v>1</v>
      </c>
      <c r="DT59" s="9">
        <v>1</v>
      </c>
      <c r="DY59" s="9">
        <v>1</v>
      </c>
      <c r="DZ59" s="9" t="s">
        <v>28</v>
      </c>
      <c r="EA59" s="9" t="s">
        <v>28</v>
      </c>
      <c r="EB59" s="9" t="s">
        <v>28</v>
      </c>
      <c r="EC59" s="9" t="s">
        <v>28</v>
      </c>
      <c r="ED59" s="9" t="s">
        <v>25</v>
      </c>
      <c r="EE59" s="9" t="s">
        <v>25</v>
      </c>
      <c r="EF59" s="9" t="s">
        <v>25</v>
      </c>
      <c r="EG59" s="9" t="s">
        <v>28</v>
      </c>
      <c r="EH59" s="9" t="s">
        <v>28</v>
      </c>
      <c r="EI59" s="9" t="s">
        <v>25</v>
      </c>
      <c r="EJ59" s="9" t="s">
        <v>25</v>
      </c>
      <c r="EK59" s="9" t="s">
        <v>25</v>
      </c>
      <c r="EL59" s="9" t="s">
        <v>25</v>
      </c>
      <c r="EM59" s="9" t="s">
        <v>25</v>
      </c>
      <c r="EN59" s="9" t="s">
        <v>25</v>
      </c>
      <c r="EO59" s="9" t="s">
        <v>25</v>
      </c>
      <c r="EQ59" s="9" t="s">
        <v>28</v>
      </c>
      <c r="ER59" s="9" t="s">
        <v>2169</v>
      </c>
      <c r="ES59" s="9" t="s">
        <v>28</v>
      </c>
      <c r="ET59" s="9" t="s">
        <v>28</v>
      </c>
      <c r="EU59" s="9" t="s">
        <v>28</v>
      </c>
      <c r="EV59" s="9" t="s">
        <v>28</v>
      </c>
      <c r="EW59" s="9" t="s">
        <v>28</v>
      </c>
      <c r="EX59" s="9" t="s">
        <v>25</v>
      </c>
      <c r="EY59" s="9" t="s">
        <v>25</v>
      </c>
      <c r="GR59" s="9" t="s">
        <v>28</v>
      </c>
      <c r="GS59" s="9" t="s">
        <v>28</v>
      </c>
      <c r="GT59" s="9" t="s">
        <v>25</v>
      </c>
      <c r="GU59" s="9" t="s">
        <v>28</v>
      </c>
      <c r="GV59" s="9" t="s">
        <v>25</v>
      </c>
      <c r="GW59" s="9" t="s">
        <v>25</v>
      </c>
      <c r="GX59" s="9" t="s">
        <v>25</v>
      </c>
      <c r="GY59" s="9" t="s">
        <v>25</v>
      </c>
      <c r="GZ59" s="9" t="s">
        <v>25</v>
      </c>
      <c r="HC59" s="9" t="s">
        <v>25</v>
      </c>
    </row>
    <row r="60" spans="1:212" ht="51" x14ac:dyDescent="0.2">
      <c r="A60" s="8" t="s">
        <v>141</v>
      </c>
      <c r="B60" s="9" t="s">
        <v>2158</v>
      </c>
      <c r="C60" s="9" t="s">
        <v>25</v>
      </c>
      <c r="E60" s="9" t="s">
        <v>25</v>
      </c>
      <c r="G60" s="9" t="s">
        <v>2185</v>
      </c>
      <c r="H60" s="11">
        <v>0.5</v>
      </c>
      <c r="I60" s="11">
        <v>0.25</v>
      </c>
      <c r="J60" s="11">
        <v>0.09</v>
      </c>
      <c r="K60" s="11">
        <v>0.94</v>
      </c>
      <c r="L60" s="11">
        <v>0.95</v>
      </c>
      <c r="M60" s="11">
        <v>0.08</v>
      </c>
      <c r="N60" s="11">
        <v>7.0000000000000007E-2</v>
      </c>
      <c r="O60" s="11">
        <v>7.0000000000000007E-2</v>
      </c>
      <c r="P60" s="9" t="s">
        <v>28</v>
      </c>
      <c r="Q60" s="11">
        <v>0.13</v>
      </c>
      <c r="R60" s="11">
        <v>0.5</v>
      </c>
      <c r="S60" s="11">
        <v>0.5</v>
      </c>
      <c r="T60" s="9" t="s">
        <v>28</v>
      </c>
      <c r="U60" s="9" t="s">
        <v>28</v>
      </c>
      <c r="V60" s="39">
        <v>20000</v>
      </c>
      <c r="W60" s="9" t="s">
        <v>25</v>
      </c>
      <c r="Y60" s="11">
        <v>0.02</v>
      </c>
      <c r="AB60" s="9" t="s">
        <v>28</v>
      </c>
      <c r="AC60" s="11">
        <v>0.04</v>
      </c>
      <c r="AD60" s="9" t="s">
        <v>2256</v>
      </c>
      <c r="AE60" s="9" t="s">
        <v>2248</v>
      </c>
      <c r="AF60" s="11">
        <v>0.01</v>
      </c>
      <c r="AG60" s="9" t="s">
        <v>2162</v>
      </c>
      <c r="AI60" s="9" t="s">
        <v>2201</v>
      </c>
      <c r="AJ60" s="9" t="s">
        <v>28</v>
      </c>
      <c r="AK60" s="9" t="s">
        <v>28</v>
      </c>
      <c r="AL60" s="9" t="s">
        <v>2186</v>
      </c>
      <c r="AN60" s="9" t="s">
        <v>25</v>
      </c>
      <c r="AO60" s="9" t="s">
        <v>2165</v>
      </c>
      <c r="AP60" s="9" t="s">
        <v>2166</v>
      </c>
      <c r="AS60" s="9" t="s">
        <v>2167</v>
      </c>
      <c r="AT60" s="9" t="s">
        <v>25</v>
      </c>
      <c r="BA60" s="9" t="s">
        <v>2319</v>
      </c>
      <c r="BB60" s="39">
        <v>15100</v>
      </c>
      <c r="BC60" s="9" t="s">
        <v>2320</v>
      </c>
      <c r="BD60" s="9" t="s">
        <v>25</v>
      </c>
      <c r="BF60" s="9" t="s">
        <v>2171</v>
      </c>
      <c r="BS60" s="9" t="s">
        <v>25</v>
      </c>
      <c r="BT60" s="9" t="s">
        <v>25</v>
      </c>
      <c r="BV60" s="11">
        <v>0.01</v>
      </c>
      <c r="BW60" s="9" t="s">
        <v>2191</v>
      </c>
      <c r="BX60" s="9" t="s">
        <v>29</v>
      </c>
      <c r="BY60" s="9" t="s">
        <v>115</v>
      </c>
      <c r="BZ60" s="9" t="s">
        <v>732</v>
      </c>
      <c r="CA60" s="9" t="s">
        <v>732</v>
      </c>
      <c r="CB60" s="9" t="s">
        <v>732</v>
      </c>
      <c r="CC60" s="9" t="s">
        <v>732</v>
      </c>
      <c r="CD60" s="9" t="s">
        <v>2228</v>
      </c>
      <c r="CE60" s="9" t="s">
        <v>28</v>
      </c>
      <c r="CF60" s="9">
        <v>2</v>
      </c>
      <c r="CG60" s="9" t="s">
        <v>2172</v>
      </c>
      <c r="CH60" s="9" t="s">
        <v>2321</v>
      </c>
      <c r="CI60" s="9" t="s">
        <v>2322</v>
      </c>
      <c r="CJ60" s="9">
        <v>17</v>
      </c>
      <c r="CK60" s="9">
        <v>3</v>
      </c>
      <c r="CM60" s="9">
        <v>1</v>
      </c>
      <c r="CO60" s="9">
        <v>1</v>
      </c>
      <c r="CP60" s="9">
        <v>1</v>
      </c>
      <c r="CZ60" s="9">
        <v>1</v>
      </c>
      <c r="DA60" s="9">
        <v>1</v>
      </c>
      <c r="DB60" s="9">
        <v>1</v>
      </c>
      <c r="DG60" s="9">
        <v>2</v>
      </c>
      <c r="DN60" s="9">
        <v>1</v>
      </c>
      <c r="DT60" s="9">
        <v>12</v>
      </c>
      <c r="DZ60" s="9" t="s">
        <v>25</v>
      </c>
      <c r="EA60" s="9" t="s">
        <v>25</v>
      </c>
      <c r="EQ60" s="9" t="s">
        <v>28</v>
      </c>
      <c r="ER60" s="9" t="s">
        <v>2169</v>
      </c>
      <c r="ES60" s="9" t="s">
        <v>41</v>
      </c>
      <c r="ET60" s="9" t="s">
        <v>41</v>
      </c>
      <c r="EU60" s="9" t="s">
        <v>28</v>
      </c>
      <c r="EV60" s="9" t="s">
        <v>28</v>
      </c>
      <c r="EW60" s="9" t="s">
        <v>28</v>
      </c>
      <c r="EX60" s="9" t="s">
        <v>28</v>
      </c>
      <c r="EY60" s="9" t="s">
        <v>28</v>
      </c>
      <c r="EZ60" s="9" t="s">
        <v>2175</v>
      </c>
      <c r="FB60" s="9" t="s">
        <v>1874</v>
      </c>
      <c r="FC60" s="39">
        <v>285000</v>
      </c>
      <c r="FD60" s="9" t="s">
        <v>28</v>
      </c>
      <c r="FE60" s="9" t="s">
        <v>253</v>
      </c>
      <c r="FF60" s="9" t="s">
        <v>25</v>
      </c>
      <c r="FH60" s="9" t="s">
        <v>25</v>
      </c>
      <c r="FI60" s="9" t="s">
        <v>256</v>
      </c>
      <c r="FJ60" s="11">
        <v>1</v>
      </c>
      <c r="FK60" s="11">
        <v>0.95</v>
      </c>
      <c r="FW60" s="9" t="s">
        <v>25</v>
      </c>
      <c r="GC60" s="9" t="s">
        <v>28</v>
      </c>
      <c r="GD60" s="9" t="s">
        <v>25</v>
      </c>
      <c r="GE60" s="64" t="s">
        <v>2275</v>
      </c>
      <c r="GF60" s="9" t="s">
        <v>2181</v>
      </c>
      <c r="GG60" s="9" t="s">
        <v>2323</v>
      </c>
      <c r="GH60" s="9" t="s">
        <v>2323</v>
      </c>
      <c r="GI60" s="9" t="s">
        <v>2323</v>
      </c>
      <c r="GJ60" s="9" t="s">
        <v>2323</v>
      </c>
      <c r="GK60" s="9">
        <v>15</v>
      </c>
      <c r="GM60" s="9" t="s">
        <v>635</v>
      </c>
      <c r="GQ60" s="9" t="s">
        <v>2229</v>
      </c>
      <c r="GR60" s="9" t="s">
        <v>25</v>
      </c>
      <c r="GW60" s="9" t="s">
        <v>25</v>
      </c>
      <c r="GX60" s="9" t="s">
        <v>25</v>
      </c>
      <c r="GY60" s="9" t="s">
        <v>25</v>
      </c>
      <c r="GZ60" s="9" t="s">
        <v>28</v>
      </c>
      <c r="HC60" s="9" t="s">
        <v>25</v>
      </c>
    </row>
    <row r="61" spans="1:212" ht="51" x14ac:dyDescent="0.2">
      <c r="A61" s="8" t="s">
        <v>132</v>
      </c>
      <c r="B61" s="9" t="s">
        <v>2158</v>
      </c>
      <c r="C61" s="9" t="s">
        <v>25</v>
      </c>
      <c r="E61" s="9" t="s">
        <v>25</v>
      </c>
      <c r="G61" s="9" t="s">
        <v>2159</v>
      </c>
      <c r="H61" s="11">
        <v>0.5</v>
      </c>
      <c r="I61" s="11">
        <v>0.5</v>
      </c>
      <c r="J61" s="11">
        <v>0.92</v>
      </c>
      <c r="K61" s="11">
        <v>0.89</v>
      </c>
      <c r="L61" s="11">
        <v>0.92</v>
      </c>
      <c r="M61" s="11">
        <v>0.06</v>
      </c>
      <c r="N61" s="11">
        <v>0.06</v>
      </c>
      <c r="O61" s="11">
        <v>0.09</v>
      </c>
      <c r="P61" s="9" t="s">
        <v>28</v>
      </c>
      <c r="Q61" s="11">
        <v>0.23</v>
      </c>
      <c r="R61" s="11">
        <v>0.5</v>
      </c>
      <c r="S61" s="11">
        <v>0.5</v>
      </c>
      <c r="T61" s="9" t="s">
        <v>28</v>
      </c>
      <c r="U61" s="9" t="s">
        <v>25</v>
      </c>
      <c r="W61" s="9" t="s">
        <v>28</v>
      </c>
      <c r="X61" s="9" t="s">
        <v>2271</v>
      </c>
      <c r="Y61" s="11">
        <v>0.03</v>
      </c>
      <c r="Z61" s="11">
        <v>0.5</v>
      </c>
      <c r="AA61" s="11">
        <v>0.5</v>
      </c>
      <c r="AB61" s="9" t="s">
        <v>28</v>
      </c>
      <c r="AC61" s="11">
        <v>0.06</v>
      </c>
      <c r="AD61" s="9" t="s">
        <v>2256</v>
      </c>
      <c r="AE61" s="9" t="s">
        <v>2248</v>
      </c>
      <c r="AF61" s="9" t="s">
        <v>2161</v>
      </c>
      <c r="AG61" s="9" t="s">
        <v>2162</v>
      </c>
      <c r="AI61" s="9" t="s">
        <v>2163</v>
      </c>
      <c r="AJ61" s="9" t="s">
        <v>28</v>
      </c>
      <c r="AK61" s="9" t="s">
        <v>28</v>
      </c>
      <c r="AL61" s="9" t="s">
        <v>2164</v>
      </c>
      <c r="AM61" s="9" t="s">
        <v>25</v>
      </c>
      <c r="AN61" s="9" t="s">
        <v>25</v>
      </c>
      <c r="AO61" s="9" t="s">
        <v>2165</v>
      </c>
      <c r="AP61" s="9" t="s">
        <v>2188</v>
      </c>
      <c r="AQ61" s="9" t="s">
        <v>25</v>
      </c>
      <c r="AS61" s="9" t="s">
        <v>2203</v>
      </c>
      <c r="AT61" s="9" t="s">
        <v>25</v>
      </c>
      <c r="BA61" s="9" t="s">
        <v>2272</v>
      </c>
      <c r="BB61" s="39">
        <v>16800</v>
      </c>
      <c r="BC61" s="9" t="s">
        <v>13914</v>
      </c>
      <c r="BD61" s="9" t="s">
        <v>2169</v>
      </c>
      <c r="BE61" s="9" t="s">
        <v>2170</v>
      </c>
      <c r="BF61" s="9" t="s">
        <v>2171</v>
      </c>
      <c r="BS61" s="9" t="s">
        <v>25</v>
      </c>
      <c r="BT61" s="9" t="s">
        <v>28</v>
      </c>
      <c r="BU61" s="9" t="s">
        <v>2222</v>
      </c>
      <c r="BV61" s="11">
        <v>0.26</v>
      </c>
      <c r="BW61" s="9" t="s">
        <v>115</v>
      </c>
      <c r="BX61" s="9" t="s">
        <v>732</v>
      </c>
      <c r="BY61" s="9" t="s">
        <v>2191</v>
      </c>
      <c r="BZ61" s="9" t="s">
        <v>732</v>
      </c>
      <c r="CA61" s="9" t="s">
        <v>732</v>
      </c>
      <c r="CB61" s="9" t="s">
        <v>732</v>
      </c>
      <c r="CC61" s="9" t="s">
        <v>2228</v>
      </c>
      <c r="CD61" s="9" t="s">
        <v>2228</v>
      </c>
      <c r="CE61" s="9" t="s">
        <v>28</v>
      </c>
      <c r="CF61" s="9">
        <v>1</v>
      </c>
      <c r="CG61" s="9" t="s">
        <v>2192</v>
      </c>
      <c r="CH61" s="9" t="s">
        <v>2273</v>
      </c>
      <c r="CM61" s="9">
        <v>1</v>
      </c>
      <c r="CO61" s="9">
        <v>1</v>
      </c>
      <c r="CP61" s="9">
        <v>1</v>
      </c>
      <c r="CY61" s="9">
        <v>1</v>
      </c>
      <c r="CZ61" s="9">
        <v>1</v>
      </c>
      <c r="DB61" s="9">
        <v>1</v>
      </c>
      <c r="DD61" s="9">
        <v>1</v>
      </c>
      <c r="DF61" s="9">
        <v>1</v>
      </c>
      <c r="DI61" s="9">
        <v>1</v>
      </c>
      <c r="DJ61" s="9">
        <v>1</v>
      </c>
      <c r="DL61" s="9">
        <v>1</v>
      </c>
      <c r="DM61" s="9">
        <v>1</v>
      </c>
      <c r="DT61" s="9">
        <v>12</v>
      </c>
      <c r="DZ61" s="9" t="s">
        <v>25</v>
      </c>
      <c r="EA61" s="9" t="s">
        <v>28</v>
      </c>
      <c r="EB61" s="9" t="s">
        <v>28</v>
      </c>
      <c r="EC61" s="9" t="s">
        <v>25</v>
      </c>
      <c r="ED61" s="9" t="s">
        <v>25</v>
      </c>
      <c r="EE61" s="9" t="s">
        <v>25</v>
      </c>
      <c r="EF61" s="9" t="s">
        <v>28</v>
      </c>
      <c r="EG61" s="9" t="s">
        <v>25</v>
      </c>
      <c r="EH61" s="9" t="s">
        <v>25</v>
      </c>
      <c r="EI61" s="9" t="s">
        <v>25</v>
      </c>
      <c r="EJ61" s="9" t="s">
        <v>25</v>
      </c>
      <c r="EK61" s="9" t="s">
        <v>28</v>
      </c>
      <c r="EL61" s="9" t="s">
        <v>25</v>
      </c>
      <c r="EM61" s="9" t="s">
        <v>25</v>
      </c>
      <c r="EN61" s="9" t="s">
        <v>28</v>
      </c>
      <c r="EO61" s="9" t="s">
        <v>25</v>
      </c>
      <c r="EQ61" s="9" t="s">
        <v>25</v>
      </c>
      <c r="ER61" s="9" t="s">
        <v>2169</v>
      </c>
      <c r="ES61" s="9" t="s">
        <v>28</v>
      </c>
      <c r="ET61" s="9" t="s">
        <v>28</v>
      </c>
      <c r="EU61" s="9" t="s">
        <v>28</v>
      </c>
      <c r="EV61" s="9" t="s">
        <v>28</v>
      </c>
      <c r="EW61" s="9" t="s">
        <v>28</v>
      </c>
      <c r="EX61" s="9" t="s">
        <v>28</v>
      </c>
      <c r="EY61" s="9" t="s">
        <v>28</v>
      </c>
      <c r="EZ61" s="9" t="s">
        <v>29</v>
      </c>
      <c r="FA61" s="9" t="s">
        <v>2274</v>
      </c>
      <c r="FB61" s="9" t="s">
        <v>2176</v>
      </c>
      <c r="FD61" s="9" t="s">
        <v>28</v>
      </c>
      <c r="FE61" s="9" t="s">
        <v>13529</v>
      </c>
      <c r="FF61" s="9" t="s">
        <v>25</v>
      </c>
      <c r="FH61" s="9" t="s">
        <v>28</v>
      </c>
      <c r="FI61" s="9" t="s">
        <v>2177</v>
      </c>
      <c r="FJ61" s="11">
        <v>0.5</v>
      </c>
      <c r="FK61" s="11">
        <v>0.75</v>
      </c>
      <c r="FL61" s="11">
        <v>0.75</v>
      </c>
      <c r="FV61" s="11">
        <v>1</v>
      </c>
      <c r="FW61" s="9" t="s">
        <v>25</v>
      </c>
      <c r="GC61" s="9" t="s">
        <v>28</v>
      </c>
      <c r="GD61" s="9" t="s">
        <v>25</v>
      </c>
      <c r="GE61" s="64" t="s">
        <v>2275</v>
      </c>
      <c r="GF61" s="9" t="s">
        <v>2181</v>
      </c>
      <c r="GG61" s="9" t="s">
        <v>2182</v>
      </c>
      <c r="GH61" s="9" t="s">
        <v>635</v>
      </c>
      <c r="GI61" s="9" t="s">
        <v>2182</v>
      </c>
      <c r="GJ61" s="9" t="s">
        <v>2182</v>
      </c>
      <c r="GK61" s="9">
        <v>10</v>
      </c>
      <c r="GM61" s="9" t="s">
        <v>635</v>
      </c>
      <c r="GQ61" s="9" t="s">
        <v>2229</v>
      </c>
      <c r="GR61" s="9" t="s">
        <v>28</v>
      </c>
      <c r="GS61" s="9" t="s">
        <v>28</v>
      </c>
      <c r="GT61" s="9" t="s">
        <v>25</v>
      </c>
      <c r="GU61" s="9" t="s">
        <v>28</v>
      </c>
      <c r="GV61" s="9" t="s">
        <v>25</v>
      </c>
      <c r="GW61" s="9" t="s">
        <v>25</v>
      </c>
      <c r="GX61" s="9" t="s">
        <v>25</v>
      </c>
      <c r="GY61" s="9" t="s">
        <v>25</v>
      </c>
      <c r="GZ61" s="9" t="s">
        <v>41</v>
      </c>
      <c r="HC61" s="9" t="s">
        <v>25</v>
      </c>
    </row>
    <row r="62" spans="1:212" ht="76.5" x14ac:dyDescent="0.2">
      <c r="A62" s="8" t="s">
        <v>136</v>
      </c>
      <c r="B62" s="9" t="s">
        <v>2158</v>
      </c>
      <c r="C62" s="9" t="s">
        <v>25</v>
      </c>
      <c r="E62" s="9" t="s">
        <v>28</v>
      </c>
      <c r="F62" s="9" t="s">
        <v>2200</v>
      </c>
      <c r="G62" s="9" t="s">
        <v>2159</v>
      </c>
      <c r="H62" s="11">
        <v>0.75</v>
      </c>
      <c r="I62" s="11">
        <v>0.75</v>
      </c>
      <c r="J62" s="11">
        <v>0.91</v>
      </c>
      <c r="K62" s="11">
        <v>0.84</v>
      </c>
      <c r="L62" s="11">
        <v>0.88</v>
      </c>
      <c r="M62" s="11">
        <v>0.08</v>
      </c>
      <c r="N62" s="11">
        <v>7.0000000000000007E-2</v>
      </c>
      <c r="O62" s="11">
        <v>0.08</v>
      </c>
      <c r="P62" s="9" t="s">
        <v>28</v>
      </c>
      <c r="Q62" s="11">
        <v>0.11</v>
      </c>
      <c r="R62" s="11">
        <v>0.75</v>
      </c>
      <c r="S62" s="11">
        <v>0.75</v>
      </c>
      <c r="T62" s="9" t="s">
        <v>28</v>
      </c>
      <c r="U62" s="9" t="s">
        <v>25</v>
      </c>
      <c r="W62" s="9" t="s">
        <v>25</v>
      </c>
      <c r="Y62" s="11">
        <v>0.02</v>
      </c>
      <c r="Z62" s="11">
        <v>0.75</v>
      </c>
      <c r="AA62" s="11">
        <v>0.75</v>
      </c>
      <c r="AB62" s="9" t="s">
        <v>25</v>
      </c>
      <c r="AD62" s="9" t="s">
        <v>2256</v>
      </c>
      <c r="AE62" s="9" t="s">
        <v>2248</v>
      </c>
      <c r="AF62" s="11">
        <v>0.05</v>
      </c>
      <c r="AG62" s="9" t="s">
        <v>2162</v>
      </c>
      <c r="AI62" s="9" t="s">
        <v>2163</v>
      </c>
      <c r="AJ62" s="9" t="s">
        <v>28</v>
      </c>
      <c r="AK62" s="9" t="s">
        <v>28</v>
      </c>
      <c r="AL62" s="9" t="s">
        <v>2186</v>
      </c>
      <c r="AN62" s="9" t="s">
        <v>2187</v>
      </c>
      <c r="AO62" s="9" t="s">
        <v>2244</v>
      </c>
      <c r="AP62" s="9" t="s">
        <v>2188</v>
      </c>
      <c r="AQ62" s="9" t="s">
        <v>28</v>
      </c>
      <c r="AR62" s="9" t="s">
        <v>2294</v>
      </c>
      <c r="AS62" s="9" t="s">
        <v>2203</v>
      </c>
      <c r="AT62" s="9" t="s">
        <v>28</v>
      </c>
      <c r="AU62" s="9" t="s">
        <v>2295</v>
      </c>
      <c r="AV62" s="9" t="s">
        <v>28</v>
      </c>
      <c r="AW62" s="9" t="s">
        <v>28</v>
      </c>
      <c r="AX62" s="9" t="s">
        <v>28</v>
      </c>
      <c r="AY62" s="9" t="s">
        <v>28</v>
      </c>
      <c r="AZ62" s="9" t="s">
        <v>25</v>
      </c>
      <c r="BA62" s="9" t="s">
        <v>2295</v>
      </c>
      <c r="BB62" s="39">
        <v>17400</v>
      </c>
      <c r="BC62" s="9" t="s">
        <v>13912</v>
      </c>
      <c r="BD62" s="9" t="s">
        <v>2169</v>
      </c>
      <c r="BE62" s="9" t="s">
        <v>2170</v>
      </c>
      <c r="BF62" s="9" t="s">
        <v>2171</v>
      </c>
      <c r="BS62" s="9" t="s">
        <v>25</v>
      </c>
      <c r="BT62" s="9" t="s">
        <v>28</v>
      </c>
      <c r="BU62" s="9" t="s">
        <v>2222</v>
      </c>
      <c r="BV62" s="11">
        <v>0.04</v>
      </c>
      <c r="BW62" s="9" t="s">
        <v>2296</v>
      </c>
      <c r="BX62" s="9" t="s">
        <v>2296</v>
      </c>
      <c r="BY62" s="9" t="s">
        <v>115</v>
      </c>
      <c r="BZ62" s="9" t="s">
        <v>732</v>
      </c>
      <c r="CA62" s="9" t="s">
        <v>732</v>
      </c>
      <c r="CB62" s="9" t="s">
        <v>732</v>
      </c>
      <c r="CC62" s="9" t="s">
        <v>2296</v>
      </c>
      <c r="CD62" s="9" t="s">
        <v>732</v>
      </c>
      <c r="CE62" s="9" t="s">
        <v>28</v>
      </c>
      <c r="CF62" s="9">
        <v>2</v>
      </c>
      <c r="CG62" s="9" t="s">
        <v>2192</v>
      </c>
      <c r="CH62" s="9" t="s">
        <v>2297</v>
      </c>
      <c r="CI62" s="9" t="s">
        <v>2298</v>
      </c>
      <c r="CL62" s="9">
        <v>1</v>
      </c>
      <c r="CM62" s="9">
        <v>1</v>
      </c>
      <c r="CO62" s="9">
        <v>1</v>
      </c>
      <c r="CP62" s="9">
        <v>1</v>
      </c>
      <c r="CU62" s="9">
        <v>1</v>
      </c>
      <c r="CY62" s="9">
        <v>1</v>
      </c>
      <c r="DA62" s="9">
        <v>1</v>
      </c>
      <c r="DB62" s="9">
        <v>2</v>
      </c>
      <c r="DC62" s="9">
        <v>1</v>
      </c>
      <c r="DE62" s="9">
        <v>2</v>
      </c>
      <c r="DF62" s="9">
        <v>1</v>
      </c>
      <c r="DG62" s="9">
        <v>1</v>
      </c>
      <c r="DN62" s="9">
        <v>2</v>
      </c>
      <c r="DP62" s="9">
        <v>1</v>
      </c>
      <c r="DZ62" s="9" t="s">
        <v>28</v>
      </c>
      <c r="EA62" s="9" t="s">
        <v>28</v>
      </c>
      <c r="EB62" s="9" t="s">
        <v>25</v>
      </c>
      <c r="EC62" s="9" t="s">
        <v>25</v>
      </c>
      <c r="ED62" s="9" t="s">
        <v>25</v>
      </c>
      <c r="EE62" s="9" t="s">
        <v>25</v>
      </c>
      <c r="EF62" s="9" t="s">
        <v>25</v>
      </c>
      <c r="EG62" s="9" t="s">
        <v>25</v>
      </c>
      <c r="EH62" s="9" t="s">
        <v>25</v>
      </c>
      <c r="EI62" s="9" t="s">
        <v>25</v>
      </c>
      <c r="EJ62" s="9" t="s">
        <v>25</v>
      </c>
      <c r="EK62" s="9" t="s">
        <v>28</v>
      </c>
      <c r="EL62" s="9" t="s">
        <v>28</v>
      </c>
      <c r="EQ62" s="9" t="s">
        <v>28</v>
      </c>
      <c r="ER62" s="9" t="s">
        <v>2169</v>
      </c>
      <c r="ES62" s="9" t="s">
        <v>28</v>
      </c>
      <c r="ET62" s="9" t="s">
        <v>28</v>
      </c>
      <c r="EU62" s="9" t="s">
        <v>28</v>
      </c>
      <c r="EV62" s="9" t="s">
        <v>28</v>
      </c>
      <c r="EW62" s="9" t="s">
        <v>28</v>
      </c>
      <c r="EX62" s="9" t="s">
        <v>25</v>
      </c>
      <c r="EY62" s="9" t="s">
        <v>28</v>
      </c>
      <c r="EZ62" s="9" t="s">
        <v>2175</v>
      </c>
      <c r="FB62" s="9" t="s">
        <v>2239</v>
      </c>
      <c r="FC62" s="39">
        <v>100000</v>
      </c>
      <c r="FD62" s="9" t="s">
        <v>28</v>
      </c>
      <c r="FE62" s="9" t="s">
        <v>13527</v>
      </c>
      <c r="FF62" s="9" t="s">
        <v>25</v>
      </c>
      <c r="FH62" s="9" t="s">
        <v>25</v>
      </c>
      <c r="FI62" s="9" t="s">
        <v>256</v>
      </c>
      <c r="FJ62" s="11">
        <v>0.5</v>
      </c>
      <c r="FK62" s="11">
        <v>1</v>
      </c>
      <c r="FO62" s="11">
        <v>1</v>
      </c>
      <c r="FW62" s="9" t="s">
        <v>25</v>
      </c>
      <c r="GC62" s="9" t="s">
        <v>28</v>
      </c>
      <c r="GD62" s="9" t="s">
        <v>25</v>
      </c>
      <c r="GE62" s="63" t="s">
        <v>13162</v>
      </c>
      <c r="GF62" s="9" t="s">
        <v>2181</v>
      </c>
      <c r="GG62" s="9" t="s">
        <v>635</v>
      </c>
      <c r="GH62" s="9" t="s">
        <v>635</v>
      </c>
      <c r="GI62" s="9" t="s">
        <v>2182</v>
      </c>
      <c r="GJ62" s="9" t="s">
        <v>635</v>
      </c>
      <c r="GK62" s="9">
        <v>15</v>
      </c>
      <c r="GM62" s="9" t="s">
        <v>635</v>
      </c>
      <c r="GQ62" s="9" t="s">
        <v>2186</v>
      </c>
      <c r="GR62" s="9" t="s">
        <v>28</v>
      </c>
      <c r="GS62" s="9" t="s">
        <v>25</v>
      </c>
      <c r="GT62" s="9" t="s">
        <v>25</v>
      </c>
      <c r="GU62" s="9" t="s">
        <v>28</v>
      </c>
      <c r="GW62" s="9" t="s">
        <v>25</v>
      </c>
      <c r="GX62" s="9" t="s">
        <v>25</v>
      </c>
      <c r="GY62" s="9" t="s">
        <v>25</v>
      </c>
      <c r="GZ62" s="9" t="s">
        <v>25</v>
      </c>
      <c r="HC62" s="9" t="s">
        <v>25</v>
      </c>
    </row>
    <row r="63" spans="1:212" ht="63.75" x14ac:dyDescent="0.2">
      <c r="A63" s="8" t="s">
        <v>177</v>
      </c>
      <c r="B63" s="9" t="s">
        <v>2158</v>
      </c>
      <c r="C63" s="9" t="s">
        <v>25</v>
      </c>
      <c r="E63" s="9" t="s">
        <v>25</v>
      </c>
      <c r="G63" s="9" t="s">
        <v>2159</v>
      </c>
      <c r="H63" s="11">
        <v>0.9</v>
      </c>
      <c r="I63" s="11">
        <v>0.9</v>
      </c>
      <c r="J63" s="11">
        <v>0.96</v>
      </c>
      <c r="K63" s="11">
        <v>0.94</v>
      </c>
      <c r="L63" s="11">
        <v>0.95</v>
      </c>
      <c r="M63" s="11">
        <v>0.06</v>
      </c>
      <c r="N63" s="11">
        <v>7.0000000000000007E-2</v>
      </c>
      <c r="O63" s="11">
        <v>7.0000000000000007E-2</v>
      </c>
      <c r="P63" s="9" t="s">
        <v>28</v>
      </c>
      <c r="Q63" s="11">
        <v>0.14000000000000001</v>
      </c>
      <c r="R63" s="11">
        <v>0.9</v>
      </c>
      <c r="S63" s="11">
        <v>0.9</v>
      </c>
      <c r="T63" s="9" t="s">
        <v>28</v>
      </c>
      <c r="U63" s="9" t="s">
        <v>28</v>
      </c>
      <c r="V63" s="39">
        <v>31500</v>
      </c>
      <c r="W63" s="9" t="s">
        <v>25</v>
      </c>
      <c r="Y63" s="11">
        <v>0.08</v>
      </c>
      <c r="Z63" s="11">
        <v>0.9</v>
      </c>
      <c r="AA63" s="11">
        <v>0.9</v>
      </c>
      <c r="AB63" s="9" t="s">
        <v>28</v>
      </c>
      <c r="AC63" s="11">
        <v>0.06</v>
      </c>
      <c r="AD63" s="9" t="s">
        <v>2256</v>
      </c>
      <c r="AE63" s="9" t="s">
        <v>2248</v>
      </c>
      <c r="AF63" s="11">
        <v>0.03</v>
      </c>
      <c r="AG63" s="9" t="s">
        <v>860</v>
      </c>
      <c r="AI63" s="9" t="s">
        <v>2163</v>
      </c>
      <c r="AJ63" s="9" t="s">
        <v>28</v>
      </c>
      <c r="AK63" s="9" t="s">
        <v>28</v>
      </c>
      <c r="AL63" s="9" t="s">
        <v>2164</v>
      </c>
      <c r="AM63" s="9" t="s">
        <v>25</v>
      </c>
      <c r="AN63" s="9" t="s">
        <v>2187</v>
      </c>
      <c r="AO63" s="9" t="s">
        <v>2165</v>
      </c>
      <c r="AP63" s="9" t="s">
        <v>2188</v>
      </c>
      <c r="AQ63" s="9" t="s">
        <v>25</v>
      </c>
      <c r="AS63" s="9" t="s">
        <v>2203</v>
      </c>
      <c r="AT63" s="9" t="s">
        <v>25</v>
      </c>
      <c r="AV63" s="9" t="s">
        <v>28</v>
      </c>
      <c r="AW63" s="9" t="s">
        <v>25</v>
      </c>
      <c r="AX63" s="9" t="s">
        <v>28</v>
      </c>
      <c r="AY63" s="9" t="s">
        <v>25</v>
      </c>
      <c r="AZ63" s="9" t="s">
        <v>25</v>
      </c>
      <c r="BA63" s="9" t="s">
        <v>2442</v>
      </c>
      <c r="BB63" s="39">
        <v>9000</v>
      </c>
      <c r="BC63" s="9" t="s">
        <v>13912</v>
      </c>
      <c r="BD63" s="9" t="s">
        <v>2169</v>
      </c>
      <c r="BE63" s="9" t="s">
        <v>2170</v>
      </c>
      <c r="BF63" s="9" t="s">
        <v>2171</v>
      </c>
      <c r="BS63" s="9" t="s">
        <v>28</v>
      </c>
      <c r="BT63" s="9" t="s">
        <v>28</v>
      </c>
      <c r="BU63" s="9" t="s">
        <v>2287</v>
      </c>
      <c r="BV63" s="11">
        <v>0.01</v>
      </c>
      <c r="BW63" s="9" t="s">
        <v>115</v>
      </c>
      <c r="BX63" s="9" t="s">
        <v>732</v>
      </c>
      <c r="BY63" s="9" t="s">
        <v>115</v>
      </c>
      <c r="BZ63" s="9" t="s">
        <v>732</v>
      </c>
      <c r="CA63" s="9" t="s">
        <v>732</v>
      </c>
      <c r="CB63" s="9" t="s">
        <v>732</v>
      </c>
      <c r="CC63" s="9" t="s">
        <v>732</v>
      </c>
      <c r="CD63" s="9" t="s">
        <v>2191</v>
      </c>
      <c r="CE63" s="9" t="s">
        <v>28</v>
      </c>
      <c r="CF63" s="9">
        <v>1</v>
      </c>
      <c r="CG63" s="9" t="s">
        <v>2192</v>
      </c>
      <c r="CH63" s="9" t="s">
        <v>13947</v>
      </c>
      <c r="CL63" s="9">
        <v>1</v>
      </c>
      <c r="CM63" s="9">
        <v>1</v>
      </c>
      <c r="CO63" s="9">
        <v>1</v>
      </c>
      <c r="CP63" s="9">
        <v>2</v>
      </c>
      <c r="CQ63" s="9">
        <v>1</v>
      </c>
      <c r="CU63" s="9">
        <v>1</v>
      </c>
      <c r="CZ63" s="9">
        <v>1</v>
      </c>
      <c r="DA63" s="9">
        <v>1</v>
      </c>
      <c r="DB63" s="9">
        <v>2</v>
      </c>
      <c r="DD63" s="9">
        <v>1</v>
      </c>
      <c r="DE63" s="9">
        <v>2</v>
      </c>
      <c r="DF63" s="9">
        <v>1</v>
      </c>
      <c r="DH63" s="9">
        <v>1</v>
      </c>
      <c r="DI63" s="9">
        <v>1</v>
      </c>
      <c r="DJ63" s="9">
        <v>1</v>
      </c>
      <c r="DL63" s="9">
        <v>1</v>
      </c>
      <c r="DN63" s="9">
        <v>2</v>
      </c>
      <c r="DR63" s="9">
        <v>1</v>
      </c>
      <c r="DT63" s="9">
        <v>12</v>
      </c>
      <c r="DV63" s="9">
        <v>1</v>
      </c>
      <c r="DZ63" s="9" t="s">
        <v>25</v>
      </c>
      <c r="EA63" s="9" t="s">
        <v>28</v>
      </c>
      <c r="EB63" s="9" t="s">
        <v>25</v>
      </c>
      <c r="EC63" s="9" t="s">
        <v>25</v>
      </c>
      <c r="ED63" s="9" t="s">
        <v>25</v>
      </c>
      <c r="EE63" s="9" t="s">
        <v>28</v>
      </c>
      <c r="EF63" s="9" t="s">
        <v>25</v>
      </c>
      <c r="EG63" s="9" t="s">
        <v>25</v>
      </c>
      <c r="EH63" s="9" t="s">
        <v>25</v>
      </c>
      <c r="EI63" s="9" t="s">
        <v>25</v>
      </c>
      <c r="EJ63" s="9" t="s">
        <v>25</v>
      </c>
      <c r="EK63" s="9" t="s">
        <v>25</v>
      </c>
      <c r="EL63" s="9" t="s">
        <v>25</v>
      </c>
      <c r="EM63" s="9" t="s">
        <v>25</v>
      </c>
      <c r="EN63" s="9" t="s">
        <v>25</v>
      </c>
      <c r="EO63" s="9" t="s">
        <v>25</v>
      </c>
      <c r="EQ63" s="9" t="s">
        <v>28</v>
      </c>
      <c r="ER63" s="9" t="s">
        <v>2169</v>
      </c>
      <c r="ES63" s="9" t="s">
        <v>28</v>
      </c>
      <c r="ET63" s="9" t="s">
        <v>28</v>
      </c>
      <c r="EU63" s="9" t="s">
        <v>28</v>
      </c>
      <c r="EV63" s="9" t="s">
        <v>28</v>
      </c>
      <c r="EW63" s="9" t="s">
        <v>28</v>
      </c>
      <c r="EX63" s="9" t="s">
        <v>28</v>
      </c>
      <c r="EY63" s="9" t="s">
        <v>28</v>
      </c>
      <c r="EZ63" s="9" t="s">
        <v>2175</v>
      </c>
      <c r="FB63" s="9" t="s">
        <v>2176</v>
      </c>
      <c r="FD63" s="9" t="s">
        <v>25</v>
      </c>
      <c r="FE63" s="9" t="s">
        <v>13528</v>
      </c>
      <c r="FF63" s="9" t="s">
        <v>25</v>
      </c>
      <c r="FH63" s="9" t="s">
        <v>28</v>
      </c>
      <c r="FI63" s="9" t="s">
        <v>256</v>
      </c>
      <c r="FJ63" s="11">
        <v>0.75</v>
      </c>
      <c r="FL63" s="11">
        <v>1</v>
      </c>
      <c r="FO63" s="11">
        <v>1</v>
      </c>
      <c r="FW63" s="9" t="s">
        <v>25</v>
      </c>
      <c r="GC63" s="9" t="s">
        <v>28</v>
      </c>
      <c r="GD63" s="9" t="s">
        <v>25</v>
      </c>
      <c r="GE63" s="63" t="s">
        <v>13162</v>
      </c>
      <c r="GF63" s="9" t="s">
        <v>2181</v>
      </c>
      <c r="GG63" s="9" t="s">
        <v>2183</v>
      </c>
      <c r="GH63" s="9" t="s">
        <v>635</v>
      </c>
      <c r="GI63" s="9" t="s">
        <v>2182</v>
      </c>
      <c r="GJ63" s="9" t="s">
        <v>2182</v>
      </c>
      <c r="GK63" s="9">
        <v>15</v>
      </c>
      <c r="GM63" s="9" t="s">
        <v>635</v>
      </c>
      <c r="GQ63" s="9" t="s">
        <v>253</v>
      </c>
      <c r="GR63" s="9" t="s">
        <v>1015</v>
      </c>
      <c r="GW63" s="9" t="s">
        <v>25</v>
      </c>
      <c r="GX63" s="9" t="s">
        <v>25</v>
      </c>
      <c r="GY63" s="9" t="s">
        <v>25</v>
      </c>
      <c r="GZ63" s="9" t="s">
        <v>25</v>
      </c>
      <c r="HC63" s="9" t="s">
        <v>25</v>
      </c>
    </row>
    <row r="64" spans="1:212" ht="51" x14ac:dyDescent="0.2">
      <c r="A64" s="8" t="s">
        <v>162</v>
      </c>
      <c r="B64" s="9" t="s">
        <v>2218</v>
      </c>
      <c r="C64" s="9" t="s">
        <v>25</v>
      </c>
      <c r="E64" s="9" t="s">
        <v>28</v>
      </c>
      <c r="F64" s="9" t="s">
        <v>2200</v>
      </c>
      <c r="G64" s="9" t="s">
        <v>2159</v>
      </c>
      <c r="H64" s="11">
        <v>0.9</v>
      </c>
      <c r="I64" s="11">
        <v>0.9</v>
      </c>
      <c r="J64" s="11">
        <v>0.97</v>
      </c>
      <c r="K64" s="11">
        <v>0.97</v>
      </c>
      <c r="L64" s="11">
        <v>0.97</v>
      </c>
      <c r="M64" s="11">
        <v>7.0000000000000007E-2</v>
      </c>
      <c r="N64" s="11">
        <v>0.08</v>
      </c>
      <c r="O64" s="11">
        <v>0.08</v>
      </c>
      <c r="P64" s="9" t="s">
        <v>28</v>
      </c>
      <c r="Q64" s="11">
        <v>0.14000000000000001</v>
      </c>
      <c r="R64" s="11">
        <v>0.9</v>
      </c>
      <c r="S64" s="11">
        <v>0.9</v>
      </c>
      <c r="T64" s="9" t="s">
        <v>28</v>
      </c>
      <c r="U64" s="9" t="s">
        <v>25</v>
      </c>
      <c r="W64" s="9" t="s">
        <v>28</v>
      </c>
      <c r="X64" s="9" t="s">
        <v>2397</v>
      </c>
      <c r="Y64" s="11">
        <v>0.04</v>
      </c>
      <c r="Z64" s="11">
        <v>0.9</v>
      </c>
      <c r="AA64" s="11">
        <v>0.9</v>
      </c>
      <c r="AB64" s="9" t="s">
        <v>28</v>
      </c>
      <c r="AC64" s="11">
        <v>0.06</v>
      </c>
      <c r="AD64" s="9" t="s">
        <v>2160</v>
      </c>
      <c r="AE64" s="11">
        <v>0.01</v>
      </c>
      <c r="AF64" s="11">
        <v>0.1</v>
      </c>
      <c r="AG64" s="9" t="s">
        <v>2162</v>
      </c>
      <c r="AI64" s="9" t="s">
        <v>2163</v>
      </c>
      <c r="AJ64" s="9" t="s">
        <v>28</v>
      </c>
      <c r="AK64" s="9" t="s">
        <v>28</v>
      </c>
      <c r="AL64" s="9" t="s">
        <v>2164</v>
      </c>
      <c r="AM64" s="9" t="s">
        <v>25</v>
      </c>
      <c r="AN64" s="9" t="s">
        <v>25</v>
      </c>
      <c r="AO64" s="9" t="s">
        <v>2276</v>
      </c>
      <c r="AP64" s="9" t="s">
        <v>2188</v>
      </c>
      <c r="AQ64" s="9" t="s">
        <v>25</v>
      </c>
      <c r="AS64" s="9" t="s">
        <v>2167</v>
      </c>
      <c r="AT64" s="9" t="s">
        <v>25</v>
      </c>
      <c r="AV64" s="9" t="s">
        <v>28</v>
      </c>
      <c r="AW64" s="9" t="s">
        <v>28</v>
      </c>
      <c r="AX64" s="9" t="s">
        <v>25</v>
      </c>
      <c r="AY64" s="9" t="s">
        <v>25</v>
      </c>
      <c r="AZ64" s="9" t="s">
        <v>25</v>
      </c>
      <c r="BA64" s="9" t="s">
        <v>2398</v>
      </c>
      <c r="BB64" s="39">
        <v>5000</v>
      </c>
      <c r="BC64" s="9" t="s">
        <v>13928</v>
      </c>
      <c r="BD64" s="9" t="s">
        <v>2169</v>
      </c>
      <c r="BE64" s="9" t="s">
        <v>2170</v>
      </c>
      <c r="BF64" s="9" t="s">
        <v>2171</v>
      </c>
      <c r="BS64" s="9" t="s">
        <v>25</v>
      </c>
      <c r="BT64" s="9" t="s">
        <v>25</v>
      </c>
      <c r="BV64" s="11">
        <v>0</v>
      </c>
      <c r="BW64" s="9" t="s">
        <v>732</v>
      </c>
      <c r="BX64" s="9" t="s">
        <v>732</v>
      </c>
      <c r="BY64" s="9" t="s">
        <v>115</v>
      </c>
      <c r="BZ64" s="9" t="s">
        <v>732</v>
      </c>
      <c r="CA64" s="9" t="s">
        <v>732</v>
      </c>
      <c r="CB64" s="9" t="s">
        <v>732</v>
      </c>
      <c r="CC64" s="9" t="s">
        <v>732</v>
      </c>
      <c r="CD64" s="9" t="s">
        <v>732</v>
      </c>
      <c r="CE64" s="9" t="s">
        <v>28</v>
      </c>
      <c r="CF64" s="9">
        <v>1</v>
      </c>
      <c r="CG64" s="9" t="s">
        <v>2192</v>
      </c>
      <c r="CH64" s="9" t="s">
        <v>2399</v>
      </c>
      <c r="CL64" s="9">
        <v>1</v>
      </c>
      <c r="CO64" s="9">
        <v>2</v>
      </c>
      <c r="CZ64" s="9">
        <v>1</v>
      </c>
      <c r="DA64" s="9">
        <v>1</v>
      </c>
      <c r="DB64" s="9">
        <v>1</v>
      </c>
      <c r="DC64" s="9">
        <v>1</v>
      </c>
      <c r="DE64" s="9">
        <v>1</v>
      </c>
      <c r="DG64" s="9">
        <v>2</v>
      </c>
      <c r="DL64" s="9">
        <v>1</v>
      </c>
      <c r="DN64" s="9">
        <v>1</v>
      </c>
      <c r="DT64" s="9">
        <v>8</v>
      </c>
      <c r="DZ64" s="9" t="s">
        <v>25</v>
      </c>
      <c r="EA64" s="9" t="s">
        <v>28</v>
      </c>
      <c r="EB64" s="9" t="s">
        <v>28</v>
      </c>
      <c r="EC64" s="9" t="s">
        <v>28</v>
      </c>
      <c r="ED64" s="9" t="s">
        <v>28</v>
      </c>
      <c r="EE64" s="9" t="s">
        <v>28</v>
      </c>
      <c r="EF64" s="9" t="s">
        <v>28</v>
      </c>
      <c r="EG64" s="9" t="s">
        <v>28</v>
      </c>
      <c r="EH64" s="9" t="s">
        <v>28</v>
      </c>
      <c r="EI64" s="9" t="s">
        <v>28</v>
      </c>
      <c r="EJ64" s="9" t="s">
        <v>28</v>
      </c>
      <c r="EK64" s="9" t="s">
        <v>25</v>
      </c>
      <c r="EL64" s="9" t="s">
        <v>25</v>
      </c>
      <c r="EM64" s="9" t="s">
        <v>25</v>
      </c>
      <c r="EN64" s="9" t="s">
        <v>25</v>
      </c>
      <c r="EO64" s="9" t="s">
        <v>25</v>
      </c>
      <c r="EQ64" s="9" t="s">
        <v>28</v>
      </c>
      <c r="ER64" s="9" t="s">
        <v>2169</v>
      </c>
      <c r="ES64" s="9" t="s">
        <v>28</v>
      </c>
      <c r="ET64" s="9" t="s">
        <v>28</v>
      </c>
      <c r="EU64" s="9" t="s">
        <v>28</v>
      </c>
      <c r="EV64" s="9" t="s">
        <v>28</v>
      </c>
      <c r="EW64" s="9" t="s">
        <v>28</v>
      </c>
      <c r="EX64" s="9" t="s">
        <v>28</v>
      </c>
      <c r="EY64" s="9" t="s">
        <v>25</v>
      </c>
      <c r="GR64" s="9" t="s">
        <v>28</v>
      </c>
      <c r="GS64" s="9" t="s">
        <v>25</v>
      </c>
      <c r="GT64" s="9" t="s">
        <v>25</v>
      </c>
      <c r="GU64" s="9" t="s">
        <v>28</v>
      </c>
      <c r="GW64" s="9" t="s">
        <v>25</v>
      </c>
      <c r="GX64" s="9" t="s">
        <v>25</v>
      </c>
      <c r="GY64" s="9" t="s">
        <v>25</v>
      </c>
      <c r="GZ64" s="9" t="s">
        <v>25</v>
      </c>
      <c r="HC64" s="9" t="s">
        <v>41</v>
      </c>
    </row>
    <row r="65" spans="1:212" ht="51" x14ac:dyDescent="0.2">
      <c r="A65" s="8" t="s">
        <v>148</v>
      </c>
      <c r="B65" s="9" t="s">
        <v>2158</v>
      </c>
      <c r="C65" s="9" t="s">
        <v>25</v>
      </c>
      <c r="E65" s="9" t="s">
        <v>25</v>
      </c>
      <c r="G65" s="9" t="s">
        <v>2159</v>
      </c>
      <c r="H65" s="11">
        <v>0.75</v>
      </c>
      <c r="I65" s="11">
        <v>0.75</v>
      </c>
      <c r="J65" s="11">
        <v>0.95</v>
      </c>
      <c r="K65" s="11">
        <v>0.95</v>
      </c>
      <c r="L65" s="11">
        <v>0.95</v>
      </c>
      <c r="M65" s="11">
        <v>0.11</v>
      </c>
      <c r="N65" s="11">
        <v>0.11</v>
      </c>
      <c r="O65" s="11">
        <v>0.11</v>
      </c>
      <c r="P65" s="9" t="s">
        <v>28</v>
      </c>
      <c r="Q65" s="11">
        <v>7.0000000000000007E-2</v>
      </c>
      <c r="R65" s="11">
        <v>0.75</v>
      </c>
      <c r="S65" s="11">
        <v>0.75</v>
      </c>
      <c r="T65" s="9" t="s">
        <v>28</v>
      </c>
      <c r="U65" s="9" t="s">
        <v>25</v>
      </c>
      <c r="W65" s="9" t="s">
        <v>25</v>
      </c>
      <c r="Y65" s="11">
        <v>0.14000000000000001</v>
      </c>
      <c r="Z65" s="11">
        <v>0.75</v>
      </c>
      <c r="AA65" s="11">
        <v>0.75</v>
      </c>
      <c r="AB65" s="9" t="s">
        <v>28</v>
      </c>
      <c r="AC65" s="11">
        <v>0.06</v>
      </c>
      <c r="AD65" s="9" t="s">
        <v>2160</v>
      </c>
      <c r="AE65" s="11">
        <v>0.01</v>
      </c>
      <c r="AF65" s="11">
        <v>0.1</v>
      </c>
      <c r="AG65" s="9" t="s">
        <v>2162</v>
      </c>
      <c r="AI65" s="9" t="s">
        <v>2163</v>
      </c>
      <c r="AJ65" s="9" t="s">
        <v>28</v>
      </c>
      <c r="AK65" s="9" t="s">
        <v>28</v>
      </c>
      <c r="AL65" s="9" t="s">
        <v>2186</v>
      </c>
      <c r="AN65" s="9" t="s">
        <v>25</v>
      </c>
      <c r="AO65" s="9" t="s">
        <v>2165</v>
      </c>
      <c r="AP65" s="9" t="s">
        <v>2166</v>
      </c>
      <c r="AQ65" s="9" t="s">
        <v>25</v>
      </c>
      <c r="AS65" s="9" t="s">
        <v>2167</v>
      </c>
      <c r="AT65" s="9" t="s">
        <v>25</v>
      </c>
      <c r="AV65" s="9" t="s">
        <v>28</v>
      </c>
      <c r="AW65" s="9" t="s">
        <v>28</v>
      </c>
      <c r="AX65" s="9" t="s">
        <v>28</v>
      </c>
      <c r="AY65" s="9" t="s">
        <v>28</v>
      </c>
      <c r="AZ65" s="9" t="s">
        <v>28</v>
      </c>
      <c r="BA65" s="9" t="s">
        <v>2351</v>
      </c>
      <c r="BB65" s="39">
        <v>14500</v>
      </c>
      <c r="BC65" s="9" t="s">
        <v>13921</v>
      </c>
      <c r="BD65" s="9" t="s">
        <v>2169</v>
      </c>
      <c r="BE65" s="9" t="s">
        <v>2352</v>
      </c>
      <c r="BF65" s="9" t="s">
        <v>2286</v>
      </c>
      <c r="BG65" s="11">
        <v>0</v>
      </c>
      <c r="BH65" s="11">
        <v>1</v>
      </c>
      <c r="BI65" s="11">
        <v>1</v>
      </c>
      <c r="BJ65" s="11">
        <v>1</v>
      </c>
      <c r="BK65" s="11">
        <v>1</v>
      </c>
      <c r="BL65" s="11">
        <v>1</v>
      </c>
      <c r="BS65" s="9" t="s">
        <v>25</v>
      </c>
      <c r="BT65" s="9" t="s">
        <v>28</v>
      </c>
      <c r="BU65" s="9" t="s">
        <v>2253</v>
      </c>
      <c r="BV65" s="11">
        <v>0.01</v>
      </c>
      <c r="BW65" s="9" t="s">
        <v>732</v>
      </c>
      <c r="BX65" s="9" t="s">
        <v>732</v>
      </c>
      <c r="BY65" s="9" t="s">
        <v>2296</v>
      </c>
      <c r="BZ65" s="9" t="s">
        <v>732</v>
      </c>
      <c r="CA65" s="9" t="s">
        <v>732</v>
      </c>
      <c r="CB65" s="9" t="s">
        <v>732</v>
      </c>
      <c r="CC65" s="9" t="s">
        <v>732</v>
      </c>
      <c r="CD65" s="9" t="s">
        <v>2296</v>
      </c>
      <c r="CE65" s="9" t="s">
        <v>28</v>
      </c>
      <c r="CF65" s="9">
        <v>1</v>
      </c>
      <c r="CG65" s="9" t="s">
        <v>2192</v>
      </c>
      <c r="CH65" s="9" t="s">
        <v>2353</v>
      </c>
      <c r="CJ65" s="9">
        <v>1</v>
      </c>
      <c r="CM65" s="9">
        <v>1</v>
      </c>
      <c r="CO65" s="9">
        <v>2</v>
      </c>
      <c r="CY65" s="9">
        <v>1</v>
      </c>
      <c r="DB65" s="9">
        <v>1</v>
      </c>
      <c r="DC65" s="9">
        <v>1</v>
      </c>
      <c r="DF65" s="9">
        <v>1</v>
      </c>
      <c r="DK65" s="9">
        <v>1</v>
      </c>
      <c r="DP65" s="9">
        <v>1</v>
      </c>
      <c r="DQ65" s="9">
        <v>2</v>
      </c>
      <c r="DT65" s="9">
        <v>12</v>
      </c>
      <c r="DZ65" s="9" t="s">
        <v>25</v>
      </c>
      <c r="EA65" s="9" t="s">
        <v>28</v>
      </c>
      <c r="EB65" s="9" t="s">
        <v>25</v>
      </c>
      <c r="EC65" s="9" t="s">
        <v>28</v>
      </c>
      <c r="ED65" s="9" t="s">
        <v>25</v>
      </c>
      <c r="EE65" s="9" t="s">
        <v>25</v>
      </c>
      <c r="EF65" s="9" t="s">
        <v>25</v>
      </c>
      <c r="EG65" s="9" t="s">
        <v>25</v>
      </c>
      <c r="EH65" s="9" t="s">
        <v>25</v>
      </c>
      <c r="EI65" s="9" t="s">
        <v>25</v>
      </c>
      <c r="EJ65" s="9" t="s">
        <v>25</v>
      </c>
      <c r="EK65" s="9" t="s">
        <v>25</v>
      </c>
      <c r="EL65" s="9" t="s">
        <v>25</v>
      </c>
      <c r="EM65" s="9" t="s">
        <v>25</v>
      </c>
      <c r="EQ65" s="9" t="s">
        <v>28</v>
      </c>
      <c r="ER65" s="9" t="s">
        <v>2169</v>
      </c>
      <c r="ES65" s="9" t="s">
        <v>28</v>
      </c>
      <c r="ET65" s="9" t="s">
        <v>28</v>
      </c>
      <c r="EU65" s="9" t="s">
        <v>28</v>
      </c>
      <c r="EV65" s="9" t="s">
        <v>28</v>
      </c>
      <c r="EW65" s="9" t="s">
        <v>25</v>
      </c>
      <c r="EX65" s="9" t="s">
        <v>25</v>
      </c>
      <c r="EY65" s="9" t="s">
        <v>28</v>
      </c>
      <c r="EZ65" s="9" t="s">
        <v>2175</v>
      </c>
      <c r="FB65" s="9" t="s">
        <v>2214</v>
      </c>
      <c r="FD65" s="9" t="s">
        <v>25</v>
      </c>
      <c r="FE65" s="9" t="s">
        <v>13949</v>
      </c>
      <c r="FF65" s="9" t="s">
        <v>25</v>
      </c>
      <c r="FH65" s="9" t="s">
        <v>25</v>
      </c>
      <c r="FI65" s="9" t="s">
        <v>2177</v>
      </c>
      <c r="FJ65" s="11">
        <v>0.75</v>
      </c>
      <c r="FK65" s="11">
        <v>1</v>
      </c>
      <c r="FW65" s="9" t="s">
        <v>25</v>
      </c>
      <c r="GC65" s="9" t="s">
        <v>28</v>
      </c>
      <c r="GD65" s="9" t="s">
        <v>25</v>
      </c>
      <c r="GE65" s="63" t="s">
        <v>13162</v>
      </c>
      <c r="GF65" s="9" t="s">
        <v>2354</v>
      </c>
      <c r="GG65" s="9" t="s">
        <v>2182</v>
      </c>
      <c r="GH65" s="9" t="s">
        <v>2182</v>
      </c>
      <c r="GI65" s="9" t="s">
        <v>2182</v>
      </c>
      <c r="GJ65" s="9" t="s">
        <v>2182</v>
      </c>
      <c r="GK65" s="9">
        <v>10</v>
      </c>
      <c r="GM65" s="9" t="s">
        <v>635</v>
      </c>
      <c r="GQ65" s="9" t="s">
        <v>253</v>
      </c>
      <c r="GR65" s="9" t="s">
        <v>1015</v>
      </c>
      <c r="GW65" s="9" t="s">
        <v>25</v>
      </c>
      <c r="GX65" s="9" t="s">
        <v>25</v>
      </c>
      <c r="GY65" s="9" t="s">
        <v>25</v>
      </c>
      <c r="GZ65" s="9" t="s">
        <v>28</v>
      </c>
      <c r="HA65" s="9" t="s">
        <v>2199</v>
      </c>
      <c r="HC65" s="9" t="s">
        <v>41</v>
      </c>
    </row>
    <row r="66" spans="1:212" ht="51" x14ac:dyDescent="0.2">
      <c r="A66" s="8" t="s">
        <v>167</v>
      </c>
      <c r="B66" s="9" t="s">
        <v>2218</v>
      </c>
      <c r="C66" s="9" t="s">
        <v>25</v>
      </c>
      <c r="E66" s="9" t="s">
        <v>25</v>
      </c>
      <c r="G66" s="9" t="s">
        <v>2185</v>
      </c>
      <c r="H66" s="11">
        <v>0.5</v>
      </c>
      <c r="I66" s="11">
        <v>0.5</v>
      </c>
      <c r="J66" s="11">
        <v>0.95</v>
      </c>
      <c r="K66" s="11">
        <v>0.93</v>
      </c>
      <c r="L66" s="11">
        <v>0.93</v>
      </c>
      <c r="M66" s="11">
        <v>0.12</v>
      </c>
      <c r="N66" s="11">
        <v>0.1</v>
      </c>
      <c r="O66" s="11">
        <v>0.1</v>
      </c>
      <c r="P66" s="9" t="s">
        <v>28</v>
      </c>
      <c r="Q66" s="11">
        <v>0.1</v>
      </c>
      <c r="R66" s="11">
        <v>0.5</v>
      </c>
      <c r="S66" s="11">
        <v>0.5</v>
      </c>
      <c r="T66" s="9" t="s">
        <v>28</v>
      </c>
      <c r="U66" s="9" t="s">
        <v>28</v>
      </c>
      <c r="V66" s="39">
        <v>25450</v>
      </c>
      <c r="W66" s="9" t="s">
        <v>25</v>
      </c>
      <c r="Y66" s="11">
        <v>0.04</v>
      </c>
      <c r="Z66" s="11">
        <v>0.5</v>
      </c>
      <c r="AA66" s="11">
        <v>0.5</v>
      </c>
      <c r="AB66" s="9" t="s">
        <v>28</v>
      </c>
      <c r="AC66" s="11">
        <v>0.06</v>
      </c>
      <c r="AD66" s="9" t="s">
        <v>2160</v>
      </c>
      <c r="AE66" s="11">
        <v>0.01</v>
      </c>
      <c r="AF66" s="11">
        <v>0.1</v>
      </c>
      <c r="AG66" s="9" t="s">
        <v>2162</v>
      </c>
      <c r="AI66" s="9" t="s">
        <v>2163</v>
      </c>
      <c r="AJ66" s="9" t="s">
        <v>28</v>
      </c>
      <c r="AK66" s="9" t="s">
        <v>1015</v>
      </c>
      <c r="AL66" s="9" t="s">
        <v>2164</v>
      </c>
      <c r="AM66" s="9" t="s">
        <v>25</v>
      </c>
      <c r="AN66" s="9" t="s">
        <v>25</v>
      </c>
      <c r="AO66" s="9" t="s">
        <v>2165</v>
      </c>
      <c r="AP66" s="9" t="s">
        <v>2166</v>
      </c>
      <c r="AQ66" s="9" t="s">
        <v>25</v>
      </c>
      <c r="AS66" s="9" t="s">
        <v>2189</v>
      </c>
      <c r="AT66" s="9" t="s">
        <v>25</v>
      </c>
      <c r="AV66" s="9" t="s">
        <v>28</v>
      </c>
      <c r="AW66" s="9" t="s">
        <v>25</v>
      </c>
      <c r="AX66" s="9" t="s">
        <v>28</v>
      </c>
      <c r="AY66" s="9" t="s">
        <v>25</v>
      </c>
      <c r="AZ66" s="9" t="s">
        <v>28</v>
      </c>
      <c r="BA66" s="9" t="s">
        <v>2412</v>
      </c>
      <c r="BB66" s="39">
        <v>13050</v>
      </c>
      <c r="BC66" s="9" t="s">
        <v>13930</v>
      </c>
      <c r="BD66" s="9" t="s">
        <v>2169</v>
      </c>
      <c r="BE66" s="9" t="s">
        <v>2170</v>
      </c>
      <c r="BF66" s="9" t="s">
        <v>2171</v>
      </c>
      <c r="BS66" s="9" t="s">
        <v>25</v>
      </c>
      <c r="BT66" s="9" t="s">
        <v>28</v>
      </c>
      <c r="BU66" s="9" t="s">
        <v>2287</v>
      </c>
      <c r="BV66" s="11">
        <v>0.01</v>
      </c>
      <c r="BW66" s="9" t="s">
        <v>732</v>
      </c>
      <c r="BX66" s="9" t="s">
        <v>732</v>
      </c>
      <c r="BY66" s="9" t="s">
        <v>115</v>
      </c>
      <c r="BZ66" s="9" t="s">
        <v>732</v>
      </c>
      <c r="CA66" s="9" t="s">
        <v>732</v>
      </c>
      <c r="CB66" s="9" t="s">
        <v>732</v>
      </c>
      <c r="CC66" s="9" t="s">
        <v>732</v>
      </c>
      <c r="CD66" s="9" t="s">
        <v>732</v>
      </c>
      <c r="CE66" s="9" t="s">
        <v>28</v>
      </c>
      <c r="CF66" s="9">
        <v>2</v>
      </c>
      <c r="CG66" s="9" t="s">
        <v>2192</v>
      </c>
      <c r="CH66" s="9" t="s">
        <v>2413</v>
      </c>
      <c r="CM66" s="9">
        <v>1</v>
      </c>
      <c r="CQ66" s="9">
        <v>1</v>
      </c>
      <c r="CU66" s="9">
        <v>1</v>
      </c>
      <c r="CZ66" s="9">
        <v>1</v>
      </c>
      <c r="DA66" s="9">
        <v>1</v>
      </c>
      <c r="DB66" s="9">
        <v>1</v>
      </c>
      <c r="DD66" s="9">
        <v>1</v>
      </c>
      <c r="DG66" s="9">
        <v>1</v>
      </c>
      <c r="DK66" s="9">
        <v>1</v>
      </c>
      <c r="DP66" s="9">
        <v>1</v>
      </c>
      <c r="DT66" s="9">
        <v>10</v>
      </c>
      <c r="DZ66" s="9" t="s">
        <v>28</v>
      </c>
      <c r="EA66" s="9" t="s">
        <v>28</v>
      </c>
      <c r="EB66" s="9" t="s">
        <v>28</v>
      </c>
      <c r="EC66" s="9" t="s">
        <v>28</v>
      </c>
      <c r="ED66" s="9" t="s">
        <v>28</v>
      </c>
      <c r="EE66" s="9" t="s">
        <v>28</v>
      </c>
      <c r="EF66" s="9" t="s">
        <v>28</v>
      </c>
      <c r="EG66" s="9" t="s">
        <v>28</v>
      </c>
      <c r="EH66" s="9" t="s">
        <v>28</v>
      </c>
      <c r="EI66" s="9" t="s">
        <v>28</v>
      </c>
      <c r="EJ66" s="9" t="s">
        <v>28</v>
      </c>
      <c r="EK66" s="9" t="s">
        <v>28</v>
      </c>
      <c r="EL66" s="9" t="s">
        <v>28</v>
      </c>
      <c r="EM66" s="9" t="s">
        <v>28</v>
      </c>
      <c r="EN66" s="9" t="s">
        <v>28</v>
      </c>
      <c r="EQ66" s="9" t="s">
        <v>28</v>
      </c>
      <c r="ER66" s="9" t="s">
        <v>25</v>
      </c>
      <c r="ES66" s="9" t="s">
        <v>25</v>
      </c>
      <c r="ET66" s="9" t="s">
        <v>28</v>
      </c>
      <c r="EU66" s="9" t="s">
        <v>28</v>
      </c>
      <c r="EV66" s="9" t="s">
        <v>28</v>
      </c>
      <c r="EW66" s="9" t="s">
        <v>28</v>
      </c>
      <c r="EX66" s="9" t="s">
        <v>25</v>
      </c>
      <c r="EY66" s="9" t="s">
        <v>28</v>
      </c>
      <c r="EZ66" s="9" t="s">
        <v>2291</v>
      </c>
      <c r="FB66" s="9" t="s">
        <v>2292</v>
      </c>
      <c r="FC66" s="39">
        <v>175000</v>
      </c>
      <c r="FD66" s="9" t="s">
        <v>25</v>
      </c>
      <c r="FE66" s="9" t="s">
        <v>13527</v>
      </c>
      <c r="FF66" s="9" t="s">
        <v>25</v>
      </c>
      <c r="FH66" s="9" t="s">
        <v>25</v>
      </c>
      <c r="FI66" s="9" t="s">
        <v>2215</v>
      </c>
      <c r="FJ66" s="11">
        <v>0.65</v>
      </c>
      <c r="FK66" s="11">
        <v>0.8</v>
      </c>
      <c r="FL66" s="11">
        <v>0.8</v>
      </c>
      <c r="FU66" s="11">
        <v>0.65</v>
      </c>
      <c r="FW66" s="9" t="s">
        <v>25</v>
      </c>
      <c r="GC66" s="9" t="s">
        <v>25</v>
      </c>
      <c r="GD66" s="9" t="s">
        <v>25</v>
      </c>
      <c r="GE66" s="63" t="s">
        <v>13162</v>
      </c>
      <c r="GF66" s="9" t="s">
        <v>2181</v>
      </c>
      <c r="GG66" s="9" t="s">
        <v>2182</v>
      </c>
      <c r="GI66" s="9" t="s">
        <v>2182</v>
      </c>
      <c r="GJ66" s="9" t="s">
        <v>2182</v>
      </c>
      <c r="GK66" s="9">
        <v>10</v>
      </c>
      <c r="GM66" s="9" t="s">
        <v>635</v>
      </c>
      <c r="GQ66" s="9" t="s">
        <v>2229</v>
      </c>
      <c r="GR66" s="9" t="s">
        <v>28</v>
      </c>
      <c r="GS66" s="9" t="s">
        <v>25</v>
      </c>
      <c r="GT66" s="9" t="s">
        <v>25</v>
      </c>
      <c r="GU66" s="9" t="s">
        <v>28</v>
      </c>
      <c r="GW66" s="9" t="s">
        <v>25</v>
      </c>
      <c r="GX66" s="9" t="s">
        <v>25</v>
      </c>
      <c r="GY66" s="9" t="s">
        <v>25</v>
      </c>
      <c r="GZ66" s="9" t="s">
        <v>25</v>
      </c>
      <c r="HC66" s="9" t="s">
        <v>25</v>
      </c>
    </row>
    <row r="67" spans="1:212" x14ac:dyDescent="0.2">
      <c r="A67" s="71" t="s">
        <v>14025</v>
      </c>
      <c r="B67" s="72">
        <f>COUNTA(B3:B66)</f>
        <v>64</v>
      </c>
      <c r="C67" s="72">
        <f t="shared" ref="C67:BN67" si="0">COUNTA(C3:C66)</f>
        <v>64</v>
      </c>
      <c r="D67" s="72">
        <f t="shared" si="0"/>
        <v>3</v>
      </c>
      <c r="E67" s="72">
        <f t="shared" si="0"/>
        <v>64</v>
      </c>
      <c r="F67" s="72">
        <f t="shared" si="0"/>
        <v>28</v>
      </c>
      <c r="G67" s="72">
        <f t="shared" si="0"/>
        <v>64</v>
      </c>
      <c r="H67" s="72">
        <f t="shared" si="0"/>
        <v>64</v>
      </c>
      <c r="I67" s="72">
        <f t="shared" si="0"/>
        <v>61</v>
      </c>
      <c r="J67" s="72">
        <f t="shared" si="0"/>
        <v>57</v>
      </c>
      <c r="K67" s="72">
        <f t="shared" si="0"/>
        <v>57</v>
      </c>
      <c r="L67" s="72">
        <f t="shared" si="0"/>
        <v>59</v>
      </c>
      <c r="M67" s="72">
        <f t="shared" si="0"/>
        <v>56</v>
      </c>
      <c r="N67" s="72">
        <f t="shared" si="0"/>
        <v>55</v>
      </c>
      <c r="O67" s="72">
        <f t="shared" si="0"/>
        <v>58</v>
      </c>
      <c r="P67" s="72">
        <f t="shared" si="0"/>
        <v>64</v>
      </c>
      <c r="Q67" s="72">
        <f t="shared" si="0"/>
        <v>58</v>
      </c>
      <c r="R67" s="72">
        <f t="shared" si="0"/>
        <v>61</v>
      </c>
      <c r="S67" s="72">
        <f t="shared" si="0"/>
        <v>61</v>
      </c>
      <c r="T67" s="72">
        <f t="shared" si="0"/>
        <v>64</v>
      </c>
      <c r="U67" s="72">
        <f t="shared" si="0"/>
        <v>50</v>
      </c>
      <c r="V67" s="72">
        <f t="shared" si="0"/>
        <v>26</v>
      </c>
      <c r="W67" s="72">
        <f t="shared" si="0"/>
        <v>49</v>
      </c>
      <c r="X67" s="72">
        <f t="shared" si="0"/>
        <v>7</v>
      </c>
      <c r="Y67" s="72">
        <f t="shared" si="0"/>
        <v>49</v>
      </c>
      <c r="Z67" s="72">
        <f t="shared" si="0"/>
        <v>49</v>
      </c>
      <c r="AA67" s="72">
        <f t="shared" si="0"/>
        <v>49</v>
      </c>
      <c r="AB67" s="72">
        <f t="shared" si="0"/>
        <v>64</v>
      </c>
      <c r="AC67" s="72">
        <f t="shared" si="0"/>
        <v>49</v>
      </c>
      <c r="AD67" s="72">
        <f t="shared" si="0"/>
        <v>63</v>
      </c>
      <c r="AE67" s="72">
        <f t="shared" si="0"/>
        <v>52</v>
      </c>
      <c r="AF67" s="72">
        <f t="shared" si="0"/>
        <v>48</v>
      </c>
      <c r="AG67" s="72">
        <f t="shared" si="0"/>
        <v>64</v>
      </c>
      <c r="AH67" s="72">
        <f t="shared" si="0"/>
        <v>0</v>
      </c>
      <c r="AI67" s="72">
        <f t="shared" si="0"/>
        <v>64</v>
      </c>
      <c r="AJ67" s="72">
        <f t="shared" si="0"/>
        <v>64</v>
      </c>
      <c r="AK67" s="72">
        <f t="shared" si="0"/>
        <v>53</v>
      </c>
      <c r="AL67" s="72">
        <f t="shared" si="0"/>
        <v>62</v>
      </c>
      <c r="AM67" s="72">
        <f t="shared" si="0"/>
        <v>48</v>
      </c>
      <c r="AN67" s="72">
        <f t="shared" si="0"/>
        <v>64</v>
      </c>
      <c r="AO67" s="72">
        <f t="shared" si="0"/>
        <v>59</v>
      </c>
      <c r="AP67" s="72">
        <f t="shared" si="0"/>
        <v>64</v>
      </c>
      <c r="AQ67" s="72">
        <f t="shared" si="0"/>
        <v>58</v>
      </c>
      <c r="AR67" s="72">
        <f t="shared" si="0"/>
        <v>10</v>
      </c>
      <c r="AS67" s="72">
        <f t="shared" si="0"/>
        <v>62</v>
      </c>
      <c r="AT67" s="72">
        <f t="shared" si="0"/>
        <v>62</v>
      </c>
      <c r="AU67" s="72">
        <f t="shared" si="0"/>
        <v>3</v>
      </c>
      <c r="AV67" s="72">
        <f t="shared" si="0"/>
        <v>57</v>
      </c>
      <c r="AW67" s="72">
        <f t="shared" si="0"/>
        <v>56</v>
      </c>
      <c r="AX67" s="72">
        <f t="shared" si="0"/>
        <v>56</v>
      </c>
      <c r="AY67" s="72">
        <f t="shared" si="0"/>
        <v>56</v>
      </c>
      <c r="AZ67" s="72">
        <f t="shared" si="0"/>
        <v>55</v>
      </c>
      <c r="BA67" s="72">
        <f t="shared" si="0"/>
        <v>61</v>
      </c>
      <c r="BB67" s="72">
        <f t="shared" si="0"/>
        <v>56</v>
      </c>
      <c r="BC67" s="72">
        <f t="shared" si="0"/>
        <v>62</v>
      </c>
      <c r="BD67" s="72">
        <f t="shared" si="0"/>
        <v>62</v>
      </c>
      <c r="BE67" s="72">
        <f t="shared" si="0"/>
        <v>41</v>
      </c>
      <c r="BF67" s="72">
        <f t="shared" si="0"/>
        <v>62</v>
      </c>
      <c r="BG67" s="72">
        <f t="shared" si="0"/>
        <v>3</v>
      </c>
      <c r="BH67" s="72">
        <f t="shared" si="0"/>
        <v>3</v>
      </c>
      <c r="BI67" s="72">
        <f t="shared" si="0"/>
        <v>3</v>
      </c>
      <c r="BJ67" s="72">
        <f t="shared" si="0"/>
        <v>1</v>
      </c>
      <c r="BK67" s="72">
        <f t="shared" si="0"/>
        <v>1</v>
      </c>
      <c r="BL67" s="72">
        <f t="shared" si="0"/>
        <v>1</v>
      </c>
      <c r="BM67" s="72">
        <f t="shared" si="0"/>
        <v>5</v>
      </c>
      <c r="BN67" s="72">
        <f t="shared" si="0"/>
        <v>5</v>
      </c>
      <c r="BO67" s="72">
        <f t="shared" ref="BO67:DZ67" si="1">COUNTA(BO3:BO66)</f>
        <v>4</v>
      </c>
      <c r="BP67" s="72">
        <f t="shared" si="1"/>
        <v>4</v>
      </c>
      <c r="BQ67" s="72">
        <f t="shared" si="1"/>
        <v>3</v>
      </c>
      <c r="BR67" s="72">
        <f t="shared" si="1"/>
        <v>3</v>
      </c>
      <c r="BS67" s="72">
        <f t="shared" si="1"/>
        <v>62</v>
      </c>
      <c r="BT67" s="72">
        <f t="shared" si="1"/>
        <v>62</v>
      </c>
      <c r="BU67" s="72">
        <f t="shared" si="1"/>
        <v>28</v>
      </c>
      <c r="BV67" s="72">
        <f t="shared" si="1"/>
        <v>60</v>
      </c>
      <c r="BW67" s="72">
        <f t="shared" si="1"/>
        <v>62</v>
      </c>
      <c r="BX67" s="72">
        <f t="shared" si="1"/>
        <v>62</v>
      </c>
      <c r="BY67" s="72">
        <f t="shared" si="1"/>
        <v>61</v>
      </c>
      <c r="BZ67" s="72">
        <f t="shared" si="1"/>
        <v>62</v>
      </c>
      <c r="CA67" s="72">
        <f t="shared" si="1"/>
        <v>62</v>
      </c>
      <c r="CB67" s="72">
        <f t="shared" si="1"/>
        <v>62</v>
      </c>
      <c r="CC67" s="72">
        <f t="shared" si="1"/>
        <v>62</v>
      </c>
      <c r="CD67" s="72">
        <f t="shared" si="1"/>
        <v>62</v>
      </c>
      <c r="CE67" s="72">
        <f t="shared" si="1"/>
        <v>64</v>
      </c>
      <c r="CF67" s="72">
        <f t="shared" si="1"/>
        <v>62</v>
      </c>
      <c r="CG67" s="72">
        <f t="shared" si="1"/>
        <v>62</v>
      </c>
      <c r="CH67" s="72">
        <f t="shared" si="1"/>
        <v>63</v>
      </c>
      <c r="CI67" s="72">
        <f t="shared" si="1"/>
        <v>17</v>
      </c>
      <c r="CJ67" s="72">
        <f t="shared" si="1"/>
        <v>17</v>
      </c>
      <c r="CK67" s="72">
        <f t="shared" si="1"/>
        <v>9</v>
      </c>
      <c r="CL67" s="72">
        <f t="shared" si="1"/>
        <v>26</v>
      </c>
      <c r="CM67" s="72">
        <f t="shared" si="1"/>
        <v>39</v>
      </c>
      <c r="CN67" s="72">
        <f t="shared" si="1"/>
        <v>5</v>
      </c>
      <c r="CO67" s="72">
        <f t="shared" si="1"/>
        <v>43</v>
      </c>
      <c r="CP67" s="72">
        <f t="shared" si="1"/>
        <v>29</v>
      </c>
      <c r="CQ67" s="72">
        <f t="shared" si="1"/>
        <v>6</v>
      </c>
      <c r="CR67" s="72">
        <f t="shared" si="1"/>
        <v>7</v>
      </c>
      <c r="CS67" s="72">
        <f t="shared" si="1"/>
        <v>10</v>
      </c>
      <c r="CT67" s="72">
        <f t="shared" si="1"/>
        <v>0</v>
      </c>
      <c r="CU67" s="72">
        <f t="shared" si="1"/>
        <v>13</v>
      </c>
      <c r="CV67" s="72">
        <f t="shared" si="1"/>
        <v>0</v>
      </c>
      <c r="CW67" s="72">
        <f t="shared" si="1"/>
        <v>0</v>
      </c>
      <c r="CX67" s="72">
        <f t="shared" si="1"/>
        <v>1</v>
      </c>
      <c r="CY67" s="72">
        <f t="shared" si="1"/>
        <v>26</v>
      </c>
      <c r="CZ67" s="72">
        <f t="shared" si="1"/>
        <v>42</v>
      </c>
      <c r="DA67" s="72">
        <f t="shared" si="1"/>
        <v>41</v>
      </c>
      <c r="DB67" s="72">
        <f t="shared" si="1"/>
        <v>45</v>
      </c>
      <c r="DC67" s="72">
        <f t="shared" si="1"/>
        <v>21</v>
      </c>
      <c r="DD67" s="72">
        <f t="shared" si="1"/>
        <v>27</v>
      </c>
      <c r="DE67" s="72">
        <f t="shared" si="1"/>
        <v>31</v>
      </c>
      <c r="DF67" s="72">
        <f t="shared" si="1"/>
        <v>29</v>
      </c>
      <c r="DG67" s="72">
        <f t="shared" si="1"/>
        <v>22</v>
      </c>
      <c r="DH67" s="72">
        <f t="shared" si="1"/>
        <v>20</v>
      </c>
      <c r="DI67" s="72">
        <f t="shared" si="1"/>
        <v>28</v>
      </c>
      <c r="DJ67" s="72">
        <f t="shared" si="1"/>
        <v>26</v>
      </c>
      <c r="DK67" s="72">
        <f t="shared" si="1"/>
        <v>26</v>
      </c>
      <c r="DL67" s="72">
        <f t="shared" si="1"/>
        <v>30</v>
      </c>
      <c r="DM67" s="72">
        <f t="shared" si="1"/>
        <v>11</v>
      </c>
      <c r="DN67" s="72">
        <f t="shared" si="1"/>
        <v>32</v>
      </c>
      <c r="DO67" s="72">
        <f t="shared" si="1"/>
        <v>7</v>
      </c>
      <c r="DP67" s="72">
        <f t="shared" si="1"/>
        <v>17</v>
      </c>
      <c r="DQ67" s="72">
        <f t="shared" si="1"/>
        <v>13</v>
      </c>
      <c r="DR67" s="72">
        <f t="shared" si="1"/>
        <v>11</v>
      </c>
      <c r="DS67" s="72">
        <f t="shared" si="1"/>
        <v>3</v>
      </c>
      <c r="DT67" s="72">
        <f t="shared" si="1"/>
        <v>55</v>
      </c>
      <c r="DU67" s="72">
        <f t="shared" si="1"/>
        <v>1</v>
      </c>
      <c r="DV67" s="72">
        <f t="shared" si="1"/>
        <v>7</v>
      </c>
      <c r="DW67" s="72">
        <f t="shared" si="1"/>
        <v>0</v>
      </c>
      <c r="DX67" s="72">
        <f t="shared" si="1"/>
        <v>0</v>
      </c>
      <c r="DY67" s="72">
        <f t="shared" si="1"/>
        <v>4</v>
      </c>
      <c r="DZ67" s="72">
        <f t="shared" si="1"/>
        <v>62</v>
      </c>
      <c r="EA67" s="72">
        <f t="shared" ref="EA67:GL67" si="2">COUNTA(EA3:EA66)</f>
        <v>62</v>
      </c>
      <c r="EB67" s="72">
        <f t="shared" si="2"/>
        <v>37</v>
      </c>
      <c r="EC67" s="72">
        <f t="shared" si="2"/>
        <v>43</v>
      </c>
      <c r="ED67" s="72">
        <f t="shared" si="2"/>
        <v>38</v>
      </c>
      <c r="EE67" s="72">
        <f t="shared" si="2"/>
        <v>38</v>
      </c>
      <c r="EF67" s="72">
        <f t="shared" si="2"/>
        <v>39</v>
      </c>
      <c r="EG67" s="72">
        <f t="shared" si="2"/>
        <v>38</v>
      </c>
      <c r="EH67" s="72">
        <f t="shared" si="2"/>
        <v>40</v>
      </c>
      <c r="EI67" s="72">
        <f t="shared" si="2"/>
        <v>38</v>
      </c>
      <c r="EJ67" s="72">
        <f t="shared" si="2"/>
        <v>35</v>
      </c>
      <c r="EK67" s="72">
        <f t="shared" si="2"/>
        <v>36</v>
      </c>
      <c r="EL67" s="72">
        <f t="shared" si="2"/>
        <v>38</v>
      </c>
      <c r="EM67" s="72">
        <f t="shared" si="2"/>
        <v>28</v>
      </c>
      <c r="EN67" s="72">
        <f t="shared" si="2"/>
        <v>27</v>
      </c>
      <c r="EO67" s="72">
        <f t="shared" si="2"/>
        <v>32</v>
      </c>
      <c r="EP67" s="72">
        <f t="shared" si="2"/>
        <v>9</v>
      </c>
      <c r="EQ67" s="72">
        <f t="shared" si="2"/>
        <v>62</v>
      </c>
      <c r="ER67" s="72">
        <f t="shared" si="2"/>
        <v>62</v>
      </c>
      <c r="ES67" s="72">
        <f t="shared" si="2"/>
        <v>63</v>
      </c>
      <c r="ET67" s="72">
        <f t="shared" si="2"/>
        <v>63</v>
      </c>
      <c r="EU67" s="72">
        <f t="shared" si="2"/>
        <v>63</v>
      </c>
      <c r="EV67" s="72">
        <f t="shared" si="2"/>
        <v>63</v>
      </c>
      <c r="EW67" s="72">
        <f t="shared" si="2"/>
        <v>63</v>
      </c>
      <c r="EX67" s="72">
        <f t="shared" si="2"/>
        <v>63</v>
      </c>
      <c r="EY67" s="72">
        <f t="shared" si="2"/>
        <v>64</v>
      </c>
      <c r="EZ67" s="72">
        <f t="shared" si="2"/>
        <v>39</v>
      </c>
      <c r="FA67" s="72">
        <f t="shared" si="2"/>
        <v>3</v>
      </c>
      <c r="FB67" s="72">
        <f t="shared" si="2"/>
        <v>38</v>
      </c>
      <c r="FC67" s="72">
        <f t="shared" si="2"/>
        <v>15</v>
      </c>
      <c r="FD67" s="72">
        <f t="shared" si="2"/>
        <v>39</v>
      </c>
      <c r="FE67" s="72">
        <f t="shared" si="2"/>
        <v>37</v>
      </c>
      <c r="FF67" s="72">
        <f t="shared" si="2"/>
        <v>39</v>
      </c>
      <c r="FG67" s="72">
        <f t="shared" si="2"/>
        <v>3</v>
      </c>
      <c r="FH67" s="72">
        <f t="shared" si="2"/>
        <v>39</v>
      </c>
      <c r="FI67" s="72">
        <f t="shared" si="2"/>
        <v>39</v>
      </c>
      <c r="FJ67" s="72">
        <f t="shared" si="2"/>
        <v>37</v>
      </c>
      <c r="FK67" s="72">
        <f t="shared" si="2"/>
        <v>37</v>
      </c>
      <c r="FL67" s="72">
        <f t="shared" si="2"/>
        <v>16</v>
      </c>
      <c r="FM67" s="72">
        <f t="shared" si="2"/>
        <v>3</v>
      </c>
      <c r="FN67" s="72">
        <f t="shared" si="2"/>
        <v>4</v>
      </c>
      <c r="FO67" s="72">
        <f t="shared" si="2"/>
        <v>23</v>
      </c>
      <c r="FP67" s="72">
        <f t="shared" si="2"/>
        <v>4</v>
      </c>
      <c r="FQ67" s="72">
        <f t="shared" si="2"/>
        <v>0</v>
      </c>
      <c r="FR67" s="72">
        <f t="shared" si="2"/>
        <v>1</v>
      </c>
      <c r="FS67" s="72">
        <f t="shared" si="2"/>
        <v>1</v>
      </c>
      <c r="FT67" s="72">
        <f t="shared" si="2"/>
        <v>1</v>
      </c>
      <c r="FU67" s="72">
        <f t="shared" si="2"/>
        <v>5</v>
      </c>
      <c r="FV67" s="72">
        <f t="shared" si="2"/>
        <v>3</v>
      </c>
      <c r="FW67" s="72">
        <f t="shared" si="2"/>
        <v>39</v>
      </c>
      <c r="FX67" s="72">
        <f t="shared" si="2"/>
        <v>10</v>
      </c>
      <c r="FY67" s="72">
        <f t="shared" si="2"/>
        <v>2</v>
      </c>
      <c r="FZ67" s="72">
        <f t="shared" si="2"/>
        <v>10</v>
      </c>
      <c r="GA67" s="72">
        <f t="shared" si="2"/>
        <v>10</v>
      </c>
      <c r="GB67" s="72">
        <f t="shared" si="2"/>
        <v>10</v>
      </c>
      <c r="GC67" s="72">
        <f t="shared" si="2"/>
        <v>39</v>
      </c>
      <c r="GD67" s="72">
        <f t="shared" si="2"/>
        <v>38</v>
      </c>
      <c r="GE67" s="72">
        <f t="shared" si="2"/>
        <v>37</v>
      </c>
      <c r="GF67" s="72">
        <f t="shared" si="2"/>
        <v>37</v>
      </c>
      <c r="GG67" s="72">
        <f t="shared" si="2"/>
        <v>35</v>
      </c>
      <c r="GH67" s="72">
        <f t="shared" si="2"/>
        <v>32</v>
      </c>
      <c r="GI67" s="72">
        <f t="shared" si="2"/>
        <v>38</v>
      </c>
      <c r="GJ67" s="72">
        <f t="shared" si="2"/>
        <v>38</v>
      </c>
      <c r="GK67" s="72">
        <f t="shared" si="2"/>
        <v>36</v>
      </c>
      <c r="GL67" s="72">
        <f t="shared" si="2"/>
        <v>2</v>
      </c>
      <c r="GM67" s="72">
        <f t="shared" ref="GM67:HD67" si="3">COUNTA(GM3:GM66)</f>
        <v>37</v>
      </c>
      <c r="GN67" s="72">
        <f t="shared" si="3"/>
        <v>5</v>
      </c>
      <c r="GO67" s="72">
        <f t="shared" si="3"/>
        <v>17</v>
      </c>
      <c r="GP67" s="72">
        <f t="shared" si="3"/>
        <v>8</v>
      </c>
      <c r="GQ67" s="72">
        <f t="shared" si="3"/>
        <v>38</v>
      </c>
      <c r="GR67" s="72">
        <f t="shared" si="3"/>
        <v>64</v>
      </c>
      <c r="GS67" s="72">
        <f t="shared" si="3"/>
        <v>23</v>
      </c>
      <c r="GT67" s="72">
        <f t="shared" si="3"/>
        <v>25</v>
      </c>
      <c r="GU67" s="72">
        <f t="shared" si="3"/>
        <v>24</v>
      </c>
      <c r="GV67" s="72">
        <f t="shared" si="3"/>
        <v>16</v>
      </c>
      <c r="GW67" s="72">
        <f t="shared" si="3"/>
        <v>64</v>
      </c>
      <c r="GX67" s="72">
        <f t="shared" si="3"/>
        <v>64</v>
      </c>
      <c r="GY67" s="72">
        <f t="shared" si="3"/>
        <v>64</v>
      </c>
      <c r="GZ67" s="72">
        <f t="shared" si="3"/>
        <v>64</v>
      </c>
      <c r="HA67" s="72">
        <f t="shared" si="3"/>
        <v>15</v>
      </c>
      <c r="HB67" s="72">
        <f t="shared" si="3"/>
        <v>3</v>
      </c>
      <c r="HC67" s="72">
        <f t="shared" si="3"/>
        <v>64</v>
      </c>
      <c r="HD67" s="72">
        <f t="shared" si="3"/>
        <v>16</v>
      </c>
    </row>
  </sheetData>
  <autoFilter ref="A2:HD66" xr:uid="{0F7409F4-502F-45B5-B008-F5219C7AB236}">
    <sortState xmlns:xlrd2="http://schemas.microsoft.com/office/spreadsheetml/2017/richdata2" ref="A3:HD66">
      <sortCondition ref="A3:A66"/>
    </sortState>
  </autoFilter>
  <hyperlinks>
    <hyperlink ref="A1" location="Index!A1" display="Index"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G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8"/>
    <col min="2" max="2" width="30.7109375" style="9" customWidth="1"/>
    <col min="3" max="4" width="50.7109375" style="9" customWidth="1"/>
    <col min="5" max="24" width="30.7109375" style="9" customWidth="1"/>
    <col min="25" max="60" width="30.7109375" style="10" customWidth="1"/>
    <col min="61" max="61" width="60.7109375" style="10" customWidth="1"/>
    <col min="62" max="67" width="30.7109375" style="10" customWidth="1"/>
    <col min="68" max="130" width="30.7109375" style="9" customWidth="1"/>
    <col min="131" max="131" width="50.7109375" style="9" customWidth="1"/>
    <col min="132" max="133" width="30.7109375" style="9" customWidth="1"/>
    <col min="134" max="134" width="32.7109375" style="9" customWidth="1"/>
    <col min="135" max="146" width="30.7109375" style="9" customWidth="1"/>
    <col min="147" max="147" width="90.7109375" style="9" customWidth="1"/>
    <col min="148" max="151" width="30.7109375" style="9" customWidth="1"/>
    <col min="152" max="152" width="60.7109375" style="9" customWidth="1"/>
    <col min="153" max="193" width="30.7109375" style="9" customWidth="1"/>
    <col min="194" max="194" width="90.7109375" style="9" customWidth="1"/>
    <col min="195" max="195" width="50.7109375" style="9" customWidth="1"/>
    <col min="196" max="213" width="30.7109375" style="9" customWidth="1"/>
    <col min="214" max="214" width="200.7109375" style="9" customWidth="1"/>
    <col min="215" max="215" width="30.7109375" style="9" customWidth="1"/>
    <col min="216" max="16384" width="9.140625" style="8"/>
  </cols>
  <sheetData>
    <row r="1" spans="1:215" s="30" customFormat="1" x14ac:dyDescent="0.2">
      <c r="A1" s="70" t="s">
        <v>181</v>
      </c>
      <c r="B1" s="12" t="s">
        <v>2449</v>
      </c>
      <c r="C1" s="12" t="s">
        <v>2450</v>
      </c>
      <c r="D1" s="12" t="s">
        <v>2451</v>
      </c>
      <c r="E1" s="12" t="s">
        <v>2452</v>
      </c>
      <c r="F1" s="12" t="s">
        <v>2453</v>
      </c>
      <c r="G1" s="12" t="s">
        <v>2454</v>
      </c>
      <c r="H1" s="12" t="s">
        <v>2455</v>
      </c>
      <c r="I1" s="12" t="s">
        <v>2456</v>
      </c>
      <c r="J1" s="12" t="s">
        <v>2457</v>
      </c>
      <c r="K1" s="12" t="s">
        <v>2458</v>
      </c>
      <c r="L1" s="12" t="s">
        <v>2459</v>
      </c>
      <c r="M1" s="12" t="s">
        <v>2460</v>
      </c>
      <c r="N1" s="12" t="s">
        <v>2461</v>
      </c>
      <c r="O1" s="12" t="s">
        <v>2462</v>
      </c>
      <c r="P1" s="12" t="s">
        <v>2463</v>
      </c>
      <c r="Q1" s="12" t="s">
        <v>2464</v>
      </c>
      <c r="R1" s="12" t="s">
        <v>2465</v>
      </c>
      <c r="S1" s="12" t="s">
        <v>2466</v>
      </c>
      <c r="T1" s="12" t="s">
        <v>2467</v>
      </c>
      <c r="U1" s="12" t="s">
        <v>2468</v>
      </c>
      <c r="V1" s="12" t="s">
        <v>2469</v>
      </c>
      <c r="W1" s="12" t="s">
        <v>2470</v>
      </c>
      <c r="X1" s="12" t="s">
        <v>2471</v>
      </c>
      <c r="Y1" s="13" t="s">
        <v>2472</v>
      </c>
      <c r="Z1" s="13" t="s">
        <v>2473</v>
      </c>
      <c r="AA1" s="13" t="s">
        <v>2474</v>
      </c>
      <c r="AB1" s="13" t="s">
        <v>2475</v>
      </c>
      <c r="AC1" s="13" t="s">
        <v>2476</v>
      </c>
      <c r="AD1" s="13" t="s">
        <v>2477</v>
      </c>
      <c r="AE1" s="13" t="s">
        <v>2478</v>
      </c>
      <c r="AF1" s="13" t="s">
        <v>2479</v>
      </c>
      <c r="AG1" s="13" t="s">
        <v>2480</v>
      </c>
      <c r="AH1" s="13" t="s">
        <v>2481</v>
      </c>
      <c r="AI1" s="13" t="s">
        <v>2482</v>
      </c>
      <c r="AJ1" s="13" t="s">
        <v>2483</v>
      </c>
      <c r="AK1" s="13" t="s">
        <v>2484</v>
      </c>
      <c r="AL1" s="13" t="s">
        <v>2485</v>
      </c>
      <c r="AM1" s="13" t="s">
        <v>2486</v>
      </c>
      <c r="AN1" s="13" t="s">
        <v>2487</v>
      </c>
      <c r="AO1" s="13" t="s">
        <v>2488</v>
      </c>
      <c r="AP1" s="13" t="s">
        <v>2489</v>
      </c>
      <c r="AQ1" s="13" t="s">
        <v>2490</v>
      </c>
      <c r="AR1" s="13" t="s">
        <v>2491</v>
      </c>
      <c r="AS1" s="13" t="s">
        <v>2492</v>
      </c>
      <c r="AT1" s="13" t="s">
        <v>2493</v>
      </c>
      <c r="AU1" s="13" t="s">
        <v>2494</v>
      </c>
      <c r="AV1" s="13" t="s">
        <v>2495</v>
      </c>
      <c r="AW1" s="13" t="s">
        <v>2496</v>
      </c>
      <c r="AX1" s="13" t="s">
        <v>2497</v>
      </c>
      <c r="AY1" s="13" t="s">
        <v>2498</v>
      </c>
      <c r="AZ1" s="13" t="s">
        <v>2499</v>
      </c>
      <c r="BA1" s="13" t="s">
        <v>2500</v>
      </c>
      <c r="BB1" s="13" t="s">
        <v>2501</v>
      </c>
      <c r="BC1" s="13" t="s">
        <v>2502</v>
      </c>
      <c r="BD1" s="13" t="s">
        <v>2503</v>
      </c>
      <c r="BE1" s="13" t="s">
        <v>2504</v>
      </c>
      <c r="BF1" s="13" t="s">
        <v>2505</v>
      </c>
      <c r="BG1" s="13" t="s">
        <v>2506</v>
      </c>
      <c r="BH1" s="13" t="s">
        <v>2507</v>
      </c>
      <c r="BI1" s="13" t="s">
        <v>2508</v>
      </c>
      <c r="BJ1" s="13" t="s">
        <v>2509</v>
      </c>
      <c r="BK1" s="13" t="s">
        <v>2510</v>
      </c>
      <c r="BL1" s="13" t="s">
        <v>2511</v>
      </c>
      <c r="BM1" s="13" t="s">
        <v>2512</v>
      </c>
      <c r="BN1" s="13" t="s">
        <v>2513</v>
      </c>
      <c r="BO1" s="13" t="s">
        <v>2514</v>
      </c>
      <c r="BP1" s="12" t="s">
        <v>2515</v>
      </c>
      <c r="BQ1" s="12" t="s">
        <v>2516</v>
      </c>
      <c r="BR1" s="12" t="s">
        <v>2517</v>
      </c>
      <c r="BS1" s="12" t="s">
        <v>2518</v>
      </c>
      <c r="BT1" s="12" t="s">
        <v>2519</v>
      </c>
      <c r="BU1" s="12" t="s">
        <v>2520</v>
      </c>
      <c r="BV1" s="12" t="s">
        <v>2521</v>
      </c>
      <c r="BW1" s="12" t="s">
        <v>2522</v>
      </c>
      <c r="BX1" s="12" t="s">
        <v>2523</v>
      </c>
      <c r="BY1" s="12" t="s">
        <v>2524</v>
      </c>
      <c r="BZ1" s="12" t="s">
        <v>2525</v>
      </c>
      <c r="CA1" s="12" t="s">
        <v>2526</v>
      </c>
      <c r="CB1" s="12" t="s">
        <v>2527</v>
      </c>
      <c r="CC1" s="12" t="s">
        <v>2528</v>
      </c>
      <c r="CD1" s="12" t="s">
        <v>2529</v>
      </c>
      <c r="CE1" s="12" t="s">
        <v>2530</v>
      </c>
      <c r="CF1" s="12" t="s">
        <v>2531</v>
      </c>
      <c r="CG1" s="12" t="s">
        <v>2532</v>
      </c>
      <c r="CH1" s="12" t="s">
        <v>2533</v>
      </c>
      <c r="CI1" s="12" t="s">
        <v>2534</v>
      </c>
      <c r="CJ1" s="12" t="s">
        <v>2535</v>
      </c>
      <c r="CK1" s="12" t="s">
        <v>2536</v>
      </c>
      <c r="CL1" s="12" t="s">
        <v>2537</v>
      </c>
      <c r="CM1" s="12" t="s">
        <v>2538</v>
      </c>
      <c r="CN1" s="12" t="s">
        <v>2539</v>
      </c>
      <c r="CO1" s="12" t="s">
        <v>2540</v>
      </c>
      <c r="CP1" s="12" t="s">
        <v>2541</v>
      </c>
      <c r="CQ1" s="12" t="s">
        <v>2542</v>
      </c>
      <c r="CR1" s="12" t="s">
        <v>2543</v>
      </c>
      <c r="CS1" s="12" t="s">
        <v>2544</v>
      </c>
      <c r="CT1" s="12" t="s">
        <v>2545</v>
      </c>
      <c r="CU1" s="12" t="s">
        <v>2546</v>
      </c>
      <c r="CV1" s="12" t="s">
        <v>2547</v>
      </c>
      <c r="CW1" s="12" t="s">
        <v>2548</v>
      </c>
      <c r="CX1" s="12" t="s">
        <v>2549</v>
      </c>
      <c r="CY1" s="12" t="s">
        <v>2550</v>
      </c>
      <c r="CZ1" s="12" t="s">
        <v>2551</v>
      </c>
      <c r="DA1" s="12" t="s">
        <v>2552</v>
      </c>
      <c r="DB1" s="12" t="s">
        <v>2553</v>
      </c>
      <c r="DC1" s="12" t="s">
        <v>2554</v>
      </c>
      <c r="DD1" s="12" t="s">
        <v>2555</v>
      </c>
      <c r="DE1" s="12" t="s">
        <v>2556</v>
      </c>
      <c r="DF1" s="12" t="s">
        <v>2557</v>
      </c>
      <c r="DG1" s="12" t="s">
        <v>2558</v>
      </c>
      <c r="DH1" s="12" t="s">
        <v>2559</v>
      </c>
      <c r="DI1" s="12" t="s">
        <v>2560</v>
      </c>
      <c r="DJ1" s="12" t="s">
        <v>2561</v>
      </c>
      <c r="DK1" s="12" t="s">
        <v>2562</v>
      </c>
      <c r="DL1" s="12" t="s">
        <v>2563</v>
      </c>
      <c r="DM1" s="12" t="s">
        <v>2564</v>
      </c>
      <c r="DN1" s="12" t="s">
        <v>2565</v>
      </c>
      <c r="DO1" s="12" t="s">
        <v>2566</v>
      </c>
      <c r="DP1" s="12" t="s">
        <v>2567</v>
      </c>
      <c r="DQ1" s="12" t="s">
        <v>2568</v>
      </c>
      <c r="DR1" s="12" t="s">
        <v>2569</v>
      </c>
      <c r="DS1" s="12" t="s">
        <v>2570</v>
      </c>
      <c r="DT1" s="12" t="s">
        <v>2571</v>
      </c>
      <c r="DU1" s="12" t="s">
        <v>2572</v>
      </c>
      <c r="DV1" s="12" t="s">
        <v>2573</v>
      </c>
      <c r="DW1" s="12" t="s">
        <v>2574</v>
      </c>
      <c r="DX1" s="12" t="s">
        <v>2575</v>
      </c>
      <c r="DY1" s="12" t="s">
        <v>2576</v>
      </c>
      <c r="DZ1" s="12" t="s">
        <v>2577</v>
      </c>
      <c r="EA1" s="12" t="s">
        <v>2578</v>
      </c>
      <c r="EB1" s="12" t="s">
        <v>2579</v>
      </c>
      <c r="EC1" s="12" t="s">
        <v>2580</v>
      </c>
      <c r="ED1" s="12" t="s">
        <v>2581</v>
      </c>
      <c r="EE1" s="12" t="s">
        <v>2582</v>
      </c>
      <c r="EF1" s="12" t="s">
        <v>2583</v>
      </c>
      <c r="EG1" s="12" t="s">
        <v>2584</v>
      </c>
      <c r="EH1" s="12" t="s">
        <v>2585</v>
      </c>
      <c r="EI1" s="12" t="s">
        <v>2586</v>
      </c>
      <c r="EJ1" s="12" t="s">
        <v>2587</v>
      </c>
      <c r="EK1" s="12" t="s">
        <v>2588</v>
      </c>
      <c r="EL1" s="12" t="s">
        <v>2589</v>
      </c>
      <c r="EM1" s="12" t="s">
        <v>2590</v>
      </c>
      <c r="EN1" s="12" t="s">
        <v>2591</v>
      </c>
      <c r="EO1" s="12" t="s">
        <v>2592</v>
      </c>
      <c r="EP1" s="12" t="s">
        <v>2593</v>
      </c>
      <c r="EQ1" s="12" t="s">
        <v>2594</v>
      </c>
      <c r="ER1" s="12" t="s">
        <v>2595</v>
      </c>
      <c r="ES1" s="12" t="s">
        <v>2596</v>
      </c>
      <c r="ET1" s="12" t="s">
        <v>2597</v>
      </c>
      <c r="EU1" s="12" t="s">
        <v>2598</v>
      </c>
      <c r="EV1" s="12" t="s">
        <v>2599</v>
      </c>
      <c r="EW1" s="12" t="s">
        <v>2600</v>
      </c>
      <c r="EX1" s="12" t="s">
        <v>2601</v>
      </c>
      <c r="EY1" s="12" t="s">
        <v>2602</v>
      </c>
      <c r="EZ1" s="12" t="s">
        <v>2603</v>
      </c>
      <c r="FA1" s="12" t="s">
        <v>2604</v>
      </c>
      <c r="FB1" s="12" t="s">
        <v>2605</v>
      </c>
      <c r="FC1" s="12" t="s">
        <v>2606</v>
      </c>
      <c r="FD1" s="12" t="s">
        <v>2607</v>
      </c>
      <c r="FE1" s="12" t="s">
        <v>2608</v>
      </c>
      <c r="FF1" s="12" t="s">
        <v>2609</v>
      </c>
      <c r="FG1" s="12" t="s">
        <v>2610</v>
      </c>
      <c r="FH1" s="12" t="s">
        <v>2611</v>
      </c>
      <c r="FI1" s="12" t="s">
        <v>2612</v>
      </c>
      <c r="FJ1" s="12" t="s">
        <v>2613</v>
      </c>
      <c r="FK1" s="12" t="s">
        <v>2614</v>
      </c>
      <c r="FL1" s="12" t="s">
        <v>2615</v>
      </c>
      <c r="FM1" s="12" t="s">
        <v>2616</v>
      </c>
      <c r="FN1" s="12" t="s">
        <v>2617</v>
      </c>
      <c r="FO1" s="12" t="s">
        <v>2618</v>
      </c>
      <c r="FP1" s="12" t="s">
        <v>2619</v>
      </c>
      <c r="FQ1" s="12" t="s">
        <v>2620</v>
      </c>
      <c r="FR1" s="12" t="s">
        <v>2621</v>
      </c>
      <c r="FS1" s="12" t="s">
        <v>2622</v>
      </c>
      <c r="FT1" s="12" t="s">
        <v>2623</v>
      </c>
      <c r="FU1" s="12" t="s">
        <v>2624</v>
      </c>
      <c r="FV1" s="12" t="s">
        <v>2625</v>
      </c>
      <c r="FW1" s="12" t="s">
        <v>2626</v>
      </c>
      <c r="FX1" s="12" t="s">
        <v>2627</v>
      </c>
      <c r="FY1" s="12" t="s">
        <v>2628</v>
      </c>
      <c r="FZ1" s="12" t="s">
        <v>2629</v>
      </c>
      <c r="GA1" s="12" t="s">
        <v>2630</v>
      </c>
      <c r="GB1" s="12" t="s">
        <v>2631</v>
      </c>
      <c r="GC1" s="12" t="s">
        <v>2632</v>
      </c>
      <c r="GD1" s="12" t="s">
        <v>2633</v>
      </c>
      <c r="GE1" s="12" t="s">
        <v>2634</v>
      </c>
      <c r="GF1" s="12" t="s">
        <v>2635</v>
      </c>
      <c r="GG1" s="12" t="s">
        <v>2636</v>
      </c>
      <c r="GH1" s="12" t="s">
        <v>2637</v>
      </c>
      <c r="GI1" s="12" t="s">
        <v>2638</v>
      </c>
      <c r="GJ1" s="12" t="s">
        <v>2639</v>
      </c>
      <c r="GK1" s="12" t="s">
        <v>2640</v>
      </c>
      <c r="GL1" s="12" t="s">
        <v>2641</v>
      </c>
      <c r="GM1" s="12" t="s">
        <v>2642</v>
      </c>
      <c r="GN1" s="12" t="s">
        <v>2643</v>
      </c>
      <c r="GO1" s="12" t="s">
        <v>2644</v>
      </c>
      <c r="GP1" s="12" t="s">
        <v>2645</v>
      </c>
      <c r="GQ1" s="12" t="s">
        <v>2646</v>
      </c>
      <c r="GR1" s="12" t="s">
        <v>2647</v>
      </c>
      <c r="GS1" s="12" t="s">
        <v>2648</v>
      </c>
      <c r="GT1" s="12" t="s">
        <v>2649</v>
      </c>
      <c r="GU1" s="12" t="s">
        <v>2650</v>
      </c>
      <c r="GV1" s="12" t="s">
        <v>2651</v>
      </c>
      <c r="GW1" s="12" t="s">
        <v>2652</v>
      </c>
      <c r="GX1" s="12" t="s">
        <v>2653</v>
      </c>
      <c r="GY1" s="12" t="s">
        <v>2654</v>
      </c>
      <c r="GZ1" s="12" t="s">
        <v>2655</v>
      </c>
      <c r="HA1" s="12" t="s">
        <v>2656</v>
      </c>
      <c r="HB1" s="12" t="s">
        <v>2657</v>
      </c>
      <c r="HC1" s="12" t="s">
        <v>2658</v>
      </c>
      <c r="HD1" s="12" t="s">
        <v>2659</v>
      </c>
      <c r="HE1" s="12" t="s">
        <v>2660</v>
      </c>
      <c r="HF1" s="12" t="s">
        <v>2661</v>
      </c>
      <c r="HG1" s="12" t="s">
        <v>2662</v>
      </c>
    </row>
    <row r="2" spans="1:215" s="30" customFormat="1" ht="63.75" x14ac:dyDescent="0.2">
      <c r="A2" s="30" t="s">
        <v>116</v>
      </c>
      <c r="B2" s="75" t="s">
        <v>12507</v>
      </c>
      <c r="C2" s="75" t="s">
        <v>12508</v>
      </c>
      <c r="D2" s="75" t="s">
        <v>12509</v>
      </c>
      <c r="E2" s="75" t="s">
        <v>12510</v>
      </c>
      <c r="F2" s="75" t="s">
        <v>12511</v>
      </c>
      <c r="G2" s="75" t="s">
        <v>12512</v>
      </c>
      <c r="H2" s="75" t="s">
        <v>12513</v>
      </c>
      <c r="I2" s="75" t="s">
        <v>12514</v>
      </c>
      <c r="J2" s="75" t="s">
        <v>12515</v>
      </c>
      <c r="K2" s="75" t="s">
        <v>12516</v>
      </c>
      <c r="L2" s="75" t="s">
        <v>12517</v>
      </c>
      <c r="M2" s="75" t="s">
        <v>12518</v>
      </c>
      <c r="N2" s="75" t="s">
        <v>12519</v>
      </c>
      <c r="O2" s="75" t="s">
        <v>12520</v>
      </c>
      <c r="P2" s="75" t="s">
        <v>12521</v>
      </c>
      <c r="Q2" s="75" t="s">
        <v>12522</v>
      </c>
      <c r="R2" s="75" t="s">
        <v>12523</v>
      </c>
      <c r="S2" s="75" t="s">
        <v>12524</v>
      </c>
      <c r="T2" s="75" t="s">
        <v>12525</v>
      </c>
      <c r="U2" s="12" t="s">
        <v>12526</v>
      </c>
      <c r="V2" s="12" t="s">
        <v>12527</v>
      </c>
      <c r="W2" s="12" t="s">
        <v>14546</v>
      </c>
      <c r="X2" s="75" t="s">
        <v>12528</v>
      </c>
      <c r="Y2" s="13" t="s">
        <v>12529</v>
      </c>
      <c r="Z2" s="13" t="s">
        <v>12530</v>
      </c>
      <c r="AA2" s="13" t="s">
        <v>12531</v>
      </c>
      <c r="AB2" s="13" t="s">
        <v>12532</v>
      </c>
      <c r="AC2" s="13" t="s">
        <v>12533</v>
      </c>
      <c r="AD2" s="13" t="s">
        <v>12534</v>
      </c>
      <c r="AE2" s="13" t="s">
        <v>12535</v>
      </c>
      <c r="AF2" s="13" t="s">
        <v>12536</v>
      </c>
      <c r="AG2" s="13" t="s">
        <v>12537</v>
      </c>
      <c r="AH2" s="13" t="s">
        <v>12538</v>
      </c>
      <c r="AI2" s="13" t="s">
        <v>12539</v>
      </c>
      <c r="AJ2" s="13" t="s">
        <v>12540</v>
      </c>
      <c r="AK2" s="13" t="s">
        <v>12541</v>
      </c>
      <c r="AL2" s="13" t="s">
        <v>12542</v>
      </c>
      <c r="AM2" s="13" t="s">
        <v>12543</v>
      </c>
      <c r="AN2" s="13" t="s">
        <v>12544</v>
      </c>
      <c r="AO2" s="13" t="s">
        <v>12545</v>
      </c>
      <c r="AP2" s="13" t="s">
        <v>12546</v>
      </c>
      <c r="AQ2" s="13" t="s">
        <v>12547</v>
      </c>
      <c r="AR2" s="73" t="s">
        <v>12548</v>
      </c>
      <c r="AS2" s="73" t="s">
        <v>12549</v>
      </c>
      <c r="AT2" s="73" t="s">
        <v>12550</v>
      </c>
      <c r="AU2" s="73" t="s">
        <v>12551</v>
      </c>
      <c r="AV2" s="73" t="s">
        <v>12552</v>
      </c>
      <c r="AW2" s="73" t="s">
        <v>12553</v>
      </c>
      <c r="AX2" s="73" t="s">
        <v>12554</v>
      </c>
      <c r="AY2" s="73" t="s">
        <v>12555</v>
      </c>
      <c r="AZ2" s="73" t="s">
        <v>12556</v>
      </c>
      <c r="BA2" s="73" t="s">
        <v>12557</v>
      </c>
      <c r="BB2" s="73" t="s">
        <v>12558</v>
      </c>
      <c r="BC2" s="73" t="s">
        <v>12559</v>
      </c>
      <c r="BD2" s="73" t="s">
        <v>12560</v>
      </c>
      <c r="BE2" s="73" t="s">
        <v>12561</v>
      </c>
      <c r="BF2" s="73" t="s">
        <v>12562</v>
      </c>
      <c r="BG2" s="73" t="s">
        <v>12563</v>
      </c>
      <c r="BH2" s="73" t="s">
        <v>12564</v>
      </c>
      <c r="BI2" s="73" t="s">
        <v>12565</v>
      </c>
      <c r="BJ2" s="73" t="s">
        <v>12566</v>
      </c>
      <c r="BK2" s="73" t="s">
        <v>12567</v>
      </c>
      <c r="BL2" s="13" t="s">
        <v>12568</v>
      </c>
      <c r="BM2" s="13" t="s">
        <v>12569</v>
      </c>
      <c r="BN2" s="13" t="s">
        <v>12570</v>
      </c>
      <c r="BO2" s="13" t="s">
        <v>12571</v>
      </c>
      <c r="BP2" s="75" t="s">
        <v>12572</v>
      </c>
      <c r="BQ2" s="75" t="s">
        <v>12573</v>
      </c>
      <c r="BR2" s="75" t="s">
        <v>12574</v>
      </c>
      <c r="BS2" s="75" t="s">
        <v>12575</v>
      </c>
      <c r="BT2" s="75" t="s">
        <v>12576</v>
      </c>
      <c r="BU2" s="75" t="s">
        <v>12577</v>
      </c>
      <c r="BV2" s="75" t="s">
        <v>12578</v>
      </c>
      <c r="BW2" s="12" t="s">
        <v>14547</v>
      </c>
      <c r="BX2" s="12" t="s">
        <v>12579</v>
      </c>
      <c r="BY2" s="12" t="s">
        <v>12580</v>
      </c>
      <c r="BZ2" s="12" t="s">
        <v>12581</v>
      </c>
      <c r="CA2" s="12" t="s">
        <v>12582</v>
      </c>
      <c r="CB2" s="12" t="s">
        <v>12583</v>
      </c>
      <c r="CC2" s="12" t="s">
        <v>12584</v>
      </c>
      <c r="CD2" s="75" t="s">
        <v>14548</v>
      </c>
      <c r="CE2" s="75" t="s">
        <v>12585</v>
      </c>
      <c r="CF2" s="75" t="s">
        <v>12586</v>
      </c>
      <c r="CG2" s="75" t="s">
        <v>12587</v>
      </c>
      <c r="CH2" s="75" t="s">
        <v>12588</v>
      </c>
      <c r="CI2" s="75" t="s">
        <v>12589</v>
      </c>
      <c r="CJ2" s="75" t="s">
        <v>12590</v>
      </c>
      <c r="CK2" s="12" t="s">
        <v>14549</v>
      </c>
      <c r="CL2" s="12" t="s">
        <v>12591</v>
      </c>
      <c r="CM2" s="12" t="s">
        <v>12592</v>
      </c>
      <c r="CN2" s="12" t="s">
        <v>12593</v>
      </c>
      <c r="CO2" s="12" t="s">
        <v>12594</v>
      </c>
      <c r="CP2" s="12" t="s">
        <v>12595</v>
      </c>
      <c r="CQ2" s="12" t="s">
        <v>12596</v>
      </c>
      <c r="CR2" s="75" t="s">
        <v>14550</v>
      </c>
      <c r="CS2" s="75" t="s">
        <v>12597</v>
      </c>
      <c r="CT2" s="75" t="s">
        <v>12598</v>
      </c>
      <c r="CU2" s="75" t="s">
        <v>12599</v>
      </c>
      <c r="CV2" s="75" t="s">
        <v>12600</v>
      </c>
      <c r="CW2" s="75" t="s">
        <v>12601</v>
      </c>
      <c r="CX2" s="75" t="s">
        <v>12602</v>
      </c>
      <c r="CY2" s="12" t="s">
        <v>12603</v>
      </c>
      <c r="CZ2" s="12" t="s">
        <v>12604</v>
      </c>
      <c r="DA2" s="12" t="s">
        <v>12605</v>
      </c>
      <c r="DB2" s="24" t="s">
        <v>12606</v>
      </c>
      <c r="DC2" s="24" t="s">
        <v>12607</v>
      </c>
      <c r="DD2" s="24" t="s">
        <v>12608</v>
      </c>
      <c r="DE2" s="24" t="s">
        <v>12609</v>
      </c>
      <c r="DF2" s="24" t="s">
        <v>12610</v>
      </c>
      <c r="DG2" s="12" t="s">
        <v>12611</v>
      </c>
      <c r="DH2" s="12" t="s">
        <v>12612</v>
      </c>
      <c r="DI2" s="12" t="s">
        <v>12613</v>
      </c>
      <c r="DJ2" s="12" t="s">
        <v>12614</v>
      </c>
      <c r="DK2" s="12" t="s">
        <v>12615</v>
      </c>
      <c r="DL2" s="12" t="s">
        <v>12616</v>
      </c>
      <c r="DM2" s="12" t="s">
        <v>12617</v>
      </c>
      <c r="DN2" s="12" t="s">
        <v>12618</v>
      </c>
      <c r="DO2" s="12" t="s">
        <v>12619</v>
      </c>
      <c r="DP2" s="12" t="s">
        <v>12620</v>
      </c>
      <c r="DQ2" s="75" t="s">
        <v>12621</v>
      </c>
      <c r="DR2" s="75" t="s">
        <v>12622</v>
      </c>
      <c r="DS2" s="75" t="s">
        <v>12623</v>
      </c>
      <c r="DT2" s="75" t="s">
        <v>12624</v>
      </c>
      <c r="DU2" s="75" t="s">
        <v>12625</v>
      </c>
      <c r="DV2" s="75" t="s">
        <v>12626</v>
      </c>
      <c r="DW2" s="75" t="s">
        <v>12627</v>
      </c>
      <c r="DX2" s="12" t="s">
        <v>12628</v>
      </c>
      <c r="DY2" s="12" t="s">
        <v>12629</v>
      </c>
      <c r="DZ2" s="12" t="s">
        <v>12630</v>
      </c>
      <c r="EA2" s="12" t="s">
        <v>12631</v>
      </c>
      <c r="EB2" s="12" t="s">
        <v>12632</v>
      </c>
      <c r="EC2" s="12" t="s">
        <v>12633</v>
      </c>
      <c r="ED2" s="12" t="s">
        <v>12634</v>
      </c>
      <c r="EE2" s="12" t="s">
        <v>12635</v>
      </c>
      <c r="EF2" s="12" t="s">
        <v>12636</v>
      </c>
      <c r="EG2" s="12" t="s">
        <v>12637</v>
      </c>
      <c r="EH2" s="12" t="s">
        <v>12638</v>
      </c>
      <c r="EI2" s="12" t="s">
        <v>12639</v>
      </c>
      <c r="EJ2" s="75" t="s">
        <v>12640</v>
      </c>
      <c r="EK2" s="75" t="s">
        <v>12641</v>
      </c>
      <c r="EL2" s="75" t="s">
        <v>12642</v>
      </c>
      <c r="EM2" s="75" t="s">
        <v>12643</v>
      </c>
      <c r="EN2" s="75" t="s">
        <v>12644</v>
      </c>
      <c r="EO2" s="75" t="s">
        <v>12645</v>
      </c>
      <c r="EP2" s="75" t="s">
        <v>12646</v>
      </c>
      <c r="EQ2" s="75" t="s">
        <v>12647</v>
      </c>
      <c r="ER2" s="75" t="s">
        <v>14556</v>
      </c>
      <c r="ES2" s="75" t="s">
        <v>12648</v>
      </c>
      <c r="ET2" s="75" t="s">
        <v>12649</v>
      </c>
      <c r="EU2" s="12" t="s">
        <v>12650</v>
      </c>
      <c r="EV2" s="12" t="s">
        <v>12651</v>
      </c>
      <c r="EW2" s="12" t="s">
        <v>12652</v>
      </c>
      <c r="EX2" s="12" t="s">
        <v>12653</v>
      </c>
      <c r="EY2" s="12" t="s">
        <v>12654</v>
      </c>
      <c r="EZ2" s="12" t="s">
        <v>12655</v>
      </c>
      <c r="FA2" s="12" t="s">
        <v>12656</v>
      </c>
      <c r="FB2" s="12" t="s">
        <v>12657</v>
      </c>
      <c r="FC2" s="12" t="s">
        <v>12658</v>
      </c>
      <c r="FD2" s="12" t="s">
        <v>12659</v>
      </c>
      <c r="FE2" s="12" t="s">
        <v>12660</v>
      </c>
      <c r="FF2" s="12" t="s">
        <v>12661</v>
      </c>
      <c r="FG2" s="12" t="s">
        <v>12662</v>
      </c>
      <c r="FH2" s="12" t="s">
        <v>12663</v>
      </c>
      <c r="FI2" s="12" t="s">
        <v>14559</v>
      </c>
      <c r="FJ2" s="12" t="s">
        <v>12664</v>
      </c>
      <c r="FK2" s="12" t="s">
        <v>12665</v>
      </c>
      <c r="FL2" s="12" t="s">
        <v>12666</v>
      </c>
      <c r="FM2" s="12" t="s">
        <v>12667</v>
      </c>
      <c r="FN2" s="12" t="s">
        <v>12668</v>
      </c>
      <c r="FO2" s="12" t="s">
        <v>12669</v>
      </c>
      <c r="FP2" s="12" t="s">
        <v>12670</v>
      </c>
      <c r="FQ2" s="12" t="s">
        <v>12671</v>
      </c>
      <c r="FR2" s="12" t="s">
        <v>12672</v>
      </c>
      <c r="FS2" s="12" t="s">
        <v>12673</v>
      </c>
      <c r="FT2" s="12" t="s">
        <v>12674</v>
      </c>
      <c r="FU2" s="75" t="s">
        <v>12675</v>
      </c>
      <c r="FV2" s="75" t="s">
        <v>12676</v>
      </c>
      <c r="FW2" s="75" t="s">
        <v>12677</v>
      </c>
      <c r="FX2" s="12" t="s">
        <v>12678</v>
      </c>
      <c r="FY2" s="12" t="s">
        <v>12679</v>
      </c>
      <c r="FZ2" s="75" t="s">
        <v>12680</v>
      </c>
      <c r="GA2" s="75" t="s">
        <v>12681</v>
      </c>
      <c r="GB2" s="12" t="s">
        <v>12682</v>
      </c>
      <c r="GC2" s="12" t="s">
        <v>12683</v>
      </c>
      <c r="GD2" s="12" t="s">
        <v>12684</v>
      </c>
      <c r="GE2" s="12" t="s">
        <v>12685</v>
      </c>
      <c r="GF2" s="75" t="s">
        <v>12686</v>
      </c>
      <c r="GG2" s="75" t="s">
        <v>12687</v>
      </c>
      <c r="GH2" s="75" t="s">
        <v>12688</v>
      </c>
      <c r="GI2" s="75" t="s">
        <v>12689</v>
      </c>
      <c r="GJ2" s="75" t="s">
        <v>12690</v>
      </c>
      <c r="GK2" s="12" t="s">
        <v>12691</v>
      </c>
      <c r="GL2" s="75" t="s">
        <v>12692</v>
      </c>
      <c r="GM2" s="12" t="s">
        <v>12693</v>
      </c>
      <c r="GN2" s="12" t="s">
        <v>12694</v>
      </c>
      <c r="GO2" s="75" t="s">
        <v>12695</v>
      </c>
      <c r="GP2" s="75" t="s">
        <v>12696</v>
      </c>
      <c r="GQ2" s="75" t="s">
        <v>12697</v>
      </c>
      <c r="GR2" s="75" t="s">
        <v>14558</v>
      </c>
      <c r="GS2" s="75" t="s">
        <v>12698</v>
      </c>
      <c r="GT2" s="75" t="s">
        <v>12699</v>
      </c>
      <c r="GU2" s="75" t="s">
        <v>12700</v>
      </c>
      <c r="GV2" s="12" t="s">
        <v>12701</v>
      </c>
      <c r="GW2" s="12" t="s">
        <v>12702</v>
      </c>
      <c r="GX2" s="12" t="s">
        <v>12703</v>
      </c>
      <c r="GY2" s="12" t="s">
        <v>12704</v>
      </c>
      <c r="GZ2" s="12" t="s">
        <v>12705</v>
      </c>
      <c r="HA2" s="75" t="s">
        <v>12706</v>
      </c>
      <c r="HB2" s="75" t="s">
        <v>12707</v>
      </c>
      <c r="HC2" s="75" t="s">
        <v>12708</v>
      </c>
      <c r="HD2" s="75" t="s">
        <v>12709</v>
      </c>
      <c r="HE2" s="75" t="s">
        <v>12710</v>
      </c>
      <c r="HF2" s="75" t="s">
        <v>12711</v>
      </c>
      <c r="HG2" s="75" t="s">
        <v>12712</v>
      </c>
    </row>
    <row r="3" spans="1:215" ht="51" x14ac:dyDescent="0.2">
      <c r="A3" s="8" t="s">
        <v>152</v>
      </c>
      <c r="B3" s="9" t="s">
        <v>28</v>
      </c>
      <c r="C3" s="9" t="s">
        <v>2746</v>
      </c>
      <c r="D3" s="9" t="s">
        <v>13532</v>
      </c>
      <c r="E3" s="9" t="s">
        <v>743</v>
      </c>
      <c r="F3" s="9" t="s">
        <v>743</v>
      </c>
      <c r="G3" s="9" t="s">
        <v>2665</v>
      </c>
      <c r="H3" s="9" t="s">
        <v>2665</v>
      </c>
      <c r="I3" s="9" t="s">
        <v>2666</v>
      </c>
      <c r="J3" s="9" t="s">
        <v>2666</v>
      </c>
      <c r="K3" s="9" t="s">
        <v>2665</v>
      </c>
      <c r="L3" s="9" t="s">
        <v>2665</v>
      </c>
      <c r="M3" s="9" t="s">
        <v>2665</v>
      </c>
      <c r="N3" s="9" t="s">
        <v>2666</v>
      </c>
      <c r="O3" s="9" t="s">
        <v>2666</v>
      </c>
      <c r="P3" s="9" t="s">
        <v>2665</v>
      </c>
      <c r="Q3" s="9" t="s">
        <v>2665</v>
      </c>
      <c r="R3" s="9" t="s">
        <v>2667</v>
      </c>
      <c r="S3" s="9" t="s">
        <v>2667</v>
      </c>
      <c r="U3" s="9" t="s">
        <v>25</v>
      </c>
      <c r="X3" s="9" t="s">
        <v>2704</v>
      </c>
      <c r="AR3" s="10" t="s">
        <v>2705</v>
      </c>
      <c r="AS3" s="10">
        <v>160</v>
      </c>
      <c r="AT3" s="10">
        <v>160</v>
      </c>
      <c r="AU3" s="10">
        <v>160</v>
      </c>
      <c r="AV3" s="10">
        <v>160</v>
      </c>
      <c r="AW3" s="10">
        <v>168</v>
      </c>
      <c r="AX3" s="10">
        <v>200</v>
      </c>
      <c r="AY3" s="10">
        <v>200</v>
      </c>
      <c r="AZ3" s="10">
        <v>200</v>
      </c>
      <c r="BA3" s="10">
        <v>200</v>
      </c>
      <c r="BB3" s="10">
        <v>200</v>
      </c>
      <c r="BC3" s="10">
        <v>240</v>
      </c>
      <c r="BD3" s="10">
        <v>240</v>
      </c>
      <c r="BE3" s="10">
        <v>240</v>
      </c>
      <c r="BF3" s="10">
        <v>240</v>
      </c>
      <c r="BG3" s="10" t="s">
        <v>25</v>
      </c>
      <c r="BI3" s="10" t="s">
        <v>2873</v>
      </c>
      <c r="BJ3" s="10" t="s">
        <v>2169</v>
      </c>
      <c r="BK3" s="10">
        <v>40</v>
      </c>
      <c r="BL3" s="10" t="s">
        <v>2705</v>
      </c>
      <c r="BM3" s="10" t="s">
        <v>2671</v>
      </c>
      <c r="BN3" s="10">
        <v>40</v>
      </c>
      <c r="BO3" s="10">
        <v>40</v>
      </c>
      <c r="BP3" s="9" t="s">
        <v>25</v>
      </c>
      <c r="BQ3" s="9" t="s">
        <v>25</v>
      </c>
      <c r="BR3" s="9" t="s">
        <v>25</v>
      </c>
      <c r="BS3" s="9" t="s">
        <v>25</v>
      </c>
      <c r="BW3" s="9" t="s">
        <v>2673</v>
      </c>
      <c r="BX3" s="9" t="s">
        <v>2673</v>
      </c>
      <c r="BY3" s="9" t="s">
        <v>2673</v>
      </c>
      <c r="BZ3" s="9" t="s">
        <v>2673</v>
      </c>
      <c r="CA3" s="9" t="s">
        <v>2673</v>
      </c>
      <c r="CB3" s="9" t="s">
        <v>2673</v>
      </c>
      <c r="CC3" s="9" t="s">
        <v>2674</v>
      </c>
      <c r="CJ3" s="9" t="s">
        <v>2675</v>
      </c>
      <c r="CK3" s="9" t="s">
        <v>2677</v>
      </c>
      <c r="CL3" s="9" t="s">
        <v>2677</v>
      </c>
      <c r="CM3" s="9" t="s">
        <v>2677</v>
      </c>
      <c r="CN3" s="9" t="s">
        <v>2677</v>
      </c>
      <c r="CO3" s="9" t="s">
        <v>2677</v>
      </c>
      <c r="CP3" s="9" t="s">
        <v>2677</v>
      </c>
      <c r="CQ3" s="9" t="s">
        <v>2676</v>
      </c>
      <c r="CX3" s="9" t="s">
        <v>2717</v>
      </c>
      <c r="CY3" s="9" t="s">
        <v>28</v>
      </c>
      <c r="CZ3" s="9" t="s">
        <v>2679</v>
      </c>
      <c r="DA3" s="9" t="s">
        <v>2718</v>
      </c>
      <c r="DB3" s="9" t="s">
        <v>2683</v>
      </c>
      <c r="DC3" s="9" t="s">
        <v>2683</v>
      </c>
      <c r="DD3" s="9" t="s">
        <v>2683</v>
      </c>
      <c r="DG3" s="9" t="s">
        <v>2683</v>
      </c>
      <c r="DH3" s="9" t="s">
        <v>2683</v>
      </c>
      <c r="DI3" s="9" t="s">
        <v>2683</v>
      </c>
      <c r="DL3" s="9" t="s">
        <v>2683</v>
      </c>
      <c r="DN3" s="9" t="s">
        <v>2683</v>
      </c>
      <c r="DO3" s="9" t="s">
        <v>25</v>
      </c>
      <c r="DQ3" s="9" t="s">
        <v>25</v>
      </c>
      <c r="DX3" s="9" t="s">
        <v>25</v>
      </c>
      <c r="EJ3" s="9" t="s">
        <v>25</v>
      </c>
      <c r="EU3" s="9" t="s">
        <v>28</v>
      </c>
      <c r="EV3" s="9" t="s">
        <v>13570</v>
      </c>
      <c r="EX3" s="9" t="s">
        <v>28</v>
      </c>
      <c r="EY3" s="9" t="s">
        <v>1148</v>
      </c>
      <c r="FS3" s="9" t="s">
        <v>25</v>
      </c>
      <c r="FU3" s="9" t="s">
        <v>2730</v>
      </c>
      <c r="FV3" s="9" t="s">
        <v>994</v>
      </c>
      <c r="FX3" s="9" t="s">
        <v>25</v>
      </c>
      <c r="FZ3" s="9" t="s">
        <v>28</v>
      </c>
      <c r="GA3" s="9" t="s">
        <v>1148</v>
      </c>
      <c r="GB3" s="9" t="s">
        <v>693</v>
      </c>
      <c r="GD3" s="9" t="s">
        <v>28</v>
      </c>
      <c r="GE3" s="9" t="s">
        <v>2693</v>
      </c>
      <c r="GF3" s="9" t="s">
        <v>28</v>
      </c>
      <c r="GG3" s="9" t="s">
        <v>25</v>
      </c>
      <c r="GH3" s="9" t="s">
        <v>2680</v>
      </c>
      <c r="GI3" s="9" t="s">
        <v>25</v>
      </c>
      <c r="GK3" s="9" t="s">
        <v>2695</v>
      </c>
      <c r="GL3" s="9" t="s">
        <v>2874</v>
      </c>
      <c r="GM3" s="9" t="s">
        <v>13979</v>
      </c>
      <c r="GN3" s="9" t="s">
        <v>631</v>
      </c>
      <c r="GO3" s="9" t="s">
        <v>2696</v>
      </c>
      <c r="GP3" s="9" t="s">
        <v>28</v>
      </c>
      <c r="GQ3" s="9" t="s">
        <v>28</v>
      </c>
      <c r="GR3" s="9" t="s">
        <v>1148</v>
      </c>
      <c r="GS3" s="9" t="s">
        <v>1148</v>
      </c>
      <c r="GT3" s="9" t="s">
        <v>2698</v>
      </c>
      <c r="GV3" s="9" t="s">
        <v>25</v>
      </c>
      <c r="HA3" s="9" t="s">
        <v>2701</v>
      </c>
      <c r="HB3" s="9" t="s">
        <v>2701</v>
      </c>
      <c r="HC3" s="9" t="s">
        <v>2702</v>
      </c>
      <c r="HD3" s="9" t="s">
        <v>25</v>
      </c>
      <c r="HE3" s="9" t="s">
        <v>25</v>
      </c>
      <c r="HG3" s="9">
        <v>4</v>
      </c>
    </row>
    <row r="4" spans="1:215" ht="63.75" x14ac:dyDescent="0.2">
      <c r="A4" s="8" t="s">
        <v>133</v>
      </c>
      <c r="B4" s="9" t="s">
        <v>25</v>
      </c>
      <c r="U4" s="9" t="s">
        <v>25</v>
      </c>
      <c r="X4" s="9" t="s">
        <v>2734</v>
      </c>
      <c r="Y4" s="10" t="s">
        <v>2705</v>
      </c>
      <c r="Z4" s="10">
        <v>168</v>
      </c>
      <c r="AA4" s="10">
        <v>168</v>
      </c>
      <c r="AB4" s="10">
        <v>168</v>
      </c>
      <c r="AC4" s="10">
        <v>168</v>
      </c>
      <c r="AD4" s="10">
        <v>168</v>
      </c>
      <c r="AE4" s="10">
        <v>168</v>
      </c>
      <c r="AF4" s="10">
        <v>168</v>
      </c>
      <c r="AG4" s="10">
        <v>168</v>
      </c>
      <c r="AH4" s="10">
        <v>168</v>
      </c>
      <c r="AI4" s="10">
        <v>168</v>
      </c>
      <c r="AJ4" s="10">
        <v>168</v>
      </c>
      <c r="AK4" s="10">
        <v>168</v>
      </c>
      <c r="AL4" s="10">
        <v>168</v>
      </c>
      <c r="AM4" s="10" t="s">
        <v>25</v>
      </c>
      <c r="AO4" s="10" t="s">
        <v>2805</v>
      </c>
      <c r="AP4" s="10" t="s">
        <v>2169</v>
      </c>
      <c r="AQ4" s="10">
        <v>80</v>
      </c>
      <c r="BL4" s="10" t="s">
        <v>2705</v>
      </c>
      <c r="BM4" s="10" t="s">
        <v>2673</v>
      </c>
      <c r="BP4" s="9" t="s">
        <v>2806</v>
      </c>
      <c r="BQ4" s="9" t="s">
        <v>25</v>
      </c>
      <c r="BR4" s="9" t="s">
        <v>25</v>
      </c>
      <c r="BS4" s="9" t="s">
        <v>25</v>
      </c>
      <c r="BT4" s="9" t="s">
        <v>2806</v>
      </c>
      <c r="BU4" s="9" t="s">
        <v>25</v>
      </c>
      <c r="BW4" s="9" t="s">
        <v>2674</v>
      </c>
      <c r="BX4" s="9" t="s">
        <v>2674</v>
      </c>
      <c r="BY4" s="9" t="s">
        <v>2674</v>
      </c>
      <c r="BZ4" s="9" t="s">
        <v>2674</v>
      </c>
      <c r="CA4" s="9" t="s">
        <v>2674</v>
      </c>
      <c r="CB4" s="9" t="s">
        <v>2674</v>
      </c>
      <c r="CC4" s="9" t="s">
        <v>2674</v>
      </c>
      <c r="CD4" s="9" t="s">
        <v>2675</v>
      </c>
      <c r="CE4" s="9" t="s">
        <v>2675</v>
      </c>
      <c r="CF4" s="9" t="s">
        <v>2675</v>
      </c>
      <c r="CG4" s="9" t="s">
        <v>2675</v>
      </c>
      <c r="CH4" s="9" t="s">
        <v>2675</v>
      </c>
      <c r="CI4" s="9" t="s">
        <v>2675</v>
      </c>
      <c r="CJ4" s="9" t="s">
        <v>2675</v>
      </c>
      <c r="CR4" s="9" t="s">
        <v>2717</v>
      </c>
      <c r="CS4" s="9" t="s">
        <v>2717</v>
      </c>
      <c r="CT4" s="9" t="s">
        <v>2717</v>
      </c>
      <c r="CU4" s="9" t="s">
        <v>2717</v>
      </c>
      <c r="CV4" s="9" t="s">
        <v>2717</v>
      </c>
      <c r="CW4" s="9" t="s">
        <v>2717</v>
      </c>
      <c r="CX4" s="9" t="s">
        <v>2717</v>
      </c>
      <c r="CY4" s="9" t="s">
        <v>28</v>
      </c>
      <c r="CZ4" s="9" t="s">
        <v>2679</v>
      </c>
      <c r="DA4" s="9" t="s">
        <v>2780</v>
      </c>
      <c r="DB4" s="9" t="s">
        <v>2807</v>
      </c>
      <c r="DC4" s="9" t="s">
        <v>2807</v>
      </c>
      <c r="DE4" s="9" t="s">
        <v>2807</v>
      </c>
      <c r="DG4" s="9" t="s">
        <v>2807</v>
      </c>
      <c r="DH4" s="9" t="s">
        <v>2807</v>
      </c>
      <c r="DJ4" s="9" t="s">
        <v>2807</v>
      </c>
      <c r="DL4" s="9" t="s">
        <v>2807</v>
      </c>
      <c r="DN4" s="9" t="s">
        <v>2807</v>
      </c>
      <c r="DO4" s="9" t="s">
        <v>25</v>
      </c>
      <c r="DQ4" s="9" t="s">
        <v>25</v>
      </c>
      <c r="DX4" s="9" t="s">
        <v>28</v>
      </c>
      <c r="DY4" s="9" t="s">
        <v>2679</v>
      </c>
      <c r="DZ4" s="9" t="s">
        <v>2699</v>
      </c>
      <c r="EA4" s="9" t="s">
        <v>13540</v>
      </c>
      <c r="EB4" s="9" t="s">
        <v>25</v>
      </c>
      <c r="EC4" s="9" t="s">
        <v>2683</v>
      </c>
      <c r="ED4" s="9" t="s">
        <v>13543</v>
      </c>
      <c r="EF4" s="9" t="s">
        <v>2808</v>
      </c>
      <c r="EH4" s="9" t="s">
        <v>28</v>
      </c>
      <c r="EI4" s="11">
        <v>0</v>
      </c>
      <c r="EJ4" s="9" t="s">
        <v>28</v>
      </c>
      <c r="EK4" s="9" t="s">
        <v>2679</v>
      </c>
      <c r="EL4" s="9" t="s">
        <v>2686</v>
      </c>
      <c r="EN4" s="9" t="s">
        <v>2687</v>
      </c>
      <c r="EO4" s="9" t="s">
        <v>2688</v>
      </c>
      <c r="EQ4" s="9" t="s">
        <v>2689</v>
      </c>
      <c r="ES4" s="9" t="s">
        <v>25</v>
      </c>
      <c r="EU4" s="9" t="s">
        <v>28</v>
      </c>
      <c r="EV4" s="9" t="s">
        <v>13558</v>
      </c>
      <c r="EX4" s="9" t="s">
        <v>25</v>
      </c>
      <c r="EZ4" s="9" t="s">
        <v>2690</v>
      </c>
      <c r="FA4" s="9" t="s">
        <v>2690</v>
      </c>
      <c r="FB4" s="9" t="s">
        <v>2690</v>
      </c>
      <c r="FC4" s="9" t="s">
        <v>2690</v>
      </c>
      <c r="FD4" s="9" t="s">
        <v>994</v>
      </c>
      <c r="FE4" s="9" t="s">
        <v>2690</v>
      </c>
      <c r="FF4" s="9" t="s">
        <v>994</v>
      </c>
      <c r="FG4" s="9" t="s">
        <v>994</v>
      </c>
      <c r="FH4" s="9" t="s">
        <v>994</v>
      </c>
      <c r="FI4" s="9" t="s">
        <v>994</v>
      </c>
      <c r="FJ4" s="9" t="s">
        <v>994</v>
      </c>
      <c r="FK4" s="9" t="s">
        <v>994</v>
      </c>
      <c r="FL4" s="9" t="s">
        <v>994</v>
      </c>
      <c r="FS4" s="9" t="s">
        <v>25</v>
      </c>
      <c r="FU4" s="9" t="s">
        <v>2691</v>
      </c>
      <c r="FX4" s="9" t="s">
        <v>28</v>
      </c>
      <c r="FY4" s="9" t="s">
        <v>1148</v>
      </c>
      <c r="FZ4" s="9" t="s">
        <v>25</v>
      </c>
      <c r="GB4" s="9" t="s">
        <v>612</v>
      </c>
      <c r="GC4" s="9" t="s">
        <v>1720</v>
      </c>
      <c r="GD4" s="9" t="s">
        <v>28</v>
      </c>
      <c r="GE4" s="9" t="s">
        <v>2693</v>
      </c>
      <c r="GF4" s="9" t="s">
        <v>25</v>
      </c>
      <c r="GG4" s="9" t="s">
        <v>25</v>
      </c>
      <c r="GH4" s="9" t="s">
        <v>2759</v>
      </c>
      <c r="GI4" s="9" t="s">
        <v>25</v>
      </c>
      <c r="GK4" s="9" t="s">
        <v>2695</v>
      </c>
      <c r="GM4" s="9" t="s">
        <v>13975</v>
      </c>
      <c r="GN4" s="9" t="s">
        <v>2725</v>
      </c>
      <c r="GO4" s="9" t="s">
        <v>25</v>
      </c>
      <c r="GV4" s="9" t="s">
        <v>28</v>
      </c>
      <c r="GW4" s="9" t="s">
        <v>632</v>
      </c>
      <c r="GX4" s="9" t="s">
        <v>2687</v>
      </c>
      <c r="GY4" s="9" t="s">
        <v>2700</v>
      </c>
      <c r="GZ4" s="9" t="s">
        <v>25</v>
      </c>
      <c r="HA4" s="9" t="s">
        <v>2701</v>
      </c>
      <c r="HB4" s="9" t="s">
        <v>2702</v>
      </c>
      <c r="HC4" s="9" t="s">
        <v>2702</v>
      </c>
      <c r="HD4" s="9" t="s">
        <v>25</v>
      </c>
      <c r="HE4" s="9" t="s">
        <v>2702</v>
      </c>
      <c r="HG4" s="9">
        <v>3</v>
      </c>
    </row>
    <row r="5" spans="1:215" ht="51" x14ac:dyDescent="0.2">
      <c r="A5" s="8" t="s">
        <v>156</v>
      </c>
      <c r="B5" s="9" t="s">
        <v>28</v>
      </c>
      <c r="C5" s="9" t="s">
        <v>2746</v>
      </c>
      <c r="D5" s="9" t="s">
        <v>13533</v>
      </c>
      <c r="G5" s="9" t="s">
        <v>2666</v>
      </c>
      <c r="H5" s="9" t="s">
        <v>2667</v>
      </c>
      <c r="I5" s="9" t="s">
        <v>2665</v>
      </c>
      <c r="J5" s="9" t="s">
        <v>2667</v>
      </c>
      <c r="K5" s="9" t="s">
        <v>2667</v>
      </c>
      <c r="L5" s="9" t="s">
        <v>2667</v>
      </c>
      <c r="M5" s="9" t="s">
        <v>2667</v>
      </c>
      <c r="N5" s="9" t="s">
        <v>2666</v>
      </c>
      <c r="O5" s="9" t="s">
        <v>2665</v>
      </c>
      <c r="P5" s="9" t="s">
        <v>2665</v>
      </c>
      <c r="Q5" s="9" t="s">
        <v>2667</v>
      </c>
      <c r="R5" s="9" t="s">
        <v>2665</v>
      </c>
      <c r="S5" s="9" t="s">
        <v>2667</v>
      </c>
      <c r="T5" s="9" t="s">
        <v>2666</v>
      </c>
      <c r="U5" s="9" t="s">
        <v>25</v>
      </c>
      <c r="X5" s="9" t="s">
        <v>2773</v>
      </c>
      <c r="BL5" s="10" t="s">
        <v>2705</v>
      </c>
      <c r="BM5" s="10" t="s">
        <v>2671</v>
      </c>
      <c r="BN5" s="10">
        <v>56</v>
      </c>
      <c r="BO5" s="10">
        <v>56</v>
      </c>
      <c r="BP5" s="9" t="s">
        <v>25</v>
      </c>
      <c r="BQ5" s="9" t="s">
        <v>25</v>
      </c>
      <c r="BR5" s="9" t="s">
        <v>25</v>
      </c>
      <c r="BS5" s="9" t="s">
        <v>25</v>
      </c>
      <c r="BW5" s="9" t="s">
        <v>2673</v>
      </c>
      <c r="BX5" s="9" t="s">
        <v>2673</v>
      </c>
      <c r="BY5" s="9" t="s">
        <v>2673</v>
      </c>
      <c r="BZ5" s="9" t="s">
        <v>2673</v>
      </c>
      <c r="CA5" s="9" t="s">
        <v>2673</v>
      </c>
      <c r="CB5" s="9" t="s">
        <v>2673</v>
      </c>
      <c r="CC5" s="9" t="s">
        <v>2749</v>
      </c>
      <c r="CJ5" s="9" t="s">
        <v>2675</v>
      </c>
      <c r="CX5" s="9" t="s">
        <v>2717</v>
      </c>
      <c r="CY5" s="9" t="s">
        <v>28</v>
      </c>
      <c r="CZ5" s="9" t="s">
        <v>2679</v>
      </c>
      <c r="DA5" s="9" t="s">
        <v>2780</v>
      </c>
      <c r="DB5" s="9" t="s">
        <v>2719</v>
      </c>
      <c r="DC5" s="9" t="s">
        <v>2719</v>
      </c>
      <c r="DE5" s="9" t="s">
        <v>2719</v>
      </c>
      <c r="DG5" s="9" t="s">
        <v>2719</v>
      </c>
      <c r="DH5" s="9" t="s">
        <v>2719</v>
      </c>
      <c r="DJ5" s="9" t="s">
        <v>2719</v>
      </c>
      <c r="DL5" s="9" t="s">
        <v>2719</v>
      </c>
      <c r="DN5" s="9" t="s">
        <v>2719</v>
      </c>
      <c r="DO5" s="9" t="s">
        <v>25</v>
      </c>
      <c r="DQ5" s="9" t="s">
        <v>25</v>
      </c>
      <c r="DX5" s="9" t="s">
        <v>25</v>
      </c>
      <c r="EJ5" s="9" t="s">
        <v>25</v>
      </c>
      <c r="EU5" s="9" t="s">
        <v>28</v>
      </c>
      <c r="EV5" s="9" t="s">
        <v>13563</v>
      </c>
      <c r="EX5" s="9" t="s">
        <v>28</v>
      </c>
      <c r="EY5" s="9" t="s">
        <v>1148</v>
      </c>
      <c r="FS5" s="9" t="s">
        <v>25</v>
      </c>
      <c r="FU5" s="9" t="s">
        <v>2691</v>
      </c>
      <c r="FX5" s="9" t="s">
        <v>28</v>
      </c>
      <c r="FY5" s="9" t="s">
        <v>1779</v>
      </c>
      <c r="FZ5" s="9" t="s">
        <v>25</v>
      </c>
      <c r="GB5" s="9" t="s">
        <v>758</v>
      </c>
      <c r="GD5" s="9" t="s">
        <v>28</v>
      </c>
      <c r="GE5" s="9" t="s">
        <v>2693</v>
      </c>
      <c r="GF5" s="9" t="s">
        <v>28</v>
      </c>
      <c r="GG5" s="9" t="s">
        <v>25</v>
      </c>
      <c r="GH5" s="9" t="s">
        <v>2694</v>
      </c>
      <c r="GI5" s="9" t="s">
        <v>25</v>
      </c>
      <c r="GK5" s="9" t="s">
        <v>2695</v>
      </c>
      <c r="GM5" s="9" t="s">
        <v>13972</v>
      </c>
      <c r="GN5" s="9" t="s">
        <v>631</v>
      </c>
      <c r="GO5" s="9" t="s">
        <v>2696</v>
      </c>
      <c r="GP5" s="9" t="s">
        <v>28</v>
      </c>
      <c r="GQ5" s="9" t="s">
        <v>28</v>
      </c>
      <c r="GR5" s="9" t="s">
        <v>2745</v>
      </c>
      <c r="GS5" s="9" t="s">
        <v>2745</v>
      </c>
      <c r="GT5" s="9" t="s">
        <v>2698</v>
      </c>
      <c r="GU5" s="9" t="s">
        <v>28</v>
      </c>
      <c r="GV5" s="9" t="s">
        <v>25</v>
      </c>
      <c r="HA5" s="9" t="s">
        <v>2701</v>
      </c>
      <c r="HB5" s="9" t="s">
        <v>2702</v>
      </c>
      <c r="HC5" s="9" t="s">
        <v>2702</v>
      </c>
      <c r="HD5" s="9" t="s">
        <v>25</v>
      </c>
      <c r="HE5" s="9" t="s">
        <v>25</v>
      </c>
      <c r="HG5" s="9">
        <v>4</v>
      </c>
    </row>
    <row r="6" spans="1:215" ht="63.75" x14ac:dyDescent="0.2">
      <c r="A6" s="8" t="s">
        <v>179</v>
      </c>
      <c r="B6" s="9" t="s">
        <v>28</v>
      </c>
      <c r="C6" s="9" t="s">
        <v>2746</v>
      </c>
      <c r="D6" s="9" t="s">
        <v>2932</v>
      </c>
      <c r="E6" s="9" t="s">
        <v>2829</v>
      </c>
      <c r="F6" s="9" t="s">
        <v>2664</v>
      </c>
      <c r="G6" s="9" t="s">
        <v>2667</v>
      </c>
      <c r="H6" s="9" t="s">
        <v>2667</v>
      </c>
      <c r="I6" s="9" t="s">
        <v>2667</v>
      </c>
      <c r="J6" s="9" t="s">
        <v>2666</v>
      </c>
      <c r="K6" s="9" t="s">
        <v>2667</v>
      </c>
      <c r="L6" s="9" t="s">
        <v>2667</v>
      </c>
      <c r="M6" s="9" t="s">
        <v>2667</v>
      </c>
      <c r="N6" s="9" t="s">
        <v>2665</v>
      </c>
      <c r="O6" s="9" t="s">
        <v>2665</v>
      </c>
      <c r="P6" s="9" t="s">
        <v>2665</v>
      </c>
      <c r="Q6" s="9" t="s">
        <v>2666</v>
      </c>
      <c r="R6" s="9" t="s">
        <v>2667</v>
      </c>
      <c r="S6" s="9" t="s">
        <v>2667</v>
      </c>
      <c r="T6" s="9" t="s">
        <v>2666</v>
      </c>
      <c r="U6" s="9" t="s">
        <v>28</v>
      </c>
      <c r="V6" s="9" t="s">
        <v>2933</v>
      </c>
      <c r="X6" s="9" t="s">
        <v>2794</v>
      </c>
      <c r="AR6" s="10" t="s">
        <v>2705</v>
      </c>
      <c r="AS6" s="10">
        <v>144</v>
      </c>
      <c r="AT6" s="10">
        <v>144</v>
      </c>
      <c r="AU6" s="10">
        <v>144</v>
      </c>
      <c r="AV6" s="10">
        <v>144</v>
      </c>
      <c r="AW6" s="10">
        <v>144</v>
      </c>
      <c r="AX6" s="10">
        <v>144</v>
      </c>
      <c r="AY6" s="10">
        <v>144</v>
      </c>
      <c r="AZ6" s="10">
        <v>144</v>
      </c>
      <c r="BA6" s="10">
        <v>144</v>
      </c>
      <c r="BB6" s="10">
        <v>144</v>
      </c>
      <c r="BC6" s="10">
        <v>144</v>
      </c>
      <c r="BD6" s="10">
        <v>144</v>
      </c>
      <c r="BE6" s="10">
        <v>144</v>
      </c>
      <c r="BF6" s="10">
        <v>144</v>
      </c>
      <c r="BG6" s="10" t="s">
        <v>25</v>
      </c>
      <c r="BJ6" s="10" t="s">
        <v>2707</v>
      </c>
      <c r="BL6" s="10" t="s">
        <v>2668</v>
      </c>
      <c r="BM6" s="10" t="s">
        <v>2716</v>
      </c>
      <c r="BN6" s="10">
        <v>80</v>
      </c>
      <c r="BO6" s="10">
        <v>100</v>
      </c>
      <c r="BP6" s="9" t="s">
        <v>25</v>
      </c>
      <c r="BQ6" s="9" t="s">
        <v>25</v>
      </c>
      <c r="BR6" s="9" t="s">
        <v>25</v>
      </c>
      <c r="BS6" s="9" t="s">
        <v>25</v>
      </c>
      <c r="BW6" s="9" t="s">
        <v>2673</v>
      </c>
      <c r="BX6" s="9" t="s">
        <v>2673</v>
      </c>
      <c r="BY6" s="9" t="s">
        <v>2673</v>
      </c>
      <c r="BZ6" s="9" t="s">
        <v>2673</v>
      </c>
      <c r="CA6" s="9" t="s">
        <v>2673</v>
      </c>
      <c r="CB6" s="9" t="s">
        <v>2673</v>
      </c>
      <c r="CC6" s="9" t="s">
        <v>2674</v>
      </c>
      <c r="CJ6" s="9" t="s">
        <v>2675</v>
      </c>
      <c r="CK6" s="9" t="s">
        <v>2676</v>
      </c>
      <c r="CL6" s="9" t="s">
        <v>2676</v>
      </c>
      <c r="CM6" s="9" t="s">
        <v>2676</v>
      </c>
      <c r="CN6" s="9" t="s">
        <v>2676</v>
      </c>
      <c r="CO6" s="9" t="s">
        <v>2676</v>
      </c>
      <c r="CP6" s="9" t="s">
        <v>2676</v>
      </c>
      <c r="CQ6" s="9" t="s">
        <v>2677</v>
      </c>
      <c r="CR6" s="9" t="s">
        <v>2717</v>
      </c>
      <c r="CS6" s="9" t="s">
        <v>2717</v>
      </c>
      <c r="CT6" s="9" t="s">
        <v>2717</v>
      </c>
      <c r="CU6" s="9" t="s">
        <v>2717</v>
      </c>
      <c r="CV6" s="9" t="s">
        <v>2717</v>
      </c>
      <c r="CW6" s="9" t="s">
        <v>2717</v>
      </c>
      <c r="CX6" s="9" t="s">
        <v>2717</v>
      </c>
      <c r="CY6" s="9" t="s">
        <v>28</v>
      </c>
      <c r="CZ6" s="9" t="s">
        <v>2708</v>
      </c>
      <c r="DA6" s="9" t="s">
        <v>2718</v>
      </c>
      <c r="DB6" s="9" t="s">
        <v>2683</v>
      </c>
      <c r="DC6" s="9" t="s">
        <v>2683</v>
      </c>
      <c r="DD6" s="9" t="s">
        <v>2683</v>
      </c>
      <c r="DG6" s="9" t="s">
        <v>2683</v>
      </c>
      <c r="DH6" s="9" t="s">
        <v>2683</v>
      </c>
      <c r="DI6" s="9" t="s">
        <v>2683</v>
      </c>
      <c r="DL6" s="9" t="s">
        <v>2683</v>
      </c>
      <c r="DN6" s="9" t="s">
        <v>2683</v>
      </c>
      <c r="DO6" s="9" t="s">
        <v>25</v>
      </c>
      <c r="DQ6" s="9" t="s">
        <v>25</v>
      </c>
      <c r="DX6" s="9" t="s">
        <v>28</v>
      </c>
      <c r="DY6" s="9" t="s">
        <v>2708</v>
      </c>
      <c r="DZ6" s="9" t="s">
        <v>2683</v>
      </c>
      <c r="EA6" s="9" t="s">
        <v>14551</v>
      </c>
      <c r="EB6" s="9" t="s">
        <v>25</v>
      </c>
      <c r="EC6" s="9" t="s">
        <v>2683</v>
      </c>
      <c r="ED6" s="9" t="s">
        <v>631</v>
      </c>
      <c r="EF6" s="9" t="s">
        <v>13957</v>
      </c>
      <c r="EH6" s="9" t="s">
        <v>2685</v>
      </c>
      <c r="EJ6" s="9" t="s">
        <v>28</v>
      </c>
      <c r="EK6" s="9" t="s">
        <v>2917</v>
      </c>
      <c r="EL6" s="9" t="s">
        <v>2918</v>
      </c>
      <c r="EN6" s="9" t="s">
        <v>2683</v>
      </c>
      <c r="EO6" s="9" t="s">
        <v>2934</v>
      </c>
      <c r="EQ6" s="9" t="s">
        <v>2689</v>
      </c>
      <c r="ES6" s="9" t="s">
        <v>25</v>
      </c>
      <c r="EU6" s="9" t="s">
        <v>28</v>
      </c>
      <c r="EV6" s="9" t="s">
        <v>13573</v>
      </c>
      <c r="EW6" s="9" t="s">
        <v>2935</v>
      </c>
      <c r="EX6" s="9" t="s">
        <v>28</v>
      </c>
      <c r="EY6" s="9" t="s">
        <v>994</v>
      </c>
      <c r="FS6" s="9" t="s">
        <v>25</v>
      </c>
      <c r="FU6" s="9" t="s">
        <v>2691</v>
      </c>
      <c r="FX6" s="9" t="s">
        <v>25</v>
      </c>
      <c r="FZ6" s="9" t="s">
        <v>28</v>
      </c>
      <c r="GA6" s="9" t="s">
        <v>1148</v>
      </c>
      <c r="GB6" s="9" t="s">
        <v>612</v>
      </c>
      <c r="GC6" s="9" t="s">
        <v>632</v>
      </c>
      <c r="GD6" s="9" t="s">
        <v>28</v>
      </c>
      <c r="GE6" s="9" t="s">
        <v>2771</v>
      </c>
      <c r="GF6" s="9" t="s">
        <v>28</v>
      </c>
      <c r="GG6" s="9" t="s">
        <v>25</v>
      </c>
      <c r="GH6" s="9" t="s">
        <v>2694</v>
      </c>
      <c r="GI6" s="9" t="s">
        <v>25</v>
      </c>
      <c r="GK6" s="9" t="s">
        <v>2695</v>
      </c>
      <c r="GM6" s="9" t="s">
        <v>13968</v>
      </c>
      <c r="GN6" s="9" t="s">
        <v>2725</v>
      </c>
      <c r="GO6" s="9" t="s">
        <v>25</v>
      </c>
      <c r="GV6" s="9" t="s">
        <v>41</v>
      </c>
      <c r="HA6" s="9" t="s">
        <v>2701</v>
      </c>
      <c r="HB6" s="9" t="s">
        <v>2701</v>
      </c>
      <c r="HC6" s="9" t="s">
        <v>2701</v>
      </c>
      <c r="HD6" s="9" t="s">
        <v>2701</v>
      </c>
      <c r="HE6" s="9" t="s">
        <v>2701</v>
      </c>
      <c r="HG6" s="9">
        <v>3</v>
      </c>
    </row>
    <row r="7" spans="1:215" ht="63.75" x14ac:dyDescent="0.2">
      <c r="A7" s="8" t="s">
        <v>122</v>
      </c>
      <c r="B7" s="9" t="s">
        <v>28</v>
      </c>
      <c r="C7" s="9" t="s">
        <v>2746</v>
      </c>
      <c r="D7" s="9" t="s">
        <v>2747</v>
      </c>
      <c r="E7" s="9" t="s">
        <v>2748</v>
      </c>
      <c r="F7" s="9" t="s">
        <v>2748</v>
      </c>
      <c r="G7" s="9" t="s">
        <v>2666</v>
      </c>
      <c r="H7" s="9" t="s">
        <v>2667</v>
      </c>
      <c r="I7" s="9" t="s">
        <v>2665</v>
      </c>
      <c r="J7" s="9" t="s">
        <v>2667</v>
      </c>
      <c r="K7" s="9" t="s">
        <v>2667</v>
      </c>
      <c r="L7" s="9" t="s">
        <v>2667</v>
      </c>
      <c r="M7" s="9" t="s">
        <v>2667</v>
      </c>
      <c r="N7" s="9" t="s">
        <v>2666</v>
      </c>
      <c r="O7" s="9" t="s">
        <v>2665</v>
      </c>
      <c r="P7" s="9" t="s">
        <v>2667</v>
      </c>
      <c r="Q7" s="9" t="s">
        <v>2667</v>
      </c>
      <c r="R7" s="9" t="s">
        <v>2665</v>
      </c>
      <c r="S7" s="9" t="s">
        <v>2667</v>
      </c>
      <c r="T7" s="9" t="s">
        <v>2666</v>
      </c>
      <c r="U7" s="9" t="s">
        <v>25</v>
      </c>
      <c r="X7" s="9" t="s">
        <v>2734</v>
      </c>
      <c r="Y7" s="10" t="s">
        <v>2705</v>
      </c>
      <c r="Z7" s="10">
        <v>96</v>
      </c>
      <c r="AA7" s="10">
        <v>96</v>
      </c>
      <c r="AB7" s="10">
        <v>120</v>
      </c>
      <c r="AC7" s="10">
        <v>128</v>
      </c>
      <c r="AD7" s="10">
        <v>136</v>
      </c>
      <c r="AE7" s="10">
        <v>144</v>
      </c>
      <c r="AF7" s="10">
        <v>152</v>
      </c>
      <c r="AG7" s="10">
        <v>160</v>
      </c>
      <c r="AH7" s="10">
        <v>168</v>
      </c>
      <c r="AI7" s="10">
        <v>168</v>
      </c>
      <c r="AJ7" s="10">
        <v>168</v>
      </c>
      <c r="AK7" s="10">
        <v>168</v>
      </c>
      <c r="AL7" s="10">
        <v>168</v>
      </c>
      <c r="AM7" s="10" t="s">
        <v>25</v>
      </c>
      <c r="AP7" s="10" t="s">
        <v>25</v>
      </c>
      <c r="BL7" s="10" t="s">
        <v>2668</v>
      </c>
      <c r="BM7" s="10" t="s">
        <v>2671</v>
      </c>
      <c r="BN7" s="10">
        <v>96</v>
      </c>
      <c r="BO7" s="10">
        <v>240</v>
      </c>
      <c r="BP7" s="9" t="s">
        <v>28</v>
      </c>
      <c r="BQ7" s="9" t="s">
        <v>25</v>
      </c>
      <c r="BR7" s="9" t="s">
        <v>25</v>
      </c>
      <c r="BS7" s="9" t="s">
        <v>25</v>
      </c>
      <c r="BT7" s="9" t="s">
        <v>673</v>
      </c>
      <c r="BW7" s="9" t="s">
        <v>2749</v>
      </c>
      <c r="BX7" s="9" t="s">
        <v>2749</v>
      </c>
      <c r="BY7" s="9" t="s">
        <v>2749</v>
      </c>
      <c r="BZ7" s="9" t="s">
        <v>2749</v>
      </c>
      <c r="CA7" s="9" t="s">
        <v>2749</v>
      </c>
      <c r="CB7" s="9" t="s">
        <v>2749</v>
      </c>
      <c r="CC7" s="9" t="s">
        <v>2749</v>
      </c>
      <c r="CD7" s="9" t="s">
        <v>2675</v>
      </c>
      <c r="CE7" s="9" t="s">
        <v>2675</v>
      </c>
      <c r="CF7" s="9" t="s">
        <v>2675</v>
      </c>
      <c r="CG7" s="9" t="s">
        <v>2675</v>
      </c>
      <c r="CH7" s="9" t="s">
        <v>2675</v>
      </c>
      <c r="CI7" s="9" t="s">
        <v>2675</v>
      </c>
      <c r="CJ7" s="9" t="s">
        <v>2675</v>
      </c>
      <c r="CK7" s="9" t="s">
        <v>2676</v>
      </c>
      <c r="CL7" s="9" t="s">
        <v>2676</v>
      </c>
      <c r="CM7" s="9" t="s">
        <v>2676</v>
      </c>
      <c r="CN7" s="9" t="s">
        <v>2676</v>
      </c>
      <c r="CO7" s="9" t="s">
        <v>2676</v>
      </c>
      <c r="CP7" s="9" t="s">
        <v>2676</v>
      </c>
      <c r="CQ7" s="9" t="s">
        <v>2676</v>
      </c>
      <c r="CT7" s="9" t="s">
        <v>2738</v>
      </c>
      <c r="CU7" s="9" t="s">
        <v>2738</v>
      </c>
      <c r="CV7" s="9" t="s">
        <v>2738</v>
      </c>
      <c r="CW7" s="9" t="s">
        <v>2738</v>
      </c>
      <c r="CX7" s="9" t="s">
        <v>2738</v>
      </c>
      <c r="CY7" s="9" t="s">
        <v>28</v>
      </c>
      <c r="CZ7" s="9" t="s">
        <v>2679</v>
      </c>
      <c r="DA7" s="9" t="s">
        <v>13953</v>
      </c>
      <c r="DB7" s="9" t="s">
        <v>2699</v>
      </c>
      <c r="DC7" s="9" t="s">
        <v>2699</v>
      </c>
      <c r="DD7" s="9" t="s">
        <v>2699</v>
      </c>
      <c r="DG7" s="9" t="s">
        <v>2699</v>
      </c>
      <c r="DH7" s="9" t="s">
        <v>2699</v>
      </c>
      <c r="DI7" s="9" t="s">
        <v>2699</v>
      </c>
      <c r="DL7" s="9" t="s">
        <v>2699</v>
      </c>
      <c r="DN7" s="9" t="s">
        <v>2699</v>
      </c>
      <c r="DO7" s="9" t="s">
        <v>25</v>
      </c>
      <c r="DQ7" s="9" t="s">
        <v>25</v>
      </c>
      <c r="DX7" s="9" t="s">
        <v>28</v>
      </c>
      <c r="DY7" s="9" t="s">
        <v>2679</v>
      </c>
      <c r="DZ7" s="9" t="s">
        <v>2687</v>
      </c>
      <c r="EA7" s="9" t="s">
        <v>2750</v>
      </c>
      <c r="EB7" s="9" t="s">
        <v>25</v>
      </c>
      <c r="EH7" s="9" t="s">
        <v>28</v>
      </c>
      <c r="EI7" s="11">
        <v>0</v>
      </c>
      <c r="EJ7" s="9" t="s">
        <v>28</v>
      </c>
      <c r="EK7" s="9" t="s">
        <v>2679</v>
      </c>
      <c r="EL7" s="9" t="s">
        <v>2686</v>
      </c>
      <c r="EN7" s="9" t="s">
        <v>2673</v>
      </c>
      <c r="EQ7" s="9" t="s">
        <v>2689</v>
      </c>
      <c r="ES7" s="9" t="s">
        <v>25</v>
      </c>
      <c r="EU7" s="9" t="s">
        <v>28</v>
      </c>
      <c r="EV7" s="9" t="s">
        <v>13549</v>
      </c>
      <c r="EX7" s="9" t="s">
        <v>28</v>
      </c>
      <c r="EY7" s="9" t="s">
        <v>994</v>
      </c>
      <c r="FS7" s="9" t="s">
        <v>25</v>
      </c>
      <c r="FU7" s="9" t="s">
        <v>2691</v>
      </c>
      <c r="FX7" s="9" t="s">
        <v>28</v>
      </c>
      <c r="FY7" s="9" t="s">
        <v>2692</v>
      </c>
      <c r="FZ7" s="9" t="s">
        <v>25</v>
      </c>
      <c r="GB7" s="9" t="s">
        <v>693</v>
      </c>
      <c r="GD7" s="9" t="s">
        <v>28</v>
      </c>
      <c r="GE7" s="9" t="s">
        <v>2693</v>
      </c>
      <c r="GF7" s="9" t="s">
        <v>28</v>
      </c>
      <c r="GG7" s="9" t="s">
        <v>25</v>
      </c>
      <c r="GH7" s="9" t="s">
        <v>2694</v>
      </c>
      <c r="GI7" s="9" t="s">
        <v>25</v>
      </c>
      <c r="GK7" s="9" t="s">
        <v>2695</v>
      </c>
      <c r="GL7" s="9" t="s">
        <v>2751</v>
      </c>
      <c r="GM7" s="9" t="s">
        <v>13966</v>
      </c>
      <c r="GN7" s="9" t="s">
        <v>631</v>
      </c>
      <c r="GO7" s="9" t="s">
        <v>2713</v>
      </c>
      <c r="GP7" s="9" t="s">
        <v>28</v>
      </c>
      <c r="GQ7" s="9" t="s">
        <v>2714</v>
      </c>
      <c r="GR7" s="9" t="s">
        <v>2697</v>
      </c>
      <c r="GT7" s="9" t="s">
        <v>2698</v>
      </c>
      <c r="GV7" s="9" t="s">
        <v>25</v>
      </c>
      <c r="HA7" s="9" t="s">
        <v>2701</v>
      </c>
      <c r="HB7" s="9" t="s">
        <v>2702</v>
      </c>
      <c r="HC7" s="9" t="s">
        <v>2702</v>
      </c>
      <c r="HD7" s="9" t="s">
        <v>2702</v>
      </c>
      <c r="HE7" s="9" t="s">
        <v>2701</v>
      </c>
      <c r="HG7" s="9">
        <v>3</v>
      </c>
    </row>
    <row r="8" spans="1:215" ht="38.25" x14ac:dyDescent="0.2">
      <c r="A8" s="8" t="s">
        <v>160</v>
      </c>
      <c r="B8" s="9" t="s">
        <v>25</v>
      </c>
      <c r="U8" s="9" t="s">
        <v>25</v>
      </c>
      <c r="X8" s="9" t="s">
        <v>2773</v>
      </c>
      <c r="BL8" s="10" t="s">
        <v>2860</v>
      </c>
      <c r="BM8" s="10" t="s">
        <v>2716</v>
      </c>
      <c r="BN8" s="10">
        <v>80</v>
      </c>
      <c r="BW8" s="9" t="s">
        <v>2673</v>
      </c>
      <c r="BX8" s="9" t="s">
        <v>2673</v>
      </c>
      <c r="BY8" s="9" t="s">
        <v>2673</v>
      </c>
      <c r="BZ8" s="9" t="s">
        <v>2673</v>
      </c>
      <c r="CA8" s="9" t="s">
        <v>2673</v>
      </c>
      <c r="CB8" s="9" t="s">
        <v>2673</v>
      </c>
      <c r="CC8" s="9" t="s">
        <v>2673</v>
      </c>
      <c r="CK8" s="9" t="s">
        <v>2737</v>
      </c>
      <c r="CL8" s="9" t="s">
        <v>2737</v>
      </c>
      <c r="CM8" s="9" t="s">
        <v>2737</v>
      </c>
      <c r="CN8" s="9" t="s">
        <v>2737</v>
      </c>
      <c r="CO8" s="9" t="s">
        <v>2737</v>
      </c>
      <c r="CP8" s="9" t="s">
        <v>2737</v>
      </c>
      <c r="CQ8" s="9" t="s">
        <v>2737</v>
      </c>
      <c r="CR8" s="9" t="s">
        <v>2678</v>
      </c>
      <c r="CS8" s="9" t="s">
        <v>2678</v>
      </c>
      <c r="CT8" s="9" t="s">
        <v>2678</v>
      </c>
      <c r="CU8" s="9" t="s">
        <v>2678</v>
      </c>
      <c r="CV8" s="9" t="s">
        <v>2678</v>
      </c>
      <c r="CW8" s="9" t="s">
        <v>2678</v>
      </c>
      <c r="CX8" s="9" t="s">
        <v>2717</v>
      </c>
      <c r="CY8" s="9" t="s">
        <v>28</v>
      </c>
      <c r="CZ8" s="9" t="s">
        <v>2679</v>
      </c>
      <c r="DA8" s="9" t="s">
        <v>2718</v>
      </c>
      <c r="DB8" s="9" t="s">
        <v>2680</v>
      </c>
      <c r="DC8" s="9" t="s">
        <v>2699</v>
      </c>
      <c r="DD8" s="9" t="s">
        <v>2699</v>
      </c>
      <c r="DG8" s="9" t="s">
        <v>2699</v>
      </c>
      <c r="DH8" s="9" t="s">
        <v>2699</v>
      </c>
      <c r="DI8" s="9" t="s">
        <v>2699</v>
      </c>
      <c r="DL8" s="9" t="s">
        <v>2838</v>
      </c>
      <c r="DN8" s="9" t="s">
        <v>2699</v>
      </c>
      <c r="DO8" s="9" t="s">
        <v>25</v>
      </c>
      <c r="DP8" s="9" t="s">
        <v>2759</v>
      </c>
      <c r="DQ8" s="9" t="s">
        <v>28</v>
      </c>
      <c r="DR8" s="9" t="s">
        <v>2776</v>
      </c>
      <c r="DS8" s="9" t="s">
        <v>2699</v>
      </c>
      <c r="DT8" s="9" t="s">
        <v>28</v>
      </c>
      <c r="DU8" s="9" t="s">
        <v>2718</v>
      </c>
      <c r="DV8" s="9" t="s">
        <v>25</v>
      </c>
      <c r="DX8" s="9" t="s">
        <v>25</v>
      </c>
      <c r="EJ8" s="9" t="s">
        <v>25</v>
      </c>
      <c r="EU8" s="9" t="s">
        <v>25</v>
      </c>
      <c r="FU8" s="9" t="s">
        <v>2730</v>
      </c>
      <c r="FV8" s="9" t="s">
        <v>2692</v>
      </c>
      <c r="FX8" s="9" t="s">
        <v>25</v>
      </c>
      <c r="FZ8" s="9" t="s">
        <v>25</v>
      </c>
      <c r="GB8" s="9" t="s">
        <v>689</v>
      </c>
      <c r="GD8" s="9" t="s">
        <v>28</v>
      </c>
      <c r="GE8" s="9" t="s">
        <v>2693</v>
      </c>
      <c r="GF8" s="9" t="s">
        <v>25</v>
      </c>
      <c r="GG8" s="9" t="s">
        <v>25</v>
      </c>
      <c r="GH8" s="9" t="s">
        <v>2759</v>
      </c>
      <c r="GI8" s="9" t="s">
        <v>28</v>
      </c>
      <c r="GJ8" s="9" t="s">
        <v>2759</v>
      </c>
      <c r="GK8" s="9" t="s">
        <v>2695</v>
      </c>
      <c r="GM8" s="9" t="s">
        <v>13974</v>
      </c>
      <c r="GN8" s="9" t="s">
        <v>631</v>
      </c>
      <c r="GO8" s="9" t="s">
        <v>25</v>
      </c>
      <c r="GV8" s="9" t="s">
        <v>25</v>
      </c>
      <c r="HA8" s="9" t="s">
        <v>25</v>
      </c>
      <c r="HB8" s="9" t="s">
        <v>2702</v>
      </c>
      <c r="HC8" s="9" t="s">
        <v>2702</v>
      </c>
      <c r="HD8" s="9" t="s">
        <v>25</v>
      </c>
      <c r="HE8" s="9" t="s">
        <v>25</v>
      </c>
      <c r="HF8" s="9" t="s">
        <v>2888</v>
      </c>
      <c r="HG8" s="9" t="s">
        <v>2765</v>
      </c>
    </row>
    <row r="9" spans="1:215" ht="51" x14ac:dyDescent="0.2">
      <c r="A9" s="8" t="s">
        <v>154</v>
      </c>
      <c r="B9" s="9" t="s">
        <v>25</v>
      </c>
      <c r="U9" s="9" t="s">
        <v>25</v>
      </c>
      <c r="X9" s="9" t="s">
        <v>2794</v>
      </c>
      <c r="AR9" s="10" t="s">
        <v>2705</v>
      </c>
      <c r="AS9" s="10">
        <v>120</v>
      </c>
      <c r="AT9" s="10">
        <v>120</v>
      </c>
      <c r="AU9" s="10">
        <v>120</v>
      </c>
      <c r="AV9" s="10">
        <v>120</v>
      </c>
      <c r="AW9" s="10">
        <v>120</v>
      </c>
      <c r="AX9" s="10">
        <v>120</v>
      </c>
      <c r="AY9" s="10">
        <v>120</v>
      </c>
      <c r="AZ9" s="10">
        <v>120</v>
      </c>
      <c r="BA9" s="10">
        <v>120</v>
      </c>
      <c r="BB9" s="10">
        <v>120</v>
      </c>
      <c r="BC9" s="10">
        <v>120</v>
      </c>
      <c r="BD9" s="10">
        <v>160</v>
      </c>
      <c r="BE9" s="10">
        <v>160</v>
      </c>
      <c r="BF9" s="10">
        <v>160</v>
      </c>
      <c r="BG9" s="10" t="s">
        <v>28</v>
      </c>
      <c r="BH9" s="10">
        <v>180</v>
      </c>
      <c r="BI9" s="10" t="s">
        <v>2878</v>
      </c>
      <c r="BJ9" s="10" t="s">
        <v>2169</v>
      </c>
      <c r="BK9" s="10">
        <v>40</v>
      </c>
      <c r="BL9" s="10" t="s">
        <v>2705</v>
      </c>
      <c r="BM9" s="10" t="s">
        <v>2716</v>
      </c>
      <c r="BN9" s="10">
        <v>56</v>
      </c>
      <c r="BO9" s="10">
        <v>56</v>
      </c>
      <c r="BP9" s="9" t="s">
        <v>25</v>
      </c>
      <c r="BQ9" s="9" t="s">
        <v>25</v>
      </c>
      <c r="BR9" s="9" t="s">
        <v>25</v>
      </c>
      <c r="BS9" s="9" t="s">
        <v>25</v>
      </c>
      <c r="BW9" s="9" t="s">
        <v>2673</v>
      </c>
      <c r="BX9" s="9" t="s">
        <v>2673</v>
      </c>
      <c r="BY9" s="9" t="s">
        <v>2673</v>
      </c>
      <c r="BZ9" s="9" t="s">
        <v>2673</v>
      </c>
      <c r="CA9" s="9" t="s">
        <v>2673</v>
      </c>
      <c r="CB9" s="9" t="s">
        <v>2673</v>
      </c>
      <c r="CC9" s="9" t="s">
        <v>2674</v>
      </c>
      <c r="CJ9" s="9" t="s">
        <v>2675</v>
      </c>
      <c r="CK9" s="9" t="s">
        <v>2676</v>
      </c>
      <c r="CL9" s="9" t="s">
        <v>2676</v>
      </c>
      <c r="CM9" s="9" t="s">
        <v>2676</v>
      </c>
      <c r="CN9" s="9" t="s">
        <v>2676</v>
      </c>
      <c r="CO9" s="9" t="s">
        <v>2676</v>
      </c>
      <c r="CP9" s="9" t="s">
        <v>2676</v>
      </c>
      <c r="CQ9" s="9" t="s">
        <v>2676</v>
      </c>
      <c r="CX9" s="9" t="s">
        <v>2717</v>
      </c>
      <c r="CY9" s="9" t="s">
        <v>28</v>
      </c>
      <c r="CZ9" s="9" t="s">
        <v>2679</v>
      </c>
      <c r="DA9" s="9" t="s">
        <v>13953</v>
      </c>
      <c r="DB9" s="9" t="s">
        <v>2683</v>
      </c>
      <c r="DC9" s="9" t="s">
        <v>2683</v>
      </c>
      <c r="DD9" s="9" t="s">
        <v>2683</v>
      </c>
      <c r="DE9" s="9" t="s">
        <v>2683</v>
      </c>
      <c r="DG9" s="9" t="s">
        <v>2683</v>
      </c>
      <c r="DH9" s="9" t="s">
        <v>2683</v>
      </c>
      <c r="DI9" s="9" t="s">
        <v>2683</v>
      </c>
      <c r="DJ9" s="9" t="s">
        <v>2683</v>
      </c>
      <c r="DL9" s="9" t="s">
        <v>2680</v>
      </c>
      <c r="DN9" s="9" t="s">
        <v>2683</v>
      </c>
      <c r="DO9" s="9" t="s">
        <v>25</v>
      </c>
      <c r="DQ9" s="9" t="s">
        <v>25</v>
      </c>
      <c r="DX9" s="9" t="s">
        <v>28</v>
      </c>
      <c r="DY9" s="9" t="s">
        <v>2679</v>
      </c>
      <c r="DZ9" s="9" t="s">
        <v>2683</v>
      </c>
      <c r="EA9" s="9" t="s">
        <v>2855</v>
      </c>
      <c r="EB9" s="9" t="s">
        <v>25</v>
      </c>
      <c r="ED9" s="9" t="s">
        <v>13542</v>
      </c>
      <c r="EF9" s="9" t="s">
        <v>13958</v>
      </c>
      <c r="EH9" s="9" t="s">
        <v>25</v>
      </c>
      <c r="EJ9" s="9" t="s">
        <v>25</v>
      </c>
      <c r="EU9" s="9" t="s">
        <v>28</v>
      </c>
      <c r="EV9" s="9" t="s">
        <v>13571</v>
      </c>
      <c r="EX9" s="9" t="s">
        <v>28</v>
      </c>
      <c r="EY9" s="9" t="s">
        <v>994</v>
      </c>
      <c r="FS9" s="9" t="s">
        <v>25</v>
      </c>
      <c r="FU9" s="9" t="s">
        <v>2691</v>
      </c>
      <c r="FX9" s="9" t="s">
        <v>25</v>
      </c>
      <c r="FZ9" s="9" t="s">
        <v>25</v>
      </c>
      <c r="GB9" s="9" t="s">
        <v>689</v>
      </c>
      <c r="GD9" s="9" t="s">
        <v>28</v>
      </c>
      <c r="GE9" s="9" t="s">
        <v>2771</v>
      </c>
      <c r="GF9" s="9" t="s">
        <v>28</v>
      </c>
      <c r="GG9" s="9" t="s">
        <v>25</v>
      </c>
      <c r="GH9" s="9" t="s">
        <v>2726</v>
      </c>
      <c r="GI9" s="9" t="s">
        <v>25</v>
      </c>
      <c r="GK9" s="9" t="s">
        <v>2695</v>
      </c>
      <c r="GL9" s="9" t="s">
        <v>797</v>
      </c>
      <c r="GM9" s="9" t="s">
        <v>13972</v>
      </c>
      <c r="GN9" s="9" t="s">
        <v>2697</v>
      </c>
      <c r="GO9" s="9" t="s">
        <v>25</v>
      </c>
      <c r="GV9" s="9" t="s">
        <v>25</v>
      </c>
      <c r="HA9" s="9" t="s">
        <v>2702</v>
      </c>
      <c r="HB9" s="9" t="s">
        <v>2702</v>
      </c>
      <c r="HC9" s="9" t="s">
        <v>2702</v>
      </c>
      <c r="HD9" s="9" t="s">
        <v>25</v>
      </c>
      <c r="HE9" s="9" t="s">
        <v>25</v>
      </c>
      <c r="HG9" s="9" t="s">
        <v>2765</v>
      </c>
    </row>
    <row r="10" spans="1:215" ht="38.25" x14ac:dyDescent="0.2">
      <c r="A10" s="8" t="s">
        <v>170</v>
      </c>
      <c r="B10" s="9" t="s">
        <v>25</v>
      </c>
      <c r="U10" s="9" t="s">
        <v>25</v>
      </c>
      <c r="X10" s="9" t="s">
        <v>2704</v>
      </c>
      <c r="AR10" s="10" t="s">
        <v>2705</v>
      </c>
      <c r="AS10" s="10">
        <v>168</v>
      </c>
      <c r="AT10" s="10">
        <v>168</v>
      </c>
      <c r="AU10" s="10">
        <v>168</v>
      </c>
      <c r="AV10" s="10">
        <v>168</v>
      </c>
      <c r="AW10" s="10">
        <v>168</v>
      </c>
      <c r="AX10" s="10">
        <v>168</v>
      </c>
      <c r="AY10" s="10">
        <v>168</v>
      </c>
      <c r="AZ10" s="10">
        <v>168</v>
      </c>
      <c r="BA10" s="10">
        <v>168</v>
      </c>
      <c r="BB10" s="10">
        <v>168</v>
      </c>
      <c r="BC10" s="10">
        <v>168</v>
      </c>
      <c r="BD10" s="10">
        <v>168</v>
      </c>
      <c r="BE10" s="10">
        <v>168</v>
      </c>
      <c r="BF10" s="10">
        <v>168</v>
      </c>
      <c r="BG10" s="10" t="s">
        <v>25</v>
      </c>
      <c r="BI10" s="10" t="s">
        <v>2910</v>
      </c>
      <c r="BJ10" s="10" t="s">
        <v>2169</v>
      </c>
      <c r="BK10" s="10">
        <v>40</v>
      </c>
      <c r="BL10" s="10" t="s">
        <v>2705</v>
      </c>
      <c r="BM10" s="10" t="s">
        <v>2673</v>
      </c>
      <c r="BP10" s="9" t="s">
        <v>25</v>
      </c>
      <c r="BQ10" s="9" t="s">
        <v>25</v>
      </c>
      <c r="BR10" s="9" t="s">
        <v>25</v>
      </c>
      <c r="BS10" s="9" t="s">
        <v>25</v>
      </c>
      <c r="BW10" s="9" t="s">
        <v>2674</v>
      </c>
      <c r="BX10" s="9" t="s">
        <v>2674</v>
      </c>
      <c r="BY10" s="9" t="s">
        <v>2674</v>
      </c>
      <c r="BZ10" s="9" t="s">
        <v>2674</v>
      </c>
      <c r="CA10" s="9" t="s">
        <v>2674</v>
      </c>
      <c r="CB10" s="9" t="s">
        <v>2674</v>
      </c>
      <c r="CC10" s="9" t="s">
        <v>2674</v>
      </c>
      <c r="CD10" s="9" t="s">
        <v>41</v>
      </c>
      <c r="CE10" s="9" t="s">
        <v>41</v>
      </c>
      <c r="CF10" s="9" t="s">
        <v>41</v>
      </c>
      <c r="CG10" s="9" t="s">
        <v>41</v>
      </c>
      <c r="CH10" s="9" t="s">
        <v>41</v>
      </c>
      <c r="CI10" s="9" t="s">
        <v>41</v>
      </c>
      <c r="CJ10" s="9" t="s">
        <v>41</v>
      </c>
      <c r="CR10" s="9" t="s">
        <v>2678</v>
      </c>
      <c r="CS10" s="9" t="s">
        <v>2678</v>
      </c>
      <c r="CT10" s="9" t="s">
        <v>2678</v>
      </c>
      <c r="CU10" s="9" t="s">
        <v>2678</v>
      </c>
      <c r="CV10" s="9" t="s">
        <v>2678</v>
      </c>
      <c r="CW10" s="9" t="s">
        <v>2678</v>
      </c>
      <c r="CX10" s="9" t="s">
        <v>2678</v>
      </c>
      <c r="CY10" s="9" t="s">
        <v>28</v>
      </c>
      <c r="CZ10" s="9" t="s">
        <v>2679</v>
      </c>
      <c r="DA10" s="9" t="s">
        <v>13953</v>
      </c>
      <c r="DB10" s="9" t="s">
        <v>2885</v>
      </c>
      <c r="DC10" s="9" t="s">
        <v>2680</v>
      </c>
      <c r="DD10" s="9" t="s">
        <v>2680</v>
      </c>
      <c r="DE10" s="9" t="s">
        <v>2680</v>
      </c>
      <c r="DG10" s="9" t="s">
        <v>2680</v>
      </c>
      <c r="DH10" s="9" t="s">
        <v>2680</v>
      </c>
      <c r="DI10" s="9" t="s">
        <v>2680</v>
      </c>
      <c r="DJ10" s="9" t="s">
        <v>2680</v>
      </c>
      <c r="DL10" s="9" t="s">
        <v>2811</v>
      </c>
      <c r="DN10" s="9" t="s">
        <v>2680</v>
      </c>
      <c r="DO10" s="9" t="s">
        <v>25</v>
      </c>
      <c r="DQ10" s="9" t="s">
        <v>28</v>
      </c>
      <c r="DR10" s="9" t="s">
        <v>2776</v>
      </c>
      <c r="DS10" s="9" t="s">
        <v>2680</v>
      </c>
      <c r="DT10" s="9" t="s">
        <v>28</v>
      </c>
      <c r="DU10" s="9" t="s">
        <v>13953</v>
      </c>
      <c r="DV10" s="9" t="s">
        <v>25</v>
      </c>
      <c r="DX10" s="9" t="s">
        <v>25</v>
      </c>
      <c r="EJ10" s="9" t="s">
        <v>25</v>
      </c>
      <c r="EU10" s="9" t="s">
        <v>28</v>
      </c>
      <c r="EV10" s="9" t="s">
        <v>13577</v>
      </c>
      <c r="EX10" s="9" t="s">
        <v>28</v>
      </c>
      <c r="EY10" s="9" t="s">
        <v>994</v>
      </c>
      <c r="FS10" s="9" t="s">
        <v>25</v>
      </c>
      <c r="FU10" s="9" t="s">
        <v>2730</v>
      </c>
      <c r="FV10" s="9" t="s">
        <v>2690</v>
      </c>
      <c r="FX10" s="9" t="s">
        <v>25</v>
      </c>
      <c r="FZ10" s="9" t="s">
        <v>25</v>
      </c>
      <c r="GB10" s="9" t="s">
        <v>612</v>
      </c>
      <c r="GC10" s="9" t="s">
        <v>2911</v>
      </c>
      <c r="GD10" s="9" t="s">
        <v>28</v>
      </c>
      <c r="GE10" s="9" t="s">
        <v>2771</v>
      </c>
      <c r="GF10" s="9" t="s">
        <v>28</v>
      </c>
      <c r="GG10" s="9" t="s">
        <v>25</v>
      </c>
      <c r="GH10" s="9" t="s">
        <v>2683</v>
      </c>
      <c r="GI10" s="9" t="s">
        <v>25</v>
      </c>
      <c r="GK10" s="9" t="s">
        <v>2695</v>
      </c>
      <c r="GM10" s="9" t="s">
        <v>13975</v>
      </c>
      <c r="GN10" s="9" t="s">
        <v>631</v>
      </c>
      <c r="GO10" s="9" t="s">
        <v>2696</v>
      </c>
      <c r="GP10" s="9" t="s">
        <v>28</v>
      </c>
      <c r="GQ10" s="9" t="s">
        <v>28</v>
      </c>
      <c r="GR10" s="9" t="s">
        <v>2745</v>
      </c>
      <c r="GS10" s="9" t="s">
        <v>2745</v>
      </c>
      <c r="GT10" s="9" t="s">
        <v>2698</v>
      </c>
      <c r="GV10" s="9" t="s">
        <v>25</v>
      </c>
      <c r="HA10" s="9" t="s">
        <v>25</v>
      </c>
      <c r="HB10" s="9" t="s">
        <v>2701</v>
      </c>
      <c r="HC10" s="9" t="s">
        <v>2702</v>
      </c>
      <c r="HD10" s="9" t="s">
        <v>2702</v>
      </c>
      <c r="HE10" s="9" t="s">
        <v>2702</v>
      </c>
      <c r="HG10" s="9">
        <v>4</v>
      </c>
    </row>
    <row r="11" spans="1:215" ht="51" x14ac:dyDescent="0.2">
      <c r="A11" s="8" t="s">
        <v>176</v>
      </c>
      <c r="B11" s="9" t="s">
        <v>28</v>
      </c>
      <c r="C11" s="9" t="s">
        <v>2663</v>
      </c>
      <c r="D11" s="9" t="s">
        <v>14595</v>
      </c>
      <c r="G11" s="9" t="s">
        <v>2665</v>
      </c>
      <c r="H11" s="9" t="s">
        <v>2666</v>
      </c>
      <c r="I11" s="9" t="s">
        <v>2666</v>
      </c>
      <c r="J11" s="9" t="s">
        <v>2666</v>
      </c>
      <c r="K11" s="9" t="s">
        <v>2667</v>
      </c>
      <c r="L11" s="9" t="s">
        <v>2667</v>
      </c>
      <c r="M11" s="9" t="s">
        <v>2667</v>
      </c>
      <c r="N11" s="9" t="s">
        <v>2666</v>
      </c>
      <c r="O11" s="9" t="s">
        <v>2665</v>
      </c>
      <c r="P11" s="9" t="s">
        <v>2665</v>
      </c>
      <c r="Q11" s="9" t="s">
        <v>2667</v>
      </c>
      <c r="R11" s="9" t="s">
        <v>2667</v>
      </c>
      <c r="S11" s="9" t="s">
        <v>2667</v>
      </c>
      <c r="U11" s="9" t="s">
        <v>28</v>
      </c>
      <c r="V11" s="9" t="s">
        <v>612</v>
      </c>
      <c r="X11" s="9" t="s">
        <v>2704</v>
      </c>
      <c r="AR11" s="10" t="s">
        <v>2705</v>
      </c>
      <c r="AS11" s="10">
        <v>168</v>
      </c>
      <c r="AT11" s="10">
        <v>168</v>
      </c>
      <c r="AU11" s="10">
        <v>168</v>
      </c>
      <c r="AV11" s="10">
        <v>168</v>
      </c>
      <c r="AW11" s="10">
        <v>168</v>
      </c>
      <c r="AX11" s="10">
        <v>208</v>
      </c>
      <c r="AY11" s="10">
        <v>208</v>
      </c>
      <c r="AZ11" s="10">
        <v>208</v>
      </c>
      <c r="BA11" s="10">
        <v>208</v>
      </c>
      <c r="BB11" s="10">
        <v>208</v>
      </c>
      <c r="BC11" s="10">
        <v>208</v>
      </c>
      <c r="BD11" s="10">
        <v>268</v>
      </c>
      <c r="BE11" s="10">
        <v>268</v>
      </c>
      <c r="BF11" s="10">
        <v>268</v>
      </c>
      <c r="BG11" s="10" t="s">
        <v>28</v>
      </c>
      <c r="BH11" s="10">
        <v>268</v>
      </c>
      <c r="BI11" s="10" t="s">
        <v>2924</v>
      </c>
      <c r="BJ11" s="10" t="s">
        <v>25</v>
      </c>
      <c r="BL11" s="10" t="s">
        <v>2705</v>
      </c>
      <c r="BM11" s="10" t="s">
        <v>2671</v>
      </c>
      <c r="BP11" s="9" t="s">
        <v>25</v>
      </c>
      <c r="BQ11" s="9" t="s">
        <v>25</v>
      </c>
      <c r="BR11" s="9" t="s">
        <v>25</v>
      </c>
      <c r="BS11" s="9" t="s">
        <v>25</v>
      </c>
      <c r="BW11" s="9" t="s">
        <v>2674</v>
      </c>
      <c r="BX11" s="9" t="s">
        <v>2674</v>
      </c>
      <c r="BY11" s="9" t="s">
        <v>2674</v>
      </c>
      <c r="BZ11" s="9" t="s">
        <v>2674</v>
      </c>
      <c r="CA11" s="9" t="s">
        <v>2674</v>
      </c>
      <c r="CB11" s="9" t="s">
        <v>2674</v>
      </c>
      <c r="CC11" s="9" t="s">
        <v>2674</v>
      </c>
      <c r="CD11" s="9" t="s">
        <v>2675</v>
      </c>
      <c r="CE11" s="9" t="s">
        <v>2675</v>
      </c>
      <c r="CF11" s="9" t="s">
        <v>2675</v>
      </c>
      <c r="CG11" s="9" t="s">
        <v>2675</v>
      </c>
      <c r="CH11" s="9" t="s">
        <v>2675</v>
      </c>
      <c r="CI11" s="9" t="s">
        <v>2675</v>
      </c>
      <c r="CJ11" s="9" t="s">
        <v>2675</v>
      </c>
      <c r="CK11" s="9" t="s">
        <v>2676</v>
      </c>
      <c r="CL11" s="9" t="s">
        <v>2676</v>
      </c>
      <c r="CM11" s="9" t="s">
        <v>2676</v>
      </c>
      <c r="CN11" s="9" t="s">
        <v>2676</v>
      </c>
      <c r="CO11" s="9" t="s">
        <v>2676</v>
      </c>
      <c r="CP11" s="9" t="s">
        <v>2676</v>
      </c>
      <c r="CQ11" s="9" t="s">
        <v>2676</v>
      </c>
      <c r="CR11" s="9" t="s">
        <v>2717</v>
      </c>
      <c r="CS11" s="9" t="s">
        <v>2717</v>
      </c>
      <c r="CT11" s="9" t="s">
        <v>2717</v>
      </c>
      <c r="CU11" s="9" t="s">
        <v>2717</v>
      </c>
      <c r="CV11" s="9" t="s">
        <v>2717</v>
      </c>
      <c r="CW11" s="9" t="s">
        <v>2717</v>
      </c>
      <c r="CX11" s="9" t="s">
        <v>2717</v>
      </c>
      <c r="CY11" s="9" t="s">
        <v>28</v>
      </c>
      <c r="CZ11" s="9" t="s">
        <v>2679</v>
      </c>
      <c r="DA11" s="9" t="s">
        <v>13953</v>
      </c>
      <c r="DB11" s="9" t="s">
        <v>2719</v>
      </c>
      <c r="DC11" s="9" t="s">
        <v>2719</v>
      </c>
      <c r="DD11" s="9" t="s">
        <v>2719</v>
      </c>
      <c r="DE11" s="9" t="s">
        <v>2719</v>
      </c>
      <c r="DG11" s="9" t="s">
        <v>2719</v>
      </c>
      <c r="DH11" s="9" t="s">
        <v>2719</v>
      </c>
      <c r="DI11" s="9" t="s">
        <v>2719</v>
      </c>
      <c r="DJ11" s="9" t="s">
        <v>2719</v>
      </c>
      <c r="DL11" s="9" t="s">
        <v>2719</v>
      </c>
      <c r="DN11" s="9" t="s">
        <v>2719</v>
      </c>
      <c r="DO11" s="9" t="s">
        <v>28</v>
      </c>
      <c r="DP11" s="9" t="s">
        <v>2719</v>
      </c>
      <c r="DQ11" s="9" t="s">
        <v>25</v>
      </c>
      <c r="DX11" s="9" t="s">
        <v>28</v>
      </c>
      <c r="DY11" s="9" t="s">
        <v>2831</v>
      </c>
      <c r="DZ11" s="9" t="s">
        <v>2720</v>
      </c>
      <c r="EA11" s="9" t="s">
        <v>2855</v>
      </c>
      <c r="EB11" s="9" t="s">
        <v>28</v>
      </c>
      <c r="EC11" s="9" t="s">
        <v>2720</v>
      </c>
      <c r="ED11" s="9" t="s">
        <v>2913</v>
      </c>
      <c r="EF11" s="9" t="s">
        <v>13958</v>
      </c>
      <c r="EH11" s="9" t="s">
        <v>2685</v>
      </c>
      <c r="EJ11" s="9" t="s">
        <v>28</v>
      </c>
      <c r="EK11" s="9" t="s">
        <v>2679</v>
      </c>
      <c r="EL11" s="9" t="s">
        <v>2686</v>
      </c>
      <c r="EN11" s="9" t="s">
        <v>2694</v>
      </c>
      <c r="EQ11" s="9" t="s">
        <v>2925</v>
      </c>
      <c r="ES11" s="9" t="s">
        <v>28</v>
      </c>
      <c r="ET11" s="9" t="s">
        <v>2694</v>
      </c>
      <c r="EU11" s="9" t="s">
        <v>28</v>
      </c>
      <c r="EV11" s="9" t="s">
        <v>13556</v>
      </c>
      <c r="EX11" s="9" t="s">
        <v>28</v>
      </c>
      <c r="EY11" s="9" t="s">
        <v>1148</v>
      </c>
      <c r="FS11" s="9" t="s">
        <v>25</v>
      </c>
      <c r="FU11" s="9" t="s">
        <v>2691</v>
      </c>
      <c r="FX11" s="9" t="s">
        <v>25</v>
      </c>
      <c r="FZ11" s="9" t="s">
        <v>28</v>
      </c>
      <c r="GA11" s="9" t="s">
        <v>2725</v>
      </c>
      <c r="GB11" s="9" t="s">
        <v>2673</v>
      </c>
      <c r="GD11" s="9" t="s">
        <v>28</v>
      </c>
      <c r="GE11" s="9" t="s">
        <v>2693</v>
      </c>
      <c r="GF11" s="9" t="s">
        <v>28</v>
      </c>
      <c r="GG11" s="9" t="s">
        <v>25</v>
      </c>
      <c r="GH11" s="9" t="s">
        <v>2759</v>
      </c>
      <c r="GI11" s="9" t="s">
        <v>25</v>
      </c>
      <c r="GK11" s="9" t="s">
        <v>2695</v>
      </c>
      <c r="GM11" s="9" t="s">
        <v>13987</v>
      </c>
      <c r="GN11" s="9" t="s">
        <v>2712</v>
      </c>
      <c r="GO11" s="9" t="s">
        <v>25</v>
      </c>
      <c r="GV11" s="9" t="s">
        <v>41</v>
      </c>
      <c r="HA11" s="9" t="s">
        <v>2701</v>
      </c>
      <c r="HB11" s="9" t="s">
        <v>2701</v>
      </c>
      <c r="HC11" s="9" t="s">
        <v>2701</v>
      </c>
      <c r="HD11" s="9" t="s">
        <v>25</v>
      </c>
      <c r="HE11" s="9" t="s">
        <v>2701</v>
      </c>
      <c r="HG11" s="9">
        <v>4</v>
      </c>
    </row>
    <row r="12" spans="1:215" ht="63.75" x14ac:dyDescent="0.2">
      <c r="A12" s="8" t="s">
        <v>175</v>
      </c>
      <c r="B12" s="9" t="s">
        <v>28</v>
      </c>
      <c r="C12" s="9" t="s">
        <v>2752</v>
      </c>
      <c r="D12" s="9" t="s">
        <v>13533</v>
      </c>
      <c r="E12" s="9" t="s">
        <v>743</v>
      </c>
      <c r="F12" s="9" t="s">
        <v>743</v>
      </c>
      <c r="G12" s="9" t="s">
        <v>2665</v>
      </c>
      <c r="H12" s="9" t="s">
        <v>2665</v>
      </c>
      <c r="I12" s="9" t="s">
        <v>2665</v>
      </c>
      <c r="J12" s="9" t="s">
        <v>2667</v>
      </c>
      <c r="K12" s="9" t="s">
        <v>2667</v>
      </c>
      <c r="L12" s="9" t="s">
        <v>2667</v>
      </c>
      <c r="M12" s="9" t="s">
        <v>2667</v>
      </c>
      <c r="N12" s="9" t="s">
        <v>2666</v>
      </c>
      <c r="O12" s="9" t="s">
        <v>2666</v>
      </c>
      <c r="P12" s="9" t="s">
        <v>2667</v>
      </c>
      <c r="Q12" s="9" t="s">
        <v>2667</v>
      </c>
      <c r="R12" s="9" t="s">
        <v>2665</v>
      </c>
      <c r="S12" s="9" t="s">
        <v>2666</v>
      </c>
      <c r="T12" s="9" t="s">
        <v>2666</v>
      </c>
      <c r="U12" s="9" t="s">
        <v>25</v>
      </c>
      <c r="X12" s="9" t="s">
        <v>2794</v>
      </c>
      <c r="AR12" s="10" t="s">
        <v>2668</v>
      </c>
      <c r="AS12" s="10">
        <v>136</v>
      </c>
      <c r="AT12" s="10">
        <v>144</v>
      </c>
      <c r="AU12" s="10">
        <v>152</v>
      </c>
      <c r="AV12" s="10">
        <v>160</v>
      </c>
      <c r="AW12" s="10">
        <v>168</v>
      </c>
      <c r="AX12" s="10">
        <v>176</v>
      </c>
      <c r="AY12" s="10">
        <v>176</v>
      </c>
      <c r="AZ12" s="10">
        <v>176</v>
      </c>
      <c r="BA12" s="10">
        <v>176</v>
      </c>
      <c r="BB12" s="10">
        <v>176</v>
      </c>
      <c r="BC12" s="10">
        <v>176</v>
      </c>
      <c r="BD12" s="10">
        <v>176</v>
      </c>
      <c r="BE12" s="10">
        <v>176</v>
      </c>
      <c r="BF12" s="10">
        <v>176</v>
      </c>
      <c r="BG12" s="10" t="s">
        <v>25</v>
      </c>
      <c r="BI12" s="10" t="s">
        <v>2922</v>
      </c>
      <c r="BJ12" s="10" t="s">
        <v>2169</v>
      </c>
      <c r="BK12" s="10">
        <v>40</v>
      </c>
      <c r="BL12" s="10" t="s">
        <v>2668</v>
      </c>
      <c r="BM12" s="10" t="s">
        <v>2671</v>
      </c>
      <c r="BN12" s="10">
        <v>240</v>
      </c>
      <c r="BO12" s="10">
        <v>240</v>
      </c>
      <c r="BP12" s="9" t="s">
        <v>25</v>
      </c>
      <c r="BQ12" s="9" t="s">
        <v>25</v>
      </c>
      <c r="BR12" s="9" t="s">
        <v>25</v>
      </c>
      <c r="BS12" s="9" t="s">
        <v>25</v>
      </c>
      <c r="BW12" s="9" t="s">
        <v>2673</v>
      </c>
      <c r="BX12" s="9" t="s">
        <v>2673</v>
      </c>
      <c r="BY12" s="9" t="s">
        <v>2673</v>
      </c>
      <c r="BZ12" s="9" t="s">
        <v>2673</v>
      </c>
      <c r="CA12" s="9" t="s">
        <v>2673</v>
      </c>
      <c r="CB12" s="9" t="s">
        <v>2673</v>
      </c>
      <c r="CC12" s="9" t="s">
        <v>2674</v>
      </c>
      <c r="CJ12" s="9" t="s">
        <v>2675</v>
      </c>
      <c r="CK12" s="9" t="s">
        <v>2676</v>
      </c>
      <c r="CL12" s="9" t="s">
        <v>2676</v>
      </c>
      <c r="CM12" s="9" t="s">
        <v>2676</v>
      </c>
      <c r="CN12" s="9" t="s">
        <v>2676</v>
      </c>
      <c r="CO12" s="9" t="s">
        <v>2676</v>
      </c>
      <c r="CP12" s="9" t="s">
        <v>2676</v>
      </c>
      <c r="CQ12" s="9" t="s">
        <v>2677</v>
      </c>
      <c r="CR12" s="9" t="s">
        <v>2738</v>
      </c>
      <c r="CS12" s="9" t="s">
        <v>2738</v>
      </c>
      <c r="CT12" s="9" t="s">
        <v>2738</v>
      </c>
      <c r="CU12" s="9" t="s">
        <v>2738</v>
      </c>
      <c r="CV12" s="9" t="s">
        <v>2738</v>
      </c>
      <c r="CW12" s="9" t="s">
        <v>2738</v>
      </c>
      <c r="CX12" s="9" t="s">
        <v>2717</v>
      </c>
      <c r="CY12" s="9" t="s">
        <v>28</v>
      </c>
      <c r="CZ12" s="9" t="s">
        <v>2679</v>
      </c>
      <c r="DA12" s="9" t="s">
        <v>2718</v>
      </c>
      <c r="DB12" s="9" t="s">
        <v>2726</v>
      </c>
      <c r="DC12" s="9" t="s">
        <v>2726</v>
      </c>
      <c r="DD12" s="9" t="s">
        <v>2726</v>
      </c>
      <c r="DG12" s="9" t="s">
        <v>2726</v>
      </c>
      <c r="DH12" s="9" t="s">
        <v>2726</v>
      </c>
      <c r="DI12" s="9" t="s">
        <v>2726</v>
      </c>
      <c r="DL12" s="9" t="s">
        <v>2726</v>
      </c>
      <c r="DN12" s="9" t="s">
        <v>2726</v>
      </c>
      <c r="DO12" s="9" t="s">
        <v>25</v>
      </c>
      <c r="DQ12" s="9" t="s">
        <v>25</v>
      </c>
      <c r="DX12" s="9" t="s">
        <v>28</v>
      </c>
      <c r="DY12" s="9" t="s">
        <v>2679</v>
      </c>
      <c r="DZ12" s="9" t="s">
        <v>2726</v>
      </c>
      <c r="EA12" s="9" t="s">
        <v>13539</v>
      </c>
      <c r="EB12" s="9" t="s">
        <v>25</v>
      </c>
      <c r="EC12" s="9" t="s">
        <v>2683</v>
      </c>
      <c r="ED12" s="9" t="s">
        <v>2913</v>
      </c>
      <c r="EF12" s="9" t="s">
        <v>13959</v>
      </c>
      <c r="EH12" s="9" t="s">
        <v>2685</v>
      </c>
      <c r="EJ12" s="9" t="s">
        <v>28</v>
      </c>
      <c r="EK12" s="9" t="s">
        <v>2679</v>
      </c>
      <c r="EL12" s="9" t="s">
        <v>2686</v>
      </c>
      <c r="EN12" s="9" t="s">
        <v>2720</v>
      </c>
      <c r="EO12" s="9" t="s">
        <v>2721</v>
      </c>
      <c r="EQ12" s="9" t="s">
        <v>2689</v>
      </c>
      <c r="ES12" s="9" t="s">
        <v>25</v>
      </c>
      <c r="EU12" s="9" t="s">
        <v>28</v>
      </c>
      <c r="EV12" s="9" t="s">
        <v>13578</v>
      </c>
      <c r="EX12" s="9" t="s">
        <v>25</v>
      </c>
      <c r="EZ12" s="9" t="s">
        <v>2690</v>
      </c>
      <c r="FA12" s="9" t="s">
        <v>2690</v>
      </c>
      <c r="FB12" s="9" t="s">
        <v>2690</v>
      </c>
      <c r="FC12" s="9" t="s">
        <v>2690</v>
      </c>
      <c r="FD12" s="9" t="s">
        <v>2690</v>
      </c>
      <c r="FE12" s="9" t="s">
        <v>2690</v>
      </c>
      <c r="FF12" s="9" t="s">
        <v>1148</v>
      </c>
      <c r="FG12" s="9" t="s">
        <v>1148</v>
      </c>
      <c r="FH12" s="9" t="s">
        <v>1148</v>
      </c>
      <c r="FI12" s="9" t="s">
        <v>1148</v>
      </c>
      <c r="FK12" s="9" t="s">
        <v>1148</v>
      </c>
      <c r="FS12" s="9" t="s">
        <v>25</v>
      </c>
      <c r="FT12" s="9" t="s">
        <v>2725</v>
      </c>
      <c r="FU12" s="9" t="s">
        <v>2730</v>
      </c>
      <c r="FV12" s="9" t="s">
        <v>994</v>
      </c>
      <c r="FX12" s="9" t="s">
        <v>25</v>
      </c>
      <c r="FZ12" s="9" t="s">
        <v>28</v>
      </c>
      <c r="GA12" s="9" t="s">
        <v>1148</v>
      </c>
      <c r="GB12" s="9" t="s">
        <v>758</v>
      </c>
      <c r="GD12" s="9" t="s">
        <v>28</v>
      </c>
      <c r="GE12" s="9" t="s">
        <v>2771</v>
      </c>
      <c r="GF12" s="9" t="s">
        <v>28</v>
      </c>
      <c r="GG12" s="9" t="s">
        <v>25</v>
      </c>
      <c r="GH12" s="9" t="s">
        <v>2680</v>
      </c>
      <c r="GI12" s="9" t="s">
        <v>25</v>
      </c>
      <c r="GK12" s="9" t="s">
        <v>2695</v>
      </c>
      <c r="GL12" s="9" t="s">
        <v>2923</v>
      </c>
      <c r="GM12" s="9" t="s">
        <v>13963</v>
      </c>
      <c r="GN12" s="9" t="s">
        <v>631</v>
      </c>
      <c r="GO12" s="9" t="s">
        <v>25</v>
      </c>
      <c r="GV12" s="9" t="s">
        <v>25</v>
      </c>
      <c r="HA12" s="9" t="s">
        <v>2701</v>
      </c>
      <c r="HB12" s="9" t="s">
        <v>2701</v>
      </c>
      <c r="HC12" s="9" t="s">
        <v>2702</v>
      </c>
      <c r="HD12" s="9" t="s">
        <v>25</v>
      </c>
      <c r="HE12" s="9" t="s">
        <v>25</v>
      </c>
      <c r="HG12" s="9" t="s">
        <v>2765</v>
      </c>
    </row>
    <row r="13" spans="1:215" ht="63.75" x14ac:dyDescent="0.2">
      <c r="A13" s="8" t="s">
        <v>121</v>
      </c>
      <c r="B13" s="9" t="s">
        <v>28</v>
      </c>
      <c r="C13" s="9" t="s">
        <v>2663</v>
      </c>
      <c r="D13" s="9" t="s">
        <v>2733</v>
      </c>
      <c r="E13" s="9" t="s">
        <v>2664</v>
      </c>
      <c r="F13" s="9" t="s">
        <v>2664</v>
      </c>
      <c r="G13" s="9" t="s">
        <v>2666</v>
      </c>
      <c r="H13" s="9" t="s">
        <v>2667</v>
      </c>
      <c r="I13" s="9" t="s">
        <v>2665</v>
      </c>
      <c r="J13" s="9" t="s">
        <v>2666</v>
      </c>
      <c r="K13" s="9" t="s">
        <v>2667</v>
      </c>
      <c r="L13" s="9" t="s">
        <v>2667</v>
      </c>
      <c r="M13" s="9" t="s">
        <v>2667</v>
      </c>
      <c r="N13" s="9" t="s">
        <v>2666</v>
      </c>
      <c r="O13" s="9" t="s">
        <v>2665</v>
      </c>
      <c r="P13" s="9" t="s">
        <v>2667</v>
      </c>
      <c r="Q13" s="9" t="s">
        <v>2667</v>
      </c>
      <c r="R13" s="9" t="s">
        <v>2667</v>
      </c>
      <c r="S13" s="9" t="s">
        <v>2667</v>
      </c>
      <c r="U13" s="9" t="s">
        <v>25</v>
      </c>
      <c r="X13" s="9" t="s">
        <v>2734</v>
      </c>
      <c r="Y13" s="10" t="s">
        <v>2705</v>
      </c>
      <c r="Z13" s="10">
        <v>120</v>
      </c>
      <c r="AA13" s="10">
        <v>120</v>
      </c>
      <c r="AB13" s="10">
        <v>120</v>
      </c>
      <c r="AC13" s="10">
        <v>120</v>
      </c>
      <c r="AD13" s="10">
        <v>128</v>
      </c>
      <c r="AE13" s="10">
        <v>136</v>
      </c>
      <c r="AF13" s="10">
        <v>144</v>
      </c>
      <c r="AG13" s="10">
        <v>160</v>
      </c>
      <c r="AH13" s="10">
        <v>160</v>
      </c>
      <c r="AI13" s="10">
        <v>168</v>
      </c>
      <c r="AJ13" s="10">
        <v>176</v>
      </c>
      <c r="AK13" s="10">
        <v>200</v>
      </c>
      <c r="AL13" s="10">
        <v>200</v>
      </c>
      <c r="AM13" s="10" t="s">
        <v>28</v>
      </c>
      <c r="AN13" s="10">
        <v>340</v>
      </c>
      <c r="AO13" s="10" t="s">
        <v>2735</v>
      </c>
      <c r="AP13" s="10" t="s">
        <v>2169</v>
      </c>
      <c r="AQ13" s="10">
        <v>40</v>
      </c>
      <c r="BL13" s="10" t="s">
        <v>2705</v>
      </c>
      <c r="BM13" s="10" t="s">
        <v>2716</v>
      </c>
      <c r="BN13" s="10">
        <v>160</v>
      </c>
      <c r="BO13" s="10">
        <v>160</v>
      </c>
      <c r="BP13" s="9" t="s">
        <v>25</v>
      </c>
      <c r="BQ13" s="9" t="s">
        <v>25</v>
      </c>
      <c r="BR13" s="9" t="s">
        <v>25</v>
      </c>
      <c r="BS13" s="9" t="s">
        <v>25</v>
      </c>
      <c r="BW13" s="9" t="s">
        <v>2673</v>
      </c>
      <c r="BX13" s="9" t="s">
        <v>2673</v>
      </c>
      <c r="BY13" s="9" t="s">
        <v>2673</v>
      </c>
      <c r="CD13" s="9" t="s">
        <v>2736</v>
      </c>
      <c r="CE13" s="9" t="s">
        <v>2736</v>
      </c>
      <c r="CF13" s="9" t="s">
        <v>2736</v>
      </c>
      <c r="CG13" s="9" t="s">
        <v>2675</v>
      </c>
      <c r="CH13" s="9" t="s">
        <v>2675</v>
      </c>
      <c r="CI13" s="9" t="s">
        <v>2675</v>
      </c>
      <c r="CJ13" s="9" t="s">
        <v>2675</v>
      </c>
      <c r="CK13" s="9" t="s">
        <v>2737</v>
      </c>
      <c r="CL13" s="9" t="s">
        <v>2737</v>
      </c>
      <c r="CM13" s="9" t="s">
        <v>2737</v>
      </c>
      <c r="CN13" s="9" t="s">
        <v>2737</v>
      </c>
      <c r="CO13" s="9" t="s">
        <v>2737</v>
      </c>
      <c r="CP13" s="9" t="s">
        <v>2737</v>
      </c>
      <c r="CQ13" s="9" t="s">
        <v>2737</v>
      </c>
      <c r="CR13" s="9" t="s">
        <v>2738</v>
      </c>
      <c r="CS13" s="9" t="s">
        <v>2738</v>
      </c>
      <c r="CT13" s="9" t="s">
        <v>2738</v>
      </c>
      <c r="CU13" s="9" t="s">
        <v>2717</v>
      </c>
      <c r="CV13" s="9" t="s">
        <v>2717</v>
      </c>
      <c r="CW13" s="9" t="s">
        <v>2717</v>
      </c>
      <c r="CX13" s="9" t="s">
        <v>2717</v>
      </c>
      <c r="CY13" s="9" t="s">
        <v>28</v>
      </c>
      <c r="CZ13" s="9" t="s">
        <v>2679</v>
      </c>
      <c r="DA13" s="9" t="s">
        <v>13953</v>
      </c>
      <c r="DB13" s="9" t="s">
        <v>2683</v>
      </c>
      <c r="DC13" s="9" t="s">
        <v>2683</v>
      </c>
      <c r="DD13" s="9" t="s">
        <v>2683</v>
      </c>
      <c r="DE13" s="9" t="s">
        <v>2683</v>
      </c>
      <c r="DG13" s="9" t="s">
        <v>2683</v>
      </c>
      <c r="DH13" s="9" t="s">
        <v>2683</v>
      </c>
      <c r="DI13" s="9" t="s">
        <v>2683</v>
      </c>
      <c r="DJ13" s="9" t="s">
        <v>2683</v>
      </c>
      <c r="DL13" s="9" t="s">
        <v>2683</v>
      </c>
      <c r="DN13" s="9" t="s">
        <v>2683</v>
      </c>
      <c r="DO13" s="9" t="s">
        <v>25</v>
      </c>
      <c r="DQ13" s="9" t="s">
        <v>25</v>
      </c>
      <c r="DX13" s="9" t="s">
        <v>28</v>
      </c>
      <c r="DY13" s="9" t="s">
        <v>2679</v>
      </c>
      <c r="DZ13" s="9" t="s">
        <v>2687</v>
      </c>
      <c r="EA13" s="9" t="s">
        <v>13537</v>
      </c>
      <c r="EB13" s="9" t="s">
        <v>25</v>
      </c>
      <c r="ED13" s="9" t="s">
        <v>2739</v>
      </c>
      <c r="EE13" s="9" t="s">
        <v>2740</v>
      </c>
      <c r="EF13" s="9" t="s">
        <v>13957</v>
      </c>
      <c r="EH13" s="9" t="s">
        <v>2685</v>
      </c>
      <c r="EJ13" s="9" t="s">
        <v>28</v>
      </c>
      <c r="EK13" s="9" t="s">
        <v>2679</v>
      </c>
      <c r="EL13" s="9" t="s">
        <v>29</v>
      </c>
      <c r="EM13" s="9" t="s">
        <v>2741</v>
      </c>
      <c r="EN13" s="9" t="s">
        <v>2720</v>
      </c>
      <c r="EO13" s="9" t="s">
        <v>2742</v>
      </c>
      <c r="EQ13" s="9" t="s">
        <v>2743</v>
      </c>
      <c r="ES13" s="9" t="s">
        <v>28</v>
      </c>
      <c r="ET13" s="9" t="s">
        <v>2720</v>
      </c>
      <c r="EU13" s="9" t="s">
        <v>28</v>
      </c>
      <c r="EV13" s="9" t="s">
        <v>13550</v>
      </c>
      <c r="EX13" s="9" t="s">
        <v>25</v>
      </c>
      <c r="EZ13" s="9" t="s">
        <v>2690</v>
      </c>
      <c r="FA13" s="9" t="s">
        <v>2690</v>
      </c>
      <c r="FB13" s="9" t="s">
        <v>2690</v>
      </c>
      <c r="FC13" s="9" t="s">
        <v>2690</v>
      </c>
      <c r="FD13" s="9" t="s">
        <v>2690</v>
      </c>
      <c r="FF13" s="9" t="s">
        <v>1148</v>
      </c>
      <c r="FG13" s="9" t="s">
        <v>2690</v>
      </c>
      <c r="FH13" s="9" t="s">
        <v>2690</v>
      </c>
      <c r="FI13" s="9" t="s">
        <v>1148</v>
      </c>
      <c r="FK13" s="9" t="s">
        <v>1148</v>
      </c>
      <c r="FL13" s="9" t="s">
        <v>1148</v>
      </c>
      <c r="FM13" s="9" t="s">
        <v>1148</v>
      </c>
      <c r="FN13" s="9" t="s">
        <v>1148</v>
      </c>
      <c r="FO13" s="9" t="s">
        <v>1148</v>
      </c>
      <c r="FS13" s="9" t="s">
        <v>25</v>
      </c>
      <c r="FU13" s="9" t="s">
        <v>2730</v>
      </c>
      <c r="FV13" s="9" t="s">
        <v>2692</v>
      </c>
      <c r="FX13" s="9" t="s">
        <v>25</v>
      </c>
      <c r="FZ13" s="9" t="s">
        <v>28</v>
      </c>
      <c r="GA13" s="9" t="s">
        <v>2712</v>
      </c>
      <c r="GB13" s="9" t="s">
        <v>693</v>
      </c>
      <c r="GD13" s="9" t="s">
        <v>28</v>
      </c>
      <c r="GE13" s="9" t="s">
        <v>2693</v>
      </c>
      <c r="GF13" s="9" t="s">
        <v>28</v>
      </c>
      <c r="GG13" s="9" t="s">
        <v>25</v>
      </c>
      <c r="GH13" s="9" t="s">
        <v>2694</v>
      </c>
      <c r="GI13" s="9" t="s">
        <v>25</v>
      </c>
      <c r="GK13" s="9" t="s">
        <v>2695</v>
      </c>
      <c r="GL13" s="9" t="s">
        <v>2744</v>
      </c>
      <c r="GM13" s="9" t="s">
        <v>13965</v>
      </c>
      <c r="GN13" s="9" t="s">
        <v>2745</v>
      </c>
      <c r="GO13" s="9" t="s">
        <v>25</v>
      </c>
      <c r="GV13" s="9" t="s">
        <v>41</v>
      </c>
      <c r="HA13" s="9" t="s">
        <v>2702</v>
      </c>
      <c r="HB13" s="9" t="s">
        <v>2702</v>
      </c>
      <c r="HC13" s="9" t="s">
        <v>2702</v>
      </c>
      <c r="HD13" s="9" t="s">
        <v>2702</v>
      </c>
      <c r="HE13" s="9" t="s">
        <v>2702</v>
      </c>
      <c r="HG13" s="9">
        <v>4</v>
      </c>
    </row>
    <row r="14" spans="1:215" ht="63.75" x14ac:dyDescent="0.2">
      <c r="A14" s="8" t="s">
        <v>147</v>
      </c>
      <c r="B14" s="9" t="s">
        <v>28</v>
      </c>
      <c r="C14" s="9" t="s">
        <v>2746</v>
      </c>
      <c r="D14" s="9" t="s">
        <v>13533</v>
      </c>
      <c r="E14" s="9" t="s">
        <v>743</v>
      </c>
      <c r="F14" s="9" t="s">
        <v>2664</v>
      </c>
      <c r="G14" s="9" t="s">
        <v>2666</v>
      </c>
      <c r="H14" s="9" t="s">
        <v>2666</v>
      </c>
      <c r="I14" s="9" t="s">
        <v>2665</v>
      </c>
      <c r="J14" s="9" t="s">
        <v>2666</v>
      </c>
      <c r="K14" s="9" t="s">
        <v>2667</v>
      </c>
      <c r="L14" s="9" t="s">
        <v>2665</v>
      </c>
      <c r="M14" s="9" t="s">
        <v>2667</v>
      </c>
      <c r="N14" s="9" t="s">
        <v>2666</v>
      </c>
      <c r="O14" s="9" t="s">
        <v>2666</v>
      </c>
      <c r="P14" s="9" t="s">
        <v>2665</v>
      </c>
      <c r="Q14" s="9" t="s">
        <v>2667</v>
      </c>
      <c r="R14" s="9" t="s">
        <v>2667</v>
      </c>
      <c r="S14" s="9" t="s">
        <v>2667</v>
      </c>
      <c r="T14" s="9" t="s">
        <v>2666</v>
      </c>
      <c r="U14" s="9" t="s">
        <v>25</v>
      </c>
      <c r="X14" s="9" t="s">
        <v>2753</v>
      </c>
      <c r="Y14" s="10" t="s">
        <v>2668</v>
      </c>
      <c r="Z14" s="10">
        <v>120</v>
      </c>
      <c r="AA14" s="10">
        <v>120</v>
      </c>
      <c r="AB14" s="10">
        <v>120</v>
      </c>
      <c r="AC14" s="10">
        <v>120</v>
      </c>
      <c r="AD14" s="10">
        <v>160</v>
      </c>
      <c r="AE14" s="10">
        <v>160</v>
      </c>
      <c r="AF14" s="10">
        <v>160</v>
      </c>
      <c r="AG14" s="10">
        <v>160</v>
      </c>
      <c r="AH14" s="10">
        <v>160</v>
      </c>
      <c r="AI14" s="10">
        <v>176</v>
      </c>
      <c r="AJ14" s="10">
        <v>176</v>
      </c>
      <c r="AK14" s="10">
        <v>192</v>
      </c>
      <c r="AL14" s="10">
        <v>192</v>
      </c>
      <c r="AM14" s="10" t="s">
        <v>25</v>
      </c>
      <c r="AP14" s="10" t="s">
        <v>2169</v>
      </c>
      <c r="AQ14" s="10">
        <v>40</v>
      </c>
      <c r="BL14" s="10" t="s">
        <v>2668</v>
      </c>
      <c r="BM14" s="10" t="s">
        <v>2716</v>
      </c>
      <c r="BN14" s="10">
        <v>80</v>
      </c>
      <c r="BO14" s="10">
        <v>80</v>
      </c>
      <c r="BP14" s="9" t="s">
        <v>25</v>
      </c>
      <c r="BQ14" s="9" t="s">
        <v>25</v>
      </c>
      <c r="BR14" s="9" t="s">
        <v>25</v>
      </c>
      <c r="BS14" s="9" t="s">
        <v>25</v>
      </c>
      <c r="BW14" s="9" t="s">
        <v>2673</v>
      </c>
      <c r="BX14" s="9" t="s">
        <v>2673</v>
      </c>
      <c r="BY14" s="9" t="s">
        <v>2673</v>
      </c>
      <c r="BZ14" s="9" t="s">
        <v>2673</v>
      </c>
      <c r="CA14" s="9" t="s">
        <v>2673</v>
      </c>
      <c r="CB14" s="9" t="s">
        <v>2673</v>
      </c>
      <c r="CC14" s="9" t="s">
        <v>2749</v>
      </c>
      <c r="CJ14" s="9" t="s">
        <v>2675</v>
      </c>
      <c r="CK14" s="9" t="s">
        <v>2737</v>
      </c>
      <c r="CL14" s="9" t="s">
        <v>2737</v>
      </c>
      <c r="CM14" s="9" t="s">
        <v>2737</v>
      </c>
      <c r="CN14" s="9" t="s">
        <v>2737</v>
      </c>
      <c r="CO14" s="9" t="s">
        <v>2737</v>
      </c>
      <c r="CP14" s="9" t="s">
        <v>2737</v>
      </c>
      <c r="CQ14" s="9" t="s">
        <v>2737</v>
      </c>
      <c r="CR14" s="9" t="s">
        <v>2717</v>
      </c>
      <c r="CS14" s="9" t="s">
        <v>2717</v>
      </c>
      <c r="CT14" s="9" t="s">
        <v>2717</v>
      </c>
      <c r="CU14" s="9" t="s">
        <v>2717</v>
      </c>
      <c r="CV14" s="9" t="s">
        <v>2717</v>
      </c>
      <c r="CW14" s="9" t="s">
        <v>2717</v>
      </c>
      <c r="CX14" s="9" t="s">
        <v>2717</v>
      </c>
      <c r="CY14" s="9" t="s">
        <v>28</v>
      </c>
      <c r="CZ14" s="9" t="s">
        <v>2679</v>
      </c>
      <c r="DA14" s="9" t="s">
        <v>13953</v>
      </c>
      <c r="DB14" s="9" t="s">
        <v>2683</v>
      </c>
      <c r="DC14" s="9" t="s">
        <v>2683</v>
      </c>
      <c r="DD14" s="9" t="s">
        <v>2683</v>
      </c>
      <c r="DE14" s="9" t="s">
        <v>2683</v>
      </c>
      <c r="DG14" s="9" t="s">
        <v>2683</v>
      </c>
      <c r="DH14" s="9" t="s">
        <v>2683</v>
      </c>
      <c r="DI14" s="9" t="s">
        <v>2683</v>
      </c>
      <c r="DJ14" s="9" t="s">
        <v>2683</v>
      </c>
      <c r="DL14" s="9" t="s">
        <v>2683</v>
      </c>
      <c r="DN14" s="9" t="s">
        <v>2683</v>
      </c>
      <c r="DO14" s="9" t="s">
        <v>28</v>
      </c>
      <c r="DP14" s="9" t="s">
        <v>2683</v>
      </c>
      <c r="DQ14" s="9" t="s">
        <v>25</v>
      </c>
      <c r="DX14" s="9" t="s">
        <v>28</v>
      </c>
      <c r="DY14" s="9" t="s">
        <v>2679</v>
      </c>
      <c r="DZ14" s="9" t="s">
        <v>2683</v>
      </c>
      <c r="EA14" s="9" t="s">
        <v>2855</v>
      </c>
      <c r="EB14" s="9" t="s">
        <v>28</v>
      </c>
      <c r="EC14" s="9" t="s">
        <v>2683</v>
      </c>
      <c r="ED14" s="9" t="s">
        <v>14554</v>
      </c>
      <c r="EE14" s="9" t="s">
        <v>2856</v>
      </c>
      <c r="EF14" s="9" t="s">
        <v>631</v>
      </c>
      <c r="EH14" s="9" t="s">
        <v>2685</v>
      </c>
      <c r="EJ14" s="9" t="s">
        <v>28</v>
      </c>
      <c r="EK14" s="9" t="s">
        <v>2679</v>
      </c>
      <c r="EL14" s="9" t="s">
        <v>2686</v>
      </c>
      <c r="EN14" s="9" t="s">
        <v>2720</v>
      </c>
      <c r="EO14" s="9" t="s">
        <v>2688</v>
      </c>
      <c r="EQ14" s="9" t="s">
        <v>2689</v>
      </c>
      <c r="ES14" s="9" t="s">
        <v>28</v>
      </c>
      <c r="ET14" s="9" t="s">
        <v>2687</v>
      </c>
      <c r="EU14" s="9" t="s">
        <v>28</v>
      </c>
      <c r="EV14" s="9" t="s">
        <v>13567</v>
      </c>
      <c r="EW14" s="9" t="s">
        <v>2857</v>
      </c>
      <c r="EX14" s="9" t="s">
        <v>25</v>
      </c>
      <c r="EZ14" s="9" t="s">
        <v>2690</v>
      </c>
      <c r="FA14" s="9" t="s">
        <v>2690</v>
      </c>
      <c r="FB14" s="9" t="s">
        <v>2690</v>
      </c>
      <c r="FC14" s="9" t="s">
        <v>2690</v>
      </c>
      <c r="FD14" s="9" t="s">
        <v>2690</v>
      </c>
      <c r="FE14" s="9" t="s">
        <v>2690</v>
      </c>
      <c r="FF14" s="9" t="s">
        <v>994</v>
      </c>
      <c r="FG14" s="9" t="s">
        <v>994</v>
      </c>
      <c r="FH14" s="9" t="s">
        <v>994</v>
      </c>
      <c r="FI14" s="9" t="s">
        <v>994</v>
      </c>
      <c r="FK14" s="9" t="s">
        <v>994</v>
      </c>
      <c r="FL14" s="9" t="s">
        <v>994</v>
      </c>
      <c r="FR14" s="9" t="s">
        <v>994</v>
      </c>
      <c r="FS14" s="9" t="s">
        <v>25</v>
      </c>
      <c r="FU14" s="9" t="s">
        <v>2691</v>
      </c>
      <c r="FX14" s="9" t="s">
        <v>28</v>
      </c>
      <c r="FY14" s="9" t="s">
        <v>2692</v>
      </c>
      <c r="FZ14" s="9" t="s">
        <v>25</v>
      </c>
      <c r="GB14" s="9" t="s">
        <v>758</v>
      </c>
      <c r="GD14" s="9" t="s">
        <v>28</v>
      </c>
      <c r="GE14" s="9" t="s">
        <v>2771</v>
      </c>
      <c r="GF14" s="9" t="s">
        <v>28</v>
      </c>
      <c r="GG14" s="9" t="s">
        <v>25</v>
      </c>
      <c r="GH14" s="9" t="s">
        <v>2687</v>
      </c>
      <c r="GI14" s="9" t="s">
        <v>25</v>
      </c>
      <c r="GK14" s="9" t="s">
        <v>2843</v>
      </c>
      <c r="GM14" s="9" t="s">
        <v>13968</v>
      </c>
      <c r="GN14" s="9" t="s">
        <v>1938</v>
      </c>
      <c r="GO14" s="9" t="s">
        <v>2696</v>
      </c>
      <c r="GP14" s="9" t="s">
        <v>28</v>
      </c>
      <c r="GQ14" s="9" t="s">
        <v>28</v>
      </c>
      <c r="GR14" s="9" t="s">
        <v>1148</v>
      </c>
      <c r="GS14" s="9" t="s">
        <v>1148</v>
      </c>
      <c r="GT14" s="9" t="s">
        <v>2698</v>
      </c>
      <c r="GU14" s="9" t="s">
        <v>2777</v>
      </c>
      <c r="GV14" s="9" t="s">
        <v>41</v>
      </c>
      <c r="HA14" s="9" t="s">
        <v>2702</v>
      </c>
      <c r="HB14" s="9" t="s">
        <v>2702</v>
      </c>
      <c r="HC14" s="9" t="s">
        <v>2702</v>
      </c>
      <c r="HD14" s="9" t="s">
        <v>25</v>
      </c>
      <c r="HE14" s="9" t="s">
        <v>25</v>
      </c>
      <c r="HG14" s="9">
        <v>3</v>
      </c>
    </row>
    <row r="15" spans="1:215" ht="38.25" x14ac:dyDescent="0.2">
      <c r="A15" s="8" t="s">
        <v>138</v>
      </c>
      <c r="B15" s="9" t="s">
        <v>28</v>
      </c>
      <c r="C15" s="9" t="s">
        <v>2752</v>
      </c>
      <c r="D15" s="9" t="s">
        <v>14595</v>
      </c>
      <c r="E15" s="9" t="s">
        <v>2748</v>
      </c>
      <c r="F15" s="9" t="s">
        <v>2664</v>
      </c>
      <c r="G15" s="9" t="s">
        <v>2665</v>
      </c>
      <c r="H15" s="9" t="s">
        <v>2666</v>
      </c>
      <c r="I15" s="9" t="s">
        <v>2665</v>
      </c>
      <c r="J15" s="9" t="s">
        <v>2666</v>
      </c>
      <c r="K15" s="9" t="s">
        <v>2667</v>
      </c>
      <c r="L15" s="9" t="s">
        <v>2667</v>
      </c>
      <c r="M15" s="9" t="s">
        <v>2667</v>
      </c>
      <c r="N15" s="9" t="s">
        <v>2665</v>
      </c>
      <c r="O15" s="9" t="s">
        <v>2665</v>
      </c>
      <c r="P15" s="9" t="s">
        <v>2667</v>
      </c>
      <c r="Q15" s="9" t="s">
        <v>2667</v>
      </c>
      <c r="R15" s="9" t="s">
        <v>2665</v>
      </c>
      <c r="S15" s="9" t="s">
        <v>2665</v>
      </c>
      <c r="U15" s="9" t="s">
        <v>25</v>
      </c>
      <c r="X15" s="9" t="s">
        <v>2734</v>
      </c>
      <c r="Y15" s="10" t="s">
        <v>2668</v>
      </c>
      <c r="Z15" s="10">
        <v>120</v>
      </c>
      <c r="AA15" s="10">
        <v>120</v>
      </c>
      <c r="AB15" s="10">
        <v>120</v>
      </c>
      <c r="AC15" s="10">
        <v>120</v>
      </c>
      <c r="AD15" s="10">
        <v>120</v>
      </c>
      <c r="AE15" s="10">
        <v>120</v>
      </c>
      <c r="AF15" s="10">
        <v>120</v>
      </c>
      <c r="AG15" s="10">
        <v>120</v>
      </c>
      <c r="AH15" s="10">
        <v>120</v>
      </c>
      <c r="AI15" s="10">
        <v>160</v>
      </c>
      <c r="AJ15" s="10">
        <v>160</v>
      </c>
      <c r="AK15" s="10">
        <v>160</v>
      </c>
      <c r="AL15" s="10">
        <v>160</v>
      </c>
      <c r="AM15" s="10" t="s">
        <v>28</v>
      </c>
      <c r="AN15" s="10">
        <v>280</v>
      </c>
      <c r="AO15" s="10" t="s">
        <v>2822</v>
      </c>
      <c r="AP15" s="10" t="s">
        <v>25</v>
      </c>
      <c r="AR15" s="10" t="s">
        <v>2705</v>
      </c>
      <c r="BL15" s="10" t="s">
        <v>2668</v>
      </c>
      <c r="BM15" s="10" t="s">
        <v>2673</v>
      </c>
      <c r="BP15" s="9" t="s">
        <v>25</v>
      </c>
      <c r="BQ15" s="9" t="s">
        <v>25</v>
      </c>
      <c r="BR15" s="9" t="s">
        <v>25</v>
      </c>
      <c r="BS15" s="9" t="s">
        <v>25</v>
      </c>
      <c r="BW15" s="9" t="s">
        <v>2673</v>
      </c>
      <c r="BX15" s="9" t="s">
        <v>2673</v>
      </c>
      <c r="BY15" s="9" t="s">
        <v>2673</v>
      </c>
      <c r="BZ15" s="9" t="s">
        <v>2673</v>
      </c>
      <c r="CA15" s="9" t="s">
        <v>2673</v>
      </c>
      <c r="CB15" s="9" t="s">
        <v>2673</v>
      </c>
      <c r="CC15" s="9" t="s">
        <v>2749</v>
      </c>
      <c r="CD15" s="9" t="s">
        <v>2675</v>
      </c>
      <c r="CE15" s="9" t="s">
        <v>2675</v>
      </c>
      <c r="CF15" s="9" t="s">
        <v>2675</v>
      </c>
      <c r="CG15" s="9" t="s">
        <v>2675</v>
      </c>
      <c r="CH15" s="9" t="s">
        <v>2675</v>
      </c>
      <c r="CI15" s="9" t="s">
        <v>2675</v>
      </c>
      <c r="CJ15" s="9" t="s">
        <v>2675</v>
      </c>
      <c r="CQ15" s="9" t="s">
        <v>2676</v>
      </c>
      <c r="CX15" s="9" t="s">
        <v>2717</v>
      </c>
      <c r="CY15" s="9" t="s">
        <v>28</v>
      </c>
      <c r="CZ15" s="9" t="s">
        <v>2679</v>
      </c>
      <c r="DA15" s="9" t="s">
        <v>2718</v>
      </c>
      <c r="DB15" s="9" t="s">
        <v>2683</v>
      </c>
      <c r="DC15" s="9" t="s">
        <v>2683</v>
      </c>
      <c r="DD15" s="9" t="s">
        <v>2683</v>
      </c>
      <c r="DE15" s="9" t="s">
        <v>2726</v>
      </c>
      <c r="DG15" s="9" t="s">
        <v>2683</v>
      </c>
      <c r="DH15" s="9" t="s">
        <v>2683</v>
      </c>
      <c r="DI15" s="9" t="s">
        <v>2683</v>
      </c>
      <c r="DJ15" s="9" t="s">
        <v>2726</v>
      </c>
      <c r="DL15" s="9" t="s">
        <v>2683</v>
      </c>
      <c r="DN15" s="9" t="s">
        <v>2683</v>
      </c>
      <c r="DO15" s="9" t="s">
        <v>28</v>
      </c>
      <c r="DP15" s="9" t="s">
        <v>2683</v>
      </c>
      <c r="DQ15" s="9" t="s">
        <v>25</v>
      </c>
      <c r="DX15" s="9" t="s">
        <v>28</v>
      </c>
      <c r="DY15" s="9" t="s">
        <v>2679</v>
      </c>
      <c r="DZ15" s="9" t="s">
        <v>2726</v>
      </c>
      <c r="EA15" s="9" t="s">
        <v>13540</v>
      </c>
      <c r="EB15" s="9" t="s">
        <v>28</v>
      </c>
      <c r="EC15" s="9" t="s">
        <v>2683</v>
      </c>
      <c r="ED15" s="9" t="s">
        <v>2823</v>
      </c>
      <c r="EF15" s="9" t="s">
        <v>2755</v>
      </c>
      <c r="EH15" s="9" t="s">
        <v>2685</v>
      </c>
      <c r="EJ15" s="9" t="s">
        <v>25</v>
      </c>
      <c r="EU15" s="9" t="s">
        <v>28</v>
      </c>
      <c r="EV15" s="9" t="s">
        <v>13556</v>
      </c>
      <c r="EX15" s="9" t="s">
        <v>28</v>
      </c>
      <c r="EY15" s="9" t="s">
        <v>994</v>
      </c>
      <c r="FS15" s="9" t="s">
        <v>28</v>
      </c>
      <c r="FU15" s="9" t="s">
        <v>2691</v>
      </c>
      <c r="FX15" s="9" t="s">
        <v>25</v>
      </c>
      <c r="FZ15" s="9" t="s">
        <v>25</v>
      </c>
      <c r="GB15" s="9" t="s">
        <v>2673</v>
      </c>
      <c r="GD15" s="9" t="s">
        <v>28</v>
      </c>
      <c r="GE15" s="9" t="s">
        <v>2693</v>
      </c>
      <c r="GF15" s="9" t="s">
        <v>28</v>
      </c>
      <c r="GG15" s="9" t="s">
        <v>25</v>
      </c>
      <c r="GH15" s="9" t="s">
        <v>2694</v>
      </c>
      <c r="GI15" s="9" t="s">
        <v>28</v>
      </c>
      <c r="GJ15" s="9" t="s">
        <v>2683</v>
      </c>
      <c r="GK15" s="9" t="s">
        <v>2695</v>
      </c>
      <c r="GL15" s="9" t="s">
        <v>2824</v>
      </c>
      <c r="GM15" s="9" t="s">
        <v>13974</v>
      </c>
      <c r="GN15" s="9" t="s">
        <v>2725</v>
      </c>
      <c r="GO15" s="9" t="s">
        <v>25</v>
      </c>
      <c r="GV15" s="9" t="s">
        <v>28</v>
      </c>
      <c r="GW15" s="9" t="s">
        <v>2803</v>
      </c>
      <c r="GX15" s="9" t="s">
        <v>2726</v>
      </c>
      <c r="GY15" s="9" t="s">
        <v>2764</v>
      </c>
      <c r="GZ15" s="9" t="s">
        <v>25</v>
      </c>
      <c r="HA15" s="9" t="s">
        <v>2701</v>
      </c>
      <c r="HB15" s="9" t="s">
        <v>2701</v>
      </c>
      <c r="HC15" s="9" t="s">
        <v>2702</v>
      </c>
      <c r="HD15" s="9" t="s">
        <v>2701</v>
      </c>
      <c r="HE15" s="9" t="s">
        <v>2701</v>
      </c>
      <c r="HG15" s="9">
        <v>4</v>
      </c>
    </row>
    <row r="16" spans="1:215" ht="51" x14ac:dyDescent="0.2">
      <c r="A16" s="8" t="s">
        <v>118</v>
      </c>
      <c r="B16" s="9" t="s">
        <v>28</v>
      </c>
      <c r="C16" s="9" t="s">
        <v>2663</v>
      </c>
      <c r="D16" s="9" t="s">
        <v>13532</v>
      </c>
      <c r="E16" s="9" t="s">
        <v>2664</v>
      </c>
      <c r="F16" s="9" t="s">
        <v>2664</v>
      </c>
      <c r="G16" s="9" t="s">
        <v>2665</v>
      </c>
      <c r="H16" s="9" t="s">
        <v>2666</v>
      </c>
      <c r="I16" s="9" t="s">
        <v>2666</v>
      </c>
      <c r="J16" s="9" t="s">
        <v>2666</v>
      </c>
      <c r="K16" s="9" t="s">
        <v>2667</v>
      </c>
      <c r="L16" s="9" t="s">
        <v>2667</v>
      </c>
      <c r="M16" s="9" t="s">
        <v>2667</v>
      </c>
      <c r="N16" s="9" t="s">
        <v>2666</v>
      </c>
      <c r="O16" s="9" t="s">
        <v>2665</v>
      </c>
      <c r="P16" s="9" t="s">
        <v>2665</v>
      </c>
      <c r="Q16" s="9" t="s">
        <v>2667</v>
      </c>
      <c r="R16" s="9" t="s">
        <v>2666</v>
      </c>
      <c r="S16" s="9" t="s">
        <v>2666</v>
      </c>
      <c r="T16" s="9" t="s">
        <v>2666</v>
      </c>
      <c r="U16" s="9" t="s">
        <v>25</v>
      </c>
      <c r="X16" s="9" t="s">
        <v>2704</v>
      </c>
      <c r="AR16" s="10" t="s">
        <v>2705</v>
      </c>
      <c r="AS16" s="10">
        <v>160</v>
      </c>
      <c r="AT16" s="10">
        <v>160</v>
      </c>
      <c r="AU16" s="10">
        <v>160</v>
      </c>
      <c r="AV16" s="10">
        <v>160</v>
      </c>
      <c r="AW16" s="10">
        <v>160</v>
      </c>
      <c r="AX16" s="10">
        <v>160</v>
      </c>
      <c r="AY16" s="10">
        <v>160</v>
      </c>
      <c r="AZ16" s="10">
        <v>160</v>
      </c>
      <c r="BA16" s="10">
        <v>160</v>
      </c>
      <c r="BB16" s="10">
        <v>160</v>
      </c>
      <c r="BC16" s="10">
        <v>160</v>
      </c>
      <c r="BD16" s="10">
        <v>200</v>
      </c>
      <c r="BE16" s="10">
        <v>220</v>
      </c>
      <c r="BF16" s="10">
        <v>240</v>
      </c>
      <c r="BG16" s="10" t="s">
        <v>25</v>
      </c>
      <c r="BI16" s="10" t="s">
        <v>2706</v>
      </c>
      <c r="BJ16" s="10" t="s">
        <v>2707</v>
      </c>
      <c r="BP16" s="9" t="s">
        <v>25</v>
      </c>
      <c r="BQ16" s="9" t="s">
        <v>25</v>
      </c>
      <c r="BR16" s="9" t="s">
        <v>25</v>
      </c>
      <c r="BS16" s="9" t="s">
        <v>25</v>
      </c>
      <c r="CD16" s="9" t="s">
        <v>2675</v>
      </c>
      <c r="CE16" s="9" t="s">
        <v>2675</v>
      </c>
      <c r="CF16" s="9" t="s">
        <v>2675</v>
      </c>
      <c r="CG16" s="9" t="s">
        <v>2675</v>
      </c>
      <c r="CH16" s="9" t="s">
        <v>2675</v>
      </c>
      <c r="CI16" s="9" t="s">
        <v>2675</v>
      </c>
      <c r="CJ16" s="9" t="s">
        <v>2675</v>
      </c>
      <c r="CR16" s="9" t="s">
        <v>2678</v>
      </c>
      <c r="CS16" s="9" t="s">
        <v>2678</v>
      </c>
      <c r="CT16" s="9" t="s">
        <v>2678</v>
      </c>
      <c r="CU16" s="9" t="s">
        <v>2678</v>
      </c>
      <c r="CV16" s="9" t="s">
        <v>2678</v>
      </c>
      <c r="CW16" s="9" t="s">
        <v>2678</v>
      </c>
      <c r="CX16" s="9" t="s">
        <v>2678</v>
      </c>
      <c r="CY16" s="9" t="s">
        <v>28</v>
      </c>
      <c r="CZ16" s="9" t="s">
        <v>2708</v>
      </c>
      <c r="DA16" s="9" t="s">
        <v>2709</v>
      </c>
      <c r="DB16" s="9" t="s">
        <v>2710</v>
      </c>
      <c r="DC16" s="9" t="s">
        <v>2710</v>
      </c>
      <c r="DG16" s="9" t="s">
        <v>2710</v>
      </c>
      <c r="DH16" s="9" t="s">
        <v>2710</v>
      </c>
      <c r="DL16" s="9" t="s">
        <v>2710</v>
      </c>
      <c r="DN16" s="9" t="s">
        <v>2710</v>
      </c>
      <c r="DO16" s="9" t="s">
        <v>28</v>
      </c>
      <c r="DP16" s="9" t="s">
        <v>2683</v>
      </c>
      <c r="DQ16" s="9" t="s">
        <v>25</v>
      </c>
      <c r="DX16" s="9" t="s">
        <v>25</v>
      </c>
      <c r="EJ16" s="9" t="s">
        <v>25</v>
      </c>
      <c r="EU16" s="9" t="s">
        <v>28</v>
      </c>
      <c r="EV16" s="9" t="s">
        <v>13548</v>
      </c>
      <c r="EX16" s="9" t="s">
        <v>28</v>
      </c>
      <c r="EY16" s="9" t="s">
        <v>1148</v>
      </c>
      <c r="FS16" s="9" t="s">
        <v>25</v>
      </c>
      <c r="FU16" s="9" t="s">
        <v>2691</v>
      </c>
      <c r="FX16" s="9" t="s">
        <v>28</v>
      </c>
      <c r="FY16" s="9" t="s">
        <v>994</v>
      </c>
      <c r="FZ16" s="9" t="s">
        <v>28</v>
      </c>
      <c r="GA16" s="9" t="s">
        <v>2711</v>
      </c>
      <c r="GB16" s="9" t="s">
        <v>612</v>
      </c>
      <c r="GD16" s="9" t="s">
        <v>28</v>
      </c>
      <c r="GE16" s="9" t="s">
        <v>2693</v>
      </c>
      <c r="GF16" s="9" t="s">
        <v>28</v>
      </c>
      <c r="GG16" s="9" t="s">
        <v>25</v>
      </c>
      <c r="GH16" s="9" t="s">
        <v>2694</v>
      </c>
      <c r="GI16" s="9" t="s">
        <v>25</v>
      </c>
      <c r="GK16" s="9" t="s">
        <v>2695</v>
      </c>
      <c r="GM16" s="9" t="s">
        <v>13963</v>
      </c>
      <c r="GN16" s="9" t="s">
        <v>2712</v>
      </c>
      <c r="GO16" s="9" t="s">
        <v>2713</v>
      </c>
      <c r="GP16" s="9" t="s">
        <v>25</v>
      </c>
      <c r="GQ16" s="9" t="s">
        <v>2714</v>
      </c>
      <c r="GT16" s="9" t="s">
        <v>2715</v>
      </c>
      <c r="GU16" s="9" t="s">
        <v>28</v>
      </c>
      <c r="GV16" s="9" t="s">
        <v>25</v>
      </c>
      <c r="HA16" s="9" t="s">
        <v>2702</v>
      </c>
      <c r="HB16" s="9" t="s">
        <v>2701</v>
      </c>
      <c r="HC16" s="9" t="s">
        <v>2702</v>
      </c>
      <c r="HD16" s="9" t="s">
        <v>2702</v>
      </c>
      <c r="HE16" s="9" t="s">
        <v>2702</v>
      </c>
      <c r="HG16" s="9">
        <v>4</v>
      </c>
    </row>
    <row r="17" spans="1:215" ht="51" x14ac:dyDescent="0.2">
      <c r="A17" s="8" t="s">
        <v>134</v>
      </c>
      <c r="B17" s="9" t="s">
        <v>28</v>
      </c>
      <c r="C17" s="9" t="s">
        <v>2663</v>
      </c>
      <c r="D17" s="9" t="s">
        <v>13532</v>
      </c>
      <c r="E17" s="9" t="s">
        <v>2664</v>
      </c>
      <c r="F17" s="9" t="s">
        <v>2664</v>
      </c>
      <c r="G17" s="9" t="s">
        <v>2667</v>
      </c>
      <c r="H17" s="9" t="s">
        <v>2667</v>
      </c>
      <c r="I17" s="9" t="s">
        <v>2665</v>
      </c>
      <c r="J17" s="9" t="s">
        <v>2667</v>
      </c>
      <c r="K17" s="9" t="s">
        <v>2667</v>
      </c>
      <c r="L17" s="9" t="s">
        <v>2667</v>
      </c>
      <c r="M17" s="9" t="s">
        <v>2667</v>
      </c>
      <c r="N17" s="9" t="s">
        <v>2666</v>
      </c>
      <c r="O17" s="9" t="s">
        <v>2666</v>
      </c>
      <c r="P17" s="9" t="s">
        <v>2667</v>
      </c>
      <c r="Q17" s="9" t="s">
        <v>2667</v>
      </c>
      <c r="R17" s="9" t="s">
        <v>2667</v>
      </c>
      <c r="S17" s="9" t="s">
        <v>2667</v>
      </c>
      <c r="T17" s="9" t="s">
        <v>2667</v>
      </c>
      <c r="U17" s="9" t="s">
        <v>25</v>
      </c>
      <c r="X17" s="9" t="s">
        <v>2734</v>
      </c>
      <c r="Y17" s="10" t="s">
        <v>2705</v>
      </c>
      <c r="Z17" s="10">
        <v>120</v>
      </c>
      <c r="AA17" s="10">
        <v>120</v>
      </c>
      <c r="AB17" s="10">
        <v>120</v>
      </c>
      <c r="AC17" s="10">
        <v>160</v>
      </c>
      <c r="AD17" s="10">
        <v>160</v>
      </c>
      <c r="AE17" s="10">
        <v>200</v>
      </c>
      <c r="AF17" s="10">
        <v>200</v>
      </c>
      <c r="AG17" s="10">
        <v>200</v>
      </c>
      <c r="AH17" s="10">
        <v>200</v>
      </c>
      <c r="AI17" s="10">
        <v>200</v>
      </c>
      <c r="AJ17" s="10">
        <v>200</v>
      </c>
      <c r="AK17" s="10">
        <v>200</v>
      </c>
      <c r="AL17" s="10">
        <v>200</v>
      </c>
      <c r="AM17" s="10" t="s">
        <v>25</v>
      </c>
      <c r="AO17" s="10" t="s">
        <v>2809</v>
      </c>
      <c r="AP17" s="10" t="s">
        <v>2169</v>
      </c>
      <c r="AQ17" s="10">
        <v>40</v>
      </c>
      <c r="BL17" s="10" t="s">
        <v>2705</v>
      </c>
      <c r="BM17" s="10" t="s">
        <v>2673</v>
      </c>
      <c r="BP17" s="9" t="s">
        <v>25</v>
      </c>
      <c r="BQ17" s="9" t="s">
        <v>28</v>
      </c>
      <c r="BR17" s="9" t="s">
        <v>25</v>
      </c>
      <c r="BS17" s="9" t="s">
        <v>25</v>
      </c>
      <c r="BW17" s="9" t="s">
        <v>2749</v>
      </c>
      <c r="BX17" s="9" t="s">
        <v>2749</v>
      </c>
      <c r="BY17" s="9" t="s">
        <v>2749</v>
      </c>
      <c r="BZ17" s="9" t="s">
        <v>2749</v>
      </c>
      <c r="CA17" s="9" t="s">
        <v>2749</v>
      </c>
      <c r="CB17" s="9" t="s">
        <v>2749</v>
      </c>
      <c r="CC17" s="9" t="s">
        <v>2749</v>
      </c>
      <c r="CD17" s="9" t="s">
        <v>2675</v>
      </c>
      <c r="CE17" s="9" t="s">
        <v>2675</v>
      </c>
      <c r="CF17" s="9" t="s">
        <v>2675</v>
      </c>
      <c r="CG17" s="9" t="s">
        <v>2675</v>
      </c>
      <c r="CH17" s="9" t="s">
        <v>2675</v>
      </c>
      <c r="CI17" s="9" t="s">
        <v>2675</v>
      </c>
      <c r="CJ17" s="9" t="s">
        <v>2675</v>
      </c>
      <c r="CR17" s="9" t="s">
        <v>2717</v>
      </c>
      <c r="CS17" s="9" t="s">
        <v>2717</v>
      </c>
      <c r="CT17" s="9" t="s">
        <v>2717</v>
      </c>
      <c r="CU17" s="9" t="s">
        <v>2717</v>
      </c>
      <c r="CV17" s="9" t="s">
        <v>2717</v>
      </c>
      <c r="CW17" s="9" t="s">
        <v>2717</v>
      </c>
      <c r="CX17" s="9" t="s">
        <v>2717</v>
      </c>
      <c r="CY17" s="9" t="s">
        <v>28</v>
      </c>
      <c r="CZ17" s="9" t="s">
        <v>2679</v>
      </c>
      <c r="DA17" s="9" t="s">
        <v>13953</v>
      </c>
      <c r="DB17" s="9" t="s">
        <v>2683</v>
      </c>
      <c r="DC17" s="9" t="s">
        <v>2683</v>
      </c>
      <c r="DD17" s="9" t="s">
        <v>2683</v>
      </c>
      <c r="DE17" s="9" t="s">
        <v>2683</v>
      </c>
      <c r="DG17" s="9" t="s">
        <v>2683</v>
      </c>
      <c r="DH17" s="9" t="s">
        <v>2683</v>
      </c>
      <c r="DI17" s="9" t="s">
        <v>2683</v>
      </c>
      <c r="DJ17" s="9" t="s">
        <v>2683</v>
      </c>
      <c r="DL17" s="9" t="s">
        <v>2683</v>
      </c>
      <c r="DN17" s="9" t="s">
        <v>2683</v>
      </c>
      <c r="DO17" s="9" t="s">
        <v>25</v>
      </c>
      <c r="DQ17" s="9" t="s">
        <v>25</v>
      </c>
      <c r="DX17" s="9" t="s">
        <v>28</v>
      </c>
      <c r="DY17" s="9" t="s">
        <v>2679</v>
      </c>
      <c r="DZ17" s="9" t="s">
        <v>2687</v>
      </c>
      <c r="EA17" s="9" t="s">
        <v>13539</v>
      </c>
      <c r="EB17" s="9" t="s">
        <v>25</v>
      </c>
      <c r="ED17" s="9" t="s">
        <v>2789</v>
      </c>
      <c r="EF17" s="9" t="s">
        <v>2810</v>
      </c>
      <c r="EH17" s="9" t="s">
        <v>28</v>
      </c>
      <c r="EJ17" s="9" t="s">
        <v>28</v>
      </c>
      <c r="EK17" s="9" t="s">
        <v>2679</v>
      </c>
      <c r="EL17" s="9" t="s">
        <v>2686</v>
      </c>
      <c r="EN17" s="9" t="s">
        <v>2811</v>
      </c>
      <c r="EO17" s="9" t="s">
        <v>2721</v>
      </c>
      <c r="EQ17" s="9" t="s">
        <v>2812</v>
      </c>
      <c r="ES17" s="9" t="s">
        <v>25</v>
      </c>
      <c r="EU17" s="9" t="s">
        <v>28</v>
      </c>
      <c r="EV17" s="9" t="s">
        <v>13559</v>
      </c>
      <c r="EX17" s="9" t="s">
        <v>28</v>
      </c>
      <c r="EY17" s="9" t="s">
        <v>2690</v>
      </c>
      <c r="FS17" s="9" t="s">
        <v>25</v>
      </c>
      <c r="FU17" s="9" t="s">
        <v>2793</v>
      </c>
      <c r="FX17" s="9" t="s">
        <v>28</v>
      </c>
      <c r="FY17" s="9" t="s">
        <v>2692</v>
      </c>
      <c r="FZ17" s="9" t="s">
        <v>28</v>
      </c>
      <c r="GA17" s="9" t="s">
        <v>2745</v>
      </c>
      <c r="GB17" s="9" t="s">
        <v>2673</v>
      </c>
      <c r="GD17" s="9" t="s">
        <v>28</v>
      </c>
      <c r="GE17" s="9" t="s">
        <v>2693</v>
      </c>
      <c r="GF17" s="9" t="s">
        <v>28</v>
      </c>
      <c r="GG17" s="9" t="s">
        <v>25</v>
      </c>
      <c r="GH17" s="9" t="s">
        <v>2683</v>
      </c>
      <c r="GI17" s="9" t="s">
        <v>25</v>
      </c>
      <c r="GK17" s="9" t="s">
        <v>2695</v>
      </c>
      <c r="GL17" s="9" t="s">
        <v>2813</v>
      </c>
      <c r="GM17" s="9" t="s">
        <v>13975</v>
      </c>
      <c r="GN17" s="9" t="s">
        <v>631</v>
      </c>
      <c r="GO17" s="9" t="s">
        <v>25</v>
      </c>
      <c r="GV17" s="9" t="s">
        <v>25</v>
      </c>
      <c r="HA17" s="9" t="s">
        <v>2701</v>
      </c>
      <c r="HB17" s="9" t="s">
        <v>2702</v>
      </c>
      <c r="HC17" s="9" t="s">
        <v>2702</v>
      </c>
      <c r="HD17" s="9" t="s">
        <v>2701</v>
      </c>
      <c r="HE17" s="9" t="s">
        <v>25</v>
      </c>
      <c r="HG17" s="9">
        <v>4</v>
      </c>
    </row>
    <row r="18" spans="1:215" ht="51" x14ac:dyDescent="0.2">
      <c r="A18" s="8" t="s">
        <v>171</v>
      </c>
      <c r="B18" s="9" t="s">
        <v>28</v>
      </c>
      <c r="C18" s="9" t="s">
        <v>2752</v>
      </c>
      <c r="D18" s="9" t="s">
        <v>13532</v>
      </c>
      <c r="E18" s="9" t="s">
        <v>2748</v>
      </c>
      <c r="F18" s="9" t="s">
        <v>743</v>
      </c>
      <c r="G18" s="9" t="s">
        <v>2665</v>
      </c>
      <c r="H18" s="9" t="s">
        <v>2667</v>
      </c>
      <c r="I18" s="9" t="s">
        <v>2666</v>
      </c>
      <c r="J18" s="9" t="s">
        <v>2666</v>
      </c>
      <c r="K18" s="9" t="s">
        <v>2665</v>
      </c>
      <c r="L18" s="9" t="s">
        <v>2665</v>
      </c>
      <c r="M18" s="9" t="s">
        <v>2667</v>
      </c>
      <c r="N18" s="9" t="s">
        <v>2666</v>
      </c>
      <c r="O18" s="9" t="s">
        <v>2667</v>
      </c>
      <c r="P18" s="9" t="s">
        <v>2665</v>
      </c>
      <c r="Q18" s="9" t="s">
        <v>2667</v>
      </c>
      <c r="R18" s="9" t="s">
        <v>2667</v>
      </c>
      <c r="S18" s="9" t="s">
        <v>2667</v>
      </c>
      <c r="T18" s="9" t="s">
        <v>2667</v>
      </c>
      <c r="U18" s="9" t="s">
        <v>25</v>
      </c>
      <c r="X18" s="9" t="s">
        <v>2794</v>
      </c>
      <c r="AR18" s="10" t="s">
        <v>2705</v>
      </c>
      <c r="AS18" s="10">
        <v>143</v>
      </c>
      <c r="AT18" s="10">
        <v>143</v>
      </c>
      <c r="AU18" s="10">
        <v>152</v>
      </c>
      <c r="AV18" s="10">
        <v>159</v>
      </c>
      <c r="AW18" s="10">
        <v>167</v>
      </c>
      <c r="AX18" s="10">
        <v>176</v>
      </c>
      <c r="AY18" s="10">
        <v>184</v>
      </c>
      <c r="AZ18" s="10">
        <v>192</v>
      </c>
      <c r="BA18" s="10">
        <v>200</v>
      </c>
      <c r="BB18" s="10">
        <v>208</v>
      </c>
      <c r="BC18" s="10">
        <v>208</v>
      </c>
      <c r="BD18" s="10">
        <v>208</v>
      </c>
      <c r="BE18" s="10">
        <v>208</v>
      </c>
      <c r="BF18" s="10">
        <v>208</v>
      </c>
      <c r="BG18" s="10" t="s">
        <v>25</v>
      </c>
      <c r="BI18" s="10" t="s">
        <v>2912</v>
      </c>
      <c r="BJ18" s="10" t="s">
        <v>2169</v>
      </c>
      <c r="BK18" s="10">
        <v>80</v>
      </c>
      <c r="BL18" s="10" t="s">
        <v>2705</v>
      </c>
      <c r="BM18" s="10" t="s">
        <v>2716</v>
      </c>
      <c r="BN18" s="10">
        <v>72</v>
      </c>
      <c r="BO18" s="10">
        <v>137</v>
      </c>
      <c r="BP18" s="9" t="s">
        <v>25</v>
      </c>
      <c r="BQ18" s="9" t="s">
        <v>25</v>
      </c>
      <c r="BR18" s="9" t="s">
        <v>25</v>
      </c>
      <c r="BS18" s="9" t="s">
        <v>25</v>
      </c>
      <c r="BW18" s="9" t="s">
        <v>2673</v>
      </c>
      <c r="BX18" s="9" t="s">
        <v>2673</v>
      </c>
      <c r="BY18" s="9" t="s">
        <v>2673</v>
      </c>
      <c r="BZ18" s="9" t="s">
        <v>2673</v>
      </c>
      <c r="CA18" s="9" t="s">
        <v>2673</v>
      </c>
      <c r="CB18" s="9" t="s">
        <v>2673</v>
      </c>
      <c r="CC18" s="9" t="s">
        <v>2674</v>
      </c>
      <c r="CJ18" s="9" t="s">
        <v>2675</v>
      </c>
      <c r="CK18" s="9" t="s">
        <v>2774</v>
      </c>
      <c r="CL18" s="9" t="s">
        <v>2774</v>
      </c>
      <c r="CM18" s="9" t="s">
        <v>2774</v>
      </c>
      <c r="CN18" s="9" t="s">
        <v>2774</v>
      </c>
      <c r="CO18" s="9" t="s">
        <v>2774</v>
      </c>
      <c r="CP18" s="9" t="s">
        <v>2774</v>
      </c>
      <c r="CQ18" s="9" t="s">
        <v>2677</v>
      </c>
      <c r="CX18" s="9" t="s">
        <v>2678</v>
      </c>
      <c r="CY18" s="9" t="s">
        <v>28</v>
      </c>
      <c r="CZ18" s="9" t="s">
        <v>2679</v>
      </c>
      <c r="DA18" s="9" t="s">
        <v>13953</v>
      </c>
      <c r="DB18" s="9" t="s">
        <v>2683</v>
      </c>
      <c r="DC18" s="9" t="s">
        <v>2683</v>
      </c>
      <c r="DD18" s="9" t="s">
        <v>2683</v>
      </c>
      <c r="DE18" s="9" t="s">
        <v>2683</v>
      </c>
      <c r="DG18" s="9" t="s">
        <v>2683</v>
      </c>
      <c r="DH18" s="9" t="s">
        <v>2683</v>
      </c>
      <c r="DI18" s="9" t="s">
        <v>2683</v>
      </c>
      <c r="DJ18" s="9" t="s">
        <v>2683</v>
      </c>
      <c r="DL18" s="9" t="s">
        <v>2683</v>
      </c>
      <c r="DN18" s="9" t="s">
        <v>2683</v>
      </c>
      <c r="DO18" s="9" t="s">
        <v>25</v>
      </c>
      <c r="DP18" s="9" t="s">
        <v>2683</v>
      </c>
      <c r="DQ18" s="9" t="s">
        <v>25</v>
      </c>
      <c r="DX18" s="9" t="s">
        <v>28</v>
      </c>
      <c r="DY18" s="9" t="s">
        <v>2679</v>
      </c>
      <c r="DZ18" s="9" t="s">
        <v>2683</v>
      </c>
      <c r="EA18" s="9" t="s">
        <v>13539</v>
      </c>
      <c r="EB18" s="9" t="s">
        <v>25</v>
      </c>
      <c r="EC18" s="9" t="s">
        <v>2683</v>
      </c>
      <c r="ED18" s="9" t="s">
        <v>2913</v>
      </c>
      <c r="EF18" s="9" t="s">
        <v>13957</v>
      </c>
      <c r="EH18" s="9" t="s">
        <v>28</v>
      </c>
      <c r="EI18" s="11">
        <v>0.25</v>
      </c>
      <c r="EJ18" s="9" t="s">
        <v>25</v>
      </c>
      <c r="EU18" s="9" t="s">
        <v>28</v>
      </c>
      <c r="EV18" s="9" t="s">
        <v>13578</v>
      </c>
      <c r="EX18" s="9" t="s">
        <v>28</v>
      </c>
      <c r="EY18" s="9" t="s">
        <v>994</v>
      </c>
      <c r="FS18" s="9" t="s">
        <v>25</v>
      </c>
      <c r="FU18" s="9" t="s">
        <v>2730</v>
      </c>
      <c r="FV18" s="9" t="s">
        <v>2758</v>
      </c>
      <c r="FX18" s="9" t="s">
        <v>25</v>
      </c>
      <c r="FZ18" s="9" t="s">
        <v>25</v>
      </c>
      <c r="GB18" s="9" t="s">
        <v>758</v>
      </c>
      <c r="GD18" s="9" t="s">
        <v>28</v>
      </c>
      <c r="GE18" s="9" t="s">
        <v>2693</v>
      </c>
      <c r="GF18" s="9" t="s">
        <v>28</v>
      </c>
      <c r="GG18" s="9" t="s">
        <v>25</v>
      </c>
      <c r="GH18" s="9" t="s">
        <v>2759</v>
      </c>
      <c r="GI18" s="9" t="s">
        <v>25</v>
      </c>
      <c r="GJ18" s="9" t="s">
        <v>2869</v>
      </c>
      <c r="GK18" s="9" t="s">
        <v>2695</v>
      </c>
      <c r="GL18" s="9" t="s">
        <v>2914</v>
      </c>
      <c r="GM18" s="9" t="s">
        <v>13975</v>
      </c>
      <c r="GN18" s="9" t="s">
        <v>631</v>
      </c>
      <c r="GO18" s="9" t="s">
        <v>2713</v>
      </c>
      <c r="GP18" s="9" t="s">
        <v>28</v>
      </c>
      <c r="GQ18" s="9" t="s">
        <v>2714</v>
      </c>
      <c r="GR18" s="9" t="s">
        <v>2745</v>
      </c>
      <c r="GT18" s="9" t="s">
        <v>2698</v>
      </c>
      <c r="GU18" s="9" t="s">
        <v>28</v>
      </c>
      <c r="GV18" s="9" t="s">
        <v>25</v>
      </c>
      <c r="HA18" s="9" t="s">
        <v>2702</v>
      </c>
      <c r="HB18" s="9" t="s">
        <v>2702</v>
      </c>
      <c r="HC18" s="9" t="s">
        <v>2702</v>
      </c>
      <c r="HD18" s="9" t="s">
        <v>25</v>
      </c>
      <c r="HE18" s="9" t="s">
        <v>25</v>
      </c>
      <c r="HG18" s="9">
        <v>4</v>
      </c>
    </row>
    <row r="19" spans="1:215" ht="63.75" x14ac:dyDescent="0.2">
      <c r="A19" s="8" t="s">
        <v>123</v>
      </c>
      <c r="B19" s="9" t="s">
        <v>28</v>
      </c>
      <c r="C19" s="9" t="s">
        <v>2752</v>
      </c>
      <c r="D19" s="9" t="s">
        <v>13532</v>
      </c>
      <c r="E19" s="9" t="s">
        <v>743</v>
      </c>
      <c r="F19" s="9" t="s">
        <v>743</v>
      </c>
      <c r="G19" s="9" t="s">
        <v>2666</v>
      </c>
      <c r="H19" s="9" t="s">
        <v>2667</v>
      </c>
      <c r="I19" s="9" t="s">
        <v>2665</v>
      </c>
      <c r="J19" s="9" t="s">
        <v>2667</v>
      </c>
      <c r="K19" s="9" t="s">
        <v>2667</v>
      </c>
      <c r="L19" s="9" t="s">
        <v>2667</v>
      </c>
      <c r="M19" s="9" t="s">
        <v>2667</v>
      </c>
      <c r="N19" s="9" t="s">
        <v>2666</v>
      </c>
      <c r="O19" s="9" t="s">
        <v>2665</v>
      </c>
      <c r="P19" s="9" t="s">
        <v>2667</v>
      </c>
      <c r="Q19" s="9" t="s">
        <v>2667</v>
      </c>
      <c r="R19" s="9" t="s">
        <v>2667</v>
      </c>
      <c r="S19" s="9" t="s">
        <v>2665</v>
      </c>
      <c r="T19" s="9" t="s">
        <v>2665</v>
      </c>
      <c r="U19" s="9" t="s">
        <v>25</v>
      </c>
      <c r="X19" s="9" t="s">
        <v>2753</v>
      </c>
      <c r="Y19" s="10" t="s">
        <v>2705</v>
      </c>
      <c r="Z19" s="10">
        <v>120</v>
      </c>
      <c r="AA19" s="10">
        <v>136</v>
      </c>
      <c r="AB19" s="10">
        <v>136</v>
      </c>
      <c r="AC19" s="10">
        <v>136</v>
      </c>
      <c r="AD19" s="10">
        <v>176</v>
      </c>
      <c r="AE19" s="10">
        <v>176</v>
      </c>
      <c r="AF19" s="10">
        <v>176</v>
      </c>
      <c r="AG19" s="10">
        <v>200</v>
      </c>
      <c r="AH19" s="10">
        <v>200</v>
      </c>
      <c r="AI19" s="10">
        <v>200</v>
      </c>
      <c r="AJ19" s="10">
        <v>200</v>
      </c>
      <c r="AK19" s="10">
        <v>200</v>
      </c>
      <c r="AL19" s="10">
        <v>200</v>
      </c>
      <c r="AM19" s="10" t="s">
        <v>25</v>
      </c>
      <c r="AO19" s="10" t="s">
        <v>2754</v>
      </c>
      <c r="AP19" s="10" t="s">
        <v>2169</v>
      </c>
      <c r="AQ19" s="10">
        <v>40</v>
      </c>
      <c r="BL19" s="10" t="s">
        <v>2705</v>
      </c>
      <c r="BM19" s="10" t="s">
        <v>2716</v>
      </c>
      <c r="BN19" s="10">
        <v>80</v>
      </c>
      <c r="BO19" s="10">
        <v>108</v>
      </c>
      <c r="BP19" s="9" t="s">
        <v>25</v>
      </c>
      <c r="BQ19" s="9" t="s">
        <v>25</v>
      </c>
      <c r="BR19" s="9" t="s">
        <v>25</v>
      </c>
      <c r="BS19" s="9" t="s">
        <v>25</v>
      </c>
      <c r="BW19" s="9" t="s">
        <v>2673</v>
      </c>
      <c r="BX19" s="9" t="s">
        <v>2673</v>
      </c>
      <c r="BY19" s="9" t="s">
        <v>2673</v>
      </c>
      <c r="BZ19" s="9" t="s">
        <v>2673</v>
      </c>
      <c r="CA19" s="9" t="s">
        <v>2673</v>
      </c>
      <c r="CB19" s="9" t="s">
        <v>2673</v>
      </c>
      <c r="CC19" s="9" t="s">
        <v>2749</v>
      </c>
      <c r="CJ19" s="9" t="s">
        <v>2675</v>
      </c>
      <c r="CK19" s="9" t="s">
        <v>2676</v>
      </c>
      <c r="CL19" s="9" t="s">
        <v>2676</v>
      </c>
      <c r="CM19" s="9" t="s">
        <v>2676</v>
      </c>
      <c r="CN19" s="9" t="s">
        <v>2676</v>
      </c>
      <c r="CO19" s="9" t="s">
        <v>2676</v>
      </c>
      <c r="CP19" s="9" t="s">
        <v>2676</v>
      </c>
      <c r="CQ19" s="9" t="s">
        <v>2676</v>
      </c>
      <c r="CR19" s="9" t="s">
        <v>2738</v>
      </c>
      <c r="CS19" s="9" t="s">
        <v>2738</v>
      </c>
      <c r="CT19" s="9" t="s">
        <v>2738</v>
      </c>
      <c r="CU19" s="9" t="s">
        <v>2738</v>
      </c>
      <c r="CV19" s="9" t="s">
        <v>2738</v>
      </c>
      <c r="CW19" s="9" t="s">
        <v>2738</v>
      </c>
      <c r="CX19" s="9" t="s">
        <v>2717</v>
      </c>
      <c r="CY19" s="9" t="s">
        <v>28</v>
      </c>
      <c r="CZ19" s="9" t="s">
        <v>2679</v>
      </c>
      <c r="DA19" s="9" t="s">
        <v>2718</v>
      </c>
      <c r="DB19" s="9" t="s">
        <v>2683</v>
      </c>
      <c r="DC19" s="9" t="s">
        <v>2683</v>
      </c>
      <c r="DD19" s="9" t="s">
        <v>2683</v>
      </c>
      <c r="DG19" s="9" t="s">
        <v>2683</v>
      </c>
      <c r="DH19" s="9" t="s">
        <v>2683</v>
      </c>
      <c r="DI19" s="9" t="s">
        <v>2683</v>
      </c>
      <c r="DL19" s="9" t="s">
        <v>2683</v>
      </c>
      <c r="DN19" s="9" t="s">
        <v>2683</v>
      </c>
      <c r="DO19" s="9" t="s">
        <v>25</v>
      </c>
      <c r="DQ19" s="9" t="s">
        <v>25</v>
      </c>
      <c r="DX19" s="9" t="s">
        <v>28</v>
      </c>
      <c r="DY19" s="9" t="s">
        <v>2679</v>
      </c>
      <c r="DZ19" s="9" t="s">
        <v>2683</v>
      </c>
      <c r="EA19" s="9" t="s">
        <v>13538</v>
      </c>
      <c r="EB19" s="9" t="s">
        <v>25</v>
      </c>
      <c r="ED19" s="9" t="s">
        <v>631</v>
      </c>
      <c r="EF19" s="9" t="s">
        <v>2755</v>
      </c>
      <c r="EH19" s="9" t="s">
        <v>25</v>
      </c>
      <c r="EJ19" s="9" t="s">
        <v>28</v>
      </c>
      <c r="EK19" s="9" t="s">
        <v>2679</v>
      </c>
      <c r="EL19" s="9" t="s">
        <v>2686</v>
      </c>
      <c r="EN19" s="9" t="s">
        <v>2723</v>
      </c>
      <c r="EO19" s="9" t="s">
        <v>2721</v>
      </c>
      <c r="EQ19" s="9" t="s">
        <v>2756</v>
      </c>
      <c r="ER19" s="9" t="s">
        <v>2757</v>
      </c>
      <c r="ES19" s="9" t="s">
        <v>25</v>
      </c>
      <c r="EU19" s="9" t="s">
        <v>28</v>
      </c>
      <c r="EV19" s="9" t="s">
        <v>13551</v>
      </c>
      <c r="EX19" s="9" t="s">
        <v>28</v>
      </c>
      <c r="EY19" s="9" t="s">
        <v>1148</v>
      </c>
      <c r="FS19" s="9" t="s">
        <v>25</v>
      </c>
      <c r="FU19" s="9" t="s">
        <v>2691</v>
      </c>
      <c r="FX19" s="9" t="s">
        <v>28</v>
      </c>
      <c r="FY19" s="9" t="s">
        <v>2758</v>
      </c>
      <c r="FZ19" s="9" t="s">
        <v>25</v>
      </c>
      <c r="GB19" s="9" t="s">
        <v>693</v>
      </c>
      <c r="GD19" s="9" t="s">
        <v>28</v>
      </c>
      <c r="GE19" s="9" t="s">
        <v>2693</v>
      </c>
      <c r="GF19" s="9" t="s">
        <v>28</v>
      </c>
      <c r="GG19" s="9" t="s">
        <v>25</v>
      </c>
      <c r="GH19" s="9" t="s">
        <v>2759</v>
      </c>
      <c r="GI19" s="9" t="s">
        <v>25</v>
      </c>
      <c r="GK19" s="9" t="s">
        <v>2695</v>
      </c>
      <c r="GL19" s="9" t="s">
        <v>2760</v>
      </c>
      <c r="GM19" s="9" t="s">
        <v>13967</v>
      </c>
      <c r="GN19" s="9" t="s">
        <v>631</v>
      </c>
      <c r="GO19" s="9" t="s">
        <v>25</v>
      </c>
      <c r="GU19" s="9" t="s">
        <v>28</v>
      </c>
      <c r="GV19" s="9" t="s">
        <v>25</v>
      </c>
      <c r="HA19" s="9" t="s">
        <v>2701</v>
      </c>
      <c r="HB19" s="9" t="s">
        <v>2701</v>
      </c>
      <c r="HC19" s="9" t="s">
        <v>2701</v>
      </c>
      <c r="HD19" s="9" t="s">
        <v>25</v>
      </c>
      <c r="HE19" s="9" t="s">
        <v>25</v>
      </c>
      <c r="HG19" s="9">
        <v>3</v>
      </c>
    </row>
    <row r="20" spans="1:215" ht="51" x14ac:dyDescent="0.2">
      <c r="A20" s="8" t="s">
        <v>125</v>
      </c>
      <c r="B20" s="9" t="s">
        <v>28</v>
      </c>
      <c r="C20" s="9" t="s">
        <v>2766</v>
      </c>
      <c r="D20" s="9" t="s">
        <v>13532</v>
      </c>
      <c r="E20" s="9" t="s">
        <v>2748</v>
      </c>
      <c r="F20" s="9" t="s">
        <v>2664</v>
      </c>
      <c r="G20" s="9" t="s">
        <v>2666</v>
      </c>
      <c r="H20" s="9" t="s">
        <v>2667</v>
      </c>
      <c r="I20" s="9" t="s">
        <v>2665</v>
      </c>
      <c r="J20" s="9" t="s">
        <v>2666</v>
      </c>
      <c r="K20" s="9" t="s">
        <v>2667</v>
      </c>
      <c r="L20" s="9" t="s">
        <v>2667</v>
      </c>
      <c r="M20" s="9" t="s">
        <v>2667</v>
      </c>
      <c r="N20" s="9" t="s">
        <v>2666</v>
      </c>
      <c r="O20" s="9" t="s">
        <v>2665</v>
      </c>
      <c r="P20" s="9" t="s">
        <v>2667</v>
      </c>
      <c r="Q20" s="9" t="s">
        <v>2667</v>
      </c>
      <c r="R20" s="9" t="s">
        <v>2665</v>
      </c>
      <c r="S20" s="9" t="s">
        <v>2665</v>
      </c>
      <c r="T20" s="9" t="s">
        <v>2666</v>
      </c>
      <c r="U20" s="9" t="s">
        <v>25</v>
      </c>
      <c r="X20" s="9" t="s">
        <v>2753</v>
      </c>
      <c r="Y20" s="10" t="s">
        <v>2705</v>
      </c>
      <c r="Z20" s="10">
        <v>120</v>
      </c>
      <c r="AA20" s="10">
        <v>120</v>
      </c>
      <c r="AB20" s="10">
        <v>120</v>
      </c>
      <c r="AC20" s="10">
        <v>120</v>
      </c>
      <c r="AD20" s="10">
        <v>120</v>
      </c>
      <c r="AE20" s="10">
        <v>120</v>
      </c>
      <c r="AF20" s="10">
        <v>120</v>
      </c>
      <c r="AG20" s="10">
        <v>160</v>
      </c>
      <c r="AH20" s="10">
        <v>160</v>
      </c>
      <c r="AI20" s="10">
        <v>160</v>
      </c>
      <c r="AJ20" s="10">
        <v>200</v>
      </c>
      <c r="AK20" s="10">
        <v>200</v>
      </c>
      <c r="AL20" s="10">
        <v>200</v>
      </c>
      <c r="AM20" s="10" t="s">
        <v>25</v>
      </c>
      <c r="AO20" s="10" t="s">
        <v>2767</v>
      </c>
      <c r="AP20" s="10" t="s">
        <v>2707</v>
      </c>
      <c r="AQ20" s="10">
        <v>80</v>
      </c>
      <c r="BL20" s="10" t="s">
        <v>2705</v>
      </c>
      <c r="BM20" s="10" t="s">
        <v>2671</v>
      </c>
      <c r="BN20" s="10">
        <v>80</v>
      </c>
      <c r="BO20" s="10">
        <v>80</v>
      </c>
      <c r="BP20" s="9" t="s">
        <v>25</v>
      </c>
      <c r="BQ20" s="9" t="s">
        <v>25</v>
      </c>
      <c r="BR20" s="9" t="s">
        <v>25</v>
      </c>
      <c r="BS20" s="9" t="s">
        <v>25</v>
      </c>
      <c r="BW20" s="9" t="s">
        <v>2673</v>
      </c>
      <c r="BX20" s="9" t="s">
        <v>2673</v>
      </c>
      <c r="BY20" s="9" t="s">
        <v>2673</v>
      </c>
      <c r="BZ20" s="9" t="s">
        <v>2673</v>
      </c>
      <c r="CA20" s="9" t="s">
        <v>2673</v>
      </c>
      <c r="CB20" s="9" t="s">
        <v>2673</v>
      </c>
      <c r="CC20" s="9" t="s">
        <v>2749</v>
      </c>
      <c r="CJ20" s="9" t="s">
        <v>2675</v>
      </c>
      <c r="CK20" s="9" t="s">
        <v>2676</v>
      </c>
      <c r="CL20" s="9" t="s">
        <v>2676</v>
      </c>
      <c r="CM20" s="9" t="s">
        <v>2676</v>
      </c>
      <c r="CN20" s="9" t="s">
        <v>2676</v>
      </c>
      <c r="CO20" s="9" t="s">
        <v>2676</v>
      </c>
      <c r="CP20" s="9" t="s">
        <v>2676</v>
      </c>
      <c r="CQ20" s="9" t="s">
        <v>2676</v>
      </c>
      <c r="CT20" s="9" t="s">
        <v>2717</v>
      </c>
      <c r="CU20" s="9" t="s">
        <v>2717</v>
      </c>
      <c r="CV20" s="9" t="s">
        <v>2717</v>
      </c>
      <c r="CW20" s="9" t="s">
        <v>2717</v>
      </c>
      <c r="CX20" s="9" t="s">
        <v>2717</v>
      </c>
      <c r="CY20" s="9" t="s">
        <v>28</v>
      </c>
      <c r="CZ20" s="9" t="s">
        <v>2679</v>
      </c>
      <c r="DA20" s="9" t="s">
        <v>13953</v>
      </c>
      <c r="DB20" s="9" t="s">
        <v>2726</v>
      </c>
      <c r="DC20" s="9" t="s">
        <v>2726</v>
      </c>
      <c r="DD20" s="9" t="s">
        <v>2726</v>
      </c>
      <c r="DE20" s="9" t="s">
        <v>2726</v>
      </c>
      <c r="DG20" s="9" t="s">
        <v>2687</v>
      </c>
      <c r="DH20" s="9" t="s">
        <v>2687</v>
      </c>
      <c r="DI20" s="9" t="s">
        <v>2687</v>
      </c>
      <c r="DJ20" s="9" t="s">
        <v>2687</v>
      </c>
      <c r="DL20" s="9" t="s">
        <v>2726</v>
      </c>
      <c r="DN20" s="9" t="s">
        <v>2726</v>
      </c>
      <c r="DO20" s="9" t="s">
        <v>28</v>
      </c>
      <c r="DP20" s="9" t="s">
        <v>2768</v>
      </c>
      <c r="DQ20" s="9" t="s">
        <v>25</v>
      </c>
      <c r="DX20" s="9" t="s">
        <v>25</v>
      </c>
      <c r="EJ20" s="9" t="s">
        <v>25</v>
      </c>
      <c r="EU20" s="9" t="s">
        <v>28</v>
      </c>
      <c r="EV20" s="9" t="s">
        <v>13553</v>
      </c>
      <c r="EX20" s="9" t="s">
        <v>25</v>
      </c>
      <c r="EZ20" s="9" t="s">
        <v>2769</v>
      </c>
      <c r="FA20" s="9" t="s">
        <v>2769</v>
      </c>
      <c r="FB20" s="9" t="s">
        <v>2769</v>
      </c>
      <c r="FC20" s="9" t="s">
        <v>2769</v>
      </c>
      <c r="FD20" s="9" t="s">
        <v>2769</v>
      </c>
      <c r="FE20" s="9" t="s">
        <v>2769</v>
      </c>
      <c r="FF20" s="9" t="s">
        <v>2769</v>
      </c>
      <c r="FG20" s="9" t="s">
        <v>2769</v>
      </c>
      <c r="FH20" s="9" t="s">
        <v>994</v>
      </c>
      <c r="FI20" s="9" t="s">
        <v>994</v>
      </c>
      <c r="FJ20" s="9" t="s">
        <v>994</v>
      </c>
      <c r="FK20" s="9" t="s">
        <v>994</v>
      </c>
      <c r="FL20" s="9" t="s">
        <v>994</v>
      </c>
      <c r="FQ20" s="9" t="s">
        <v>1938</v>
      </c>
      <c r="FS20" s="9" t="s">
        <v>25</v>
      </c>
      <c r="FU20" s="9" t="s">
        <v>2770</v>
      </c>
      <c r="FV20" s="9" t="s">
        <v>2690</v>
      </c>
      <c r="FX20" s="9" t="s">
        <v>25</v>
      </c>
      <c r="FZ20" s="9" t="s">
        <v>28</v>
      </c>
      <c r="GA20" s="9" t="s">
        <v>1148</v>
      </c>
      <c r="GB20" s="9" t="s">
        <v>693</v>
      </c>
      <c r="GD20" s="9" t="s">
        <v>28</v>
      </c>
      <c r="GE20" s="9" t="s">
        <v>2771</v>
      </c>
      <c r="GF20" s="9" t="s">
        <v>28</v>
      </c>
      <c r="GG20" s="9" t="s">
        <v>25</v>
      </c>
      <c r="GH20" s="9" t="s">
        <v>2683</v>
      </c>
      <c r="GI20" s="9" t="s">
        <v>25</v>
      </c>
      <c r="GK20" s="9" t="s">
        <v>2695</v>
      </c>
      <c r="GL20" s="9" t="s">
        <v>2772</v>
      </c>
      <c r="GM20" s="9" t="s">
        <v>13969</v>
      </c>
      <c r="GN20" s="9" t="s">
        <v>631</v>
      </c>
      <c r="GO20" s="9" t="s">
        <v>2696</v>
      </c>
      <c r="GP20" s="9" t="s">
        <v>28</v>
      </c>
      <c r="GQ20" s="9" t="s">
        <v>28</v>
      </c>
      <c r="GR20" s="9" t="s">
        <v>2745</v>
      </c>
      <c r="GS20" s="9" t="s">
        <v>2745</v>
      </c>
      <c r="GT20" s="9" t="s">
        <v>2698</v>
      </c>
      <c r="GV20" s="9" t="s">
        <v>25</v>
      </c>
      <c r="HA20" s="9" t="s">
        <v>2702</v>
      </c>
      <c r="HB20" s="9" t="s">
        <v>2702</v>
      </c>
      <c r="HC20" s="9" t="s">
        <v>2702</v>
      </c>
      <c r="HD20" s="9" t="s">
        <v>2702</v>
      </c>
      <c r="HE20" s="9" t="s">
        <v>2702</v>
      </c>
      <c r="HG20" s="9" t="s">
        <v>2765</v>
      </c>
    </row>
    <row r="21" spans="1:215" ht="63.75" x14ac:dyDescent="0.2">
      <c r="A21" s="8" t="s">
        <v>169</v>
      </c>
      <c r="B21" s="9" t="s">
        <v>25</v>
      </c>
      <c r="U21" s="9" t="s">
        <v>25</v>
      </c>
      <c r="X21" s="9" t="s">
        <v>2704</v>
      </c>
      <c r="AR21" s="10" t="s">
        <v>2705</v>
      </c>
      <c r="AS21" s="10">
        <v>120</v>
      </c>
      <c r="AT21" s="10">
        <v>160</v>
      </c>
      <c r="AU21" s="10">
        <v>160</v>
      </c>
      <c r="AV21" s="10">
        <v>160</v>
      </c>
      <c r="AW21" s="10">
        <v>160</v>
      </c>
      <c r="AX21" s="10">
        <v>160</v>
      </c>
      <c r="AY21" s="10">
        <v>160</v>
      </c>
      <c r="BG21" s="10" t="s">
        <v>25</v>
      </c>
      <c r="BI21" s="10" t="s">
        <v>2906</v>
      </c>
      <c r="BJ21" s="10" t="s">
        <v>2169</v>
      </c>
      <c r="BK21" s="10">
        <v>40</v>
      </c>
      <c r="BL21" s="10" t="s">
        <v>2705</v>
      </c>
      <c r="BM21" s="10" t="s">
        <v>2671</v>
      </c>
      <c r="BO21" s="10">
        <v>80</v>
      </c>
      <c r="BP21" s="9" t="s">
        <v>25</v>
      </c>
      <c r="BQ21" s="9" t="s">
        <v>25</v>
      </c>
      <c r="BR21" s="9" t="s">
        <v>25</v>
      </c>
      <c r="BS21" s="9" t="s">
        <v>25</v>
      </c>
      <c r="BW21" s="9" t="s">
        <v>2673</v>
      </c>
      <c r="BX21" s="9" t="s">
        <v>2673</v>
      </c>
      <c r="BY21" s="9" t="s">
        <v>2673</v>
      </c>
      <c r="BZ21" s="9" t="s">
        <v>2673</v>
      </c>
      <c r="CA21" s="9" t="s">
        <v>2673</v>
      </c>
      <c r="CB21" s="9" t="s">
        <v>2673</v>
      </c>
      <c r="CC21" s="9" t="s">
        <v>2749</v>
      </c>
      <c r="CJ21" s="9" t="s">
        <v>2675</v>
      </c>
      <c r="CQ21" s="9" t="s">
        <v>2774</v>
      </c>
      <c r="CT21" s="9" t="s">
        <v>2717</v>
      </c>
      <c r="CU21" s="9" t="s">
        <v>2717</v>
      </c>
      <c r="CV21" s="9" t="s">
        <v>2717</v>
      </c>
      <c r="CW21" s="9" t="s">
        <v>2717</v>
      </c>
      <c r="CX21" s="9" t="s">
        <v>2717</v>
      </c>
      <c r="CY21" s="9" t="s">
        <v>28</v>
      </c>
      <c r="CZ21" s="9" t="s">
        <v>2679</v>
      </c>
      <c r="DA21" s="9" t="s">
        <v>13953</v>
      </c>
      <c r="DB21" s="9" t="s">
        <v>2680</v>
      </c>
      <c r="DC21" s="9" t="s">
        <v>2680</v>
      </c>
      <c r="DD21" s="9" t="s">
        <v>2680</v>
      </c>
      <c r="DE21" s="9" t="s">
        <v>2680</v>
      </c>
      <c r="DG21" s="9" t="s">
        <v>2680</v>
      </c>
      <c r="DH21" s="9" t="s">
        <v>2680</v>
      </c>
      <c r="DI21" s="9" t="s">
        <v>2680</v>
      </c>
      <c r="DJ21" s="9" t="s">
        <v>2680</v>
      </c>
      <c r="DL21" s="9" t="s">
        <v>2699</v>
      </c>
      <c r="DN21" s="9" t="s">
        <v>2680</v>
      </c>
      <c r="DO21" s="9" t="s">
        <v>28</v>
      </c>
      <c r="DP21" s="9" t="s">
        <v>2694</v>
      </c>
      <c r="DQ21" s="9" t="s">
        <v>25</v>
      </c>
      <c r="DX21" s="9" t="s">
        <v>28</v>
      </c>
      <c r="DY21" s="9" t="s">
        <v>2679</v>
      </c>
      <c r="DZ21" s="9" t="s">
        <v>2687</v>
      </c>
      <c r="EA21" s="9" t="s">
        <v>2907</v>
      </c>
      <c r="EB21" s="9" t="s">
        <v>28</v>
      </c>
      <c r="EC21" s="9" t="s">
        <v>2683</v>
      </c>
      <c r="ED21" s="9" t="s">
        <v>2789</v>
      </c>
      <c r="EF21" s="9" t="s">
        <v>13957</v>
      </c>
      <c r="EH21" s="9" t="s">
        <v>25</v>
      </c>
      <c r="EJ21" s="9" t="s">
        <v>28</v>
      </c>
      <c r="EK21" s="9" t="s">
        <v>2679</v>
      </c>
      <c r="EL21" s="9" t="s">
        <v>2686</v>
      </c>
      <c r="EN21" s="9" t="s">
        <v>2720</v>
      </c>
      <c r="EO21" s="9" t="s">
        <v>29</v>
      </c>
      <c r="EP21" s="9" t="s">
        <v>2908</v>
      </c>
      <c r="EQ21" s="9" t="s">
        <v>2689</v>
      </c>
      <c r="ES21" s="9" t="s">
        <v>28</v>
      </c>
      <c r="ET21" s="9" t="s">
        <v>2720</v>
      </c>
      <c r="EU21" s="9" t="s">
        <v>28</v>
      </c>
      <c r="EV21" s="9" t="s">
        <v>13557</v>
      </c>
      <c r="EX21" s="9" t="s">
        <v>28</v>
      </c>
      <c r="EY21" s="9" t="s">
        <v>994</v>
      </c>
      <c r="FS21" s="9" t="s">
        <v>25</v>
      </c>
      <c r="FU21" s="9" t="s">
        <v>2730</v>
      </c>
      <c r="FV21" s="9" t="s">
        <v>2909</v>
      </c>
      <c r="FX21" s="9" t="s">
        <v>25</v>
      </c>
      <c r="FZ21" s="9" t="s">
        <v>25</v>
      </c>
      <c r="GE21" s="9" t="s">
        <v>2693</v>
      </c>
      <c r="GF21" s="9" t="s">
        <v>28</v>
      </c>
      <c r="GG21" s="9" t="s">
        <v>25</v>
      </c>
      <c r="GH21" s="9" t="s">
        <v>2869</v>
      </c>
      <c r="GI21" s="9" t="s">
        <v>25</v>
      </c>
      <c r="GK21" s="9" t="s">
        <v>2695</v>
      </c>
      <c r="GM21" s="9" t="s">
        <v>13984</v>
      </c>
      <c r="GN21" s="9" t="s">
        <v>631</v>
      </c>
      <c r="GO21" s="9" t="s">
        <v>25</v>
      </c>
      <c r="GV21" s="9" t="s">
        <v>25</v>
      </c>
      <c r="HA21" s="9" t="s">
        <v>2701</v>
      </c>
      <c r="HB21" s="9" t="s">
        <v>2702</v>
      </c>
      <c r="HC21" s="9" t="s">
        <v>2702</v>
      </c>
      <c r="HD21" s="9" t="s">
        <v>25</v>
      </c>
      <c r="HE21" s="9" t="s">
        <v>2701</v>
      </c>
      <c r="HG21" s="9">
        <v>4</v>
      </c>
    </row>
    <row r="22" spans="1:215" ht="63.75" x14ac:dyDescent="0.2">
      <c r="A22" s="8" t="s">
        <v>159</v>
      </c>
      <c r="B22" s="9" t="s">
        <v>25</v>
      </c>
      <c r="U22" s="9" t="s">
        <v>25</v>
      </c>
      <c r="X22" s="9" t="s">
        <v>2753</v>
      </c>
      <c r="Y22" s="10" t="s">
        <v>2705</v>
      </c>
      <c r="Z22" s="10">
        <v>120</v>
      </c>
      <c r="AA22" s="10">
        <v>120</v>
      </c>
      <c r="AB22" s="10">
        <v>120</v>
      </c>
      <c r="AC22" s="10">
        <v>120</v>
      </c>
      <c r="AD22" s="10">
        <v>120</v>
      </c>
      <c r="AE22" s="10">
        <v>120</v>
      </c>
      <c r="AF22" s="10">
        <v>120</v>
      </c>
      <c r="AG22" s="10">
        <v>120</v>
      </c>
      <c r="AH22" s="10">
        <v>120</v>
      </c>
      <c r="AI22" s="10">
        <v>120</v>
      </c>
      <c r="AJ22" s="10">
        <v>120</v>
      </c>
      <c r="AK22" s="10">
        <v>120</v>
      </c>
      <c r="AL22" s="10">
        <v>120</v>
      </c>
      <c r="AM22" s="10" t="s">
        <v>25</v>
      </c>
      <c r="AO22" s="10" t="s">
        <v>2884</v>
      </c>
      <c r="AP22" s="10" t="s">
        <v>2169</v>
      </c>
      <c r="AQ22" s="10">
        <v>120</v>
      </c>
      <c r="BL22" s="10" t="s">
        <v>2705</v>
      </c>
      <c r="BM22" s="10" t="s">
        <v>2671</v>
      </c>
      <c r="BN22" s="10">
        <v>80</v>
      </c>
      <c r="BO22" s="10">
        <v>120</v>
      </c>
      <c r="BP22" s="9" t="s">
        <v>25</v>
      </c>
      <c r="BQ22" s="9" t="s">
        <v>25</v>
      </c>
      <c r="BR22" s="9" t="s">
        <v>25</v>
      </c>
      <c r="BS22" s="9" t="s">
        <v>25</v>
      </c>
      <c r="BW22" s="9" t="s">
        <v>2673</v>
      </c>
      <c r="BX22" s="9" t="s">
        <v>2673</v>
      </c>
      <c r="BY22" s="9" t="s">
        <v>2673</v>
      </c>
      <c r="BZ22" s="9" t="s">
        <v>2673</v>
      </c>
      <c r="CA22" s="9" t="s">
        <v>2673</v>
      </c>
      <c r="CB22" s="9" t="s">
        <v>2673</v>
      </c>
      <c r="CC22" s="9" t="s">
        <v>2749</v>
      </c>
      <c r="CD22" s="9" t="s">
        <v>2675</v>
      </c>
      <c r="CE22" s="9" t="s">
        <v>2675</v>
      </c>
      <c r="CF22" s="9" t="s">
        <v>2675</v>
      </c>
      <c r="CG22" s="9" t="s">
        <v>2675</v>
      </c>
      <c r="CH22" s="9" t="s">
        <v>2675</v>
      </c>
      <c r="CI22" s="9" t="s">
        <v>2675</v>
      </c>
      <c r="CJ22" s="9" t="s">
        <v>2675</v>
      </c>
      <c r="CQ22" s="9" t="s">
        <v>2676</v>
      </c>
      <c r="CR22" s="9" t="s">
        <v>2738</v>
      </c>
      <c r="CS22" s="9" t="s">
        <v>2738</v>
      </c>
      <c r="CT22" s="9" t="s">
        <v>2738</v>
      </c>
      <c r="CU22" s="9" t="s">
        <v>2738</v>
      </c>
      <c r="CV22" s="9" t="s">
        <v>2738</v>
      </c>
      <c r="CW22" s="9" t="s">
        <v>2738</v>
      </c>
      <c r="CX22" s="9" t="s">
        <v>2717</v>
      </c>
      <c r="CY22" s="9" t="s">
        <v>28</v>
      </c>
      <c r="CZ22" s="9" t="s">
        <v>2679</v>
      </c>
      <c r="DA22" s="9" t="s">
        <v>13953</v>
      </c>
      <c r="DB22" s="9" t="s">
        <v>2885</v>
      </c>
      <c r="DC22" s="9" t="s">
        <v>2885</v>
      </c>
      <c r="DD22" s="9" t="s">
        <v>2885</v>
      </c>
      <c r="DE22" s="9" t="s">
        <v>2885</v>
      </c>
      <c r="DG22" s="9" t="s">
        <v>2885</v>
      </c>
      <c r="DH22" s="9" t="s">
        <v>2885</v>
      </c>
      <c r="DI22" s="9" t="s">
        <v>2885</v>
      </c>
      <c r="DJ22" s="9" t="s">
        <v>2885</v>
      </c>
      <c r="DL22" s="9" t="s">
        <v>2885</v>
      </c>
      <c r="DN22" s="9" t="s">
        <v>2885</v>
      </c>
      <c r="DO22" s="9" t="s">
        <v>28</v>
      </c>
      <c r="DP22" s="9" t="s">
        <v>2885</v>
      </c>
      <c r="DQ22" s="9" t="s">
        <v>28</v>
      </c>
      <c r="DR22" s="9" t="s">
        <v>2776</v>
      </c>
      <c r="DS22" s="9" t="s">
        <v>2885</v>
      </c>
      <c r="DT22" s="9" t="s">
        <v>28</v>
      </c>
      <c r="DU22" s="9" t="s">
        <v>13953</v>
      </c>
      <c r="DV22" s="9" t="s">
        <v>28</v>
      </c>
      <c r="DW22" s="9" t="s">
        <v>2885</v>
      </c>
      <c r="DX22" s="9" t="s">
        <v>28</v>
      </c>
      <c r="DY22" s="9" t="s">
        <v>2679</v>
      </c>
      <c r="DZ22" s="9" t="s">
        <v>2683</v>
      </c>
      <c r="EA22" s="9" t="s">
        <v>13540</v>
      </c>
      <c r="EB22" s="9" t="s">
        <v>28</v>
      </c>
      <c r="EC22" s="9" t="s">
        <v>2683</v>
      </c>
      <c r="ED22" s="9" t="s">
        <v>13955</v>
      </c>
      <c r="EF22" s="9" t="s">
        <v>13957</v>
      </c>
      <c r="EH22" s="9" t="s">
        <v>28</v>
      </c>
      <c r="EI22" s="11">
        <v>0</v>
      </c>
      <c r="EJ22" s="9" t="s">
        <v>28</v>
      </c>
      <c r="EK22" s="9" t="s">
        <v>2679</v>
      </c>
      <c r="EL22" s="9" t="s">
        <v>2686</v>
      </c>
      <c r="EN22" s="9" t="s">
        <v>2687</v>
      </c>
      <c r="EO22" s="9" t="s">
        <v>2721</v>
      </c>
      <c r="EQ22" s="9" t="s">
        <v>2689</v>
      </c>
      <c r="ES22" s="9" t="s">
        <v>28</v>
      </c>
      <c r="ET22" s="9" t="s">
        <v>2687</v>
      </c>
      <c r="EU22" s="9" t="s">
        <v>28</v>
      </c>
      <c r="EV22" s="9" t="s">
        <v>13573</v>
      </c>
      <c r="EW22" s="9" t="s">
        <v>2886</v>
      </c>
      <c r="EX22" s="9" t="s">
        <v>28</v>
      </c>
      <c r="EY22" s="9" t="s">
        <v>2690</v>
      </c>
      <c r="FS22" s="9" t="s">
        <v>25</v>
      </c>
      <c r="FU22" s="9" t="s">
        <v>2730</v>
      </c>
      <c r="FV22" s="9" t="s">
        <v>2758</v>
      </c>
      <c r="FX22" s="9" t="s">
        <v>28</v>
      </c>
      <c r="FZ22" s="9" t="s">
        <v>28</v>
      </c>
      <c r="GA22" s="9" t="s">
        <v>1148</v>
      </c>
      <c r="GB22" s="9" t="s">
        <v>758</v>
      </c>
      <c r="GD22" s="9" t="s">
        <v>28</v>
      </c>
      <c r="GE22" s="9" t="s">
        <v>2771</v>
      </c>
      <c r="GF22" s="9" t="s">
        <v>28</v>
      </c>
      <c r="GG22" s="9" t="s">
        <v>25</v>
      </c>
      <c r="GH22" s="9" t="s">
        <v>2683</v>
      </c>
      <c r="GI22" s="9" t="s">
        <v>25</v>
      </c>
      <c r="GK22" s="9" t="s">
        <v>2695</v>
      </c>
      <c r="GM22" s="9" t="s">
        <v>13965</v>
      </c>
      <c r="GN22" s="9" t="s">
        <v>631</v>
      </c>
      <c r="GO22" s="9" t="s">
        <v>2696</v>
      </c>
      <c r="GP22" s="9" t="s">
        <v>28</v>
      </c>
      <c r="GQ22" s="9" t="s">
        <v>28</v>
      </c>
      <c r="GR22" s="9" t="s">
        <v>1148</v>
      </c>
      <c r="GS22" s="9" t="s">
        <v>1148</v>
      </c>
      <c r="GT22" s="9" t="s">
        <v>2698</v>
      </c>
      <c r="GV22" s="9" t="s">
        <v>25</v>
      </c>
      <c r="HA22" s="9" t="s">
        <v>25</v>
      </c>
      <c r="HB22" s="9" t="s">
        <v>2702</v>
      </c>
      <c r="HC22" s="9" t="s">
        <v>2702</v>
      </c>
      <c r="HD22" s="9" t="s">
        <v>25</v>
      </c>
      <c r="HE22" s="9" t="s">
        <v>25</v>
      </c>
      <c r="HF22" s="9" t="s">
        <v>2887</v>
      </c>
      <c r="HG22" s="9" t="s">
        <v>2765</v>
      </c>
    </row>
    <row r="23" spans="1:215" ht="51" x14ac:dyDescent="0.2">
      <c r="A23" s="8" t="s">
        <v>166</v>
      </c>
      <c r="B23" s="9" t="s">
        <v>25</v>
      </c>
      <c r="U23" s="9" t="s">
        <v>25</v>
      </c>
      <c r="X23" s="9" t="s">
        <v>2773</v>
      </c>
      <c r="BL23" s="10" t="s">
        <v>2860</v>
      </c>
      <c r="BM23" s="10" t="s">
        <v>2671</v>
      </c>
      <c r="BN23" s="10">
        <v>72</v>
      </c>
      <c r="BO23" s="10">
        <v>72</v>
      </c>
      <c r="BW23" s="9" t="s">
        <v>2673</v>
      </c>
      <c r="BX23" s="9" t="s">
        <v>2673</v>
      </c>
      <c r="BY23" s="9" t="s">
        <v>2673</v>
      </c>
      <c r="BZ23" s="9" t="s">
        <v>2673</v>
      </c>
      <c r="CA23" s="9" t="s">
        <v>2673</v>
      </c>
      <c r="CB23" s="9" t="s">
        <v>2673</v>
      </c>
      <c r="CC23" s="9" t="s">
        <v>2673</v>
      </c>
      <c r="CQ23" s="9" t="s">
        <v>2676</v>
      </c>
      <c r="CX23" s="9" t="s">
        <v>2717</v>
      </c>
      <c r="CY23" s="9" t="s">
        <v>28</v>
      </c>
      <c r="CZ23" s="9" t="s">
        <v>2679</v>
      </c>
      <c r="DA23" s="9" t="s">
        <v>13953</v>
      </c>
      <c r="DB23" s="9" t="s">
        <v>2683</v>
      </c>
      <c r="DC23" s="9" t="s">
        <v>2683</v>
      </c>
      <c r="DD23" s="9" t="s">
        <v>2683</v>
      </c>
      <c r="DE23" s="9" t="s">
        <v>2683</v>
      </c>
      <c r="DG23" s="9" t="s">
        <v>2683</v>
      </c>
      <c r="DH23" s="9" t="s">
        <v>2683</v>
      </c>
      <c r="DI23" s="9" t="s">
        <v>2683</v>
      </c>
      <c r="DJ23" s="9" t="s">
        <v>2683</v>
      </c>
      <c r="DL23" s="9" t="s">
        <v>2683</v>
      </c>
      <c r="DN23" s="9" t="s">
        <v>2683</v>
      </c>
      <c r="DO23" s="9" t="s">
        <v>25</v>
      </c>
      <c r="DQ23" s="9" t="s">
        <v>25</v>
      </c>
      <c r="DX23" s="9" t="s">
        <v>28</v>
      </c>
      <c r="DY23" s="9" t="s">
        <v>2708</v>
      </c>
      <c r="DZ23" s="9" t="s">
        <v>2726</v>
      </c>
      <c r="EA23" s="9" t="s">
        <v>13539</v>
      </c>
      <c r="EB23" s="9" t="s">
        <v>25</v>
      </c>
      <c r="EC23" s="9" t="s">
        <v>2683</v>
      </c>
      <c r="ED23" s="9" t="s">
        <v>2835</v>
      </c>
      <c r="EF23" s="9" t="s">
        <v>13957</v>
      </c>
      <c r="EH23" s="9" t="s">
        <v>28</v>
      </c>
      <c r="EI23" s="11">
        <v>1</v>
      </c>
      <c r="EJ23" s="9" t="s">
        <v>28</v>
      </c>
      <c r="EK23" s="9" t="s">
        <v>2679</v>
      </c>
      <c r="EL23" s="9" t="s">
        <v>2686</v>
      </c>
      <c r="EN23" s="9" t="s">
        <v>2687</v>
      </c>
      <c r="EO23" s="9" t="s">
        <v>2721</v>
      </c>
      <c r="EQ23" s="9" t="s">
        <v>2898</v>
      </c>
      <c r="ES23" s="9" t="s">
        <v>25</v>
      </c>
      <c r="EU23" s="9" t="s">
        <v>28</v>
      </c>
      <c r="EV23" s="9" t="s">
        <v>13551</v>
      </c>
      <c r="EX23" s="9" t="s">
        <v>28</v>
      </c>
      <c r="EY23" s="9" t="s">
        <v>1148</v>
      </c>
      <c r="FS23" s="9" t="s">
        <v>25</v>
      </c>
      <c r="FU23" s="9" t="s">
        <v>2691</v>
      </c>
      <c r="FX23" s="9" t="s">
        <v>25</v>
      </c>
      <c r="FZ23" s="9" t="s">
        <v>28</v>
      </c>
      <c r="GA23" s="9" t="s">
        <v>1938</v>
      </c>
      <c r="GB23" s="9" t="s">
        <v>2673</v>
      </c>
      <c r="GD23" s="9" t="s">
        <v>28</v>
      </c>
      <c r="GE23" s="9" t="s">
        <v>2771</v>
      </c>
      <c r="GF23" s="9" t="s">
        <v>28</v>
      </c>
      <c r="GG23" s="9" t="s">
        <v>25</v>
      </c>
      <c r="GH23" s="9" t="s">
        <v>2759</v>
      </c>
      <c r="GI23" s="9" t="s">
        <v>25</v>
      </c>
      <c r="GK23" s="9" t="s">
        <v>2843</v>
      </c>
      <c r="GM23" s="9" t="s">
        <v>13965</v>
      </c>
      <c r="GN23" s="9" t="s">
        <v>631</v>
      </c>
      <c r="GO23" s="9" t="s">
        <v>25</v>
      </c>
      <c r="GV23" s="9" t="s">
        <v>25</v>
      </c>
      <c r="HA23" s="9" t="s">
        <v>2702</v>
      </c>
      <c r="HB23" s="9" t="s">
        <v>2702</v>
      </c>
      <c r="HC23" s="9" t="s">
        <v>2702</v>
      </c>
      <c r="HD23" s="9" t="s">
        <v>2702</v>
      </c>
      <c r="HE23" s="9" t="s">
        <v>25</v>
      </c>
      <c r="HG23" s="9">
        <v>4</v>
      </c>
    </row>
    <row r="24" spans="1:215" ht="89.25" x14ac:dyDescent="0.2">
      <c r="A24" s="8" t="s">
        <v>157</v>
      </c>
      <c r="B24" s="9" t="s">
        <v>28</v>
      </c>
      <c r="C24" s="9" t="s">
        <v>2746</v>
      </c>
      <c r="D24" s="9" t="s">
        <v>13531</v>
      </c>
      <c r="E24" s="9" t="s">
        <v>2664</v>
      </c>
      <c r="F24" s="9" t="s">
        <v>2664</v>
      </c>
      <c r="U24" s="9" t="s">
        <v>25</v>
      </c>
      <c r="X24" s="9" t="s">
        <v>2794</v>
      </c>
      <c r="AR24" s="10" t="s">
        <v>2860</v>
      </c>
      <c r="AS24" s="10">
        <v>120</v>
      </c>
      <c r="AT24" s="10">
        <v>120</v>
      </c>
      <c r="AU24" s="10">
        <v>120</v>
      </c>
      <c r="AV24" s="10">
        <v>120</v>
      </c>
      <c r="AW24" s="10">
        <v>120</v>
      </c>
      <c r="AX24" s="10">
        <v>120</v>
      </c>
      <c r="AY24" s="10">
        <v>120</v>
      </c>
      <c r="AZ24" s="10">
        <v>120</v>
      </c>
      <c r="BA24" s="10">
        <v>120</v>
      </c>
      <c r="BB24" s="10">
        <v>120</v>
      </c>
      <c r="BC24" s="10">
        <v>120</v>
      </c>
      <c r="BD24" s="10">
        <v>120</v>
      </c>
      <c r="BE24" s="10">
        <v>120</v>
      </c>
      <c r="BF24" s="10">
        <v>120</v>
      </c>
      <c r="BG24" s="10" t="s">
        <v>25</v>
      </c>
      <c r="BI24" s="10" t="s">
        <v>2879</v>
      </c>
      <c r="BJ24" s="10" t="s">
        <v>25</v>
      </c>
      <c r="BL24" s="10" t="s">
        <v>2860</v>
      </c>
      <c r="BM24" s="10" t="s">
        <v>2673</v>
      </c>
      <c r="BP24" s="9" t="s">
        <v>25</v>
      </c>
      <c r="BQ24" s="9" t="s">
        <v>25</v>
      </c>
      <c r="BR24" s="9" t="s">
        <v>25</v>
      </c>
      <c r="BS24" s="9" t="s">
        <v>25</v>
      </c>
      <c r="BW24" s="9" t="s">
        <v>2673</v>
      </c>
      <c r="BX24" s="9" t="s">
        <v>2673</v>
      </c>
      <c r="BY24" s="9" t="s">
        <v>2673</v>
      </c>
      <c r="BZ24" s="9" t="s">
        <v>2673</v>
      </c>
      <c r="CA24" s="9" t="s">
        <v>2673</v>
      </c>
      <c r="CB24" s="9" t="s">
        <v>2673</v>
      </c>
      <c r="CC24" s="9" t="s">
        <v>2674</v>
      </c>
      <c r="CJ24" s="9" t="s">
        <v>2675</v>
      </c>
      <c r="CQ24" s="9" t="s">
        <v>2677</v>
      </c>
      <c r="CY24" s="9" t="s">
        <v>28</v>
      </c>
      <c r="CZ24" s="9" t="s">
        <v>2679</v>
      </c>
      <c r="DA24" s="9" t="s">
        <v>13953</v>
      </c>
      <c r="DB24" s="9" t="s">
        <v>2683</v>
      </c>
      <c r="DC24" s="9" t="s">
        <v>2683</v>
      </c>
      <c r="DG24" s="9" t="s">
        <v>2683</v>
      </c>
      <c r="DH24" s="9" t="s">
        <v>2683</v>
      </c>
      <c r="DL24" s="9" t="s">
        <v>29</v>
      </c>
      <c r="DM24" s="9" t="s">
        <v>2880</v>
      </c>
      <c r="DN24" s="9" t="s">
        <v>2699</v>
      </c>
      <c r="DO24" s="9" t="s">
        <v>28</v>
      </c>
      <c r="DP24" s="9" t="s">
        <v>2683</v>
      </c>
      <c r="DQ24" s="9" t="s">
        <v>28</v>
      </c>
      <c r="DR24" s="9" t="s">
        <v>2776</v>
      </c>
      <c r="DS24" s="9" t="s">
        <v>2699</v>
      </c>
      <c r="DT24" s="9" t="s">
        <v>28</v>
      </c>
      <c r="DU24" s="9" t="s">
        <v>13953</v>
      </c>
      <c r="DV24" s="9" t="s">
        <v>28</v>
      </c>
      <c r="DW24" s="9" t="s">
        <v>2683</v>
      </c>
      <c r="DX24" s="9" t="s">
        <v>25</v>
      </c>
      <c r="EJ24" s="9" t="s">
        <v>41</v>
      </c>
      <c r="EU24" s="9" t="s">
        <v>28</v>
      </c>
      <c r="EV24" s="9" t="s">
        <v>13572</v>
      </c>
      <c r="EX24" s="9" t="s">
        <v>28</v>
      </c>
      <c r="EY24" s="9" t="s">
        <v>1148</v>
      </c>
      <c r="FS24" s="9" t="s">
        <v>28</v>
      </c>
      <c r="FT24" s="9" t="s">
        <v>1938</v>
      </c>
      <c r="FU24" s="9" t="s">
        <v>2730</v>
      </c>
      <c r="FV24" s="9" t="s">
        <v>994</v>
      </c>
      <c r="FX24" s="9" t="s">
        <v>28</v>
      </c>
      <c r="FY24" s="9" t="s">
        <v>2692</v>
      </c>
      <c r="FZ24" s="9" t="s">
        <v>25</v>
      </c>
      <c r="GB24" s="9" t="s">
        <v>758</v>
      </c>
      <c r="GD24" s="9" t="s">
        <v>28</v>
      </c>
      <c r="GE24" s="9" t="s">
        <v>2771</v>
      </c>
      <c r="GF24" s="9" t="s">
        <v>28</v>
      </c>
      <c r="GG24" s="9" t="s">
        <v>25</v>
      </c>
      <c r="GH24" s="9" t="s">
        <v>2726</v>
      </c>
      <c r="GI24" s="9" t="s">
        <v>28</v>
      </c>
      <c r="GJ24" s="9" t="s">
        <v>2726</v>
      </c>
      <c r="GK24" s="9" t="s">
        <v>2843</v>
      </c>
      <c r="GM24" s="9" t="s">
        <v>14557</v>
      </c>
      <c r="GN24" s="9" t="s">
        <v>631</v>
      </c>
      <c r="GO24" s="9" t="s">
        <v>25</v>
      </c>
      <c r="GV24" s="9" t="s">
        <v>25</v>
      </c>
      <c r="HA24" s="9" t="s">
        <v>2702</v>
      </c>
      <c r="HB24" s="9" t="s">
        <v>2701</v>
      </c>
      <c r="HC24" s="9" t="s">
        <v>2702</v>
      </c>
      <c r="HD24" s="9" t="s">
        <v>25</v>
      </c>
      <c r="HE24" s="9" t="s">
        <v>25</v>
      </c>
      <c r="HG24" s="9">
        <v>4</v>
      </c>
    </row>
    <row r="25" spans="1:215" ht="76.5" x14ac:dyDescent="0.2">
      <c r="A25" s="8" t="s">
        <v>144</v>
      </c>
      <c r="B25" s="9" t="s">
        <v>28</v>
      </c>
      <c r="C25" s="9" t="s">
        <v>2663</v>
      </c>
      <c r="D25" s="9" t="s">
        <v>13533</v>
      </c>
      <c r="I25" s="9" t="s">
        <v>2665</v>
      </c>
      <c r="O25" s="9" t="s">
        <v>2665</v>
      </c>
      <c r="P25" s="9" t="s">
        <v>2665</v>
      </c>
      <c r="S25" s="9" t="s">
        <v>2665</v>
      </c>
      <c r="T25" s="9" t="s">
        <v>2666</v>
      </c>
      <c r="U25" s="9" t="s">
        <v>28</v>
      </c>
      <c r="V25" s="9" t="s">
        <v>2844</v>
      </c>
      <c r="X25" s="9" t="s">
        <v>2753</v>
      </c>
      <c r="Y25" s="10" t="s">
        <v>2705</v>
      </c>
      <c r="Z25" s="25">
        <v>120</v>
      </c>
      <c r="AA25" s="25">
        <v>120</v>
      </c>
      <c r="AB25" s="25">
        <v>120</v>
      </c>
      <c r="AC25" s="25">
        <v>120</v>
      </c>
      <c r="AD25" s="25">
        <v>120</v>
      </c>
      <c r="AE25" s="25">
        <v>120</v>
      </c>
      <c r="AF25" s="25">
        <v>120</v>
      </c>
      <c r="AG25" s="25">
        <v>120</v>
      </c>
      <c r="AH25" s="25">
        <v>120</v>
      </c>
      <c r="AI25" s="25">
        <v>160</v>
      </c>
      <c r="AJ25" s="25">
        <v>160</v>
      </c>
      <c r="AK25" s="25">
        <v>200</v>
      </c>
      <c r="AL25" s="25">
        <v>200</v>
      </c>
      <c r="AM25" s="10" t="s">
        <v>28</v>
      </c>
      <c r="AN25" s="10">
        <v>1000</v>
      </c>
      <c r="AO25" s="10" t="s">
        <v>2845</v>
      </c>
      <c r="AP25" s="10" t="s">
        <v>25</v>
      </c>
      <c r="BL25" s="10" t="s">
        <v>2668</v>
      </c>
      <c r="BM25" s="10" t="s">
        <v>2673</v>
      </c>
      <c r="BP25" s="9" t="s">
        <v>25</v>
      </c>
      <c r="BQ25" s="9" t="s">
        <v>25</v>
      </c>
      <c r="BR25" s="9" t="s">
        <v>25</v>
      </c>
      <c r="BS25" s="9" t="s">
        <v>25</v>
      </c>
      <c r="BW25" s="9" t="s">
        <v>2673</v>
      </c>
      <c r="BX25" s="9" t="s">
        <v>2673</v>
      </c>
      <c r="BY25" s="9" t="s">
        <v>2673</v>
      </c>
      <c r="BZ25" s="9" t="s">
        <v>2673</v>
      </c>
      <c r="CA25" s="9" t="s">
        <v>2673</v>
      </c>
      <c r="CB25" s="9" t="s">
        <v>2673</v>
      </c>
      <c r="CC25" s="9" t="s">
        <v>2749</v>
      </c>
      <c r="CJ25" s="9" t="s">
        <v>2675</v>
      </c>
      <c r="CX25" s="9" t="s">
        <v>2717</v>
      </c>
      <c r="CY25" s="9" t="s">
        <v>28</v>
      </c>
      <c r="CZ25" s="9" t="s">
        <v>2679</v>
      </c>
      <c r="DA25" s="9" t="s">
        <v>2718</v>
      </c>
      <c r="DB25" s="9" t="s">
        <v>2680</v>
      </c>
      <c r="DC25" s="9" t="s">
        <v>2680</v>
      </c>
      <c r="DG25" s="9" t="s">
        <v>2680</v>
      </c>
      <c r="DH25" s="9" t="s">
        <v>2680</v>
      </c>
      <c r="DL25" s="9" t="s">
        <v>2680</v>
      </c>
      <c r="DN25" s="9" t="s">
        <v>2680</v>
      </c>
      <c r="DO25" s="9" t="s">
        <v>25</v>
      </c>
      <c r="DQ25" s="9" t="s">
        <v>25</v>
      </c>
      <c r="DX25" s="9" t="s">
        <v>25</v>
      </c>
      <c r="EJ25" s="9" t="s">
        <v>25</v>
      </c>
      <c r="EU25" s="9" t="s">
        <v>28</v>
      </c>
      <c r="EV25" s="9" t="s">
        <v>13566</v>
      </c>
      <c r="EX25" s="9" t="s">
        <v>28</v>
      </c>
      <c r="FS25" s="9" t="s">
        <v>28</v>
      </c>
      <c r="FU25" s="9" t="s">
        <v>2691</v>
      </c>
      <c r="FX25" s="9" t="s">
        <v>25</v>
      </c>
      <c r="FZ25" s="9" t="s">
        <v>28</v>
      </c>
      <c r="GA25" s="9" t="s">
        <v>2745</v>
      </c>
      <c r="GB25" s="9" t="s">
        <v>2673</v>
      </c>
      <c r="GD25" s="9" t="s">
        <v>28</v>
      </c>
      <c r="GE25" s="9" t="s">
        <v>2771</v>
      </c>
      <c r="GF25" s="9" t="s">
        <v>28</v>
      </c>
      <c r="GG25" s="9" t="s">
        <v>25</v>
      </c>
      <c r="GH25" s="9" t="s">
        <v>2694</v>
      </c>
      <c r="GI25" s="9" t="s">
        <v>25</v>
      </c>
      <c r="GK25" s="9" t="s">
        <v>2695</v>
      </c>
      <c r="GM25" s="9" t="s">
        <v>13963</v>
      </c>
      <c r="GN25" s="9" t="s">
        <v>631</v>
      </c>
      <c r="GO25" s="9" t="s">
        <v>25</v>
      </c>
      <c r="GV25" s="9" t="s">
        <v>25</v>
      </c>
      <c r="HA25" s="9" t="s">
        <v>2701</v>
      </c>
      <c r="HB25" s="9" t="s">
        <v>2702</v>
      </c>
      <c r="HC25" s="9" t="s">
        <v>2702</v>
      </c>
      <c r="HD25" s="9" t="s">
        <v>25</v>
      </c>
      <c r="HE25" s="9" t="s">
        <v>2702</v>
      </c>
      <c r="HG25" s="9" t="s">
        <v>2765</v>
      </c>
    </row>
    <row r="26" spans="1:215" ht="63.75" x14ac:dyDescent="0.2">
      <c r="A26" s="8" t="s">
        <v>140</v>
      </c>
      <c r="B26" s="9" t="s">
        <v>28</v>
      </c>
      <c r="C26" s="9" t="s">
        <v>2746</v>
      </c>
      <c r="D26" s="9" t="s">
        <v>13533</v>
      </c>
      <c r="E26" s="9" t="s">
        <v>2829</v>
      </c>
      <c r="F26" s="9" t="s">
        <v>2664</v>
      </c>
      <c r="G26" s="9" t="s">
        <v>2665</v>
      </c>
      <c r="H26" s="9" t="s">
        <v>2665</v>
      </c>
      <c r="I26" s="9" t="s">
        <v>2665</v>
      </c>
      <c r="J26" s="9" t="s">
        <v>2667</v>
      </c>
      <c r="K26" s="9" t="s">
        <v>2667</v>
      </c>
      <c r="L26" s="9" t="s">
        <v>2665</v>
      </c>
      <c r="M26" s="9" t="s">
        <v>2665</v>
      </c>
      <c r="N26" s="9" t="s">
        <v>2666</v>
      </c>
      <c r="O26" s="9" t="s">
        <v>2665</v>
      </c>
      <c r="P26" s="9" t="s">
        <v>2665</v>
      </c>
      <c r="Q26" s="9" t="s">
        <v>2665</v>
      </c>
      <c r="R26" s="9" t="s">
        <v>2665</v>
      </c>
      <c r="S26" s="9" t="s">
        <v>2667</v>
      </c>
      <c r="T26" s="9" t="s">
        <v>2665</v>
      </c>
      <c r="U26" s="9" t="s">
        <v>25</v>
      </c>
      <c r="X26" s="9" t="s">
        <v>2753</v>
      </c>
      <c r="Y26" s="10" t="s">
        <v>2668</v>
      </c>
      <c r="Z26" s="10">
        <v>120</v>
      </c>
      <c r="AA26" s="10">
        <v>128</v>
      </c>
      <c r="AB26" s="10">
        <v>136</v>
      </c>
      <c r="AC26" s="10">
        <v>144</v>
      </c>
      <c r="AD26" s="10">
        <v>152</v>
      </c>
      <c r="AE26" s="10">
        <v>160</v>
      </c>
      <c r="AF26" s="10">
        <v>160</v>
      </c>
      <c r="AG26" s="10">
        <v>160</v>
      </c>
      <c r="AH26" s="10">
        <v>160</v>
      </c>
      <c r="AI26" s="10">
        <v>160</v>
      </c>
      <c r="AJ26" s="10">
        <v>160</v>
      </c>
      <c r="AK26" s="10">
        <v>160</v>
      </c>
      <c r="AL26" s="10">
        <v>160</v>
      </c>
      <c r="AM26" s="10" t="s">
        <v>25</v>
      </c>
      <c r="AO26" s="10" t="s">
        <v>2830</v>
      </c>
      <c r="AP26" s="10" t="s">
        <v>2169</v>
      </c>
      <c r="AQ26" s="10">
        <v>40</v>
      </c>
      <c r="AR26" s="10" t="s">
        <v>2668</v>
      </c>
      <c r="BL26" s="10" t="s">
        <v>2668</v>
      </c>
      <c r="BM26" s="10" t="s">
        <v>2716</v>
      </c>
      <c r="BN26" s="10">
        <v>120</v>
      </c>
      <c r="BO26" s="10">
        <v>120</v>
      </c>
      <c r="BP26" s="9" t="s">
        <v>25</v>
      </c>
      <c r="BQ26" s="9" t="s">
        <v>25</v>
      </c>
      <c r="BR26" s="9" t="s">
        <v>25</v>
      </c>
      <c r="BS26" s="9" t="s">
        <v>25</v>
      </c>
      <c r="BW26" s="9" t="s">
        <v>2673</v>
      </c>
      <c r="BX26" s="9" t="s">
        <v>2673</v>
      </c>
      <c r="BY26" s="9" t="s">
        <v>2673</v>
      </c>
      <c r="BZ26" s="9" t="s">
        <v>2673</v>
      </c>
      <c r="CA26" s="9" t="s">
        <v>2673</v>
      </c>
      <c r="CB26" s="9" t="s">
        <v>2673</v>
      </c>
      <c r="CC26" s="9" t="s">
        <v>2749</v>
      </c>
      <c r="CJ26" s="9" t="s">
        <v>2675</v>
      </c>
      <c r="CK26" s="9" t="s">
        <v>2737</v>
      </c>
      <c r="CL26" s="9" t="s">
        <v>2737</v>
      </c>
      <c r="CM26" s="9" t="s">
        <v>2737</v>
      </c>
      <c r="CN26" s="9" t="s">
        <v>2737</v>
      </c>
      <c r="CO26" s="9" t="s">
        <v>2737</v>
      </c>
      <c r="CP26" s="9" t="s">
        <v>2737</v>
      </c>
      <c r="CQ26" s="9" t="s">
        <v>2737</v>
      </c>
      <c r="CT26" s="9" t="s">
        <v>2717</v>
      </c>
      <c r="CU26" s="9" t="s">
        <v>2717</v>
      </c>
      <c r="CV26" s="9" t="s">
        <v>2717</v>
      </c>
      <c r="CW26" s="9" t="s">
        <v>2717</v>
      </c>
      <c r="CX26" s="9" t="s">
        <v>2717</v>
      </c>
      <c r="CY26" s="9" t="s">
        <v>28</v>
      </c>
      <c r="CZ26" s="9" t="s">
        <v>2679</v>
      </c>
      <c r="DA26" s="9" t="s">
        <v>2718</v>
      </c>
      <c r="DB26" s="9" t="s">
        <v>2680</v>
      </c>
      <c r="DC26" s="9" t="s">
        <v>2680</v>
      </c>
      <c r="DD26" s="9" t="s">
        <v>2680</v>
      </c>
      <c r="DG26" s="9" t="s">
        <v>2680</v>
      </c>
      <c r="DH26" s="9" t="s">
        <v>2680</v>
      </c>
      <c r="DI26" s="9" t="s">
        <v>2680</v>
      </c>
      <c r="DL26" s="9" t="s">
        <v>2680</v>
      </c>
      <c r="DN26" s="9" t="s">
        <v>2680</v>
      </c>
      <c r="DO26" s="9" t="s">
        <v>25</v>
      </c>
      <c r="DP26" s="9" t="s">
        <v>2680</v>
      </c>
      <c r="DQ26" s="9" t="s">
        <v>25</v>
      </c>
      <c r="DX26" s="9" t="s">
        <v>28</v>
      </c>
      <c r="DY26" s="9" t="s">
        <v>2831</v>
      </c>
      <c r="DZ26" s="9" t="s">
        <v>2683</v>
      </c>
      <c r="EA26" s="9" t="s">
        <v>2832</v>
      </c>
      <c r="EB26" s="9" t="s">
        <v>25</v>
      </c>
      <c r="ED26" s="9" t="s">
        <v>2789</v>
      </c>
      <c r="EF26" s="9" t="s">
        <v>13957</v>
      </c>
      <c r="EH26" s="9" t="s">
        <v>25</v>
      </c>
      <c r="EJ26" s="9" t="s">
        <v>28</v>
      </c>
      <c r="EK26" s="9" t="s">
        <v>2833</v>
      </c>
      <c r="EN26" s="9" t="s">
        <v>2710</v>
      </c>
      <c r="EO26" s="9" t="s">
        <v>2721</v>
      </c>
      <c r="EQ26" s="9" t="s">
        <v>2689</v>
      </c>
      <c r="ES26" s="9" t="s">
        <v>28</v>
      </c>
      <c r="ET26" s="9" t="s">
        <v>2683</v>
      </c>
      <c r="EU26" s="9" t="s">
        <v>28</v>
      </c>
      <c r="EV26" s="9" t="s">
        <v>13563</v>
      </c>
      <c r="EX26" s="9" t="s">
        <v>28</v>
      </c>
      <c r="EY26" s="9" t="s">
        <v>1148</v>
      </c>
      <c r="FS26" s="9" t="s">
        <v>25</v>
      </c>
      <c r="FU26" s="9" t="s">
        <v>2730</v>
      </c>
      <c r="FV26" s="9" t="s">
        <v>2690</v>
      </c>
      <c r="FX26" s="9" t="s">
        <v>25</v>
      </c>
      <c r="FZ26" s="9" t="s">
        <v>28</v>
      </c>
      <c r="GA26" s="9" t="s">
        <v>1148</v>
      </c>
      <c r="GB26" s="9" t="s">
        <v>758</v>
      </c>
      <c r="GD26" s="9" t="s">
        <v>28</v>
      </c>
      <c r="GE26" s="9" t="s">
        <v>2693</v>
      </c>
      <c r="GF26" s="9" t="s">
        <v>28</v>
      </c>
      <c r="GG26" s="9" t="s">
        <v>25</v>
      </c>
      <c r="GH26" s="9" t="s">
        <v>2683</v>
      </c>
      <c r="GI26" s="9" t="s">
        <v>25</v>
      </c>
      <c r="GK26" s="9" t="s">
        <v>2695</v>
      </c>
      <c r="GM26" s="9" t="s">
        <v>13969</v>
      </c>
      <c r="GN26" s="9" t="s">
        <v>2712</v>
      </c>
      <c r="GO26" s="9" t="s">
        <v>25</v>
      </c>
      <c r="GV26" s="9" t="s">
        <v>25</v>
      </c>
      <c r="HA26" s="9" t="s">
        <v>2702</v>
      </c>
      <c r="HB26" s="9" t="s">
        <v>2702</v>
      </c>
      <c r="HC26" s="9" t="s">
        <v>2702</v>
      </c>
      <c r="HD26" s="9" t="s">
        <v>2701</v>
      </c>
      <c r="HE26" s="9" t="s">
        <v>2702</v>
      </c>
      <c r="HG26" s="9">
        <v>4</v>
      </c>
    </row>
    <row r="27" spans="1:215" ht="76.5" x14ac:dyDescent="0.2">
      <c r="A27" s="8" t="s">
        <v>127</v>
      </c>
      <c r="B27" s="9" t="s">
        <v>28</v>
      </c>
      <c r="C27" s="9" t="s">
        <v>2746</v>
      </c>
      <c r="D27" s="9" t="s">
        <v>13532</v>
      </c>
      <c r="E27" s="9" t="s">
        <v>632</v>
      </c>
      <c r="F27" s="9" t="s">
        <v>2664</v>
      </c>
      <c r="G27" s="9" t="s">
        <v>2665</v>
      </c>
      <c r="H27" s="9" t="s">
        <v>2666</v>
      </c>
      <c r="I27" s="9" t="s">
        <v>2666</v>
      </c>
      <c r="J27" s="9" t="s">
        <v>2666</v>
      </c>
      <c r="K27" s="9" t="s">
        <v>2667</v>
      </c>
      <c r="L27" s="9" t="s">
        <v>2667</v>
      </c>
      <c r="M27" s="9" t="s">
        <v>2667</v>
      </c>
      <c r="N27" s="9" t="s">
        <v>2666</v>
      </c>
      <c r="O27" s="9" t="s">
        <v>2665</v>
      </c>
      <c r="P27" s="9" t="s">
        <v>2667</v>
      </c>
      <c r="Q27" s="9" t="s">
        <v>2665</v>
      </c>
      <c r="R27" s="9" t="s">
        <v>2667</v>
      </c>
      <c r="S27" s="9" t="s">
        <v>2667</v>
      </c>
      <c r="T27" s="9" t="s">
        <v>2665</v>
      </c>
      <c r="U27" s="9" t="s">
        <v>25</v>
      </c>
      <c r="X27" s="9" t="s">
        <v>2704</v>
      </c>
      <c r="AR27" s="10" t="s">
        <v>2668</v>
      </c>
      <c r="AS27" s="10">
        <v>160</v>
      </c>
      <c r="AT27" s="10">
        <v>160</v>
      </c>
      <c r="AU27" s="10">
        <v>160</v>
      </c>
      <c r="AV27" s="10">
        <v>160</v>
      </c>
      <c r="AW27" s="10">
        <v>160</v>
      </c>
      <c r="AX27" s="10">
        <v>160</v>
      </c>
      <c r="AY27" s="10">
        <v>160</v>
      </c>
      <c r="AZ27" s="10">
        <v>160</v>
      </c>
      <c r="BA27" s="10">
        <v>160</v>
      </c>
      <c r="BB27" s="10">
        <v>160</v>
      </c>
      <c r="BC27" s="10">
        <v>160</v>
      </c>
      <c r="BD27" s="10">
        <v>160</v>
      </c>
      <c r="BE27" s="10">
        <v>160</v>
      </c>
      <c r="BF27" s="10">
        <v>160</v>
      </c>
      <c r="BG27" s="10" t="s">
        <v>25</v>
      </c>
      <c r="BI27" s="10" t="s">
        <v>2779</v>
      </c>
      <c r="BJ27" s="10" t="s">
        <v>2169</v>
      </c>
      <c r="BK27" s="10">
        <v>40</v>
      </c>
      <c r="BL27" s="10" t="s">
        <v>2668</v>
      </c>
      <c r="BM27" s="10" t="s">
        <v>2671</v>
      </c>
      <c r="BN27" s="10">
        <v>160</v>
      </c>
      <c r="BO27" s="10">
        <v>240</v>
      </c>
      <c r="BP27" s="9" t="s">
        <v>25</v>
      </c>
      <c r="BQ27" s="9" t="s">
        <v>25</v>
      </c>
      <c r="BR27" s="9" t="s">
        <v>25</v>
      </c>
      <c r="BS27" s="9" t="s">
        <v>25</v>
      </c>
      <c r="BW27" s="9" t="s">
        <v>2674</v>
      </c>
      <c r="BX27" s="9" t="s">
        <v>2674</v>
      </c>
      <c r="BY27" s="9" t="s">
        <v>2674</v>
      </c>
      <c r="BZ27" s="9" t="s">
        <v>2674</v>
      </c>
      <c r="CA27" s="9" t="s">
        <v>2674</v>
      </c>
      <c r="CB27" s="9" t="s">
        <v>2674</v>
      </c>
      <c r="CC27" s="9" t="s">
        <v>2674</v>
      </c>
      <c r="CD27" s="9" t="s">
        <v>2675</v>
      </c>
      <c r="CE27" s="9" t="s">
        <v>2675</v>
      </c>
      <c r="CF27" s="9" t="s">
        <v>2675</v>
      </c>
      <c r="CG27" s="9" t="s">
        <v>2675</v>
      </c>
      <c r="CH27" s="9" t="s">
        <v>2675</v>
      </c>
      <c r="CI27" s="9" t="s">
        <v>2675</v>
      </c>
      <c r="CJ27" s="9" t="s">
        <v>2675</v>
      </c>
      <c r="CK27" s="9" t="s">
        <v>2677</v>
      </c>
      <c r="CL27" s="9" t="s">
        <v>2677</v>
      </c>
      <c r="CM27" s="9" t="s">
        <v>2677</v>
      </c>
      <c r="CN27" s="9" t="s">
        <v>2677</v>
      </c>
      <c r="CO27" s="9" t="s">
        <v>2677</v>
      </c>
      <c r="CP27" s="9" t="s">
        <v>2677</v>
      </c>
      <c r="CQ27" s="9" t="s">
        <v>2677</v>
      </c>
      <c r="CR27" s="9" t="s">
        <v>2678</v>
      </c>
      <c r="CS27" s="9" t="s">
        <v>2678</v>
      </c>
      <c r="CT27" s="9" t="s">
        <v>2678</v>
      </c>
      <c r="CU27" s="9" t="s">
        <v>2678</v>
      </c>
      <c r="CV27" s="9" t="s">
        <v>2678</v>
      </c>
      <c r="CW27" s="9" t="s">
        <v>2678</v>
      </c>
      <c r="CX27" s="9" t="s">
        <v>2678</v>
      </c>
      <c r="CY27" s="9" t="s">
        <v>28</v>
      </c>
      <c r="CZ27" s="9" t="s">
        <v>2679</v>
      </c>
      <c r="DA27" s="9" t="s">
        <v>2780</v>
      </c>
      <c r="DB27" s="9" t="s">
        <v>2768</v>
      </c>
      <c r="DC27" s="9" t="s">
        <v>2768</v>
      </c>
      <c r="DE27" s="9" t="s">
        <v>2768</v>
      </c>
      <c r="DG27" s="9" t="s">
        <v>2687</v>
      </c>
      <c r="DH27" s="9" t="s">
        <v>2687</v>
      </c>
      <c r="DJ27" s="9" t="s">
        <v>2687</v>
      </c>
      <c r="DL27" s="9" t="s">
        <v>2768</v>
      </c>
      <c r="DN27" s="9" t="s">
        <v>2768</v>
      </c>
      <c r="DO27" s="9" t="s">
        <v>28</v>
      </c>
      <c r="DP27" s="9" t="s">
        <v>2768</v>
      </c>
      <c r="DQ27" s="9" t="s">
        <v>25</v>
      </c>
      <c r="DX27" s="9" t="s">
        <v>25</v>
      </c>
      <c r="EJ27" s="9" t="s">
        <v>41</v>
      </c>
      <c r="EU27" s="9" t="s">
        <v>28</v>
      </c>
      <c r="EV27" s="9" t="s">
        <v>13961</v>
      </c>
      <c r="EW27" s="9" t="s">
        <v>2781</v>
      </c>
      <c r="EX27" s="9" t="s">
        <v>28</v>
      </c>
      <c r="EY27" s="9" t="s">
        <v>2690</v>
      </c>
      <c r="EZ27" s="9" t="s">
        <v>2690</v>
      </c>
      <c r="FA27" s="9" t="s">
        <v>2690</v>
      </c>
      <c r="FB27" s="9" t="s">
        <v>2690</v>
      </c>
      <c r="FC27" s="9" t="s">
        <v>2690</v>
      </c>
      <c r="FD27" s="9" t="s">
        <v>2690</v>
      </c>
      <c r="FF27" s="9" t="s">
        <v>2690</v>
      </c>
      <c r="FG27" s="9" t="s">
        <v>2690</v>
      </c>
      <c r="FH27" s="9" t="s">
        <v>2690</v>
      </c>
      <c r="FI27" s="9" t="s">
        <v>2690</v>
      </c>
      <c r="FK27" s="9" t="s">
        <v>2690</v>
      </c>
      <c r="FL27" s="9" t="s">
        <v>2690</v>
      </c>
      <c r="FM27" s="9" t="s">
        <v>2690</v>
      </c>
      <c r="FN27" s="9" t="s">
        <v>2690</v>
      </c>
      <c r="FO27" s="9" t="s">
        <v>2690</v>
      </c>
      <c r="FP27" s="9" t="s">
        <v>2690</v>
      </c>
      <c r="FS27" s="9" t="s">
        <v>25</v>
      </c>
      <c r="FU27" s="9" t="s">
        <v>2691</v>
      </c>
      <c r="FV27" s="9" t="s">
        <v>1801</v>
      </c>
      <c r="FX27" s="9" t="s">
        <v>28</v>
      </c>
      <c r="FY27" s="9" t="s">
        <v>2692</v>
      </c>
      <c r="FZ27" s="9" t="s">
        <v>28</v>
      </c>
      <c r="GA27" s="9" t="s">
        <v>994</v>
      </c>
      <c r="GB27" s="9" t="s">
        <v>2673</v>
      </c>
      <c r="GD27" s="9" t="s">
        <v>28</v>
      </c>
      <c r="GE27" s="9" t="s">
        <v>2693</v>
      </c>
      <c r="GF27" s="9" t="s">
        <v>28</v>
      </c>
      <c r="GG27" s="9" t="s">
        <v>25</v>
      </c>
      <c r="GH27" s="9" t="s">
        <v>2694</v>
      </c>
      <c r="GI27" s="9" t="s">
        <v>25</v>
      </c>
      <c r="GJ27" s="9" t="s">
        <v>2694</v>
      </c>
      <c r="GK27" s="9" t="s">
        <v>2695</v>
      </c>
      <c r="GL27" s="9" t="s">
        <v>2782</v>
      </c>
      <c r="GM27" s="9" t="s">
        <v>13971</v>
      </c>
      <c r="GN27" s="9" t="s">
        <v>2725</v>
      </c>
      <c r="GO27" s="9" t="s">
        <v>2696</v>
      </c>
      <c r="GP27" s="9" t="s">
        <v>28</v>
      </c>
      <c r="GQ27" s="9" t="s">
        <v>28</v>
      </c>
      <c r="GR27" s="9" t="s">
        <v>2697</v>
      </c>
      <c r="GS27" s="9" t="s">
        <v>2697</v>
      </c>
      <c r="GT27" s="9" t="s">
        <v>2715</v>
      </c>
      <c r="GU27" s="9" t="s">
        <v>28</v>
      </c>
      <c r="GV27" s="9" t="s">
        <v>25</v>
      </c>
      <c r="HA27" s="9" t="s">
        <v>2701</v>
      </c>
      <c r="HB27" s="9" t="s">
        <v>2702</v>
      </c>
      <c r="HC27" s="9" t="s">
        <v>2702</v>
      </c>
      <c r="HD27" s="9" t="s">
        <v>2701</v>
      </c>
      <c r="HE27" s="9" t="s">
        <v>25</v>
      </c>
      <c r="HF27" s="9" t="s">
        <v>2783</v>
      </c>
      <c r="HG27" s="9" t="s">
        <v>2765</v>
      </c>
    </row>
    <row r="28" spans="1:215" ht="51" x14ac:dyDescent="0.2">
      <c r="A28" s="8" t="s">
        <v>131</v>
      </c>
      <c r="B28" s="9" t="s">
        <v>28</v>
      </c>
      <c r="C28" s="9" t="s">
        <v>2752</v>
      </c>
      <c r="D28" s="9" t="s">
        <v>2733</v>
      </c>
      <c r="E28" s="9" t="s">
        <v>2748</v>
      </c>
      <c r="F28" s="9" t="s">
        <v>743</v>
      </c>
      <c r="G28" s="9" t="s">
        <v>2665</v>
      </c>
      <c r="H28" s="9" t="s">
        <v>2666</v>
      </c>
      <c r="I28" s="9" t="s">
        <v>2666</v>
      </c>
      <c r="J28" s="9" t="s">
        <v>2666</v>
      </c>
      <c r="K28" s="9" t="s">
        <v>2667</v>
      </c>
      <c r="L28" s="9" t="s">
        <v>2667</v>
      </c>
      <c r="M28" s="9" t="s">
        <v>2667</v>
      </c>
      <c r="N28" s="9" t="s">
        <v>2665</v>
      </c>
      <c r="O28" s="9" t="s">
        <v>2666</v>
      </c>
      <c r="P28" s="9" t="s">
        <v>2665</v>
      </c>
      <c r="Q28" s="9" t="s">
        <v>2665</v>
      </c>
      <c r="R28" s="9" t="s">
        <v>2666</v>
      </c>
      <c r="S28" s="9" t="s">
        <v>2665</v>
      </c>
      <c r="T28" s="9" t="s">
        <v>2666</v>
      </c>
      <c r="U28" s="9" t="s">
        <v>28</v>
      </c>
      <c r="V28" s="9" t="s">
        <v>612</v>
      </c>
      <c r="X28" s="9" t="s">
        <v>2704</v>
      </c>
      <c r="AR28" s="10" t="s">
        <v>2705</v>
      </c>
      <c r="AS28" s="10">
        <v>128</v>
      </c>
      <c r="AT28" s="10">
        <v>136</v>
      </c>
      <c r="AU28" s="10">
        <v>144</v>
      </c>
      <c r="AV28" s="10">
        <v>152</v>
      </c>
      <c r="AW28" s="10">
        <v>160</v>
      </c>
      <c r="AX28" s="10">
        <v>160</v>
      </c>
      <c r="AY28" s="10">
        <v>160</v>
      </c>
      <c r="AZ28" s="10">
        <v>160</v>
      </c>
      <c r="BA28" s="10">
        <v>160</v>
      </c>
      <c r="BB28" s="10">
        <v>160</v>
      </c>
      <c r="BC28" s="10">
        <v>160</v>
      </c>
      <c r="BD28" s="10">
        <v>160</v>
      </c>
      <c r="BE28" s="10">
        <v>160</v>
      </c>
      <c r="BF28" s="10">
        <v>160</v>
      </c>
      <c r="BG28" s="10" t="s">
        <v>25</v>
      </c>
      <c r="BI28" s="10" t="s">
        <v>2797</v>
      </c>
      <c r="BJ28" s="10" t="s">
        <v>2169</v>
      </c>
      <c r="BK28" s="10">
        <v>40</v>
      </c>
      <c r="BL28" s="10" t="s">
        <v>2668</v>
      </c>
      <c r="BM28" s="10" t="s">
        <v>2716</v>
      </c>
      <c r="BP28" s="9" t="s">
        <v>25</v>
      </c>
      <c r="BQ28" s="9" t="s">
        <v>25</v>
      </c>
      <c r="BR28" s="9" t="s">
        <v>25</v>
      </c>
      <c r="BS28" s="9" t="s">
        <v>25</v>
      </c>
      <c r="BW28" s="9" t="s">
        <v>2674</v>
      </c>
      <c r="BX28" s="9" t="s">
        <v>2674</v>
      </c>
      <c r="BY28" s="9" t="s">
        <v>2674</v>
      </c>
      <c r="BZ28" s="9" t="s">
        <v>2674</v>
      </c>
      <c r="CA28" s="9" t="s">
        <v>2674</v>
      </c>
      <c r="CB28" s="9" t="s">
        <v>2674</v>
      </c>
      <c r="CC28" s="9" t="s">
        <v>2674</v>
      </c>
      <c r="CD28" s="9" t="s">
        <v>2675</v>
      </c>
      <c r="CE28" s="9" t="s">
        <v>2675</v>
      </c>
      <c r="CF28" s="9" t="s">
        <v>2675</v>
      </c>
      <c r="CG28" s="9" t="s">
        <v>2675</v>
      </c>
      <c r="CH28" s="9" t="s">
        <v>2675</v>
      </c>
      <c r="CI28" s="9" t="s">
        <v>2675</v>
      </c>
      <c r="CJ28" s="9" t="s">
        <v>2675</v>
      </c>
      <c r="CK28" s="9" t="s">
        <v>2677</v>
      </c>
      <c r="CL28" s="9" t="s">
        <v>2677</v>
      </c>
      <c r="CM28" s="9" t="s">
        <v>2677</v>
      </c>
      <c r="CN28" s="9" t="s">
        <v>2677</v>
      </c>
      <c r="CO28" s="9" t="s">
        <v>2677</v>
      </c>
      <c r="CP28" s="9" t="s">
        <v>2677</v>
      </c>
      <c r="CQ28" s="9" t="s">
        <v>2677</v>
      </c>
      <c r="CR28" s="9" t="s">
        <v>2678</v>
      </c>
      <c r="CS28" s="9" t="s">
        <v>2678</v>
      </c>
      <c r="CT28" s="9" t="s">
        <v>2678</v>
      </c>
      <c r="CU28" s="9" t="s">
        <v>2678</v>
      </c>
      <c r="CV28" s="9" t="s">
        <v>2678</v>
      </c>
      <c r="CW28" s="9" t="s">
        <v>2678</v>
      </c>
      <c r="CX28" s="9" t="s">
        <v>2678</v>
      </c>
      <c r="CY28" s="9" t="s">
        <v>28</v>
      </c>
      <c r="CZ28" s="9" t="s">
        <v>2679</v>
      </c>
      <c r="DA28" s="9" t="s">
        <v>13953</v>
      </c>
      <c r="DB28" s="9" t="s">
        <v>2683</v>
      </c>
      <c r="DC28" s="9" t="s">
        <v>2683</v>
      </c>
      <c r="DD28" s="9" t="s">
        <v>2683</v>
      </c>
      <c r="DE28" s="9" t="s">
        <v>2683</v>
      </c>
      <c r="DG28" s="9" t="s">
        <v>2683</v>
      </c>
      <c r="DH28" s="9" t="s">
        <v>2683</v>
      </c>
      <c r="DI28" s="9" t="s">
        <v>2683</v>
      </c>
      <c r="DJ28" s="9" t="s">
        <v>2683</v>
      </c>
      <c r="DL28" s="9" t="s">
        <v>2683</v>
      </c>
      <c r="DN28" s="9" t="s">
        <v>2683</v>
      </c>
      <c r="DO28" s="9" t="s">
        <v>25</v>
      </c>
      <c r="DP28" s="9" t="s">
        <v>2683</v>
      </c>
      <c r="DQ28" s="9" t="s">
        <v>25</v>
      </c>
      <c r="DX28" s="9" t="s">
        <v>28</v>
      </c>
      <c r="DY28" s="9" t="s">
        <v>2679</v>
      </c>
      <c r="DZ28" s="9" t="s">
        <v>2683</v>
      </c>
      <c r="EA28" s="9" t="s">
        <v>13539</v>
      </c>
      <c r="EB28" s="9" t="s">
        <v>25</v>
      </c>
      <c r="EC28" s="9" t="s">
        <v>2683</v>
      </c>
      <c r="ED28" s="9" t="s">
        <v>13954</v>
      </c>
      <c r="EF28" s="9" t="s">
        <v>13958</v>
      </c>
      <c r="EH28" s="9" t="s">
        <v>28</v>
      </c>
      <c r="EJ28" s="9" t="s">
        <v>25</v>
      </c>
      <c r="EU28" s="9" t="s">
        <v>28</v>
      </c>
      <c r="EV28" s="9" t="s">
        <v>13556</v>
      </c>
      <c r="EX28" s="9" t="s">
        <v>25</v>
      </c>
      <c r="EZ28" s="9" t="s">
        <v>994</v>
      </c>
      <c r="FA28" s="9" t="s">
        <v>994</v>
      </c>
      <c r="FB28" s="9" t="s">
        <v>994</v>
      </c>
      <c r="FC28" s="9" t="s">
        <v>994</v>
      </c>
      <c r="FD28" s="9" t="s">
        <v>994</v>
      </c>
      <c r="FF28" s="9" t="s">
        <v>1148</v>
      </c>
      <c r="FG28" s="9" t="s">
        <v>1148</v>
      </c>
      <c r="FH28" s="9" t="s">
        <v>1148</v>
      </c>
      <c r="FI28" s="9" t="s">
        <v>1148</v>
      </c>
      <c r="FK28" s="9" t="s">
        <v>994</v>
      </c>
      <c r="FL28" s="9" t="s">
        <v>1938</v>
      </c>
      <c r="FM28" s="9" t="s">
        <v>1938</v>
      </c>
      <c r="FN28" s="9" t="s">
        <v>1938</v>
      </c>
      <c r="FO28" s="9" t="s">
        <v>1938</v>
      </c>
      <c r="FS28" s="9" t="s">
        <v>25</v>
      </c>
      <c r="FU28" s="9" t="s">
        <v>2793</v>
      </c>
      <c r="FX28" s="9" t="s">
        <v>28</v>
      </c>
      <c r="FY28" s="9" t="s">
        <v>2692</v>
      </c>
      <c r="FZ28" s="9" t="s">
        <v>25</v>
      </c>
      <c r="GB28" s="9" t="s">
        <v>612</v>
      </c>
      <c r="GC28" s="9" t="s">
        <v>2798</v>
      </c>
      <c r="GD28" s="9" t="s">
        <v>28</v>
      </c>
      <c r="GE28" s="9" t="s">
        <v>2799</v>
      </c>
      <c r="GF28" s="9" t="s">
        <v>28</v>
      </c>
      <c r="GG28" s="9" t="s">
        <v>25</v>
      </c>
      <c r="GH28" s="9" t="s">
        <v>2687</v>
      </c>
      <c r="GI28" s="9" t="s">
        <v>25</v>
      </c>
      <c r="GK28" s="9" t="s">
        <v>2695</v>
      </c>
      <c r="GM28" s="9" t="s">
        <v>13975</v>
      </c>
      <c r="GN28" s="9" t="s">
        <v>2712</v>
      </c>
      <c r="GO28" s="9" t="s">
        <v>25</v>
      </c>
      <c r="GV28" s="9" t="s">
        <v>28</v>
      </c>
      <c r="GW28" s="9" t="s">
        <v>632</v>
      </c>
      <c r="GX28" s="9" t="s">
        <v>2687</v>
      </c>
      <c r="GY28" s="9" t="s">
        <v>2700</v>
      </c>
      <c r="GZ28" s="9" t="s">
        <v>25</v>
      </c>
      <c r="HA28" s="9" t="s">
        <v>2702</v>
      </c>
      <c r="HB28" s="9" t="s">
        <v>2702</v>
      </c>
      <c r="HC28" s="9" t="s">
        <v>2702</v>
      </c>
      <c r="HD28" s="9" t="s">
        <v>25</v>
      </c>
      <c r="HE28" s="9" t="s">
        <v>25</v>
      </c>
      <c r="HG28" s="9">
        <v>4</v>
      </c>
    </row>
    <row r="29" spans="1:215" ht="63.75" x14ac:dyDescent="0.2">
      <c r="A29" s="8" t="s">
        <v>139</v>
      </c>
      <c r="B29" s="9" t="s">
        <v>28</v>
      </c>
      <c r="C29" s="9" t="s">
        <v>2746</v>
      </c>
      <c r="D29" s="9" t="s">
        <v>13533</v>
      </c>
      <c r="E29" s="9" t="s">
        <v>743</v>
      </c>
      <c r="F29" s="9" t="s">
        <v>2664</v>
      </c>
      <c r="G29" s="9" t="s">
        <v>2665</v>
      </c>
      <c r="H29" s="9" t="s">
        <v>2667</v>
      </c>
      <c r="I29" s="9" t="s">
        <v>2665</v>
      </c>
      <c r="J29" s="9" t="s">
        <v>2666</v>
      </c>
      <c r="K29" s="9" t="s">
        <v>2667</v>
      </c>
      <c r="L29" s="9" t="s">
        <v>2667</v>
      </c>
      <c r="M29" s="9" t="s">
        <v>2667</v>
      </c>
      <c r="N29" s="9" t="s">
        <v>2666</v>
      </c>
      <c r="O29" s="9" t="s">
        <v>2665</v>
      </c>
      <c r="P29" s="9" t="s">
        <v>2665</v>
      </c>
      <c r="Q29" s="9" t="s">
        <v>2667</v>
      </c>
      <c r="R29" s="9" t="s">
        <v>2667</v>
      </c>
      <c r="S29" s="9" t="s">
        <v>2665</v>
      </c>
      <c r="T29" s="9" t="s">
        <v>2666</v>
      </c>
      <c r="U29" s="9" t="s">
        <v>25</v>
      </c>
      <c r="X29" s="9" t="s">
        <v>2734</v>
      </c>
      <c r="Y29" s="10" t="s">
        <v>2705</v>
      </c>
      <c r="Z29" s="10">
        <v>120</v>
      </c>
      <c r="AA29" s="10">
        <v>160</v>
      </c>
      <c r="AB29" s="10">
        <v>160</v>
      </c>
      <c r="AC29" s="10">
        <v>160</v>
      </c>
      <c r="AD29" s="10">
        <v>200</v>
      </c>
      <c r="AE29" s="10">
        <v>200</v>
      </c>
      <c r="AF29" s="10">
        <v>200</v>
      </c>
      <c r="AG29" s="10">
        <v>200</v>
      </c>
      <c r="AH29" s="10">
        <v>200</v>
      </c>
      <c r="AI29" s="10">
        <v>200</v>
      </c>
      <c r="AJ29" s="10">
        <v>240</v>
      </c>
      <c r="AK29" s="10">
        <v>240</v>
      </c>
      <c r="AL29" s="10">
        <v>240</v>
      </c>
      <c r="AM29" s="10" t="s">
        <v>28</v>
      </c>
      <c r="AN29" s="10">
        <v>360</v>
      </c>
      <c r="AO29" s="10" t="s">
        <v>2825</v>
      </c>
      <c r="AP29" s="10" t="s">
        <v>25</v>
      </c>
      <c r="BL29" s="10" t="s">
        <v>2668</v>
      </c>
      <c r="BM29" s="10" t="s">
        <v>2673</v>
      </c>
      <c r="BP29" s="9" t="s">
        <v>28</v>
      </c>
      <c r="BQ29" s="9" t="s">
        <v>25</v>
      </c>
      <c r="BR29" s="9" t="s">
        <v>25</v>
      </c>
      <c r="BS29" s="9" t="s">
        <v>25</v>
      </c>
      <c r="BT29" s="9" t="s">
        <v>2826</v>
      </c>
      <c r="BU29" s="9" t="s">
        <v>25</v>
      </c>
      <c r="BW29" s="9" t="s">
        <v>2673</v>
      </c>
      <c r="BX29" s="9" t="s">
        <v>2673</v>
      </c>
      <c r="BY29" s="9" t="s">
        <v>2673</v>
      </c>
      <c r="BZ29" s="9" t="s">
        <v>2749</v>
      </c>
      <c r="CA29" s="9" t="s">
        <v>2749</v>
      </c>
      <c r="CB29" s="9" t="s">
        <v>2749</v>
      </c>
      <c r="CC29" s="9" t="s">
        <v>2749</v>
      </c>
      <c r="CG29" s="9" t="s">
        <v>41</v>
      </c>
      <c r="CH29" s="9" t="s">
        <v>41</v>
      </c>
      <c r="CI29" s="9" t="s">
        <v>41</v>
      </c>
      <c r="CJ29" s="9" t="s">
        <v>2675</v>
      </c>
      <c r="CK29" s="9" t="s">
        <v>2676</v>
      </c>
      <c r="CL29" s="9" t="s">
        <v>2676</v>
      </c>
      <c r="CM29" s="9" t="s">
        <v>2676</v>
      </c>
      <c r="CN29" s="9" t="s">
        <v>2676</v>
      </c>
      <c r="CO29" s="9" t="s">
        <v>2676</v>
      </c>
      <c r="CP29" s="9" t="s">
        <v>2676</v>
      </c>
      <c r="CQ29" s="9" t="s">
        <v>2676</v>
      </c>
      <c r="CR29" s="9" t="s">
        <v>2738</v>
      </c>
      <c r="CS29" s="9" t="s">
        <v>2738</v>
      </c>
      <c r="CT29" s="9" t="s">
        <v>2738</v>
      </c>
      <c r="CU29" s="9" t="s">
        <v>2717</v>
      </c>
      <c r="CV29" s="9" t="s">
        <v>2717</v>
      </c>
      <c r="CW29" s="9" t="s">
        <v>2717</v>
      </c>
      <c r="CX29" s="9" t="s">
        <v>2717</v>
      </c>
      <c r="CY29" s="9" t="s">
        <v>28</v>
      </c>
      <c r="CZ29" s="9" t="s">
        <v>2679</v>
      </c>
      <c r="DA29" s="9" t="s">
        <v>2718</v>
      </c>
      <c r="DB29" s="9" t="s">
        <v>2680</v>
      </c>
      <c r="DC29" s="9" t="s">
        <v>2680</v>
      </c>
      <c r="DD29" s="9" t="s">
        <v>2680</v>
      </c>
      <c r="DG29" s="9" t="s">
        <v>2680</v>
      </c>
      <c r="DH29" s="9" t="s">
        <v>2680</v>
      </c>
      <c r="DI29" s="9" t="s">
        <v>2680</v>
      </c>
      <c r="DL29" s="9" t="s">
        <v>2680</v>
      </c>
      <c r="DN29" s="9" t="s">
        <v>2680</v>
      </c>
      <c r="DO29" s="9" t="s">
        <v>25</v>
      </c>
      <c r="DQ29" s="9" t="s">
        <v>25</v>
      </c>
      <c r="DX29" s="9" t="s">
        <v>28</v>
      </c>
      <c r="DY29" s="9" t="s">
        <v>2679</v>
      </c>
      <c r="DZ29" s="9" t="s">
        <v>2687</v>
      </c>
      <c r="EA29" s="9" t="s">
        <v>14552</v>
      </c>
      <c r="EB29" s="9" t="s">
        <v>25</v>
      </c>
      <c r="ED29" s="9" t="s">
        <v>2823</v>
      </c>
      <c r="EF29" s="9" t="s">
        <v>13957</v>
      </c>
      <c r="EH29" s="9" t="s">
        <v>2685</v>
      </c>
      <c r="EJ29" s="9" t="s">
        <v>28</v>
      </c>
      <c r="EK29" s="9" t="s">
        <v>2679</v>
      </c>
      <c r="EL29" s="9" t="s">
        <v>2686</v>
      </c>
      <c r="EN29" s="9" t="s">
        <v>2720</v>
      </c>
      <c r="EO29" s="9" t="s">
        <v>2721</v>
      </c>
      <c r="EQ29" s="9" t="s">
        <v>2827</v>
      </c>
      <c r="ER29" s="9" t="s">
        <v>2828</v>
      </c>
      <c r="ES29" s="9" t="s">
        <v>25</v>
      </c>
      <c r="EU29" s="9" t="s">
        <v>28</v>
      </c>
      <c r="EV29" s="9" t="s">
        <v>13562</v>
      </c>
      <c r="EX29" s="9" t="s">
        <v>25</v>
      </c>
      <c r="EZ29" s="9" t="s">
        <v>1148</v>
      </c>
      <c r="FA29" s="9" t="s">
        <v>1148</v>
      </c>
      <c r="FB29" s="9" t="s">
        <v>1148</v>
      </c>
      <c r="FC29" s="9" t="s">
        <v>1148</v>
      </c>
      <c r="FD29" s="9" t="s">
        <v>1148</v>
      </c>
      <c r="FF29" s="9" t="s">
        <v>1148</v>
      </c>
      <c r="FG29" s="9" t="s">
        <v>1148</v>
      </c>
      <c r="FH29" s="9" t="s">
        <v>1148</v>
      </c>
      <c r="FI29" s="9" t="s">
        <v>1148</v>
      </c>
      <c r="FK29" s="9" t="s">
        <v>1148</v>
      </c>
      <c r="FL29" s="9" t="s">
        <v>1148</v>
      </c>
      <c r="FQ29" s="9" t="s">
        <v>2712</v>
      </c>
      <c r="FS29" s="9" t="s">
        <v>25</v>
      </c>
      <c r="FU29" s="9" t="s">
        <v>2691</v>
      </c>
      <c r="FX29" s="9" t="s">
        <v>25</v>
      </c>
      <c r="FZ29" s="9" t="s">
        <v>28</v>
      </c>
      <c r="GA29" s="9" t="s">
        <v>1148</v>
      </c>
      <c r="GB29" s="9" t="s">
        <v>2673</v>
      </c>
      <c r="GD29" s="9" t="s">
        <v>28</v>
      </c>
      <c r="GE29" s="9" t="s">
        <v>2693</v>
      </c>
      <c r="GF29" s="9" t="s">
        <v>28</v>
      </c>
      <c r="GG29" s="9" t="s">
        <v>25</v>
      </c>
      <c r="GH29" s="9" t="s">
        <v>2759</v>
      </c>
      <c r="GI29" s="9" t="s">
        <v>25</v>
      </c>
      <c r="GK29" s="9" t="s">
        <v>2695</v>
      </c>
      <c r="GM29" s="9" t="s">
        <v>13965</v>
      </c>
      <c r="GN29" s="9" t="s">
        <v>631</v>
      </c>
      <c r="GO29" s="9" t="s">
        <v>2696</v>
      </c>
      <c r="GP29" s="9" t="s">
        <v>28</v>
      </c>
      <c r="GQ29" s="9" t="s">
        <v>28</v>
      </c>
      <c r="GR29" s="9" t="s">
        <v>1148</v>
      </c>
      <c r="GS29" s="9" t="s">
        <v>1148</v>
      </c>
      <c r="GT29" s="9" t="s">
        <v>2698</v>
      </c>
      <c r="GU29" s="9" t="s">
        <v>25</v>
      </c>
      <c r="GV29" s="9" t="s">
        <v>25</v>
      </c>
      <c r="HA29" s="9" t="s">
        <v>2701</v>
      </c>
      <c r="HB29" s="9" t="s">
        <v>2701</v>
      </c>
      <c r="HC29" s="9" t="s">
        <v>2702</v>
      </c>
      <c r="HD29" s="9" t="s">
        <v>25</v>
      </c>
      <c r="HE29" s="9" t="s">
        <v>2702</v>
      </c>
      <c r="HG29" s="9">
        <v>4</v>
      </c>
    </row>
    <row r="30" spans="1:215" ht="38.25" x14ac:dyDescent="0.2">
      <c r="A30" s="8" t="s">
        <v>120</v>
      </c>
      <c r="B30" s="9" t="s">
        <v>25</v>
      </c>
      <c r="U30" s="9" t="s">
        <v>25</v>
      </c>
      <c r="X30" s="9" t="s">
        <v>2727</v>
      </c>
      <c r="Y30" s="10" t="s">
        <v>2728</v>
      </c>
      <c r="Z30" s="10">
        <v>120</v>
      </c>
      <c r="AA30" s="10">
        <v>120</v>
      </c>
      <c r="AB30" s="10">
        <v>120</v>
      </c>
      <c r="AC30" s="10">
        <v>120</v>
      </c>
      <c r="AD30" s="10">
        <v>144</v>
      </c>
      <c r="AE30" s="10">
        <v>144</v>
      </c>
      <c r="AF30" s="10">
        <v>144</v>
      </c>
      <c r="AG30" s="10">
        <v>144</v>
      </c>
      <c r="AH30" s="10">
        <v>144</v>
      </c>
      <c r="AI30" s="10">
        <v>160</v>
      </c>
      <c r="AJ30" s="10">
        <v>160</v>
      </c>
      <c r="AK30" s="10">
        <v>160</v>
      </c>
      <c r="AL30" s="10">
        <v>160</v>
      </c>
      <c r="AM30" s="10" t="s">
        <v>25</v>
      </c>
      <c r="AO30" s="10" t="s">
        <v>2729</v>
      </c>
      <c r="AP30" s="10" t="s">
        <v>25</v>
      </c>
      <c r="BL30" s="10" t="s">
        <v>2668</v>
      </c>
      <c r="BM30" s="10" t="s">
        <v>2716</v>
      </c>
      <c r="BN30" s="10">
        <v>72</v>
      </c>
      <c r="BO30" s="10">
        <v>72</v>
      </c>
      <c r="BP30" s="9" t="s">
        <v>25</v>
      </c>
      <c r="BQ30" s="9" t="s">
        <v>25</v>
      </c>
      <c r="BR30" s="9" t="s">
        <v>25</v>
      </c>
      <c r="BS30" s="9" t="s">
        <v>25</v>
      </c>
      <c r="CY30" s="9" t="s">
        <v>28</v>
      </c>
      <c r="CZ30" s="9" t="s">
        <v>2708</v>
      </c>
      <c r="DA30" s="9" t="s">
        <v>2718</v>
      </c>
      <c r="DB30" s="9" t="s">
        <v>2683</v>
      </c>
      <c r="DC30" s="9" t="s">
        <v>2683</v>
      </c>
      <c r="DD30" s="9" t="s">
        <v>2683</v>
      </c>
      <c r="DL30" s="9" t="s">
        <v>2683</v>
      </c>
      <c r="DN30" s="9" t="s">
        <v>2683</v>
      </c>
      <c r="DO30" s="9" t="s">
        <v>28</v>
      </c>
      <c r="DP30" s="9" t="s">
        <v>2683</v>
      </c>
      <c r="DQ30" s="9" t="s">
        <v>25</v>
      </c>
      <c r="DX30" s="9" t="s">
        <v>25</v>
      </c>
      <c r="EU30" s="9" t="s">
        <v>28</v>
      </c>
      <c r="EV30" s="9" t="s">
        <v>13960</v>
      </c>
      <c r="EX30" s="9" t="s">
        <v>28</v>
      </c>
      <c r="EY30" s="9" t="s">
        <v>1938</v>
      </c>
      <c r="FS30" s="9" t="s">
        <v>28</v>
      </c>
      <c r="FT30" s="9" t="s">
        <v>2712</v>
      </c>
      <c r="FU30" s="9" t="s">
        <v>2730</v>
      </c>
      <c r="FV30" s="9" t="s">
        <v>2712</v>
      </c>
      <c r="FX30" s="9" t="s">
        <v>25</v>
      </c>
      <c r="FZ30" s="9" t="s">
        <v>25</v>
      </c>
      <c r="GF30" s="9" t="s">
        <v>28</v>
      </c>
      <c r="GG30" s="9" t="s">
        <v>25</v>
      </c>
      <c r="GI30" s="9" t="s">
        <v>25</v>
      </c>
      <c r="GK30" s="9" t="s">
        <v>2695</v>
      </c>
      <c r="GL30" s="9" t="s">
        <v>2731</v>
      </c>
      <c r="GM30" s="9" t="s">
        <v>13964</v>
      </c>
      <c r="GN30" s="9" t="s">
        <v>631</v>
      </c>
      <c r="GO30" s="9" t="s">
        <v>25</v>
      </c>
      <c r="GV30" s="9" t="s">
        <v>25</v>
      </c>
      <c r="HA30" s="9" t="s">
        <v>25</v>
      </c>
      <c r="HB30" s="9" t="s">
        <v>2702</v>
      </c>
      <c r="HC30" s="9" t="s">
        <v>2702</v>
      </c>
      <c r="HD30" s="9" t="s">
        <v>25</v>
      </c>
      <c r="HE30" s="9" t="s">
        <v>25</v>
      </c>
      <c r="HF30" s="9" t="s">
        <v>2732</v>
      </c>
      <c r="HG30" s="9">
        <v>2</v>
      </c>
    </row>
    <row r="31" spans="1:215" ht="63.75" x14ac:dyDescent="0.2">
      <c r="A31" s="8" t="s">
        <v>174</v>
      </c>
      <c r="B31" s="9" t="s">
        <v>25</v>
      </c>
      <c r="U31" s="9" t="s">
        <v>25</v>
      </c>
      <c r="X31" s="9" t="s">
        <v>2773</v>
      </c>
      <c r="BL31" s="10" t="s">
        <v>2668</v>
      </c>
      <c r="BM31" s="10" t="s">
        <v>2671</v>
      </c>
      <c r="BN31" s="10">
        <v>72</v>
      </c>
      <c r="BO31" s="10">
        <v>72</v>
      </c>
      <c r="BW31" s="9" t="s">
        <v>2673</v>
      </c>
      <c r="BX31" s="9" t="s">
        <v>2673</v>
      </c>
      <c r="BY31" s="9" t="s">
        <v>2673</v>
      </c>
      <c r="BZ31" s="9" t="s">
        <v>2673</v>
      </c>
      <c r="CA31" s="9" t="s">
        <v>2673</v>
      </c>
      <c r="CB31" s="9" t="s">
        <v>2673</v>
      </c>
      <c r="CC31" s="9" t="s">
        <v>2749</v>
      </c>
      <c r="CJ31" s="9" t="s">
        <v>2675</v>
      </c>
      <c r="CK31" s="9" t="s">
        <v>2676</v>
      </c>
      <c r="CL31" s="9" t="s">
        <v>2676</v>
      </c>
      <c r="CM31" s="9" t="s">
        <v>2676</v>
      </c>
      <c r="CN31" s="9" t="s">
        <v>2676</v>
      </c>
      <c r="CO31" s="9" t="s">
        <v>2676</v>
      </c>
      <c r="CP31" s="9" t="s">
        <v>2676</v>
      </c>
      <c r="CQ31" s="9" t="s">
        <v>2676</v>
      </c>
      <c r="CX31" s="9" t="s">
        <v>2717</v>
      </c>
      <c r="CY31" s="9" t="s">
        <v>28</v>
      </c>
      <c r="CZ31" s="9" t="s">
        <v>2679</v>
      </c>
      <c r="DA31" s="9" t="s">
        <v>13953</v>
      </c>
      <c r="DB31" s="9" t="s">
        <v>2885</v>
      </c>
      <c r="DC31" s="9" t="s">
        <v>2885</v>
      </c>
      <c r="DD31" s="9" t="s">
        <v>2885</v>
      </c>
      <c r="DE31" s="9" t="s">
        <v>2885</v>
      </c>
      <c r="DG31" s="9" t="s">
        <v>2885</v>
      </c>
      <c r="DH31" s="9" t="s">
        <v>2885</v>
      </c>
      <c r="DI31" s="9" t="s">
        <v>2885</v>
      </c>
      <c r="DJ31" s="9" t="s">
        <v>2885</v>
      </c>
      <c r="DL31" s="9" t="s">
        <v>2811</v>
      </c>
      <c r="DN31" s="9" t="s">
        <v>2885</v>
      </c>
      <c r="DO31" s="9" t="s">
        <v>25</v>
      </c>
      <c r="DQ31" s="9" t="s">
        <v>25</v>
      </c>
      <c r="DX31" s="9" t="s">
        <v>28</v>
      </c>
      <c r="DY31" s="9" t="s">
        <v>2679</v>
      </c>
      <c r="DZ31" s="9" t="s">
        <v>2687</v>
      </c>
      <c r="EA31" s="9" t="s">
        <v>2750</v>
      </c>
      <c r="EB31" s="9" t="s">
        <v>25</v>
      </c>
      <c r="EC31" s="9" t="s">
        <v>2683</v>
      </c>
      <c r="ED31" s="9" t="s">
        <v>2919</v>
      </c>
      <c r="EE31" s="9" t="s">
        <v>2920</v>
      </c>
      <c r="EF31" s="9" t="s">
        <v>2921</v>
      </c>
      <c r="EH31" s="9" t="s">
        <v>25</v>
      </c>
      <c r="EJ31" s="9" t="s">
        <v>28</v>
      </c>
      <c r="EK31" s="9" t="s">
        <v>2679</v>
      </c>
      <c r="EL31" s="9" t="s">
        <v>2686</v>
      </c>
      <c r="EN31" s="9" t="s">
        <v>2719</v>
      </c>
      <c r="EO31" s="9" t="s">
        <v>2721</v>
      </c>
      <c r="EQ31" s="9" t="s">
        <v>2689</v>
      </c>
      <c r="ES31" s="9" t="s">
        <v>25</v>
      </c>
      <c r="EU31" s="9" t="s">
        <v>28</v>
      </c>
      <c r="EV31" s="9" t="s">
        <v>13579</v>
      </c>
      <c r="EX31" s="9" t="s">
        <v>28</v>
      </c>
      <c r="EY31" s="9" t="s">
        <v>994</v>
      </c>
      <c r="FS31" s="9" t="s">
        <v>25</v>
      </c>
      <c r="FT31" s="9" t="s">
        <v>1779</v>
      </c>
      <c r="FU31" s="9" t="s">
        <v>2730</v>
      </c>
      <c r="FV31" s="9" t="s">
        <v>2690</v>
      </c>
      <c r="FX31" s="9" t="s">
        <v>25</v>
      </c>
      <c r="FZ31" s="9" t="s">
        <v>28</v>
      </c>
      <c r="GA31" s="9" t="s">
        <v>2725</v>
      </c>
      <c r="GB31" s="9" t="s">
        <v>758</v>
      </c>
      <c r="GD31" s="9" t="s">
        <v>28</v>
      </c>
      <c r="GE31" s="9" t="s">
        <v>2771</v>
      </c>
      <c r="GF31" s="9" t="s">
        <v>28</v>
      </c>
      <c r="GG31" s="9" t="s">
        <v>25</v>
      </c>
      <c r="GH31" s="9" t="s">
        <v>2768</v>
      </c>
      <c r="GI31" s="9" t="s">
        <v>25</v>
      </c>
      <c r="GK31" s="9" t="s">
        <v>2695</v>
      </c>
      <c r="GM31" s="9" t="s">
        <v>13986</v>
      </c>
      <c r="GN31" s="9" t="s">
        <v>631</v>
      </c>
      <c r="GO31" s="9" t="s">
        <v>25</v>
      </c>
      <c r="GV31" s="9" t="s">
        <v>41</v>
      </c>
      <c r="HA31" s="9" t="s">
        <v>25</v>
      </c>
      <c r="HB31" s="9" t="s">
        <v>2701</v>
      </c>
      <c r="HC31" s="9" t="s">
        <v>2701</v>
      </c>
      <c r="HD31" s="9" t="s">
        <v>25</v>
      </c>
      <c r="HE31" s="9" t="s">
        <v>25</v>
      </c>
      <c r="HG31" s="9" t="s">
        <v>2765</v>
      </c>
    </row>
    <row r="32" spans="1:215" ht="51" x14ac:dyDescent="0.2">
      <c r="A32" s="8" t="s">
        <v>124</v>
      </c>
      <c r="B32" s="9" t="s">
        <v>28</v>
      </c>
      <c r="C32" s="9" t="s">
        <v>2746</v>
      </c>
      <c r="D32" s="9" t="s">
        <v>13533</v>
      </c>
      <c r="E32" s="9" t="s">
        <v>743</v>
      </c>
      <c r="F32" s="9" t="s">
        <v>2664</v>
      </c>
      <c r="G32" s="9" t="s">
        <v>2666</v>
      </c>
      <c r="H32" s="9" t="s">
        <v>2667</v>
      </c>
      <c r="I32" s="9" t="s">
        <v>2667</v>
      </c>
      <c r="J32" s="9" t="s">
        <v>2666</v>
      </c>
      <c r="K32" s="9" t="s">
        <v>2665</v>
      </c>
      <c r="L32" s="9" t="s">
        <v>2665</v>
      </c>
      <c r="M32" s="9" t="s">
        <v>2665</v>
      </c>
      <c r="N32" s="9" t="s">
        <v>2665</v>
      </c>
      <c r="O32" s="9" t="s">
        <v>2665</v>
      </c>
      <c r="P32" s="9" t="s">
        <v>2665</v>
      </c>
      <c r="Q32" s="9" t="s">
        <v>2667</v>
      </c>
      <c r="R32" s="9" t="s">
        <v>2665</v>
      </c>
      <c r="S32" s="9" t="s">
        <v>2667</v>
      </c>
      <c r="T32" s="9" t="s">
        <v>2666</v>
      </c>
      <c r="U32" s="9" t="s">
        <v>25</v>
      </c>
      <c r="X32" s="9" t="s">
        <v>2753</v>
      </c>
      <c r="Y32" s="10" t="s">
        <v>2705</v>
      </c>
      <c r="Z32" s="10">
        <v>120</v>
      </c>
      <c r="AA32" s="10">
        <v>120</v>
      </c>
      <c r="AB32" s="10">
        <v>120</v>
      </c>
      <c r="AC32" s="10">
        <v>120</v>
      </c>
      <c r="AD32" s="10">
        <v>120</v>
      </c>
      <c r="AE32" s="10">
        <v>120</v>
      </c>
      <c r="AF32" s="10">
        <v>120</v>
      </c>
      <c r="AG32" s="10">
        <v>120</v>
      </c>
      <c r="AH32" s="10">
        <v>120</v>
      </c>
      <c r="AI32" s="10">
        <v>120</v>
      </c>
      <c r="AJ32" s="10">
        <v>120</v>
      </c>
      <c r="AK32" s="10">
        <v>120</v>
      </c>
      <c r="AL32" s="10">
        <v>120</v>
      </c>
      <c r="AM32" s="10" t="s">
        <v>25</v>
      </c>
      <c r="AO32" s="10" t="s">
        <v>2761</v>
      </c>
      <c r="AP32" s="10" t="s">
        <v>25</v>
      </c>
      <c r="BL32" s="10" t="s">
        <v>2705</v>
      </c>
      <c r="BM32" s="10" t="s">
        <v>2673</v>
      </c>
      <c r="BP32" s="9" t="s">
        <v>25</v>
      </c>
      <c r="BQ32" s="9" t="s">
        <v>25</v>
      </c>
      <c r="BR32" s="9" t="s">
        <v>25</v>
      </c>
      <c r="BS32" s="9" t="s">
        <v>25</v>
      </c>
      <c r="BW32" s="9" t="s">
        <v>2673</v>
      </c>
      <c r="BX32" s="9" t="s">
        <v>2673</v>
      </c>
      <c r="BY32" s="9" t="s">
        <v>2673</v>
      </c>
      <c r="BZ32" s="9" t="s">
        <v>2673</v>
      </c>
      <c r="CA32" s="9" t="s">
        <v>2673</v>
      </c>
      <c r="CB32" s="9" t="s">
        <v>2673</v>
      </c>
      <c r="CC32" s="9" t="s">
        <v>2749</v>
      </c>
      <c r="CJ32" s="9" t="s">
        <v>2675</v>
      </c>
      <c r="CX32" s="9" t="s">
        <v>2717</v>
      </c>
      <c r="CY32" s="9" t="s">
        <v>28</v>
      </c>
      <c r="CZ32" s="9" t="s">
        <v>2679</v>
      </c>
      <c r="DA32" s="9" t="s">
        <v>13953</v>
      </c>
      <c r="DB32" s="9" t="s">
        <v>2699</v>
      </c>
      <c r="DC32" s="9" t="s">
        <v>2699</v>
      </c>
      <c r="DD32" s="9" t="s">
        <v>2699</v>
      </c>
      <c r="DE32" s="9" t="s">
        <v>2699</v>
      </c>
      <c r="DG32" s="9" t="s">
        <v>2699</v>
      </c>
      <c r="DH32" s="9" t="s">
        <v>2699</v>
      </c>
      <c r="DI32" s="9" t="s">
        <v>2699</v>
      </c>
      <c r="DJ32" s="9" t="s">
        <v>2699</v>
      </c>
      <c r="DL32" s="9" t="s">
        <v>2699</v>
      </c>
      <c r="DN32" s="9" t="s">
        <v>2699</v>
      </c>
      <c r="DO32" s="9" t="s">
        <v>28</v>
      </c>
      <c r="DP32" s="9" t="s">
        <v>2699</v>
      </c>
      <c r="DQ32" s="9" t="s">
        <v>25</v>
      </c>
      <c r="DX32" s="9" t="s">
        <v>28</v>
      </c>
      <c r="DY32" s="9" t="s">
        <v>2679</v>
      </c>
      <c r="DZ32" s="9" t="s">
        <v>2720</v>
      </c>
      <c r="EA32" s="9" t="s">
        <v>2750</v>
      </c>
      <c r="EB32" s="9" t="s">
        <v>25</v>
      </c>
      <c r="EC32" s="9" t="s">
        <v>2683</v>
      </c>
      <c r="ED32" s="9" t="s">
        <v>14555</v>
      </c>
      <c r="EF32" s="9" t="s">
        <v>13957</v>
      </c>
      <c r="EH32" s="9" t="s">
        <v>28</v>
      </c>
      <c r="EI32" s="11">
        <v>0</v>
      </c>
      <c r="EJ32" s="9" t="s">
        <v>25</v>
      </c>
      <c r="EU32" s="9" t="s">
        <v>28</v>
      </c>
      <c r="EV32" s="9" t="s">
        <v>13552</v>
      </c>
      <c r="EX32" s="9" t="s">
        <v>28</v>
      </c>
      <c r="EY32" s="9" t="s">
        <v>994</v>
      </c>
      <c r="FS32" s="9" t="s">
        <v>25</v>
      </c>
      <c r="FU32" s="9" t="s">
        <v>2691</v>
      </c>
      <c r="FX32" s="9" t="s">
        <v>28</v>
      </c>
      <c r="FY32" s="9" t="s">
        <v>2692</v>
      </c>
      <c r="FZ32" s="9" t="s">
        <v>28</v>
      </c>
      <c r="GA32" s="9" t="s">
        <v>2711</v>
      </c>
      <c r="GB32" s="9" t="s">
        <v>758</v>
      </c>
      <c r="GD32" s="9" t="s">
        <v>28</v>
      </c>
      <c r="GE32" s="9" t="s">
        <v>2693</v>
      </c>
      <c r="GF32" s="9" t="s">
        <v>28</v>
      </c>
      <c r="GG32" s="9" t="s">
        <v>25</v>
      </c>
      <c r="GH32" s="9" t="s">
        <v>2694</v>
      </c>
      <c r="GI32" s="9" t="s">
        <v>25</v>
      </c>
      <c r="GK32" s="9" t="s">
        <v>2695</v>
      </c>
      <c r="GL32" s="9" t="s">
        <v>2762</v>
      </c>
      <c r="GM32" s="9" t="s">
        <v>13968</v>
      </c>
      <c r="GN32" s="9" t="s">
        <v>631</v>
      </c>
      <c r="GO32" s="9" t="s">
        <v>2696</v>
      </c>
      <c r="GP32" s="9" t="s">
        <v>28</v>
      </c>
      <c r="GQ32" s="9" t="s">
        <v>28</v>
      </c>
      <c r="GR32" s="9" t="s">
        <v>2697</v>
      </c>
      <c r="GS32" s="9" t="s">
        <v>2697</v>
      </c>
      <c r="GT32" s="9" t="s">
        <v>2698</v>
      </c>
      <c r="GV32" s="9" t="s">
        <v>28</v>
      </c>
      <c r="GW32" s="9" t="s">
        <v>2763</v>
      </c>
      <c r="GX32" s="9" t="s">
        <v>2699</v>
      </c>
      <c r="GY32" s="9" t="s">
        <v>2764</v>
      </c>
      <c r="GZ32" s="9" t="s">
        <v>25</v>
      </c>
      <c r="HA32" s="9" t="s">
        <v>2701</v>
      </c>
      <c r="HB32" s="9" t="s">
        <v>2702</v>
      </c>
      <c r="HC32" s="9" t="s">
        <v>2702</v>
      </c>
      <c r="HD32" s="9" t="s">
        <v>25</v>
      </c>
      <c r="HE32" s="9" t="s">
        <v>2702</v>
      </c>
      <c r="HG32" s="9" t="s">
        <v>2765</v>
      </c>
    </row>
    <row r="33" spans="1:215" ht="63.75" x14ac:dyDescent="0.2">
      <c r="A33" s="8" t="s">
        <v>117</v>
      </c>
      <c r="B33" s="9" t="s">
        <v>28</v>
      </c>
      <c r="C33" s="9" t="s">
        <v>2663</v>
      </c>
      <c r="D33" s="9" t="s">
        <v>13531</v>
      </c>
      <c r="E33" s="9" t="s">
        <v>2664</v>
      </c>
      <c r="F33" s="9" t="s">
        <v>2664</v>
      </c>
      <c r="G33" s="9" t="s">
        <v>2665</v>
      </c>
      <c r="H33" s="9" t="s">
        <v>2665</v>
      </c>
      <c r="I33" s="9" t="s">
        <v>2665</v>
      </c>
      <c r="J33" s="9" t="s">
        <v>2666</v>
      </c>
      <c r="K33" s="9" t="s">
        <v>2665</v>
      </c>
      <c r="L33" s="9" t="s">
        <v>2665</v>
      </c>
      <c r="M33" s="9" t="s">
        <v>2665</v>
      </c>
      <c r="N33" s="9" t="s">
        <v>2665</v>
      </c>
      <c r="O33" s="9" t="s">
        <v>2665</v>
      </c>
      <c r="P33" s="9" t="s">
        <v>2665</v>
      </c>
      <c r="Q33" s="9" t="s">
        <v>2667</v>
      </c>
      <c r="R33" s="9" t="s">
        <v>2667</v>
      </c>
      <c r="S33" s="9" t="s">
        <v>2667</v>
      </c>
      <c r="T33" s="9" t="s">
        <v>2667</v>
      </c>
      <c r="U33" s="9" t="s">
        <v>25</v>
      </c>
      <c r="X33" s="9" t="s">
        <v>13535</v>
      </c>
      <c r="Y33" s="10" t="s">
        <v>2668</v>
      </c>
      <c r="AM33" s="10" t="s">
        <v>25</v>
      </c>
      <c r="AO33" s="10" t="s">
        <v>2669</v>
      </c>
      <c r="AP33" s="10" t="s">
        <v>2169</v>
      </c>
      <c r="AQ33" s="10">
        <v>40</v>
      </c>
      <c r="AR33" s="10" t="s">
        <v>2668</v>
      </c>
      <c r="AS33" s="10">
        <v>192</v>
      </c>
      <c r="AT33" s="10">
        <v>192</v>
      </c>
      <c r="AU33" s="10">
        <v>192</v>
      </c>
      <c r="AV33" s="10">
        <v>192</v>
      </c>
      <c r="AW33" s="10">
        <v>192</v>
      </c>
      <c r="AX33" s="10">
        <v>192</v>
      </c>
      <c r="AY33" s="10">
        <v>208</v>
      </c>
      <c r="AZ33" s="10">
        <v>208</v>
      </c>
      <c r="BA33" s="10">
        <v>216</v>
      </c>
      <c r="BB33" s="10">
        <v>224</v>
      </c>
      <c r="BC33" s="10">
        <v>232</v>
      </c>
      <c r="BD33" s="10">
        <v>232</v>
      </c>
      <c r="BE33" s="10">
        <v>232</v>
      </c>
      <c r="BF33" s="10">
        <v>232</v>
      </c>
      <c r="BG33" s="10" t="s">
        <v>25</v>
      </c>
      <c r="BI33" s="10" t="s">
        <v>2670</v>
      </c>
      <c r="BJ33" s="10" t="s">
        <v>2169</v>
      </c>
      <c r="BK33" s="10">
        <v>40</v>
      </c>
      <c r="BL33" s="10" t="s">
        <v>2668</v>
      </c>
      <c r="BM33" s="10" t="s">
        <v>2671</v>
      </c>
      <c r="BN33" s="10">
        <v>80</v>
      </c>
      <c r="BO33" s="10">
        <v>80</v>
      </c>
      <c r="BP33" s="9" t="s">
        <v>28</v>
      </c>
      <c r="BQ33" s="9" t="s">
        <v>25</v>
      </c>
      <c r="BR33" s="9" t="s">
        <v>25</v>
      </c>
      <c r="BS33" s="9" t="s">
        <v>25</v>
      </c>
      <c r="BT33" s="9" t="s">
        <v>2672</v>
      </c>
      <c r="BU33" s="9" t="s">
        <v>25</v>
      </c>
      <c r="BW33" s="9" t="s">
        <v>2673</v>
      </c>
      <c r="BX33" s="9" t="s">
        <v>2673</v>
      </c>
      <c r="BY33" s="9" t="s">
        <v>2673</v>
      </c>
      <c r="BZ33" s="9" t="s">
        <v>2673</v>
      </c>
      <c r="CA33" s="9" t="s">
        <v>2673</v>
      </c>
      <c r="CB33" s="9" t="s">
        <v>2673</v>
      </c>
      <c r="CC33" s="9" t="s">
        <v>2674</v>
      </c>
      <c r="CJ33" s="9" t="s">
        <v>2675</v>
      </c>
      <c r="CK33" s="9" t="s">
        <v>2676</v>
      </c>
      <c r="CL33" s="9" t="s">
        <v>2676</v>
      </c>
      <c r="CM33" s="9" t="s">
        <v>2676</v>
      </c>
      <c r="CN33" s="9" t="s">
        <v>2676</v>
      </c>
      <c r="CO33" s="9" t="s">
        <v>2676</v>
      </c>
      <c r="CP33" s="9" t="s">
        <v>2676</v>
      </c>
      <c r="CQ33" s="9" t="s">
        <v>2677</v>
      </c>
      <c r="CR33" s="9" t="s">
        <v>2678</v>
      </c>
      <c r="CS33" s="9" t="s">
        <v>2678</v>
      </c>
      <c r="CT33" s="9" t="s">
        <v>2678</v>
      </c>
      <c r="CU33" s="9" t="s">
        <v>2678</v>
      </c>
      <c r="CV33" s="9" t="s">
        <v>2678</v>
      </c>
      <c r="CW33" s="9" t="s">
        <v>2678</v>
      </c>
      <c r="CX33" s="9" t="s">
        <v>2678</v>
      </c>
      <c r="CY33" s="9" t="s">
        <v>28</v>
      </c>
      <c r="CZ33" s="9" t="s">
        <v>2679</v>
      </c>
      <c r="DA33" s="9" t="s">
        <v>13953</v>
      </c>
      <c r="DB33" s="9" t="s">
        <v>2680</v>
      </c>
      <c r="DC33" s="9" t="s">
        <v>2680</v>
      </c>
      <c r="DD33" s="9" t="s">
        <v>2680</v>
      </c>
      <c r="DE33" s="9" t="s">
        <v>2680</v>
      </c>
      <c r="DG33" s="9" t="s">
        <v>2680</v>
      </c>
      <c r="DH33" s="9" t="s">
        <v>2680</v>
      </c>
      <c r="DI33" s="9" t="s">
        <v>2680</v>
      </c>
      <c r="DJ33" s="9" t="s">
        <v>2680</v>
      </c>
      <c r="DL33" s="9" t="s">
        <v>2680</v>
      </c>
      <c r="DN33" s="9" t="s">
        <v>2680</v>
      </c>
      <c r="DO33" s="9" t="s">
        <v>28</v>
      </c>
      <c r="DP33" s="9" t="s">
        <v>2680</v>
      </c>
      <c r="DQ33" s="9" t="s">
        <v>25</v>
      </c>
      <c r="DX33" s="9" t="s">
        <v>28</v>
      </c>
      <c r="DY33" s="9" t="s">
        <v>2679</v>
      </c>
      <c r="DZ33" s="9" t="s">
        <v>2681</v>
      </c>
      <c r="EA33" s="9" t="s">
        <v>2682</v>
      </c>
      <c r="EB33" s="9" t="s">
        <v>28</v>
      </c>
      <c r="EC33" s="9" t="s">
        <v>2683</v>
      </c>
      <c r="ED33" s="9" t="s">
        <v>13542</v>
      </c>
      <c r="EF33" s="9" t="s">
        <v>13956</v>
      </c>
      <c r="EG33" s="9" t="s">
        <v>2684</v>
      </c>
      <c r="EH33" s="9" t="s">
        <v>2685</v>
      </c>
      <c r="EJ33" s="9" t="s">
        <v>28</v>
      </c>
      <c r="EK33" s="9" t="s">
        <v>2679</v>
      </c>
      <c r="EL33" s="9" t="s">
        <v>2686</v>
      </c>
      <c r="EN33" s="9" t="s">
        <v>2687</v>
      </c>
      <c r="EO33" s="9" t="s">
        <v>2688</v>
      </c>
      <c r="EQ33" s="9" t="s">
        <v>2689</v>
      </c>
      <c r="ES33" s="9" t="s">
        <v>28</v>
      </c>
      <c r="EU33" s="9" t="s">
        <v>28</v>
      </c>
      <c r="EV33" s="9" t="s">
        <v>13564</v>
      </c>
      <c r="EX33" s="9" t="s">
        <v>28</v>
      </c>
      <c r="EY33" s="9" t="s">
        <v>2690</v>
      </c>
      <c r="FS33" s="9" t="s">
        <v>25</v>
      </c>
      <c r="FU33" s="9" t="s">
        <v>2691</v>
      </c>
      <c r="FX33" s="9" t="s">
        <v>28</v>
      </c>
      <c r="FY33" s="9" t="s">
        <v>2692</v>
      </c>
      <c r="FZ33" s="9" t="s">
        <v>25</v>
      </c>
      <c r="GB33" s="9" t="s">
        <v>758</v>
      </c>
      <c r="GD33" s="9" t="s">
        <v>28</v>
      </c>
      <c r="GE33" s="9" t="s">
        <v>2693</v>
      </c>
      <c r="GF33" s="9" t="s">
        <v>28</v>
      </c>
      <c r="GG33" s="9" t="s">
        <v>25</v>
      </c>
      <c r="GH33" s="9" t="s">
        <v>2694</v>
      </c>
      <c r="GI33" s="9" t="s">
        <v>25</v>
      </c>
      <c r="GK33" s="9" t="s">
        <v>2695</v>
      </c>
      <c r="GM33" s="9" t="s">
        <v>13963</v>
      </c>
      <c r="GN33" s="9" t="s">
        <v>631</v>
      </c>
      <c r="GO33" s="9" t="s">
        <v>2696</v>
      </c>
      <c r="GP33" s="9" t="s">
        <v>28</v>
      </c>
      <c r="GQ33" s="9" t="s">
        <v>28</v>
      </c>
      <c r="GR33" s="9" t="s">
        <v>2697</v>
      </c>
      <c r="GS33" s="9" t="s">
        <v>2697</v>
      </c>
      <c r="GT33" s="9" t="s">
        <v>2698</v>
      </c>
      <c r="GU33" s="9" t="s">
        <v>28</v>
      </c>
      <c r="GV33" s="9" t="s">
        <v>28</v>
      </c>
      <c r="GW33" s="9" t="s">
        <v>632</v>
      </c>
      <c r="GX33" s="9" t="s">
        <v>2699</v>
      </c>
      <c r="GY33" s="9" t="s">
        <v>2700</v>
      </c>
      <c r="GZ33" s="9" t="s">
        <v>28</v>
      </c>
      <c r="HA33" s="9" t="s">
        <v>2701</v>
      </c>
      <c r="HB33" s="9" t="s">
        <v>2702</v>
      </c>
      <c r="HC33" s="9" t="s">
        <v>2702</v>
      </c>
      <c r="HD33" s="9" t="s">
        <v>25</v>
      </c>
      <c r="HE33" s="9" t="s">
        <v>2702</v>
      </c>
      <c r="HF33" s="9" t="s">
        <v>2703</v>
      </c>
      <c r="HG33" s="9">
        <v>4</v>
      </c>
    </row>
    <row r="34" spans="1:215" ht="63.75" x14ac:dyDescent="0.2">
      <c r="A34" s="8" t="s">
        <v>168</v>
      </c>
      <c r="B34" s="9" t="s">
        <v>25</v>
      </c>
      <c r="U34" s="9" t="s">
        <v>25</v>
      </c>
      <c r="X34" s="9" t="s">
        <v>2727</v>
      </c>
      <c r="Y34" s="10" t="s">
        <v>2668</v>
      </c>
      <c r="Z34" s="10">
        <v>120</v>
      </c>
      <c r="AA34" s="10">
        <v>120</v>
      </c>
      <c r="AB34" s="10">
        <v>120</v>
      </c>
      <c r="AC34" s="10">
        <v>120</v>
      </c>
      <c r="AD34" s="10">
        <v>120</v>
      </c>
      <c r="AE34" s="10">
        <v>120</v>
      </c>
      <c r="AF34" s="10">
        <v>120</v>
      </c>
      <c r="AG34" s="10">
        <v>120</v>
      </c>
      <c r="AH34" s="10">
        <v>120</v>
      </c>
      <c r="AI34" s="10">
        <v>120</v>
      </c>
      <c r="AJ34" s="10">
        <v>120</v>
      </c>
      <c r="AK34" s="10">
        <v>120</v>
      </c>
      <c r="AL34" s="10">
        <v>120</v>
      </c>
      <c r="AM34" s="10" t="s">
        <v>25</v>
      </c>
      <c r="AO34" s="10" t="s">
        <v>2902</v>
      </c>
      <c r="AP34" s="10" t="s">
        <v>2169</v>
      </c>
      <c r="AQ34" s="10">
        <v>40</v>
      </c>
      <c r="AR34" s="10" t="s">
        <v>2668</v>
      </c>
      <c r="AS34" s="10">
        <v>120</v>
      </c>
      <c r="AT34" s="10">
        <v>120</v>
      </c>
      <c r="AU34" s="10">
        <v>120</v>
      </c>
      <c r="AV34" s="10">
        <v>120</v>
      </c>
      <c r="AW34" s="10">
        <v>120</v>
      </c>
      <c r="AX34" s="10">
        <v>120</v>
      </c>
      <c r="AY34" s="10">
        <v>120</v>
      </c>
      <c r="AZ34" s="10">
        <v>120</v>
      </c>
      <c r="BA34" s="10">
        <v>120</v>
      </c>
      <c r="BB34" s="10">
        <v>120</v>
      </c>
      <c r="BC34" s="10">
        <v>120</v>
      </c>
      <c r="BD34" s="10">
        <v>120</v>
      </c>
      <c r="BE34" s="10">
        <v>120</v>
      </c>
      <c r="BF34" s="10">
        <v>120</v>
      </c>
      <c r="BG34" s="10" t="s">
        <v>25</v>
      </c>
      <c r="BI34" s="10" t="s">
        <v>2903</v>
      </c>
      <c r="BJ34" s="10" t="s">
        <v>2169</v>
      </c>
      <c r="BK34" s="10">
        <v>40</v>
      </c>
      <c r="BL34" s="10" t="s">
        <v>2668</v>
      </c>
      <c r="BM34" s="10" t="s">
        <v>2671</v>
      </c>
      <c r="BN34" s="10">
        <v>80</v>
      </c>
      <c r="BO34" s="10">
        <v>80</v>
      </c>
      <c r="BP34" s="9" t="s">
        <v>25</v>
      </c>
      <c r="BQ34" s="9" t="s">
        <v>25</v>
      </c>
      <c r="BR34" s="9" t="s">
        <v>25</v>
      </c>
      <c r="BS34" s="9" t="s">
        <v>25</v>
      </c>
      <c r="BW34" s="9" t="s">
        <v>2674</v>
      </c>
      <c r="BX34" s="9" t="s">
        <v>2674</v>
      </c>
      <c r="BY34" s="9" t="s">
        <v>2674</v>
      </c>
      <c r="BZ34" s="9" t="s">
        <v>2674</v>
      </c>
      <c r="CA34" s="9" t="s">
        <v>2674</v>
      </c>
      <c r="CB34" s="9" t="s">
        <v>2674</v>
      </c>
      <c r="CC34" s="9" t="s">
        <v>2674</v>
      </c>
      <c r="CD34" s="9" t="s">
        <v>41</v>
      </c>
      <c r="CE34" s="9" t="s">
        <v>41</v>
      </c>
      <c r="CF34" s="9" t="s">
        <v>41</v>
      </c>
      <c r="CG34" s="9" t="s">
        <v>41</v>
      </c>
      <c r="CH34" s="9" t="s">
        <v>41</v>
      </c>
      <c r="CI34" s="9" t="s">
        <v>41</v>
      </c>
      <c r="CJ34" s="9" t="s">
        <v>2675</v>
      </c>
      <c r="CK34" s="9" t="s">
        <v>2676</v>
      </c>
      <c r="CL34" s="9" t="s">
        <v>2676</v>
      </c>
      <c r="CM34" s="9" t="s">
        <v>2676</v>
      </c>
      <c r="CN34" s="9" t="s">
        <v>2676</v>
      </c>
      <c r="CO34" s="9" t="s">
        <v>2676</v>
      </c>
      <c r="CP34" s="9" t="s">
        <v>2676</v>
      </c>
      <c r="CQ34" s="9" t="s">
        <v>2676</v>
      </c>
      <c r="CR34" s="9" t="s">
        <v>2717</v>
      </c>
      <c r="CS34" s="9" t="s">
        <v>2717</v>
      </c>
      <c r="CT34" s="9" t="s">
        <v>2717</v>
      </c>
      <c r="CU34" s="9" t="s">
        <v>2717</v>
      </c>
      <c r="CV34" s="9" t="s">
        <v>2717</v>
      </c>
      <c r="CW34" s="9" t="s">
        <v>2717</v>
      </c>
      <c r="CX34" s="9" t="s">
        <v>2717</v>
      </c>
      <c r="CY34" s="9" t="s">
        <v>28</v>
      </c>
      <c r="CZ34" s="9" t="s">
        <v>2679</v>
      </c>
      <c r="DA34" s="9" t="s">
        <v>2718</v>
      </c>
      <c r="DB34" s="9" t="s">
        <v>2885</v>
      </c>
      <c r="DC34" s="9" t="s">
        <v>2885</v>
      </c>
      <c r="DD34" s="9" t="s">
        <v>2885</v>
      </c>
      <c r="DE34" s="9" t="s">
        <v>2885</v>
      </c>
      <c r="DG34" s="9" t="s">
        <v>2885</v>
      </c>
      <c r="DH34" s="9" t="s">
        <v>2885</v>
      </c>
      <c r="DI34" s="9" t="s">
        <v>2885</v>
      </c>
      <c r="DL34" s="9" t="s">
        <v>2811</v>
      </c>
      <c r="DN34" s="9" t="s">
        <v>2885</v>
      </c>
      <c r="DO34" s="9" t="s">
        <v>28</v>
      </c>
      <c r="DP34" s="9" t="s">
        <v>2885</v>
      </c>
      <c r="DQ34" s="9" t="s">
        <v>25</v>
      </c>
      <c r="DX34" s="9" t="s">
        <v>25</v>
      </c>
      <c r="EJ34" s="9" t="s">
        <v>28</v>
      </c>
      <c r="EK34" s="9" t="s">
        <v>2679</v>
      </c>
      <c r="EL34" s="9" t="s">
        <v>2686</v>
      </c>
      <c r="EN34" s="9" t="s">
        <v>2699</v>
      </c>
      <c r="EO34" s="9" t="s">
        <v>29</v>
      </c>
      <c r="EP34" s="9" t="s">
        <v>2904</v>
      </c>
      <c r="EQ34" s="9" t="s">
        <v>2689</v>
      </c>
      <c r="ES34" s="9" t="s">
        <v>28</v>
      </c>
      <c r="ET34" s="9" t="s">
        <v>2699</v>
      </c>
      <c r="EU34" s="9" t="s">
        <v>28</v>
      </c>
      <c r="EV34" s="9" t="s">
        <v>13557</v>
      </c>
      <c r="EX34" s="9" t="s">
        <v>28</v>
      </c>
      <c r="EY34" s="9" t="s">
        <v>994</v>
      </c>
      <c r="FS34" s="9" t="s">
        <v>25</v>
      </c>
      <c r="FU34" s="9" t="s">
        <v>2730</v>
      </c>
      <c r="FV34" s="9" t="s">
        <v>994</v>
      </c>
      <c r="FX34" s="9" t="s">
        <v>28</v>
      </c>
      <c r="FZ34" s="9" t="s">
        <v>28</v>
      </c>
      <c r="GA34" s="9" t="s">
        <v>1148</v>
      </c>
      <c r="GB34" s="9" t="s">
        <v>612</v>
      </c>
      <c r="GC34" s="9" t="s">
        <v>2905</v>
      </c>
      <c r="GD34" s="9" t="s">
        <v>28</v>
      </c>
      <c r="GE34" s="9" t="s">
        <v>2693</v>
      </c>
      <c r="GF34" s="9" t="s">
        <v>28</v>
      </c>
      <c r="GG34" s="9" t="s">
        <v>25</v>
      </c>
      <c r="GH34" s="9" t="s">
        <v>2683</v>
      </c>
      <c r="GI34" s="9" t="s">
        <v>25</v>
      </c>
      <c r="GK34" s="9" t="s">
        <v>2695</v>
      </c>
      <c r="GM34" s="9" t="s">
        <v>13984</v>
      </c>
      <c r="GN34" s="9" t="s">
        <v>631</v>
      </c>
      <c r="GO34" s="9" t="s">
        <v>2696</v>
      </c>
      <c r="GP34" s="9" t="s">
        <v>25</v>
      </c>
      <c r="GQ34" s="9" t="s">
        <v>25</v>
      </c>
      <c r="GT34" s="9" t="s">
        <v>2698</v>
      </c>
      <c r="GU34" s="9" t="s">
        <v>28</v>
      </c>
      <c r="GV34" s="9" t="s">
        <v>41</v>
      </c>
      <c r="HA34" s="9" t="s">
        <v>2702</v>
      </c>
      <c r="HB34" s="9" t="s">
        <v>2702</v>
      </c>
      <c r="HC34" s="9" t="s">
        <v>2702</v>
      </c>
      <c r="HD34" s="9" t="s">
        <v>25</v>
      </c>
      <c r="HE34" s="9" t="s">
        <v>25</v>
      </c>
      <c r="HG34" s="9">
        <v>4</v>
      </c>
    </row>
    <row r="35" spans="1:215" ht="63.75" x14ac:dyDescent="0.2">
      <c r="A35" s="8" t="s">
        <v>143</v>
      </c>
      <c r="B35" s="9" t="s">
        <v>28</v>
      </c>
      <c r="C35" s="9" t="s">
        <v>2746</v>
      </c>
      <c r="D35" s="9" t="s">
        <v>2733</v>
      </c>
      <c r="E35" s="9" t="s">
        <v>2748</v>
      </c>
      <c r="F35" s="9" t="s">
        <v>2664</v>
      </c>
      <c r="G35" s="9" t="s">
        <v>2665</v>
      </c>
      <c r="H35" s="9" t="s">
        <v>2666</v>
      </c>
      <c r="I35" s="9" t="s">
        <v>2666</v>
      </c>
      <c r="J35" s="9" t="s">
        <v>2666</v>
      </c>
      <c r="K35" s="9" t="s">
        <v>2667</v>
      </c>
      <c r="L35" s="9" t="s">
        <v>2667</v>
      </c>
      <c r="M35" s="9" t="s">
        <v>2667</v>
      </c>
      <c r="N35" s="9" t="s">
        <v>2666</v>
      </c>
      <c r="O35" s="9" t="s">
        <v>2665</v>
      </c>
      <c r="Q35" s="9" t="s">
        <v>2665</v>
      </c>
      <c r="R35" s="9" t="s">
        <v>2667</v>
      </c>
      <c r="S35" s="9" t="s">
        <v>2667</v>
      </c>
      <c r="T35" s="9" t="s">
        <v>2666</v>
      </c>
      <c r="U35" s="9" t="s">
        <v>25</v>
      </c>
      <c r="X35" s="9" t="s">
        <v>2704</v>
      </c>
      <c r="AR35" s="10" t="s">
        <v>2705</v>
      </c>
      <c r="AS35" s="10">
        <v>120</v>
      </c>
      <c r="AT35" s="10">
        <v>120</v>
      </c>
      <c r="AU35" s="10">
        <v>120</v>
      </c>
      <c r="AV35" s="10">
        <v>120</v>
      </c>
      <c r="AW35" s="10">
        <v>160</v>
      </c>
      <c r="AX35" s="10">
        <v>160</v>
      </c>
      <c r="AY35" s="10">
        <v>160</v>
      </c>
      <c r="AZ35" s="10">
        <v>160</v>
      </c>
      <c r="BA35" s="10">
        <v>160</v>
      </c>
      <c r="BB35" s="10">
        <v>160</v>
      </c>
      <c r="BC35" s="10">
        <v>200</v>
      </c>
      <c r="BD35" s="10">
        <v>240</v>
      </c>
      <c r="BE35" s="10">
        <v>240</v>
      </c>
      <c r="BF35" s="10">
        <v>240</v>
      </c>
      <c r="BG35" s="10" t="s">
        <v>25</v>
      </c>
      <c r="BJ35" s="10" t="s">
        <v>2169</v>
      </c>
      <c r="BK35" s="10">
        <v>80</v>
      </c>
      <c r="BL35" s="10" t="s">
        <v>2668</v>
      </c>
      <c r="BP35" s="9" t="s">
        <v>2806</v>
      </c>
      <c r="BQ35" s="9" t="s">
        <v>25</v>
      </c>
      <c r="BR35" s="9" t="s">
        <v>25</v>
      </c>
      <c r="BS35" s="9" t="s">
        <v>25</v>
      </c>
      <c r="BT35" s="9" t="s">
        <v>2806</v>
      </c>
      <c r="BW35" s="9" t="s">
        <v>2673</v>
      </c>
      <c r="BX35" s="9" t="s">
        <v>2673</v>
      </c>
      <c r="BY35" s="9" t="s">
        <v>2673</v>
      </c>
      <c r="BZ35" s="9" t="s">
        <v>2674</v>
      </c>
      <c r="CA35" s="9" t="s">
        <v>2674</v>
      </c>
      <c r="CB35" s="9" t="s">
        <v>2674</v>
      </c>
      <c r="CC35" s="9" t="s">
        <v>2674</v>
      </c>
      <c r="CG35" s="9" t="s">
        <v>2675</v>
      </c>
      <c r="CH35" s="9" t="s">
        <v>2675</v>
      </c>
      <c r="CI35" s="9" t="s">
        <v>2675</v>
      </c>
      <c r="CJ35" s="9" t="s">
        <v>2675</v>
      </c>
      <c r="CN35" s="9" t="s">
        <v>2677</v>
      </c>
      <c r="CO35" s="9" t="s">
        <v>2677</v>
      </c>
      <c r="CP35" s="9" t="s">
        <v>2677</v>
      </c>
      <c r="CQ35" s="9" t="s">
        <v>2677</v>
      </c>
      <c r="CU35" s="9" t="s">
        <v>2678</v>
      </c>
      <c r="CV35" s="9" t="s">
        <v>2678</v>
      </c>
      <c r="CW35" s="9" t="s">
        <v>2678</v>
      </c>
      <c r="CX35" s="9" t="s">
        <v>2678</v>
      </c>
      <c r="CY35" s="9" t="s">
        <v>28</v>
      </c>
      <c r="CZ35" s="9" t="s">
        <v>2679</v>
      </c>
      <c r="DA35" s="9" t="s">
        <v>13953</v>
      </c>
      <c r="DB35" s="9" t="s">
        <v>2759</v>
      </c>
      <c r="DC35" s="9" t="s">
        <v>2680</v>
      </c>
      <c r="DD35" s="9" t="s">
        <v>2680</v>
      </c>
      <c r="DE35" s="9" t="s">
        <v>2680</v>
      </c>
      <c r="DG35" s="9" t="s">
        <v>2680</v>
      </c>
      <c r="DH35" s="9" t="s">
        <v>2680</v>
      </c>
      <c r="DI35" s="9" t="s">
        <v>2680</v>
      </c>
      <c r="DJ35" s="9" t="s">
        <v>2680</v>
      </c>
      <c r="DL35" s="9" t="s">
        <v>2680</v>
      </c>
      <c r="DN35" s="9" t="s">
        <v>2680</v>
      </c>
      <c r="DO35" s="9" t="s">
        <v>28</v>
      </c>
      <c r="DQ35" s="9" t="s">
        <v>25</v>
      </c>
      <c r="DX35" s="9" t="s">
        <v>25</v>
      </c>
      <c r="EJ35" s="9" t="s">
        <v>25</v>
      </c>
      <c r="EU35" s="9" t="s">
        <v>28</v>
      </c>
      <c r="EV35" s="9" t="s">
        <v>13565</v>
      </c>
      <c r="EX35" s="9" t="s">
        <v>25</v>
      </c>
      <c r="EZ35" s="9" t="s">
        <v>1779</v>
      </c>
      <c r="FA35" s="9" t="s">
        <v>1779</v>
      </c>
      <c r="FB35" s="9" t="s">
        <v>1779</v>
      </c>
      <c r="FC35" s="9" t="s">
        <v>1779</v>
      </c>
      <c r="FD35" s="9" t="s">
        <v>1779</v>
      </c>
      <c r="FE35" s="9" t="s">
        <v>1779</v>
      </c>
      <c r="FF35" s="9" t="s">
        <v>1779</v>
      </c>
      <c r="FG35" s="9" t="s">
        <v>1779</v>
      </c>
      <c r="FH35" s="9" t="s">
        <v>1779</v>
      </c>
      <c r="FI35" s="9" t="s">
        <v>1779</v>
      </c>
      <c r="FJ35" s="9" t="s">
        <v>1713</v>
      </c>
      <c r="FK35" s="9" t="s">
        <v>1779</v>
      </c>
      <c r="FL35" s="9" t="s">
        <v>1779</v>
      </c>
      <c r="FM35" s="9" t="s">
        <v>1713</v>
      </c>
      <c r="FN35" s="9" t="s">
        <v>1713</v>
      </c>
      <c r="FO35" s="9" t="s">
        <v>1713</v>
      </c>
      <c r="FP35" s="9" t="s">
        <v>1713</v>
      </c>
      <c r="FS35" s="9" t="s">
        <v>25</v>
      </c>
      <c r="FU35" s="9" t="s">
        <v>2730</v>
      </c>
      <c r="FV35" s="9" t="s">
        <v>2690</v>
      </c>
      <c r="FX35" s="9" t="s">
        <v>25</v>
      </c>
      <c r="FZ35" s="9" t="s">
        <v>25</v>
      </c>
      <c r="GB35" s="9" t="s">
        <v>693</v>
      </c>
      <c r="GD35" s="9" t="s">
        <v>28</v>
      </c>
      <c r="GE35" s="9" t="s">
        <v>2693</v>
      </c>
      <c r="GF35" s="9" t="s">
        <v>28</v>
      </c>
      <c r="GG35" s="9" t="s">
        <v>25</v>
      </c>
      <c r="GH35" s="9" t="s">
        <v>2759</v>
      </c>
      <c r="GI35" s="9" t="s">
        <v>25</v>
      </c>
      <c r="GK35" s="9" t="s">
        <v>2695</v>
      </c>
      <c r="GM35" s="9" t="s">
        <v>13974</v>
      </c>
      <c r="GN35" s="9" t="s">
        <v>1938</v>
      </c>
      <c r="GO35" s="9" t="s">
        <v>2696</v>
      </c>
      <c r="GP35" s="9" t="s">
        <v>28</v>
      </c>
      <c r="GQ35" s="9" t="s">
        <v>28</v>
      </c>
      <c r="GR35" s="9" t="s">
        <v>2697</v>
      </c>
      <c r="GS35" s="9" t="s">
        <v>2697</v>
      </c>
      <c r="GT35" s="9" t="s">
        <v>2715</v>
      </c>
      <c r="GU35" s="9" t="s">
        <v>28</v>
      </c>
      <c r="GV35" s="9" t="s">
        <v>25</v>
      </c>
      <c r="HA35" s="9" t="s">
        <v>2702</v>
      </c>
      <c r="HB35" s="9" t="s">
        <v>2702</v>
      </c>
      <c r="HC35" s="9" t="s">
        <v>2702</v>
      </c>
      <c r="HD35" s="9" t="s">
        <v>25</v>
      </c>
      <c r="HE35" s="9" t="s">
        <v>2701</v>
      </c>
      <c r="HG35" s="9">
        <v>4</v>
      </c>
    </row>
    <row r="36" spans="1:215" ht="63.75" x14ac:dyDescent="0.2">
      <c r="A36" s="8" t="s">
        <v>180</v>
      </c>
      <c r="B36" s="9" t="s">
        <v>25</v>
      </c>
      <c r="U36" s="9" t="s">
        <v>25</v>
      </c>
      <c r="X36" s="9" t="s">
        <v>2753</v>
      </c>
      <c r="Y36" s="10" t="s">
        <v>2668</v>
      </c>
      <c r="Z36" s="25">
        <v>160</v>
      </c>
      <c r="AA36" s="25">
        <v>160</v>
      </c>
      <c r="AB36" s="25">
        <v>176</v>
      </c>
      <c r="AC36" s="25">
        <v>184</v>
      </c>
      <c r="AD36" s="25">
        <v>200</v>
      </c>
      <c r="AE36" s="25">
        <v>200</v>
      </c>
      <c r="AF36" s="25">
        <v>200</v>
      </c>
      <c r="AG36" s="25">
        <v>200</v>
      </c>
      <c r="AH36" s="25">
        <v>200</v>
      </c>
      <c r="AI36" s="25">
        <v>200</v>
      </c>
      <c r="AJ36" s="25">
        <v>200</v>
      </c>
      <c r="AK36" s="25">
        <v>200</v>
      </c>
      <c r="AL36" s="25">
        <v>200</v>
      </c>
      <c r="AM36" s="10" t="s">
        <v>28</v>
      </c>
      <c r="AN36" s="10">
        <v>240</v>
      </c>
      <c r="AO36" s="10" t="s">
        <v>2936</v>
      </c>
      <c r="AP36" s="10" t="s">
        <v>2169</v>
      </c>
      <c r="AQ36" s="10">
        <v>40</v>
      </c>
      <c r="BL36" s="10" t="s">
        <v>2668</v>
      </c>
      <c r="BM36" s="10" t="s">
        <v>2716</v>
      </c>
      <c r="BN36" s="10">
        <v>80</v>
      </c>
      <c r="BO36" s="10">
        <v>80</v>
      </c>
      <c r="BP36" s="9" t="s">
        <v>25</v>
      </c>
      <c r="BQ36" s="9" t="s">
        <v>25</v>
      </c>
      <c r="BR36" s="9" t="s">
        <v>25</v>
      </c>
      <c r="BS36" s="9" t="s">
        <v>25</v>
      </c>
      <c r="BW36" s="9" t="s">
        <v>2673</v>
      </c>
      <c r="BX36" s="9" t="s">
        <v>2673</v>
      </c>
      <c r="BY36" s="9" t="s">
        <v>2673</v>
      </c>
      <c r="BZ36" s="9" t="s">
        <v>2673</v>
      </c>
      <c r="CA36" s="9" t="s">
        <v>2673</v>
      </c>
      <c r="CB36" s="9" t="s">
        <v>2673</v>
      </c>
      <c r="CC36" s="9" t="s">
        <v>2749</v>
      </c>
      <c r="CJ36" s="9" t="s">
        <v>2675</v>
      </c>
      <c r="CK36" s="9" t="s">
        <v>2737</v>
      </c>
      <c r="CL36" s="9" t="s">
        <v>2737</v>
      </c>
      <c r="CM36" s="9" t="s">
        <v>2737</v>
      </c>
      <c r="CN36" s="9" t="s">
        <v>2737</v>
      </c>
      <c r="CO36" s="9" t="s">
        <v>2737</v>
      </c>
      <c r="CP36" s="9" t="s">
        <v>2737</v>
      </c>
      <c r="CQ36" s="9" t="s">
        <v>2737</v>
      </c>
      <c r="CR36" s="9" t="s">
        <v>2717</v>
      </c>
      <c r="CS36" s="9" t="s">
        <v>2717</v>
      </c>
      <c r="CT36" s="9" t="s">
        <v>2717</v>
      </c>
      <c r="CU36" s="9" t="s">
        <v>2717</v>
      </c>
      <c r="CV36" s="9" t="s">
        <v>2717</v>
      </c>
      <c r="CW36" s="9" t="s">
        <v>2717</v>
      </c>
      <c r="CX36" s="9" t="s">
        <v>2717</v>
      </c>
      <c r="CY36" s="9" t="s">
        <v>28</v>
      </c>
      <c r="CZ36" s="9" t="s">
        <v>2679</v>
      </c>
      <c r="DA36" s="9" t="s">
        <v>13953</v>
      </c>
      <c r="DB36" s="9" t="s">
        <v>2680</v>
      </c>
      <c r="DC36" s="9" t="s">
        <v>2680</v>
      </c>
      <c r="DD36" s="9" t="s">
        <v>2680</v>
      </c>
      <c r="DE36" s="9" t="s">
        <v>2680</v>
      </c>
      <c r="DG36" s="9" t="s">
        <v>2680</v>
      </c>
      <c r="DH36" s="9" t="s">
        <v>2680</v>
      </c>
      <c r="DI36" s="9" t="s">
        <v>2680</v>
      </c>
      <c r="DJ36" s="9" t="s">
        <v>2680</v>
      </c>
      <c r="DL36" s="9" t="s">
        <v>2680</v>
      </c>
      <c r="DN36" s="9" t="s">
        <v>2680</v>
      </c>
      <c r="DO36" s="9" t="s">
        <v>28</v>
      </c>
      <c r="DP36" s="9" t="s">
        <v>2937</v>
      </c>
      <c r="DQ36" s="9" t="s">
        <v>25</v>
      </c>
      <c r="DX36" s="9" t="s">
        <v>28</v>
      </c>
      <c r="DY36" s="9" t="s">
        <v>2679</v>
      </c>
      <c r="DZ36" s="9" t="s">
        <v>2683</v>
      </c>
      <c r="EA36" s="9" t="s">
        <v>2682</v>
      </c>
      <c r="EB36" s="9" t="s">
        <v>28</v>
      </c>
      <c r="EC36" s="9" t="s">
        <v>2683</v>
      </c>
      <c r="ED36" s="9" t="s">
        <v>631</v>
      </c>
      <c r="EF36" s="9" t="s">
        <v>13957</v>
      </c>
      <c r="EH36" s="9" t="s">
        <v>25</v>
      </c>
      <c r="EJ36" s="9" t="s">
        <v>28</v>
      </c>
      <c r="EK36" s="9" t="s">
        <v>2679</v>
      </c>
      <c r="EL36" s="9" t="s">
        <v>2686</v>
      </c>
      <c r="EN36" s="9" t="s">
        <v>2720</v>
      </c>
      <c r="EO36" s="9" t="s">
        <v>2688</v>
      </c>
      <c r="EQ36" s="9" t="s">
        <v>2925</v>
      </c>
      <c r="ES36" s="9" t="s">
        <v>28</v>
      </c>
      <c r="ET36" s="9" t="s">
        <v>2720</v>
      </c>
      <c r="EU36" s="9" t="s">
        <v>28</v>
      </c>
      <c r="EV36" s="9" t="s">
        <v>13580</v>
      </c>
      <c r="EX36" s="9" t="s">
        <v>25</v>
      </c>
      <c r="EZ36" s="9" t="s">
        <v>994</v>
      </c>
      <c r="FA36" s="9" t="s">
        <v>994</v>
      </c>
      <c r="FB36" s="9" t="s">
        <v>994</v>
      </c>
      <c r="FC36" s="9" t="s">
        <v>994</v>
      </c>
      <c r="FD36" s="9" t="s">
        <v>994</v>
      </c>
      <c r="FE36" s="9" t="s">
        <v>994</v>
      </c>
      <c r="FF36" s="9" t="s">
        <v>994</v>
      </c>
      <c r="FG36" s="9" t="s">
        <v>994</v>
      </c>
      <c r="FH36" s="9" t="s">
        <v>994</v>
      </c>
      <c r="FI36" s="9" t="s">
        <v>994</v>
      </c>
      <c r="FJ36" s="9" t="s">
        <v>994</v>
      </c>
      <c r="FK36" s="9" t="s">
        <v>994</v>
      </c>
      <c r="FL36" s="9" t="s">
        <v>994</v>
      </c>
      <c r="FM36" s="9" t="s">
        <v>1938</v>
      </c>
      <c r="FN36" s="9" t="s">
        <v>1938</v>
      </c>
      <c r="FO36" s="9" t="s">
        <v>1938</v>
      </c>
      <c r="FP36" s="9" t="s">
        <v>1938</v>
      </c>
      <c r="FQ36" s="9" t="s">
        <v>1938</v>
      </c>
      <c r="FS36" s="9" t="s">
        <v>25</v>
      </c>
      <c r="FU36" s="9" t="s">
        <v>2730</v>
      </c>
      <c r="FV36" s="9" t="s">
        <v>994</v>
      </c>
      <c r="FX36" s="9" t="s">
        <v>25</v>
      </c>
      <c r="FZ36" s="9" t="s">
        <v>25</v>
      </c>
      <c r="GB36" s="9" t="s">
        <v>758</v>
      </c>
      <c r="GD36" s="9" t="s">
        <v>28</v>
      </c>
      <c r="GE36" s="9" t="s">
        <v>2693</v>
      </c>
      <c r="GF36" s="9" t="s">
        <v>28</v>
      </c>
      <c r="GG36" s="9" t="s">
        <v>25</v>
      </c>
      <c r="GH36" s="9" t="s">
        <v>2694</v>
      </c>
      <c r="GI36" s="9" t="s">
        <v>25</v>
      </c>
      <c r="GK36" s="9" t="s">
        <v>2695</v>
      </c>
      <c r="GL36" s="9" t="s">
        <v>2938</v>
      </c>
      <c r="GM36" s="9" t="s">
        <v>13968</v>
      </c>
      <c r="GN36" s="9" t="s">
        <v>631</v>
      </c>
      <c r="GO36" s="9" t="s">
        <v>25</v>
      </c>
      <c r="GV36" s="9" t="s">
        <v>41</v>
      </c>
      <c r="HA36" s="9" t="s">
        <v>2701</v>
      </c>
      <c r="HB36" s="9" t="s">
        <v>2701</v>
      </c>
      <c r="HC36" s="9" t="s">
        <v>2701</v>
      </c>
      <c r="HD36" s="9" t="s">
        <v>2701</v>
      </c>
      <c r="HE36" s="9" t="s">
        <v>2701</v>
      </c>
      <c r="HG36" s="9" t="s">
        <v>2765</v>
      </c>
    </row>
    <row r="37" spans="1:215" ht="63.75" x14ac:dyDescent="0.2">
      <c r="A37" s="8" t="s">
        <v>158</v>
      </c>
      <c r="B37" s="9" t="s">
        <v>28</v>
      </c>
      <c r="C37" s="9" t="s">
        <v>2784</v>
      </c>
      <c r="D37" s="9" t="s">
        <v>13533</v>
      </c>
      <c r="E37" s="9" t="s">
        <v>2748</v>
      </c>
      <c r="F37" s="9" t="s">
        <v>743</v>
      </c>
      <c r="G37" s="9" t="s">
        <v>2665</v>
      </c>
      <c r="H37" s="9" t="s">
        <v>2665</v>
      </c>
      <c r="I37" s="9" t="s">
        <v>2665</v>
      </c>
      <c r="J37" s="9" t="s">
        <v>2666</v>
      </c>
      <c r="K37" s="9" t="s">
        <v>2667</v>
      </c>
      <c r="L37" s="9" t="s">
        <v>2665</v>
      </c>
      <c r="M37" s="9" t="s">
        <v>2667</v>
      </c>
      <c r="N37" s="9" t="s">
        <v>2665</v>
      </c>
      <c r="O37" s="9" t="s">
        <v>2666</v>
      </c>
      <c r="P37" s="9" t="s">
        <v>2666</v>
      </c>
      <c r="Q37" s="9" t="s">
        <v>2665</v>
      </c>
      <c r="R37" s="9" t="s">
        <v>2665</v>
      </c>
      <c r="S37" s="9" t="s">
        <v>2665</v>
      </c>
      <c r="T37" s="9" t="s">
        <v>2666</v>
      </c>
      <c r="U37" s="9" t="s">
        <v>25</v>
      </c>
      <c r="X37" s="9" t="s">
        <v>2794</v>
      </c>
      <c r="AR37" s="10" t="s">
        <v>2668</v>
      </c>
      <c r="AS37" s="10">
        <v>128</v>
      </c>
      <c r="AT37" s="10">
        <v>128</v>
      </c>
      <c r="AU37" s="10">
        <v>136</v>
      </c>
      <c r="AV37" s="10">
        <v>144</v>
      </c>
      <c r="AW37" s="10">
        <v>152</v>
      </c>
      <c r="AX37" s="10">
        <v>160</v>
      </c>
      <c r="AY37" s="10">
        <v>160</v>
      </c>
      <c r="AZ37" s="10">
        <v>160</v>
      </c>
      <c r="BA37" s="10">
        <v>160</v>
      </c>
      <c r="BB37" s="10">
        <v>160</v>
      </c>
      <c r="BC37" s="10">
        <v>160</v>
      </c>
      <c r="BD37" s="10">
        <v>160</v>
      </c>
      <c r="BE37" s="10">
        <v>160</v>
      </c>
      <c r="BF37" s="10">
        <v>160</v>
      </c>
      <c r="BG37" s="10" t="s">
        <v>28</v>
      </c>
      <c r="BH37" s="10">
        <v>280</v>
      </c>
      <c r="BI37" s="10" t="s">
        <v>2881</v>
      </c>
      <c r="BJ37" s="10" t="s">
        <v>2169</v>
      </c>
      <c r="BK37" s="10">
        <v>40</v>
      </c>
      <c r="BL37" s="10" t="s">
        <v>2668</v>
      </c>
      <c r="BM37" s="10" t="s">
        <v>2671</v>
      </c>
      <c r="BN37" s="10">
        <v>40</v>
      </c>
      <c r="BO37" s="10">
        <v>40</v>
      </c>
      <c r="BP37" s="9" t="s">
        <v>25</v>
      </c>
      <c r="BQ37" s="9" t="s">
        <v>25</v>
      </c>
      <c r="BR37" s="9" t="s">
        <v>25</v>
      </c>
      <c r="BS37" s="9" t="s">
        <v>25</v>
      </c>
      <c r="BW37" s="9" t="s">
        <v>2673</v>
      </c>
      <c r="BX37" s="9" t="s">
        <v>2673</v>
      </c>
      <c r="BY37" s="9" t="s">
        <v>2673</v>
      </c>
      <c r="BZ37" s="9" t="s">
        <v>2673</v>
      </c>
      <c r="CA37" s="9" t="s">
        <v>2673</v>
      </c>
      <c r="CB37" s="9" t="s">
        <v>2673</v>
      </c>
      <c r="CC37" s="9" t="s">
        <v>2674</v>
      </c>
      <c r="CJ37" s="9" t="s">
        <v>2675</v>
      </c>
      <c r="CK37" s="9" t="s">
        <v>2676</v>
      </c>
      <c r="CL37" s="9" t="s">
        <v>2676</v>
      </c>
      <c r="CM37" s="9" t="s">
        <v>2676</v>
      </c>
      <c r="CN37" s="9" t="s">
        <v>2676</v>
      </c>
      <c r="CO37" s="9" t="s">
        <v>2676</v>
      </c>
      <c r="CP37" s="9" t="s">
        <v>2676</v>
      </c>
      <c r="CQ37" s="9" t="s">
        <v>2676</v>
      </c>
      <c r="CT37" s="9" t="s">
        <v>2738</v>
      </c>
      <c r="CU37" s="9" t="s">
        <v>2738</v>
      </c>
      <c r="CV37" s="9" t="s">
        <v>2738</v>
      </c>
      <c r="CW37" s="9" t="s">
        <v>2738</v>
      </c>
      <c r="CX37" s="9" t="s">
        <v>2717</v>
      </c>
      <c r="CY37" s="9" t="s">
        <v>28</v>
      </c>
      <c r="CZ37" s="9" t="s">
        <v>2679</v>
      </c>
      <c r="DA37" s="9" t="s">
        <v>13953</v>
      </c>
      <c r="DB37" s="9" t="s">
        <v>2726</v>
      </c>
      <c r="DC37" s="9" t="s">
        <v>2726</v>
      </c>
      <c r="DD37" s="9" t="s">
        <v>2726</v>
      </c>
      <c r="DE37" s="9" t="s">
        <v>2726</v>
      </c>
      <c r="DG37" s="9" t="s">
        <v>2726</v>
      </c>
      <c r="DH37" s="9" t="s">
        <v>2726</v>
      </c>
      <c r="DI37" s="9" t="s">
        <v>2726</v>
      </c>
      <c r="DJ37" s="9" t="s">
        <v>2726</v>
      </c>
      <c r="DL37" s="9" t="s">
        <v>2726</v>
      </c>
      <c r="DN37" s="9" t="s">
        <v>2726</v>
      </c>
      <c r="DO37" s="9" t="s">
        <v>28</v>
      </c>
      <c r="DP37" s="9" t="s">
        <v>2683</v>
      </c>
      <c r="DQ37" s="9" t="s">
        <v>25</v>
      </c>
      <c r="DX37" s="9" t="s">
        <v>28</v>
      </c>
      <c r="DY37" s="9" t="s">
        <v>2679</v>
      </c>
      <c r="DZ37" s="9" t="s">
        <v>2726</v>
      </c>
      <c r="EA37" s="9" t="s">
        <v>14553</v>
      </c>
      <c r="EB37" s="9" t="s">
        <v>28</v>
      </c>
      <c r="EC37" s="9" t="s">
        <v>2683</v>
      </c>
      <c r="ED37" s="9" t="s">
        <v>2823</v>
      </c>
      <c r="EF37" s="9" t="s">
        <v>2876</v>
      </c>
      <c r="EH37" s="9" t="s">
        <v>25</v>
      </c>
      <c r="EJ37" s="9" t="s">
        <v>28</v>
      </c>
      <c r="EK37" s="9" t="s">
        <v>2679</v>
      </c>
      <c r="EL37" s="9" t="s">
        <v>2686</v>
      </c>
      <c r="EN37" s="9" t="s">
        <v>2720</v>
      </c>
      <c r="EO37" s="9" t="s">
        <v>2721</v>
      </c>
      <c r="EQ37" s="9" t="s">
        <v>2882</v>
      </c>
      <c r="ES37" s="9" t="s">
        <v>28</v>
      </c>
      <c r="EU37" s="9" t="s">
        <v>28</v>
      </c>
      <c r="EV37" s="9" t="s">
        <v>13560</v>
      </c>
      <c r="EX37" s="9" t="s">
        <v>25</v>
      </c>
      <c r="EZ37" s="9" t="s">
        <v>2690</v>
      </c>
      <c r="FA37" s="9" t="s">
        <v>2690</v>
      </c>
      <c r="FB37" s="9" t="s">
        <v>2690</v>
      </c>
      <c r="FC37" s="9" t="s">
        <v>2690</v>
      </c>
      <c r="FD37" s="9" t="s">
        <v>2690</v>
      </c>
      <c r="FE37" s="9" t="s">
        <v>2690</v>
      </c>
      <c r="FF37" s="9" t="s">
        <v>1938</v>
      </c>
      <c r="FG37" s="9" t="s">
        <v>1938</v>
      </c>
      <c r="FH37" s="9" t="s">
        <v>1938</v>
      </c>
      <c r="FI37" s="9" t="s">
        <v>1938</v>
      </c>
      <c r="FK37" s="9" t="s">
        <v>1938</v>
      </c>
      <c r="FL37" s="9" t="s">
        <v>1938</v>
      </c>
      <c r="FM37" s="9" t="s">
        <v>2712</v>
      </c>
      <c r="FN37" s="9" t="s">
        <v>2712</v>
      </c>
      <c r="FO37" s="9" t="s">
        <v>2712</v>
      </c>
      <c r="FP37" s="9" t="s">
        <v>1938</v>
      </c>
      <c r="FS37" s="9" t="s">
        <v>28</v>
      </c>
      <c r="FT37" s="9" t="s">
        <v>2725</v>
      </c>
      <c r="FU37" s="9" t="s">
        <v>2730</v>
      </c>
      <c r="FV37" s="9" t="s">
        <v>994</v>
      </c>
      <c r="FX37" s="9" t="s">
        <v>28</v>
      </c>
      <c r="FY37" s="9" t="s">
        <v>2692</v>
      </c>
      <c r="FZ37" s="9" t="s">
        <v>28</v>
      </c>
      <c r="GA37" s="9" t="s">
        <v>2712</v>
      </c>
      <c r="GD37" s="9" t="s">
        <v>28</v>
      </c>
      <c r="GE37" s="9" t="s">
        <v>2771</v>
      </c>
      <c r="GF37" s="9" t="s">
        <v>28</v>
      </c>
      <c r="GG37" s="9" t="s">
        <v>25</v>
      </c>
      <c r="GH37" s="9" t="s">
        <v>2687</v>
      </c>
      <c r="GI37" s="9" t="s">
        <v>25</v>
      </c>
      <c r="GK37" s="9" t="s">
        <v>2843</v>
      </c>
      <c r="GL37" s="9" t="s">
        <v>2883</v>
      </c>
      <c r="GM37" s="9" t="s">
        <v>13975</v>
      </c>
      <c r="GN37" s="9" t="s">
        <v>631</v>
      </c>
      <c r="GO37" s="9" t="s">
        <v>25</v>
      </c>
      <c r="GV37" s="9" t="s">
        <v>28</v>
      </c>
      <c r="GW37" s="9" t="s">
        <v>632</v>
      </c>
      <c r="GX37" s="9" t="s">
        <v>2687</v>
      </c>
      <c r="GY37" s="9" t="s">
        <v>2700</v>
      </c>
      <c r="GZ37" s="9" t="s">
        <v>28</v>
      </c>
      <c r="HA37" s="9" t="s">
        <v>2701</v>
      </c>
      <c r="HB37" s="9" t="s">
        <v>2701</v>
      </c>
      <c r="HC37" s="9" t="s">
        <v>2702</v>
      </c>
      <c r="HD37" s="9" t="s">
        <v>25</v>
      </c>
      <c r="HE37" s="9" t="s">
        <v>25</v>
      </c>
      <c r="HG37" s="9">
        <v>3</v>
      </c>
    </row>
    <row r="38" spans="1:215" ht="63.75" x14ac:dyDescent="0.2">
      <c r="A38" s="8" t="s">
        <v>150</v>
      </c>
      <c r="B38" s="9" t="s">
        <v>28</v>
      </c>
      <c r="C38" s="9" t="s">
        <v>2746</v>
      </c>
      <c r="D38" s="9" t="s">
        <v>13533</v>
      </c>
      <c r="E38" s="9" t="s">
        <v>743</v>
      </c>
      <c r="F38" s="9" t="s">
        <v>2664</v>
      </c>
      <c r="G38" s="9" t="s">
        <v>2666</v>
      </c>
      <c r="H38" s="9" t="s">
        <v>2667</v>
      </c>
      <c r="I38" s="9" t="s">
        <v>2665</v>
      </c>
      <c r="J38" s="9" t="s">
        <v>2665</v>
      </c>
      <c r="K38" s="9" t="s">
        <v>2667</v>
      </c>
      <c r="L38" s="9" t="s">
        <v>2667</v>
      </c>
      <c r="M38" s="9" t="s">
        <v>2667</v>
      </c>
      <c r="N38" s="9" t="s">
        <v>2666</v>
      </c>
      <c r="O38" s="9" t="s">
        <v>2666</v>
      </c>
      <c r="P38" s="9" t="s">
        <v>2665</v>
      </c>
      <c r="Q38" s="9" t="s">
        <v>2667</v>
      </c>
      <c r="R38" s="9" t="s">
        <v>2667</v>
      </c>
      <c r="S38" s="9" t="s">
        <v>2667</v>
      </c>
      <c r="T38" s="9" t="s">
        <v>2666</v>
      </c>
      <c r="U38" s="9" t="s">
        <v>28</v>
      </c>
      <c r="V38" s="9" t="s">
        <v>743</v>
      </c>
      <c r="X38" s="9" t="s">
        <v>2734</v>
      </c>
      <c r="Y38" s="10" t="s">
        <v>2705</v>
      </c>
      <c r="Z38" s="10">
        <v>120</v>
      </c>
      <c r="AA38" s="10">
        <v>120</v>
      </c>
      <c r="AB38" s="10">
        <v>120</v>
      </c>
      <c r="AC38" s="10">
        <v>120</v>
      </c>
      <c r="AD38" s="10">
        <v>120</v>
      </c>
      <c r="AE38" s="10">
        <v>160</v>
      </c>
      <c r="AF38" s="10">
        <v>160</v>
      </c>
      <c r="AG38" s="10">
        <v>160</v>
      </c>
      <c r="AH38" s="10">
        <v>160</v>
      </c>
      <c r="AI38" s="10">
        <v>200</v>
      </c>
      <c r="AJ38" s="10">
        <v>200</v>
      </c>
      <c r="AK38" s="10">
        <v>200</v>
      </c>
      <c r="AL38" s="10">
        <v>200</v>
      </c>
      <c r="AM38" s="10" t="s">
        <v>25</v>
      </c>
      <c r="AO38" s="10" t="s">
        <v>2867</v>
      </c>
      <c r="AP38" s="10" t="s">
        <v>2169</v>
      </c>
      <c r="AQ38" s="10">
        <v>40</v>
      </c>
      <c r="BL38" s="10" t="s">
        <v>2668</v>
      </c>
      <c r="BM38" s="10" t="s">
        <v>2671</v>
      </c>
      <c r="BN38" s="10">
        <v>80</v>
      </c>
      <c r="BO38" s="10">
        <v>240</v>
      </c>
      <c r="BP38" s="9" t="s">
        <v>25</v>
      </c>
      <c r="BQ38" s="9" t="s">
        <v>41</v>
      </c>
      <c r="BR38" s="9" t="s">
        <v>25</v>
      </c>
      <c r="BS38" s="9" t="s">
        <v>25</v>
      </c>
      <c r="BW38" s="9" t="s">
        <v>2673</v>
      </c>
      <c r="BX38" s="9" t="s">
        <v>2673</v>
      </c>
      <c r="BY38" s="9" t="s">
        <v>2749</v>
      </c>
      <c r="BZ38" s="9" t="s">
        <v>2749</v>
      </c>
      <c r="CA38" s="9" t="s">
        <v>2749</v>
      </c>
      <c r="CB38" s="9" t="s">
        <v>2749</v>
      </c>
      <c r="CC38" s="9" t="s">
        <v>2749</v>
      </c>
      <c r="CF38" s="9" t="s">
        <v>2675</v>
      </c>
      <c r="CG38" s="9" t="s">
        <v>2675</v>
      </c>
      <c r="CH38" s="9" t="s">
        <v>2675</v>
      </c>
      <c r="CI38" s="9" t="s">
        <v>2675</v>
      </c>
      <c r="CJ38" s="9" t="s">
        <v>2675</v>
      </c>
      <c r="CK38" s="9" t="s">
        <v>2676</v>
      </c>
      <c r="CL38" s="9" t="s">
        <v>2676</v>
      </c>
      <c r="CM38" s="9" t="s">
        <v>2676</v>
      </c>
      <c r="CN38" s="9" t="s">
        <v>2676</v>
      </c>
      <c r="CO38" s="9" t="s">
        <v>2676</v>
      </c>
      <c r="CP38" s="9" t="s">
        <v>2676</v>
      </c>
      <c r="CQ38" s="9" t="s">
        <v>2676</v>
      </c>
      <c r="CR38" s="9" t="s">
        <v>2738</v>
      </c>
      <c r="CS38" s="9" t="s">
        <v>2738</v>
      </c>
      <c r="CT38" s="9" t="s">
        <v>2717</v>
      </c>
      <c r="CU38" s="9" t="s">
        <v>2717</v>
      </c>
      <c r="CV38" s="9" t="s">
        <v>2717</v>
      </c>
      <c r="CW38" s="9" t="s">
        <v>2717</v>
      </c>
      <c r="CX38" s="9" t="s">
        <v>2717</v>
      </c>
      <c r="CY38" s="9" t="s">
        <v>28</v>
      </c>
      <c r="CZ38" s="9" t="s">
        <v>2679</v>
      </c>
      <c r="DA38" s="9" t="s">
        <v>2718</v>
      </c>
      <c r="DB38" s="9" t="s">
        <v>2683</v>
      </c>
      <c r="DC38" s="9" t="s">
        <v>2683</v>
      </c>
      <c r="DD38" s="9" t="s">
        <v>2683</v>
      </c>
      <c r="DG38" s="9" t="s">
        <v>2683</v>
      </c>
      <c r="DH38" s="9" t="s">
        <v>2683</v>
      </c>
      <c r="DI38" s="9" t="s">
        <v>2683</v>
      </c>
      <c r="DL38" s="9" t="s">
        <v>2683</v>
      </c>
      <c r="DN38" s="9" t="s">
        <v>2683</v>
      </c>
      <c r="DO38" s="9" t="s">
        <v>25</v>
      </c>
      <c r="DQ38" s="9" t="s">
        <v>25</v>
      </c>
      <c r="DX38" s="9" t="s">
        <v>28</v>
      </c>
      <c r="DY38" s="9" t="s">
        <v>2679</v>
      </c>
      <c r="DZ38" s="9" t="s">
        <v>2683</v>
      </c>
      <c r="EA38" s="9" t="s">
        <v>2750</v>
      </c>
      <c r="EB38" s="9" t="s">
        <v>25</v>
      </c>
      <c r="ED38" s="9" t="s">
        <v>13544</v>
      </c>
      <c r="EF38" s="9" t="s">
        <v>29</v>
      </c>
      <c r="EG38" s="9" t="s">
        <v>2868</v>
      </c>
      <c r="EH38" s="9" t="s">
        <v>28</v>
      </c>
      <c r="EI38" s="11">
        <v>0</v>
      </c>
      <c r="EJ38" s="9" t="s">
        <v>28</v>
      </c>
      <c r="EK38" s="9" t="s">
        <v>2679</v>
      </c>
      <c r="EL38" s="9" t="s">
        <v>2686</v>
      </c>
      <c r="EN38" s="9" t="s">
        <v>2673</v>
      </c>
      <c r="EO38" s="9" t="s">
        <v>2742</v>
      </c>
      <c r="EQ38" s="9" t="s">
        <v>2689</v>
      </c>
      <c r="ES38" s="9" t="s">
        <v>25</v>
      </c>
      <c r="EU38" s="9" t="s">
        <v>28</v>
      </c>
      <c r="EV38" s="9" t="s">
        <v>13548</v>
      </c>
      <c r="EX38" s="9" t="s">
        <v>28</v>
      </c>
      <c r="EY38" s="9" t="s">
        <v>1938</v>
      </c>
      <c r="FS38" s="9" t="s">
        <v>28</v>
      </c>
      <c r="FT38" s="9" t="s">
        <v>2725</v>
      </c>
      <c r="FU38" s="9" t="s">
        <v>2730</v>
      </c>
      <c r="FV38" s="9" t="s">
        <v>2690</v>
      </c>
      <c r="FX38" s="9" t="s">
        <v>25</v>
      </c>
      <c r="FZ38" s="9" t="s">
        <v>28</v>
      </c>
      <c r="GA38" s="9" t="s">
        <v>1148</v>
      </c>
      <c r="GB38" s="9" t="s">
        <v>758</v>
      </c>
      <c r="GD38" s="9" t="s">
        <v>28</v>
      </c>
      <c r="GE38" s="9" t="s">
        <v>2693</v>
      </c>
      <c r="GF38" s="9" t="s">
        <v>28</v>
      </c>
      <c r="GG38" s="9" t="s">
        <v>25</v>
      </c>
      <c r="GH38" s="9" t="s">
        <v>2869</v>
      </c>
      <c r="GI38" s="9" t="s">
        <v>25</v>
      </c>
      <c r="GK38" s="9" t="s">
        <v>2695</v>
      </c>
      <c r="GL38" s="9" t="s">
        <v>2870</v>
      </c>
      <c r="GM38" s="9" t="s">
        <v>13975</v>
      </c>
      <c r="GN38" s="9" t="s">
        <v>631</v>
      </c>
      <c r="GO38" s="9" t="s">
        <v>2696</v>
      </c>
      <c r="GP38" s="9" t="s">
        <v>28</v>
      </c>
      <c r="GQ38" s="9" t="s">
        <v>28</v>
      </c>
      <c r="GR38" s="9" t="s">
        <v>2697</v>
      </c>
      <c r="GS38" s="9" t="s">
        <v>2697</v>
      </c>
      <c r="GT38" s="9" t="s">
        <v>2715</v>
      </c>
      <c r="GU38" s="9" t="s">
        <v>28</v>
      </c>
      <c r="GV38" s="9" t="s">
        <v>25</v>
      </c>
      <c r="HA38" s="9" t="s">
        <v>25</v>
      </c>
      <c r="HB38" s="9" t="s">
        <v>2702</v>
      </c>
      <c r="HC38" s="9" t="s">
        <v>2702</v>
      </c>
      <c r="HD38" s="9" t="s">
        <v>25</v>
      </c>
      <c r="HE38" s="9" t="s">
        <v>25</v>
      </c>
      <c r="HF38" s="9" t="s">
        <v>2871</v>
      </c>
      <c r="HG38" s="9" t="s">
        <v>2765</v>
      </c>
    </row>
    <row r="39" spans="1:215" ht="255" x14ac:dyDescent="0.2">
      <c r="A39" s="8" t="s">
        <v>135</v>
      </c>
      <c r="B39" s="9" t="s">
        <v>28</v>
      </c>
      <c r="C39" s="9" t="s">
        <v>2663</v>
      </c>
      <c r="D39" s="9" t="s">
        <v>13532</v>
      </c>
      <c r="E39" s="9" t="s">
        <v>2664</v>
      </c>
      <c r="F39" s="9" t="s">
        <v>2664</v>
      </c>
      <c r="G39" s="9" t="s">
        <v>2666</v>
      </c>
      <c r="H39" s="9" t="s">
        <v>2667</v>
      </c>
      <c r="I39" s="9" t="s">
        <v>2665</v>
      </c>
      <c r="J39" s="9" t="s">
        <v>2665</v>
      </c>
      <c r="K39" s="9" t="s">
        <v>2665</v>
      </c>
      <c r="L39" s="9" t="s">
        <v>2665</v>
      </c>
      <c r="M39" s="9" t="s">
        <v>2665</v>
      </c>
      <c r="N39" s="9" t="s">
        <v>2666</v>
      </c>
      <c r="O39" s="9" t="s">
        <v>2665</v>
      </c>
      <c r="P39" s="9" t="s">
        <v>2665</v>
      </c>
      <c r="Q39" s="9" t="s">
        <v>2665</v>
      </c>
      <c r="R39" s="9" t="s">
        <v>2665</v>
      </c>
      <c r="S39" s="9" t="s">
        <v>2665</v>
      </c>
      <c r="T39" s="9" t="s">
        <v>2665</v>
      </c>
      <c r="U39" s="9" t="s">
        <v>28</v>
      </c>
      <c r="V39" s="9" t="s">
        <v>612</v>
      </c>
      <c r="W39" s="9" t="s">
        <v>2814</v>
      </c>
      <c r="X39" s="9" t="s">
        <v>2727</v>
      </c>
      <c r="Y39" s="10" t="s">
        <v>2705</v>
      </c>
      <c r="Z39" s="10">
        <v>120</v>
      </c>
      <c r="AA39" s="10">
        <v>120</v>
      </c>
      <c r="AB39" s="10">
        <v>120</v>
      </c>
      <c r="AC39" s="10">
        <v>120</v>
      </c>
      <c r="AD39" s="10">
        <v>120</v>
      </c>
      <c r="AE39" s="10">
        <v>128</v>
      </c>
      <c r="AF39" s="10">
        <v>136</v>
      </c>
      <c r="AG39" s="10">
        <v>144</v>
      </c>
      <c r="AH39" s="10">
        <v>152</v>
      </c>
      <c r="AI39" s="10">
        <v>160</v>
      </c>
      <c r="AJ39" s="10">
        <v>160</v>
      </c>
      <c r="AK39" s="10">
        <v>200</v>
      </c>
      <c r="AL39" s="10">
        <v>200</v>
      </c>
      <c r="AM39" s="10" t="s">
        <v>28</v>
      </c>
      <c r="AN39" s="10">
        <v>280</v>
      </c>
      <c r="AO39" s="10" t="s">
        <v>668</v>
      </c>
      <c r="AP39" s="10" t="s">
        <v>2169</v>
      </c>
      <c r="AQ39" s="10">
        <v>40</v>
      </c>
      <c r="AR39" s="10" t="s">
        <v>2705</v>
      </c>
      <c r="AS39" s="10">
        <v>64</v>
      </c>
      <c r="AT39" s="10">
        <v>64</v>
      </c>
      <c r="AU39" s="10">
        <v>64</v>
      </c>
      <c r="AV39" s="10">
        <v>64</v>
      </c>
      <c r="AW39" s="10">
        <v>64</v>
      </c>
      <c r="AX39" s="10">
        <v>64</v>
      </c>
      <c r="AY39" s="10">
        <v>64</v>
      </c>
      <c r="AZ39" s="10">
        <v>64</v>
      </c>
      <c r="BA39" s="10">
        <v>64</v>
      </c>
      <c r="BB39" s="10">
        <v>64</v>
      </c>
      <c r="BC39" s="10">
        <v>64</v>
      </c>
      <c r="BD39" s="10">
        <v>64</v>
      </c>
      <c r="BE39" s="10">
        <v>64</v>
      </c>
      <c r="BF39" s="10">
        <v>64</v>
      </c>
      <c r="BG39" s="10" t="s">
        <v>25</v>
      </c>
      <c r="BI39" s="10" t="s">
        <v>2815</v>
      </c>
      <c r="BJ39" s="10" t="s">
        <v>2707</v>
      </c>
      <c r="BK39" s="10">
        <v>40</v>
      </c>
      <c r="BL39" s="10" t="s">
        <v>2705</v>
      </c>
      <c r="BM39" s="10" t="s">
        <v>2716</v>
      </c>
      <c r="BN39" s="10">
        <v>64</v>
      </c>
      <c r="BP39" s="9" t="s">
        <v>25</v>
      </c>
      <c r="BQ39" s="9" t="s">
        <v>25</v>
      </c>
      <c r="BR39" s="9" t="s">
        <v>25</v>
      </c>
      <c r="BS39" s="9" t="s">
        <v>25</v>
      </c>
      <c r="BW39" s="9" t="s">
        <v>2749</v>
      </c>
      <c r="BX39" s="9" t="s">
        <v>2749</v>
      </c>
      <c r="BY39" s="9" t="s">
        <v>2749</v>
      </c>
      <c r="BZ39" s="9" t="s">
        <v>2749</v>
      </c>
      <c r="CA39" s="9" t="s">
        <v>2749</v>
      </c>
      <c r="CB39" s="9" t="s">
        <v>2749</v>
      </c>
      <c r="CC39" s="9" t="s">
        <v>2749</v>
      </c>
      <c r="CD39" s="9" t="s">
        <v>2675</v>
      </c>
      <c r="CE39" s="9" t="s">
        <v>2675</v>
      </c>
      <c r="CF39" s="9" t="s">
        <v>2675</v>
      </c>
      <c r="CG39" s="9" t="s">
        <v>2675</v>
      </c>
      <c r="CH39" s="9" t="s">
        <v>2675</v>
      </c>
      <c r="CI39" s="9" t="s">
        <v>2675</v>
      </c>
      <c r="CJ39" s="9" t="s">
        <v>2675</v>
      </c>
      <c r="CQ39" s="9" t="s">
        <v>2676</v>
      </c>
      <c r="CR39" s="9" t="s">
        <v>2678</v>
      </c>
      <c r="CS39" s="9" t="s">
        <v>2678</v>
      </c>
      <c r="CT39" s="9" t="s">
        <v>2678</v>
      </c>
      <c r="CU39" s="9" t="s">
        <v>2678</v>
      </c>
      <c r="CV39" s="9" t="s">
        <v>2678</v>
      </c>
      <c r="CW39" s="9" t="s">
        <v>2678</v>
      </c>
      <c r="CX39" s="9" t="s">
        <v>2717</v>
      </c>
      <c r="CY39" s="9" t="s">
        <v>28</v>
      </c>
      <c r="CZ39" s="9" t="s">
        <v>2679</v>
      </c>
      <c r="DA39" s="9" t="s">
        <v>2780</v>
      </c>
      <c r="DB39" s="9" t="s">
        <v>2759</v>
      </c>
      <c r="DC39" s="9" t="s">
        <v>2759</v>
      </c>
      <c r="DE39" s="9" t="s">
        <v>2759</v>
      </c>
      <c r="DG39" s="9" t="s">
        <v>2759</v>
      </c>
      <c r="DH39" s="9" t="s">
        <v>2759</v>
      </c>
      <c r="DJ39" s="9" t="s">
        <v>2759</v>
      </c>
      <c r="DL39" s="9" t="s">
        <v>2759</v>
      </c>
      <c r="DN39" s="9" t="s">
        <v>2759</v>
      </c>
      <c r="DO39" s="9" t="s">
        <v>28</v>
      </c>
      <c r="DP39" s="9" t="s">
        <v>2759</v>
      </c>
      <c r="DQ39" s="9" t="s">
        <v>25</v>
      </c>
      <c r="DX39" s="9" t="s">
        <v>25</v>
      </c>
      <c r="EJ39" s="9" t="s">
        <v>28</v>
      </c>
      <c r="EK39" s="9" t="s">
        <v>2679</v>
      </c>
      <c r="EL39" s="9" t="s">
        <v>2686</v>
      </c>
      <c r="EN39" s="9" t="s">
        <v>2720</v>
      </c>
      <c r="EO39" s="9" t="s">
        <v>2742</v>
      </c>
      <c r="EQ39" s="9" t="s">
        <v>2689</v>
      </c>
      <c r="ES39" s="9" t="s">
        <v>28</v>
      </c>
      <c r="ET39" s="9" t="s">
        <v>2720</v>
      </c>
      <c r="EU39" s="9" t="s">
        <v>28</v>
      </c>
      <c r="EV39" s="9" t="s">
        <v>13560</v>
      </c>
      <c r="EX39" s="9" t="s">
        <v>25</v>
      </c>
      <c r="EZ39" s="9" t="s">
        <v>994</v>
      </c>
      <c r="FA39" s="9" t="s">
        <v>994</v>
      </c>
      <c r="FB39" s="9" t="s">
        <v>994</v>
      </c>
      <c r="FC39" s="9" t="s">
        <v>994</v>
      </c>
      <c r="FD39" s="9" t="s">
        <v>994</v>
      </c>
      <c r="FE39" s="9" t="s">
        <v>994</v>
      </c>
      <c r="FF39" s="9" t="s">
        <v>1148</v>
      </c>
      <c r="FG39" s="9" t="s">
        <v>1148</v>
      </c>
      <c r="FH39" s="9" t="s">
        <v>1148</v>
      </c>
      <c r="FI39" s="9" t="s">
        <v>1148</v>
      </c>
      <c r="FK39" s="9" t="s">
        <v>1148</v>
      </c>
      <c r="FL39" s="9" t="s">
        <v>1148</v>
      </c>
      <c r="FM39" s="9" t="s">
        <v>2712</v>
      </c>
      <c r="FN39" s="9" t="s">
        <v>2712</v>
      </c>
      <c r="FO39" s="9" t="s">
        <v>2712</v>
      </c>
      <c r="FP39" s="9" t="s">
        <v>2712</v>
      </c>
      <c r="FS39" s="9" t="s">
        <v>25</v>
      </c>
      <c r="FU39" s="9" t="s">
        <v>2730</v>
      </c>
      <c r="FV39" s="9" t="s">
        <v>2769</v>
      </c>
      <c r="FX39" s="9" t="s">
        <v>25</v>
      </c>
      <c r="FZ39" s="9" t="s">
        <v>28</v>
      </c>
      <c r="GA39" s="9" t="s">
        <v>2816</v>
      </c>
      <c r="GB39" s="9" t="s">
        <v>612</v>
      </c>
      <c r="GC39" s="9" t="s">
        <v>632</v>
      </c>
      <c r="GD39" s="9" t="s">
        <v>28</v>
      </c>
      <c r="GE39" s="9" t="s">
        <v>2771</v>
      </c>
      <c r="GF39" s="9" t="s">
        <v>28</v>
      </c>
      <c r="GG39" s="9" t="s">
        <v>25</v>
      </c>
      <c r="GH39" s="9" t="s">
        <v>2694</v>
      </c>
      <c r="GI39" s="9" t="s">
        <v>25</v>
      </c>
      <c r="GJ39" s="9" t="s">
        <v>2694</v>
      </c>
      <c r="GK39" s="9" t="s">
        <v>2817</v>
      </c>
      <c r="GL39" s="9" t="s">
        <v>2818</v>
      </c>
      <c r="GM39" s="9" t="s">
        <v>13972</v>
      </c>
      <c r="GN39" s="9" t="s">
        <v>1938</v>
      </c>
      <c r="GO39" s="9" t="s">
        <v>2713</v>
      </c>
      <c r="GP39" s="9" t="s">
        <v>28</v>
      </c>
      <c r="GQ39" s="9" t="s">
        <v>2714</v>
      </c>
      <c r="GR39" s="9" t="s">
        <v>2745</v>
      </c>
      <c r="GT39" s="9" t="s">
        <v>2715</v>
      </c>
      <c r="GU39" s="9" t="s">
        <v>28</v>
      </c>
      <c r="GV39" s="9" t="s">
        <v>25</v>
      </c>
      <c r="HA39" s="9" t="s">
        <v>2702</v>
      </c>
      <c r="HB39" s="9" t="s">
        <v>2701</v>
      </c>
      <c r="HC39" s="9" t="s">
        <v>2702</v>
      </c>
      <c r="HD39" s="9" t="s">
        <v>2702</v>
      </c>
      <c r="HE39" s="9" t="s">
        <v>2702</v>
      </c>
      <c r="HF39" s="9" t="s">
        <v>13988</v>
      </c>
      <c r="HG39" s="9" t="s">
        <v>2765</v>
      </c>
    </row>
    <row r="40" spans="1:215" ht="63.75" x14ac:dyDescent="0.2">
      <c r="A40" s="8" t="s">
        <v>137</v>
      </c>
      <c r="B40" s="9" t="s">
        <v>28</v>
      </c>
      <c r="C40" s="9" t="s">
        <v>2663</v>
      </c>
      <c r="D40" s="9" t="s">
        <v>13532</v>
      </c>
      <c r="E40" s="9" t="s">
        <v>2664</v>
      </c>
      <c r="F40" s="9" t="s">
        <v>2664</v>
      </c>
      <c r="G40" s="9" t="s">
        <v>2667</v>
      </c>
      <c r="H40" s="9" t="s">
        <v>2666</v>
      </c>
      <c r="I40" s="9" t="s">
        <v>2665</v>
      </c>
      <c r="J40" s="9" t="s">
        <v>2667</v>
      </c>
      <c r="K40" s="9" t="s">
        <v>2667</v>
      </c>
      <c r="L40" s="9" t="s">
        <v>2667</v>
      </c>
      <c r="M40" s="9" t="s">
        <v>2667</v>
      </c>
      <c r="N40" s="9" t="s">
        <v>2666</v>
      </c>
      <c r="O40" s="9" t="s">
        <v>2665</v>
      </c>
      <c r="P40" s="9" t="s">
        <v>2665</v>
      </c>
      <c r="Q40" s="9" t="s">
        <v>2667</v>
      </c>
      <c r="R40" s="9" t="s">
        <v>2665</v>
      </c>
      <c r="S40" s="9" t="s">
        <v>2667</v>
      </c>
      <c r="T40" s="9" t="s">
        <v>2665</v>
      </c>
      <c r="U40" s="9" t="s">
        <v>25</v>
      </c>
      <c r="X40" s="9" t="s">
        <v>2727</v>
      </c>
      <c r="Y40" s="10" t="s">
        <v>2705</v>
      </c>
      <c r="Z40" s="10">
        <v>120</v>
      </c>
      <c r="AA40" s="10">
        <v>120</v>
      </c>
      <c r="AB40" s="10">
        <v>120</v>
      </c>
      <c r="AC40" s="10">
        <v>120</v>
      </c>
      <c r="AD40" s="10">
        <v>120</v>
      </c>
      <c r="AE40" s="10">
        <v>128</v>
      </c>
      <c r="AF40" s="10">
        <v>136</v>
      </c>
      <c r="AG40" s="10">
        <v>144</v>
      </c>
      <c r="AH40" s="10">
        <v>152</v>
      </c>
      <c r="AI40" s="10">
        <v>160</v>
      </c>
      <c r="AJ40" s="10">
        <v>160</v>
      </c>
      <c r="AK40" s="10">
        <v>200</v>
      </c>
      <c r="AL40" s="10">
        <v>200</v>
      </c>
      <c r="AM40" s="10" t="s">
        <v>28</v>
      </c>
      <c r="AN40" s="10">
        <v>280</v>
      </c>
      <c r="AO40" s="10" t="s">
        <v>2809</v>
      </c>
      <c r="AP40" s="10" t="s">
        <v>2169</v>
      </c>
      <c r="AQ40" s="10">
        <v>40</v>
      </c>
      <c r="AR40" s="10" t="s">
        <v>2705</v>
      </c>
      <c r="AS40" s="10">
        <v>48</v>
      </c>
      <c r="AT40" s="10">
        <v>48</v>
      </c>
      <c r="AU40" s="10">
        <v>48</v>
      </c>
      <c r="AV40" s="10">
        <v>48</v>
      </c>
      <c r="AW40" s="10">
        <v>48</v>
      </c>
      <c r="AX40" s="10">
        <v>48</v>
      </c>
      <c r="AY40" s="10">
        <v>48</v>
      </c>
      <c r="AZ40" s="10">
        <v>48</v>
      </c>
      <c r="BA40" s="10">
        <v>48</v>
      </c>
      <c r="BB40" s="10">
        <v>48</v>
      </c>
      <c r="BC40" s="10">
        <v>48</v>
      </c>
      <c r="BD40" s="10">
        <v>48</v>
      </c>
      <c r="BE40" s="10">
        <v>48</v>
      </c>
      <c r="BF40" s="10">
        <v>48</v>
      </c>
      <c r="BG40" s="10" t="s">
        <v>25</v>
      </c>
      <c r="BI40" s="10" t="s">
        <v>2819</v>
      </c>
      <c r="BJ40" s="10" t="s">
        <v>25</v>
      </c>
      <c r="BL40" s="10" t="s">
        <v>2705</v>
      </c>
      <c r="BM40" s="10" t="s">
        <v>2673</v>
      </c>
      <c r="BP40" s="9" t="s">
        <v>25</v>
      </c>
      <c r="BQ40" s="9" t="s">
        <v>25</v>
      </c>
      <c r="BR40" s="9" t="s">
        <v>25</v>
      </c>
      <c r="BS40" s="9" t="s">
        <v>25</v>
      </c>
      <c r="BW40" s="9" t="s">
        <v>2749</v>
      </c>
      <c r="BX40" s="9" t="s">
        <v>2749</v>
      </c>
      <c r="BY40" s="9" t="s">
        <v>2749</v>
      </c>
      <c r="BZ40" s="9" t="s">
        <v>2749</v>
      </c>
      <c r="CA40" s="9" t="s">
        <v>2749</v>
      </c>
      <c r="CB40" s="9" t="s">
        <v>2749</v>
      </c>
      <c r="CC40" s="9" t="s">
        <v>2749</v>
      </c>
      <c r="CD40" s="9" t="s">
        <v>2675</v>
      </c>
      <c r="CE40" s="9" t="s">
        <v>2675</v>
      </c>
      <c r="CF40" s="9" t="s">
        <v>2675</v>
      </c>
      <c r="CG40" s="9" t="s">
        <v>2675</v>
      </c>
      <c r="CH40" s="9" t="s">
        <v>2675</v>
      </c>
      <c r="CI40" s="9" t="s">
        <v>2675</v>
      </c>
      <c r="CJ40" s="9" t="s">
        <v>2675</v>
      </c>
      <c r="CQ40" s="9" t="s">
        <v>2677</v>
      </c>
      <c r="CR40" s="9" t="s">
        <v>2717</v>
      </c>
      <c r="CS40" s="9" t="s">
        <v>2717</v>
      </c>
      <c r="CT40" s="9" t="s">
        <v>2717</v>
      </c>
      <c r="CU40" s="9" t="s">
        <v>2717</v>
      </c>
      <c r="CV40" s="9" t="s">
        <v>2717</v>
      </c>
      <c r="CW40" s="9" t="s">
        <v>2717</v>
      </c>
      <c r="CX40" s="9" t="s">
        <v>2717</v>
      </c>
      <c r="CY40" s="9" t="s">
        <v>28</v>
      </c>
      <c r="CZ40" s="9" t="s">
        <v>2679</v>
      </c>
      <c r="DA40" s="9" t="s">
        <v>2709</v>
      </c>
      <c r="DB40" s="9" t="s">
        <v>2683</v>
      </c>
      <c r="DC40" s="9" t="s">
        <v>2683</v>
      </c>
      <c r="DD40" s="9" t="s">
        <v>2726</v>
      </c>
      <c r="DE40" s="9" t="s">
        <v>2687</v>
      </c>
      <c r="DG40" s="9" t="s">
        <v>2683</v>
      </c>
      <c r="DH40" s="9" t="s">
        <v>2683</v>
      </c>
      <c r="DI40" s="9" t="s">
        <v>2726</v>
      </c>
      <c r="DJ40" s="9" t="s">
        <v>2687</v>
      </c>
      <c r="DL40" s="9" t="s">
        <v>2683</v>
      </c>
      <c r="DN40" s="9" t="s">
        <v>2683</v>
      </c>
      <c r="DO40" s="9" t="s">
        <v>25</v>
      </c>
      <c r="DQ40" s="9" t="s">
        <v>25</v>
      </c>
      <c r="DX40" s="9" t="s">
        <v>25</v>
      </c>
      <c r="EJ40" s="9" t="s">
        <v>28</v>
      </c>
      <c r="EK40" s="9" t="s">
        <v>2679</v>
      </c>
      <c r="EL40" s="9" t="s">
        <v>2686</v>
      </c>
      <c r="EN40" s="9" t="s">
        <v>2720</v>
      </c>
      <c r="EO40" s="9" t="s">
        <v>2742</v>
      </c>
      <c r="EQ40" s="9" t="s">
        <v>2689</v>
      </c>
      <c r="ES40" s="9" t="s">
        <v>25</v>
      </c>
      <c r="EU40" s="9" t="s">
        <v>28</v>
      </c>
      <c r="EV40" s="9" t="s">
        <v>13561</v>
      </c>
      <c r="EX40" s="9" t="s">
        <v>28</v>
      </c>
      <c r="EY40" s="9" t="s">
        <v>1148</v>
      </c>
      <c r="EZ40" s="9" t="s">
        <v>1938</v>
      </c>
      <c r="FA40" s="9" t="s">
        <v>1938</v>
      </c>
      <c r="FB40" s="9" t="s">
        <v>1938</v>
      </c>
      <c r="FC40" s="9" t="s">
        <v>1938</v>
      </c>
      <c r="FD40" s="9" t="s">
        <v>1938</v>
      </c>
      <c r="FF40" s="9" t="s">
        <v>1938</v>
      </c>
      <c r="FG40" s="9" t="s">
        <v>1938</v>
      </c>
      <c r="FH40" s="9" t="s">
        <v>1938</v>
      </c>
      <c r="FI40" s="9" t="s">
        <v>1938</v>
      </c>
      <c r="FK40" s="9" t="s">
        <v>1938</v>
      </c>
      <c r="FL40" s="9" t="s">
        <v>1938</v>
      </c>
      <c r="FM40" s="9" t="s">
        <v>1938</v>
      </c>
      <c r="FN40" s="9" t="s">
        <v>1938</v>
      </c>
      <c r="FO40" s="9" t="s">
        <v>1938</v>
      </c>
      <c r="FP40" s="9" t="s">
        <v>2712</v>
      </c>
      <c r="FS40" s="9" t="s">
        <v>28</v>
      </c>
      <c r="FT40" s="9" t="s">
        <v>2725</v>
      </c>
      <c r="FU40" s="9" t="s">
        <v>2730</v>
      </c>
      <c r="FV40" s="9" t="s">
        <v>2769</v>
      </c>
      <c r="FX40" s="9" t="s">
        <v>25</v>
      </c>
      <c r="FZ40" s="9" t="s">
        <v>28</v>
      </c>
      <c r="GA40" s="9" t="s">
        <v>2820</v>
      </c>
      <c r="GB40" s="9" t="s">
        <v>612</v>
      </c>
      <c r="GC40" s="9" t="s">
        <v>2821</v>
      </c>
      <c r="GD40" s="9" t="s">
        <v>28</v>
      </c>
      <c r="GE40" s="9" t="s">
        <v>2771</v>
      </c>
      <c r="GF40" s="9" t="s">
        <v>28</v>
      </c>
      <c r="GG40" s="9" t="s">
        <v>25</v>
      </c>
      <c r="GH40" s="9" t="s">
        <v>2694</v>
      </c>
      <c r="GI40" s="9" t="s">
        <v>25</v>
      </c>
      <c r="GK40" s="9" t="s">
        <v>2817</v>
      </c>
      <c r="GM40" s="9" t="s">
        <v>13968</v>
      </c>
      <c r="GN40" s="9" t="s">
        <v>1938</v>
      </c>
      <c r="GO40" s="9" t="s">
        <v>2696</v>
      </c>
      <c r="GP40" s="9" t="s">
        <v>28</v>
      </c>
      <c r="GQ40" s="9" t="s">
        <v>28</v>
      </c>
      <c r="GR40" s="9" t="s">
        <v>2697</v>
      </c>
      <c r="GS40" s="9" t="s">
        <v>2697</v>
      </c>
      <c r="GT40" s="9" t="s">
        <v>2715</v>
      </c>
      <c r="GU40" s="9" t="s">
        <v>28</v>
      </c>
      <c r="GV40" s="9" t="s">
        <v>25</v>
      </c>
      <c r="HA40" s="9" t="s">
        <v>2701</v>
      </c>
      <c r="HB40" s="9" t="s">
        <v>2702</v>
      </c>
      <c r="HC40" s="9" t="s">
        <v>2702</v>
      </c>
      <c r="HD40" s="9" t="s">
        <v>2702</v>
      </c>
      <c r="HE40" s="9" t="s">
        <v>2702</v>
      </c>
      <c r="HG40" s="9">
        <v>4</v>
      </c>
    </row>
    <row r="41" spans="1:215" ht="51" x14ac:dyDescent="0.2">
      <c r="A41" s="8" t="s">
        <v>142</v>
      </c>
      <c r="B41" s="9" t="s">
        <v>28</v>
      </c>
      <c r="C41" s="9" t="s">
        <v>2746</v>
      </c>
      <c r="D41" s="9" t="s">
        <v>13533</v>
      </c>
      <c r="E41" s="9" t="s">
        <v>2748</v>
      </c>
      <c r="F41" s="9" t="s">
        <v>2664</v>
      </c>
      <c r="G41" s="9" t="s">
        <v>2665</v>
      </c>
      <c r="H41" s="9" t="s">
        <v>2666</v>
      </c>
      <c r="I41" s="9" t="s">
        <v>2666</v>
      </c>
      <c r="J41" s="9" t="s">
        <v>2667</v>
      </c>
      <c r="K41" s="9" t="s">
        <v>2667</v>
      </c>
      <c r="L41" s="9" t="s">
        <v>2667</v>
      </c>
      <c r="M41" s="9" t="s">
        <v>2667</v>
      </c>
      <c r="N41" s="9" t="s">
        <v>2666</v>
      </c>
      <c r="O41" s="9" t="s">
        <v>2665</v>
      </c>
      <c r="P41" s="9" t="s">
        <v>2665</v>
      </c>
      <c r="Q41" s="9" t="s">
        <v>2665</v>
      </c>
      <c r="R41" s="9" t="s">
        <v>2667</v>
      </c>
      <c r="S41" s="9" t="s">
        <v>2667</v>
      </c>
      <c r="U41" s="9" t="s">
        <v>25</v>
      </c>
      <c r="X41" s="9" t="s">
        <v>2704</v>
      </c>
      <c r="AR41" s="10" t="s">
        <v>2668</v>
      </c>
      <c r="AS41" s="10">
        <v>120</v>
      </c>
      <c r="AT41" s="10">
        <v>120</v>
      </c>
      <c r="AU41" s="10">
        <v>132</v>
      </c>
      <c r="AV41" s="10">
        <v>144</v>
      </c>
      <c r="AW41" s="10">
        <v>160</v>
      </c>
      <c r="AX41" s="10">
        <v>160</v>
      </c>
      <c r="AY41" s="10">
        <v>168</v>
      </c>
      <c r="AZ41" s="10">
        <v>176</v>
      </c>
      <c r="BA41" s="10">
        <v>184</v>
      </c>
      <c r="BB41" s="10">
        <v>192</v>
      </c>
      <c r="BC41" s="10">
        <v>200</v>
      </c>
      <c r="BD41" s="10">
        <v>200</v>
      </c>
      <c r="BE41" s="10">
        <v>200</v>
      </c>
      <c r="BF41" s="10">
        <v>200</v>
      </c>
      <c r="BG41" s="10" t="s">
        <v>25</v>
      </c>
      <c r="BI41" s="10" t="s">
        <v>2837</v>
      </c>
      <c r="BJ41" s="10" t="s">
        <v>2169</v>
      </c>
      <c r="BK41" s="10">
        <v>40</v>
      </c>
      <c r="BL41" s="10" t="s">
        <v>2668</v>
      </c>
      <c r="BM41" s="10" t="s">
        <v>2716</v>
      </c>
      <c r="BN41" s="10">
        <v>24</v>
      </c>
      <c r="BO41" s="10">
        <v>24</v>
      </c>
      <c r="BP41" s="9" t="s">
        <v>25</v>
      </c>
      <c r="BQ41" s="9" t="s">
        <v>25</v>
      </c>
      <c r="BR41" s="9" t="s">
        <v>25</v>
      </c>
      <c r="BS41" s="9" t="s">
        <v>25</v>
      </c>
      <c r="BW41" s="9" t="s">
        <v>2674</v>
      </c>
      <c r="BX41" s="9" t="s">
        <v>2674</v>
      </c>
      <c r="BY41" s="9" t="s">
        <v>2674</v>
      </c>
      <c r="BZ41" s="9" t="s">
        <v>2674</v>
      </c>
      <c r="CA41" s="9" t="s">
        <v>2674</v>
      </c>
      <c r="CB41" s="9" t="s">
        <v>2674</v>
      </c>
      <c r="CC41" s="9" t="s">
        <v>2674</v>
      </c>
      <c r="CD41" s="9" t="s">
        <v>2675</v>
      </c>
      <c r="CE41" s="9" t="s">
        <v>2675</v>
      </c>
      <c r="CF41" s="9" t="s">
        <v>2675</v>
      </c>
      <c r="CG41" s="9" t="s">
        <v>2675</v>
      </c>
      <c r="CH41" s="9" t="s">
        <v>2675</v>
      </c>
      <c r="CI41" s="9" t="s">
        <v>2675</v>
      </c>
      <c r="CJ41" s="9" t="s">
        <v>2675</v>
      </c>
      <c r="CU41" s="9" t="s">
        <v>2678</v>
      </c>
      <c r="CV41" s="9" t="s">
        <v>2678</v>
      </c>
      <c r="CW41" s="9" t="s">
        <v>2678</v>
      </c>
      <c r="CX41" s="9" t="s">
        <v>2678</v>
      </c>
      <c r="CY41" s="9" t="s">
        <v>28</v>
      </c>
      <c r="CZ41" s="9" t="s">
        <v>2679</v>
      </c>
      <c r="DA41" s="9" t="s">
        <v>2718</v>
      </c>
      <c r="DB41" s="9" t="s">
        <v>2683</v>
      </c>
      <c r="DC41" s="9" t="s">
        <v>2683</v>
      </c>
      <c r="DD41" s="9" t="s">
        <v>2683</v>
      </c>
      <c r="DG41" s="9" t="s">
        <v>2683</v>
      </c>
      <c r="DH41" s="9" t="s">
        <v>2683</v>
      </c>
      <c r="DI41" s="9" t="s">
        <v>2683</v>
      </c>
      <c r="DL41" s="9" t="s">
        <v>2838</v>
      </c>
      <c r="DN41" s="9" t="s">
        <v>2838</v>
      </c>
      <c r="DO41" s="9" t="s">
        <v>25</v>
      </c>
      <c r="DQ41" s="9" t="s">
        <v>25</v>
      </c>
      <c r="DX41" s="9" t="s">
        <v>28</v>
      </c>
      <c r="DY41" s="9" t="s">
        <v>2679</v>
      </c>
      <c r="DZ41" s="9" t="s">
        <v>2683</v>
      </c>
      <c r="EA41" s="9" t="s">
        <v>13540</v>
      </c>
      <c r="EB41" s="9" t="s">
        <v>25</v>
      </c>
      <c r="EC41" s="9" t="s">
        <v>2683</v>
      </c>
      <c r="ED41" s="9" t="s">
        <v>13544</v>
      </c>
      <c r="EF41" s="9" t="s">
        <v>13958</v>
      </c>
      <c r="EH41" s="9" t="s">
        <v>25</v>
      </c>
      <c r="EJ41" s="9" t="s">
        <v>28</v>
      </c>
      <c r="EK41" s="9" t="s">
        <v>2679</v>
      </c>
      <c r="EL41" s="9" t="s">
        <v>2686</v>
      </c>
      <c r="EN41" s="9" t="s">
        <v>2720</v>
      </c>
      <c r="EO41" s="9" t="s">
        <v>29</v>
      </c>
      <c r="EP41" s="9" t="s">
        <v>2839</v>
      </c>
      <c r="EQ41" s="9" t="s">
        <v>2840</v>
      </c>
      <c r="ER41" s="9" t="s">
        <v>2841</v>
      </c>
      <c r="ES41" s="9" t="s">
        <v>28</v>
      </c>
      <c r="ET41" s="9" t="s">
        <v>2720</v>
      </c>
      <c r="EU41" s="9" t="s">
        <v>28</v>
      </c>
      <c r="EV41" s="9" t="s">
        <v>13564</v>
      </c>
      <c r="EX41" s="9" t="s">
        <v>28</v>
      </c>
      <c r="EY41" s="9" t="s">
        <v>1148</v>
      </c>
      <c r="FS41" s="9" t="s">
        <v>25</v>
      </c>
      <c r="FU41" s="9" t="s">
        <v>2770</v>
      </c>
      <c r="FV41" s="9" t="s">
        <v>994</v>
      </c>
      <c r="FX41" s="9" t="s">
        <v>25</v>
      </c>
      <c r="FZ41" s="9" t="s">
        <v>25</v>
      </c>
      <c r="GB41" s="9" t="s">
        <v>612</v>
      </c>
      <c r="GC41" s="9" t="s">
        <v>2842</v>
      </c>
      <c r="GD41" s="9" t="s">
        <v>28</v>
      </c>
      <c r="GE41" s="9" t="s">
        <v>2771</v>
      </c>
      <c r="GF41" s="9" t="s">
        <v>28</v>
      </c>
      <c r="GG41" s="9" t="s">
        <v>25</v>
      </c>
      <c r="GH41" s="9" t="s">
        <v>2694</v>
      </c>
      <c r="GI41" s="9" t="s">
        <v>25</v>
      </c>
      <c r="GK41" s="9" t="s">
        <v>2843</v>
      </c>
      <c r="GM41" s="9" t="s">
        <v>13963</v>
      </c>
      <c r="GN41" s="9" t="s">
        <v>2725</v>
      </c>
      <c r="GO41" s="9" t="s">
        <v>2713</v>
      </c>
      <c r="GP41" s="9" t="s">
        <v>28</v>
      </c>
      <c r="GQ41" s="9" t="s">
        <v>2714</v>
      </c>
      <c r="GR41" s="9" t="s">
        <v>2745</v>
      </c>
      <c r="GT41" s="9" t="s">
        <v>2715</v>
      </c>
      <c r="GU41" s="9" t="s">
        <v>28</v>
      </c>
      <c r="GV41" s="9" t="s">
        <v>25</v>
      </c>
      <c r="HA41" s="9" t="s">
        <v>2701</v>
      </c>
      <c r="HB41" s="9" t="s">
        <v>2702</v>
      </c>
      <c r="HC41" s="9" t="s">
        <v>2702</v>
      </c>
      <c r="HD41" s="9" t="s">
        <v>25</v>
      </c>
      <c r="HE41" s="9" t="s">
        <v>25</v>
      </c>
      <c r="HG41" s="9">
        <v>4</v>
      </c>
    </row>
    <row r="42" spans="1:215" ht="51" x14ac:dyDescent="0.2">
      <c r="A42" s="8" t="s">
        <v>161</v>
      </c>
      <c r="B42" s="9" t="s">
        <v>28</v>
      </c>
      <c r="C42" s="9" t="s">
        <v>2663</v>
      </c>
      <c r="D42" s="9" t="s">
        <v>13532</v>
      </c>
      <c r="E42" s="9" t="s">
        <v>2664</v>
      </c>
      <c r="F42" s="9" t="s">
        <v>2664</v>
      </c>
      <c r="G42" s="9" t="s">
        <v>2666</v>
      </c>
      <c r="H42" s="9" t="s">
        <v>2667</v>
      </c>
      <c r="I42" s="9" t="s">
        <v>2665</v>
      </c>
      <c r="J42" s="9" t="s">
        <v>2666</v>
      </c>
      <c r="K42" s="9" t="s">
        <v>2667</v>
      </c>
      <c r="L42" s="9" t="s">
        <v>2667</v>
      </c>
      <c r="M42" s="9" t="s">
        <v>2667</v>
      </c>
      <c r="N42" s="9" t="s">
        <v>2666</v>
      </c>
      <c r="O42" s="9" t="s">
        <v>2665</v>
      </c>
      <c r="P42" s="9" t="s">
        <v>2665</v>
      </c>
      <c r="Q42" s="9" t="s">
        <v>2667</v>
      </c>
      <c r="R42" s="9" t="s">
        <v>2665</v>
      </c>
      <c r="S42" s="9" t="s">
        <v>2665</v>
      </c>
      <c r="T42" s="9" t="s">
        <v>2666</v>
      </c>
      <c r="U42" s="9" t="s">
        <v>28</v>
      </c>
      <c r="V42" s="9" t="s">
        <v>743</v>
      </c>
      <c r="X42" s="9" t="s">
        <v>2753</v>
      </c>
      <c r="Y42" s="10" t="s">
        <v>2668</v>
      </c>
      <c r="Z42" s="10">
        <v>80</v>
      </c>
      <c r="AA42" s="10">
        <v>80</v>
      </c>
      <c r="AB42" s="10">
        <v>80</v>
      </c>
      <c r="AC42" s="10">
        <v>80</v>
      </c>
      <c r="AD42" s="10">
        <v>120</v>
      </c>
      <c r="AE42" s="10">
        <v>120</v>
      </c>
      <c r="AF42" s="10">
        <v>120</v>
      </c>
      <c r="AG42" s="10">
        <v>120</v>
      </c>
      <c r="AH42" s="10">
        <v>120</v>
      </c>
      <c r="AI42" s="10">
        <v>160</v>
      </c>
      <c r="AJ42" s="10">
        <v>160</v>
      </c>
      <c r="AK42" s="10">
        <v>160</v>
      </c>
      <c r="AL42" s="10">
        <v>160</v>
      </c>
      <c r="AM42" s="10" t="s">
        <v>25</v>
      </c>
      <c r="AO42" s="10" t="s">
        <v>2889</v>
      </c>
      <c r="AP42" s="10" t="s">
        <v>25</v>
      </c>
      <c r="BL42" s="10" t="s">
        <v>2668</v>
      </c>
      <c r="BM42" s="10" t="s">
        <v>2671</v>
      </c>
      <c r="BN42" s="10">
        <v>80</v>
      </c>
      <c r="BO42" s="10">
        <v>80</v>
      </c>
      <c r="BP42" s="9" t="s">
        <v>25</v>
      </c>
      <c r="BQ42" s="9" t="s">
        <v>25</v>
      </c>
      <c r="BR42" s="9" t="s">
        <v>25</v>
      </c>
      <c r="BS42" s="9" t="s">
        <v>25</v>
      </c>
      <c r="BW42" s="9" t="s">
        <v>2673</v>
      </c>
      <c r="BX42" s="9" t="s">
        <v>2673</v>
      </c>
      <c r="BY42" s="9" t="s">
        <v>2673</v>
      </c>
      <c r="BZ42" s="9" t="s">
        <v>2673</v>
      </c>
      <c r="CA42" s="9" t="s">
        <v>2673</v>
      </c>
      <c r="CB42" s="9" t="s">
        <v>2673</v>
      </c>
      <c r="CC42" s="9" t="s">
        <v>2749</v>
      </c>
      <c r="CJ42" s="9" t="s">
        <v>2675</v>
      </c>
      <c r="CK42" s="9" t="s">
        <v>2676</v>
      </c>
      <c r="CL42" s="9" t="s">
        <v>2676</v>
      </c>
      <c r="CM42" s="9" t="s">
        <v>2676</v>
      </c>
      <c r="CN42" s="9" t="s">
        <v>2676</v>
      </c>
      <c r="CO42" s="9" t="s">
        <v>2676</v>
      </c>
      <c r="CP42" s="9" t="s">
        <v>2676</v>
      </c>
      <c r="CQ42" s="9" t="s">
        <v>2676</v>
      </c>
      <c r="CS42" s="9" t="s">
        <v>2738</v>
      </c>
      <c r="CT42" s="9" t="s">
        <v>2738</v>
      </c>
      <c r="CU42" s="9" t="s">
        <v>2738</v>
      </c>
      <c r="CV42" s="9" t="s">
        <v>2738</v>
      </c>
      <c r="CW42" s="9" t="s">
        <v>2738</v>
      </c>
      <c r="CX42" s="9" t="s">
        <v>2717</v>
      </c>
      <c r="CY42" s="9" t="s">
        <v>28</v>
      </c>
      <c r="CZ42" s="9" t="s">
        <v>2679</v>
      </c>
      <c r="DA42" s="9" t="s">
        <v>13953</v>
      </c>
      <c r="DB42" s="9" t="s">
        <v>2683</v>
      </c>
      <c r="DC42" s="9" t="s">
        <v>2683</v>
      </c>
      <c r="DD42" s="9" t="s">
        <v>2683</v>
      </c>
      <c r="DE42" s="9" t="s">
        <v>2683</v>
      </c>
      <c r="DG42" s="9" t="s">
        <v>2683</v>
      </c>
      <c r="DH42" s="9" t="s">
        <v>2683</v>
      </c>
      <c r="DI42" s="9" t="s">
        <v>2683</v>
      </c>
      <c r="DJ42" s="9" t="s">
        <v>2683</v>
      </c>
      <c r="DL42" s="9" t="s">
        <v>2683</v>
      </c>
      <c r="DN42" s="9" t="s">
        <v>2683</v>
      </c>
      <c r="DO42" s="9" t="s">
        <v>25</v>
      </c>
      <c r="DQ42" s="9" t="s">
        <v>25</v>
      </c>
      <c r="DX42" s="9" t="s">
        <v>28</v>
      </c>
      <c r="DY42" s="9" t="s">
        <v>2679</v>
      </c>
      <c r="DZ42" s="9" t="s">
        <v>2683</v>
      </c>
      <c r="EA42" s="9" t="s">
        <v>2682</v>
      </c>
      <c r="EB42" s="9" t="s">
        <v>25</v>
      </c>
      <c r="EC42" s="9" t="s">
        <v>2683</v>
      </c>
      <c r="ED42" s="9" t="s">
        <v>2789</v>
      </c>
      <c r="EF42" s="9" t="s">
        <v>13957</v>
      </c>
      <c r="EH42" s="9" t="s">
        <v>28</v>
      </c>
      <c r="EI42" s="11">
        <v>0</v>
      </c>
      <c r="EJ42" s="9" t="s">
        <v>25</v>
      </c>
      <c r="EU42" s="9" t="s">
        <v>28</v>
      </c>
      <c r="EV42" s="9" t="s">
        <v>13572</v>
      </c>
      <c r="EX42" s="9" t="s">
        <v>25</v>
      </c>
      <c r="EZ42" s="9" t="s">
        <v>2769</v>
      </c>
      <c r="FA42" s="9" t="s">
        <v>2769</v>
      </c>
      <c r="FB42" s="9" t="s">
        <v>2769</v>
      </c>
      <c r="FC42" s="9" t="s">
        <v>2769</v>
      </c>
      <c r="FD42" s="9" t="s">
        <v>2769</v>
      </c>
      <c r="FF42" s="9" t="s">
        <v>2769</v>
      </c>
      <c r="FG42" s="9" t="s">
        <v>2769</v>
      </c>
      <c r="FH42" s="9" t="s">
        <v>2769</v>
      </c>
      <c r="FI42" s="9" t="s">
        <v>2769</v>
      </c>
      <c r="FJ42" s="9" t="s">
        <v>2769</v>
      </c>
      <c r="FK42" s="9" t="s">
        <v>2769</v>
      </c>
      <c r="FL42" s="9" t="s">
        <v>2769</v>
      </c>
      <c r="FM42" s="9" t="s">
        <v>1148</v>
      </c>
      <c r="FN42" s="9" t="s">
        <v>1148</v>
      </c>
      <c r="FO42" s="9" t="s">
        <v>1148</v>
      </c>
      <c r="FS42" s="9" t="s">
        <v>25</v>
      </c>
      <c r="FU42" s="9" t="s">
        <v>2770</v>
      </c>
      <c r="FV42" s="9" t="s">
        <v>2690</v>
      </c>
      <c r="FX42" s="9" t="s">
        <v>28</v>
      </c>
      <c r="FY42" s="9" t="s">
        <v>2692</v>
      </c>
      <c r="FZ42" s="9" t="s">
        <v>28</v>
      </c>
      <c r="GA42" s="9" t="s">
        <v>1148</v>
      </c>
      <c r="GB42" s="9" t="s">
        <v>612</v>
      </c>
      <c r="GC42" s="9" t="s">
        <v>1727</v>
      </c>
      <c r="GD42" s="9" t="s">
        <v>28</v>
      </c>
      <c r="GE42" s="9" t="s">
        <v>2771</v>
      </c>
      <c r="GF42" s="9" t="s">
        <v>28</v>
      </c>
      <c r="GG42" s="9" t="s">
        <v>25</v>
      </c>
      <c r="GI42" s="9" t="s">
        <v>25</v>
      </c>
      <c r="GK42" s="9" t="s">
        <v>2695</v>
      </c>
      <c r="GM42" s="9" t="s">
        <v>13975</v>
      </c>
      <c r="GN42" s="9" t="s">
        <v>2712</v>
      </c>
      <c r="GO42" s="9" t="s">
        <v>25</v>
      </c>
      <c r="GV42" s="9" t="s">
        <v>25</v>
      </c>
      <c r="HA42" s="9" t="s">
        <v>2702</v>
      </c>
      <c r="HB42" s="9" t="s">
        <v>2702</v>
      </c>
      <c r="HC42" s="9" t="s">
        <v>2702</v>
      </c>
      <c r="HD42" s="9" t="s">
        <v>25</v>
      </c>
      <c r="HE42" s="9" t="s">
        <v>25</v>
      </c>
      <c r="HG42" s="9">
        <v>3</v>
      </c>
    </row>
    <row r="43" spans="1:215" ht="63.75" x14ac:dyDescent="0.2">
      <c r="A43" s="8" t="s">
        <v>163</v>
      </c>
      <c r="B43" s="9" t="s">
        <v>28</v>
      </c>
      <c r="C43" s="9" t="s">
        <v>2746</v>
      </c>
      <c r="D43" s="9" t="s">
        <v>2733</v>
      </c>
      <c r="E43" s="9" t="s">
        <v>743</v>
      </c>
      <c r="F43" s="9" t="s">
        <v>743</v>
      </c>
      <c r="G43" s="9" t="s">
        <v>2665</v>
      </c>
      <c r="O43" s="9" t="s">
        <v>2665</v>
      </c>
      <c r="Q43" s="9" t="s">
        <v>2665</v>
      </c>
      <c r="U43" s="9" t="s">
        <v>25</v>
      </c>
      <c r="X43" s="9" t="s">
        <v>2704</v>
      </c>
      <c r="AR43" s="10" t="s">
        <v>2860</v>
      </c>
      <c r="AS43" s="10">
        <v>160</v>
      </c>
      <c r="AT43" s="10">
        <v>160</v>
      </c>
      <c r="AU43" s="10">
        <v>170</v>
      </c>
      <c r="AV43" s="10">
        <v>180</v>
      </c>
      <c r="AW43" s="10">
        <v>190</v>
      </c>
      <c r="AX43" s="10">
        <v>200</v>
      </c>
      <c r="AY43" s="10">
        <v>210</v>
      </c>
      <c r="AZ43" s="10">
        <v>220</v>
      </c>
      <c r="BA43" s="10">
        <v>230</v>
      </c>
      <c r="BB43" s="10">
        <v>240</v>
      </c>
      <c r="BC43" s="10">
        <v>240</v>
      </c>
      <c r="BD43" s="10">
        <v>240</v>
      </c>
      <c r="BE43" s="10">
        <v>240</v>
      </c>
      <c r="BF43" s="10">
        <v>240</v>
      </c>
      <c r="BG43" s="10" t="s">
        <v>28</v>
      </c>
      <c r="BH43" s="10">
        <v>160</v>
      </c>
      <c r="BJ43" s="10" t="s">
        <v>25</v>
      </c>
      <c r="BP43" s="9" t="s">
        <v>28</v>
      </c>
      <c r="BT43" s="9" t="s">
        <v>673</v>
      </c>
      <c r="BW43" s="9" t="s">
        <v>2674</v>
      </c>
      <c r="BX43" s="9" t="s">
        <v>2674</v>
      </c>
      <c r="BY43" s="9" t="s">
        <v>2674</v>
      </c>
      <c r="BZ43" s="9" t="s">
        <v>2674</v>
      </c>
      <c r="CA43" s="9" t="s">
        <v>2674</v>
      </c>
      <c r="CB43" s="9" t="s">
        <v>2674</v>
      </c>
      <c r="CC43" s="9" t="s">
        <v>2674</v>
      </c>
      <c r="CD43" s="9" t="s">
        <v>2675</v>
      </c>
      <c r="CE43" s="9" t="s">
        <v>2675</v>
      </c>
      <c r="CF43" s="9" t="s">
        <v>2675</v>
      </c>
      <c r="CG43" s="9" t="s">
        <v>2675</v>
      </c>
      <c r="CH43" s="9" t="s">
        <v>2675</v>
      </c>
      <c r="CI43" s="9" t="s">
        <v>2675</v>
      </c>
      <c r="CJ43" s="9" t="s">
        <v>2675</v>
      </c>
      <c r="CS43" s="9" t="s">
        <v>2678</v>
      </c>
      <c r="CT43" s="9" t="s">
        <v>2678</v>
      </c>
      <c r="CU43" s="9" t="s">
        <v>2678</v>
      </c>
      <c r="CV43" s="9" t="s">
        <v>2678</v>
      </c>
      <c r="CW43" s="9" t="s">
        <v>2678</v>
      </c>
      <c r="CX43" s="9" t="s">
        <v>2678</v>
      </c>
      <c r="CY43" s="9" t="s">
        <v>28</v>
      </c>
      <c r="CZ43" s="9" t="s">
        <v>2679</v>
      </c>
      <c r="DA43" s="9" t="s">
        <v>2718</v>
      </c>
      <c r="DB43" s="9" t="s">
        <v>2699</v>
      </c>
      <c r="DC43" s="9" t="s">
        <v>2699</v>
      </c>
      <c r="DD43" s="9" t="s">
        <v>2699</v>
      </c>
      <c r="DG43" s="9" t="s">
        <v>2699</v>
      </c>
      <c r="DH43" s="9" t="s">
        <v>2699</v>
      </c>
      <c r="DI43" s="9" t="s">
        <v>2699</v>
      </c>
      <c r="DL43" s="9" t="s">
        <v>2687</v>
      </c>
      <c r="DN43" s="9" t="s">
        <v>2699</v>
      </c>
      <c r="DO43" s="9" t="s">
        <v>28</v>
      </c>
      <c r="DP43" s="9" t="s">
        <v>2683</v>
      </c>
      <c r="DQ43" s="9" t="s">
        <v>25</v>
      </c>
      <c r="DX43" s="9" t="s">
        <v>25</v>
      </c>
      <c r="EJ43" s="9" t="s">
        <v>28</v>
      </c>
      <c r="EK43" s="9" t="s">
        <v>2679</v>
      </c>
      <c r="EL43" s="9" t="s">
        <v>2686</v>
      </c>
      <c r="EN43" s="9" t="s">
        <v>2720</v>
      </c>
      <c r="EO43" s="9" t="s">
        <v>2721</v>
      </c>
      <c r="EQ43" s="9" t="s">
        <v>2689</v>
      </c>
      <c r="ES43" s="9" t="s">
        <v>25</v>
      </c>
      <c r="EU43" s="9" t="s">
        <v>28</v>
      </c>
      <c r="EV43" s="9" t="s">
        <v>13566</v>
      </c>
      <c r="EX43" s="9" t="s">
        <v>28</v>
      </c>
      <c r="EY43" s="9" t="s">
        <v>1148</v>
      </c>
      <c r="FS43" s="9" t="s">
        <v>25</v>
      </c>
      <c r="FU43" s="9" t="s">
        <v>2730</v>
      </c>
      <c r="FV43" s="9" t="s">
        <v>994</v>
      </c>
      <c r="FX43" s="9" t="s">
        <v>25</v>
      </c>
      <c r="FZ43" s="9" t="s">
        <v>28</v>
      </c>
      <c r="GA43" s="9" t="s">
        <v>2725</v>
      </c>
      <c r="GB43" s="9" t="s">
        <v>2673</v>
      </c>
      <c r="GD43" s="9" t="s">
        <v>28</v>
      </c>
      <c r="GE43" s="9" t="s">
        <v>2693</v>
      </c>
      <c r="GF43" s="9" t="s">
        <v>28</v>
      </c>
      <c r="GG43" s="9" t="s">
        <v>25</v>
      </c>
      <c r="GH43" s="9" t="s">
        <v>2687</v>
      </c>
      <c r="GI43" s="9" t="s">
        <v>25</v>
      </c>
      <c r="GK43" s="9" t="s">
        <v>2695</v>
      </c>
      <c r="GM43" s="9" t="s">
        <v>13973</v>
      </c>
      <c r="GN43" s="9" t="s">
        <v>2725</v>
      </c>
      <c r="GO43" s="9" t="s">
        <v>25</v>
      </c>
      <c r="GV43" s="9" t="s">
        <v>25</v>
      </c>
      <c r="HB43" s="9" t="s">
        <v>2702</v>
      </c>
      <c r="HC43" s="9" t="s">
        <v>2702</v>
      </c>
      <c r="HE43" s="9" t="s">
        <v>2701</v>
      </c>
      <c r="HG43" s="9">
        <v>3</v>
      </c>
    </row>
    <row r="44" spans="1:215" ht="63.75" x14ac:dyDescent="0.2">
      <c r="A44" s="8" t="s">
        <v>165</v>
      </c>
      <c r="B44" s="9" t="s">
        <v>28</v>
      </c>
      <c r="C44" s="9" t="s">
        <v>2746</v>
      </c>
      <c r="D44" s="9" t="s">
        <v>13532</v>
      </c>
      <c r="E44" s="9" t="s">
        <v>2896</v>
      </c>
      <c r="F44" s="9" t="s">
        <v>2664</v>
      </c>
      <c r="G44" s="9" t="s">
        <v>2666</v>
      </c>
      <c r="H44" s="9" t="s">
        <v>2667</v>
      </c>
      <c r="I44" s="9" t="s">
        <v>2665</v>
      </c>
      <c r="J44" s="9" t="s">
        <v>2667</v>
      </c>
      <c r="K44" s="9" t="s">
        <v>2667</v>
      </c>
      <c r="L44" s="9" t="s">
        <v>2667</v>
      </c>
      <c r="M44" s="9" t="s">
        <v>2665</v>
      </c>
      <c r="N44" s="9" t="s">
        <v>2666</v>
      </c>
      <c r="O44" s="9" t="s">
        <v>2665</v>
      </c>
      <c r="P44" s="9" t="s">
        <v>2665</v>
      </c>
      <c r="Q44" s="9" t="s">
        <v>2665</v>
      </c>
      <c r="R44" s="9" t="s">
        <v>2667</v>
      </c>
      <c r="S44" s="9" t="s">
        <v>2667</v>
      </c>
      <c r="T44" s="9" t="s">
        <v>2666</v>
      </c>
      <c r="U44" s="9" t="s">
        <v>25</v>
      </c>
      <c r="X44" s="9" t="s">
        <v>2753</v>
      </c>
      <c r="Y44" s="10" t="s">
        <v>2705</v>
      </c>
      <c r="Z44" s="10">
        <v>120</v>
      </c>
      <c r="AA44" s="10">
        <v>120</v>
      </c>
      <c r="AB44" s="10">
        <v>120</v>
      </c>
      <c r="AC44" s="10">
        <v>120</v>
      </c>
      <c r="AD44" s="10">
        <v>120</v>
      </c>
      <c r="AE44" s="10">
        <v>128</v>
      </c>
      <c r="AF44" s="10">
        <v>136</v>
      </c>
      <c r="AG44" s="10">
        <v>144</v>
      </c>
      <c r="AH44" s="10">
        <v>152</v>
      </c>
      <c r="AI44" s="10">
        <v>160</v>
      </c>
      <c r="AJ44" s="10">
        <v>160</v>
      </c>
      <c r="AK44" s="10">
        <v>200</v>
      </c>
      <c r="AL44" s="10">
        <v>200</v>
      </c>
      <c r="AM44" s="10" t="s">
        <v>28</v>
      </c>
      <c r="AN44" s="10">
        <v>300</v>
      </c>
      <c r="AO44" s="10" t="s">
        <v>2897</v>
      </c>
      <c r="AP44" s="10" t="s">
        <v>2169</v>
      </c>
      <c r="AQ44" s="10">
        <v>40</v>
      </c>
      <c r="BL44" s="10" t="s">
        <v>2705</v>
      </c>
      <c r="BM44" s="10" t="s">
        <v>2716</v>
      </c>
      <c r="BN44" s="10">
        <v>48</v>
      </c>
      <c r="BO44" s="10">
        <v>48</v>
      </c>
      <c r="BP44" s="9" t="s">
        <v>25</v>
      </c>
      <c r="BQ44" s="9" t="s">
        <v>25</v>
      </c>
      <c r="BR44" s="9" t="s">
        <v>25</v>
      </c>
      <c r="BS44" s="9" t="s">
        <v>25</v>
      </c>
      <c r="BW44" s="9" t="s">
        <v>2673</v>
      </c>
      <c r="BX44" s="9" t="s">
        <v>2673</v>
      </c>
      <c r="BY44" s="9" t="s">
        <v>2673</v>
      </c>
      <c r="BZ44" s="9" t="s">
        <v>2673</v>
      </c>
      <c r="CA44" s="9" t="s">
        <v>2673</v>
      </c>
      <c r="CB44" s="9" t="s">
        <v>2673</v>
      </c>
      <c r="CC44" s="9" t="s">
        <v>2749</v>
      </c>
      <c r="CJ44" s="9" t="s">
        <v>2675</v>
      </c>
      <c r="CK44" s="9" t="s">
        <v>2676</v>
      </c>
      <c r="CL44" s="9" t="s">
        <v>2676</v>
      </c>
      <c r="CM44" s="9" t="s">
        <v>2676</v>
      </c>
      <c r="CN44" s="9" t="s">
        <v>2676</v>
      </c>
      <c r="CO44" s="9" t="s">
        <v>2676</v>
      </c>
      <c r="CP44" s="9" t="s">
        <v>2676</v>
      </c>
      <c r="CQ44" s="9" t="s">
        <v>2676</v>
      </c>
      <c r="CR44" s="9" t="s">
        <v>2738</v>
      </c>
      <c r="CS44" s="9" t="s">
        <v>2738</v>
      </c>
      <c r="CT44" s="9" t="s">
        <v>2738</v>
      </c>
      <c r="CU44" s="9" t="s">
        <v>2738</v>
      </c>
      <c r="CV44" s="9" t="s">
        <v>2738</v>
      </c>
      <c r="CW44" s="9" t="s">
        <v>2738</v>
      </c>
      <c r="CX44" s="9" t="s">
        <v>2717</v>
      </c>
      <c r="CY44" s="9" t="s">
        <v>28</v>
      </c>
      <c r="CZ44" s="9" t="s">
        <v>2679</v>
      </c>
      <c r="DA44" s="9" t="s">
        <v>2709</v>
      </c>
      <c r="DB44" s="9" t="s">
        <v>2680</v>
      </c>
      <c r="DC44" s="9" t="s">
        <v>2680</v>
      </c>
      <c r="DG44" s="9" t="s">
        <v>2680</v>
      </c>
      <c r="DH44" s="9" t="s">
        <v>2680</v>
      </c>
      <c r="DL44" s="9" t="s">
        <v>2680</v>
      </c>
      <c r="DN44" s="9" t="s">
        <v>2680</v>
      </c>
      <c r="DO44" s="9" t="s">
        <v>25</v>
      </c>
      <c r="DQ44" s="9" t="s">
        <v>25</v>
      </c>
      <c r="DX44" s="9" t="s">
        <v>25</v>
      </c>
      <c r="EJ44" s="9" t="s">
        <v>28</v>
      </c>
      <c r="EK44" s="9" t="s">
        <v>2679</v>
      </c>
      <c r="EL44" s="9" t="s">
        <v>2686</v>
      </c>
      <c r="EN44" s="9" t="s">
        <v>2720</v>
      </c>
      <c r="EO44" s="9" t="s">
        <v>2688</v>
      </c>
      <c r="EQ44" s="9" t="s">
        <v>2689</v>
      </c>
      <c r="ES44" s="9" t="s">
        <v>28</v>
      </c>
      <c r="ET44" s="9" t="s">
        <v>2720</v>
      </c>
      <c r="EU44" s="9" t="s">
        <v>28</v>
      </c>
      <c r="EV44" s="9" t="s">
        <v>13575</v>
      </c>
      <c r="EX44" s="9" t="s">
        <v>28</v>
      </c>
      <c r="EY44" s="9" t="s">
        <v>1148</v>
      </c>
      <c r="FS44" s="9" t="s">
        <v>25</v>
      </c>
      <c r="FU44" s="9" t="s">
        <v>2691</v>
      </c>
      <c r="FX44" s="9" t="s">
        <v>25</v>
      </c>
      <c r="FZ44" s="9" t="s">
        <v>25</v>
      </c>
      <c r="GB44" s="9" t="s">
        <v>758</v>
      </c>
      <c r="GD44" s="9" t="s">
        <v>28</v>
      </c>
      <c r="GE44" s="9" t="s">
        <v>2771</v>
      </c>
      <c r="GF44" s="9" t="s">
        <v>28</v>
      </c>
      <c r="GG44" s="9" t="s">
        <v>25</v>
      </c>
      <c r="GH44" s="9" t="s">
        <v>2687</v>
      </c>
      <c r="GI44" s="9" t="s">
        <v>25</v>
      </c>
      <c r="GK44" s="9" t="s">
        <v>2695</v>
      </c>
      <c r="GM44" s="9" t="s">
        <v>13968</v>
      </c>
      <c r="GN44" s="9" t="s">
        <v>2725</v>
      </c>
      <c r="GO44" s="9" t="s">
        <v>25</v>
      </c>
      <c r="GV44" s="9" t="s">
        <v>25</v>
      </c>
      <c r="HA44" s="9" t="s">
        <v>2701</v>
      </c>
      <c r="HB44" s="9" t="s">
        <v>2701</v>
      </c>
      <c r="HC44" s="9" t="s">
        <v>2701</v>
      </c>
      <c r="HD44" s="9" t="s">
        <v>25</v>
      </c>
      <c r="HE44" s="9" t="s">
        <v>2701</v>
      </c>
      <c r="HG44" s="9">
        <v>3</v>
      </c>
    </row>
    <row r="45" spans="1:215" ht="51" x14ac:dyDescent="0.2">
      <c r="A45" s="8" t="s">
        <v>129</v>
      </c>
      <c r="B45" s="9" t="s">
        <v>28</v>
      </c>
      <c r="C45" s="9" t="s">
        <v>2787</v>
      </c>
      <c r="D45" s="9" t="s">
        <v>13533</v>
      </c>
      <c r="E45" s="9" t="s">
        <v>743</v>
      </c>
      <c r="F45" s="9" t="s">
        <v>743</v>
      </c>
      <c r="G45" s="9" t="s">
        <v>2666</v>
      </c>
      <c r="H45" s="9" t="s">
        <v>2667</v>
      </c>
      <c r="I45" s="9" t="s">
        <v>2665</v>
      </c>
      <c r="J45" s="9" t="s">
        <v>2667</v>
      </c>
      <c r="K45" s="9" t="s">
        <v>2665</v>
      </c>
      <c r="L45" s="9" t="s">
        <v>2665</v>
      </c>
      <c r="M45" s="9" t="s">
        <v>2666</v>
      </c>
      <c r="N45" s="9" t="s">
        <v>2666</v>
      </c>
      <c r="O45" s="9" t="s">
        <v>2665</v>
      </c>
      <c r="P45" s="9" t="s">
        <v>2665</v>
      </c>
      <c r="Q45" s="9" t="s">
        <v>2667</v>
      </c>
      <c r="R45" s="9" t="s">
        <v>2667</v>
      </c>
      <c r="S45" s="9" t="s">
        <v>2666</v>
      </c>
      <c r="T45" s="9" t="s">
        <v>2666</v>
      </c>
      <c r="U45" s="9" t="s">
        <v>25</v>
      </c>
      <c r="X45" s="9" t="s">
        <v>2727</v>
      </c>
      <c r="Y45" s="10" t="s">
        <v>2705</v>
      </c>
      <c r="Z45" s="10">
        <v>120</v>
      </c>
      <c r="AA45" s="10">
        <v>120</v>
      </c>
      <c r="AB45" s="10">
        <v>120</v>
      </c>
      <c r="AC45" s="10">
        <v>120</v>
      </c>
      <c r="AD45" s="10">
        <v>120</v>
      </c>
      <c r="AE45" s="10">
        <v>120</v>
      </c>
      <c r="AF45" s="10">
        <v>120</v>
      </c>
      <c r="AG45" s="10">
        <v>120</v>
      </c>
      <c r="AH45" s="10">
        <v>160</v>
      </c>
      <c r="AI45" s="10">
        <v>160</v>
      </c>
      <c r="AJ45" s="10">
        <v>160</v>
      </c>
      <c r="AK45" s="10">
        <v>160</v>
      </c>
      <c r="AL45" s="10">
        <v>160</v>
      </c>
      <c r="AM45" s="10" t="s">
        <v>28</v>
      </c>
      <c r="AN45" s="10">
        <v>160</v>
      </c>
      <c r="AO45" s="10" t="s">
        <v>2788</v>
      </c>
      <c r="AP45" s="10" t="s">
        <v>25</v>
      </c>
      <c r="AR45" s="10" t="s">
        <v>2705</v>
      </c>
      <c r="BG45" s="10" t="s">
        <v>25</v>
      </c>
      <c r="BJ45" s="10" t="s">
        <v>25</v>
      </c>
      <c r="BL45" s="10" t="s">
        <v>2705</v>
      </c>
      <c r="BM45" s="10" t="s">
        <v>2716</v>
      </c>
      <c r="BN45" s="10">
        <v>80</v>
      </c>
      <c r="BO45" s="10">
        <v>80</v>
      </c>
      <c r="BP45" s="9" t="s">
        <v>25</v>
      </c>
      <c r="BQ45" s="9" t="s">
        <v>25</v>
      </c>
      <c r="BR45" s="9" t="s">
        <v>25</v>
      </c>
      <c r="BS45" s="9" t="s">
        <v>25</v>
      </c>
      <c r="BW45" s="9" t="s">
        <v>2749</v>
      </c>
      <c r="BX45" s="9" t="s">
        <v>2749</v>
      </c>
      <c r="BY45" s="9" t="s">
        <v>2749</v>
      </c>
      <c r="BZ45" s="9" t="s">
        <v>2749</v>
      </c>
      <c r="CA45" s="9" t="s">
        <v>2749</v>
      </c>
      <c r="CB45" s="9" t="s">
        <v>2749</v>
      </c>
      <c r="CC45" s="9" t="s">
        <v>2749</v>
      </c>
      <c r="CD45" s="9" t="s">
        <v>2675</v>
      </c>
      <c r="CE45" s="9" t="s">
        <v>2675</v>
      </c>
      <c r="CF45" s="9" t="s">
        <v>2675</v>
      </c>
      <c r="CG45" s="9" t="s">
        <v>2675</v>
      </c>
      <c r="CH45" s="9" t="s">
        <v>2675</v>
      </c>
      <c r="CI45" s="9" t="s">
        <v>2675</v>
      </c>
      <c r="CJ45" s="9" t="s">
        <v>2675</v>
      </c>
      <c r="CK45" s="9" t="s">
        <v>2737</v>
      </c>
      <c r="CL45" s="9" t="s">
        <v>2737</v>
      </c>
      <c r="CM45" s="9" t="s">
        <v>2737</v>
      </c>
      <c r="CN45" s="9" t="s">
        <v>2737</v>
      </c>
      <c r="CO45" s="9" t="s">
        <v>2737</v>
      </c>
      <c r="CP45" s="9" t="s">
        <v>2737</v>
      </c>
      <c r="CQ45" s="9" t="s">
        <v>2737</v>
      </c>
      <c r="CR45" s="9" t="s">
        <v>2717</v>
      </c>
      <c r="CS45" s="9" t="s">
        <v>2717</v>
      </c>
      <c r="CT45" s="9" t="s">
        <v>2717</v>
      </c>
      <c r="CU45" s="9" t="s">
        <v>2717</v>
      </c>
      <c r="CV45" s="9" t="s">
        <v>2717</v>
      </c>
      <c r="CW45" s="9" t="s">
        <v>2717</v>
      </c>
      <c r="CX45" s="9" t="s">
        <v>2717</v>
      </c>
      <c r="CY45" s="9" t="s">
        <v>28</v>
      </c>
      <c r="CZ45" s="9" t="s">
        <v>2679</v>
      </c>
      <c r="DA45" s="9" t="s">
        <v>2718</v>
      </c>
      <c r="DB45" s="9" t="s">
        <v>2683</v>
      </c>
      <c r="DC45" s="9" t="s">
        <v>2683</v>
      </c>
      <c r="DD45" s="9" t="s">
        <v>2683</v>
      </c>
      <c r="DG45" s="9" t="s">
        <v>2683</v>
      </c>
      <c r="DH45" s="9" t="s">
        <v>2683</v>
      </c>
      <c r="DI45" s="9" t="s">
        <v>2683</v>
      </c>
      <c r="DL45" s="9" t="s">
        <v>2683</v>
      </c>
      <c r="DN45" s="9" t="s">
        <v>2683</v>
      </c>
      <c r="DO45" s="9" t="s">
        <v>25</v>
      </c>
      <c r="DQ45" s="9" t="s">
        <v>25</v>
      </c>
      <c r="DX45" s="9" t="s">
        <v>28</v>
      </c>
      <c r="DY45" s="9" t="s">
        <v>2679</v>
      </c>
      <c r="DZ45" s="9" t="s">
        <v>2699</v>
      </c>
      <c r="EA45" s="9" t="s">
        <v>2682</v>
      </c>
      <c r="EB45" s="9" t="s">
        <v>25</v>
      </c>
      <c r="ED45" s="9" t="s">
        <v>2789</v>
      </c>
      <c r="EF45" s="9" t="s">
        <v>2790</v>
      </c>
      <c r="EH45" s="9" t="s">
        <v>2685</v>
      </c>
      <c r="EJ45" s="9" t="s">
        <v>28</v>
      </c>
      <c r="EK45" s="9" t="s">
        <v>2679</v>
      </c>
      <c r="EL45" s="9" t="s">
        <v>29</v>
      </c>
      <c r="EM45" s="9" t="s">
        <v>2791</v>
      </c>
      <c r="EN45" s="9" t="s">
        <v>2710</v>
      </c>
      <c r="EO45" s="9" t="s">
        <v>2688</v>
      </c>
      <c r="EQ45" s="9" t="s">
        <v>2792</v>
      </c>
      <c r="ES45" s="9" t="s">
        <v>25</v>
      </c>
      <c r="EU45" s="9" t="s">
        <v>28</v>
      </c>
      <c r="EV45" s="9" t="s">
        <v>13555</v>
      </c>
      <c r="EX45" s="9" t="s">
        <v>25</v>
      </c>
      <c r="EZ45" s="9" t="s">
        <v>1148</v>
      </c>
      <c r="FA45" s="9" t="s">
        <v>1148</v>
      </c>
      <c r="FB45" s="9" t="s">
        <v>1148</v>
      </c>
      <c r="FC45" s="9" t="s">
        <v>1148</v>
      </c>
      <c r="FD45" s="9" t="s">
        <v>1148</v>
      </c>
      <c r="FE45" s="9" t="s">
        <v>1148</v>
      </c>
      <c r="FF45" s="9" t="s">
        <v>1148</v>
      </c>
      <c r="FG45" s="9" t="s">
        <v>1148</v>
      </c>
      <c r="FH45" s="9" t="s">
        <v>1148</v>
      </c>
      <c r="FI45" s="9" t="s">
        <v>1148</v>
      </c>
      <c r="FK45" s="9" t="s">
        <v>1148</v>
      </c>
      <c r="FL45" s="9" t="s">
        <v>1148</v>
      </c>
      <c r="FM45" s="9" t="s">
        <v>1938</v>
      </c>
      <c r="FN45" s="9" t="s">
        <v>1938</v>
      </c>
      <c r="FO45" s="9" t="s">
        <v>1938</v>
      </c>
      <c r="FS45" s="9" t="s">
        <v>25</v>
      </c>
      <c r="FU45" s="9" t="s">
        <v>2793</v>
      </c>
      <c r="FX45" s="9" t="s">
        <v>25</v>
      </c>
      <c r="FZ45" s="9" t="s">
        <v>25</v>
      </c>
      <c r="GB45" s="9" t="s">
        <v>2673</v>
      </c>
      <c r="GD45" s="9" t="s">
        <v>28</v>
      </c>
      <c r="GE45" s="9" t="s">
        <v>2693</v>
      </c>
      <c r="GF45" s="9" t="s">
        <v>25</v>
      </c>
      <c r="GK45" s="9" t="s">
        <v>2695</v>
      </c>
      <c r="GM45" s="9" t="s">
        <v>13973</v>
      </c>
      <c r="GN45" s="9" t="s">
        <v>631</v>
      </c>
      <c r="GO45" s="9" t="s">
        <v>2696</v>
      </c>
      <c r="GP45" s="9" t="s">
        <v>28</v>
      </c>
      <c r="GQ45" s="9" t="s">
        <v>28</v>
      </c>
      <c r="GR45" s="9" t="s">
        <v>1148</v>
      </c>
      <c r="GS45" s="9" t="s">
        <v>1148</v>
      </c>
      <c r="GT45" s="9" t="s">
        <v>2698</v>
      </c>
      <c r="GV45" s="9" t="s">
        <v>25</v>
      </c>
      <c r="HA45" s="9" t="s">
        <v>2702</v>
      </c>
      <c r="HB45" s="9" t="s">
        <v>2702</v>
      </c>
      <c r="HC45" s="9" t="s">
        <v>2702</v>
      </c>
      <c r="HD45" s="9" t="s">
        <v>2702</v>
      </c>
      <c r="HE45" s="9" t="s">
        <v>2702</v>
      </c>
      <c r="HG45" s="9" t="s">
        <v>2765</v>
      </c>
    </row>
    <row r="46" spans="1:215" ht="51" x14ac:dyDescent="0.2">
      <c r="A46" s="8" t="s">
        <v>153</v>
      </c>
      <c r="B46" s="9" t="s">
        <v>25</v>
      </c>
      <c r="U46" s="9" t="s">
        <v>25</v>
      </c>
      <c r="X46" s="9" t="s">
        <v>2753</v>
      </c>
      <c r="Y46" s="10" t="s">
        <v>2668</v>
      </c>
      <c r="Z46" s="25">
        <v>120</v>
      </c>
      <c r="AA46" s="25">
        <v>120</v>
      </c>
      <c r="AB46" s="25">
        <v>120</v>
      </c>
      <c r="AC46" s="25">
        <v>120</v>
      </c>
      <c r="AD46" s="25">
        <v>160</v>
      </c>
      <c r="AE46" s="25">
        <v>160</v>
      </c>
      <c r="AF46" s="25">
        <v>160</v>
      </c>
      <c r="AG46" s="25">
        <v>160</v>
      </c>
      <c r="AH46" s="25">
        <v>160</v>
      </c>
      <c r="AI46" s="25">
        <v>160</v>
      </c>
      <c r="AJ46" s="25">
        <v>160</v>
      </c>
      <c r="AK46" s="25">
        <v>160</v>
      </c>
      <c r="AL46" s="25">
        <v>160</v>
      </c>
      <c r="AM46" s="10" t="s">
        <v>25</v>
      </c>
      <c r="AO46" s="10" t="s">
        <v>2875</v>
      </c>
      <c r="AP46" s="10" t="s">
        <v>2169</v>
      </c>
      <c r="AQ46" s="10">
        <v>40</v>
      </c>
      <c r="BL46" s="10" t="s">
        <v>2668</v>
      </c>
      <c r="BM46" s="10" t="s">
        <v>2671</v>
      </c>
      <c r="BN46" s="10">
        <v>80</v>
      </c>
      <c r="BO46" s="10">
        <v>80</v>
      </c>
      <c r="BP46" s="9" t="s">
        <v>25</v>
      </c>
      <c r="BQ46" s="9" t="s">
        <v>25</v>
      </c>
      <c r="BR46" s="9" t="s">
        <v>25</v>
      </c>
      <c r="BS46" s="9" t="s">
        <v>25</v>
      </c>
      <c r="BW46" s="9" t="s">
        <v>2673</v>
      </c>
      <c r="BX46" s="9" t="s">
        <v>2673</v>
      </c>
      <c r="BY46" s="9" t="s">
        <v>2673</v>
      </c>
      <c r="BZ46" s="9" t="s">
        <v>2673</v>
      </c>
      <c r="CA46" s="9" t="s">
        <v>2673</v>
      </c>
      <c r="CB46" s="9" t="s">
        <v>2673</v>
      </c>
      <c r="CC46" s="9" t="s">
        <v>2749</v>
      </c>
      <c r="CD46" s="9" t="s">
        <v>2675</v>
      </c>
      <c r="CE46" s="9" t="s">
        <v>2675</v>
      </c>
      <c r="CF46" s="9" t="s">
        <v>2675</v>
      </c>
      <c r="CG46" s="9" t="s">
        <v>2675</v>
      </c>
      <c r="CH46" s="9" t="s">
        <v>2675</v>
      </c>
      <c r="CI46" s="9" t="s">
        <v>2675</v>
      </c>
      <c r="CJ46" s="9" t="s">
        <v>2675</v>
      </c>
      <c r="CK46" s="9" t="s">
        <v>2737</v>
      </c>
      <c r="CL46" s="9" t="s">
        <v>2737</v>
      </c>
      <c r="CM46" s="9" t="s">
        <v>2737</v>
      </c>
      <c r="CN46" s="9" t="s">
        <v>2737</v>
      </c>
      <c r="CO46" s="9" t="s">
        <v>2737</v>
      </c>
      <c r="CP46" s="9" t="s">
        <v>2737</v>
      </c>
      <c r="CQ46" s="9" t="s">
        <v>2676</v>
      </c>
      <c r="CR46" s="9" t="s">
        <v>2717</v>
      </c>
      <c r="CS46" s="9" t="s">
        <v>2717</v>
      </c>
      <c r="CT46" s="9" t="s">
        <v>2717</v>
      </c>
      <c r="CU46" s="9" t="s">
        <v>2717</v>
      </c>
      <c r="CV46" s="9" t="s">
        <v>2717</v>
      </c>
      <c r="CW46" s="9" t="s">
        <v>2717</v>
      </c>
      <c r="CX46" s="9" t="s">
        <v>2717</v>
      </c>
      <c r="CY46" s="9" t="s">
        <v>28</v>
      </c>
      <c r="CZ46" s="9" t="s">
        <v>2679</v>
      </c>
      <c r="DA46" s="9" t="s">
        <v>13953</v>
      </c>
      <c r="DB46" s="9" t="s">
        <v>2699</v>
      </c>
      <c r="DC46" s="9" t="s">
        <v>2699</v>
      </c>
      <c r="DD46" s="9" t="s">
        <v>2699</v>
      </c>
      <c r="DE46" s="9" t="s">
        <v>2699</v>
      </c>
      <c r="DG46" s="9" t="s">
        <v>2699</v>
      </c>
      <c r="DH46" s="9" t="s">
        <v>2699</v>
      </c>
      <c r="DI46" s="9" t="s">
        <v>2699</v>
      </c>
      <c r="DJ46" s="9" t="s">
        <v>2699</v>
      </c>
      <c r="DL46" s="9" t="s">
        <v>2811</v>
      </c>
      <c r="DN46" s="9" t="s">
        <v>2699</v>
      </c>
      <c r="DO46" s="9" t="s">
        <v>28</v>
      </c>
      <c r="DP46" s="9" t="s">
        <v>2683</v>
      </c>
      <c r="DQ46" s="9" t="s">
        <v>28</v>
      </c>
      <c r="DR46" s="9" t="s">
        <v>2776</v>
      </c>
      <c r="DS46" s="9" t="s">
        <v>2699</v>
      </c>
      <c r="DT46" s="9" t="s">
        <v>28</v>
      </c>
      <c r="DU46" s="9" t="s">
        <v>13953</v>
      </c>
      <c r="DV46" s="9" t="s">
        <v>25</v>
      </c>
      <c r="DX46" s="9" t="s">
        <v>28</v>
      </c>
      <c r="DY46" s="9" t="s">
        <v>2708</v>
      </c>
      <c r="DZ46" s="9" t="s">
        <v>2699</v>
      </c>
      <c r="EA46" s="9" t="s">
        <v>2682</v>
      </c>
      <c r="EB46" s="9" t="s">
        <v>25</v>
      </c>
      <c r="ED46" s="9" t="s">
        <v>631</v>
      </c>
      <c r="EF46" s="9" t="s">
        <v>2876</v>
      </c>
      <c r="EH46" s="9" t="s">
        <v>25</v>
      </c>
      <c r="EJ46" s="9" t="s">
        <v>25</v>
      </c>
      <c r="EU46" s="9" t="s">
        <v>28</v>
      </c>
      <c r="EV46" s="9" t="s">
        <v>13563</v>
      </c>
      <c r="EX46" s="9" t="s">
        <v>28</v>
      </c>
      <c r="EY46" s="9" t="s">
        <v>1938</v>
      </c>
      <c r="FS46" s="9" t="s">
        <v>25</v>
      </c>
      <c r="FU46" s="9" t="s">
        <v>2730</v>
      </c>
      <c r="FV46" s="9" t="s">
        <v>1148</v>
      </c>
      <c r="FX46" s="9" t="s">
        <v>25</v>
      </c>
      <c r="FZ46" s="9" t="s">
        <v>28</v>
      </c>
      <c r="GA46" s="9" t="s">
        <v>1938</v>
      </c>
      <c r="GB46" s="9" t="s">
        <v>758</v>
      </c>
      <c r="GD46" s="9" t="s">
        <v>28</v>
      </c>
      <c r="GE46" s="9" t="s">
        <v>2693</v>
      </c>
      <c r="GF46" s="9" t="s">
        <v>28</v>
      </c>
      <c r="GG46" s="9" t="s">
        <v>25</v>
      </c>
      <c r="GH46" s="9" t="s">
        <v>2694</v>
      </c>
      <c r="GI46" s="9" t="s">
        <v>25</v>
      </c>
      <c r="GK46" s="9" t="s">
        <v>2695</v>
      </c>
      <c r="GL46" s="9" t="s">
        <v>2877</v>
      </c>
      <c r="GM46" s="9" t="s">
        <v>13980</v>
      </c>
      <c r="GN46" s="9" t="s">
        <v>631</v>
      </c>
      <c r="GO46" s="9" t="s">
        <v>25</v>
      </c>
      <c r="GV46" s="9" t="s">
        <v>41</v>
      </c>
      <c r="HA46" s="9" t="s">
        <v>2701</v>
      </c>
      <c r="HB46" s="9" t="s">
        <v>2701</v>
      </c>
      <c r="HC46" s="9" t="s">
        <v>2702</v>
      </c>
      <c r="HD46" s="9" t="s">
        <v>25</v>
      </c>
      <c r="HE46" s="9" t="s">
        <v>25</v>
      </c>
      <c r="HF46" s="9" t="s">
        <v>1041</v>
      </c>
      <c r="HG46" s="9">
        <v>4</v>
      </c>
    </row>
    <row r="47" spans="1:215" ht="51" x14ac:dyDescent="0.2">
      <c r="A47" s="8" t="s">
        <v>164</v>
      </c>
      <c r="BL47" s="10" t="s">
        <v>2860</v>
      </c>
      <c r="BM47" s="10" t="s">
        <v>2716</v>
      </c>
      <c r="BN47" s="10">
        <v>80</v>
      </c>
      <c r="BO47" s="10">
        <v>80</v>
      </c>
      <c r="BW47" s="9" t="s">
        <v>2674</v>
      </c>
      <c r="BX47" s="9" t="s">
        <v>2674</v>
      </c>
      <c r="BY47" s="9" t="s">
        <v>2674</v>
      </c>
      <c r="BZ47" s="9" t="s">
        <v>2674</v>
      </c>
      <c r="CA47" s="9" t="s">
        <v>2674</v>
      </c>
      <c r="CB47" s="9" t="s">
        <v>2674</v>
      </c>
      <c r="CK47" s="9" t="s">
        <v>2737</v>
      </c>
      <c r="CL47" s="9" t="s">
        <v>2737</v>
      </c>
      <c r="CM47" s="9" t="s">
        <v>2737</v>
      </c>
      <c r="CN47" s="9" t="s">
        <v>2737</v>
      </c>
      <c r="CO47" s="9" t="s">
        <v>2737</v>
      </c>
      <c r="CP47" s="9" t="s">
        <v>2737</v>
      </c>
      <c r="CS47" s="9" t="s">
        <v>2717</v>
      </c>
      <c r="CT47" s="9" t="s">
        <v>2717</v>
      </c>
      <c r="CU47" s="9" t="s">
        <v>2717</v>
      </c>
      <c r="CV47" s="9" t="s">
        <v>2717</v>
      </c>
      <c r="CW47" s="9" t="s">
        <v>2717</v>
      </c>
      <c r="CY47" s="9" t="s">
        <v>28</v>
      </c>
      <c r="CZ47" s="9" t="s">
        <v>2679</v>
      </c>
      <c r="DA47" s="9" t="s">
        <v>13953</v>
      </c>
      <c r="DB47" s="9" t="s">
        <v>2699</v>
      </c>
      <c r="DC47" s="9" t="s">
        <v>2699</v>
      </c>
      <c r="DD47" s="9" t="s">
        <v>2699</v>
      </c>
      <c r="DE47" s="9" t="s">
        <v>2699</v>
      </c>
      <c r="DG47" s="9" t="s">
        <v>2699</v>
      </c>
      <c r="DH47" s="9" t="s">
        <v>2699</v>
      </c>
      <c r="DI47" s="9" t="s">
        <v>2699</v>
      </c>
      <c r="DJ47" s="9" t="s">
        <v>2699</v>
      </c>
      <c r="DL47" s="9" t="s">
        <v>2699</v>
      </c>
      <c r="DN47" s="9" t="s">
        <v>2699</v>
      </c>
      <c r="DO47" s="9" t="s">
        <v>28</v>
      </c>
      <c r="DP47" s="9" t="s">
        <v>2775</v>
      </c>
      <c r="DQ47" s="9" t="s">
        <v>25</v>
      </c>
      <c r="DX47" s="9" t="s">
        <v>28</v>
      </c>
      <c r="DY47" s="9" t="s">
        <v>2708</v>
      </c>
      <c r="DZ47" s="9" t="s">
        <v>2683</v>
      </c>
      <c r="EA47" s="9" t="s">
        <v>2893</v>
      </c>
      <c r="EB47" s="9" t="s">
        <v>25</v>
      </c>
      <c r="ED47" s="9" t="s">
        <v>13547</v>
      </c>
      <c r="EF47" s="9" t="s">
        <v>13957</v>
      </c>
      <c r="EH47" s="9" t="s">
        <v>28</v>
      </c>
      <c r="EI47" s="11">
        <v>0</v>
      </c>
      <c r="EJ47" s="9" t="s">
        <v>28</v>
      </c>
      <c r="EK47" s="9" t="s">
        <v>2679</v>
      </c>
      <c r="EL47" s="9" t="s">
        <v>2686</v>
      </c>
      <c r="EN47" s="9" t="s">
        <v>2720</v>
      </c>
      <c r="EO47" s="9" t="s">
        <v>2721</v>
      </c>
      <c r="EQ47" s="9" t="s">
        <v>2894</v>
      </c>
      <c r="ES47" s="9" t="s">
        <v>28</v>
      </c>
      <c r="ET47" s="9" t="s">
        <v>2720</v>
      </c>
      <c r="EU47" s="9" t="s">
        <v>28</v>
      </c>
      <c r="EV47" s="9" t="s">
        <v>13574</v>
      </c>
      <c r="EX47" s="9" t="s">
        <v>28</v>
      </c>
      <c r="EY47" s="9" t="s">
        <v>1148</v>
      </c>
      <c r="FS47" s="9" t="s">
        <v>28</v>
      </c>
      <c r="FT47" s="9" t="s">
        <v>2725</v>
      </c>
      <c r="FU47" s="9" t="s">
        <v>2730</v>
      </c>
      <c r="FV47" s="9" t="s">
        <v>994</v>
      </c>
      <c r="FX47" s="9" t="s">
        <v>28</v>
      </c>
      <c r="FY47" s="9" t="s">
        <v>2692</v>
      </c>
      <c r="FZ47" s="9" t="s">
        <v>25</v>
      </c>
      <c r="GB47" s="9" t="s">
        <v>612</v>
      </c>
      <c r="GC47" s="9" t="s">
        <v>2690</v>
      </c>
      <c r="GD47" s="9" t="s">
        <v>28</v>
      </c>
      <c r="GE47" s="9" t="s">
        <v>2771</v>
      </c>
      <c r="GF47" s="9" t="s">
        <v>28</v>
      </c>
      <c r="GG47" s="9" t="s">
        <v>25</v>
      </c>
      <c r="GH47" s="9" t="s">
        <v>2687</v>
      </c>
      <c r="GI47" s="9" t="s">
        <v>25</v>
      </c>
      <c r="GK47" s="9" t="s">
        <v>2695</v>
      </c>
      <c r="GM47" s="9" t="s">
        <v>13974</v>
      </c>
      <c r="GN47" s="9" t="s">
        <v>631</v>
      </c>
      <c r="GO47" s="9" t="s">
        <v>25</v>
      </c>
      <c r="GV47" s="9" t="s">
        <v>25</v>
      </c>
      <c r="HA47" s="9" t="s">
        <v>25</v>
      </c>
      <c r="HB47" s="9" t="s">
        <v>2702</v>
      </c>
      <c r="HC47" s="9" t="s">
        <v>2702</v>
      </c>
      <c r="HD47" s="9" t="s">
        <v>25</v>
      </c>
      <c r="HE47" s="9" t="s">
        <v>25</v>
      </c>
      <c r="HF47" s="9" t="s">
        <v>2895</v>
      </c>
      <c r="HG47" s="9">
        <v>2</v>
      </c>
    </row>
    <row r="48" spans="1:215" ht="51" x14ac:dyDescent="0.2">
      <c r="A48" s="8" t="s">
        <v>155</v>
      </c>
      <c r="B48" s="9" t="s">
        <v>28</v>
      </c>
      <c r="C48" s="9" t="s">
        <v>2746</v>
      </c>
      <c r="D48" s="9" t="s">
        <v>13534</v>
      </c>
      <c r="E48" s="9" t="s">
        <v>743</v>
      </c>
      <c r="F48" s="9" t="s">
        <v>743</v>
      </c>
      <c r="G48" s="9" t="s">
        <v>2665</v>
      </c>
      <c r="U48" s="9" t="s">
        <v>25</v>
      </c>
      <c r="X48" s="9" t="s">
        <v>2794</v>
      </c>
      <c r="AR48" s="10" t="s">
        <v>2860</v>
      </c>
      <c r="AS48" s="10">
        <v>176</v>
      </c>
      <c r="AT48" s="10">
        <v>176</v>
      </c>
      <c r="AU48" s="10">
        <v>176</v>
      </c>
      <c r="AV48" s="10">
        <v>176</v>
      </c>
      <c r="AW48" s="10">
        <v>176</v>
      </c>
      <c r="AX48" s="10">
        <v>176</v>
      </c>
      <c r="AY48" s="10">
        <v>176</v>
      </c>
      <c r="AZ48" s="10">
        <v>176</v>
      </c>
      <c r="BA48" s="10">
        <v>216</v>
      </c>
      <c r="BB48" s="10">
        <v>216</v>
      </c>
      <c r="BC48" s="10">
        <v>216</v>
      </c>
      <c r="BD48" s="10">
        <v>256</v>
      </c>
      <c r="BE48" s="10">
        <v>256</v>
      </c>
      <c r="BF48" s="10">
        <v>256</v>
      </c>
      <c r="BG48" s="10" t="s">
        <v>28</v>
      </c>
      <c r="BH48" s="10">
        <v>384</v>
      </c>
      <c r="BI48" s="10" t="s">
        <v>668</v>
      </c>
      <c r="BJ48" s="10" t="s">
        <v>2169</v>
      </c>
      <c r="BK48" s="10">
        <v>40</v>
      </c>
      <c r="BP48" s="9" t="s">
        <v>25</v>
      </c>
      <c r="BQ48" s="9" t="s">
        <v>25</v>
      </c>
      <c r="BR48" s="9" t="s">
        <v>25</v>
      </c>
      <c r="BS48" s="9" t="s">
        <v>25</v>
      </c>
      <c r="BW48" s="9" t="s">
        <v>2673</v>
      </c>
      <c r="BX48" s="9" t="s">
        <v>2673</v>
      </c>
      <c r="BY48" s="9" t="s">
        <v>2673</v>
      </c>
      <c r="BZ48" s="9" t="s">
        <v>2673</v>
      </c>
      <c r="CA48" s="9" t="s">
        <v>2673</v>
      </c>
      <c r="CB48" s="9" t="s">
        <v>2673</v>
      </c>
      <c r="CC48" s="9" t="s">
        <v>2674</v>
      </c>
      <c r="CG48" s="9" t="s">
        <v>41</v>
      </c>
      <c r="CH48" s="9" t="s">
        <v>41</v>
      </c>
      <c r="CI48" s="9" t="s">
        <v>41</v>
      </c>
      <c r="CJ48" s="9" t="s">
        <v>41</v>
      </c>
      <c r="CR48" s="9" t="s">
        <v>2678</v>
      </c>
      <c r="CS48" s="9" t="s">
        <v>2678</v>
      </c>
      <c r="CT48" s="9" t="s">
        <v>2678</v>
      </c>
      <c r="CU48" s="9" t="s">
        <v>2678</v>
      </c>
      <c r="CV48" s="9" t="s">
        <v>2678</v>
      </c>
      <c r="CW48" s="9" t="s">
        <v>2678</v>
      </c>
      <c r="CX48" s="9" t="s">
        <v>2678</v>
      </c>
      <c r="CY48" s="9" t="s">
        <v>28</v>
      </c>
      <c r="CZ48" s="9" t="s">
        <v>2679</v>
      </c>
      <c r="DA48" s="9" t="s">
        <v>13953</v>
      </c>
      <c r="DB48" s="9" t="s">
        <v>2683</v>
      </c>
      <c r="DC48" s="9" t="s">
        <v>2699</v>
      </c>
      <c r="DD48" s="9" t="s">
        <v>2699</v>
      </c>
      <c r="DG48" s="9" t="s">
        <v>2699</v>
      </c>
      <c r="DH48" s="9" t="s">
        <v>2699</v>
      </c>
      <c r="DI48" s="9" t="s">
        <v>2699</v>
      </c>
      <c r="DL48" s="9" t="s">
        <v>2699</v>
      </c>
      <c r="DN48" s="9" t="s">
        <v>2699</v>
      </c>
      <c r="DO48" s="9" t="s">
        <v>28</v>
      </c>
      <c r="DP48" s="9" t="s">
        <v>2683</v>
      </c>
      <c r="DQ48" s="9" t="s">
        <v>25</v>
      </c>
      <c r="DX48" s="9" t="s">
        <v>25</v>
      </c>
      <c r="EJ48" s="9" t="s">
        <v>28</v>
      </c>
      <c r="EK48" s="9" t="s">
        <v>2679</v>
      </c>
      <c r="EL48" s="9" t="s">
        <v>2686</v>
      </c>
      <c r="EN48" s="9" t="s">
        <v>2720</v>
      </c>
      <c r="EO48" s="9" t="s">
        <v>2721</v>
      </c>
      <c r="EQ48" s="9" t="s">
        <v>2792</v>
      </c>
      <c r="ES48" s="9" t="s">
        <v>28</v>
      </c>
      <c r="ET48" s="9" t="s">
        <v>2683</v>
      </c>
      <c r="EU48" s="9" t="s">
        <v>28</v>
      </c>
      <c r="EV48" s="9" t="s">
        <v>13962</v>
      </c>
      <c r="EX48" s="9" t="s">
        <v>28</v>
      </c>
      <c r="EY48" s="9" t="s">
        <v>1148</v>
      </c>
      <c r="FS48" s="9" t="s">
        <v>28</v>
      </c>
      <c r="FT48" s="9" t="s">
        <v>2725</v>
      </c>
      <c r="FU48" s="9" t="s">
        <v>2691</v>
      </c>
      <c r="FX48" s="9" t="s">
        <v>25</v>
      </c>
      <c r="FZ48" s="9" t="s">
        <v>25</v>
      </c>
      <c r="GB48" s="9" t="s">
        <v>693</v>
      </c>
      <c r="GD48" s="9" t="s">
        <v>28</v>
      </c>
      <c r="GE48" s="9" t="s">
        <v>2693</v>
      </c>
      <c r="GF48" s="9" t="s">
        <v>28</v>
      </c>
      <c r="GG48" s="9" t="s">
        <v>25</v>
      </c>
      <c r="GH48" s="9" t="s">
        <v>2683</v>
      </c>
      <c r="GI48" s="9" t="s">
        <v>25</v>
      </c>
      <c r="GJ48" s="9" t="s">
        <v>2683</v>
      </c>
      <c r="GK48" s="9" t="s">
        <v>2695</v>
      </c>
      <c r="GM48" s="9" t="s">
        <v>13981</v>
      </c>
      <c r="GN48" s="9" t="s">
        <v>2712</v>
      </c>
      <c r="GO48" s="9" t="s">
        <v>25</v>
      </c>
      <c r="GT48" s="9" t="s">
        <v>2715</v>
      </c>
      <c r="GU48" s="9" t="s">
        <v>28</v>
      </c>
      <c r="GV48" s="9" t="s">
        <v>25</v>
      </c>
      <c r="HA48" s="9" t="s">
        <v>2701</v>
      </c>
      <c r="HB48" s="9" t="s">
        <v>2701</v>
      </c>
      <c r="HC48" s="9" t="s">
        <v>2701</v>
      </c>
      <c r="HD48" s="9" t="s">
        <v>2701</v>
      </c>
      <c r="HE48" s="9" t="s">
        <v>2701</v>
      </c>
      <c r="HG48" s="9">
        <v>3</v>
      </c>
    </row>
    <row r="49" spans="1:215" ht="63.75" x14ac:dyDescent="0.2">
      <c r="A49" s="8" t="s">
        <v>128</v>
      </c>
      <c r="B49" s="9" t="s">
        <v>28</v>
      </c>
      <c r="C49" s="9" t="s">
        <v>2784</v>
      </c>
      <c r="D49" s="9" t="s">
        <v>13533</v>
      </c>
      <c r="E49" s="9" t="s">
        <v>2785</v>
      </c>
      <c r="F49" s="9" t="s">
        <v>743</v>
      </c>
      <c r="G49" s="9" t="s">
        <v>2665</v>
      </c>
      <c r="H49" s="9" t="s">
        <v>2666</v>
      </c>
      <c r="I49" s="9" t="s">
        <v>2666</v>
      </c>
      <c r="J49" s="9" t="s">
        <v>2666</v>
      </c>
      <c r="K49" s="9" t="s">
        <v>2665</v>
      </c>
      <c r="L49" s="9" t="s">
        <v>2665</v>
      </c>
      <c r="M49" s="9" t="s">
        <v>2665</v>
      </c>
      <c r="N49" s="9" t="s">
        <v>2666</v>
      </c>
      <c r="O49" s="9" t="s">
        <v>2665</v>
      </c>
      <c r="P49" s="9" t="s">
        <v>2665</v>
      </c>
      <c r="Q49" s="9" t="s">
        <v>2665</v>
      </c>
      <c r="R49" s="9" t="s">
        <v>2665</v>
      </c>
      <c r="S49" s="9" t="s">
        <v>2667</v>
      </c>
      <c r="T49" s="9" t="s">
        <v>2666</v>
      </c>
      <c r="U49" s="9" t="s">
        <v>25</v>
      </c>
      <c r="X49" s="9" t="s">
        <v>2704</v>
      </c>
      <c r="AR49" s="10" t="s">
        <v>2705</v>
      </c>
      <c r="AS49" s="10">
        <v>160</v>
      </c>
      <c r="AT49" s="10">
        <v>160</v>
      </c>
      <c r="AU49" s="10">
        <v>160</v>
      </c>
      <c r="AV49" s="10">
        <v>160</v>
      </c>
      <c r="AW49" s="10">
        <v>160</v>
      </c>
      <c r="AX49" s="10">
        <v>200</v>
      </c>
      <c r="AY49" s="10">
        <v>200</v>
      </c>
      <c r="AZ49" s="10">
        <v>200</v>
      </c>
      <c r="BA49" s="10">
        <v>200</v>
      </c>
      <c r="BB49" s="10">
        <v>200</v>
      </c>
      <c r="BC49" s="10">
        <v>240</v>
      </c>
      <c r="BD49" s="10">
        <v>240</v>
      </c>
      <c r="BE49" s="10">
        <v>240</v>
      </c>
      <c r="BF49" s="10">
        <v>240</v>
      </c>
      <c r="BG49" s="10" t="s">
        <v>28</v>
      </c>
      <c r="BH49" s="10">
        <v>360</v>
      </c>
      <c r="BI49" s="10" t="s">
        <v>2786</v>
      </c>
      <c r="BJ49" s="10" t="s">
        <v>2169</v>
      </c>
      <c r="BK49" s="10">
        <v>240</v>
      </c>
      <c r="BP49" s="9" t="s">
        <v>25</v>
      </c>
      <c r="BQ49" s="9" t="s">
        <v>25</v>
      </c>
      <c r="BR49" s="9" t="s">
        <v>25</v>
      </c>
      <c r="BS49" s="9" t="s">
        <v>25</v>
      </c>
      <c r="BW49" s="9" t="s">
        <v>2674</v>
      </c>
      <c r="BX49" s="9" t="s">
        <v>2674</v>
      </c>
      <c r="BY49" s="9" t="s">
        <v>2674</v>
      </c>
      <c r="BZ49" s="9" t="s">
        <v>2674</v>
      </c>
      <c r="CA49" s="9" t="s">
        <v>2674</v>
      </c>
      <c r="CB49" s="9" t="s">
        <v>2674</v>
      </c>
      <c r="CC49" s="9" t="s">
        <v>2674</v>
      </c>
      <c r="CD49" s="9" t="s">
        <v>2675</v>
      </c>
      <c r="CE49" s="9" t="s">
        <v>2675</v>
      </c>
      <c r="CF49" s="9" t="s">
        <v>2675</v>
      </c>
      <c r="CG49" s="9" t="s">
        <v>2675</v>
      </c>
      <c r="CH49" s="9" t="s">
        <v>2675</v>
      </c>
      <c r="CI49" s="9" t="s">
        <v>2675</v>
      </c>
      <c r="CJ49" s="9" t="s">
        <v>2675</v>
      </c>
      <c r="CK49" s="9" t="s">
        <v>2677</v>
      </c>
      <c r="CL49" s="9" t="s">
        <v>2677</v>
      </c>
      <c r="CM49" s="9" t="s">
        <v>2677</v>
      </c>
      <c r="CN49" s="9" t="s">
        <v>2677</v>
      </c>
      <c r="CO49" s="9" t="s">
        <v>2677</v>
      </c>
      <c r="CP49" s="9" t="s">
        <v>2677</v>
      </c>
      <c r="CQ49" s="9" t="s">
        <v>2677</v>
      </c>
      <c r="CR49" s="9" t="s">
        <v>2678</v>
      </c>
      <c r="CS49" s="9" t="s">
        <v>2678</v>
      </c>
      <c r="CT49" s="9" t="s">
        <v>2678</v>
      </c>
      <c r="CU49" s="9" t="s">
        <v>2678</v>
      </c>
      <c r="CV49" s="9" t="s">
        <v>2678</v>
      </c>
      <c r="CW49" s="9" t="s">
        <v>2678</v>
      </c>
      <c r="CX49" s="9" t="s">
        <v>2678</v>
      </c>
      <c r="CY49" s="9" t="s">
        <v>28</v>
      </c>
      <c r="CZ49" s="9" t="s">
        <v>2679</v>
      </c>
      <c r="DA49" s="9" t="s">
        <v>2718</v>
      </c>
      <c r="DB49" s="9" t="s">
        <v>2775</v>
      </c>
      <c r="DC49" s="9" t="s">
        <v>2775</v>
      </c>
      <c r="DG49" s="9" t="s">
        <v>2775</v>
      </c>
      <c r="DH49" s="9" t="s">
        <v>2775</v>
      </c>
      <c r="DL49" s="9" t="s">
        <v>2683</v>
      </c>
      <c r="DN49" s="9" t="s">
        <v>2775</v>
      </c>
      <c r="DO49" s="9" t="s">
        <v>28</v>
      </c>
      <c r="DP49" s="9" t="s">
        <v>2775</v>
      </c>
      <c r="DQ49" s="9" t="s">
        <v>25</v>
      </c>
      <c r="DX49" s="9" t="s">
        <v>25</v>
      </c>
      <c r="EJ49" s="9" t="s">
        <v>25</v>
      </c>
      <c r="EU49" s="9" t="s">
        <v>28</v>
      </c>
      <c r="EV49" s="9" t="s">
        <v>13554</v>
      </c>
      <c r="EX49" s="9" t="s">
        <v>28</v>
      </c>
      <c r="EY49" s="9" t="s">
        <v>1938</v>
      </c>
      <c r="FS49" s="9" t="s">
        <v>25</v>
      </c>
      <c r="FU49" s="9" t="s">
        <v>2730</v>
      </c>
      <c r="FV49" s="9" t="s">
        <v>1148</v>
      </c>
      <c r="FX49" s="9" t="s">
        <v>25</v>
      </c>
      <c r="FZ49" s="9" t="s">
        <v>28</v>
      </c>
      <c r="GA49" s="9" t="s">
        <v>2725</v>
      </c>
      <c r="GB49" s="9" t="s">
        <v>689</v>
      </c>
      <c r="GD49" s="9" t="s">
        <v>28</v>
      </c>
      <c r="GE49" s="9" t="s">
        <v>2771</v>
      </c>
      <c r="GF49" s="9" t="s">
        <v>28</v>
      </c>
      <c r="GG49" s="9" t="s">
        <v>28</v>
      </c>
      <c r="GH49" s="9" t="s">
        <v>2683</v>
      </c>
      <c r="GI49" s="9" t="s">
        <v>25</v>
      </c>
      <c r="GK49" s="9" t="s">
        <v>2695</v>
      </c>
      <c r="GM49" s="9" t="s">
        <v>13972</v>
      </c>
      <c r="GN49" s="9" t="s">
        <v>2712</v>
      </c>
      <c r="GO49" s="9" t="s">
        <v>2713</v>
      </c>
      <c r="GP49" s="9" t="s">
        <v>28</v>
      </c>
      <c r="GQ49" s="9" t="s">
        <v>25</v>
      </c>
      <c r="GR49" s="9" t="s">
        <v>1148</v>
      </c>
      <c r="GT49" s="9" t="s">
        <v>2698</v>
      </c>
      <c r="GU49" s="9" t="s">
        <v>25</v>
      </c>
      <c r="GV49" s="9" t="s">
        <v>25</v>
      </c>
      <c r="HA49" s="9" t="s">
        <v>25</v>
      </c>
      <c r="HB49" s="9" t="s">
        <v>2701</v>
      </c>
      <c r="HC49" s="9" t="s">
        <v>2702</v>
      </c>
      <c r="HD49" s="9" t="s">
        <v>25</v>
      </c>
      <c r="HE49" s="9" t="s">
        <v>2701</v>
      </c>
      <c r="HG49" s="9" t="s">
        <v>2765</v>
      </c>
    </row>
    <row r="50" spans="1:215" ht="63.75" x14ac:dyDescent="0.2">
      <c r="A50" s="8" t="s">
        <v>126</v>
      </c>
      <c r="B50" s="9" t="s">
        <v>28</v>
      </c>
      <c r="C50" s="9" t="s">
        <v>2663</v>
      </c>
      <c r="D50" s="9" t="s">
        <v>13533</v>
      </c>
      <c r="E50" s="9" t="s">
        <v>2664</v>
      </c>
      <c r="F50" s="9" t="s">
        <v>2664</v>
      </c>
      <c r="G50" s="9" t="s">
        <v>2667</v>
      </c>
      <c r="H50" s="9" t="s">
        <v>2667</v>
      </c>
      <c r="I50" s="9" t="s">
        <v>2667</v>
      </c>
      <c r="J50" s="9" t="s">
        <v>2666</v>
      </c>
      <c r="K50" s="9" t="s">
        <v>2667</v>
      </c>
      <c r="L50" s="9" t="s">
        <v>2667</v>
      </c>
      <c r="M50" s="9" t="s">
        <v>2667</v>
      </c>
      <c r="N50" s="9" t="s">
        <v>2666</v>
      </c>
      <c r="O50" s="9" t="s">
        <v>2665</v>
      </c>
      <c r="P50" s="9" t="s">
        <v>2665</v>
      </c>
      <c r="Q50" s="9" t="s">
        <v>2665</v>
      </c>
      <c r="R50" s="9" t="s">
        <v>2665</v>
      </c>
      <c r="S50" s="9" t="s">
        <v>2665</v>
      </c>
      <c r="T50" s="9" t="s">
        <v>2666</v>
      </c>
      <c r="U50" s="9" t="s">
        <v>28</v>
      </c>
      <c r="V50" s="9" t="s">
        <v>612</v>
      </c>
      <c r="X50" s="9" t="s">
        <v>2773</v>
      </c>
      <c r="BL50" s="10" t="s">
        <v>2705</v>
      </c>
      <c r="BM50" s="10" t="s">
        <v>2716</v>
      </c>
      <c r="BN50" s="10">
        <v>40</v>
      </c>
      <c r="BW50" s="9" t="s">
        <v>2673</v>
      </c>
      <c r="BX50" s="9" t="s">
        <v>2673</v>
      </c>
      <c r="BY50" s="9" t="s">
        <v>2673</v>
      </c>
      <c r="BZ50" s="9" t="s">
        <v>2673</v>
      </c>
      <c r="CA50" s="9" t="s">
        <v>2673</v>
      </c>
      <c r="CB50" s="9" t="s">
        <v>2673</v>
      </c>
      <c r="CC50" s="9" t="s">
        <v>2674</v>
      </c>
      <c r="CJ50" s="9" t="s">
        <v>2675</v>
      </c>
      <c r="CK50" s="9" t="s">
        <v>2774</v>
      </c>
      <c r="CL50" s="9" t="s">
        <v>2774</v>
      </c>
      <c r="CM50" s="9" t="s">
        <v>2774</v>
      </c>
      <c r="CN50" s="9" t="s">
        <v>2774</v>
      </c>
      <c r="CO50" s="9" t="s">
        <v>2774</v>
      </c>
      <c r="CP50" s="9" t="s">
        <v>2774</v>
      </c>
      <c r="CQ50" s="9" t="s">
        <v>2774</v>
      </c>
      <c r="CS50" s="9" t="s">
        <v>2717</v>
      </c>
      <c r="CT50" s="9" t="s">
        <v>2717</v>
      </c>
      <c r="CU50" s="9" t="s">
        <v>2717</v>
      </c>
      <c r="CV50" s="9" t="s">
        <v>2717</v>
      </c>
      <c r="CW50" s="9" t="s">
        <v>2717</v>
      </c>
      <c r="CX50" s="9" t="s">
        <v>2717</v>
      </c>
      <c r="CY50" s="9" t="s">
        <v>28</v>
      </c>
      <c r="CZ50" s="9" t="s">
        <v>2679</v>
      </c>
      <c r="DA50" s="9" t="s">
        <v>2709</v>
      </c>
      <c r="DB50" s="9" t="s">
        <v>2775</v>
      </c>
      <c r="DC50" s="9" t="s">
        <v>2719</v>
      </c>
      <c r="DG50" s="9" t="s">
        <v>2775</v>
      </c>
      <c r="DH50" s="9" t="s">
        <v>2719</v>
      </c>
      <c r="DL50" s="9" t="s">
        <v>2719</v>
      </c>
      <c r="DN50" s="9" t="s">
        <v>2719</v>
      </c>
      <c r="DO50" s="9" t="s">
        <v>28</v>
      </c>
      <c r="DP50" s="9" t="s">
        <v>2775</v>
      </c>
      <c r="DQ50" s="9" t="s">
        <v>28</v>
      </c>
      <c r="DR50" s="9" t="s">
        <v>2776</v>
      </c>
      <c r="DS50" s="9" t="s">
        <v>2719</v>
      </c>
      <c r="DT50" s="9" t="s">
        <v>28</v>
      </c>
      <c r="DU50" s="9" t="s">
        <v>2709</v>
      </c>
      <c r="DV50" s="9" t="s">
        <v>28</v>
      </c>
      <c r="DW50" s="9" t="s">
        <v>2683</v>
      </c>
      <c r="DX50" s="9" t="s">
        <v>28</v>
      </c>
      <c r="DY50" s="9" t="s">
        <v>2679</v>
      </c>
      <c r="DZ50" s="9" t="s">
        <v>2687</v>
      </c>
      <c r="EA50" s="9" t="s">
        <v>2682</v>
      </c>
      <c r="EB50" s="9" t="s">
        <v>28</v>
      </c>
      <c r="EC50" s="9" t="s">
        <v>2720</v>
      </c>
      <c r="ED50" s="9" t="s">
        <v>631</v>
      </c>
      <c r="EF50" s="9" t="s">
        <v>13957</v>
      </c>
      <c r="EH50" s="9" t="s">
        <v>2685</v>
      </c>
      <c r="EJ50" s="9" t="s">
        <v>28</v>
      </c>
      <c r="EK50" s="9" t="s">
        <v>2679</v>
      </c>
      <c r="EL50" s="9" t="s">
        <v>2686</v>
      </c>
      <c r="EN50" s="9" t="s">
        <v>2687</v>
      </c>
      <c r="EO50" s="9" t="s">
        <v>2742</v>
      </c>
      <c r="EQ50" s="9" t="s">
        <v>2743</v>
      </c>
      <c r="ES50" s="9" t="s">
        <v>28</v>
      </c>
      <c r="ET50" s="9" t="s">
        <v>2687</v>
      </c>
      <c r="EU50" s="9" t="s">
        <v>28</v>
      </c>
      <c r="EV50" s="9" t="s">
        <v>13960</v>
      </c>
      <c r="EX50" s="9" t="s">
        <v>28</v>
      </c>
      <c r="EY50" s="9" t="s">
        <v>994</v>
      </c>
      <c r="FS50" s="9" t="s">
        <v>25</v>
      </c>
      <c r="FU50" s="9" t="s">
        <v>2730</v>
      </c>
      <c r="FV50" s="9" t="s">
        <v>2769</v>
      </c>
      <c r="FX50" s="9" t="s">
        <v>25</v>
      </c>
      <c r="FZ50" s="9" t="s">
        <v>25</v>
      </c>
      <c r="GB50" s="9" t="s">
        <v>693</v>
      </c>
      <c r="GD50" s="9" t="s">
        <v>28</v>
      </c>
      <c r="GE50" s="9" t="s">
        <v>2771</v>
      </c>
      <c r="GF50" s="9" t="s">
        <v>28</v>
      </c>
      <c r="GG50" s="9" t="s">
        <v>25</v>
      </c>
      <c r="GH50" s="9" t="s">
        <v>2687</v>
      </c>
      <c r="GI50" s="9" t="s">
        <v>28</v>
      </c>
      <c r="GJ50" s="9" t="s">
        <v>2687</v>
      </c>
      <c r="GK50" s="9" t="s">
        <v>2695</v>
      </c>
      <c r="GM50" s="9" t="s">
        <v>13970</v>
      </c>
      <c r="GN50" s="9" t="s">
        <v>631</v>
      </c>
      <c r="GO50" s="9" t="s">
        <v>2696</v>
      </c>
      <c r="GP50" s="9" t="s">
        <v>28</v>
      </c>
      <c r="GQ50" s="9" t="s">
        <v>28</v>
      </c>
      <c r="GR50" s="9" t="s">
        <v>2745</v>
      </c>
      <c r="GS50" s="9" t="s">
        <v>2745</v>
      </c>
      <c r="GT50" s="9" t="s">
        <v>2698</v>
      </c>
      <c r="GU50" s="9" t="s">
        <v>2777</v>
      </c>
      <c r="GV50" s="9" t="s">
        <v>25</v>
      </c>
      <c r="HA50" s="9" t="s">
        <v>2701</v>
      </c>
      <c r="HB50" s="9" t="s">
        <v>2701</v>
      </c>
      <c r="HC50" s="9" t="s">
        <v>2702</v>
      </c>
      <c r="HD50" s="9" t="s">
        <v>25</v>
      </c>
      <c r="HE50" s="9" t="s">
        <v>25</v>
      </c>
      <c r="HF50" s="9" t="s">
        <v>2778</v>
      </c>
      <c r="HG50" s="9" t="s">
        <v>2765</v>
      </c>
    </row>
    <row r="51" spans="1:215" ht="63.75" x14ac:dyDescent="0.2">
      <c r="A51" s="8" t="s">
        <v>130</v>
      </c>
      <c r="B51" s="9" t="s">
        <v>25</v>
      </c>
      <c r="U51" s="9" t="s">
        <v>25</v>
      </c>
      <c r="X51" s="9" t="s">
        <v>2794</v>
      </c>
      <c r="AR51" s="10" t="s">
        <v>2705</v>
      </c>
      <c r="AS51" s="10">
        <v>160</v>
      </c>
      <c r="AT51" s="10">
        <v>160</v>
      </c>
      <c r="AU51" s="10">
        <v>160</v>
      </c>
      <c r="AV51" s="10">
        <v>160</v>
      </c>
      <c r="AW51" s="10">
        <v>160</v>
      </c>
      <c r="AX51" s="10">
        <v>160</v>
      </c>
      <c r="AY51" s="10">
        <v>160</v>
      </c>
      <c r="AZ51" s="10">
        <v>160</v>
      </c>
      <c r="BA51" s="10">
        <v>160</v>
      </c>
      <c r="BB51" s="10">
        <v>160</v>
      </c>
      <c r="BC51" s="10">
        <v>160</v>
      </c>
      <c r="BD51" s="10">
        <v>160</v>
      </c>
      <c r="BE51" s="10">
        <v>160</v>
      </c>
      <c r="BF51" s="10">
        <v>160</v>
      </c>
      <c r="BG51" s="10" t="s">
        <v>28</v>
      </c>
      <c r="BH51" s="10">
        <v>240</v>
      </c>
      <c r="BI51" s="10" t="s">
        <v>2795</v>
      </c>
      <c r="BJ51" s="10" t="s">
        <v>2169</v>
      </c>
      <c r="BK51" s="10">
        <v>24</v>
      </c>
      <c r="BP51" s="9" t="s">
        <v>25</v>
      </c>
      <c r="BQ51" s="9" t="s">
        <v>25</v>
      </c>
      <c r="BR51" s="9" t="s">
        <v>25</v>
      </c>
      <c r="BS51" s="9" t="s">
        <v>25</v>
      </c>
      <c r="BW51" s="9" t="s">
        <v>2673</v>
      </c>
      <c r="BX51" s="9" t="s">
        <v>2673</v>
      </c>
      <c r="BY51" s="9" t="s">
        <v>2674</v>
      </c>
      <c r="BZ51" s="9" t="s">
        <v>2674</v>
      </c>
      <c r="CA51" s="9" t="s">
        <v>2674</v>
      </c>
      <c r="CB51" s="9" t="s">
        <v>2674</v>
      </c>
      <c r="CC51" s="9" t="s">
        <v>2674</v>
      </c>
      <c r="CF51" s="9" t="s">
        <v>2675</v>
      </c>
      <c r="CG51" s="9" t="s">
        <v>2675</v>
      </c>
      <c r="CH51" s="9" t="s">
        <v>2675</v>
      </c>
      <c r="CI51" s="9" t="s">
        <v>2675</v>
      </c>
      <c r="CJ51" s="9" t="s">
        <v>2675</v>
      </c>
      <c r="CK51" s="9" t="s">
        <v>2677</v>
      </c>
      <c r="CL51" s="9" t="s">
        <v>2677</v>
      </c>
      <c r="CM51" s="9" t="s">
        <v>2677</v>
      </c>
      <c r="CN51" s="9" t="s">
        <v>2677</v>
      </c>
      <c r="CO51" s="9" t="s">
        <v>2677</v>
      </c>
      <c r="CP51" s="9" t="s">
        <v>2677</v>
      </c>
      <c r="CQ51" s="9" t="s">
        <v>2677</v>
      </c>
      <c r="CT51" s="9" t="s">
        <v>2678</v>
      </c>
      <c r="CU51" s="9" t="s">
        <v>2678</v>
      </c>
      <c r="CV51" s="9" t="s">
        <v>2678</v>
      </c>
      <c r="CW51" s="9" t="s">
        <v>2678</v>
      </c>
      <c r="CX51" s="9" t="s">
        <v>2678</v>
      </c>
      <c r="CY51" s="9" t="s">
        <v>28</v>
      </c>
      <c r="CZ51" s="9" t="s">
        <v>2679</v>
      </c>
      <c r="DA51" s="9" t="s">
        <v>13953</v>
      </c>
      <c r="DB51" s="9" t="s">
        <v>2759</v>
      </c>
      <c r="DC51" s="9" t="s">
        <v>2759</v>
      </c>
      <c r="DD51" s="9" t="s">
        <v>2759</v>
      </c>
      <c r="DG51" s="9" t="s">
        <v>2726</v>
      </c>
      <c r="DH51" s="9" t="s">
        <v>2726</v>
      </c>
      <c r="DI51" s="9" t="s">
        <v>2726</v>
      </c>
      <c r="DL51" s="9" t="s">
        <v>2759</v>
      </c>
      <c r="DN51" s="9" t="s">
        <v>2759</v>
      </c>
      <c r="DO51" s="9" t="s">
        <v>28</v>
      </c>
      <c r="DP51" s="9" t="s">
        <v>2759</v>
      </c>
      <c r="DQ51" s="9" t="s">
        <v>28</v>
      </c>
      <c r="DR51" s="9" t="s">
        <v>2776</v>
      </c>
      <c r="DS51" s="9" t="s">
        <v>2726</v>
      </c>
      <c r="DT51" s="9" t="s">
        <v>28</v>
      </c>
      <c r="DU51" s="9" t="s">
        <v>13953</v>
      </c>
      <c r="DV51" s="9" t="s">
        <v>28</v>
      </c>
      <c r="DW51" s="9" t="s">
        <v>2768</v>
      </c>
      <c r="DX51" s="9" t="s">
        <v>25</v>
      </c>
      <c r="EJ51" s="9" t="s">
        <v>28</v>
      </c>
      <c r="EK51" s="9" t="s">
        <v>2679</v>
      </c>
      <c r="EL51" s="9" t="s">
        <v>2686</v>
      </c>
      <c r="EN51" s="9" t="s">
        <v>2720</v>
      </c>
      <c r="EO51" s="9" t="s">
        <v>2721</v>
      </c>
      <c r="EQ51" s="9" t="s">
        <v>2689</v>
      </c>
      <c r="ES51" s="9" t="s">
        <v>25</v>
      </c>
      <c r="EU51" s="9" t="s">
        <v>28</v>
      </c>
      <c r="EV51" s="9" t="s">
        <v>13556</v>
      </c>
      <c r="EX51" s="9" t="s">
        <v>25</v>
      </c>
      <c r="EZ51" s="9" t="s">
        <v>2690</v>
      </c>
      <c r="FA51" s="9" t="s">
        <v>2690</v>
      </c>
      <c r="FB51" s="9" t="s">
        <v>2690</v>
      </c>
      <c r="FC51" s="9" t="s">
        <v>2690</v>
      </c>
      <c r="FD51" s="9" t="s">
        <v>2690</v>
      </c>
      <c r="FF51" s="9" t="s">
        <v>2690</v>
      </c>
      <c r="FG51" s="9" t="s">
        <v>1148</v>
      </c>
      <c r="FH51" s="9" t="s">
        <v>1148</v>
      </c>
      <c r="FI51" s="9" t="s">
        <v>1938</v>
      </c>
      <c r="FK51" s="9" t="s">
        <v>1148</v>
      </c>
      <c r="FL51" s="9" t="s">
        <v>1148</v>
      </c>
      <c r="FM51" s="9" t="s">
        <v>1938</v>
      </c>
      <c r="FN51" s="9" t="s">
        <v>1938</v>
      </c>
      <c r="FO51" s="9" t="s">
        <v>1938</v>
      </c>
      <c r="FS51" s="9" t="s">
        <v>25</v>
      </c>
      <c r="FU51" s="9" t="s">
        <v>2730</v>
      </c>
      <c r="FV51" s="9" t="s">
        <v>1148</v>
      </c>
      <c r="FX51" s="9" t="s">
        <v>25</v>
      </c>
      <c r="FZ51" s="9" t="s">
        <v>28</v>
      </c>
      <c r="GA51" s="9" t="s">
        <v>1938</v>
      </c>
      <c r="GB51" s="9" t="s">
        <v>693</v>
      </c>
      <c r="GD51" s="9" t="s">
        <v>28</v>
      </c>
      <c r="GE51" s="9" t="s">
        <v>2693</v>
      </c>
      <c r="GF51" s="9" t="s">
        <v>28</v>
      </c>
      <c r="GG51" s="9" t="s">
        <v>25</v>
      </c>
      <c r="GH51" s="9" t="s">
        <v>2775</v>
      </c>
      <c r="GI51" s="9" t="s">
        <v>28</v>
      </c>
      <c r="GJ51" s="9" t="s">
        <v>2775</v>
      </c>
      <c r="GK51" s="9" t="s">
        <v>2796</v>
      </c>
      <c r="GM51" s="9" t="s">
        <v>13974</v>
      </c>
      <c r="GN51" s="9" t="s">
        <v>2712</v>
      </c>
      <c r="GO51" s="9" t="s">
        <v>2713</v>
      </c>
      <c r="GP51" s="9" t="s">
        <v>28</v>
      </c>
      <c r="GQ51" s="9" t="s">
        <v>28</v>
      </c>
      <c r="GR51" s="9" t="s">
        <v>2745</v>
      </c>
      <c r="GS51" s="9" t="s">
        <v>2745</v>
      </c>
      <c r="GT51" s="9" t="s">
        <v>2698</v>
      </c>
      <c r="GV51" s="9" t="s">
        <v>25</v>
      </c>
      <c r="HA51" s="9" t="s">
        <v>2702</v>
      </c>
      <c r="HB51" s="9" t="s">
        <v>2702</v>
      </c>
      <c r="HC51" s="9" t="s">
        <v>2702</v>
      </c>
      <c r="HD51" s="9" t="s">
        <v>25</v>
      </c>
      <c r="HE51" s="9" t="s">
        <v>25</v>
      </c>
      <c r="HG51" s="9">
        <v>3</v>
      </c>
    </row>
    <row r="52" spans="1:215" ht="51" x14ac:dyDescent="0.2">
      <c r="A52" s="8" t="s">
        <v>173</v>
      </c>
      <c r="B52" s="9" t="s">
        <v>25</v>
      </c>
      <c r="U52" s="9" t="s">
        <v>25</v>
      </c>
      <c r="X52" s="9" t="s">
        <v>13535</v>
      </c>
      <c r="Y52" s="10" t="s">
        <v>2668</v>
      </c>
      <c r="Z52" s="10">
        <v>80</v>
      </c>
      <c r="AA52" s="10">
        <v>80</v>
      </c>
      <c r="AB52" s="10">
        <v>80</v>
      </c>
      <c r="AC52" s="10">
        <v>80</v>
      </c>
      <c r="AD52" s="10">
        <v>80</v>
      </c>
      <c r="AE52" s="10">
        <v>80</v>
      </c>
      <c r="AF52" s="10">
        <v>80</v>
      </c>
      <c r="AG52" s="10">
        <v>80</v>
      </c>
      <c r="AH52" s="10">
        <v>80</v>
      </c>
      <c r="AI52" s="10">
        <v>80</v>
      </c>
      <c r="AJ52" s="10">
        <v>80</v>
      </c>
      <c r="AK52" s="10">
        <v>80</v>
      </c>
      <c r="AL52" s="10">
        <v>80</v>
      </c>
      <c r="AM52" s="10" t="s">
        <v>25</v>
      </c>
      <c r="AO52" s="10" t="s">
        <v>2916</v>
      </c>
      <c r="AP52" s="10" t="s">
        <v>25</v>
      </c>
      <c r="AR52" s="10" t="s">
        <v>2668</v>
      </c>
      <c r="BG52" s="10" t="s">
        <v>25</v>
      </c>
      <c r="BJ52" s="10" t="s">
        <v>25</v>
      </c>
      <c r="BL52" s="10" t="s">
        <v>2668</v>
      </c>
      <c r="BM52" s="10" t="s">
        <v>2671</v>
      </c>
      <c r="BN52" s="10">
        <v>240</v>
      </c>
      <c r="BO52" s="10">
        <v>240</v>
      </c>
      <c r="BP52" s="9" t="s">
        <v>25</v>
      </c>
      <c r="BQ52" s="9" t="s">
        <v>25</v>
      </c>
      <c r="BR52" s="9" t="s">
        <v>25</v>
      </c>
      <c r="BS52" s="9" t="s">
        <v>25</v>
      </c>
      <c r="BW52" s="9" t="s">
        <v>2673</v>
      </c>
      <c r="BX52" s="9" t="s">
        <v>2673</v>
      </c>
      <c r="BY52" s="9" t="s">
        <v>2673</v>
      </c>
      <c r="BZ52" s="9" t="s">
        <v>2673</v>
      </c>
      <c r="CA52" s="9" t="s">
        <v>2673</v>
      </c>
      <c r="CB52" s="9" t="s">
        <v>2673</v>
      </c>
      <c r="CC52" s="9" t="s">
        <v>2674</v>
      </c>
      <c r="CJ52" s="9" t="s">
        <v>2675</v>
      </c>
      <c r="CQ52" s="9" t="s">
        <v>2677</v>
      </c>
      <c r="CR52" s="9" t="s">
        <v>2717</v>
      </c>
      <c r="CS52" s="9" t="s">
        <v>2717</v>
      </c>
      <c r="CT52" s="9" t="s">
        <v>2717</v>
      </c>
      <c r="CU52" s="9" t="s">
        <v>2717</v>
      </c>
      <c r="CV52" s="9" t="s">
        <v>2717</v>
      </c>
      <c r="CW52" s="9" t="s">
        <v>2717</v>
      </c>
      <c r="CX52" s="9" t="s">
        <v>2717</v>
      </c>
      <c r="CY52" s="9" t="s">
        <v>28</v>
      </c>
      <c r="CZ52" s="9" t="s">
        <v>2708</v>
      </c>
      <c r="DA52" s="9" t="s">
        <v>2709</v>
      </c>
      <c r="DB52" s="9" t="s">
        <v>2804</v>
      </c>
      <c r="DC52" s="9" t="s">
        <v>2804</v>
      </c>
      <c r="DG52" s="9" t="s">
        <v>2804</v>
      </c>
      <c r="DH52" s="9" t="s">
        <v>2804</v>
      </c>
      <c r="DL52" s="9" t="s">
        <v>2804</v>
      </c>
      <c r="DN52" s="9" t="s">
        <v>2804</v>
      </c>
      <c r="DO52" s="9" t="s">
        <v>25</v>
      </c>
      <c r="DQ52" s="9" t="s">
        <v>25</v>
      </c>
      <c r="DX52" s="9" t="s">
        <v>25</v>
      </c>
      <c r="EJ52" s="9" t="s">
        <v>28</v>
      </c>
      <c r="EK52" s="9" t="s">
        <v>2917</v>
      </c>
      <c r="EL52" s="9" t="s">
        <v>2918</v>
      </c>
      <c r="EN52" s="9" t="s">
        <v>2694</v>
      </c>
      <c r="EO52" s="9" t="s">
        <v>2721</v>
      </c>
      <c r="EQ52" s="9" t="s">
        <v>2792</v>
      </c>
      <c r="ES52" s="9" t="s">
        <v>25</v>
      </c>
      <c r="EU52" s="9" t="s">
        <v>28</v>
      </c>
      <c r="EV52" s="9" t="s">
        <v>13549</v>
      </c>
      <c r="EX52" s="9" t="s">
        <v>28</v>
      </c>
      <c r="EY52" s="9" t="s">
        <v>1148</v>
      </c>
      <c r="FS52" s="9" t="s">
        <v>25</v>
      </c>
      <c r="FU52" s="9" t="s">
        <v>2730</v>
      </c>
      <c r="FV52" s="9" t="s">
        <v>994</v>
      </c>
      <c r="FX52" s="9" t="s">
        <v>25</v>
      </c>
      <c r="FZ52" s="9" t="s">
        <v>25</v>
      </c>
      <c r="GB52" s="9" t="s">
        <v>689</v>
      </c>
      <c r="GD52" s="9" t="s">
        <v>28</v>
      </c>
      <c r="GE52" s="9" t="s">
        <v>2771</v>
      </c>
      <c r="GF52" s="9" t="s">
        <v>28</v>
      </c>
      <c r="GG52" s="9" t="s">
        <v>25</v>
      </c>
      <c r="GH52" s="9" t="s">
        <v>2759</v>
      </c>
      <c r="GI52" s="9" t="s">
        <v>25</v>
      </c>
      <c r="GK52" s="9" t="s">
        <v>2695</v>
      </c>
      <c r="GM52" s="9" t="s">
        <v>13975</v>
      </c>
      <c r="GN52" s="9" t="s">
        <v>2712</v>
      </c>
      <c r="GO52" s="9" t="s">
        <v>25</v>
      </c>
      <c r="GV52" s="9" t="s">
        <v>25</v>
      </c>
      <c r="HA52" s="9" t="s">
        <v>2701</v>
      </c>
      <c r="HB52" s="9" t="s">
        <v>2702</v>
      </c>
      <c r="HC52" s="9" t="s">
        <v>25</v>
      </c>
      <c r="HD52" s="9" t="s">
        <v>25</v>
      </c>
      <c r="HE52" s="9" t="s">
        <v>2701</v>
      </c>
      <c r="HG52" s="9">
        <v>4</v>
      </c>
    </row>
    <row r="53" spans="1:215" ht="63.75" x14ac:dyDescent="0.2">
      <c r="A53" s="8" t="s">
        <v>178</v>
      </c>
      <c r="B53" s="9" t="s">
        <v>28</v>
      </c>
      <c r="C53" s="9" t="s">
        <v>2746</v>
      </c>
      <c r="D53" s="9" t="s">
        <v>13532</v>
      </c>
      <c r="E53" s="9" t="s">
        <v>632</v>
      </c>
      <c r="F53" s="9" t="s">
        <v>2664</v>
      </c>
      <c r="G53" s="9" t="s">
        <v>2665</v>
      </c>
      <c r="H53" s="9" t="s">
        <v>2667</v>
      </c>
      <c r="I53" s="9" t="s">
        <v>2665</v>
      </c>
      <c r="J53" s="9" t="s">
        <v>2666</v>
      </c>
      <c r="K53" s="9" t="s">
        <v>2665</v>
      </c>
      <c r="L53" s="9" t="s">
        <v>2667</v>
      </c>
      <c r="M53" s="9" t="s">
        <v>2665</v>
      </c>
      <c r="N53" s="9" t="s">
        <v>2666</v>
      </c>
      <c r="O53" s="9" t="s">
        <v>2666</v>
      </c>
      <c r="P53" s="9" t="s">
        <v>2665</v>
      </c>
      <c r="Q53" s="9" t="s">
        <v>2665</v>
      </c>
      <c r="R53" s="9" t="s">
        <v>2667</v>
      </c>
      <c r="S53" s="9" t="s">
        <v>2665</v>
      </c>
      <c r="T53" s="9" t="s">
        <v>2665</v>
      </c>
      <c r="U53" s="9" t="s">
        <v>28</v>
      </c>
      <c r="V53" s="9" t="s">
        <v>743</v>
      </c>
      <c r="X53" s="9" t="s">
        <v>2753</v>
      </c>
      <c r="Y53" s="10" t="s">
        <v>2705</v>
      </c>
      <c r="Z53" s="10">
        <v>120</v>
      </c>
      <c r="AA53" s="10">
        <v>120</v>
      </c>
      <c r="AB53" s="10">
        <v>120</v>
      </c>
      <c r="AC53" s="10">
        <v>160</v>
      </c>
      <c r="AD53" s="10">
        <v>160</v>
      </c>
      <c r="AE53" s="10">
        <v>160</v>
      </c>
      <c r="AF53" s="10">
        <v>160</v>
      </c>
      <c r="AG53" s="10">
        <v>160</v>
      </c>
      <c r="AH53" s="10">
        <v>176</v>
      </c>
      <c r="AI53" s="10">
        <v>176</v>
      </c>
      <c r="AJ53" s="10">
        <v>216</v>
      </c>
      <c r="AK53" s="10">
        <v>216</v>
      </c>
      <c r="AL53" s="10">
        <v>216</v>
      </c>
      <c r="AM53" s="10" t="s">
        <v>25</v>
      </c>
      <c r="AO53" s="10" t="s">
        <v>2929</v>
      </c>
      <c r="AP53" s="10" t="s">
        <v>2169</v>
      </c>
      <c r="AQ53" s="10">
        <v>24</v>
      </c>
      <c r="BL53" s="10" t="s">
        <v>2705</v>
      </c>
      <c r="BM53" s="10" t="s">
        <v>2716</v>
      </c>
      <c r="BN53" s="10">
        <v>48</v>
      </c>
      <c r="BO53" s="10">
        <v>288</v>
      </c>
      <c r="BP53" s="9" t="s">
        <v>2806</v>
      </c>
      <c r="BQ53" s="9" t="s">
        <v>25</v>
      </c>
      <c r="BR53" s="9" t="s">
        <v>25</v>
      </c>
      <c r="BS53" s="9" t="s">
        <v>25</v>
      </c>
      <c r="BT53" s="9" t="s">
        <v>2806</v>
      </c>
      <c r="BU53" s="9" t="s">
        <v>25</v>
      </c>
      <c r="BW53" s="9" t="s">
        <v>2673</v>
      </c>
      <c r="BX53" s="9" t="s">
        <v>2673</v>
      </c>
      <c r="BY53" s="9" t="s">
        <v>2673</v>
      </c>
      <c r="BZ53" s="9" t="s">
        <v>2673</v>
      </c>
      <c r="CA53" s="9" t="s">
        <v>2673</v>
      </c>
      <c r="CB53" s="9" t="s">
        <v>2673</v>
      </c>
      <c r="CC53" s="9" t="s">
        <v>2749</v>
      </c>
      <c r="CJ53" s="9" t="s">
        <v>2675</v>
      </c>
      <c r="CQ53" s="9" t="s">
        <v>2676</v>
      </c>
      <c r="CR53" s="9" t="s">
        <v>2738</v>
      </c>
      <c r="CS53" s="9" t="s">
        <v>2738</v>
      </c>
      <c r="CT53" s="9" t="s">
        <v>2738</v>
      </c>
      <c r="CU53" s="9" t="s">
        <v>2738</v>
      </c>
      <c r="CV53" s="9" t="s">
        <v>2738</v>
      </c>
      <c r="CW53" s="9" t="s">
        <v>2738</v>
      </c>
      <c r="CX53" s="9" t="s">
        <v>2717</v>
      </c>
      <c r="CY53" s="9" t="s">
        <v>28</v>
      </c>
      <c r="CZ53" s="9" t="s">
        <v>2679</v>
      </c>
      <c r="DA53" s="9" t="s">
        <v>2718</v>
      </c>
      <c r="DB53" s="9" t="s">
        <v>2683</v>
      </c>
      <c r="DC53" s="9" t="s">
        <v>2683</v>
      </c>
      <c r="DD53" s="9" t="s">
        <v>2683</v>
      </c>
      <c r="DG53" s="9" t="s">
        <v>2683</v>
      </c>
      <c r="DH53" s="9" t="s">
        <v>2683</v>
      </c>
      <c r="DI53" s="9" t="s">
        <v>2683</v>
      </c>
      <c r="DL53" s="9" t="s">
        <v>2683</v>
      </c>
      <c r="DN53" s="9" t="s">
        <v>2683</v>
      </c>
      <c r="DO53" s="9" t="s">
        <v>28</v>
      </c>
      <c r="DP53" s="9" t="s">
        <v>2683</v>
      </c>
      <c r="DQ53" s="9" t="s">
        <v>25</v>
      </c>
      <c r="DX53" s="9" t="s">
        <v>28</v>
      </c>
      <c r="DY53" s="9" t="s">
        <v>2708</v>
      </c>
      <c r="DZ53" s="9" t="s">
        <v>2699</v>
      </c>
      <c r="EA53" s="9" t="s">
        <v>2750</v>
      </c>
      <c r="EB53" s="9" t="s">
        <v>25</v>
      </c>
      <c r="ED53" s="9" t="s">
        <v>631</v>
      </c>
      <c r="EF53" s="9" t="s">
        <v>631</v>
      </c>
      <c r="EH53" s="9" t="s">
        <v>2685</v>
      </c>
      <c r="EJ53" s="9" t="s">
        <v>28</v>
      </c>
      <c r="EK53" s="9" t="s">
        <v>2679</v>
      </c>
      <c r="EL53" s="9" t="s">
        <v>2686</v>
      </c>
      <c r="EN53" s="9" t="s">
        <v>2687</v>
      </c>
      <c r="EO53" s="9" t="s">
        <v>2721</v>
      </c>
      <c r="EQ53" s="9" t="s">
        <v>2689</v>
      </c>
      <c r="ES53" s="9" t="s">
        <v>28</v>
      </c>
      <c r="ET53" s="9" t="s">
        <v>2687</v>
      </c>
      <c r="EU53" s="9" t="s">
        <v>28</v>
      </c>
      <c r="EV53" s="9" t="s">
        <v>13564</v>
      </c>
      <c r="EX53" s="9" t="s">
        <v>28</v>
      </c>
      <c r="EY53" s="9" t="s">
        <v>1938</v>
      </c>
      <c r="FS53" s="9" t="s">
        <v>28</v>
      </c>
      <c r="FT53" s="9" t="s">
        <v>2725</v>
      </c>
      <c r="FU53" s="9" t="s">
        <v>2793</v>
      </c>
      <c r="FX53" s="9" t="s">
        <v>25</v>
      </c>
      <c r="FZ53" s="9" t="s">
        <v>25</v>
      </c>
      <c r="GB53" s="9" t="s">
        <v>612</v>
      </c>
      <c r="GC53" s="9" t="s">
        <v>2930</v>
      </c>
      <c r="GD53" s="9" t="s">
        <v>28</v>
      </c>
      <c r="GE53" s="9" t="s">
        <v>2693</v>
      </c>
      <c r="GF53" s="9" t="s">
        <v>28</v>
      </c>
      <c r="GG53" s="9" t="s">
        <v>25</v>
      </c>
      <c r="GH53" s="9" t="s">
        <v>2687</v>
      </c>
      <c r="GI53" s="9" t="s">
        <v>25</v>
      </c>
      <c r="GK53" s="9" t="s">
        <v>2695</v>
      </c>
      <c r="GL53" s="9" t="s">
        <v>2931</v>
      </c>
      <c r="GM53" s="9" t="s">
        <v>13963</v>
      </c>
      <c r="GN53" s="9" t="s">
        <v>631</v>
      </c>
      <c r="GO53" s="9" t="s">
        <v>25</v>
      </c>
      <c r="GV53" s="9" t="s">
        <v>25</v>
      </c>
      <c r="HA53" s="9" t="s">
        <v>2701</v>
      </c>
      <c r="HB53" s="9" t="s">
        <v>2702</v>
      </c>
      <c r="HC53" s="9" t="s">
        <v>2702</v>
      </c>
      <c r="HD53" s="9" t="s">
        <v>25</v>
      </c>
      <c r="HE53" s="9" t="s">
        <v>25</v>
      </c>
      <c r="HG53" s="9">
        <v>2</v>
      </c>
    </row>
    <row r="54" spans="1:215" ht="51" x14ac:dyDescent="0.2">
      <c r="A54" s="8" t="s">
        <v>151</v>
      </c>
      <c r="B54" s="9" t="s">
        <v>25</v>
      </c>
      <c r="U54" s="9" t="s">
        <v>25</v>
      </c>
      <c r="X54" s="9" t="s">
        <v>2773</v>
      </c>
      <c r="AR54" s="10" t="s">
        <v>2668</v>
      </c>
      <c r="BG54" s="10" t="s">
        <v>25</v>
      </c>
      <c r="BL54" s="10" t="s">
        <v>2705</v>
      </c>
      <c r="BM54" s="10" t="s">
        <v>2673</v>
      </c>
      <c r="BW54" s="9" t="s">
        <v>2673</v>
      </c>
      <c r="BX54" s="9" t="s">
        <v>2673</v>
      </c>
      <c r="BY54" s="9" t="s">
        <v>2673</v>
      </c>
      <c r="BZ54" s="9" t="s">
        <v>2673</v>
      </c>
      <c r="CA54" s="9" t="s">
        <v>2673</v>
      </c>
      <c r="CB54" s="9" t="s">
        <v>2673</v>
      </c>
      <c r="CC54" s="9" t="s">
        <v>2674</v>
      </c>
      <c r="CJ54" s="9" t="s">
        <v>2675</v>
      </c>
      <c r="CQ54" s="9" t="s">
        <v>2677</v>
      </c>
      <c r="CY54" s="9" t="s">
        <v>28</v>
      </c>
      <c r="CZ54" s="9" t="s">
        <v>2679</v>
      </c>
      <c r="DA54" s="9" t="s">
        <v>13953</v>
      </c>
      <c r="DB54" s="9" t="s">
        <v>2694</v>
      </c>
      <c r="DC54" s="9" t="s">
        <v>2694</v>
      </c>
      <c r="DD54" s="9" t="s">
        <v>2694</v>
      </c>
      <c r="DE54" s="9" t="s">
        <v>2694</v>
      </c>
      <c r="DG54" s="9" t="s">
        <v>2694</v>
      </c>
      <c r="DH54" s="9" t="s">
        <v>2694</v>
      </c>
      <c r="DI54" s="9" t="s">
        <v>2694</v>
      </c>
      <c r="DJ54" s="9" t="s">
        <v>2694</v>
      </c>
      <c r="DL54" s="9" t="s">
        <v>2694</v>
      </c>
      <c r="DN54" s="9" t="s">
        <v>2694</v>
      </c>
      <c r="DO54" s="9" t="s">
        <v>25</v>
      </c>
      <c r="DQ54" s="9" t="s">
        <v>25</v>
      </c>
      <c r="DX54" s="9" t="s">
        <v>28</v>
      </c>
      <c r="DY54" s="9" t="s">
        <v>2679</v>
      </c>
      <c r="DZ54" s="9" t="s">
        <v>2683</v>
      </c>
      <c r="EA54" s="9" t="s">
        <v>13537</v>
      </c>
      <c r="EB54" s="9" t="s">
        <v>25</v>
      </c>
      <c r="EC54" s="9" t="s">
        <v>2683</v>
      </c>
      <c r="ED54" s="9" t="s">
        <v>2872</v>
      </c>
      <c r="EF54" s="9" t="s">
        <v>13958</v>
      </c>
      <c r="EH54" s="9" t="s">
        <v>2685</v>
      </c>
      <c r="EJ54" s="9" t="s">
        <v>25</v>
      </c>
      <c r="EU54" s="9" t="s">
        <v>25</v>
      </c>
      <c r="FU54" s="9" t="s">
        <v>2691</v>
      </c>
      <c r="FX54" s="9" t="s">
        <v>25</v>
      </c>
      <c r="FZ54" s="9" t="s">
        <v>25</v>
      </c>
      <c r="GB54" s="9" t="s">
        <v>2673</v>
      </c>
      <c r="GD54" s="9" t="s">
        <v>25</v>
      </c>
      <c r="GE54" s="9" t="s">
        <v>2693</v>
      </c>
      <c r="GF54" s="9" t="s">
        <v>28</v>
      </c>
      <c r="GG54" s="9" t="s">
        <v>28</v>
      </c>
      <c r="GH54" s="9" t="s">
        <v>2683</v>
      </c>
      <c r="GI54" s="9" t="s">
        <v>25</v>
      </c>
      <c r="GK54" s="9" t="s">
        <v>2843</v>
      </c>
      <c r="GN54" s="9" t="s">
        <v>631</v>
      </c>
      <c r="GO54" s="9" t="s">
        <v>25</v>
      </c>
      <c r="GV54" s="9" t="s">
        <v>25</v>
      </c>
      <c r="HA54" s="9" t="s">
        <v>25</v>
      </c>
      <c r="HB54" s="9" t="s">
        <v>2702</v>
      </c>
      <c r="HC54" s="9" t="s">
        <v>2702</v>
      </c>
      <c r="HD54" s="9" t="s">
        <v>25</v>
      </c>
      <c r="HE54" s="9" t="s">
        <v>2702</v>
      </c>
      <c r="HG54" s="9">
        <v>4</v>
      </c>
    </row>
    <row r="55" spans="1:215" ht="38.25" x14ac:dyDescent="0.2">
      <c r="A55" s="8" t="s">
        <v>172</v>
      </c>
      <c r="B55" s="9" t="s">
        <v>28</v>
      </c>
      <c r="C55" s="9" t="s">
        <v>2746</v>
      </c>
      <c r="D55" s="9" t="s">
        <v>2733</v>
      </c>
      <c r="E55" s="9" t="s">
        <v>2896</v>
      </c>
      <c r="F55" s="9" t="s">
        <v>2664</v>
      </c>
      <c r="H55" s="9" t="s">
        <v>2665</v>
      </c>
      <c r="R55" s="9" t="s">
        <v>2665</v>
      </c>
      <c r="U55" s="9" t="s">
        <v>28</v>
      </c>
      <c r="V55" s="9" t="s">
        <v>2915</v>
      </c>
      <c r="X55" s="9" t="s">
        <v>2734</v>
      </c>
      <c r="Y55" s="10" t="s">
        <v>2668</v>
      </c>
      <c r="Z55" s="10">
        <v>240</v>
      </c>
      <c r="AA55" s="10">
        <v>240</v>
      </c>
      <c r="AB55" s="10">
        <v>240</v>
      </c>
      <c r="AC55" s="10">
        <v>280</v>
      </c>
      <c r="AD55" s="10">
        <v>280</v>
      </c>
      <c r="AE55" s="10">
        <v>320</v>
      </c>
      <c r="AF55" s="10">
        <v>320</v>
      </c>
      <c r="AG55" s="10">
        <v>320</v>
      </c>
      <c r="AH55" s="10">
        <v>320</v>
      </c>
      <c r="AI55" s="10">
        <v>320</v>
      </c>
      <c r="AJ55" s="10">
        <v>320</v>
      </c>
      <c r="AK55" s="10">
        <v>320</v>
      </c>
      <c r="AL55" s="10">
        <v>320</v>
      </c>
      <c r="AM55" s="10" t="s">
        <v>25</v>
      </c>
      <c r="AP55" s="10" t="s">
        <v>25</v>
      </c>
      <c r="BL55" s="10" t="s">
        <v>2860</v>
      </c>
      <c r="BM55" s="10" t="s">
        <v>2716</v>
      </c>
      <c r="BN55" s="10">
        <v>80</v>
      </c>
      <c r="BO55" s="10">
        <v>80</v>
      </c>
      <c r="BP55" s="9" t="s">
        <v>25</v>
      </c>
      <c r="BQ55" s="9" t="s">
        <v>25</v>
      </c>
      <c r="BR55" s="9" t="s">
        <v>25</v>
      </c>
      <c r="BS55" s="9" t="s">
        <v>25</v>
      </c>
      <c r="BW55" s="9" t="s">
        <v>2749</v>
      </c>
      <c r="BX55" s="9" t="s">
        <v>2749</v>
      </c>
      <c r="BY55" s="9" t="s">
        <v>2749</v>
      </c>
      <c r="BZ55" s="9" t="s">
        <v>2749</v>
      </c>
      <c r="CA55" s="9" t="s">
        <v>2749</v>
      </c>
      <c r="CB55" s="9" t="s">
        <v>2749</v>
      </c>
      <c r="CC55" s="9" t="s">
        <v>2749</v>
      </c>
      <c r="CK55" s="9" t="s">
        <v>2737</v>
      </c>
      <c r="CL55" s="9" t="s">
        <v>2737</v>
      </c>
      <c r="CM55" s="9" t="s">
        <v>2737</v>
      </c>
      <c r="CN55" s="9" t="s">
        <v>2737</v>
      </c>
      <c r="CO55" s="9" t="s">
        <v>2737</v>
      </c>
      <c r="CP55" s="9" t="s">
        <v>2737</v>
      </c>
      <c r="CQ55" s="9" t="s">
        <v>2737</v>
      </c>
      <c r="CR55" s="9" t="s">
        <v>2717</v>
      </c>
      <c r="CS55" s="9" t="s">
        <v>2717</v>
      </c>
      <c r="CT55" s="9" t="s">
        <v>2717</v>
      </c>
      <c r="CU55" s="9" t="s">
        <v>2717</v>
      </c>
      <c r="CV55" s="9" t="s">
        <v>2717</v>
      </c>
      <c r="CW55" s="9" t="s">
        <v>2717</v>
      </c>
      <c r="CX55" s="9" t="s">
        <v>2717</v>
      </c>
      <c r="CY55" s="9" t="s">
        <v>28</v>
      </c>
      <c r="CZ55" s="9" t="s">
        <v>2679</v>
      </c>
      <c r="DA55" s="9" t="s">
        <v>2718</v>
      </c>
      <c r="DB55" s="9" t="s">
        <v>2680</v>
      </c>
      <c r="DC55" s="9" t="s">
        <v>2680</v>
      </c>
      <c r="DD55" s="9" t="s">
        <v>2680</v>
      </c>
      <c r="DG55" s="9" t="s">
        <v>2726</v>
      </c>
      <c r="DH55" s="9" t="s">
        <v>2726</v>
      </c>
      <c r="DI55" s="9" t="s">
        <v>2726</v>
      </c>
      <c r="DQ55" s="9" t="s">
        <v>25</v>
      </c>
      <c r="DX55" s="9" t="s">
        <v>25</v>
      </c>
      <c r="EJ55" s="9" t="s">
        <v>25</v>
      </c>
      <c r="EU55" s="9" t="s">
        <v>28</v>
      </c>
      <c r="EV55" s="9" t="s">
        <v>13572</v>
      </c>
      <c r="EX55" s="9" t="s">
        <v>25</v>
      </c>
      <c r="EZ55" s="9" t="s">
        <v>1148</v>
      </c>
      <c r="FA55" s="9" t="s">
        <v>1148</v>
      </c>
      <c r="FB55" s="9" t="s">
        <v>1148</v>
      </c>
      <c r="FC55" s="9" t="s">
        <v>1148</v>
      </c>
      <c r="FD55" s="9" t="s">
        <v>1148</v>
      </c>
      <c r="FF55" s="9" t="s">
        <v>1938</v>
      </c>
      <c r="FG55" s="9" t="s">
        <v>1148</v>
      </c>
      <c r="FH55" s="9" t="s">
        <v>1938</v>
      </c>
      <c r="FI55" s="9" t="s">
        <v>1938</v>
      </c>
      <c r="FJ55" s="9" t="s">
        <v>1938</v>
      </c>
      <c r="FK55" s="9" t="s">
        <v>1148</v>
      </c>
      <c r="FL55" s="9" t="s">
        <v>1938</v>
      </c>
      <c r="FM55" s="9" t="s">
        <v>1938</v>
      </c>
      <c r="FN55" s="9" t="s">
        <v>1938</v>
      </c>
      <c r="FO55" s="9" t="s">
        <v>1938</v>
      </c>
      <c r="FS55" s="9" t="s">
        <v>25</v>
      </c>
      <c r="FU55" s="9" t="s">
        <v>2730</v>
      </c>
      <c r="FV55" s="9" t="s">
        <v>994</v>
      </c>
      <c r="FX55" s="9" t="s">
        <v>28</v>
      </c>
      <c r="FY55" s="9" t="s">
        <v>2692</v>
      </c>
      <c r="FZ55" s="9" t="s">
        <v>28</v>
      </c>
      <c r="GA55" s="9" t="s">
        <v>2712</v>
      </c>
      <c r="GF55" s="9" t="s">
        <v>28</v>
      </c>
      <c r="GG55" s="9" t="s">
        <v>25</v>
      </c>
      <c r="GH55" s="9" t="s">
        <v>2687</v>
      </c>
      <c r="GK55" s="9" t="s">
        <v>2695</v>
      </c>
      <c r="GM55" s="9" t="s">
        <v>13985</v>
      </c>
      <c r="GN55" s="9" t="s">
        <v>2725</v>
      </c>
      <c r="GO55" s="9" t="s">
        <v>25</v>
      </c>
      <c r="GV55" s="9" t="s">
        <v>25</v>
      </c>
      <c r="HB55" s="9" t="s">
        <v>2701</v>
      </c>
      <c r="HC55" s="9" t="s">
        <v>2701</v>
      </c>
      <c r="HG55" s="9">
        <v>3</v>
      </c>
    </row>
    <row r="56" spans="1:215" ht="63.75" x14ac:dyDescent="0.2">
      <c r="A56" s="8" t="s">
        <v>119</v>
      </c>
      <c r="B56" s="9" t="s">
        <v>25</v>
      </c>
      <c r="U56" s="9" t="s">
        <v>25</v>
      </c>
      <c r="X56" s="9" t="s">
        <v>2704</v>
      </c>
      <c r="AR56" s="10" t="s">
        <v>2668</v>
      </c>
      <c r="AS56" s="10">
        <v>120</v>
      </c>
      <c r="AT56" s="10">
        <v>120</v>
      </c>
      <c r="AU56" s="10">
        <v>120</v>
      </c>
      <c r="AV56" s="10">
        <v>120</v>
      </c>
      <c r="AW56" s="10">
        <v>160</v>
      </c>
      <c r="AX56" s="10">
        <v>160</v>
      </c>
      <c r="AY56" s="10">
        <v>160</v>
      </c>
      <c r="AZ56" s="10">
        <v>160</v>
      </c>
      <c r="BA56" s="10">
        <v>160</v>
      </c>
      <c r="BB56" s="10">
        <v>160</v>
      </c>
      <c r="BC56" s="10">
        <v>160</v>
      </c>
      <c r="BD56" s="10">
        <v>160</v>
      </c>
      <c r="BE56" s="10">
        <v>160</v>
      </c>
      <c r="BF56" s="10">
        <v>160</v>
      </c>
      <c r="BG56" s="10" t="s">
        <v>25</v>
      </c>
      <c r="BJ56" s="10" t="s">
        <v>2169</v>
      </c>
      <c r="BK56" s="10">
        <v>40</v>
      </c>
      <c r="BL56" s="10" t="s">
        <v>2668</v>
      </c>
      <c r="BM56" s="10" t="s">
        <v>2716</v>
      </c>
      <c r="BN56" s="10">
        <v>40</v>
      </c>
      <c r="BO56" s="10">
        <v>40</v>
      </c>
      <c r="BP56" s="9" t="s">
        <v>25</v>
      </c>
      <c r="BQ56" s="9" t="s">
        <v>25</v>
      </c>
      <c r="BR56" s="9" t="s">
        <v>25</v>
      </c>
      <c r="BS56" s="9" t="s">
        <v>25</v>
      </c>
      <c r="BW56" s="9" t="s">
        <v>2674</v>
      </c>
      <c r="BX56" s="9" t="s">
        <v>2674</v>
      </c>
      <c r="BY56" s="9" t="s">
        <v>2674</v>
      </c>
      <c r="BZ56" s="9" t="s">
        <v>2674</v>
      </c>
      <c r="CA56" s="9" t="s">
        <v>2674</v>
      </c>
      <c r="CB56" s="9" t="s">
        <v>2674</v>
      </c>
      <c r="CC56" s="9" t="s">
        <v>2674</v>
      </c>
      <c r="CD56" s="9" t="s">
        <v>2675</v>
      </c>
      <c r="CE56" s="9" t="s">
        <v>2675</v>
      </c>
      <c r="CF56" s="9" t="s">
        <v>2675</v>
      </c>
      <c r="CG56" s="9" t="s">
        <v>2675</v>
      </c>
      <c r="CH56" s="9" t="s">
        <v>2675</v>
      </c>
      <c r="CI56" s="9" t="s">
        <v>2675</v>
      </c>
      <c r="CJ56" s="9" t="s">
        <v>2675</v>
      </c>
      <c r="CK56" s="9" t="s">
        <v>2677</v>
      </c>
      <c r="CL56" s="9" t="s">
        <v>2677</v>
      </c>
      <c r="CM56" s="9" t="s">
        <v>2677</v>
      </c>
      <c r="CN56" s="9" t="s">
        <v>2677</v>
      </c>
      <c r="CO56" s="9" t="s">
        <v>2677</v>
      </c>
      <c r="CP56" s="9" t="s">
        <v>2677</v>
      </c>
      <c r="CQ56" s="9" t="s">
        <v>2677</v>
      </c>
      <c r="CR56" s="9" t="s">
        <v>2717</v>
      </c>
      <c r="CS56" s="9" t="s">
        <v>2717</v>
      </c>
      <c r="CT56" s="9" t="s">
        <v>2717</v>
      </c>
      <c r="CU56" s="9" t="s">
        <v>2717</v>
      </c>
      <c r="CV56" s="9" t="s">
        <v>2717</v>
      </c>
      <c r="CW56" s="9" t="s">
        <v>2717</v>
      </c>
      <c r="CX56" s="9" t="s">
        <v>2717</v>
      </c>
      <c r="CY56" s="9" t="s">
        <v>28</v>
      </c>
      <c r="CZ56" s="9" t="s">
        <v>2679</v>
      </c>
      <c r="DA56" s="9" t="s">
        <v>2718</v>
      </c>
      <c r="DB56" s="9" t="s">
        <v>2683</v>
      </c>
      <c r="DC56" s="9" t="s">
        <v>2683</v>
      </c>
      <c r="DD56" s="9" t="s">
        <v>2683</v>
      </c>
      <c r="DG56" s="9" t="s">
        <v>2683</v>
      </c>
      <c r="DH56" s="9" t="s">
        <v>2683</v>
      </c>
      <c r="DI56" s="9" t="s">
        <v>2683</v>
      </c>
      <c r="DL56" s="9" t="s">
        <v>2719</v>
      </c>
      <c r="DN56" s="9" t="s">
        <v>2719</v>
      </c>
      <c r="DO56" s="9" t="s">
        <v>25</v>
      </c>
      <c r="DP56" s="9" t="s">
        <v>2683</v>
      </c>
      <c r="DQ56" s="9" t="s">
        <v>25</v>
      </c>
      <c r="DX56" s="9" t="s">
        <v>28</v>
      </c>
      <c r="DY56" s="9" t="s">
        <v>2679</v>
      </c>
      <c r="DZ56" s="9" t="s">
        <v>2699</v>
      </c>
      <c r="EA56" s="9" t="s">
        <v>13536</v>
      </c>
      <c r="EB56" s="9" t="s">
        <v>25</v>
      </c>
      <c r="EC56" s="9" t="s">
        <v>2683</v>
      </c>
      <c r="ED56" s="9" t="s">
        <v>631</v>
      </c>
      <c r="EF56" s="9" t="s">
        <v>631</v>
      </c>
      <c r="EH56" s="9" t="s">
        <v>25</v>
      </c>
      <c r="EJ56" s="9" t="s">
        <v>28</v>
      </c>
      <c r="EK56" s="9" t="s">
        <v>2679</v>
      </c>
      <c r="EL56" s="9" t="s">
        <v>2686</v>
      </c>
      <c r="EN56" s="9" t="s">
        <v>2720</v>
      </c>
      <c r="EO56" s="9" t="s">
        <v>2721</v>
      </c>
      <c r="EQ56" s="9" t="s">
        <v>2689</v>
      </c>
      <c r="ES56" s="9" t="s">
        <v>28</v>
      </c>
      <c r="ET56" s="9" t="s">
        <v>2720</v>
      </c>
      <c r="EU56" s="9" t="s">
        <v>28</v>
      </c>
      <c r="EV56" s="9" t="s">
        <v>13549</v>
      </c>
      <c r="EX56" s="9" t="s">
        <v>25</v>
      </c>
      <c r="EZ56" s="9" t="s">
        <v>2690</v>
      </c>
      <c r="FA56" s="9" t="s">
        <v>2690</v>
      </c>
      <c r="FB56" s="9" t="s">
        <v>2690</v>
      </c>
      <c r="FC56" s="9" t="s">
        <v>2690</v>
      </c>
      <c r="FD56" s="9" t="s">
        <v>2690</v>
      </c>
      <c r="FE56" s="9" t="s">
        <v>2690</v>
      </c>
      <c r="FF56" s="9" t="s">
        <v>1148</v>
      </c>
      <c r="FG56" s="9" t="s">
        <v>994</v>
      </c>
      <c r="FH56" s="9" t="s">
        <v>994</v>
      </c>
      <c r="FI56" s="9" t="s">
        <v>1148</v>
      </c>
      <c r="FK56" s="9" t="s">
        <v>994</v>
      </c>
      <c r="FL56" s="9" t="s">
        <v>994</v>
      </c>
      <c r="FS56" s="9" t="s">
        <v>25</v>
      </c>
      <c r="FU56" s="9" t="s">
        <v>2691</v>
      </c>
      <c r="FV56" s="9" t="s">
        <v>29</v>
      </c>
      <c r="FX56" s="9" t="s">
        <v>28</v>
      </c>
      <c r="FY56" s="9" t="s">
        <v>2692</v>
      </c>
      <c r="FZ56" s="9" t="s">
        <v>28</v>
      </c>
      <c r="GA56" s="9" t="s">
        <v>2711</v>
      </c>
      <c r="GB56" s="9" t="s">
        <v>612</v>
      </c>
      <c r="GC56" s="9">
        <v>0</v>
      </c>
      <c r="GD56" s="9" t="s">
        <v>25</v>
      </c>
      <c r="GE56" s="9" t="s">
        <v>2722</v>
      </c>
      <c r="GF56" s="9" t="s">
        <v>28</v>
      </c>
      <c r="GG56" s="9" t="s">
        <v>25</v>
      </c>
      <c r="GH56" s="9" t="s">
        <v>2683</v>
      </c>
      <c r="GI56" s="9" t="s">
        <v>25</v>
      </c>
      <c r="GJ56" s="9" t="s">
        <v>2723</v>
      </c>
      <c r="GK56" s="9" t="s">
        <v>2695</v>
      </c>
      <c r="GL56" s="9" t="s">
        <v>2724</v>
      </c>
      <c r="GM56" s="9" t="s">
        <v>13963</v>
      </c>
      <c r="GN56" s="9" t="s">
        <v>2725</v>
      </c>
      <c r="GO56" s="9" t="s">
        <v>2696</v>
      </c>
      <c r="GP56" s="9" t="s">
        <v>28</v>
      </c>
      <c r="GQ56" s="9" t="s">
        <v>28</v>
      </c>
      <c r="GR56" s="9" t="s">
        <v>1148</v>
      </c>
      <c r="GS56" s="9" t="s">
        <v>1148</v>
      </c>
      <c r="GT56" s="9" t="s">
        <v>2698</v>
      </c>
      <c r="GU56" s="9" t="s">
        <v>25</v>
      </c>
      <c r="GV56" s="9" t="s">
        <v>28</v>
      </c>
      <c r="GW56" s="9" t="s">
        <v>632</v>
      </c>
      <c r="GX56" s="9" t="s">
        <v>2726</v>
      </c>
      <c r="GY56" s="9" t="s">
        <v>2700</v>
      </c>
      <c r="GZ56" s="9" t="s">
        <v>25</v>
      </c>
      <c r="HA56" s="9" t="s">
        <v>25</v>
      </c>
      <c r="HB56" s="9" t="s">
        <v>25</v>
      </c>
      <c r="HC56" s="9" t="s">
        <v>25</v>
      </c>
      <c r="HD56" s="9" t="s">
        <v>25</v>
      </c>
      <c r="HE56" s="9" t="s">
        <v>25</v>
      </c>
      <c r="HG56" s="9">
        <v>2</v>
      </c>
    </row>
    <row r="57" spans="1:215" ht="63.75" x14ac:dyDescent="0.2">
      <c r="A57" s="8" t="s">
        <v>146</v>
      </c>
      <c r="B57" s="9" t="s">
        <v>28</v>
      </c>
      <c r="C57" s="9" t="s">
        <v>2766</v>
      </c>
      <c r="D57" s="9" t="s">
        <v>13531</v>
      </c>
      <c r="E57" s="9" t="s">
        <v>743</v>
      </c>
      <c r="F57" s="9" t="s">
        <v>2785</v>
      </c>
      <c r="G57" s="9" t="s">
        <v>2665</v>
      </c>
      <c r="H57" s="9" t="s">
        <v>2665</v>
      </c>
      <c r="I57" s="9" t="s">
        <v>2665</v>
      </c>
      <c r="O57" s="9" t="s">
        <v>2665</v>
      </c>
      <c r="P57" s="9" t="s">
        <v>2665</v>
      </c>
      <c r="R57" s="9" t="s">
        <v>2665</v>
      </c>
      <c r="S57" s="9" t="s">
        <v>2665</v>
      </c>
      <c r="U57" s="9" t="s">
        <v>28</v>
      </c>
      <c r="V57" s="9" t="s">
        <v>743</v>
      </c>
      <c r="X57" s="9" t="s">
        <v>2753</v>
      </c>
      <c r="Y57" s="10" t="s">
        <v>2705</v>
      </c>
      <c r="Z57" s="10">
        <v>80</v>
      </c>
      <c r="AA57" s="10">
        <v>88</v>
      </c>
      <c r="AB57" s="10">
        <v>96</v>
      </c>
      <c r="AC57" s="10">
        <v>104</v>
      </c>
      <c r="AD57" s="10">
        <v>112</v>
      </c>
      <c r="AE57" s="10">
        <v>120</v>
      </c>
      <c r="AF57" s="10">
        <v>128</v>
      </c>
      <c r="AG57" s="10">
        <v>136</v>
      </c>
      <c r="AH57" s="10">
        <v>144</v>
      </c>
      <c r="AI57" s="10">
        <v>152</v>
      </c>
      <c r="AM57" s="10" t="s">
        <v>28</v>
      </c>
      <c r="AP57" s="10" t="s">
        <v>2707</v>
      </c>
      <c r="AQ57" s="10">
        <v>40</v>
      </c>
      <c r="BL57" s="10" t="s">
        <v>2705</v>
      </c>
      <c r="BM57" s="10" t="s">
        <v>2671</v>
      </c>
      <c r="BN57" s="10">
        <v>80</v>
      </c>
      <c r="BP57" s="9" t="s">
        <v>25</v>
      </c>
      <c r="BQ57" s="9" t="s">
        <v>25</v>
      </c>
      <c r="BR57" s="9" t="s">
        <v>25</v>
      </c>
      <c r="BS57" s="9" t="s">
        <v>25</v>
      </c>
      <c r="BW57" s="9" t="s">
        <v>2673</v>
      </c>
      <c r="BX57" s="9" t="s">
        <v>2673</v>
      </c>
      <c r="BY57" s="9" t="s">
        <v>2673</v>
      </c>
      <c r="BZ57" s="9" t="s">
        <v>2673</v>
      </c>
      <c r="CA57" s="9" t="s">
        <v>2673</v>
      </c>
      <c r="CB57" s="9" t="s">
        <v>2673</v>
      </c>
      <c r="CC57" s="9" t="s">
        <v>2749</v>
      </c>
      <c r="CJ57" s="9" t="s">
        <v>2675</v>
      </c>
      <c r="CK57" s="9" t="s">
        <v>2676</v>
      </c>
      <c r="CL57" s="9" t="s">
        <v>2676</v>
      </c>
      <c r="CM57" s="9" t="s">
        <v>2676</v>
      </c>
      <c r="CN57" s="9" t="s">
        <v>2676</v>
      </c>
      <c r="CO57" s="9" t="s">
        <v>2676</v>
      </c>
      <c r="CP57" s="9" t="s">
        <v>2676</v>
      </c>
      <c r="CQ57" s="9" t="s">
        <v>2676</v>
      </c>
      <c r="CR57" s="9" t="s">
        <v>2717</v>
      </c>
      <c r="CS57" s="9" t="s">
        <v>2717</v>
      </c>
      <c r="CT57" s="9" t="s">
        <v>2717</v>
      </c>
      <c r="CU57" s="9" t="s">
        <v>2717</v>
      </c>
      <c r="CV57" s="9" t="s">
        <v>2717</v>
      </c>
      <c r="CW57" s="9" t="s">
        <v>2717</v>
      </c>
      <c r="CX57" s="9" t="s">
        <v>2717</v>
      </c>
      <c r="CY57" s="9" t="s">
        <v>28</v>
      </c>
      <c r="CZ57" s="9" t="s">
        <v>2679</v>
      </c>
      <c r="DA57" s="9" t="s">
        <v>13953</v>
      </c>
      <c r="DB57" s="9" t="s">
        <v>2683</v>
      </c>
      <c r="DC57" s="9" t="s">
        <v>2683</v>
      </c>
      <c r="DD57" s="9" t="s">
        <v>2683</v>
      </c>
      <c r="DE57" s="9" t="s">
        <v>2683</v>
      </c>
      <c r="DG57" s="9" t="s">
        <v>2683</v>
      </c>
      <c r="DH57" s="9" t="s">
        <v>2683</v>
      </c>
      <c r="DI57" s="9" t="s">
        <v>2683</v>
      </c>
      <c r="DJ57" s="9" t="s">
        <v>2683</v>
      </c>
      <c r="DL57" s="9" t="s">
        <v>2683</v>
      </c>
      <c r="DN57" s="9" t="s">
        <v>2683</v>
      </c>
      <c r="DO57" s="9" t="s">
        <v>28</v>
      </c>
      <c r="DP57" s="9" t="s">
        <v>2683</v>
      </c>
      <c r="DQ57" s="9" t="s">
        <v>25</v>
      </c>
      <c r="DX57" s="9" t="s">
        <v>28</v>
      </c>
      <c r="DY57" s="9" t="s">
        <v>2831</v>
      </c>
      <c r="DZ57" s="9" t="s">
        <v>2726</v>
      </c>
      <c r="EA57" s="9" t="s">
        <v>2852</v>
      </c>
      <c r="EB57" s="9" t="s">
        <v>28</v>
      </c>
      <c r="EC57" s="9" t="s">
        <v>2726</v>
      </c>
      <c r="ED57" s="9" t="s">
        <v>631</v>
      </c>
      <c r="EF57" s="9" t="s">
        <v>13958</v>
      </c>
      <c r="EH57" s="9" t="s">
        <v>2685</v>
      </c>
      <c r="EJ57" s="9" t="s">
        <v>25</v>
      </c>
      <c r="EU57" s="9" t="s">
        <v>28</v>
      </c>
      <c r="EV57" s="9" t="s">
        <v>13563</v>
      </c>
      <c r="EX57" s="9" t="s">
        <v>28</v>
      </c>
      <c r="EY57" s="9" t="s">
        <v>1938</v>
      </c>
      <c r="FS57" s="9" t="s">
        <v>28</v>
      </c>
      <c r="FT57" s="9" t="s">
        <v>2725</v>
      </c>
      <c r="FU57" s="9" t="s">
        <v>2730</v>
      </c>
      <c r="FV57" s="9" t="s">
        <v>2692</v>
      </c>
      <c r="FX57" s="9" t="s">
        <v>28</v>
      </c>
      <c r="FY57" s="9" t="s">
        <v>2692</v>
      </c>
      <c r="FZ57" s="9" t="s">
        <v>28</v>
      </c>
      <c r="GA57" s="9" t="s">
        <v>2712</v>
      </c>
      <c r="GB57" s="9" t="s">
        <v>689</v>
      </c>
      <c r="GD57" s="9" t="s">
        <v>28</v>
      </c>
      <c r="GE57" s="9" t="s">
        <v>2771</v>
      </c>
      <c r="GF57" s="9" t="s">
        <v>28</v>
      </c>
      <c r="GG57" s="9" t="s">
        <v>25</v>
      </c>
      <c r="GH57" s="9" t="s">
        <v>2853</v>
      </c>
      <c r="GI57" s="9" t="s">
        <v>25</v>
      </c>
      <c r="GK57" s="9" t="s">
        <v>2843</v>
      </c>
      <c r="GL57" s="9" t="s">
        <v>2854</v>
      </c>
      <c r="GM57" s="9" t="s">
        <v>13975</v>
      </c>
      <c r="GN57" s="9" t="s">
        <v>631</v>
      </c>
      <c r="GO57" s="9" t="s">
        <v>2713</v>
      </c>
      <c r="GP57" s="9" t="s">
        <v>28</v>
      </c>
      <c r="GQ57" s="9" t="s">
        <v>28</v>
      </c>
      <c r="GR57" s="9" t="s">
        <v>2697</v>
      </c>
      <c r="GS57" s="9" t="s">
        <v>2697</v>
      </c>
      <c r="GT57" s="9" t="s">
        <v>2698</v>
      </c>
      <c r="GV57" s="9" t="s">
        <v>41</v>
      </c>
      <c r="HB57" s="9" t="s">
        <v>2702</v>
      </c>
      <c r="HC57" s="9" t="s">
        <v>2702</v>
      </c>
      <c r="HD57" s="9" t="s">
        <v>25</v>
      </c>
      <c r="HE57" s="9" t="s">
        <v>25</v>
      </c>
      <c r="HG57" s="9">
        <v>3</v>
      </c>
    </row>
    <row r="58" spans="1:215" ht="76.5" x14ac:dyDescent="0.2">
      <c r="A58" s="8" t="s">
        <v>149</v>
      </c>
      <c r="B58" s="9" t="s">
        <v>28</v>
      </c>
      <c r="C58" s="9" t="s">
        <v>2663</v>
      </c>
      <c r="D58" s="9" t="s">
        <v>13532</v>
      </c>
      <c r="E58" s="9" t="s">
        <v>2664</v>
      </c>
      <c r="F58" s="9" t="s">
        <v>2664</v>
      </c>
      <c r="G58" s="9" t="s">
        <v>2666</v>
      </c>
      <c r="H58" s="9" t="s">
        <v>2667</v>
      </c>
      <c r="I58" s="9" t="s">
        <v>2665</v>
      </c>
      <c r="J58" s="9" t="s">
        <v>2666</v>
      </c>
      <c r="K58" s="9" t="s">
        <v>2667</v>
      </c>
      <c r="L58" s="9" t="s">
        <v>2667</v>
      </c>
      <c r="M58" s="9" t="s">
        <v>2665</v>
      </c>
      <c r="N58" s="9" t="s">
        <v>2665</v>
      </c>
      <c r="O58" s="9" t="s">
        <v>2665</v>
      </c>
      <c r="P58" s="9" t="s">
        <v>2665</v>
      </c>
      <c r="Q58" s="9" t="s">
        <v>2666</v>
      </c>
      <c r="R58" s="9" t="s">
        <v>2667</v>
      </c>
      <c r="S58" s="9" t="s">
        <v>2667</v>
      </c>
      <c r="T58" s="9" t="s">
        <v>2666</v>
      </c>
      <c r="U58" s="9" t="s">
        <v>25</v>
      </c>
      <c r="X58" s="9" t="s">
        <v>2734</v>
      </c>
      <c r="Y58" s="10" t="s">
        <v>2668</v>
      </c>
      <c r="Z58" s="10">
        <v>120</v>
      </c>
      <c r="AA58" s="10">
        <v>120</v>
      </c>
      <c r="AB58" s="10">
        <v>120</v>
      </c>
      <c r="AC58" s="10">
        <v>120</v>
      </c>
      <c r="AD58" s="10">
        <v>120</v>
      </c>
      <c r="AE58" s="10">
        <v>120</v>
      </c>
      <c r="AF58" s="10">
        <v>160</v>
      </c>
      <c r="AG58" s="10">
        <v>160</v>
      </c>
      <c r="AH58" s="10">
        <v>160</v>
      </c>
      <c r="AI58" s="10">
        <v>160</v>
      </c>
      <c r="AJ58" s="10">
        <v>200</v>
      </c>
      <c r="AK58" s="10">
        <v>200</v>
      </c>
      <c r="AL58" s="10">
        <v>200</v>
      </c>
      <c r="AM58" s="10" t="s">
        <v>28</v>
      </c>
      <c r="AN58" s="10">
        <v>200</v>
      </c>
      <c r="AO58" s="10" t="s">
        <v>2864</v>
      </c>
      <c r="AP58" s="10" t="s">
        <v>2169</v>
      </c>
      <c r="AQ58" s="10">
        <v>80</v>
      </c>
      <c r="BL58" s="10" t="s">
        <v>2668</v>
      </c>
      <c r="BM58" s="10" t="s">
        <v>2716</v>
      </c>
      <c r="BN58" s="10">
        <v>80</v>
      </c>
      <c r="BO58" s="10">
        <v>80</v>
      </c>
      <c r="BP58" s="9" t="s">
        <v>25</v>
      </c>
      <c r="BQ58" s="9" t="s">
        <v>25</v>
      </c>
      <c r="BR58" s="9" t="s">
        <v>25</v>
      </c>
      <c r="BS58" s="9" t="s">
        <v>25</v>
      </c>
      <c r="BW58" s="9" t="s">
        <v>2749</v>
      </c>
      <c r="BX58" s="9" t="s">
        <v>2749</v>
      </c>
      <c r="BY58" s="9" t="s">
        <v>2749</v>
      </c>
      <c r="BZ58" s="9" t="s">
        <v>2749</v>
      </c>
      <c r="CA58" s="9" t="s">
        <v>2749</v>
      </c>
      <c r="CB58" s="9" t="s">
        <v>2749</v>
      </c>
      <c r="CC58" s="9" t="s">
        <v>2749</v>
      </c>
      <c r="CD58" s="9" t="s">
        <v>2675</v>
      </c>
      <c r="CE58" s="9" t="s">
        <v>2675</v>
      </c>
      <c r="CF58" s="9" t="s">
        <v>2675</v>
      </c>
      <c r="CG58" s="9" t="s">
        <v>2675</v>
      </c>
      <c r="CH58" s="9" t="s">
        <v>2675</v>
      </c>
      <c r="CI58" s="9" t="s">
        <v>2675</v>
      </c>
      <c r="CJ58" s="9" t="s">
        <v>2675</v>
      </c>
      <c r="CK58" s="9" t="s">
        <v>2737</v>
      </c>
      <c r="CL58" s="9" t="s">
        <v>2737</v>
      </c>
      <c r="CM58" s="9" t="s">
        <v>2737</v>
      </c>
      <c r="CN58" s="9" t="s">
        <v>2737</v>
      </c>
      <c r="CO58" s="9" t="s">
        <v>2737</v>
      </c>
      <c r="CP58" s="9" t="s">
        <v>2737</v>
      </c>
      <c r="CQ58" s="9" t="s">
        <v>2737</v>
      </c>
      <c r="CR58" s="9" t="s">
        <v>2717</v>
      </c>
      <c r="CS58" s="9" t="s">
        <v>2717</v>
      </c>
      <c r="CT58" s="9" t="s">
        <v>2717</v>
      </c>
      <c r="CU58" s="9" t="s">
        <v>2717</v>
      </c>
      <c r="CV58" s="9" t="s">
        <v>2717</v>
      </c>
      <c r="CW58" s="9" t="s">
        <v>2717</v>
      </c>
      <c r="CX58" s="9" t="s">
        <v>2717</v>
      </c>
      <c r="CY58" s="9" t="s">
        <v>28</v>
      </c>
      <c r="CZ58" s="9" t="s">
        <v>2679</v>
      </c>
      <c r="DA58" s="9" t="s">
        <v>2718</v>
      </c>
      <c r="DB58" s="9" t="s">
        <v>2683</v>
      </c>
      <c r="DC58" s="9" t="s">
        <v>2683</v>
      </c>
      <c r="DD58" s="9" t="s">
        <v>2683</v>
      </c>
      <c r="DG58" s="9" t="s">
        <v>2683</v>
      </c>
      <c r="DH58" s="9" t="s">
        <v>2683</v>
      </c>
      <c r="DI58" s="9" t="s">
        <v>2683</v>
      </c>
      <c r="DL58" s="9" t="s">
        <v>2683</v>
      </c>
      <c r="DN58" s="9" t="s">
        <v>2683</v>
      </c>
      <c r="DO58" s="9" t="s">
        <v>28</v>
      </c>
      <c r="DP58" s="9" t="s">
        <v>2694</v>
      </c>
      <c r="DQ58" s="9" t="s">
        <v>25</v>
      </c>
      <c r="DX58" s="9" t="s">
        <v>28</v>
      </c>
      <c r="DY58" s="9" t="s">
        <v>2679</v>
      </c>
      <c r="DZ58" s="9" t="s">
        <v>2687</v>
      </c>
      <c r="EA58" s="9" t="s">
        <v>13540</v>
      </c>
      <c r="EB58" s="9" t="s">
        <v>28</v>
      </c>
      <c r="EC58" s="9" t="s">
        <v>2683</v>
      </c>
      <c r="ED58" s="9" t="s">
        <v>2789</v>
      </c>
      <c r="EF58" s="9" t="s">
        <v>13957</v>
      </c>
      <c r="EH58" s="9" t="s">
        <v>2685</v>
      </c>
      <c r="EJ58" s="9" t="s">
        <v>28</v>
      </c>
      <c r="EK58" s="9" t="s">
        <v>2679</v>
      </c>
      <c r="EL58" s="9" t="s">
        <v>2686</v>
      </c>
      <c r="EN58" s="9" t="s">
        <v>2683</v>
      </c>
      <c r="EO58" s="9" t="s">
        <v>2721</v>
      </c>
      <c r="EQ58" s="9" t="s">
        <v>2689</v>
      </c>
      <c r="ES58" s="9" t="s">
        <v>28</v>
      </c>
      <c r="ET58" s="9" t="s">
        <v>2694</v>
      </c>
      <c r="EU58" s="9" t="s">
        <v>28</v>
      </c>
      <c r="EV58" s="9" t="s">
        <v>13569</v>
      </c>
      <c r="EX58" s="9" t="s">
        <v>25</v>
      </c>
      <c r="EZ58" s="9" t="s">
        <v>994</v>
      </c>
      <c r="FA58" s="9" t="s">
        <v>994</v>
      </c>
      <c r="FB58" s="9" t="s">
        <v>994</v>
      </c>
      <c r="FC58" s="9" t="s">
        <v>994</v>
      </c>
      <c r="FD58" s="9" t="s">
        <v>994</v>
      </c>
      <c r="FE58" s="9" t="s">
        <v>994</v>
      </c>
      <c r="FF58" s="9" t="s">
        <v>994</v>
      </c>
      <c r="FG58" s="9" t="s">
        <v>994</v>
      </c>
      <c r="FH58" s="9" t="s">
        <v>994</v>
      </c>
      <c r="FI58" s="9" t="s">
        <v>994</v>
      </c>
      <c r="FJ58" s="9" t="s">
        <v>1148</v>
      </c>
      <c r="FK58" s="9" t="s">
        <v>994</v>
      </c>
      <c r="FL58" s="9" t="s">
        <v>1148</v>
      </c>
      <c r="FM58" s="9" t="s">
        <v>1148</v>
      </c>
      <c r="FN58" s="9" t="s">
        <v>1148</v>
      </c>
      <c r="FO58" s="9" t="s">
        <v>1148</v>
      </c>
      <c r="FS58" s="9" t="s">
        <v>25</v>
      </c>
      <c r="FU58" s="9" t="s">
        <v>2691</v>
      </c>
      <c r="FX58" s="9" t="s">
        <v>25</v>
      </c>
      <c r="FZ58" s="9" t="s">
        <v>25</v>
      </c>
      <c r="GB58" s="9" t="s">
        <v>612</v>
      </c>
      <c r="GC58" s="9" t="s">
        <v>1727</v>
      </c>
      <c r="GD58" s="9" t="s">
        <v>28</v>
      </c>
      <c r="GE58" s="9" t="s">
        <v>2693</v>
      </c>
      <c r="GF58" s="9" t="s">
        <v>28</v>
      </c>
      <c r="GG58" s="9" t="s">
        <v>25</v>
      </c>
      <c r="GH58" s="9" t="s">
        <v>2694</v>
      </c>
      <c r="GI58" s="9" t="s">
        <v>25</v>
      </c>
      <c r="GK58" s="9" t="s">
        <v>2695</v>
      </c>
      <c r="GL58" s="9" t="s">
        <v>2865</v>
      </c>
      <c r="GM58" s="9" t="s">
        <v>13978</v>
      </c>
      <c r="GN58" s="9" t="s">
        <v>2725</v>
      </c>
      <c r="GO58" s="9" t="s">
        <v>25</v>
      </c>
      <c r="GV58" s="9" t="s">
        <v>25</v>
      </c>
      <c r="GW58" s="9" t="s">
        <v>700</v>
      </c>
      <c r="GX58" s="9" t="s">
        <v>2726</v>
      </c>
      <c r="GY58" s="9" t="s">
        <v>2700</v>
      </c>
      <c r="GZ58" s="9" t="s">
        <v>25</v>
      </c>
      <c r="HA58" s="9" t="s">
        <v>2701</v>
      </c>
      <c r="HB58" s="9" t="s">
        <v>2702</v>
      </c>
      <c r="HC58" s="9" t="s">
        <v>2702</v>
      </c>
      <c r="HD58" s="9" t="s">
        <v>2701</v>
      </c>
      <c r="HE58" s="9" t="s">
        <v>2701</v>
      </c>
      <c r="HF58" s="9" t="s">
        <v>2866</v>
      </c>
      <c r="HG58" s="9" t="s">
        <v>2765</v>
      </c>
    </row>
    <row r="59" spans="1:215" ht="51" x14ac:dyDescent="0.2">
      <c r="A59" s="8" t="s">
        <v>145</v>
      </c>
      <c r="B59" s="9" t="s">
        <v>25</v>
      </c>
      <c r="U59" s="9" t="s">
        <v>25</v>
      </c>
      <c r="X59" s="9" t="s">
        <v>2753</v>
      </c>
      <c r="Y59" s="10" t="s">
        <v>2705</v>
      </c>
      <c r="Z59" s="10">
        <v>120</v>
      </c>
      <c r="AA59" s="10">
        <v>120</v>
      </c>
      <c r="AB59" s="10">
        <v>120</v>
      </c>
      <c r="AC59" s="10">
        <v>120</v>
      </c>
      <c r="AD59" s="10">
        <v>120</v>
      </c>
      <c r="AE59" s="10">
        <v>120</v>
      </c>
      <c r="AF59" s="10">
        <v>120</v>
      </c>
      <c r="AG59" s="10">
        <v>120</v>
      </c>
      <c r="AH59" s="10">
        <v>120</v>
      </c>
      <c r="AI59" s="10">
        <v>120</v>
      </c>
      <c r="AJ59" s="10">
        <v>120</v>
      </c>
      <c r="AK59" s="10">
        <v>120</v>
      </c>
      <c r="AL59" s="10">
        <v>120</v>
      </c>
      <c r="AM59" s="10" t="s">
        <v>25</v>
      </c>
      <c r="AO59" s="10" t="s">
        <v>2846</v>
      </c>
      <c r="AP59" s="10" t="s">
        <v>2169</v>
      </c>
      <c r="AQ59" s="10">
        <v>40</v>
      </c>
      <c r="BL59" s="10" t="s">
        <v>2705</v>
      </c>
      <c r="BM59" s="10" t="s">
        <v>2671</v>
      </c>
      <c r="BN59" s="10">
        <v>96</v>
      </c>
      <c r="BO59" s="10">
        <v>100</v>
      </c>
      <c r="BP59" s="9" t="s">
        <v>25</v>
      </c>
      <c r="BQ59" s="9" t="s">
        <v>25</v>
      </c>
      <c r="BR59" s="9" t="s">
        <v>25</v>
      </c>
      <c r="BS59" s="9" t="s">
        <v>25</v>
      </c>
      <c r="BW59" s="9" t="s">
        <v>2673</v>
      </c>
      <c r="BX59" s="9" t="s">
        <v>2673</v>
      </c>
      <c r="BY59" s="9" t="s">
        <v>2673</v>
      </c>
      <c r="BZ59" s="9" t="s">
        <v>2673</v>
      </c>
      <c r="CA59" s="9" t="s">
        <v>2673</v>
      </c>
      <c r="CB59" s="9" t="s">
        <v>2673</v>
      </c>
      <c r="CC59" s="9" t="s">
        <v>2749</v>
      </c>
      <c r="CJ59" s="9" t="s">
        <v>2675</v>
      </c>
      <c r="CK59" s="9" t="s">
        <v>2676</v>
      </c>
      <c r="CL59" s="9" t="s">
        <v>2676</v>
      </c>
      <c r="CM59" s="9" t="s">
        <v>2676</v>
      </c>
      <c r="CN59" s="9" t="s">
        <v>2676</v>
      </c>
      <c r="CO59" s="9" t="s">
        <v>2676</v>
      </c>
      <c r="CP59" s="9" t="s">
        <v>2676</v>
      </c>
      <c r="CQ59" s="9" t="s">
        <v>2676</v>
      </c>
      <c r="CR59" s="9" t="s">
        <v>2738</v>
      </c>
      <c r="CS59" s="9" t="s">
        <v>2738</v>
      </c>
      <c r="CT59" s="9" t="s">
        <v>2738</v>
      </c>
      <c r="CU59" s="9" t="s">
        <v>2738</v>
      </c>
      <c r="CV59" s="9" t="s">
        <v>2738</v>
      </c>
      <c r="CW59" s="9" t="s">
        <v>2738</v>
      </c>
      <c r="CX59" s="9" t="s">
        <v>2717</v>
      </c>
      <c r="CY59" s="9" t="s">
        <v>28</v>
      </c>
      <c r="CZ59" s="9" t="s">
        <v>2679</v>
      </c>
      <c r="DA59" s="9" t="s">
        <v>13953</v>
      </c>
      <c r="DB59" s="9" t="s">
        <v>2683</v>
      </c>
      <c r="DC59" s="9" t="s">
        <v>2683</v>
      </c>
      <c r="DD59" s="9" t="s">
        <v>2683</v>
      </c>
      <c r="DE59" s="9" t="s">
        <v>2683</v>
      </c>
      <c r="DG59" s="9" t="s">
        <v>2683</v>
      </c>
      <c r="DH59" s="9" t="s">
        <v>2683</v>
      </c>
      <c r="DI59" s="9" t="s">
        <v>2683</v>
      </c>
      <c r="DJ59" s="9" t="s">
        <v>2683</v>
      </c>
      <c r="DL59" s="9" t="s">
        <v>2683</v>
      </c>
      <c r="DN59" s="9" t="s">
        <v>2683</v>
      </c>
      <c r="DO59" s="9" t="s">
        <v>28</v>
      </c>
      <c r="DP59" s="9" t="s">
        <v>2683</v>
      </c>
      <c r="DQ59" s="9" t="s">
        <v>25</v>
      </c>
      <c r="DX59" s="9" t="s">
        <v>28</v>
      </c>
      <c r="DY59" s="9" t="s">
        <v>2679</v>
      </c>
      <c r="DZ59" s="9" t="s">
        <v>2683</v>
      </c>
      <c r="EA59" s="9" t="s">
        <v>13539</v>
      </c>
      <c r="EB59" s="9" t="s">
        <v>25</v>
      </c>
      <c r="EC59" s="9" t="s">
        <v>2683</v>
      </c>
      <c r="ED59" s="9" t="s">
        <v>13545</v>
      </c>
      <c r="EE59" s="9" t="s">
        <v>2847</v>
      </c>
      <c r="EF59" s="9" t="s">
        <v>2848</v>
      </c>
      <c r="EH59" s="9" t="s">
        <v>25</v>
      </c>
      <c r="EJ59" s="9" t="s">
        <v>28</v>
      </c>
      <c r="EK59" s="9" t="s">
        <v>2679</v>
      </c>
      <c r="EL59" s="9" t="s">
        <v>2686</v>
      </c>
      <c r="EN59" s="9" t="s">
        <v>2683</v>
      </c>
      <c r="EO59" s="9" t="s">
        <v>2721</v>
      </c>
      <c r="EQ59" s="9" t="s">
        <v>2812</v>
      </c>
      <c r="ES59" s="9" t="s">
        <v>25</v>
      </c>
      <c r="EU59" s="9" t="s">
        <v>28</v>
      </c>
      <c r="EV59" s="9" t="s">
        <v>13549</v>
      </c>
      <c r="EX59" s="9" t="s">
        <v>25</v>
      </c>
      <c r="EZ59" s="9" t="s">
        <v>994</v>
      </c>
      <c r="FA59" s="9" t="s">
        <v>994</v>
      </c>
      <c r="FB59" s="9" t="s">
        <v>994</v>
      </c>
      <c r="FC59" s="9" t="s">
        <v>994</v>
      </c>
      <c r="FD59" s="9" t="s">
        <v>994</v>
      </c>
      <c r="FE59" s="9" t="s">
        <v>994</v>
      </c>
      <c r="FF59" s="9" t="s">
        <v>1148</v>
      </c>
      <c r="FG59" s="9" t="s">
        <v>994</v>
      </c>
      <c r="FH59" s="9" t="s">
        <v>994</v>
      </c>
      <c r="FI59" s="9" t="s">
        <v>1148</v>
      </c>
      <c r="FK59" s="9" t="s">
        <v>1148</v>
      </c>
      <c r="FL59" s="9" t="s">
        <v>1148</v>
      </c>
      <c r="FS59" s="9" t="s">
        <v>25</v>
      </c>
      <c r="FU59" s="9" t="s">
        <v>2730</v>
      </c>
      <c r="FV59" s="9" t="s">
        <v>1801</v>
      </c>
      <c r="FX59" s="9" t="s">
        <v>25</v>
      </c>
      <c r="FZ59" s="9" t="s">
        <v>28</v>
      </c>
      <c r="GA59" s="9" t="s">
        <v>2849</v>
      </c>
      <c r="GB59" s="9" t="s">
        <v>612</v>
      </c>
      <c r="GC59" s="9" t="s">
        <v>2850</v>
      </c>
      <c r="GD59" s="9" t="s">
        <v>28</v>
      </c>
      <c r="GE59" s="9" t="s">
        <v>2771</v>
      </c>
      <c r="GF59" s="9" t="s">
        <v>28</v>
      </c>
      <c r="GG59" s="9" t="s">
        <v>25</v>
      </c>
      <c r="GH59" s="9" t="s">
        <v>2768</v>
      </c>
      <c r="GI59" s="9" t="s">
        <v>25</v>
      </c>
      <c r="GK59" s="9" t="s">
        <v>2843</v>
      </c>
      <c r="GL59" s="9" t="s">
        <v>2851</v>
      </c>
      <c r="GM59" s="9" t="s">
        <v>13965</v>
      </c>
      <c r="GN59" s="9" t="s">
        <v>631</v>
      </c>
      <c r="GO59" s="9" t="s">
        <v>2696</v>
      </c>
      <c r="GP59" s="9" t="s">
        <v>28</v>
      </c>
      <c r="GQ59" s="9" t="s">
        <v>28</v>
      </c>
      <c r="GR59" s="9" t="s">
        <v>2697</v>
      </c>
      <c r="GS59" s="9" t="s">
        <v>2697</v>
      </c>
      <c r="GT59" s="9" t="s">
        <v>2698</v>
      </c>
      <c r="GV59" s="9" t="s">
        <v>25</v>
      </c>
      <c r="HA59" s="9" t="s">
        <v>2701</v>
      </c>
      <c r="HB59" s="9" t="s">
        <v>2701</v>
      </c>
      <c r="HC59" s="9" t="s">
        <v>2702</v>
      </c>
      <c r="HD59" s="9" t="s">
        <v>25</v>
      </c>
      <c r="HE59" s="9" t="s">
        <v>25</v>
      </c>
      <c r="HG59" s="9" t="s">
        <v>2765</v>
      </c>
    </row>
    <row r="60" spans="1:215" ht="38.25" x14ac:dyDescent="0.2">
      <c r="A60" s="8" t="s">
        <v>141</v>
      </c>
      <c r="B60" s="9" t="s">
        <v>28</v>
      </c>
      <c r="C60" s="9" t="s">
        <v>2746</v>
      </c>
      <c r="D60" s="9" t="s">
        <v>13532</v>
      </c>
      <c r="E60" s="9" t="s">
        <v>632</v>
      </c>
      <c r="F60" s="9" t="s">
        <v>2664</v>
      </c>
      <c r="G60" s="9" t="s">
        <v>2665</v>
      </c>
      <c r="J60" s="9" t="s">
        <v>2666</v>
      </c>
      <c r="K60" s="9" t="s">
        <v>2665</v>
      </c>
      <c r="L60" s="9" t="s">
        <v>2665</v>
      </c>
      <c r="M60" s="9" t="s">
        <v>2665</v>
      </c>
      <c r="N60" s="9" t="s">
        <v>2666</v>
      </c>
      <c r="O60" s="9" t="s">
        <v>2665</v>
      </c>
      <c r="P60" s="9" t="s">
        <v>2665</v>
      </c>
      <c r="Q60" s="9" t="s">
        <v>2667</v>
      </c>
      <c r="R60" s="9" t="s">
        <v>2667</v>
      </c>
      <c r="U60" s="9" t="s">
        <v>25</v>
      </c>
      <c r="X60" s="9" t="s">
        <v>2704</v>
      </c>
      <c r="AQ60" s="10">
        <v>40</v>
      </c>
      <c r="AR60" s="10" t="s">
        <v>2705</v>
      </c>
      <c r="AS60" s="25">
        <v>160</v>
      </c>
      <c r="AT60" s="25">
        <v>160</v>
      </c>
      <c r="AU60" s="25">
        <v>160</v>
      </c>
      <c r="AV60" s="25">
        <v>160</v>
      </c>
      <c r="AW60" s="25">
        <v>160</v>
      </c>
      <c r="AX60" s="25">
        <v>160</v>
      </c>
      <c r="AY60" s="25">
        <v>160</v>
      </c>
      <c r="AZ60" s="25">
        <v>160</v>
      </c>
      <c r="BA60" s="25">
        <v>160</v>
      </c>
      <c r="BB60" s="25">
        <v>160</v>
      </c>
      <c r="BC60" s="25">
        <v>160</v>
      </c>
      <c r="BD60" s="10">
        <v>200</v>
      </c>
      <c r="BE60" s="10">
        <v>220</v>
      </c>
      <c r="BF60" s="10">
        <v>240</v>
      </c>
      <c r="BG60" s="10" t="s">
        <v>28</v>
      </c>
      <c r="BH60" s="10">
        <v>360</v>
      </c>
      <c r="BI60" s="10" t="s">
        <v>2834</v>
      </c>
      <c r="BJ60" s="10" t="s">
        <v>2707</v>
      </c>
      <c r="BK60" s="10">
        <v>40</v>
      </c>
      <c r="BL60" s="10" t="s">
        <v>2705</v>
      </c>
      <c r="BM60" s="10" t="s">
        <v>2671</v>
      </c>
      <c r="BN60" s="10">
        <v>120</v>
      </c>
      <c r="BO60" s="10">
        <v>120</v>
      </c>
      <c r="BP60" s="9" t="s">
        <v>25</v>
      </c>
      <c r="BQ60" s="9" t="s">
        <v>25</v>
      </c>
      <c r="BR60" s="9" t="s">
        <v>25</v>
      </c>
      <c r="BS60" s="9" t="s">
        <v>25</v>
      </c>
      <c r="BW60" s="9" t="s">
        <v>2673</v>
      </c>
      <c r="BX60" s="9" t="s">
        <v>2674</v>
      </c>
      <c r="BY60" s="9" t="s">
        <v>2674</v>
      </c>
      <c r="BZ60" s="9" t="s">
        <v>2674</v>
      </c>
      <c r="CA60" s="9" t="s">
        <v>2674</v>
      </c>
      <c r="CB60" s="9" t="s">
        <v>2674</v>
      </c>
      <c r="CC60" s="9" t="s">
        <v>2674</v>
      </c>
      <c r="CD60" s="9" t="s">
        <v>41</v>
      </c>
      <c r="CE60" s="9" t="s">
        <v>2675</v>
      </c>
      <c r="CF60" s="9" t="s">
        <v>2675</v>
      </c>
      <c r="CG60" s="9" t="s">
        <v>2675</v>
      </c>
      <c r="CH60" s="9" t="s">
        <v>2675</v>
      </c>
      <c r="CI60" s="9" t="s">
        <v>2675</v>
      </c>
      <c r="CJ60" s="9" t="s">
        <v>2675</v>
      </c>
      <c r="CK60" s="9" t="s">
        <v>2677</v>
      </c>
      <c r="CL60" s="9" t="s">
        <v>2677</v>
      </c>
      <c r="CM60" s="9" t="s">
        <v>2677</v>
      </c>
      <c r="CN60" s="9" t="s">
        <v>2677</v>
      </c>
      <c r="CO60" s="9" t="s">
        <v>2677</v>
      </c>
      <c r="CP60" s="9" t="s">
        <v>2677</v>
      </c>
      <c r="CQ60" s="9" t="s">
        <v>2677</v>
      </c>
      <c r="CY60" s="9" t="s">
        <v>28</v>
      </c>
      <c r="CZ60" s="9" t="s">
        <v>2679</v>
      </c>
      <c r="DA60" s="9" t="s">
        <v>2718</v>
      </c>
      <c r="DL60" s="9" t="s">
        <v>2699</v>
      </c>
      <c r="DN60" s="9" t="s">
        <v>2699</v>
      </c>
      <c r="DO60" s="9" t="s">
        <v>28</v>
      </c>
      <c r="DP60" s="9" t="s">
        <v>2683</v>
      </c>
      <c r="DQ60" s="9" t="s">
        <v>28</v>
      </c>
      <c r="DR60" s="9" t="s">
        <v>2776</v>
      </c>
      <c r="DS60" s="9" t="s">
        <v>2699</v>
      </c>
      <c r="DT60" s="9" t="s">
        <v>28</v>
      </c>
      <c r="DU60" s="9" t="s">
        <v>2718</v>
      </c>
      <c r="DV60" s="9" t="s">
        <v>28</v>
      </c>
      <c r="DW60" s="9" t="s">
        <v>2699</v>
      </c>
      <c r="DX60" s="9" t="s">
        <v>28</v>
      </c>
      <c r="DY60" s="9" t="s">
        <v>2679</v>
      </c>
      <c r="DZ60" s="9" t="s">
        <v>2699</v>
      </c>
      <c r="EA60" s="9" t="s">
        <v>13541</v>
      </c>
      <c r="EB60" s="9" t="s">
        <v>28</v>
      </c>
      <c r="EC60" s="9" t="s">
        <v>2699</v>
      </c>
      <c r="ED60" s="9" t="s">
        <v>2835</v>
      </c>
      <c r="EF60" s="9" t="s">
        <v>631</v>
      </c>
      <c r="EH60" s="9" t="s">
        <v>25</v>
      </c>
      <c r="EJ60" s="9" t="s">
        <v>25</v>
      </c>
      <c r="EU60" s="9" t="s">
        <v>28</v>
      </c>
      <c r="EV60" s="9" t="s">
        <v>13556</v>
      </c>
      <c r="EX60" s="9" t="s">
        <v>25</v>
      </c>
      <c r="FS60" s="9" t="s">
        <v>28</v>
      </c>
      <c r="FT60" s="9" t="s">
        <v>2725</v>
      </c>
      <c r="FU60" s="9" t="s">
        <v>2691</v>
      </c>
      <c r="FX60" s="9" t="s">
        <v>25</v>
      </c>
      <c r="FZ60" s="9" t="s">
        <v>25</v>
      </c>
      <c r="GB60" s="9" t="s">
        <v>758</v>
      </c>
      <c r="GD60" s="9" t="s">
        <v>25</v>
      </c>
      <c r="GE60" s="9" t="s">
        <v>2771</v>
      </c>
      <c r="GF60" s="9" t="s">
        <v>28</v>
      </c>
      <c r="GG60" s="9" t="s">
        <v>25</v>
      </c>
      <c r="GH60" s="9" t="s">
        <v>2694</v>
      </c>
      <c r="GI60" s="9" t="s">
        <v>25</v>
      </c>
      <c r="GK60" s="9" t="s">
        <v>2695</v>
      </c>
      <c r="GL60" s="9" t="s">
        <v>72</v>
      </c>
      <c r="GM60" s="9" t="s">
        <v>13974</v>
      </c>
      <c r="GN60" s="9" t="s">
        <v>2712</v>
      </c>
      <c r="GO60" s="9" t="s">
        <v>2696</v>
      </c>
      <c r="GV60" s="9" t="s">
        <v>25</v>
      </c>
      <c r="HA60" s="9" t="s">
        <v>2701</v>
      </c>
      <c r="HB60" s="9" t="s">
        <v>2701</v>
      </c>
      <c r="HC60" s="9" t="s">
        <v>2701</v>
      </c>
      <c r="HD60" s="9" t="s">
        <v>25</v>
      </c>
      <c r="HE60" s="9" t="s">
        <v>25</v>
      </c>
      <c r="HF60" s="9" t="s">
        <v>2836</v>
      </c>
      <c r="HG60" s="9">
        <v>3</v>
      </c>
    </row>
    <row r="61" spans="1:215" ht="63.75" x14ac:dyDescent="0.2">
      <c r="A61" s="8" t="s">
        <v>132</v>
      </c>
      <c r="B61" s="9" t="s">
        <v>25</v>
      </c>
      <c r="U61" s="9" t="s">
        <v>25</v>
      </c>
      <c r="X61" s="9" t="s">
        <v>2727</v>
      </c>
      <c r="Y61" s="10" t="s">
        <v>2668</v>
      </c>
      <c r="Z61" s="10">
        <v>200</v>
      </c>
      <c r="AA61" s="10">
        <v>240</v>
      </c>
      <c r="AB61" s="10">
        <v>240</v>
      </c>
      <c r="AC61" s="10">
        <v>240</v>
      </c>
      <c r="AD61" s="10">
        <v>240</v>
      </c>
      <c r="AE61" s="10">
        <v>240</v>
      </c>
      <c r="AF61" s="10">
        <v>240</v>
      </c>
      <c r="AG61" s="10">
        <v>240</v>
      </c>
      <c r="AH61" s="10">
        <v>240</v>
      </c>
      <c r="AI61" s="10">
        <v>300</v>
      </c>
      <c r="AJ61" s="10">
        <v>300</v>
      </c>
      <c r="AK61" s="10">
        <v>300</v>
      </c>
      <c r="AL61" s="10">
        <v>300</v>
      </c>
      <c r="AM61" s="10" t="s">
        <v>25</v>
      </c>
      <c r="AP61" s="10" t="s">
        <v>2707</v>
      </c>
      <c r="AQ61" s="10">
        <v>80</v>
      </c>
      <c r="AR61" s="10" t="s">
        <v>2705</v>
      </c>
      <c r="AS61" s="10">
        <v>200</v>
      </c>
      <c r="AT61" s="10">
        <v>240</v>
      </c>
      <c r="AU61" s="10">
        <v>240</v>
      </c>
      <c r="AV61" s="10">
        <v>240</v>
      </c>
      <c r="AW61" s="10">
        <v>240</v>
      </c>
      <c r="AX61" s="10">
        <v>240</v>
      </c>
      <c r="AY61" s="10">
        <v>240</v>
      </c>
      <c r="AZ61" s="10">
        <v>240</v>
      </c>
      <c r="BA61" s="10">
        <v>240</v>
      </c>
      <c r="BB61" s="10">
        <v>240</v>
      </c>
      <c r="BC61" s="10">
        <v>300</v>
      </c>
      <c r="BD61" s="10">
        <v>300</v>
      </c>
      <c r="BE61" s="10">
        <v>300</v>
      </c>
      <c r="BF61" s="10">
        <v>300</v>
      </c>
      <c r="BG61" s="10" t="s">
        <v>25</v>
      </c>
      <c r="BI61" s="10" t="s">
        <v>2800</v>
      </c>
      <c r="BJ61" s="10" t="s">
        <v>2707</v>
      </c>
      <c r="BK61" s="10">
        <v>80</v>
      </c>
      <c r="BL61" s="10" t="s">
        <v>2668</v>
      </c>
      <c r="BM61" s="10" t="s">
        <v>2716</v>
      </c>
      <c r="BN61" s="10">
        <v>80</v>
      </c>
      <c r="BO61" s="10">
        <v>80</v>
      </c>
      <c r="BP61" s="9" t="s">
        <v>25</v>
      </c>
      <c r="BQ61" s="9" t="s">
        <v>25</v>
      </c>
      <c r="BR61" s="9" t="s">
        <v>25</v>
      </c>
      <c r="BS61" s="9" t="s">
        <v>25</v>
      </c>
      <c r="BW61" s="9" t="s">
        <v>2673</v>
      </c>
      <c r="BX61" s="9" t="s">
        <v>2673</v>
      </c>
      <c r="BY61" s="9" t="s">
        <v>2674</v>
      </c>
      <c r="BZ61" s="9" t="s">
        <v>2674</v>
      </c>
      <c r="CA61" s="9" t="s">
        <v>2674</v>
      </c>
      <c r="CB61" s="9" t="s">
        <v>2674</v>
      </c>
      <c r="CC61" s="9" t="s">
        <v>2674</v>
      </c>
      <c r="CD61" s="9" t="s">
        <v>41</v>
      </c>
      <c r="CE61" s="9" t="s">
        <v>41</v>
      </c>
      <c r="CF61" s="9" t="s">
        <v>2675</v>
      </c>
      <c r="CG61" s="9" t="s">
        <v>2675</v>
      </c>
      <c r="CH61" s="9" t="s">
        <v>2675</v>
      </c>
      <c r="CI61" s="9" t="s">
        <v>2675</v>
      </c>
      <c r="CJ61" s="9" t="s">
        <v>2675</v>
      </c>
      <c r="CK61" s="9" t="s">
        <v>2677</v>
      </c>
      <c r="CL61" s="9" t="s">
        <v>2677</v>
      </c>
      <c r="CM61" s="9" t="s">
        <v>2677</v>
      </c>
      <c r="CN61" s="9" t="s">
        <v>2677</v>
      </c>
      <c r="CO61" s="9" t="s">
        <v>2677</v>
      </c>
      <c r="CP61" s="9" t="s">
        <v>2677</v>
      </c>
      <c r="CQ61" s="9" t="s">
        <v>2677</v>
      </c>
      <c r="CR61" s="9" t="s">
        <v>2717</v>
      </c>
      <c r="CS61" s="9" t="s">
        <v>2717</v>
      </c>
      <c r="CT61" s="9" t="s">
        <v>2717</v>
      </c>
      <c r="CU61" s="9" t="s">
        <v>2717</v>
      </c>
      <c r="CV61" s="9" t="s">
        <v>2717</v>
      </c>
      <c r="CW61" s="9" t="s">
        <v>2717</v>
      </c>
      <c r="CX61" s="9" t="s">
        <v>2717</v>
      </c>
      <c r="CY61" s="9" t="s">
        <v>28</v>
      </c>
      <c r="CZ61" s="9" t="s">
        <v>2679</v>
      </c>
      <c r="DA61" s="9" t="s">
        <v>2718</v>
      </c>
      <c r="DB61" s="9" t="s">
        <v>2719</v>
      </c>
      <c r="DC61" s="9" t="s">
        <v>2719</v>
      </c>
      <c r="DD61" s="9" t="s">
        <v>2719</v>
      </c>
      <c r="DG61" s="9" t="s">
        <v>2719</v>
      </c>
      <c r="DH61" s="9" t="s">
        <v>2719</v>
      </c>
      <c r="DI61" s="9" t="s">
        <v>2719</v>
      </c>
      <c r="DL61" s="9" t="s">
        <v>2719</v>
      </c>
      <c r="DN61" s="9" t="s">
        <v>2719</v>
      </c>
      <c r="DO61" s="9" t="s">
        <v>25</v>
      </c>
      <c r="DQ61" s="9" t="s">
        <v>25</v>
      </c>
      <c r="DX61" s="9" t="s">
        <v>28</v>
      </c>
      <c r="DY61" s="9" t="s">
        <v>2679</v>
      </c>
      <c r="DZ61" s="9" t="s">
        <v>2683</v>
      </c>
      <c r="EA61" s="9" t="s">
        <v>13540</v>
      </c>
      <c r="EB61" s="9" t="s">
        <v>25</v>
      </c>
      <c r="ED61" s="9" t="s">
        <v>2789</v>
      </c>
      <c r="EF61" s="9" t="s">
        <v>2801</v>
      </c>
      <c r="EH61" s="9" t="s">
        <v>25</v>
      </c>
      <c r="EJ61" s="9" t="s">
        <v>28</v>
      </c>
      <c r="EK61" s="9" t="s">
        <v>2679</v>
      </c>
      <c r="EL61" s="9" t="s">
        <v>2686</v>
      </c>
      <c r="EN61" s="9" t="s">
        <v>2720</v>
      </c>
      <c r="EO61" s="9" t="s">
        <v>2721</v>
      </c>
      <c r="EQ61" s="9" t="s">
        <v>2689</v>
      </c>
      <c r="ES61" s="9" t="s">
        <v>25</v>
      </c>
      <c r="EU61" s="9" t="s">
        <v>28</v>
      </c>
      <c r="EV61" s="9" t="s">
        <v>13557</v>
      </c>
      <c r="EX61" s="9" t="s">
        <v>25</v>
      </c>
      <c r="EZ61" s="9" t="s">
        <v>2690</v>
      </c>
      <c r="FA61" s="9" t="s">
        <v>2690</v>
      </c>
      <c r="FB61" s="9" t="s">
        <v>2690</v>
      </c>
      <c r="FC61" s="9" t="s">
        <v>2690</v>
      </c>
      <c r="FD61" s="9" t="s">
        <v>2690</v>
      </c>
      <c r="FF61" s="9" t="s">
        <v>994</v>
      </c>
      <c r="FG61" s="9" t="s">
        <v>994</v>
      </c>
      <c r="FH61" s="9" t="s">
        <v>994</v>
      </c>
      <c r="FI61" s="9" t="s">
        <v>994</v>
      </c>
      <c r="FK61" s="9" t="s">
        <v>994</v>
      </c>
      <c r="FL61" s="9" t="s">
        <v>994</v>
      </c>
      <c r="FM61" s="9" t="s">
        <v>1938</v>
      </c>
      <c r="FN61" s="9" t="s">
        <v>1938</v>
      </c>
      <c r="FO61" s="9" t="s">
        <v>1938</v>
      </c>
      <c r="FP61" s="9" t="s">
        <v>1938</v>
      </c>
      <c r="FS61" s="9" t="s">
        <v>25</v>
      </c>
      <c r="FU61" s="9" t="s">
        <v>2730</v>
      </c>
      <c r="FV61" s="9" t="s">
        <v>2692</v>
      </c>
      <c r="FX61" s="9" t="s">
        <v>25</v>
      </c>
      <c r="FZ61" s="9" t="s">
        <v>25</v>
      </c>
      <c r="GB61" s="9" t="s">
        <v>758</v>
      </c>
      <c r="GD61" s="9" t="s">
        <v>28</v>
      </c>
      <c r="GE61" s="9" t="s">
        <v>2693</v>
      </c>
      <c r="GF61" s="9" t="s">
        <v>28</v>
      </c>
      <c r="GG61" s="9" t="s">
        <v>25</v>
      </c>
      <c r="GH61" s="9" t="s">
        <v>2759</v>
      </c>
      <c r="GI61" s="9" t="s">
        <v>25</v>
      </c>
      <c r="GK61" s="9" t="s">
        <v>2695</v>
      </c>
      <c r="GL61" s="9" t="s">
        <v>2802</v>
      </c>
      <c r="GM61" s="9" t="s">
        <v>13965</v>
      </c>
      <c r="GN61" s="9" t="s">
        <v>631</v>
      </c>
      <c r="GO61" s="9" t="s">
        <v>2696</v>
      </c>
      <c r="GP61" s="9" t="s">
        <v>28</v>
      </c>
      <c r="GQ61" s="9" t="s">
        <v>28</v>
      </c>
      <c r="GR61" s="9" t="s">
        <v>2697</v>
      </c>
      <c r="GS61" s="9" t="s">
        <v>2697</v>
      </c>
      <c r="GT61" s="9" t="s">
        <v>2698</v>
      </c>
      <c r="GU61" s="9" t="s">
        <v>2777</v>
      </c>
      <c r="GV61" s="9" t="s">
        <v>28</v>
      </c>
      <c r="GW61" s="9" t="s">
        <v>2803</v>
      </c>
      <c r="GX61" s="9" t="s">
        <v>2804</v>
      </c>
      <c r="GY61" s="9" t="s">
        <v>2700</v>
      </c>
      <c r="GZ61" s="9" t="s">
        <v>28</v>
      </c>
      <c r="HA61" s="9" t="s">
        <v>2702</v>
      </c>
      <c r="HB61" s="9" t="s">
        <v>2702</v>
      </c>
      <c r="HC61" s="9" t="s">
        <v>2702</v>
      </c>
      <c r="HD61" s="9" t="s">
        <v>25</v>
      </c>
      <c r="HE61" s="9" t="s">
        <v>25</v>
      </c>
      <c r="HG61" s="9">
        <v>4</v>
      </c>
    </row>
    <row r="62" spans="1:215" ht="38.25" x14ac:dyDescent="0.2">
      <c r="A62" s="8" t="s">
        <v>136</v>
      </c>
      <c r="B62" s="9" t="s">
        <v>28</v>
      </c>
      <c r="C62" s="9" t="s">
        <v>2752</v>
      </c>
      <c r="D62" s="9" t="s">
        <v>13532</v>
      </c>
      <c r="E62" s="9" t="s">
        <v>632</v>
      </c>
      <c r="F62" s="9" t="s">
        <v>2664</v>
      </c>
      <c r="G62" s="9" t="s">
        <v>2667</v>
      </c>
      <c r="H62" s="9" t="s">
        <v>2667</v>
      </c>
      <c r="I62" s="9" t="s">
        <v>2665</v>
      </c>
      <c r="J62" s="9" t="s">
        <v>2666</v>
      </c>
      <c r="K62" s="9" t="s">
        <v>2667</v>
      </c>
      <c r="L62" s="9" t="s">
        <v>2667</v>
      </c>
      <c r="M62" s="9" t="s">
        <v>2665</v>
      </c>
      <c r="N62" s="9" t="s">
        <v>2666</v>
      </c>
      <c r="O62" s="9" t="s">
        <v>2665</v>
      </c>
      <c r="P62" s="9" t="s">
        <v>2665</v>
      </c>
      <c r="Q62" s="9" t="s">
        <v>2665</v>
      </c>
      <c r="R62" s="9" t="s">
        <v>2667</v>
      </c>
      <c r="S62" s="9" t="s">
        <v>2666</v>
      </c>
      <c r="T62" s="9" t="s">
        <v>2665</v>
      </c>
      <c r="U62" s="9" t="s">
        <v>25</v>
      </c>
      <c r="X62" s="9" t="s">
        <v>13535</v>
      </c>
      <c r="Y62" s="10" t="s">
        <v>2728</v>
      </c>
      <c r="Z62" s="10">
        <v>120</v>
      </c>
      <c r="AA62" s="10">
        <v>120</v>
      </c>
      <c r="AB62" s="10">
        <v>120</v>
      </c>
      <c r="AC62" s="10">
        <v>120</v>
      </c>
      <c r="AD62" s="10">
        <v>160</v>
      </c>
      <c r="AE62" s="10">
        <v>160</v>
      </c>
      <c r="AF62" s="10">
        <v>160</v>
      </c>
      <c r="AG62" s="10">
        <v>160</v>
      </c>
      <c r="AH62" s="10">
        <v>160</v>
      </c>
      <c r="AI62" s="10">
        <v>160</v>
      </c>
      <c r="AJ62" s="10">
        <v>160</v>
      </c>
      <c r="AK62" s="10">
        <v>160</v>
      </c>
      <c r="AL62" s="10">
        <v>160</v>
      </c>
      <c r="AM62" s="10" t="s">
        <v>25</v>
      </c>
      <c r="AP62" s="10" t="s">
        <v>25</v>
      </c>
      <c r="AR62" s="10" t="s">
        <v>2728</v>
      </c>
      <c r="AS62" s="10">
        <v>120</v>
      </c>
      <c r="AT62" s="10">
        <v>120</v>
      </c>
      <c r="AU62" s="10">
        <v>120</v>
      </c>
      <c r="AV62" s="10">
        <v>120</v>
      </c>
      <c r="AW62" s="10">
        <v>120</v>
      </c>
      <c r="AX62" s="10">
        <v>160</v>
      </c>
      <c r="AY62" s="10">
        <v>160</v>
      </c>
      <c r="AZ62" s="10">
        <v>160</v>
      </c>
      <c r="BA62" s="10">
        <v>160</v>
      </c>
      <c r="BB62" s="10">
        <v>160</v>
      </c>
      <c r="BC62" s="10">
        <v>160</v>
      </c>
      <c r="BD62" s="10">
        <v>160</v>
      </c>
      <c r="BE62" s="10">
        <v>160</v>
      </c>
      <c r="BF62" s="10">
        <v>160</v>
      </c>
      <c r="BG62" s="10" t="s">
        <v>25</v>
      </c>
      <c r="BJ62" s="10" t="s">
        <v>25</v>
      </c>
      <c r="BL62" s="10" t="s">
        <v>2705</v>
      </c>
      <c r="BM62" s="10" t="s">
        <v>2716</v>
      </c>
      <c r="BN62" s="10">
        <v>80</v>
      </c>
      <c r="BO62" s="10">
        <v>80</v>
      </c>
      <c r="BP62" s="9" t="s">
        <v>25</v>
      </c>
      <c r="BQ62" s="9" t="s">
        <v>25</v>
      </c>
      <c r="BR62" s="9" t="s">
        <v>25</v>
      </c>
      <c r="BS62" s="9" t="s">
        <v>25</v>
      </c>
      <c r="BW62" s="9" t="s">
        <v>2673</v>
      </c>
      <c r="BX62" s="9" t="s">
        <v>2673</v>
      </c>
      <c r="BY62" s="9" t="s">
        <v>2673</v>
      </c>
      <c r="BZ62" s="9" t="s">
        <v>2673</v>
      </c>
      <c r="CA62" s="9" t="s">
        <v>2673</v>
      </c>
      <c r="CB62" s="9" t="s">
        <v>2673</v>
      </c>
      <c r="CC62" s="9" t="s">
        <v>2749</v>
      </c>
      <c r="CJ62" s="9" t="s">
        <v>2675</v>
      </c>
      <c r="CK62" s="9" t="s">
        <v>2676</v>
      </c>
      <c r="CL62" s="9" t="s">
        <v>2676</v>
      </c>
      <c r="CM62" s="9" t="s">
        <v>2676</v>
      </c>
      <c r="CN62" s="9" t="s">
        <v>2676</v>
      </c>
      <c r="CO62" s="9" t="s">
        <v>2676</v>
      </c>
      <c r="CP62" s="9" t="s">
        <v>2676</v>
      </c>
      <c r="CQ62" s="9" t="s">
        <v>2676</v>
      </c>
      <c r="CR62" s="9" t="s">
        <v>2738</v>
      </c>
      <c r="CS62" s="9" t="s">
        <v>2738</v>
      </c>
      <c r="CT62" s="9" t="s">
        <v>2738</v>
      </c>
      <c r="CU62" s="9" t="s">
        <v>2738</v>
      </c>
      <c r="CV62" s="9" t="s">
        <v>2738</v>
      </c>
      <c r="CW62" s="9" t="s">
        <v>2738</v>
      </c>
      <c r="CX62" s="9" t="s">
        <v>2717</v>
      </c>
      <c r="CY62" s="9" t="s">
        <v>28</v>
      </c>
      <c r="CZ62" s="9" t="s">
        <v>2679</v>
      </c>
      <c r="DA62" s="9" t="s">
        <v>2709</v>
      </c>
      <c r="DB62" s="9" t="s">
        <v>2683</v>
      </c>
      <c r="DC62" s="9" t="s">
        <v>2683</v>
      </c>
      <c r="DG62" s="9" t="s">
        <v>2683</v>
      </c>
      <c r="DH62" s="9" t="s">
        <v>2683</v>
      </c>
      <c r="DL62" s="9" t="s">
        <v>2683</v>
      </c>
      <c r="DN62" s="9" t="s">
        <v>2683</v>
      </c>
      <c r="DO62" s="9" t="s">
        <v>28</v>
      </c>
      <c r="DP62" s="9" t="s">
        <v>2683</v>
      </c>
      <c r="DQ62" s="9" t="s">
        <v>25</v>
      </c>
      <c r="DX62" s="9" t="s">
        <v>25</v>
      </c>
      <c r="EJ62" s="9" t="s">
        <v>25</v>
      </c>
      <c r="EU62" s="9" t="s">
        <v>28</v>
      </c>
      <c r="EV62" s="9" t="s">
        <v>13548</v>
      </c>
      <c r="EX62" s="9" t="s">
        <v>28</v>
      </c>
      <c r="EY62" s="9" t="s">
        <v>1148</v>
      </c>
      <c r="FS62" s="9" t="s">
        <v>28</v>
      </c>
      <c r="FU62" s="9" t="s">
        <v>2730</v>
      </c>
      <c r="FV62" s="9" t="s">
        <v>994</v>
      </c>
      <c r="FX62" s="9" t="s">
        <v>25</v>
      </c>
      <c r="FZ62" s="9" t="s">
        <v>28</v>
      </c>
      <c r="GA62" s="9" t="s">
        <v>2712</v>
      </c>
      <c r="GB62" s="9" t="s">
        <v>693</v>
      </c>
      <c r="GD62" s="9" t="s">
        <v>28</v>
      </c>
      <c r="GE62" s="9" t="s">
        <v>2693</v>
      </c>
      <c r="GF62" s="9" t="s">
        <v>28</v>
      </c>
      <c r="GG62" s="9" t="s">
        <v>25</v>
      </c>
      <c r="GH62" s="9" t="s">
        <v>2759</v>
      </c>
      <c r="GI62" s="9" t="s">
        <v>25</v>
      </c>
      <c r="GK62" s="9" t="s">
        <v>2695</v>
      </c>
      <c r="GM62" s="9" t="s">
        <v>13976</v>
      </c>
      <c r="GN62" s="9" t="s">
        <v>631</v>
      </c>
      <c r="GO62" s="9" t="s">
        <v>25</v>
      </c>
      <c r="GV62" s="9" t="s">
        <v>25</v>
      </c>
      <c r="HA62" s="9" t="s">
        <v>2701</v>
      </c>
      <c r="HB62" s="9" t="s">
        <v>2702</v>
      </c>
      <c r="HC62" s="9" t="s">
        <v>2702</v>
      </c>
      <c r="HD62" s="9" t="s">
        <v>25</v>
      </c>
      <c r="HE62" s="9" t="s">
        <v>25</v>
      </c>
      <c r="HG62" s="9">
        <v>4</v>
      </c>
    </row>
    <row r="63" spans="1:215" ht="76.5" x14ac:dyDescent="0.2">
      <c r="A63" s="8" t="s">
        <v>177</v>
      </c>
      <c r="B63" s="9" t="s">
        <v>28</v>
      </c>
      <c r="C63" s="9" t="s">
        <v>2746</v>
      </c>
      <c r="D63" s="9" t="s">
        <v>13532</v>
      </c>
      <c r="E63" s="9" t="s">
        <v>743</v>
      </c>
      <c r="F63" s="9" t="s">
        <v>2829</v>
      </c>
      <c r="G63" s="9" t="s">
        <v>2666</v>
      </c>
      <c r="H63" s="9" t="s">
        <v>2665</v>
      </c>
      <c r="I63" s="9" t="s">
        <v>2665</v>
      </c>
      <c r="J63" s="9" t="s">
        <v>2666</v>
      </c>
      <c r="K63" s="9" t="s">
        <v>2667</v>
      </c>
      <c r="L63" s="9" t="s">
        <v>2667</v>
      </c>
      <c r="M63" s="9" t="s">
        <v>2665</v>
      </c>
      <c r="N63" s="9" t="s">
        <v>2666</v>
      </c>
      <c r="O63" s="9" t="s">
        <v>2665</v>
      </c>
      <c r="P63" s="9" t="s">
        <v>2665</v>
      </c>
      <c r="Q63" s="9" t="s">
        <v>2665</v>
      </c>
      <c r="R63" s="9" t="s">
        <v>2667</v>
      </c>
      <c r="S63" s="9" t="s">
        <v>2665</v>
      </c>
      <c r="T63" s="9" t="s">
        <v>2666</v>
      </c>
      <c r="U63" s="9" t="s">
        <v>25</v>
      </c>
      <c r="X63" s="9" t="s">
        <v>2753</v>
      </c>
      <c r="Y63" s="10" t="s">
        <v>2705</v>
      </c>
      <c r="Z63" s="10">
        <v>120</v>
      </c>
      <c r="AA63" s="10">
        <v>120</v>
      </c>
      <c r="AB63" s="10">
        <v>120</v>
      </c>
      <c r="AC63" s="10">
        <v>136</v>
      </c>
      <c r="AD63" s="10">
        <v>152</v>
      </c>
      <c r="AE63" s="10">
        <v>168</v>
      </c>
      <c r="AF63" s="10">
        <v>184</v>
      </c>
      <c r="AG63" s="10">
        <v>184</v>
      </c>
      <c r="AH63" s="10">
        <v>184</v>
      </c>
      <c r="AI63" s="10">
        <v>200</v>
      </c>
      <c r="AJ63" s="10">
        <v>200</v>
      </c>
      <c r="AK63" s="10">
        <v>200</v>
      </c>
      <c r="AL63" s="10">
        <v>200</v>
      </c>
      <c r="AM63" s="10" t="s">
        <v>28</v>
      </c>
      <c r="AN63" s="10">
        <v>300</v>
      </c>
      <c r="AO63" s="10" t="s">
        <v>2926</v>
      </c>
      <c r="AP63" s="10" t="s">
        <v>25</v>
      </c>
      <c r="BL63" s="10" t="s">
        <v>2705</v>
      </c>
      <c r="BM63" s="10" t="s">
        <v>2716</v>
      </c>
      <c r="BN63" s="10">
        <v>80</v>
      </c>
      <c r="BO63" s="10">
        <v>80</v>
      </c>
      <c r="BP63" s="9" t="s">
        <v>25</v>
      </c>
      <c r="BQ63" s="9" t="s">
        <v>25</v>
      </c>
      <c r="BR63" s="9" t="s">
        <v>25</v>
      </c>
      <c r="BS63" s="9" t="s">
        <v>25</v>
      </c>
      <c r="BW63" s="9" t="s">
        <v>2673</v>
      </c>
      <c r="BX63" s="9" t="s">
        <v>2673</v>
      </c>
      <c r="BY63" s="9" t="s">
        <v>2673</v>
      </c>
      <c r="BZ63" s="9" t="s">
        <v>2673</v>
      </c>
      <c r="CA63" s="9" t="s">
        <v>2673</v>
      </c>
      <c r="CB63" s="9" t="s">
        <v>2673</v>
      </c>
      <c r="CC63" s="9" t="s">
        <v>2749</v>
      </c>
      <c r="CJ63" s="9" t="s">
        <v>2675</v>
      </c>
      <c r="CK63" s="9" t="s">
        <v>2737</v>
      </c>
      <c r="CL63" s="9" t="s">
        <v>2737</v>
      </c>
      <c r="CM63" s="9" t="s">
        <v>2737</v>
      </c>
      <c r="CN63" s="9" t="s">
        <v>2737</v>
      </c>
      <c r="CO63" s="9" t="s">
        <v>2737</v>
      </c>
      <c r="CP63" s="9" t="s">
        <v>2737</v>
      </c>
      <c r="CQ63" s="9" t="s">
        <v>2737</v>
      </c>
      <c r="CR63" s="9" t="s">
        <v>2738</v>
      </c>
      <c r="CS63" s="9" t="s">
        <v>2738</v>
      </c>
      <c r="CT63" s="9" t="s">
        <v>2738</v>
      </c>
      <c r="CU63" s="9" t="s">
        <v>2738</v>
      </c>
      <c r="CV63" s="9" t="s">
        <v>2738</v>
      </c>
      <c r="CW63" s="9" t="s">
        <v>2738</v>
      </c>
      <c r="CX63" s="9" t="s">
        <v>2717</v>
      </c>
      <c r="CY63" s="9" t="s">
        <v>28</v>
      </c>
      <c r="CZ63" s="9" t="s">
        <v>2679</v>
      </c>
      <c r="DA63" s="9" t="s">
        <v>2780</v>
      </c>
      <c r="DB63" s="9" t="s">
        <v>2775</v>
      </c>
      <c r="DC63" s="9" t="s">
        <v>2775</v>
      </c>
      <c r="DE63" s="9" t="s">
        <v>2775</v>
      </c>
      <c r="DG63" s="9" t="s">
        <v>2775</v>
      </c>
      <c r="DH63" s="9" t="s">
        <v>2775</v>
      </c>
      <c r="DJ63" s="9" t="s">
        <v>2775</v>
      </c>
      <c r="DL63" s="9" t="s">
        <v>2775</v>
      </c>
      <c r="DN63" s="9" t="s">
        <v>2775</v>
      </c>
      <c r="DO63" s="9" t="s">
        <v>28</v>
      </c>
      <c r="DP63" s="9" t="s">
        <v>2775</v>
      </c>
      <c r="DQ63" s="9" t="s">
        <v>25</v>
      </c>
      <c r="DX63" s="9" t="s">
        <v>25</v>
      </c>
      <c r="EJ63" s="9" t="s">
        <v>28</v>
      </c>
      <c r="EK63" s="9" t="s">
        <v>2679</v>
      </c>
      <c r="EL63" s="9" t="s">
        <v>2686</v>
      </c>
      <c r="EN63" s="9" t="s">
        <v>2723</v>
      </c>
      <c r="EO63" s="9" t="s">
        <v>2688</v>
      </c>
      <c r="EQ63" s="9" t="s">
        <v>2756</v>
      </c>
      <c r="ER63" s="9" t="s">
        <v>2927</v>
      </c>
      <c r="ES63" s="9" t="s">
        <v>28</v>
      </c>
      <c r="ET63" s="9" t="s">
        <v>2723</v>
      </c>
      <c r="EU63" s="9" t="s">
        <v>28</v>
      </c>
      <c r="EV63" s="9" t="s">
        <v>13573</v>
      </c>
      <c r="EX63" s="9" t="s">
        <v>28</v>
      </c>
      <c r="EY63" s="9" t="s">
        <v>2690</v>
      </c>
      <c r="FS63" s="9" t="s">
        <v>25</v>
      </c>
      <c r="FU63" s="9" t="s">
        <v>2691</v>
      </c>
      <c r="FX63" s="9" t="s">
        <v>28</v>
      </c>
      <c r="FY63" s="9" t="s">
        <v>2692</v>
      </c>
      <c r="FZ63" s="9" t="s">
        <v>28</v>
      </c>
      <c r="GA63" s="9" t="s">
        <v>1148</v>
      </c>
      <c r="GB63" s="9" t="s">
        <v>612</v>
      </c>
      <c r="GC63" s="9">
        <v>18</v>
      </c>
      <c r="GD63" s="9" t="s">
        <v>28</v>
      </c>
      <c r="GE63" s="9" t="s">
        <v>2693</v>
      </c>
      <c r="GF63" s="9" t="s">
        <v>28</v>
      </c>
      <c r="GG63" s="9" t="s">
        <v>25</v>
      </c>
      <c r="GH63" s="9" t="s">
        <v>2687</v>
      </c>
      <c r="GI63" s="9" t="s">
        <v>25</v>
      </c>
      <c r="GK63" s="9" t="s">
        <v>2695</v>
      </c>
      <c r="GL63" s="9" t="s">
        <v>2928</v>
      </c>
      <c r="GM63" s="9" t="s">
        <v>13972</v>
      </c>
      <c r="GN63" s="9" t="s">
        <v>1938</v>
      </c>
      <c r="GO63" s="9" t="s">
        <v>2713</v>
      </c>
      <c r="GP63" s="9" t="s">
        <v>28</v>
      </c>
      <c r="GQ63" s="9" t="s">
        <v>28</v>
      </c>
      <c r="GR63" s="9" t="s">
        <v>2697</v>
      </c>
      <c r="GS63" s="9" t="s">
        <v>2697</v>
      </c>
      <c r="GT63" s="9" t="s">
        <v>2698</v>
      </c>
      <c r="GV63" s="9" t="s">
        <v>25</v>
      </c>
      <c r="HA63" s="9" t="s">
        <v>2701</v>
      </c>
      <c r="HB63" s="9" t="s">
        <v>2702</v>
      </c>
      <c r="HC63" s="9" t="s">
        <v>2702</v>
      </c>
      <c r="HD63" s="9" t="s">
        <v>25</v>
      </c>
      <c r="HE63" s="9" t="s">
        <v>2701</v>
      </c>
      <c r="HF63" s="9" t="s">
        <v>13989</v>
      </c>
      <c r="HG63" s="9" t="s">
        <v>2765</v>
      </c>
    </row>
    <row r="64" spans="1:215" ht="63.75" x14ac:dyDescent="0.2">
      <c r="A64" s="8" t="s">
        <v>162</v>
      </c>
      <c r="B64" s="9" t="s">
        <v>28</v>
      </c>
      <c r="C64" s="9" t="s">
        <v>2746</v>
      </c>
      <c r="D64" s="9" t="s">
        <v>2890</v>
      </c>
      <c r="E64" s="9" t="s">
        <v>743</v>
      </c>
      <c r="F64" s="9" t="s">
        <v>2664</v>
      </c>
      <c r="G64" s="9" t="s">
        <v>2665</v>
      </c>
      <c r="H64" s="9" t="s">
        <v>2666</v>
      </c>
      <c r="I64" s="9" t="s">
        <v>2665</v>
      </c>
      <c r="J64" s="9" t="s">
        <v>2667</v>
      </c>
      <c r="K64" s="9" t="s">
        <v>2667</v>
      </c>
      <c r="L64" s="9" t="s">
        <v>2667</v>
      </c>
      <c r="M64" s="9" t="s">
        <v>2667</v>
      </c>
      <c r="N64" s="9" t="s">
        <v>2665</v>
      </c>
      <c r="O64" s="9" t="s">
        <v>2665</v>
      </c>
      <c r="P64" s="9" t="s">
        <v>2665</v>
      </c>
      <c r="Q64" s="9" t="s">
        <v>2667</v>
      </c>
      <c r="R64" s="9" t="s">
        <v>2667</v>
      </c>
      <c r="S64" s="9" t="s">
        <v>2667</v>
      </c>
      <c r="T64" s="9" t="s">
        <v>2666</v>
      </c>
      <c r="U64" s="9" t="s">
        <v>28</v>
      </c>
      <c r="V64" s="9" t="s">
        <v>743</v>
      </c>
      <c r="X64" s="9" t="s">
        <v>2794</v>
      </c>
      <c r="Y64" s="10" t="s">
        <v>2705</v>
      </c>
      <c r="AR64" s="10" t="s">
        <v>2705</v>
      </c>
      <c r="AS64" s="10">
        <v>200</v>
      </c>
      <c r="AT64" s="10">
        <v>200</v>
      </c>
      <c r="AU64" s="10">
        <v>200</v>
      </c>
      <c r="AV64" s="10">
        <v>240</v>
      </c>
      <c r="AW64" s="10">
        <v>240</v>
      </c>
      <c r="AX64" s="10">
        <v>300</v>
      </c>
      <c r="AY64" s="10">
        <v>300</v>
      </c>
      <c r="AZ64" s="10">
        <v>300</v>
      </c>
      <c r="BA64" s="10">
        <v>300</v>
      </c>
      <c r="BB64" s="10">
        <v>300</v>
      </c>
      <c r="BC64" s="10">
        <v>300</v>
      </c>
      <c r="BD64" s="10">
        <v>300</v>
      </c>
      <c r="BE64" s="10">
        <v>300</v>
      </c>
      <c r="BF64" s="10">
        <v>300</v>
      </c>
      <c r="BG64" s="10" t="s">
        <v>25</v>
      </c>
      <c r="BI64" s="10" t="s">
        <v>2891</v>
      </c>
      <c r="BJ64" s="10" t="s">
        <v>2169</v>
      </c>
      <c r="BK64" s="10">
        <v>40</v>
      </c>
      <c r="BL64" s="10" t="s">
        <v>2668</v>
      </c>
      <c r="BM64" s="10" t="s">
        <v>2716</v>
      </c>
      <c r="BN64" s="10">
        <v>72</v>
      </c>
      <c r="BO64" s="10">
        <v>72</v>
      </c>
      <c r="BP64" s="9" t="s">
        <v>25</v>
      </c>
      <c r="BQ64" s="9" t="s">
        <v>25</v>
      </c>
      <c r="BR64" s="9" t="s">
        <v>25</v>
      </c>
      <c r="BS64" s="9" t="s">
        <v>25</v>
      </c>
      <c r="BW64" s="9" t="s">
        <v>2673</v>
      </c>
      <c r="BX64" s="9" t="s">
        <v>2673</v>
      </c>
      <c r="BY64" s="9" t="s">
        <v>2673</v>
      </c>
      <c r="BZ64" s="9" t="s">
        <v>2673</v>
      </c>
      <c r="CA64" s="9" t="s">
        <v>2673</v>
      </c>
      <c r="CB64" s="9" t="s">
        <v>2673</v>
      </c>
      <c r="CC64" s="9" t="s">
        <v>2674</v>
      </c>
      <c r="CJ64" s="9" t="s">
        <v>2675</v>
      </c>
      <c r="CK64" s="9" t="s">
        <v>2676</v>
      </c>
      <c r="CL64" s="9" t="s">
        <v>2676</v>
      </c>
      <c r="CM64" s="9" t="s">
        <v>2676</v>
      </c>
      <c r="CN64" s="9" t="s">
        <v>2676</v>
      </c>
      <c r="CO64" s="9" t="s">
        <v>2676</v>
      </c>
      <c r="CP64" s="9" t="s">
        <v>2676</v>
      </c>
      <c r="CQ64" s="9" t="s">
        <v>2677</v>
      </c>
      <c r="CX64" s="9" t="s">
        <v>2717</v>
      </c>
      <c r="CY64" s="9" t="s">
        <v>28</v>
      </c>
      <c r="CZ64" s="9" t="s">
        <v>2679</v>
      </c>
      <c r="DA64" s="9" t="s">
        <v>13953</v>
      </c>
      <c r="DB64" s="9" t="s">
        <v>2759</v>
      </c>
      <c r="DC64" s="9" t="s">
        <v>2759</v>
      </c>
      <c r="DD64" s="9" t="s">
        <v>2759</v>
      </c>
      <c r="DE64" s="9" t="s">
        <v>2759</v>
      </c>
      <c r="DG64" s="9" t="s">
        <v>2683</v>
      </c>
      <c r="DH64" s="9" t="s">
        <v>2683</v>
      </c>
      <c r="DI64" s="9" t="s">
        <v>2683</v>
      </c>
      <c r="DJ64" s="9" t="s">
        <v>2683</v>
      </c>
      <c r="DL64" s="9" t="s">
        <v>2759</v>
      </c>
      <c r="DN64" s="9" t="s">
        <v>2759</v>
      </c>
      <c r="DO64" s="9" t="s">
        <v>28</v>
      </c>
      <c r="DQ64" s="9" t="s">
        <v>25</v>
      </c>
      <c r="DX64" s="9" t="s">
        <v>28</v>
      </c>
      <c r="DY64" s="9" t="s">
        <v>2679</v>
      </c>
      <c r="DZ64" s="9" t="s">
        <v>2699</v>
      </c>
      <c r="EA64" s="9" t="s">
        <v>13539</v>
      </c>
      <c r="EB64" s="9" t="s">
        <v>28</v>
      </c>
      <c r="ED64" s="9" t="s">
        <v>13546</v>
      </c>
      <c r="EH64" s="9" t="s">
        <v>28</v>
      </c>
      <c r="EI64" s="11">
        <v>0</v>
      </c>
      <c r="EJ64" s="9" t="s">
        <v>28</v>
      </c>
      <c r="EK64" s="9" t="s">
        <v>2679</v>
      </c>
      <c r="EL64" s="9" t="s">
        <v>2686</v>
      </c>
      <c r="EN64" s="9" t="s">
        <v>2687</v>
      </c>
      <c r="EO64" s="9" t="s">
        <v>2721</v>
      </c>
      <c r="EQ64" s="9" t="s">
        <v>2892</v>
      </c>
      <c r="ES64" s="9" t="s">
        <v>28</v>
      </c>
      <c r="EU64" s="9" t="s">
        <v>28</v>
      </c>
      <c r="EV64" s="9" t="s">
        <v>13566</v>
      </c>
      <c r="EX64" s="9" t="s">
        <v>28</v>
      </c>
      <c r="EY64" s="9" t="s">
        <v>2690</v>
      </c>
      <c r="FS64" s="9" t="s">
        <v>25</v>
      </c>
      <c r="FU64" s="9" t="s">
        <v>2730</v>
      </c>
      <c r="FV64" s="9" t="s">
        <v>994</v>
      </c>
      <c r="FX64" s="9" t="s">
        <v>25</v>
      </c>
      <c r="FZ64" s="9" t="s">
        <v>28</v>
      </c>
      <c r="GA64" s="9" t="s">
        <v>1713</v>
      </c>
      <c r="GB64" s="9" t="s">
        <v>693</v>
      </c>
      <c r="GD64" s="9" t="s">
        <v>25</v>
      </c>
      <c r="GE64" s="9" t="s">
        <v>2771</v>
      </c>
      <c r="GF64" s="9" t="s">
        <v>28</v>
      </c>
      <c r="GG64" s="9" t="s">
        <v>25</v>
      </c>
      <c r="GH64" s="9" t="s">
        <v>2759</v>
      </c>
      <c r="GI64" s="9" t="s">
        <v>25</v>
      </c>
      <c r="GJ64" s="9" t="s">
        <v>2869</v>
      </c>
      <c r="GK64" s="9" t="s">
        <v>2695</v>
      </c>
      <c r="GM64" s="9" t="s">
        <v>13982</v>
      </c>
      <c r="GN64" s="9" t="s">
        <v>2745</v>
      </c>
      <c r="GO64" s="9" t="s">
        <v>25</v>
      </c>
      <c r="GV64" s="9" t="s">
        <v>25</v>
      </c>
      <c r="HA64" s="9" t="s">
        <v>25</v>
      </c>
      <c r="HB64" s="9" t="s">
        <v>2702</v>
      </c>
      <c r="HC64" s="9" t="s">
        <v>2702</v>
      </c>
      <c r="HD64" s="9" t="s">
        <v>25</v>
      </c>
      <c r="HE64" s="9" t="s">
        <v>25</v>
      </c>
      <c r="HG64" s="9">
        <v>3</v>
      </c>
    </row>
    <row r="65" spans="1:215" ht="63.75" x14ac:dyDescent="0.2">
      <c r="A65" s="8" t="s">
        <v>148</v>
      </c>
      <c r="B65" s="9" t="s">
        <v>28</v>
      </c>
      <c r="C65" s="9" t="s">
        <v>2858</v>
      </c>
      <c r="D65" s="9" t="s">
        <v>13532</v>
      </c>
      <c r="E65" s="9" t="s">
        <v>743</v>
      </c>
      <c r="F65" s="9" t="s">
        <v>743</v>
      </c>
      <c r="G65" s="9" t="s">
        <v>2665</v>
      </c>
      <c r="H65" s="9" t="s">
        <v>2666</v>
      </c>
      <c r="I65" s="9" t="s">
        <v>2666</v>
      </c>
      <c r="J65" s="9" t="s">
        <v>2666</v>
      </c>
      <c r="K65" s="9" t="s">
        <v>2665</v>
      </c>
      <c r="L65" s="9" t="s">
        <v>2665</v>
      </c>
      <c r="M65" s="9" t="s">
        <v>2667</v>
      </c>
      <c r="N65" s="9" t="s">
        <v>2666</v>
      </c>
      <c r="O65" s="9" t="s">
        <v>2665</v>
      </c>
      <c r="P65" s="9" t="s">
        <v>2665</v>
      </c>
      <c r="Q65" s="9" t="s">
        <v>2665</v>
      </c>
      <c r="R65" s="9" t="s">
        <v>2665</v>
      </c>
      <c r="S65" s="9" t="s">
        <v>2667</v>
      </c>
      <c r="T65" s="9" t="s">
        <v>2666</v>
      </c>
      <c r="U65" s="9" t="s">
        <v>25</v>
      </c>
      <c r="X65" s="9" t="s">
        <v>2704</v>
      </c>
      <c r="AM65" s="10" t="s">
        <v>28</v>
      </c>
      <c r="AP65" s="10" t="s">
        <v>25</v>
      </c>
      <c r="AR65" s="10" t="s">
        <v>2668</v>
      </c>
      <c r="AS65" s="10">
        <v>137.80000000000001</v>
      </c>
      <c r="AT65" s="10">
        <v>144.04</v>
      </c>
      <c r="AU65" s="10">
        <v>150.02000000000001</v>
      </c>
      <c r="AV65" s="10">
        <v>156</v>
      </c>
      <c r="AW65" s="10">
        <v>162.24</v>
      </c>
      <c r="AX65" s="10">
        <v>168.22</v>
      </c>
      <c r="AY65" s="10">
        <v>174.2</v>
      </c>
      <c r="AZ65" s="10">
        <v>180.18</v>
      </c>
      <c r="BA65" s="10">
        <v>180.18</v>
      </c>
      <c r="BB65" s="10">
        <v>180.18</v>
      </c>
      <c r="BC65" s="10">
        <v>180.18</v>
      </c>
      <c r="BD65" s="10">
        <v>180.18</v>
      </c>
      <c r="BE65" s="10">
        <v>180.18</v>
      </c>
      <c r="BF65" s="10">
        <v>180.18</v>
      </c>
      <c r="BG65" s="10" t="s">
        <v>28</v>
      </c>
      <c r="BH65" s="10">
        <v>400</v>
      </c>
      <c r="BI65" s="10" t="s">
        <v>2859</v>
      </c>
      <c r="BJ65" s="10" t="s">
        <v>25</v>
      </c>
      <c r="BL65" s="10" t="s">
        <v>2860</v>
      </c>
      <c r="BM65" s="10" t="s">
        <v>2671</v>
      </c>
      <c r="BP65" s="9" t="s">
        <v>25</v>
      </c>
      <c r="BQ65" s="9" t="s">
        <v>25</v>
      </c>
      <c r="BR65" s="9" t="s">
        <v>25</v>
      </c>
      <c r="BS65" s="9" t="s">
        <v>25</v>
      </c>
      <c r="BW65" s="9" t="s">
        <v>2674</v>
      </c>
      <c r="BX65" s="9" t="s">
        <v>2674</v>
      </c>
      <c r="BY65" s="9" t="s">
        <v>2674</v>
      </c>
      <c r="BZ65" s="9" t="s">
        <v>2674</v>
      </c>
      <c r="CA65" s="9" t="s">
        <v>2674</v>
      </c>
      <c r="CB65" s="9" t="s">
        <v>2674</v>
      </c>
      <c r="CC65" s="9" t="s">
        <v>2674</v>
      </c>
      <c r="CD65" s="9" t="s">
        <v>41</v>
      </c>
      <c r="CE65" s="9" t="s">
        <v>41</v>
      </c>
      <c r="CF65" s="9" t="s">
        <v>2675</v>
      </c>
      <c r="CG65" s="9" t="s">
        <v>2675</v>
      </c>
      <c r="CH65" s="9" t="s">
        <v>2675</v>
      </c>
      <c r="CI65" s="9" t="s">
        <v>2675</v>
      </c>
      <c r="CJ65" s="9" t="s">
        <v>2675</v>
      </c>
      <c r="CK65" s="9" t="s">
        <v>2677</v>
      </c>
      <c r="CL65" s="9" t="s">
        <v>2677</v>
      </c>
      <c r="CM65" s="9" t="s">
        <v>2677</v>
      </c>
      <c r="CN65" s="9" t="s">
        <v>2677</v>
      </c>
      <c r="CO65" s="9" t="s">
        <v>2677</v>
      </c>
      <c r="CP65" s="9" t="s">
        <v>2677</v>
      </c>
      <c r="CQ65" s="9" t="s">
        <v>2677</v>
      </c>
      <c r="CR65" s="9" t="s">
        <v>2678</v>
      </c>
      <c r="CS65" s="9" t="s">
        <v>2678</v>
      </c>
      <c r="CT65" s="9" t="s">
        <v>2678</v>
      </c>
      <c r="CU65" s="9" t="s">
        <v>2678</v>
      </c>
      <c r="CV65" s="9" t="s">
        <v>2678</v>
      </c>
      <c r="CW65" s="9" t="s">
        <v>2678</v>
      </c>
      <c r="CX65" s="9" t="s">
        <v>2678</v>
      </c>
      <c r="CY65" s="9" t="s">
        <v>28</v>
      </c>
      <c r="CZ65" s="9" t="s">
        <v>2679</v>
      </c>
      <c r="DA65" s="9" t="s">
        <v>2709</v>
      </c>
      <c r="DB65" s="9" t="s">
        <v>2683</v>
      </c>
      <c r="DC65" s="9" t="s">
        <v>2683</v>
      </c>
      <c r="DG65" s="9" t="s">
        <v>2683</v>
      </c>
      <c r="DH65" s="9" t="s">
        <v>2683</v>
      </c>
      <c r="DI65" s="9" t="s">
        <v>2687</v>
      </c>
      <c r="DL65" s="9" t="s">
        <v>2683</v>
      </c>
      <c r="DN65" s="9" t="s">
        <v>2683</v>
      </c>
      <c r="DO65" s="9" t="s">
        <v>28</v>
      </c>
      <c r="DP65" s="9" t="s">
        <v>2687</v>
      </c>
      <c r="DQ65" s="9" t="s">
        <v>25</v>
      </c>
      <c r="DX65" s="9" t="s">
        <v>25</v>
      </c>
      <c r="EJ65" s="9" t="s">
        <v>28</v>
      </c>
      <c r="EK65" s="9" t="s">
        <v>2679</v>
      </c>
      <c r="EL65" s="9" t="s">
        <v>29</v>
      </c>
      <c r="EM65" s="9" t="s">
        <v>2861</v>
      </c>
      <c r="EN65" s="9" t="s">
        <v>2720</v>
      </c>
      <c r="EO65" s="9" t="s">
        <v>2742</v>
      </c>
      <c r="EQ65" s="9" t="s">
        <v>2862</v>
      </c>
      <c r="ES65" s="9" t="s">
        <v>28</v>
      </c>
      <c r="ET65" s="9" t="s">
        <v>2720</v>
      </c>
      <c r="EU65" s="9" t="s">
        <v>28</v>
      </c>
      <c r="EV65" s="9" t="s">
        <v>13568</v>
      </c>
      <c r="EX65" s="9" t="s">
        <v>28</v>
      </c>
      <c r="EY65" s="9" t="s">
        <v>1148</v>
      </c>
      <c r="FS65" s="9" t="s">
        <v>25</v>
      </c>
      <c r="FU65" s="9" t="s">
        <v>2730</v>
      </c>
      <c r="FV65" s="9" t="s">
        <v>994</v>
      </c>
      <c r="FX65" s="9" t="s">
        <v>25</v>
      </c>
      <c r="FZ65" s="9" t="s">
        <v>28</v>
      </c>
      <c r="GA65" s="9" t="s">
        <v>2725</v>
      </c>
      <c r="GB65" s="9" t="s">
        <v>612</v>
      </c>
      <c r="GC65" s="9" t="s">
        <v>2863</v>
      </c>
      <c r="GD65" s="9" t="s">
        <v>28</v>
      </c>
      <c r="GE65" s="9" t="s">
        <v>2693</v>
      </c>
      <c r="GF65" s="9" t="s">
        <v>28</v>
      </c>
      <c r="GG65" s="9" t="s">
        <v>25</v>
      </c>
      <c r="GH65" s="9" t="s">
        <v>2694</v>
      </c>
      <c r="GI65" s="9" t="s">
        <v>25</v>
      </c>
      <c r="GK65" s="9" t="s">
        <v>2695</v>
      </c>
      <c r="GM65" s="9" t="s">
        <v>13977</v>
      </c>
      <c r="GN65" s="9" t="s">
        <v>2725</v>
      </c>
      <c r="GO65" s="9" t="s">
        <v>2713</v>
      </c>
      <c r="GP65" s="9" t="s">
        <v>25</v>
      </c>
      <c r="GQ65" s="9" t="s">
        <v>25</v>
      </c>
      <c r="GT65" s="9" t="s">
        <v>2715</v>
      </c>
      <c r="GU65" s="9" t="s">
        <v>28</v>
      </c>
      <c r="GV65" s="9" t="s">
        <v>25</v>
      </c>
      <c r="HA65" s="9" t="s">
        <v>2702</v>
      </c>
      <c r="HB65" s="9" t="s">
        <v>2701</v>
      </c>
      <c r="HC65" s="9" t="s">
        <v>2701</v>
      </c>
      <c r="HD65" s="9" t="s">
        <v>25</v>
      </c>
      <c r="HE65" s="9" t="s">
        <v>2701</v>
      </c>
      <c r="HG65" s="9">
        <v>3</v>
      </c>
    </row>
    <row r="66" spans="1:215" ht="63.75" x14ac:dyDescent="0.2">
      <c r="A66" s="8" t="s">
        <v>167</v>
      </c>
      <c r="B66" s="9" t="s">
        <v>28</v>
      </c>
      <c r="C66" s="9" t="s">
        <v>2663</v>
      </c>
      <c r="D66" s="9" t="s">
        <v>13532</v>
      </c>
      <c r="E66" s="9" t="s">
        <v>2664</v>
      </c>
      <c r="F66" s="9" t="s">
        <v>2664</v>
      </c>
      <c r="G66" s="9" t="s">
        <v>2665</v>
      </c>
      <c r="H66" s="9" t="s">
        <v>2666</v>
      </c>
      <c r="I66" s="9" t="s">
        <v>2666</v>
      </c>
      <c r="J66" s="9" t="s">
        <v>2667</v>
      </c>
      <c r="K66" s="9" t="s">
        <v>2665</v>
      </c>
      <c r="L66" s="9" t="s">
        <v>2665</v>
      </c>
      <c r="M66" s="9" t="s">
        <v>2665</v>
      </c>
      <c r="N66" s="9" t="s">
        <v>2666</v>
      </c>
      <c r="O66" s="9" t="s">
        <v>2665</v>
      </c>
      <c r="P66" s="9" t="s">
        <v>2665</v>
      </c>
      <c r="Q66" s="9" t="s">
        <v>2667</v>
      </c>
      <c r="R66" s="9" t="s">
        <v>2667</v>
      </c>
      <c r="S66" s="9" t="s">
        <v>2666</v>
      </c>
      <c r="T66" s="9" t="s">
        <v>2666</v>
      </c>
      <c r="U66" s="9" t="s">
        <v>25</v>
      </c>
      <c r="X66" s="9" t="s">
        <v>2704</v>
      </c>
      <c r="AR66" s="10" t="s">
        <v>2705</v>
      </c>
      <c r="AS66" s="10">
        <v>184</v>
      </c>
      <c r="AT66" s="10">
        <v>184</v>
      </c>
      <c r="AU66" s="10">
        <v>184</v>
      </c>
      <c r="AV66" s="10">
        <v>200</v>
      </c>
      <c r="AW66" s="10">
        <v>200</v>
      </c>
      <c r="AX66" s="10">
        <v>240</v>
      </c>
      <c r="AY66" s="10">
        <v>240</v>
      </c>
      <c r="AZ66" s="10">
        <v>240</v>
      </c>
      <c r="BA66" s="10">
        <v>240</v>
      </c>
      <c r="BB66" s="10">
        <v>240</v>
      </c>
      <c r="BC66" s="10">
        <v>240</v>
      </c>
      <c r="BD66" s="10">
        <v>240</v>
      </c>
      <c r="BE66" s="10">
        <v>240</v>
      </c>
      <c r="BF66" s="10">
        <v>240</v>
      </c>
      <c r="BG66" s="10" t="s">
        <v>25</v>
      </c>
      <c r="BI66" s="10" t="s">
        <v>2899</v>
      </c>
      <c r="BJ66" s="10" t="s">
        <v>2169</v>
      </c>
      <c r="BK66" s="10">
        <v>40</v>
      </c>
      <c r="BP66" s="9" t="s">
        <v>28</v>
      </c>
      <c r="BQ66" s="9" t="s">
        <v>25</v>
      </c>
      <c r="BR66" s="9" t="s">
        <v>25</v>
      </c>
      <c r="BS66" s="9" t="s">
        <v>25</v>
      </c>
      <c r="BT66" s="9" t="s">
        <v>673</v>
      </c>
      <c r="BW66" s="9" t="s">
        <v>2674</v>
      </c>
      <c r="BX66" s="9" t="s">
        <v>2674</v>
      </c>
      <c r="BY66" s="9" t="s">
        <v>2674</v>
      </c>
      <c r="BZ66" s="9" t="s">
        <v>2674</v>
      </c>
      <c r="CA66" s="9" t="s">
        <v>2674</v>
      </c>
      <c r="CB66" s="9" t="s">
        <v>2674</v>
      </c>
      <c r="CC66" s="9" t="s">
        <v>2674</v>
      </c>
      <c r="CD66" s="9" t="s">
        <v>2675</v>
      </c>
      <c r="CE66" s="9" t="s">
        <v>2675</v>
      </c>
      <c r="CF66" s="9" t="s">
        <v>2675</v>
      </c>
      <c r="CG66" s="9" t="s">
        <v>2675</v>
      </c>
      <c r="CH66" s="9" t="s">
        <v>2675</v>
      </c>
      <c r="CI66" s="9" t="s">
        <v>2675</v>
      </c>
      <c r="CJ66" s="9" t="s">
        <v>2675</v>
      </c>
      <c r="CR66" s="9" t="s">
        <v>2678</v>
      </c>
      <c r="CS66" s="9" t="s">
        <v>2678</v>
      </c>
      <c r="CT66" s="9" t="s">
        <v>2678</v>
      </c>
      <c r="CU66" s="9" t="s">
        <v>2678</v>
      </c>
      <c r="CV66" s="9" t="s">
        <v>2678</v>
      </c>
      <c r="CW66" s="9" t="s">
        <v>2678</v>
      </c>
      <c r="CX66" s="9" t="s">
        <v>2678</v>
      </c>
      <c r="CY66" s="9" t="s">
        <v>28</v>
      </c>
      <c r="CZ66" s="9" t="s">
        <v>2679</v>
      </c>
      <c r="DA66" s="9" t="s">
        <v>13953</v>
      </c>
      <c r="DB66" s="9" t="s">
        <v>2683</v>
      </c>
      <c r="DC66" s="9" t="s">
        <v>2683</v>
      </c>
      <c r="DD66" s="9" t="s">
        <v>2683</v>
      </c>
      <c r="DE66" s="9" t="s">
        <v>2683</v>
      </c>
      <c r="DG66" s="9" t="s">
        <v>2683</v>
      </c>
      <c r="DH66" s="9" t="s">
        <v>2683</v>
      </c>
      <c r="DI66" s="9" t="s">
        <v>2683</v>
      </c>
      <c r="DJ66" s="9" t="s">
        <v>2683</v>
      </c>
      <c r="DL66" s="9" t="s">
        <v>2683</v>
      </c>
      <c r="DN66" s="9" t="s">
        <v>2683</v>
      </c>
      <c r="DO66" s="9" t="s">
        <v>28</v>
      </c>
      <c r="DP66" s="9" t="s">
        <v>2683</v>
      </c>
      <c r="DQ66" s="9" t="s">
        <v>25</v>
      </c>
      <c r="DX66" s="9" t="s">
        <v>28</v>
      </c>
      <c r="DY66" s="9" t="s">
        <v>2679</v>
      </c>
      <c r="DZ66" s="9" t="s">
        <v>2683</v>
      </c>
      <c r="EA66" s="9" t="s">
        <v>13539</v>
      </c>
      <c r="EB66" s="9" t="s">
        <v>28</v>
      </c>
      <c r="EC66" s="9" t="s">
        <v>2683</v>
      </c>
      <c r="ED66" s="9" t="s">
        <v>2823</v>
      </c>
      <c r="EF66" s="9" t="s">
        <v>2801</v>
      </c>
      <c r="EH66" s="9" t="s">
        <v>25</v>
      </c>
      <c r="EJ66" s="9" t="s">
        <v>28</v>
      </c>
      <c r="EK66" s="9" t="s">
        <v>2679</v>
      </c>
      <c r="EL66" s="9" t="s">
        <v>2686</v>
      </c>
      <c r="EN66" s="9" t="s">
        <v>2720</v>
      </c>
      <c r="EO66" s="9" t="s">
        <v>2721</v>
      </c>
      <c r="EQ66" s="9" t="s">
        <v>2756</v>
      </c>
      <c r="ER66" s="9" t="s">
        <v>2900</v>
      </c>
      <c r="ES66" s="9" t="s">
        <v>28</v>
      </c>
      <c r="ET66" s="9" t="s">
        <v>2720</v>
      </c>
      <c r="EU66" s="9" t="s">
        <v>28</v>
      </c>
      <c r="EV66" s="9" t="s">
        <v>13576</v>
      </c>
      <c r="EX66" s="9" t="s">
        <v>25</v>
      </c>
      <c r="EZ66" s="9" t="s">
        <v>2690</v>
      </c>
      <c r="FA66" s="9" t="s">
        <v>2690</v>
      </c>
      <c r="FB66" s="9" t="s">
        <v>2690</v>
      </c>
      <c r="FC66" s="9" t="s">
        <v>2690</v>
      </c>
      <c r="FD66" s="9" t="s">
        <v>2690</v>
      </c>
      <c r="FE66" s="9" t="s">
        <v>2690</v>
      </c>
      <c r="FF66" s="9" t="s">
        <v>994</v>
      </c>
      <c r="FG66" s="9" t="s">
        <v>2690</v>
      </c>
      <c r="FH66" s="9" t="s">
        <v>994</v>
      </c>
      <c r="FI66" s="9" t="s">
        <v>994</v>
      </c>
      <c r="FJ66" s="9" t="s">
        <v>994</v>
      </c>
      <c r="FK66" s="9" t="s">
        <v>994</v>
      </c>
      <c r="FL66" s="9" t="s">
        <v>994</v>
      </c>
      <c r="FM66" s="9" t="s">
        <v>994</v>
      </c>
      <c r="FN66" s="9" t="s">
        <v>994</v>
      </c>
      <c r="FS66" s="9" t="s">
        <v>25</v>
      </c>
      <c r="FU66" s="9" t="s">
        <v>2730</v>
      </c>
      <c r="FV66" s="9" t="s">
        <v>2690</v>
      </c>
      <c r="FX66" s="9" t="s">
        <v>25</v>
      </c>
      <c r="FZ66" s="9" t="s">
        <v>25</v>
      </c>
      <c r="GB66" s="9" t="s">
        <v>758</v>
      </c>
      <c r="GD66" s="9" t="s">
        <v>28</v>
      </c>
      <c r="GE66" s="9" t="s">
        <v>2693</v>
      </c>
      <c r="GF66" s="9" t="s">
        <v>28</v>
      </c>
      <c r="GG66" s="9" t="s">
        <v>25</v>
      </c>
      <c r="GH66" s="9" t="s">
        <v>2687</v>
      </c>
      <c r="GI66" s="9" t="s">
        <v>25</v>
      </c>
      <c r="GJ66" s="9" t="s">
        <v>2687</v>
      </c>
      <c r="GK66" s="9" t="s">
        <v>2695</v>
      </c>
      <c r="GM66" s="9" t="s">
        <v>13983</v>
      </c>
      <c r="GN66" s="9" t="s">
        <v>631</v>
      </c>
      <c r="GO66" s="9" t="s">
        <v>2696</v>
      </c>
      <c r="GP66" s="9" t="s">
        <v>28</v>
      </c>
      <c r="GQ66" s="9" t="s">
        <v>28</v>
      </c>
      <c r="GR66" s="9" t="s">
        <v>2697</v>
      </c>
      <c r="GS66" s="9" t="s">
        <v>2697</v>
      </c>
      <c r="GT66" s="9" t="s">
        <v>2698</v>
      </c>
      <c r="GV66" s="9" t="s">
        <v>25</v>
      </c>
      <c r="HA66" s="9" t="s">
        <v>2702</v>
      </c>
      <c r="HB66" s="9" t="s">
        <v>2701</v>
      </c>
      <c r="HC66" s="9" t="s">
        <v>2702</v>
      </c>
      <c r="HD66" s="9" t="s">
        <v>25</v>
      </c>
      <c r="HE66" s="9" t="s">
        <v>25</v>
      </c>
      <c r="HF66" s="9" t="s">
        <v>2901</v>
      </c>
      <c r="HG66" s="9">
        <v>4</v>
      </c>
    </row>
    <row r="67" spans="1:215" x14ac:dyDescent="0.2">
      <c r="A67" s="71" t="s">
        <v>14025</v>
      </c>
      <c r="B67" s="72">
        <f>COUNTA(B3:B66)</f>
        <v>63</v>
      </c>
      <c r="C67" s="72">
        <f t="shared" ref="C67:BN67" si="0">COUNTA(C3:C66)</f>
        <v>45</v>
      </c>
      <c r="D67" s="72">
        <f t="shared" si="0"/>
        <v>45</v>
      </c>
      <c r="E67" s="72">
        <f t="shared" si="0"/>
        <v>42</v>
      </c>
      <c r="F67" s="72">
        <f t="shared" si="0"/>
        <v>42</v>
      </c>
      <c r="G67" s="72">
        <f t="shared" si="0"/>
        <v>42</v>
      </c>
      <c r="H67" s="72">
        <f t="shared" si="0"/>
        <v>40</v>
      </c>
      <c r="I67" s="72">
        <f t="shared" si="0"/>
        <v>40</v>
      </c>
      <c r="J67" s="72">
        <f t="shared" si="0"/>
        <v>39</v>
      </c>
      <c r="K67" s="72">
        <f t="shared" si="0"/>
        <v>39</v>
      </c>
      <c r="L67" s="72">
        <f t="shared" si="0"/>
        <v>39</v>
      </c>
      <c r="M67" s="72">
        <f t="shared" si="0"/>
        <v>39</v>
      </c>
      <c r="N67" s="72">
        <f t="shared" si="0"/>
        <v>39</v>
      </c>
      <c r="O67" s="72">
        <f t="shared" si="0"/>
        <v>42</v>
      </c>
      <c r="P67" s="72">
        <f t="shared" si="0"/>
        <v>40</v>
      </c>
      <c r="Q67" s="72">
        <f t="shared" si="0"/>
        <v>40</v>
      </c>
      <c r="R67" s="72">
        <f t="shared" si="0"/>
        <v>41</v>
      </c>
      <c r="S67" s="72">
        <f t="shared" si="0"/>
        <v>40</v>
      </c>
      <c r="T67" s="72">
        <f t="shared" si="0"/>
        <v>34</v>
      </c>
      <c r="U67" s="72">
        <f t="shared" si="0"/>
        <v>63</v>
      </c>
      <c r="V67" s="72">
        <f t="shared" si="0"/>
        <v>12</v>
      </c>
      <c r="W67" s="72">
        <f t="shared" si="0"/>
        <v>1</v>
      </c>
      <c r="X67" s="72">
        <f t="shared" si="0"/>
        <v>63</v>
      </c>
      <c r="Y67" s="72">
        <f t="shared" si="0"/>
        <v>34</v>
      </c>
      <c r="Z67" s="72">
        <f t="shared" si="0"/>
        <v>32</v>
      </c>
      <c r="AA67" s="72">
        <f t="shared" si="0"/>
        <v>32</v>
      </c>
      <c r="AB67" s="72">
        <f t="shared" si="0"/>
        <v>32</v>
      </c>
      <c r="AC67" s="72">
        <f t="shared" si="0"/>
        <v>32</v>
      </c>
      <c r="AD67" s="72">
        <f t="shared" si="0"/>
        <v>32</v>
      </c>
      <c r="AE67" s="72">
        <f t="shared" si="0"/>
        <v>32</v>
      </c>
      <c r="AF67" s="72">
        <f t="shared" si="0"/>
        <v>32</v>
      </c>
      <c r="AG67" s="72">
        <f t="shared" si="0"/>
        <v>32</v>
      </c>
      <c r="AH67" s="72">
        <f t="shared" si="0"/>
        <v>32</v>
      </c>
      <c r="AI67" s="72">
        <f t="shared" si="0"/>
        <v>32</v>
      </c>
      <c r="AJ67" s="72">
        <f t="shared" si="0"/>
        <v>31</v>
      </c>
      <c r="AK67" s="72">
        <f t="shared" si="0"/>
        <v>31</v>
      </c>
      <c r="AL67" s="72">
        <f t="shared" si="0"/>
        <v>31</v>
      </c>
      <c r="AM67" s="72">
        <f t="shared" si="0"/>
        <v>34</v>
      </c>
      <c r="AN67" s="72">
        <f t="shared" si="0"/>
        <v>11</v>
      </c>
      <c r="AO67" s="72">
        <f t="shared" si="0"/>
        <v>27</v>
      </c>
      <c r="AP67" s="72">
        <f t="shared" si="0"/>
        <v>34</v>
      </c>
      <c r="AQ67" s="72">
        <f t="shared" si="0"/>
        <v>22</v>
      </c>
      <c r="AR67" s="72">
        <f t="shared" si="0"/>
        <v>35</v>
      </c>
      <c r="AS67" s="72">
        <f t="shared" si="0"/>
        <v>30</v>
      </c>
      <c r="AT67" s="72">
        <f t="shared" si="0"/>
        <v>30</v>
      </c>
      <c r="AU67" s="72">
        <f t="shared" si="0"/>
        <v>30</v>
      </c>
      <c r="AV67" s="72">
        <f t="shared" si="0"/>
        <v>30</v>
      </c>
      <c r="AW67" s="72">
        <f t="shared" si="0"/>
        <v>30</v>
      </c>
      <c r="AX67" s="72">
        <f t="shared" si="0"/>
        <v>30</v>
      </c>
      <c r="AY67" s="72">
        <f t="shared" si="0"/>
        <v>30</v>
      </c>
      <c r="AZ67" s="72">
        <f t="shared" si="0"/>
        <v>29</v>
      </c>
      <c r="BA67" s="72">
        <f t="shared" si="0"/>
        <v>29</v>
      </c>
      <c r="BB67" s="72">
        <f t="shared" si="0"/>
        <v>29</v>
      </c>
      <c r="BC67" s="72">
        <f t="shared" si="0"/>
        <v>29</v>
      </c>
      <c r="BD67" s="72">
        <f t="shared" si="0"/>
        <v>29</v>
      </c>
      <c r="BE67" s="72">
        <f t="shared" si="0"/>
        <v>29</v>
      </c>
      <c r="BF67" s="72">
        <f t="shared" si="0"/>
        <v>29</v>
      </c>
      <c r="BG67" s="72">
        <f t="shared" si="0"/>
        <v>33</v>
      </c>
      <c r="BH67" s="72">
        <f t="shared" si="0"/>
        <v>9</v>
      </c>
      <c r="BI67" s="72">
        <f t="shared" si="0"/>
        <v>25</v>
      </c>
      <c r="BJ67" s="72">
        <f t="shared" si="0"/>
        <v>32</v>
      </c>
      <c r="BK67" s="72">
        <f t="shared" si="0"/>
        <v>22</v>
      </c>
      <c r="BL67" s="72">
        <f t="shared" si="0"/>
        <v>58</v>
      </c>
      <c r="BM67" s="72">
        <f t="shared" si="0"/>
        <v>57</v>
      </c>
      <c r="BN67" s="72">
        <f t="shared" si="0"/>
        <v>43</v>
      </c>
      <c r="BO67" s="72">
        <f t="shared" ref="BO67:DX67" si="1">COUNTA(BO3:BO66)</f>
        <v>40</v>
      </c>
      <c r="BP67" s="72">
        <f t="shared" si="1"/>
        <v>58</v>
      </c>
      <c r="BQ67" s="72">
        <f t="shared" si="1"/>
        <v>57</v>
      </c>
      <c r="BR67" s="72">
        <f t="shared" si="1"/>
        <v>57</v>
      </c>
      <c r="BS67" s="72">
        <f t="shared" si="1"/>
        <v>57</v>
      </c>
      <c r="BT67" s="72">
        <f t="shared" si="1"/>
        <v>8</v>
      </c>
      <c r="BU67" s="72">
        <f t="shared" si="1"/>
        <v>4</v>
      </c>
      <c r="BV67" s="72">
        <f t="shared" si="1"/>
        <v>0</v>
      </c>
      <c r="BW67" s="72">
        <f t="shared" si="1"/>
        <v>62</v>
      </c>
      <c r="BX67" s="72">
        <f t="shared" si="1"/>
        <v>62</v>
      </c>
      <c r="BY67" s="72">
        <f t="shared" si="1"/>
        <v>62</v>
      </c>
      <c r="BZ67" s="72">
        <f t="shared" si="1"/>
        <v>61</v>
      </c>
      <c r="CA67" s="72">
        <f t="shared" si="1"/>
        <v>61</v>
      </c>
      <c r="CB67" s="72">
        <f t="shared" si="1"/>
        <v>61</v>
      </c>
      <c r="CC67" s="72">
        <f t="shared" si="1"/>
        <v>60</v>
      </c>
      <c r="CD67" s="72">
        <f t="shared" si="1"/>
        <v>25</v>
      </c>
      <c r="CE67" s="72">
        <f t="shared" si="1"/>
        <v>25</v>
      </c>
      <c r="CF67" s="72">
        <f t="shared" si="1"/>
        <v>27</v>
      </c>
      <c r="CG67" s="72">
        <f t="shared" si="1"/>
        <v>30</v>
      </c>
      <c r="CH67" s="72">
        <f t="shared" si="1"/>
        <v>30</v>
      </c>
      <c r="CI67" s="72">
        <f t="shared" si="1"/>
        <v>30</v>
      </c>
      <c r="CJ67" s="72">
        <f t="shared" si="1"/>
        <v>59</v>
      </c>
      <c r="CK67" s="72">
        <f t="shared" si="1"/>
        <v>41</v>
      </c>
      <c r="CL67" s="72">
        <f t="shared" si="1"/>
        <v>41</v>
      </c>
      <c r="CM67" s="72">
        <f t="shared" si="1"/>
        <v>41</v>
      </c>
      <c r="CN67" s="72">
        <f t="shared" si="1"/>
        <v>42</v>
      </c>
      <c r="CO67" s="72">
        <f t="shared" si="1"/>
        <v>42</v>
      </c>
      <c r="CP67" s="72">
        <f t="shared" si="1"/>
        <v>42</v>
      </c>
      <c r="CQ67" s="72">
        <f t="shared" si="1"/>
        <v>51</v>
      </c>
      <c r="CR67" s="72">
        <f t="shared" si="1"/>
        <v>38</v>
      </c>
      <c r="CS67" s="72">
        <f t="shared" si="1"/>
        <v>42</v>
      </c>
      <c r="CT67" s="72">
        <f t="shared" si="1"/>
        <v>48</v>
      </c>
      <c r="CU67" s="72">
        <f t="shared" si="1"/>
        <v>50</v>
      </c>
      <c r="CV67" s="72">
        <f t="shared" si="1"/>
        <v>50</v>
      </c>
      <c r="CW67" s="72">
        <f t="shared" si="1"/>
        <v>50</v>
      </c>
      <c r="CX67" s="72">
        <f t="shared" si="1"/>
        <v>59</v>
      </c>
      <c r="CY67" s="72">
        <f t="shared" si="1"/>
        <v>64</v>
      </c>
      <c r="CZ67" s="72">
        <f t="shared" si="1"/>
        <v>64</v>
      </c>
      <c r="DA67" s="72">
        <f t="shared" si="1"/>
        <v>64</v>
      </c>
      <c r="DB67" s="72">
        <f t="shared" si="1"/>
        <v>63</v>
      </c>
      <c r="DC67" s="72">
        <f t="shared" si="1"/>
        <v>63</v>
      </c>
      <c r="DD67" s="72">
        <f t="shared" si="1"/>
        <v>49</v>
      </c>
      <c r="DE67" s="72">
        <f t="shared" si="1"/>
        <v>34</v>
      </c>
      <c r="DF67" s="72">
        <f t="shared" si="1"/>
        <v>0</v>
      </c>
      <c r="DG67" s="72">
        <f t="shared" si="1"/>
        <v>62</v>
      </c>
      <c r="DH67" s="72">
        <f t="shared" si="1"/>
        <v>62</v>
      </c>
      <c r="DI67" s="72">
        <f t="shared" si="1"/>
        <v>49</v>
      </c>
      <c r="DJ67" s="72">
        <f t="shared" si="1"/>
        <v>33</v>
      </c>
      <c r="DK67" s="72">
        <f t="shared" si="1"/>
        <v>0</v>
      </c>
      <c r="DL67" s="72">
        <f t="shared" si="1"/>
        <v>63</v>
      </c>
      <c r="DM67" s="72">
        <f t="shared" si="1"/>
        <v>1</v>
      </c>
      <c r="DN67" s="72">
        <f t="shared" si="1"/>
        <v>63</v>
      </c>
      <c r="DO67" s="72">
        <f t="shared" si="1"/>
        <v>63</v>
      </c>
      <c r="DP67" s="72">
        <f t="shared" si="1"/>
        <v>37</v>
      </c>
      <c r="DQ67" s="72">
        <f t="shared" si="1"/>
        <v>64</v>
      </c>
      <c r="DR67" s="72">
        <f t="shared" si="1"/>
        <v>8</v>
      </c>
      <c r="DS67" s="72">
        <f t="shared" si="1"/>
        <v>8</v>
      </c>
      <c r="DT67" s="72">
        <f t="shared" si="1"/>
        <v>8</v>
      </c>
      <c r="DU67" s="72">
        <f t="shared" si="1"/>
        <v>8</v>
      </c>
      <c r="DV67" s="72">
        <f t="shared" si="1"/>
        <v>8</v>
      </c>
      <c r="DW67" s="72">
        <f t="shared" si="1"/>
        <v>5</v>
      </c>
      <c r="DX67" s="72">
        <f t="shared" si="1"/>
        <v>64</v>
      </c>
      <c r="DY67" s="72">
        <f t="shared" ref="DY67:GJ67" si="2">COUNTA(DY3:DY66)</f>
        <v>40</v>
      </c>
      <c r="DZ67" s="72">
        <f t="shared" si="2"/>
        <v>40</v>
      </c>
      <c r="EA67" s="72">
        <f t="shared" si="2"/>
        <v>40</v>
      </c>
      <c r="EB67" s="72">
        <f t="shared" si="2"/>
        <v>40</v>
      </c>
      <c r="EC67" s="72">
        <f t="shared" si="2"/>
        <v>26</v>
      </c>
      <c r="ED67" s="72">
        <f t="shared" si="2"/>
        <v>39</v>
      </c>
      <c r="EE67" s="72">
        <f t="shared" si="2"/>
        <v>4</v>
      </c>
      <c r="EF67" s="72">
        <f t="shared" si="2"/>
        <v>38</v>
      </c>
      <c r="EG67" s="72">
        <f t="shared" si="2"/>
        <v>2</v>
      </c>
      <c r="EH67" s="72">
        <f t="shared" si="2"/>
        <v>40</v>
      </c>
      <c r="EI67" s="72">
        <f t="shared" si="2"/>
        <v>10</v>
      </c>
      <c r="EJ67" s="72">
        <f t="shared" si="2"/>
        <v>63</v>
      </c>
      <c r="EK67" s="72">
        <f t="shared" si="2"/>
        <v>40</v>
      </c>
      <c r="EL67" s="72">
        <f t="shared" si="2"/>
        <v>39</v>
      </c>
      <c r="EM67" s="72">
        <f t="shared" si="2"/>
        <v>3</v>
      </c>
      <c r="EN67" s="72">
        <f t="shared" si="2"/>
        <v>40</v>
      </c>
      <c r="EO67" s="72">
        <f t="shared" si="2"/>
        <v>38</v>
      </c>
      <c r="EP67" s="72">
        <f t="shared" si="2"/>
        <v>3</v>
      </c>
      <c r="EQ67" s="72">
        <f t="shared" si="2"/>
        <v>40</v>
      </c>
      <c r="ER67" s="72">
        <f t="shared" si="2"/>
        <v>5</v>
      </c>
      <c r="ES67" s="72">
        <f t="shared" si="2"/>
        <v>40</v>
      </c>
      <c r="ET67" s="72">
        <f t="shared" si="2"/>
        <v>20</v>
      </c>
      <c r="EU67" s="72">
        <f t="shared" si="2"/>
        <v>64</v>
      </c>
      <c r="EV67" s="72">
        <f t="shared" si="2"/>
        <v>62</v>
      </c>
      <c r="EW67" s="72">
        <f t="shared" si="2"/>
        <v>4</v>
      </c>
      <c r="EX67" s="72">
        <f t="shared" si="2"/>
        <v>62</v>
      </c>
      <c r="EY67" s="72">
        <f t="shared" si="2"/>
        <v>40</v>
      </c>
      <c r="EZ67" s="72">
        <f t="shared" si="2"/>
        <v>22</v>
      </c>
      <c r="FA67" s="72">
        <f t="shared" si="2"/>
        <v>22</v>
      </c>
      <c r="FB67" s="72">
        <f t="shared" si="2"/>
        <v>22</v>
      </c>
      <c r="FC67" s="72">
        <f t="shared" si="2"/>
        <v>22</v>
      </c>
      <c r="FD67" s="72">
        <f t="shared" si="2"/>
        <v>22</v>
      </c>
      <c r="FE67" s="72">
        <f t="shared" si="2"/>
        <v>13</v>
      </c>
      <c r="FF67" s="72">
        <f t="shared" si="2"/>
        <v>22</v>
      </c>
      <c r="FG67" s="72">
        <f t="shared" si="2"/>
        <v>22</v>
      </c>
      <c r="FH67" s="72">
        <f t="shared" si="2"/>
        <v>22</v>
      </c>
      <c r="FI67" s="72">
        <f t="shared" si="2"/>
        <v>22</v>
      </c>
      <c r="FJ67" s="72">
        <f t="shared" si="2"/>
        <v>8</v>
      </c>
      <c r="FK67" s="72">
        <f t="shared" si="2"/>
        <v>22</v>
      </c>
      <c r="FL67" s="72">
        <f t="shared" si="2"/>
        <v>21</v>
      </c>
      <c r="FM67" s="72">
        <f t="shared" si="2"/>
        <v>15</v>
      </c>
      <c r="FN67" s="72">
        <f t="shared" si="2"/>
        <v>15</v>
      </c>
      <c r="FO67" s="72">
        <f t="shared" si="2"/>
        <v>14</v>
      </c>
      <c r="FP67" s="72">
        <f t="shared" si="2"/>
        <v>7</v>
      </c>
      <c r="FQ67" s="72">
        <f t="shared" si="2"/>
        <v>3</v>
      </c>
      <c r="FR67" s="72">
        <f t="shared" si="2"/>
        <v>1</v>
      </c>
      <c r="FS67" s="72">
        <f t="shared" si="2"/>
        <v>62</v>
      </c>
      <c r="FT67" s="72">
        <f t="shared" si="2"/>
        <v>12</v>
      </c>
      <c r="FU67" s="72">
        <f t="shared" si="2"/>
        <v>64</v>
      </c>
      <c r="FV67" s="72">
        <f t="shared" si="2"/>
        <v>39</v>
      </c>
      <c r="FW67" s="72">
        <f t="shared" si="2"/>
        <v>0</v>
      </c>
      <c r="FX67" s="72">
        <f t="shared" si="2"/>
        <v>64</v>
      </c>
      <c r="FY67" s="72">
        <f t="shared" si="2"/>
        <v>19</v>
      </c>
      <c r="FZ67" s="72">
        <f t="shared" si="2"/>
        <v>64</v>
      </c>
      <c r="GA67" s="72">
        <f t="shared" si="2"/>
        <v>34</v>
      </c>
      <c r="GB67" s="72">
        <f t="shared" si="2"/>
        <v>60</v>
      </c>
      <c r="GC67" s="72">
        <f t="shared" si="2"/>
        <v>16</v>
      </c>
      <c r="GD67" s="72">
        <f t="shared" si="2"/>
        <v>61</v>
      </c>
      <c r="GE67" s="72">
        <f t="shared" si="2"/>
        <v>62</v>
      </c>
      <c r="GF67" s="72">
        <f t="shared" si="2"/>
        <v>64</v>
      </c>
      <c r="GG67" s="72">
        <f t="shared" si="2"/>
        <v>63</v>
      </c>
      <c r="GH67" s="72">
        <f t="shared" si="2"/>
        <v>61</v>
      </c>
      <c r="GI67" s="72">
        <f t="shared" si="2"/>
        <v>62</v>
      </c>
      <c r="GJ67" s="72">
        <f t="shared" si="2"/>
        <v>12</v>
      </c>
      <c r="GK67" s="72">
        <f t="shared" ref="GK67:HG67" si="3">COUNTA(GK3:GK66)</f>
        <v>64</v>
      </c>
      <c r="GL67" s="72">
        <f t="shared" si="3"/>
        <v>26</v>
      </c>
      <c r="GM67" s="72">
        <f t="shared" si="3"/>
        <v>63</v>
      </c>
      <c r="GN67" s="72">
        <f t="shared" si="3"/>
        <v>64</v>
      </c>
      <c r="GO67" s="72">
        <f t="shared" si="3"/>
        <v>64</v>
      </c>
      <c r="GP67" s="72">
        <f t="shared" si="3"/>
        <v>30</v>
      </c>
      <c r="GQ67" s="72">
        <f t="shared" si="3"/>
        <v>30</v>
      </c>
      <c r="GR67" s="72">
        <f t="shared" si="3"/>
        <v>27</v>
      </c>
      <c r="GS67" s="72">
        <f t="shared" si="3"/>
        <v>22</v>
      </c>
      <c r="GT67" s="72">
        <f t="shared" si="3"/>
        <v>31</v>
      </c>
      <c r="GU67" s="72">
        <f t="shared" si="3"/>
        <v>20</v>
      </c>
      <c r="GV67" s="72">
        <f t="shared" si="3"/>
        <v>64</v>
      </c>
      <c r="GW67" s="72">
        <f t="shared" si="3"/>
        <v>9</v>
      </c>
      <c r="GX67" s="72">
        <f t="shared" si="3"/>
        <v>9</v>
      </c>
      <c r="GY67" s="72">
        <f t="shared" si="3"/>
        <v>9</v>
      </c>
      <c r="GZ67" s="72">
        <f t="shared" si="3"/>
        <v>9</v>
      </c>
      <c r="HA67" s="72">
        <f t="shared" si="3"/>
        <v>61</v>
      </c>
      <c r="HB67" s="72">
        <f t="shared" si="3"/>
        <v>64</v>
      </c>
      <c r="HC67" s="72">
        <f t="shared" si="3"/>
        <v>64</v>
      </c>
      <c r="HD67" s="72">
        <f t="shared" si="3"/>
        <v>62</v>
      </c>
      <c r="HE67" s="72">
        <f t="shared" si="3"/>
        <v>63</v>
      </c>
      <c r="HF67" s="72">
        <f t="shared" si="3"/>
        <v>14</v>
      </c>
      <c r="HG67" s="72">
        <f t="shared" si="3"/>
        <v>64</v>
      </c>
    </row>
  </sheetData>
  <autoFilter ref="A2:HG66" xr:uid="{58C479A3-DBC4-49E7-83DC-3D056DE58F64}">
    <sortState xmlns:xlrd2="http://schemas.microsoft.com/office/spreadsheetml/2017/richdata2" ref="A3:HG66">
      <sortCondition ref="A3:A66"/>
    </sortState>
  </autoFilter>
  <hyperlinks>
    <hyperlink ref="A1" location="Index!A1" display="Index"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A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8"/>
    <col min="2" max="10" width="30.7109375" style="9" customWidth="1"/>
    <col min="11" max="11" width="50.7109375" style="9" customWidth="1"/>
    <col min="12" max="338" width="30.7109375" style="9" customWidth="1"/>
    <col min="339" max="339" width="100.7109375" style="9" customWidth="1"/>
    <col min="340" max="16384" width="9.140625" style="8"/>
  </cols>
  <sheetData>
    <row r="1" spans="1:339" s="30" customFormat="1" x14ac:dyDescent="0.2">
      <c r="A1" s="70" t="s">
        <v>181</v>
      </c>
      <c r="B1" s="12" t="s">
        <v>2939</v>
      </c>
      <c r="C1" s="12" t="s">
        <v>2940</v>
      </c>
      <c r="D1" s="12" t="s">
        <v>2941</v>
      </c>
      <c r="E1" s="12" t="s">
        <v>2942</v>
      </c>
      <c r="F1" s="12" t="s">
        <v>2943</v>
      </c>
      <c r="G1" s="12" t="s">
        <v>2944</v>
      </c>
      <c r="H1" s="12" t="s">
        <v>2945</v>
      </c>
      <c r="I1" s="12" t="s">
        <v>2946</v>
      </c>
      <c r="J1" s="12" t="s">
        <v>2947</v>
      </c>
      <c r="K1" s="12" t="s">
        <v>2948</v>
      </c>
      <c r="L1" s="12" t="s">
        <v>2949</v>
      </c>
      <c r="M1" s="12" t="s">
        <v>2950</v>
      </c>
      <c r="N1" s="12" t="s">
        <v>2951</v>
      </c>
      <c r="O1" s="12" t="s">
        <v>2952</v>
      </c>
      <c r="P1" s="12" t="s">
        <v>2953</v>
      </c>
      <c r="Q1" s="12" t="s">
        <v>2954</v>
      </c>
      <c r="R1" s="12" t="s">
        <v>2955</v>
      </c>
      <c r="S1" s="12" t="s">
        <v>2956</v>
      </c>
      <c r="T1" s="12" t="s">
        <v>2957</v>
      </c>
      <c r="U1" s="12" t="s">
        <v>2958</v>
      </c>
      <c r="V1" s="12" t="s">
        <v>2959</v>
      </c>
      <c r="W1" s="12" t="s">
        <v>2960</v>
      </c>
      <c r="X1" s="12" t="s">
        <v>2961</v>
      </c>
      <c r="Y1" s="12" t="s">
        <v>2962</v>
      </c>
      <c r="Z1" s="12" t="s">
        <v>2963</v>
      </c>
      <c r="AA1" s="12" t="s">
        <v>2964</v>
      </c>
      <c r="AB1" s="12" t="s">
        <v>2965</v>
      </c>
      <c r="AC1" s="12" t="s">
        <v>2966</v>
      </c>
      <c r="AD1" s="12" t="s">
        <v>2967</v>
      </c>
      <c r="AE1" s="12" t="s">
        <v>2968</v>
      </c>
      <c r="AF1" s="12" t="s">
        <v>2969</v>
      </c>
      <c r="AG1" s="12" t="s">
        <v>2970</v>
      </c>
      <c r="AH1" s="12" t="s">
        <v>2971</v>
      </c>
      <c r="AI1" s="12" t="s">
        <v>2972</v>
      </c>
      <c r="AJ1" s="12" t="s">
        <v>2973</v>
      </c>
      <c r="AK1" s="12" t="s">
        <v>2974</v>
      </c>
      <c r="AL1" s="12" t="s">
        <v>2975</v>
      </c>
      <c r="AM1" s="12" t="s">
        <v>2976</v>
      </c>
      <c r="AN1" s="12" t="s">
        <v>2977</v>
      </c>
      <c r="AO1" s="12" t="s">
        <v>2978</v>
      </c>
      <c r="AP1" s="12" t="s">
        <v>2979</v>
      </c>
      <c r="AQ1" s="12" t="s">
        <v>2980</v>
      </c>
      <c r="AR1" s="12" t="s">
        <v>2981</v>
      </c>
      <c r="AS1" s="12" t="s">
        <v>2982</v>
      </c>
      <c r="AT1" s="12" t="s">
        <v>2983</v>
      </c>
      <c r="AU1" s="12" t="s">
        <v>2984</v>
      </c>
      <c r="AV1" s="12" t="s">
        <v>2985</v>
      </c>
      <c r="AW1" s="12" t="s">
        <v>2986</v>
      </c>
      <c r="AX1" s="12" t="s">
        <v>2987</v>
      </c>
      <c r="AY1" s="12" t="s">
        <v>2988</v>
      </c>
      <c r="AZ1" s="12" t="s">
        <v>2989</v>
      </c>
      <c r="BA1" s="12" t="s">
        <v>2990</v>
      </c>
      <c r="BB1" s="12" t="s">
        <v>2991</v>
      </c>
      <c r="BC1" s="12" t="s">
        <v>2992</v>
      </c>
      <c r="BD1" s="12" t="s">
        <v>2993</v>
      </c>
      <c r="BE1" s="12" t="s">
        <v>2994</v>
      </c>
      <c r="BF1" s="12" t="s">
        <v>2995</v>
      </c>
      <c r="BG1" s="12" t="s">
        <v>2996</v>
      </c>
      <c r="BH1" s="12" t="s">
        <v>2997</v>
      </c>
      <c r="BI1" s="12" t="s">
        <v>2998</v>
      </c>
      <c r="BJ1" s="12" t="s">
        <v>2999</v>
      </c>
      <c r="BK1" s="12" t="s">
        <v>3000</v>
      </c>
      <c r="BL1" s="12" t="s">
        <v>3001</v>
      </c>
      <c r="BM1" s="12" t="s">
        <v>3002</v>
      </c>
      <c r="BN1" s="12" t="s">
        <v>3003</v>
      </c>
      <c r="BO1" s="12" t="s">
        <v>3004</v>
      </c>
      <c r="BP1" s="12" t="s">
        <v>3005</v>
      </c>
      <c r="BQ1" s="12" t="s">
        <v>3006</v>
      </c>
      <c r="BR1" s="12" t="s">
        <v>3007</v>
      </c>
      <c r="BS1" s="12" t="s">
        <v>3008</v>
      </c>
      <c r="BT1" s="12" t="s">
        <v>3009</v>
      </c>
      <c r="BU1" s="12" t="s">
        <v>3010</v>
      </c>
      <c r="BV1" s="12" t="s">
        <v>3011</v>
      </c>
      <c r="BW1" s="12" t="s">
        <v>3012</v>
      </c>
      <c r="BX1" s="12" t="s">
        <v>3013</v>
      </c>
      <c r="BY1" s="12" t="s">
        <v>3014</v>
      </c>
      <c r="BZ1" s="12" t="s">
        <v>3015</v>
      </c>
      <c r="CA1" s="12" t="s">
        <v>3016</v>
      </c>
      <c r="CB1" s="12" t="s">
        <v>3017</v>
      </c>
      <c r="CC1" s="12" t="s">
        <v>3018</v>
      </c>
      <c r="CD1" s="12" t="s">
        <v>3019</v>
      </c>
      <c r="CE1" s="12" t="s">
        <v>3020</v>
      </c>
      <c r="CF1" s="12" t="s">
        <v>3021</v>
      </c>
      <c r="CG1" s="12" t="s">
        <v>3022</v>
      </c>
      <c r="CH1" s="12" t="s">
        <v>3023</v>
      </c>
      <c r="CI1" s="12" t="s">
        <v>3024</v>
      </c>
      <c r="CJ1" s="12" t="s">
        <v>3025</v>
      </c>
      <c r="CK1" s="12" t="s">
        <v>3026</v>
      </c>
      <c r="CL1" s="12" t="s">
        <v>3027</v>
      </c>
      <c r="CM1" s="12" t="s">
        <v>3028</v>
      </c>
      <c r="CN1" s="12" t="s">
        <v>3029</v>
      </c>
      <c r="CO1" s="12" t="s">
        <v>3030</v>
      </c>
      <c r="CP1" s="12" t="s">
        <v>3031</v>
      </c>
      <c r="CQ1" s="12" t="s">
        <v>3032</v>
      </c>
      <c r="CR1" s="12" t="s">
        <v>3033</v>
      </c>
      <c r="CS1" s="12" t="s">
        <v>3034</v>
      </c>
      <c r="CT1" s="12" t="s">
        <v>3035</v>
      </c>
      <c r="CU1" s="12" t="s">
        <v>3036</v>
      </c>
      <c r="CV1" s="12" t="s">
        <v>3037</v>
      </c>
      <c r="CW1" s="12" t="s">
        <v>3038</v>
      </c>
      <c r="CX1" s="12" t="s">
        <v>3039</v>
      </c>
      <c r="CY1" s="12" t="s">
        <v>3040</v>
      </c>
      <c r="CZ1" s="12" t="s">
        <v>3041</v>
      </c>
      <c r="DA1" s="12" t="s">
        <v>3042</v>
      </c>
      <c r="DB1" s="12" t="s">
        <v>3043</v>
      </c>
      <c r="DC1" s="12" t="s">
        <v>3044</v>
      </c>
      <c r="DD1" s="12" t="s">
        <v>3045</v>
      </c>
      <c r="DE1" s="12" t="s">
        <v>3046</v>
      </c>
      <c r="DF1" s="12" t="s">
        <v>3047</v>
      </c>
      <c r="DG1" s="12" t="s">
        <v>3048</v>
      </c>
      <c r="DH1" s="12" t="s">
        <v>3049</v>
      </c>
      <c r="DI1" s="12" t="s">
        <v>3050</v>
      </c>
      <c r="DJ1" s="12" t="s">
        <v>3051</v>
      </c>
      <c r="DK1" s="12" t="s">
        <v>3052</v>
      </c>
      <c r="DL1" s="12" t="s">
        <v>3053</v>
      </c>
      <c r="DM1" s="12" t="s">
        <v>3054</v>
      </c>
      <c r="DN1" s="12" t="s">
        <v>3055</v>
      </c>
      <c r="DO1" s="12" t="s">
        <v>3056</v>
      </c>
      <c r="DP1" s="12" t="s">
        <v>3057</v>
      </c>
      <c r="DQ1" s="12" t="s">
        <v>3058</v>
      </c>
      <c r="DR1" s="12" t="s">
        <v>3059</v>
      </c>
      <c r="DS1" s="12" t="s">
        <v>3060</v>
      </c>
      <c r="DT1" s="12" t="s">
        <v>3061</v>
      </c>
      <c r="DU1" s="12" t="s">
        <v>3062</v>
      </c>
      <c r="DV1" s="12" t="s">
        <v>3063</v>
      </c>
      <c r="DW1" s="12" t="s">
        <v>3064</v>
      </c>
      <c r="DX1" s="12" t="s">
        <v>3065</v>
      </c>
      <c r="DY1" s="12" t="s">
        <v>3066</v>
      </c>
      <c r="DZ1" s="12" t="s">
        <v>3067</v>
      </c>
      <c r="EA1" s="12" t="s">
        <v>3068</v>
      </c>
      <c r="EB1" s="12" t="s">
        <v>3069</v>
      </c>
      <c r="EC1" s="12" t="s">
        <v>3070</v>
      </c>
      <c r="ED1" s="12" t="s">
        <v>3071</v>
      </c>
      <c r="EE1" s="12" t="s">
        <v>3072</v>
      </c>
      <c r="EF1" s="12" t="s">
        <v>3073</v>
      </c>
      <c r="EG1" s="12" t="s">
        <v>3074</v>
      </c>
      <c r="EH1" s="12" t="s">
        <v>3075</v>
      </c>
      <c r="EI1" s="12" t="s">
        <v>3076</v>
      </c>
      <c r="EJ1" s="12" t="s">
        <v>3077</v>
      </c>
      <c r="EK1" s="12" t="s">
        <v>3078</v>
      </c>
      <c r="EL1" s="12" t="s">
        <v>3079</v>
      </c>
      <c r="EM1" s="12" t="s">
        <v>3080</v>
      </c>
      <c r="EN1" s="12" t="s">
        <v>3081</v>
      </c>
      <c r="EO1" s="12" t="s">
        <v>3082</v>
      </c>
      <c r="EP1" s="12" t="s">
        <v>3083</v>
      </c>
      <c r="EQ1" s="12" t="s">
        <v>3084</v>
      </c>
      <c r="ER1" s="12" t="s">
        <v>3085</v>
      </c>
      <c r="ES1" s="12" t="s">
        <v>3086</v>
      </c>
      <c r="ET1" s="12" t="s">
        <v>3087</v>
      </c>
      <c r="EU1" s="12" t="s">
        <v>3088</v>
      </c>
      <c r="EV1" s="12" t="s">
        <v>3089</v>
      </c>
      <c r="EW1" s="12" t="s">
        <v>3090</v>
      </c>
      <c r="EX1" s="12" t="s">
        <v>3091</v>
      </c>
      <c r="EY1" s="12" t="s">
        <v>3092</v>
      </c>
      <c r="EZ1" s="12" t="s">
        <v>3093</v>
      </c>
      <c r="FA1" s="12" t="s">
        <v>3094</v>
      </c>
      <c r="FB1" s="12" t="s">
        <v>3095</v>
      </c>
      <c r="FC1" s="12" t="s">
        <v>3096</v>
      </c>
      <c r="FD1" s="12" t="s">
        <v>3097</v>
      </c>
      <c r="FE1" s="12" t="s">
        <v>3098</v>
      </c>
      <c r="FF1" s="12" t="s">
        <v>3099</v>
      </c>
      <c r="FG1" s="12" t="s">
        <v>3100</v>
      </c>
      <c r="FH1" s="12" t="s">
        <v>3101</v>
      </c>
      <c r="FI1" s="12" t="s">
        <v>3102</v>
      </c>
      <c r="FJ1" s="12" t="s">
        <v>3103</v>
      </c>
      <c r="FK1" s="12" t="s">
        <v>3104</v>
      </c>
      <c r="FL1" s="12" t="s">
        <v>3105</v>
      </c>
      <c r="FM1" s="12" t="s">
        <v>3106</v>
      </c>
      <c r="FN1" s="12" t="s">
        <v>3107</v>
      </c>
      <c r="FO1" s="12" t="s">
        <v>3108</v>
      </c>
      <c r="FP1" s="12" t="s">
        <v>3109</v>
      </c>
      <c r="FQ1" s="12" t="s">
        <v>3110</v>
      </c>
      <c r="FR1" s="12" t="s">
        <v>3111</v>
      </c>
      <c r="FS1" s="12" t="s">
        <v>3112</v>
      </c>
      <c r="FT1" s="12" t="s">
        <v>3113</v>
      </c>
      <c r="FU1" s="12" t="s">
        <v>3114</v>
      </c>
      <c r="FV1" s="12" t="s">
        <v>3115</v>
      </c>
      <c r="FW1" s="12" t="s">
        <v>3116</v>
      </c>
      <c r="FX1" s="12" t="s">
        <v>3117</v>
      </c>
      <c r="FY1" s="12" t="s">
        <v>3118</v>
      </c>
      <c r="FZ1" s="12" t="s">
        <v>3119</v>
      </c>
      <c r="GA1" s="12" t="s">
        <v>3120</v>
      </c>
      <c r="GB1" s="12" t="s">
        <v>3121</v>
      </c>
      <c r="GC1" s="12" t="s">
        <v>3122</v>
      </c>
      <c r="GD1" s="12" t="s">
        <v>3123</v>
      </c>
      <c r="GE1" s="12" t="s">
        <v>3124</v>
      </c>
      <c r="GF1" s="12" t="s">
        <v>3125</v>
      </c>
      <c r="GG1" s="12" t="s">
        <v>3126</v>
      </c>
      <c r="GH1" s="12" t="s">
        <v>3127</v>
      </c>
      <c r="GI1" s="12" t="s">
        <v>3128</v>
      </c>
      <c r="GJ1" s="12" t="s">
        <v>3129</v>
      </c>
      <c r="GK1" s="12" t="s">
        <v>3130</v>
      </c>
      <c r="GL1" s="12" t="s">
        <v>3131</v>
      </c>
      <c r="GM1" s="12" t="s">
        <v>3132</v>
      </c>
      <c r="GN1" s="12" t="s">
        <v>3133</v>
      </c>
      <c r="GO1" s="12" t="s">
        <v>3134</v>
      </c>
      <c r="GP1" s="12" t="s">
        <v>3135</v>
      </c>
      <c r="GQ1" s="12" t="s">
        <v>3136</v>
      </c>
      <c r="GR1" s="12" t="s">
        <v>3137</v>
      </c>
      <c r="GS1" s="12" t="s">
        <v>3138</v>
      </c>
      <c r="GT1" s="12" t="s">
        <v>3139</v>
      </c>
      <c r="GU1" s="12" t="s">
        <v>3140</v>
      </c>
      <c r="GV1" s="12" t="s">
        <v>3141</v>
      </c>
      <c r="GW1" s="12" t="s">
        <v>3142</v>
      </c>
      <c r="GX1" s="12" t="s">
        <v>3143</v>
      </c>
      <c r="GY1" s="12" t="s">
        <v>3144</v>
      </c>
      <c r="GZ1" s="12" t="s">
        <v>3145</v>
      </c>
      <c r="HA1" s="12" t="s">
        <v>3146</v>
      </c>
      <c r="HB1" s="12" t="s">
        <v>3147</v>
      </c>
      <c r="HC1" s="12" t="s">
        <v>3148</v>
      </c>
      <c r="HD1" s="12" t="s">
        <v>3149</v>
      </c>
      <c r="HE1" s="12" t="s">
        <v>3150</v>
      </c>
      <c r="HF1" s="12" t="s">
        <v>3151</v>
      </c>
      <c r="HG1" s="12" t="s">
        <v>3152</v>
      </c>
      <c r="HH1" s="12" t="s">
        <v>3153</v>
      </c>
      <c r="HI1" s="12" t="s">
        <v>3154</v>
      </c>
      <c r="HJ1" s="12" t="s">
        <v>3155</v>
      </c>
      <c r="HK1" s="12" t="s">
        <v>3156</v>
      </c>
      <c r="HL1" s="12" t="s">
        <v>3157</v>
      </c>
      <c r="HM1" s="12" t="s">
        <v>3158</v>
      </c>
      <c r="HN1" s="12" t="s">
        <v>3159</v>
      </c>
      <c r="HO1" s="12" t="s">
        <v>3160</v>
      </c>
      <c r="HP1" s="12" t="s">
        <v>3161</v>
      </c>
      <c r="HQ1" s="12" t="s">
        <v>3162</v>
      </c>
      <c r="HR1" s="12" t="s">
        <v>3163</v>
      </c>
      <c r="HS1" s="12" t="s">
        <v>3164</v>
      </c>
      <c r="HT1" s="12" t="s">
        <v>3165</v>
      </c>
      <c r="HU1" s="12" t="s">
        <v>3166</v>
      </c>
      <c r="HV1" s="12" t="s">
        <v>3167</v>
      </c>
      <c r="HW1" s="12" t="s">
        <v>3168</v>
      </c>
      <c r="HX1" s="12" t="s">
        <v>3169</v>
      </c>
      <c r="HY1" s="12" t="s">
        <v>3170</v>
      </c>
      <c r="HZ1" s="12" t="s">
        <v>3171</v>
      </c>
      <c r="IA1" s="12" t="s">
        <v>3172</v>
      </c>
      <c r="IB1" s="12" t="s">
        <v>3173</v>
      </c>
      <c r="IC1" s="12" t="s">
        <v>3174</v>
      </c>
      <c r="ID1" s="12" t="s">
        <v>3175</v>
      </c>
      <c r="IE1" s="12" t="s">
        <v>3176</v>
      </c>
      <c r="IF1" s="12" t="s">
        <v>3177</v>
      </c>
      <c r="IG1" s="12" t="s">
        <v>3178</v>
      </c>
      <c r="IH1" s="12" t="s">
        <v>3179</v>
      </c>
      <c r="II1" s="12" t="s">
        <v>3180</v>
      </c>
      <c r="IJ1" s="12" t="s">
        <v>3181</v>
      </c>
      <c r="IK1" s="12" t="s">
        <v>3182</v>
      </c>
      <c r="IL1" s="12" t="s">
        <v>3183</v>
      </c>
      <c r="IM1" s="12" t="s">
        <v>3184</v>
      </c>
      <c r="IN1" s="12" t="s">
        <v>3185</v>
      </c>
      <c r="IO1" s="12" t="s">
        <v>3186</v>
      </c>
      <c r="IP1" s="12" t="s">
        <v>3187</v>
      </c>
      <c r="IQ1" s="12" t="s">
        <v>3188</v>
      </c>
      <c r="IR1" s="12" t="s">
        <v>3189</v>
      </c>
      <c r="IS1" s="12" t="s">
        <v>3190</v>
      </c>
      <c r="IT1" s="12" t="s">
        <v>3191</v>
      </c>
      <c r="IU1" s="12" t="s">
        <v>3192</v>
      </c>
      <c r="IV1" s="12" t="s">
        <v>3193</v>
      </c>
      <c r="IW1" s="12" t="s">
        <v>3194</v>
      </c>
      <c r="IX1" s="12" t="s">
        <v>3195</v>
      </c>
      <c r="IY1" s="12" t="s">
        <v>3196</v>
      </c>
      <c r="IZ1" s="12" t="s">
        <v>3197</v>
      </c>
      <c r="JA1" s="12" t="s">
        <v>3198</v>
      </c>
      <c r="JB1" s="12" t="s">
        <v>3199</v>
      </c>
      <c r="JC1" s="12" t="s">
        <v>3200</v>
      </c>
      <c r="JD1" s="12" t="s">
        <v>3201</v>
      </c>
      <c r="JE1" s="12" t="s">
        <v>3202</v>
      </c>
      <c r="JF1" s="12" t="s">
        <v>3203</v>
      </c>
      <c r="JG1" s="12" t="s">
        <v>3204</v>
      </c>
      <c r="JH1" s="12" t="s">
        <v>3205</v>
      </c>
      <c r="JI1" s="12" t="s">
        <v>3206</v>
      </c>
      <c r="JJ1" s="12" t="s">
        <v>3207</v>
      </c>
      <c r="JK1" s="12" t="s">
        <v>3208</v>
      </c>
      <c r="JL1" s="12" t="s">
        <v>3209</v>
      </c>
      <c r="JM1" s="12" t="s">
        <v>3210</v>
      </c>
      <c r="JN1" s="12" t="s">
        <v>3211</v>
      </c>
      <c r="JO1" s="12" t="s">
        <v>3212</v>
      </c>
      <c r="JP1" s="12" t="s">
        <v>3213</v>
      </c>
      <c r="JQ1" s="12" t="s">
        <v>3214</v>
      </c>
      <c r="JR1" s="12" t="s">
        <v>3215</v>
      </c>
      <c r="JS1" s="12" t="s">
        <v>3216</v>
      </c>
      <c r="JT1" s="12" t="s">
        <v>3217</v>
      </c>
      <c r="JU1" s="12" t="s">
        <v>3218</v>
      </c>
      <c r="JV1" s="12" t="s">
        <v>3219</v>
      </c>
      <c r="JW1" s="12" t="s">
        <v>3220</v>
      </c>
      <c r="JX1" s="12" t="s">
        <v>3221</v>
      </c>
      <c r="JY1" s="12" t="s">
        <v>3222</v>
      </c>
      <c r="JZ1" s="12" t="s">
        <v>3223</v>
      </c>
      <c r="KA1" s="12" t="s">
        <v>3224</v>
      </c>
      <c r="KB1" s="12" t="s">
        <v>3225</v>
      </c>
      <c r="KC1" s="12" t="s">
        <v>3226</v>
      </c>
      <c r="KD1" s="12" t="s">
        <v>3227</v>
      </c>
      <c r="KE1" s="12" t="s">
        <v>3228</v>
      </c>
      <c r="KF1" s="12" t="s">
        <v>3229</v>
      </c>
      <c r="KG1" s="12" t="s">
        <v>3230</v>
      </c>
      <c r="KH1" s="12" t="s">
        <v>3231</v>
      </c>
      <c r="KI1" s="12" t="s">
        <v>3232</v>
      </c>
      <c r="KJ1" s="12" t="s">
        <v>3233</v>
      </c>
      <c r="KK1" s="12" t="s">
        <v>3234</v>
      </c>
      <c r="KL1" s="12" t="s">
        <v>3235</v>
      </c>
      <c r="KM1" s="12" t="s">
        <v>3236</v>
      </c>
      <c r="KN1" s="12" t="s">
        <v>3237</v>
      </c>
      <c r="KO1" s="12" t="s">
        <v>3238</v>
      </c>
      <c r="KP1" s="12" t="s">
        <v>3239</v>
      </c>
      <c r="KQ1" s="12" t="s">
        <v>3240</v>
      </c>
      <c r="KR1" s="12" t="s">
        <v>3241</v>
      </c>
      <c r="KS1" s="12" t="s">
        <v>3242</v>
      </c>
      <c r="KT1" s="12" t="s">
        <v>3243</v>
      </c>
      <c r="KU1" s="12" t="s">
        <v>3244</v>
      </c>
      <c r="KV1" s="12" t="s">
        <v>3245</v>
      </c>
      <c r="KW1" s="12" t="s">
        <v>3246</v>
      </c>
      <c r="KX1" s="12" t="s">
        <v>3247</v>
      </c>
      <c r="KY1" s="12" t="s">
        <v>3248</v>
      </c>
      <c r="KZ1" s="12" t="s">
        <v>3249</v>
      </c>
      <c r="LA1" s="12" t="s">
        <v>3250</v>
      </c>
      <c r="LB1" s="12" t="s">
        <v>3251</v>
      </c>
      <c r="LC1" s="12" t="s">
        <v>3252</v>
      </c>
      <c r="LD1" s="12" t="s">
        <v>3253</v>
      </c>
      <c r="LE1" s="12" t="s">
        <v>3254</v>
      </c>
      <c r="LF1" s="12" t="s">
        <v>3255</v>
      </c>
      <c r="LG1" s="12" t="s">
        <v>3256</v>
      </c>
      <c r="LH1" s="12" t="s">
        <v>3257</v>
      </c>
      <c r="LI1" s="12" t="s">
        <v>3258</v>
      </c>
      <c r="LJ1" s="12" t="s">
        <v>3259</v>
      </c>
      <c r="LK1" s="12" t="s">
        <v>3260</v>
      </c>
      <c r="LL1" s="12" t="s">
        <v>3261</v>
      </c>
      <c r="LM1" s="12" t="s">
        <v>3262</v>
      </c>
      <c r="LN1" s="12" t="s">
        <v>3263</v>
      </c>
      <c r="LO1" s="12" t="s">
        <v>3264</v>
      </c>
      <c r="LP1" s="12" t="s">
        <v>3265</v>
      </c>
      <c r="LQ1" s="12" t="s">
        <v>3266</v>
      </c>
      <c r="LR1" s="12" t="s">
        <v>3267</v>
      </c>
      <c r="LS1" s="12" t="s">
        <v>3268</v>
      </c>
      <c r="LT1" s="12" t="s">
        <v>3269</v>
      </c>
      <c r="LU1" s="12" t="s">
        <v>3270</v>
      </c>
      <c r="LV1" s="12" t="s">
        <v>3271</v>
      </c>
      <c r="LW1" s="12" t="s">
        <v>3272</v>
      </c>
      <c r="LX1" s="12" t="s">
        <v>3273</v>
      </c>
      <c r="LY1" s="12" t="s">
        <v>3274</v>
      </c>
      <c r="LZ1" s="12" t="s">
        <v>3275</v>
      </c>
      <c r="MA1" s="12" t="s">
        <v>3276</v>
      </c>
    </row>
    <row r="2" spans="1:339" s="30" customFormat="1" ht="63.75" x14ac:dyDescent="0.2">
      <c r="A2" s="30" t="s">
        <v>116</v>
      </c>
      <c r="B2" s="75" t="s">
        <v>12713</v>
      </c>
      <c r="C2" s="75" t="s">
        <v>12714</v>
      </c>
      <c r="D2" s="75" t="s">
        <v>12715</v>
      </c>
      <c r="E2" s="75" t="s">
        <v>12716</v>
      </c>
      <c r="F2" s="75" t="s">
        <v>12717</v>
      </c>
      <c r="G2" s="75" t="s">
        <v>12718</v>
      </c>
      <c r="H2" s="75" t="s">
        <v>14560</v>
      </c>
      <c r="I2" s="75" t="s">
        <v>12719</v>
      </c>
      <c r="J2" s="75" t="s">
        <v>12720</v>
      </c>
      <c r="K2" s="75" t="s">
        <v>12721</v>
      </c>
      <c r="L2" s="12" t="s">
        <v>12722</v>
      </c>
      <c r="M2" s="12" t="s">
        <v>12723</v>
      </c>
      <c r="N2" s="12" t="s">
        <v>12724</v>
      </c>
      <c r="O2" s="12" t="s">
        <v>12725</v>
      </c>
      <c r="P2" s="12" t="s">
        <v>12726</v>
      </c>
      <c r="Q2" s="12" t="s">
        <v>12727</v>
      </c>
      <c r="R2" s="12" t="s">
        <v>12728</v>
      </c>
      <c r="S2" s="12" t="s">
        <v>12729</v>
      </c>
      <c r="T2" s="12" t="s">
        <v>12730</v>
      </c>
      <c r="U2" s="12" t="s">
        <v>12731</v>
      </c>
      <c r="V2" s="12" t="s">
        <v>12732</v>
      </c>
      <c r="W2" s="12" t="s">
        <v>12733</v>
      </c>
      <c r="X2" s="75" t="s">
        <v>12734</v>
      </c>
      <c r="Y2" s="75" t="s">
        <v>12735</v>
      </c>
      <c r="Z2" s="75" t="s">
        <v>12736</v>
      </c>
      <c r="AA2" s="75" t="s">
        <v>12737</v>
      </c>
      <c r="AB2" s="75" t="s">
        <v>12738</v>
      </c>
      <c r="AC2" s="75" t="s">
        <v>12739</v>
      </c>
      <c r="AD2" s="75" t="s">
        <v>12740</v>
      </c>
      <c r="AE2" s="12" t="s">
        <v>12741</v>
      </c>
      <c r="AF2" s="12" t="s">
        <v>12742</v>
      </c>
      <c r="AG2" s="12" t="s">
        <v>12743</v>
      </c>
      <c r="AH2" s="12" t="s">
        <v>12744</v>
      </c>
      <c r="AI2" s="12" t="s">
        <v>12745</v>
      </c>
      <c r="AJ2" s="12" t="s">
        <v>12746</v>
      </c>
      <c r="AK2" s="12" t="s">
        <v>12747</v>
      </c>
      <c r="AL2" s="12" t="s">
        <v>12748</v>
      </c>
      <c r="AM2" s="12" t="s">
        <v>12749</v>
      </c>
      <c r="AN2" s="12" t="s">
        <v>12750</v>
      </c>
      <c r="AO2" s="12" t="s">
        <v>12751</v>
      </c>
      <c r="AP2" s="12" t="s">
        <v>12752</v>
      </c>
      <c r="AQ2" s="12" t="s">
        <v>12753</v>
      </c>
      <c r="AR2" s="12" t="s">
        <v>12754</v>
      </c>
      <c r="AS2" s="12" t="s">
        <v>12755</v>
      </c>
      <c r="AT2" s="12" t="s">
        <v>12756</v>
      </c>
      <c r="AU2" s="75" t="s">
        <v>12757</v>
      </c>
      <c r="AV2" s="75" t="s">
        <v>12758</v>
      </c>
      <c r="AW2" s="75" t="s">
        <v>12759</v>
      </c>
      <c r="AX2" s="75" t="s">
        <v>12760</v>
      </c>
      <c r="AY2" s="75" t="s">
        <v>12761</v>
      </c>
      <c r="AZ2" s="75" t="s">
        <v>12762</v>
      </c>
      <c r="BA2" s="75" t="s">
        <v>12763</v>
      </c>
      <c r="BB2" s="75" t="s">
        <v>12764</v>
      </c>
      <c r="BC2" s="75" t="s">
        <v>12765</v>
      </c>
      <c r="BD2" s="12" t="s">
        <v>12766</v>
      </c>
      <c r="BE2" s="12" t="s">
        <v>12767</v>
      </c>
      <c r="BF2" s="12" t="s">
        <v>12768</v>
      </c>
      <c r="BG2" s="12" t="s">
        <v>12769</v>
      </c>
      <c r="BH2" s="12" t="s">
        <v>12770</v>
      </c>
      <c r="BI2" s="12" t="s">
        <v>12771</v>
      </c>
      <c r="BJ2" s="12" t="s">
        <v>12772</v>
      </c>
      <c r="BK2" s="12" t="s">
        <v>12773</v>
      </c>
      <c r="BL2" s="75" t="s">
        <v>12774</v>
      </c>
      <c r="BM2" s="75" t="s">
        <v>12775</v>
      </c>
      <c r="BN2" s="75" t="s">
        <v>12776</v>
      </c>
      <c r="BO2" s="75" t="s">
        <v>12777</v>
      </c>
      <c r="BP2" s="75" t="s">
        <v>12778</v>
      </c>
      <c r="BQ2" s="12" t="s">
        <v>12779</v>
      </c>
      <c r="BR2" s="12" t="s">
        <v>12780</v>
      </c>
      <c r="BS2" s="24" t="s">
        <v>14563</v>
      </c>
      <c r="BT2" s="24" t="s">
        <v>14564</v>
      </c>
      <c r="BU2" s="12" t="s">
        <v>12781</v>
      </c>
      <c r="BV2" s="12" t="s">
        <v>12782</v>
      </c>
      <c r="BW2" s="12" t="s">
        <v>12783</v>
      </c>
      <c r="BX2" s="12" t="s">
        <v>12784</v>
      </c>
      <c r="BY2" s="75" t="s">
        <v>12785</v>
      </c>
      <c r="BZ2" s="75" t="s">
        <v>12786</v>
      </c>
      <c r="CA2" s="75" t="s">
        <v>14577</v>
      </c>
      <c r="CB2" s="75" t="s">
        <v>12787</v>
      </c>
      <c r="CC2" s="75" t="s">
        <v>12788</v>
      </c>
      <c r="CD2" s="12" t="s">
        <v>12789</v>
      </c>
      <c r="CE2" s="12" t="s">
        <v>12790</v>
      </c>
      <c r="CF2" s="12" t="s">
        <v>12791</v>
      </c>
      <c r="CG2" s="12" t="s">
        <v>12792</v>
      </c>
      <c r="CH2" s="12" t="s">
        <v>12793</v>
      </c>
      <c r="CI2" s="12" t="s">
        <v>12794</v>
      </c>
      <c r="CJ2" s="12" t="s">
        <v>12795</v>
      </c>
      <c r="CK2" s="12" t="s">
        <v>12796</v>
      </c>
      <c r="CL2" s="12" t="s">
        <v>12797</v>
      </c>
      <c r="CM2" s="12" t="s">
        <v>12798</v>
      </c>
      <c r="CN2" s="12" t="s">
        <v>12799</v>
      </c>
      <c r="CO2" s="12" t="s">
        <v>12800</v>
      </c>
      <c r="CP2" s="12" t="s">
        <v>12801</v>
      </c>
      <c r="CQ2" s="12" t="s">
        <v>12802</v>
      </c>
      <c r="CR2" s="75" t="s">
        <v>12803</v>
      </c>
      <c r="CS2" s="75" t="s">
        <v>12804</v>
      </c>
      <c r="CT2" s="75" t="s">
        <v>12805</v>
      </c>
      <c r="CU2" s="75" t="s">
        <v>12806</v>
      </c>
      <c r="CV2" s="75" t="s">
        <v>12807</v>
      </c>
      <c r="CW2" s="75" t="s">
        <v>12808</v>
      </c>
      <c r="CX2" s="75" t="s">
        <v>12809</v>
      </c>
      <c r="CY2" s="12" t="s">
        <v>12810</v>
      </c>
      <c r="CZ2" s="12" t="s">
        <v>12811</v>
      </c>
      <c r="DA2" s="12" t="s">
        <v>12812</v>
      </c>
      <c r="DB2" s="12" t="s">
        <v>12813</v>
      </c>
      <c r="DC2" s="12" t="s">
        <v>12814</v>
      </c>
      <c r="DD2" s="12" t="s">
        <v>12815</v>
      </c>
      <c r="DE2" s="12" t="s">
        <v>14591</v>
      </c>
      <c r="DF2" s="12" t="s">
        <v>14592</v>
      </c>
      <c r="DG2" s="12" t="s">
        <v>12816</v>
      </c>
      <c r="DH2" s="12" t="s">
        <v>12817</v>
      </c>
      <c r="DI2" s="12" t="s">
        <v>12818</v>
      </c>
      <c r="DJ2" s="12" t="s">
        <v>12819</v>
      </c>
      <c r="DK2" s="12" t="s">
        <v>12820</v>
      </c>
      <c r="DL2" s="12" t="s">
        <v>12821</v>
      </c>
      <c r="DM2" s="12" t="s">
        <v>12822</v>
      </c>
      <c r="DN2" s="12" t="s">
        <v>12823</v>
      </c>
      <c r="DO2" s="12" t="s">
        <v>12824</v>
      </c>
      <c r="DP2" s="12" t="s">
        <v>12825</v>
      </c>
      <c r="DQ2" s="12" t="s">
        <v>12826</v>
      </c>
      <c r="DR2" s="12" t="s">
        <v>12827</v>
      </c>
      <c r="DS2" s="12" t="s">
        <v>12828</v>
      </c>
      <c r="DT2" s="12" t="s">
        <v>12829</v>
      </c>
      <c r="DU2" s="12" t="s">
        <v>12830</v>
      </c>
      <c r="DV2" s="12" t="s">
        <v>12831</v>
      </c>
      <c r="DW2" s="12" t="s">
        <v>12832</v>
      </c>
      <c r="DX2" s="12" t="s">
        <v>12833</v>
      </c>
      <c r="DY2" s="12" t="s">
        <v>12834</v>
      </c>
      <c r="DZ2" s="12" t="s">
        <v>12835</v>
      </c>
      <c r="EA2" s="12" t="s">
        <v>12836</v>
      </c>
      <c r="EB2" s="12" t="s">
        <v>12837</v>
      </c>
      <c r="EC2" s="12" t="s">
        <v>12838</v>
      </c>
      <c r="ED2" s="12" t="s">
        <v>12839</v>
      </c>
      <c r="EE2" s="12" t="s">
        <v>12840</v>
      </c>
      <c r="EF2" s="12" t="s">
        <v>12841</v>
      </c>
      <c r="EG2" s="75" t="s">
        <v>12842</v>
      </c>
      <c r="EH2" s="75" t="s">
        <v>12843</v>
      </c>
      <c r="EI2" s="75" t="s">
        <v>12844</v>
      </c>
      <c r="EJ2" s="75" t="s">
        <v>12845</v>
      </c>
      <c r="EK2" s="75" t="s">
        <v>14593</v>
      </c>
      <c r="EL2" s="75" t="s">
        <v>12846</v>
      </c>
      <c r="EM2" s="75" t="s">
        <v>12847</v>
      </c>
      <c r="EN2" s="75" t="s">
        <v>12848</v>
      </c>
      <c r="EO2" s="75" t="s">
        <v>12849</v>
      </c>
      <c r="EP2" s="75" t="s">
        <v>12850</v>
      </c>
      <c r="EQ2" s="75" t="s">
        <v>12851</v>
      </c>
      <c r="ER2" s="75" t="s">
        <v>12852</v>
      </c>
      <c r="ES2" s="75" t="s">
        <v>12853</v>
      </c>
      <c r="ET2" s="75" t="s">
        <v>12854</v>
      </c>
      <c r="EU2" s="75" t="s">
        <v>12855</v>
      </c>
      <c r="EV2" s="75" t="s">
        <v>12856</v>
      </c>
      <c r="EW2" s="75" t="s">
        <v>12857</v>
      </c>
      <c r="EX2" s="75" t="s">
        <v>12858</v>
      </c>
      <c r="EY2" s="12" t="s">
        <v>12859</v>
      </c>
      <c r="EZ2" s="12" t="s">
        <v>12860</v>
      </c>
      <c r="FA2" s="12" t="s">
        <v>12861</v>
      </c>
      <c r="FB2" s="12" t="s">
        <v>12862</v>
      </c>
      <c r="FC2" s="12" t="s">
        <v>12863</v>
      </c>
      <c r="FD2" s="12" t="s">
        <v>12864</v>
      </c>
      <c r="FE2" s="12" t="s">
        <v>12865</v>
      </c>
      <c r="FF2" s="12" t="s">
        <v>12866</v>
      </c>
      <c r="FG2" s="12" t="s">
        <v>12867</v>
      </c>
      <c r="FH2" s="12" t="s">
        <v>12868</v>
      </c>
      <c r="FI2" s="12" t="s">
        <v>12869</v>
      </c>
      <c r="FJ2" s="12" t="s">
        <v>12870</v>
      </c>
      <c r="FK2" s="12" t="s">
        <v>12871</v>
      </c>
      <c r="FL2" s="12" t="s">
        <v>12872</v>
      </c>
      <c r="FM2" s="75" t="s">
        <v>12873</v>
      </c>
      <c r="FN2" s="75" t="s">
        <v>12874</v>
      </c>
      <c r="FO2" s="75" t="s">
        <v>12875</v>
      </c>
      <c r="FP2" s="75" t="s">
        <v>12876</v>
      </c>
      <c r="FQ2" s="75" t="s">
        <v>12877</v>
      </c>
      <c r="FR2" s="75" t="s">
        <v>12878</v>
      </c>
      <c r="FS2" s="75" t="s">
        <v>12879</v>
      </c>
      <c r="FT2" s="75" t="s">
        <v>12880</v>
      </c>
      <c r="FU2" s="12" t="s">
        <v>12881</v>
      </c>
      <c r="FV2" s="12" t="s">
        <v>12882</v>
      </c>
      <c r="FW2" s="75" t="s">
        <v>12883</v>
      </c>
      <c r="FX2" s="75" t="s">
        <v>12884</v>
      </c>
      <c r="FY2" s="75" t="s">
        <v>12885</v>
      </c>
      <c r="FZ2" s="75" t="s">
        <v>12886</v>
      </c>
      <c r="GA2" s="75" t="s">
        <v>12887</v>
      </c>
      <c r="GB2" s="75" t="s">
        <v>12888</v>
      </c>
      <c r="GC2" s="75" t="s">
        <v>12889</v>
      </c>
      <c r="GD2" s="75" t="s">
        <v>12890</v>
      </c>
      <c r="GE2" s="75" t="s">
        <v>12891</v>
      </c>
      <c r="GF2" s="75" t="s">
        <v>12892</v>
      </c>
      <c r="GG2" s="75" t="s">
        <v>12893</v>
      </c>
      <c r="GH2" s="75" t="s">
        <v>12894</v>
      </c>
      <c r="GI2" s="75" t="s">
        <v>12895</v>
      </c>
      <c r="GJ2" s="75" t="s">
        <v>12896</v>
      </c>
      <c r="GK2" s="12" t="s">
        <v>12897</v>
      </c>
      <c r="GL2" s="12" t="s">
        <v>12898</v>
      </c>
      <c r="GM2" s="12" t="s">
        <v>12899</v>
      </c>
      <c r="GN2" s="12" t="s">
        <v>12900</v>
      </c>
      <c r="GO2" s="12" t="s">
        <v>12901</v>
      </c>
      <c r="GP2" s="12" t="s">
        <v>12902</v>
      </c>
      <c r="GQ2" s="12" t="s">
        <v>12903</v>
      </c>
      <c r="GR2" s="12" t="s">
        <v>12904</v>
      </c>
      <c r="GS2" s="75" t="s">
        <v>12905</v>
      </c>
      <c r="GT2" s="75" t="s">
        <v>12906</v>
      </c>
      <c r="GU2" s="75" t="s">
        <v>12907</v>
      </c>
      <c r="GV2" s="75" t="s">
        <v>12908</v>
      </c>
      <c r="GW2" s="75" t="s">
        <v>12909</v>
      </c>
      <c r="GX2" s="75" t="s">
        <v>12910</v>
      </c>
      <c r="GY2" s="75" t="s">
        <v>12911</v>
      </c>
      <c r="GZ2" s="75" t="s">
        <v>12912</v>
      </c>
      <c r="HA2" s="75" t="s">
        <v>12913</v>
      </c>
      <c r="HB2" s="75" t="s">
        <v>12914</v>
      </c>
      <c r="HC2" s="12" t="s">
        <v>12915</v>
      </c>
      <c r="HD2" s="12" t="s">
        <v>12916</v>
      </c>
      <c r="HE2" s="12" t="s">
        <v>12917</v>
      </c>
      <c r="HF2" s="12" t="s">
        <v>12918</v>
      </c>
      <c r="HG2" s="12" t="s">
        <v>12919</v>
      </c>
      <c r="HH2" s="12" t="s">
        <v>12920</v>
      </c>
      <c r="HI2" s="75" t="s">
        <v>12921</v>
      </c>
      <c r="HJ2" s="75" t="s">
        <v>12922</v>
      </c>
      <c r="HK2" s="75" t="s">
        <v>12923</v>
      </c>
      <c r="HL2" s="75" t="s">
        <v>12924</v>
      </c>
      <c r="HM2" s="75" t="s">
        <v>12925</v>
      </c>
      <c r="HN2" s="75" t="s">
        <v>12926</v>
      </c>
      <c r="HO2" s="75" t="s">
        <v>12927</v>
      </c>
      <c r="HP2" s="75" t="s">
        <v>12928</v>
      </c>
      <c r="HQ2" s="75" t="s">
        <v>12929</v>
      </c>
      <c r="HR2" s="75" t="s">
        <v>12930</v>
      </c>
      <c r="HS2" s="75" t="s">
        <v>12931</v>
      </c>
      <c r="HT2" s="75" t="s">
        <v>12932</v>
      </c>
      <c r="HU2" s="75" t="s">
        <v>12933</v>
      </c>
      <c r="HV2" s="75" t="s">
        <v>12934</v>
      </c>
      <c r="HW2" s="75" t="s">
        <v>12935</v>
      </c>
      <c r="HX2" s="75" t="s">
        <v>12936</v>
      </c>
      <c r="HY2" s="12" t="s">
        <v>12937</v>
      </c>
      <c r="HZ2" s="12" t="s">
        <v>12938</v>
      </c>
      <c r="IA2" s="12" t="s">
        <v>12939</v>
      </c>
      <c r="IB2" s="12" t="s">
        <v>12940</v>
      </c>
      <c r="IC2" s="12" t="s">
        <v>12941</v>
      </c>
      <c r="ID2" s="12" t="s">
        <v>12942</v>
      </c>
      <c r="IE2" s="12" t="s">
        <v>12943</v>
      </c>
      <c r="IF2" s="12" t="s">
        <v>12944</v>
      </c>
      <c r="IG2" s="12" t="s">
        <v>12945</v>
      </c>
      <c r="IH2" s="75" t="s">
        <v>12946</v>
      </c>
      <c r="II2" s="75" t="s">
        <v>12947</v>
      </c>
      <c r="IJ2" s="75" t="s">
        <v>12948</v>
      </c>
      <c r="IK2" s="75" t="s">
        <v>12949</v>
      </c>
      <c r="IL2" s="75" t="s">
        <v>12950</v>
      </c>
      <c r="IM2" s="75" t="s">
        <v>12951</v>
      </c>
      <c r="IN2" s="75" t="s">
        <v>12952</v>
      </c>
      <c r="IO2" s="75" t="s">
        <v>12953</v>
      </c>
      <c r="IP2" s="75" t="s">
        <v>12954</v>
      </c>
      <c r="IQ2" s="75" t="s">
        <v>12955</v>
      </c>
      <c r="IR2" s="75" t="s">
        <v>12956</v>
      </c>
      <c r="IS2" s="75" t="s">
        <v>12957</v>
      </c>
      <c r="IT2" s="75" t="s">
        <v>12958</v>
      </c>
      <c r="IU2" s="75" t="s">
        <v>12959</v>
      </c>
      <c r="IV2" s="12" t="s">
        <v>12960</v>
      </c>
      <c r="IW2" s="12" t="s">
        <v>12961</v>
      </c>
      <c r="IX2" s="12" t="s">
        <v>12962</v>
      </c>
      <c r="IY2" s="12" t="s">
        <v>12963</v>
      </c>
      <c r="IZ2" s="12" t="s">
        <v>12964</v>
      </c>
      <c r="JA2" s="12" t="s">
        <v>12965</v>
      </c>
      <c r="JB2" s="12" t="s">
        <v>12966</v>
      </c>
      <c r="JC2" s="12" t="s">
        <v>12967</v>
      </c>
      <c r="JD2" s="75" t="s">
        <v>12968</v>
      </c>
      <c r="JE2" s="75" t="s">
        <v>12969</v>
      </c>
      <c r="JF2" s="75" t="s">
        <v>12970</v>
      </c>
      <c r="JG2" s="75" t="s">
        <v>12971</v>
      </c>
      <c r="JH2" s="75" t="s">
        <v>12972</v>
      </c>
      <c r="JI2" s="75" t="s">
        <v>12973</v>
      </c>
      <c r="JJ2" s="75" t="s">
        <v>12974</v>
      </c>
      <c r="JK2" s="75" t="s">
        <v>12975</v>
      </c>
      <c r="JL2" s="75" t="s">
        <v>12976</v>
      </c>
      <c r="JM2" s="75" t="s">
        <v>12977</v>
      </c>
      <c r="JN2" s="75" t="s">
        <v>12978</v>
      </c>
      <c r="JO2" s="75" t="s">
        <v>12979</v>
      </c>
      <c r="JP2" s="75" t="s">
        <v>12980</v>
      </c>
      <c r="JQ2" s="75" t="s">
        <v>12981</v>
      </c>
      <c r="JR2" s="12" t="s">
        <v>12982</v>
      </c>
      <c r="JS2" s="12" t="s">
        <v>12983</v>
      </c>
      <c r="JT2" s="12" t="s">
        <v>12984</v>
      </c>
      <c r="JU2" s="12" t="s">
        <v>12985</v>
      </c>
      <c r="JV2" s="12" t="s">
        <v>12986</v>
      </c>
      <c r="JW2" s="12" t="s">
        <v>12987</v>
      </c>
      <c r="JX2" s="12" t="s">
        <v>12988</v>
      </c>
      <c r="JY2" s="12" t="s">
        <v>12989</v>
      </c>
      <c r="JZ2" s="75" t="s">
        <v>12990</v>
      </c>
      <c r="KA2" s="75" t="s">
        <v>12991</v>
      </c>
      <c r="KB2" s="75" t="s">
        <v>12992</v>
      </c>
      <c r="KC2" s="75" t="s">
        <v>12993</v>
      </c>
      <c r="KD2" s="75" t="s">
        <v>12994</v>
      </c>
      <c r="KE2" s="75" t="s">
        <v>12995</v>
      </c>
      <c r="KF2" s="75" t="s">
        <v>12996</v>
      </c>
      <c r="KG2" s="75" t="s">
        <v>12997</v>
      </c>
      <c r="KH2" s="75" t="s">
        <v>12998</v>
      </c>
      <c r="KI2" s="75" t="s">
        <v>12999</v>
      </c>
      <c r="KJ2" s="75" t="s">
        <v>13000</v>
      </c>
      <c r="KK2" s="75" t="s">
        <v>13001</v>
      </c>
      <c r="KL2" s="75" t="s">
        <v>13002</v>
      </c>
      <c r="KM2" s="75" t="s">
        <v>13003</v>
      </c>
      <c r="KN2" s="75" t="s">
        <v>13004</v>
      </c>
      <c r="KO2" s="75" t="s">
        <v>13005</v>
      </c>
      <c r="KP2" s="75" t="s">
        <v>13006</v>
      </c>
      <c r="KQ2" s="75" t="s">
        <v>13007</v>
      </c>
      <c r="KR2" s="12" t="s">
        <v>13008</v>
      </c>
      <c r="KS2" s="12" t="s">
        <v>13009</v>
      </c>
      <c r="KT2" s="12" t="s">
        <v>13010</v>
      </c>
      <c r="KU2" s="12" t="s">
        <v>13011</v>
      </c>
      <c r="KV2" s="12" t="s">
        <v>13012</v>
      </c>
      <c r="KW2" s="12" t="s">
        <v>13013</v>
      </c>
      <c r="KX2" s="12" t="s">
        <v>13014</v>
      </c>
      <c r="KY2" s="12" t="s">
        <v>13015</v>
      </c>
      <c r="KZ2" s="12" t="s">
        <v>13016</v>
      </c>
      <c r="LA2" s="12" t="s">
        <v>13017</v>
      </c>
      <c r="LB2" s="75" t="s">
        <v>13018</v>
      </c>
      <c r="LC2" s="75" t="s">
        <v>13019</v>
      </c>
      <c r="LD2" s="75" t="s">
        <v>13020</v>
      </c>
      <c r="LE2" s="75" t="s">
        <v>13021</v>
      </c>
      <c r="LF2" s="75" t="s">
        <v>13022</v>
      </c>
      <c r="LG2" s="75" t="s">
        <v>13023</v>
      </c>
      <c r="LH2" s="75" t="s">
        <v>13024</v>
      </c>
      <c r="LI2" s="75" t="s">
        <v>13025</v>
      </c>
      <c r="LJ2" s="75" t="s">
        <v>13026</v>
      </c>
      <c r="LK2" s="75" t="s">
        <v>13027</v>
      </c>
      <c r="LL2" s="75" t="s">
        <v>13028</v>
      </c>
      <c r="LM2" s="75" t="s">
        <v>13029</v>
      </c>
      <c r="LN2" s="75" t="s">
        <v>13030</v>
      </c>
      <c r="LO2" s="75" t="s">
        <v>13031</v>
      </c>
      <c r="LP2" s="75" t="s">
        <v>13032</v>
      </c>
      <c r="LQ2" s="75" t="s">
        <v>13033</v>
      </c>
      <c r="LR2" s="12" t="s">
        <v>13034</v>
      </c>
      <c r="LS2" s="24" t="s">
        <v>14568</v>
      </c>
      <c r="LT2" s="24" t="s">
        <v>14569</v>
      </c>
      <c r="LU2" s="24" t="s">
        <v>14570</v>
      </c>
      <c r="LV2" s="24" t="s">
        <v>14571</v>
      </c>
      <c r="LW2" s="24" t="s">
        <v>14572</v>
      </c>
      <c r="LX2" s="24" t="s">
        <v>14573</v>
      </c>
      <c r="LY2" s="24" t="s">
        <v>14574</v>
      </c>
      <c r="LZ2" s="24" t="s">
        <v>14575</v>
      </c>
      <c r="MA2" s="75" t="s">
        <v>13035</v>
      </c>
    </row>
    <row r="3" spans="1:339" ht="25.5" x14ac:dyDescent="0.2">
      <c r="A3" s="8" t="s">
        <v>152</v>
      </c>
      <c r="B3" s="9" t="s">
        <v>25</v>
      </c>
      <c r="C3" s="9" t="s">
        <v>25</v>
      </c>
      <c r="D3" s="9" t="s">
        <v>25</v>
      </c>
      <c r="E3" s="9" t="s">
        <v>25</v>
      </c>
      <c r="F3" s="9" t="s">
        <v>25</v>
      </c>
      <c r="G3" s="9" t="s">
        <v>25</v>
      </c>
      <c r="H3" s="9" t="s">
        <v>25</v>
      </c>
      <c r="I3" s="9" t="s">
        <v>25</v>
      </c>
      <c r="J3" s="9" t="s">
        <v>25</v>
      </c>
      <c r="L3" s="9" t="s">
        <v>3279</v>
      </c>
      <c r="N3" s="9" t="s">
        <v>3279</v>
      </c>
      <c r="P3" s="9" t="s">
        <v>3407</v>
      </c>
      <c r="R3" s="9" t="s">
        <v>3280</v>
      </c>
      <c r="T3" s="9" t="s">
        <v>3280</v>
      </c>
      <c r="V3" s="9" t="s">
        <v>3783</v>
      </c>
      <c r="X3" s="9" t="s">
        <v>25</v>
      </c>
      <c r="AE3" s="9" t="s">
        <v>3488</v>
      </c>
      <c r="AG3" s="9" t="s">
        <v>3285</v>
      </c>
      <c r="AI3" s="9" t="s">
        <v>3488</v>
      </c>
      <c r="AK3" s="9" t="s">
        <v>3999</v>
      </c>
      <c r="AM3" s="9" t="s">
        <v>3285</v>
      </c>
      <c r="AO3" s="9" t="s">
        <v>3287</v>
      </c>
      <c r="AQ3" s="9" t="s">
        <v>3287</v>
      </c>
      <c r="AS3" s="9" t="s">
        <v>3287</v>
      </c>
      <c r="AU3" s="9" t="s">
        <v>25</v>
      </c>
      <c r="BD3" s="9" t="s">
        <v>3649</v>
      </c>
      <c r="BF3" s="9" t="s">
        <v>3649</v>
      </c>
      <c r="BH3" s="9" t="s">
        <v>3649</v>
      </c>
      <c r="BJ3" s="9" t="s">
        <v>3649</v>
      </c>
      <c r="BL3" s="9" t="s">
        <v>25</v>
      </c>
      <c r="BQ3" s="9" t="s">
        <v>53</v>
      </c>
      <c r="BS3" s="9" t="s">
        <v>3341</v>
      </c>
      <c r="BU3" s="9" t="s">
        <v>3287</v>
      </c>
      <c r="BW3" s="9" t="s">
        <v>612</v>
      </c>
      <c r="BX3" s="9" t="s">
        <v>3492</v>
      </c>
      <c r="BY3" s="9" t="s">
        <v>25</v>
      </c>
      <c r="CD3" s="9" t="s">
        <v>3567</v>
      </c>
      <c r="CF3" s="9" t="s">
        <v>3349</v>
      </c>
      <c r="CH3" s="9" t="s">
        <v>3349</v>
      </c>
      <c r="CJ3" s="9" t="s">
        <v>3292</v>
      </c>
      <c r="CL3" s="9" t="s">
        <v>3293</v>
      </c>
      <c r="CN3" s="9" t="s">
        <v>3349</v>
      </c>
      <c r="CP3" s="9" t="s">
        <v>3287</v>
      </c>
      <c r="CR3" s="9" t="s">
        <v>28</v>
      </c>
      <c r="CS3" s="9" t="s">
        <v>4000</v>
      </c>
      <c r="CT3" s="9" t="s">
        <v>3359</v>
      </c>
      <c r="CU3" s="9" t="s">
        <v>4000</v>
      </c>
      <c r="CX3" s="9" t="s">
        <v>4001</v>
      </c>
      <c r="CY3" s="9" t="s">
        <v>3497</v>
      </c>
      <c r="DA3" s="9" t="s">
        <v>3287</v>
      </c>
      <c r="DC3" s="9" t="s">
        <v>3297</v>
      </c>
      <c r="DE3" s="9" t="s">
        <v>3287</v>
      </c>
      <c r="DG3" s="9" t="s">
        <v>3287</v>
      </c>
      <c r="DI3" s="9" t="s">
        <v>3287</v>
      </c>
      <c r="DK3" s="9" t="s">
        <v>3287</v>
      </c>
      <c r="DM3" s="9" t="s">
        <v>3287</v>
      </c>
      <c r="DO3" s="9" t="s">
        <v>3287</v>
      </c>
      <c r="DQ3" s="9" t="s">
        <v>3287</v>
      </c>
      <c r="DS3" s="9" t="s">
        <v>3297</v>
      </c>
      <c r="DU3" s="9" t="s">
        <v>3297</v>
      </c>
      <c r="DW3" s="9" t="s">
        <v>3297</v>
      </c>
      <c r="DY3" s="9" t="s">
        <v>3297</v>
      </c>
      <c r="EA3" s="9" t="s">
        <v>3297</v>
      </c>
      <c r="EC3" s="9" t="s">
        <v>3287</v>
      </c>
      <c r="EE3" s="9" t="s">
        <v>612</v>
      </c>
      <c r="EF3" s="9" t="s">
        <v>4002</v>
      </c>
      <c r="EG3" s="9" t="s">
        <v>25</v>
      </c>
      <c r="EY3" s="9" t="s">
        <v>3287</v>
      </c>
      <c r="FA3" s="9" t="s">
        <v>3287</v>
      </c>
      <c r="FC3" s="9" t="s">
        <v>3287</v>
      </c>
      <c r="FE3" s="9" t="s">
        <v>3839</v>
      </c>
      <c r="FG3" s="9" t="s">
        <v>3297</v>
      </c>
      <c r="FI3" s="9" t="s">
        <v>3287</v>
      </c>
      <c r="FK3" s="9" t="s">
        <v>3287</v>
      </c>
      <c r="FM3" s="9" t="s">
        <v>25</v>
      </c>
      <c r="FU3" s="9" t="s">
        <v>25</v>
      </c>
      <c r="FW3" s="9" t="s">
        <v>3322</v>
      </c>
      <c r="FY3" s="9" t="s">
        <v>3287</v>
      </c>
      <c r="GA3" s="9" t="s">
        <v>3287</v>
      </c>
      <c r="GC3" s="9" t="s">
        <v>3317</v>
      </c>
      <c r="GE3" s="9" t="s">
        <v>3287</v>
      </c>
      <c r="GG3" s="9" t="s">
        <v>3317</v>
      </c>
      <c r="GI3" s="9" t="s">
        <v>3397</v>
      </c>
      <c r="GK3" s="9" t="s">
        <v>25</v>
      </c>
      <c r="GS3" s="9" t="s">
        <v>3508</v>
      </c>
      <c r="GU3" s="9" t="s">
        <v>3508</v>
      </c>
      <c r="GW3" s="9" t="s">
        <v>3287</v>
      </c>
      <c r="GY3" s="9" t="s">
        <v>3287</v>
      </c>
      <c r="HA3" s="9" t="s">
        <v>3508</v>
      </c>
      <c r="HC3" s="9" t="s">
        <v>28</v>
      </c>
      <c r="HD3" s="9" t="s">
        <v>4003</v>
      </c>
      <c r="HE3" s="9" t="s">
        <v>3389</v>
      </c>
      <c r="HF3" s="9" t="s">
        <v>3808</v>
      </c>
      <c r="HG3" s="9" t="s">
        <v>3808</v>
      </c>
      <c r="HH3" s="9" t="s">
        <v>4004</v>
      </c>
      <c r="HI3" s="9" t="s">
        <v>3488</v>
      </c>
      <c r="HK3" s="9" t="s">
        <v>3488</v>
      </c>
      <c r="HM3" s="9" t="s">
        <v>3488</v>
      </c>
      <c r="HO3" s="9" t="s">
        <v>3279</v>
      </c>
      <c r="HQ3" s="9" t="s">
        <v>3348</v>
      </c>
      <c r="HS3" s="9" t="s">
        <v>3279</v>
      </c>
      <c r="HU3" s="9" t="s">
        <v>3488</v>
      </c>
      <c r="HW3" s="9" t="s">
        <v>3488</v>
      </c>
      <c r="HY3" s="9" t="s">
        <v>28</v>
      </c>
      <c r="HZ3" s="9" t="s">
        <v>4005</v>
      </c>
      <c r="IA3" s="9" t="s">
        <v>4005</v>
      </c>
      <c r="IB3" s="9" t="s">
        <v>4005</v>
      </c>
      <c r="IF3" s="9" t="s">
        <v>4005</v>
      </c>
      <c r="IG3" s="9" t="s">
        <v>4005</v>
      </c>
      <c r="IH3" s="9" t="s">
        <v>3322</v>
      </c>
      <c r="IJ3" s="9" t="s">
        <v>3323</v>
      </c>
      <c r="IL3" s="9" t="s">
        <v>3322</v>
      </c>
      <c r="IN3" s="9" t="s">
        <v>3322</v>
      </c>
      <c r="IP3" s="9" t="s">
        <v>3322</v>
      </c>
      <c r="IR3" s="9" t="s">
        <v>3322</v>
      </c>
      <c r="IT3" s="9" t="s">
        <v>3350</v>
      </c>
      <c r="IV3" s="9" t="s">
        <v>25</v>
      </c>
      <c r="JD3" s="9" t="s">
        <v>3424</v>
      </c>
      <c r="JF3" s="9" t="s">
        <v>3425</v>
      </c>
      <c r="JH3" s="9" t="s">
        <v>3640</v>
      </c>
      <c r="JJ3" s="9" t="s">
        <v>3424</v>
      </c>
      <c r="JL3" s="9" t="s">
        <v>3424</v>
      </c>
      <c r="JN3" s="9" t="s">
        <v>3287</v>
      </c>
      <c r="JP3" s="9" t="s">
        <v>3287</v>
      </c>
      <c r="JR3" s="9" t="s">
        <v>25</v>
      </c>
      <c r="JZ3" s="9" t="s">
        <v>3397</v>
      </c>
      <c r="KB3" s="9" t="s">
        <v>3456</v>
      </c>
      <c r="KD3" s="9" t="s">
        <v>3457</v>
      </c>
      <c r="KF3" s="9" t="s">
        <v>3287</v>
      </c>
      <c r="KH3" s="9" t="s">
        <v>3287</v>
      </c>
      <c r="KJ3" s="9" t="s">
        <v>3352</v>
      </c>
      <c r="KL3" s="9" t="s">
        <v>3287</v>
      </c>
      <c r="KN3" s="9" t="s">
        <v>3287</v>
      </c>
      <c r="KP3" s="9" t="s">
        <v>3287</v>
      </c>
      <c r="KR3" s="9" t="s">
        <v>25</v>
      </c>
      <c r="LB3" s="9" t="s">
        <v>3287</v>
      </c>
      <c r="LD3" s="9" t="s">
        <v>4006</v>
      </c>
      <c r="LF3" s="9" t="s">
        <v>3287</v>
      </c>
      <c r="LH3" s="9" t="s">
        <v>3287</v>
      </c>
      <c r="LJ3" s="9" t="s">
        <v>3465</v>
      </c>
      <c r="LL3" s="9" t="s">
        <v>3287</v>
      </c>
      <c r="LN3" s="9" t="s">
        <v>3287</v>
      </c>
      <c r="LP3" s="9" t="s">
        <v>3287</v>
      </c>
      <c r="MA3" s="9" t="s">
        <v>4007</v>
      </c>
    </row>
    <row r="4" spans="1:339" ht="63.75" x14ac:dyDescent="0.2">
      <c r="A4" s="8" t="s">
        <v>133</v>
      </c>
      <c r="B4" s="9" t="s">
        <v>25</v>
      </c>
      <c r="C4" s="9" t="s">
        <v>25</v>
      </c>
      <c r="D4" s="9" t="s">
        <v>25</v>
      </c>
      <c r="E4" s="9" t="s">
        <v>25</v>
      </c>
      <c r="F4" s="9" t="s">
        <v>25</v>
      </c>
      <c r="G4" s="9" t="s">
        <v>25</v>
      </c>
      <c r="H4" s="9" t="s">
        <v>25</v>
      </c>
      <c r="I4" s="9" t="s">
        <v>25</v>
      </c>
      <c r="L4" s="9" t="s">
        <v>3279</v>
      </c>
      <c r="N4" s="9" t="s">
        <v>3617</v>
      </c>
      <c r="P4" s="9" t="s">
        <v>3381</v>
      </c>
      <c r="R4" s="9" t="s">
        <v>3279</v>
      </c>
      <c r="T4" s="9" t="s">
        <v>3279</v>
      </c>
      <c r="V4" s="9" t="s">
        <v>3287</v>
      </c>
      <c r="X4" s="9" t="s">
        <v>25</v>
      </c>
      <c r="AE4" s="9" t="s">
        <v>3646</v>
      </c>
      <c r="AG4" s="9" t="s">
        <v>3541</v>
      </c>
      <c r="AI4" s="9" t="s">
        <v>3339</v>
      </c>
      <c r="AK4" s="9" t="s">
        <v>3407</v>
      </c>
      <c r="AM4" s="9" t="s">
        <v>3541</v>
      </c>
      <c r="AO4" s="9" t="s">
        <v>3647</v>
      </c>
      <c r="AP4" s="9" t="s">
        <v>3648</v>
      </c>
      <c r="AQ4" s="9" t="s">
        <v>3339</v>
      </c>
      <c r="AS4" s="9" t="s">
        <v>3287</v>
      </c>
      <c r="AU4" s="9" t="s">
        <v>25</v>
      </c>
      <c r="BD4" s="9" t="s">
        <v>3649</v>
      </c>
      <c r="BF4" s="9" t="s">
        <v>3649</v>
      </c>
      <c r="BH4" s="9" t="s">
        <v>3649</v>
      </c>
      <c r="BJ4" s="9" t="s">
        <v>3287</v>
      </c>
      <c r="BL4" s="9" t="s">
        <v>25</v>
      </c>
      <c r="BQ4" s="9" t="s">
        <v>53</v>
      </c>
      <c r="BS4" s="9" t="s">
        <v>53</v>
      </c>
      <c r="BU4" s="9" t="s">
        <v>612</v>
      </c>
      <c r="BV4" s="9" t="s">
        <v>3650</v>
      </c>
      <c r="BW4" s="9" t="s">
        <v>3339</v>
      </c>
      <c r="BY4" s="9" t="s">
        <v>25</v>
      </c>
      <c r="CD4" s="9" t="s">
        <v>3651</v>
      </c>
      <c r="CE4" s="9" t="s">
        <v>3652</v>
      </c>
      <c r="CF4" s="9" t="s">
        <v>3546</v>
      </c>
      <c r="CH4" s="9" t="s">
        <v>3360</v>
      </c>
      <c r="CJ4" s="9" t="s">
        <v>3292</v>
      </c>
      <c r="CL4" s="9" t="s">
        <v>3293</v>
      </c>
      <c r="CN4" s="9" t="s">
        <v>3287</v>
      </c>
      <c r="CP4" s="9" t="s">
        <v>3287</v>
      </c>
      <c r="CR4" s="9" t="s">
        <v>25</v>
      </c>
      <c r="CY4" s="9" t="s">
        <v>612</v>
      </c>
      <c r="CZ4" s="9" t="s">
        <v>3653</v>
      </c>
      <c r="DA4" s="9" t="s">
        <v>3654</v>
      </c>
      <c r="DC4" s="9" t="s">
        <v>3655</v>
      </c>
      <c r="DE4" s="9" t="s">
        <v>3656</v>
      </c>
      <c r="DF4" s="9" t="s">
        <v>3657</v>
      </c>
      <c r="DG4" s="9" t="s">
        <v>3287</v>
      </c>
      <c r="DI4" s="9" t="s">
        <v>612</v>
      </c>
      <c r="DJ4" s="9" t="s">
        <v>3658</v>
      </c>
      <c r="DK4" s="9" t="s">
        <v>3415</v>
      </c>
      <c r="DM4" s="9" t="s">
        <v>3415</v>
      </c>
      <c r="DO4" s="9" t="s">
        <v>3659</v>
      </c>
      <c r="DP4" s="9" t="s">
        <v>3660</v>
      </c>
      <c r="DQ4" s="9" t="s">
        <v>3659</v>
      </c>
      <c r="DR4" s="9" t="s">
        <v>3658</v>
      </c>
      <c r="DS4" s="9" t="s">
        <v>3303</v>
      </c>
      <c r="DT4" s="9" t="s">
        <v>3661</v>
      </c>
      <c r="DU4" s="9" t="s">
        <v>3360</v>
      </c>
      <c r="DW4" s="9" t="s">
        <v>3662</v>
      </c>
      <c r="DX4" s="9" t="s">
        <v>3444</v>
      </c>
      <c r="DY4" s="9" t="s">
        <v>3663</v>
      </c>
      <c r="EA4" s="9" t="s">
        <v>3664</v>
      </c>
      <c r="EC4" s="9" t="s">
        <v>3665</v>
      </c>
      <c r="ED4" s="9" t="s">
        <v>3666</v>
      </c>
      <c r="EE4" s="9" t="s">
        <v>3667</v>
      </c>
      <c r="EG4" s="9" t="s">
        <v>28</v>
      </c>
      <c r="ET4" s="9" t="s">
        <v>3668</v>
      </c>
      <c r="EY4" s="9" t="s">
        <v>612</v>
      </c>
      <c r="EZ4" s="9" t="s">
        <v>3669</v>
      </c>
      <c r="FA4" s="9" t="s">
        <v>3287</v>
      </c>
      <c r="FC4" s="9" t="s">
        <v>3287</v>
      </c>
      <c r="FE4" s="9" t="s">
        <v>3670</v>
      </c>
      <c r="FG4" s="9" t="s">
        <v>3671</v>
      </c>
      <c r="FI4" s="9" t="s">
        <v>3287</v>
      </c>
      <c r="FK4" s="9" t="s">
        <v>3287</v>
      </c>
      <c r="FM4" s="9" t="s">
        <v>25</v>
      </c>
      <c r="FU4" s="9" t="s">
        <v>25</v>
      </c>
      <c r="FW4" s="9" t="s">
        <v>14006</v>
      </c>
      <c r="FY4" s="9" t="s">
        <v>612</v>
      </c>
      <c r="FZ4" s="9" t="s">
        <v>3672</v>
      </c>
      <c r="GA4" s="9" t="s">
        <v>3673</v>
      </c>
      <c r="GC4" s="9" t="s">
        <v>3556</v>
      </c>
      <c r="GE4" s="9" t="s">
        <v>3674</v>
      </c>
      <c r="GG4" s="9" t="s">
        <v>3317</v>
      </c>
      <c r="GI4" s="9" t="s">
        <v>3287</v>
      </c>
      <c r="GK4" s="9" t="s">
        <v>25</v>
      </c>
      <c r="GS4" s="9" t="s">
        <v>3339</v>
      </c>
      <c r="GU4" s="9" t="s">
        <v>3339</v>
      </c>
      <c r="GW4" s="9" t="s">
        <v>3339</v>
      </c>
      <c r="GY4" s="9" t="s">
        <v>3287</v>
      </c>
      <c r="HA4" s="9" t="s">
        <v>612</v>
      </c>
      <c r="HB4" s="9" t="s">
        <v>3654</v>
      </c>
      <c r="HC4" s="9" t="s">
        <v>25</v>
      </c>
      <c r="HI4" s="9" t="s">
        <v>3420</v>
      </c>
      <c r="HK4" s="9" t="s">
        <v>3420</v>
      </c>
      <c r="HM4" s="9" t="s">
        <v>3339</v>
      </c>
      <c r="HO4" s="9" t="s">
        <v>3279</v>
      </c>
      <c r="HQ4" s="9" t="s">
        <v>3422</v>
      </c>
      <c r="HS4" s="9" t="s">
        <v>3279</v>
      </c>
      <c r="HU4" s="9" t="s">
        <v>3420</v>
      </c>
      <c r="HW4" s="9" t="s">
        <v>3339</v>
      </c>
      <c r="HY4" s="9" t="s">
        <v>25</v>
      </c>
      <c r="IH4" s="9" t="s">
        <v>3373</v>
      </c>
      <c r="IJ4" s="9" t="s">
        <v>3323</v>
      </c>
      <c r="IL4" s="9" t="s">
        <v>3322</v>
      </c>
      <c r="IN4" s="9" t="s">
        <v>3322</v>
      </c>
      <c r="IP4" s="9" t="s">
        <v>3322</v>
      </c>
      <c r="IR4" s="9" t="s">
        <v>3322</v>
      </c>
      <c r="IT4" s="9" t="s">
        <v>3513</v>
      </c>
      <c r="IV4" s="9" t="s">
        <v>25</v>
      </c>
      <c r="JD4" s="9" t="s">
        <v>3347</v>
      </c>
      <c r="JF4" s="9" t="s">
        <v>3287</v>
      </c>
      <c r="JH4" s="9" t="s">
        <v>3287</v>
      </c>
      <c r="JJ4" s="9" t="s">
        <v>3347</v>
      </c>
      <c r="JL4" s="9" t="s">
        <v>3675</v>
      </c>
      <c r="JM4" s="9" t="s">
        <v>3666</v>
      </c>
      <c r="JN4" s="9" t="s">
        <v>3675</v>
      </c>
      <c r="JO4" s="9" t="s">
        <v>3666</v>
      </c>
      <c r="JP4" s="9" t="s">
        <v>3287</v>
      </c>
      <c r="JR4" s="9" t="s">
        <v>25</v>
      </c>
      <c r="JZ4" s="9" t="s">
        <v>3287</v>
      </c>
      <c r="KB4" s="9" t="s">
        <v>3328</v>
      </c>
      <c r="KD4" s="9" t="s">
        <v>3457</v>
      </c>
      <c r="KF4" s="9" t="s">
        <v>3287</v>
      </c>
      <c r="KJ4" s="9" t="s">
        <v>3330</v>
      </c>
      <c r="KL4" s="9" t="s">
        <v>3287</v>
      </c>
      <c r="KN4" s="9" t="s">
        <v>3329</v>
      </c>
      <c r="KP4" s="9" t="s">
        <v>3287</v>
      </c>
      <c r="LB4" s="9" t="s">
        <v>3676</v>
      </c>
      <c r="LD4" s="9" t="s">
        <v>3677</v>
      </c>
      <c r="LE4" s="9" t="s">
        <v>3678</v>
      </c>
      <c r="LF4" s="9" t="s">
        <v>3335</v>
      </c>
      <c r="LH4" s="9" t="s">
        <v>3679</v>
      </c>
      <c r="LJ4" s="9" t="s">
        <v>3287</v>
      </c>
      <c r="LL4" s="9" t="s">
        <v>3587</v>
      </c>
      <c r="LN4" s="9" t="s">
        <v>3680</v>
      </c>
      <c r="LP4" s="9" t="s">
        <v>612</v>
      </c>
      <c r="LQ4" s="9" t="s">
        <v>3681</v>
      </c>
      <c r="LR4" s="9" t="s">
        <v>25</v>
      </c>
      <c r="MA4" s="9" t="s">
        <v>3682</v>
      </c>
    </row>
    <row r="5" spans="1:339" ht="25.5" x14ac:dyDescent="0.2">
      <c r="A5" s="8" t="s">
        <v>156</v>
      </c>
      <c r="B5" s="9" t="s">
        <v>25</v>
      </c>
      <c r="C5" s="9" t="s">
        <v>25</v>
      </c>
      <c r="D5" s="9" t="s">
        <v>25</v>
      </c>
      <c r="E5" s="9" t="s">
        <v>25</v>
      </c>
      <c r="F5" s="9" t="s">
        <v>25</v>
      </c>
      <c r="G5" s="9" t="s">
        <v>25</v>
      </c>
      <c r="H5" s="9" t="s">
        <v>25</v>
      </c>
      <c r="I5" s="9" t="s">
        <v>25</v>
      </c>
      <c r="J5" s="9" t="s">
        <v>25</v>
      </c>
      <c r="L5" s="9" t="s">
        <v>3339</v>
      </c>
      <c r="N5" s="9" t="s">
        <v>3339</v>
      </c>
      <c r="P5" s="9" t="s">
        <v>3339</v>
      </c>
      <c r="R5" s="9" t="s">
        <v>3279</v>
      </c>
      <c r="T5" s="9" t="s">
        <v>3279</v>
      </c>
      <c r="V5" s="9" t="s">
        <v>3279</v>
      </c>
      <c r="X5" s="9" t="s">
        <v>25</v>
      </c>
      <c r="AE5" s="9" t="s">
        <v>3339</v>
      </c>
      <c r="AG5" s="9" t="s">
        <v>3339</v>
      </c>
      <c r="AI5" s="9" t="s">
        <v>3339</v>
      </c>
      <c r="AK5" s="9" t="s">
        <v>3339</v>
      </c>
      <c r="AM5" s="9" t="s">
        <v>3287</v>
      </c>
      <c r="AO5" s="9" t="s">
        <v>3286</v>
      </c>
      <c r="AQ5" s="9" t="s">
        <v>3287</v>
      </c>
      <c r="AS5" s="9" t="s">
        <v>3287</v>
      </c>
      <c r="AU5" s="9" t="s">
        <v>25</v>
      </c>
      <c r="BD5" s="9" t="s">
        <v>3342</v>
      </c>
      <c r="BF5" s="9" t="s">
        <v>3342</v>
      </c>
      <c r="BH5" s="9" t="s">
        <v>3342</v>
      </c>
      <c r="BJ5" s="9" t="s">
        <v>3342</v>
      </c>
      <c r="BL5" s="9" t="s">
        <v>25</v>
      </c>
      <c r="BQ5" s="9" t="s">
        <v>4071</v>
      </c>
      <c r="BS5" s="9" t="s">
        <v>103</v>
      </c>
      <c r="BU5" s="9" t="s">
        <v>3287</v>
      </c>
      <c r="BW5" s="9" t="s">
        <v>3785</v>
      </c>
      <c r="BY5" s="9" t="s">
        <v>25</v>
      </c>
      <c r="CD5" s="9" t="s">
        <v>14565</v>
      </c>
      <c r="CF5" s="9" t="s">
        <v>3411</v>
      </c>
      <c r="CH5" s="9" t="s">
        <v>3412</v>
      </c>
      <c r="CJ5" s="9" t="s">
        <v>3397</v>
      </c>
      <c r="CL5" s="9" t="s">
        <v>3293</v>
      </c>
      <c r="CN5" s="9" t="s">
        <v>4072</v>
      </c>
      <c r="CP5" s="9" t="s">
        <v>3287</v>
      </c>
      <c r="CR5" s="9" t="s">
        <v>25</v>
      </c>
      <c r="CY5" s="9" t="s">
        <v>4073</v>
      </c>
      <c r="DA5" s="9" t="s">
        <v>4073</v>
      </c>
      <c r="DC5" s="9" t="s">
        <v>3297</v>
      </c>
      <c r="DE5" s="9" t="s">
        <v>3297</v>
      </c>
      <c r="DG5" s="9" t="s">
        <v>3499</v>
      </c>
      <c r="DI5" s="9" t="s">
        <v>3287</v>
      </c>
      <c r="DK5" s="9" t="s">
        <v>3287</v>
      </c>
      <c r="DM5" s="9" t="s">
        <v>3287</v>
      </c>
      <c r="DO5" s="9" t="s">
        <v>3287</v>
      </c>
      <c r="DQ5" s="9" t="s">
        <v>3287</v>
      </c>
      <c r="DS5" s="9" t="s">
        <v>4074</v>
      </c>
      <c r="DU5" s="9" t="s">
        <v>3417</v>
      </c>
      <c r="DW5" s="9" t="s">
        <v>3297</v>
      </c>
      <c r="DY5" s="9" t="s">
        <v>3297</v>
      </c>
      <c r="EA5" s="9" t="s">
        <v>3297</v>
      </c>
      <c r="EC5" s="9" t="s">
        <v>3364</v>
      </c>
      <c r="EE5" s="9" t="s">
        <v>3287</v>
      </c>
      <c r="EG5" s="9" t="s">
        <v>25</v>
      </c>
      <c r="EY5" s="9" t="s">
        <v>3297</v>
      </c>
      <c r="FA5" s="9" t="s">
        <v>3287</v>
      </c>
      <c r="FC5" s="9" t="s">
        <v>3287</v>
      </c>
      <c r="FE5" s="9" t="s">
        <v>4075</v>
      </c>
      <c r="FG5" s="9" t="s">
        <v>3297</v>
      </c>
      <c r="FI5" s="9" t="s">
        <v>3287</v>
      </c>
      <c r="FK5" s="9" t="s">
        <v>3297</v>
      </c>
      <c r="FM5" s="9" t="s">
        <v>25</v>
      </c>
      <c r="FU5" s="9" t="s">
        <v>25</v>
      </c>
      <c r="FW5" s="9" t="s">
        <v>612</v>
      </c>
      <c r="FX5" s="9" t="s">
        <v>4076</v>
      </c>
      <c r="FY5" s="9" t="s">
        <v>4077</v>
      </c>
      <c r="GA5" s="9" t="s">
        <v>4078</v>
      </c>
      <c r="GC5" s="9" t="s">
        <v>3556</v>
      </c>
      <c r="GE5" s="9" t="s">
        <v>3559</v>
      </c>
      <c r="GG5" s="9" t="s">
        <v>3287</v>
      </c>
      <c r="GI5" s="9" t="s">
        <v>3287</v>
      </c>
      <c r="GK5" s="9" t="s">
        <v>25</v>
      </c>
      <c r="GS5" s="9" t="s">
        <v>3339</v>
      </c>
      <c r="GU5" s="9" t="s">
        <v>3339</v>
      </c>
      <c r="GW5" s="9" t="s">
        <v>3287</v>
      </c>
      <c r="GY5" s="9" t="s">
        <v>3287</v>
      </c>
      <c r="HA5" s="9" t="s">
        <v>3287</v>
      </c>
      <c r="HC5" s="9" t="s">
        <v>25</v>
      </c>
      <c r="HI5" s="9" t="s">
        <v>3420</v>
      </c>
      <c r="HK5" s="9" t="s">
        <v>4066</v>
      </c>
      <c r="HM5" s="9" t="s">
        <v>3339</v>
      </c>
      <c r="HO5" s="9" t="s">
        <v>3287</v>
      </c>
      <c r="HQ5" s="9" t="s">
        <v>4079</v>
      </c>
      <c r="HS5" s="9" t="s">
        <v>3287</v>
      </c>
      <c r="HU5" s="9" t="s">
        <v>1265</v>
      </c>
      <c r="HW5" s="9" t="s">
        <v>3339</v>
      </c>
      <c r="HY5" s="9" t="s">
        <v>28</v>
      </c>
      <c r="IB5" s="9" t="s">
        <v>4080</v>
      </c>
      <c r="IG5" s="9" t="s">
        <v>4080</v>
      </c>
      <c r="IH5" s="9" t="s">
        <v>3397</v>
      </c>
      <c r="IJ5" s="9" t="s">
        <v>3349</v>
      </c>
      <c r="IL5" s="9" t="s">
        <v>3579</v>
      </c>
      <c r="IN5" s="9" t="s">
        <v>3579</v>
      </c>
      <c r="IP5" s="9" t="s">
        <v>3579</v>
      </c>
      <c r="IR5" s="9" t="s">
        <v>3579</v>
      </c>
      <c r="IT5" s="9" t="s">
        <v>3324</v>
      </c>
      <c r="IV5" s="9" t="s">
        <v>25</v>
      </c>
      <c r="JD5" s="9" t="s">
        <v>3347</v>
      </c>
      <c r="JF5" s="9" t="s">
        <v>3279</v>
      </c>
      <c r="JH5" s="9" t="s">
        <v>3287</v>
      </c>
      <c r="JJ5" s="9" t="s">
        <v>3347</v>
      </c>
      <c r="JL5" s="9" t="s">
        <v>4081</v>
      </c>
      <c r="JN5" s="9" t="s">
        <v>3718</v>
      </c>
      <c r="JO5" s="9" t="s">
        <v>2205</v>
      </c>
      <c r="JP5" s="9" t="s">
        <v>3287</v>
      </c>
      <c r="JR5" s="9" t="s">
        <v>25</v>
      </c>
      <c r="JZ5" s="9" t="s">
        <v>4050</v>
      </c>
      <c r="KB5" s="9" t="s">
        <v>3456</v>
      </c>
      <c r="KD5" s="9" t="s">
        <v>4050</v>
      </c>
      <c r="KF5" s="9" t="s">
        <v>3287</v>
      </c>
      <c r="KH5" s="9" t="s">
        <v>612</v>
      </c>
      <c r="KI5" s="9" t="s">
        <v>4082</v>
      </c>
      <c r="KJ5" s="9" t="s">
        <v>3287</v>
      </c>
      <c r="KL5" s="9" t="s">
        <v>4083</v>
      </c>
      <c r="KN5" s="9" t="s">
        <v>3643</v>
      </c>
      <c r="KP5" s="9" t="s">
        <v>3332</v>
      </c>
      <c r="KR5" s="9" t="s">
        <v>25</v>
      </c>
      <c r="LB5" s="9" t="s">
        <v>3644</v>
      </c>
      <c r="LD5" s="9" t="s">
        <v>3287</v>
      </c>
      <c r="LF5" s="9" t="s">
        <v>3287</v>
      </c>
      <c r="LH5" s="9" t="s">
        <v>3287</v>
      </c>
      <c r="LJ5" s="9" t="s">
        <v>3287</v>
      </c>
      <c r="LL5" s="9" t="s">
        <v>3587</v>
      </c>
      <c r="LN5" s="9" t="s">
        <v>3287</v>
      </c>
      <c r="LP5" s="9" t="s">
        <v>3287</v>
      </c>
      <c r="LR5" s="9" t="s">
        <v>25</v>
      </c>
      <c r="MA5" s="9" t="s">
        <v>3338</v>
      </c>
    </row>
    <row r="6" spans="1:339" ht="51" x14ac:dyDescent="0.2">
      <c r="A6" s="8" t="s">
        <v>179</v>
      </c>
      <c r="B6" s="9" t="s">
        <v>28</v>
      </c>
      <c r="C6" s="9" t="s">
        <v>28</v>
      </c>
      <c r="D6" s="9" t="s">
        <v>25</v>
      </c>
      <c r="E6" s="9" t="s">
        <v>25</v>
      </c>
      <c r="F6" s="9" t="s">
        <v>25</v>
      </c>
      <c r="G6" s="9" t="s">
        <v>28</v>
      </c>
      <c r="H6" s="9" t="s">
        <v>28</v>
      </c>
      <c r="I6" s="9" t="s">
        <v>25</v>
      </c>
      <c r="L6" s="9" t="s">
        <v>4394</v>
      </c>
      <c r="N6" s="9" t="s">
        <v>4395</v>
      </c>
      <c r="P6" s="9" t="s">
        <v>3962</v>
      </c>
      <c r="R6" s="9" t="s">
        <v>3355</v>
      </c>
      <c r="T6" s="9" t="s">
        <v>4010</v>
      </c>
      <c r="V6" s="9" t="s">
        <v>3287</v>
      </c>
      <c r="X6" s="9" t="s">
        <v>28</v>
      </c>
      <c r="Y6" s="9" t="s">
        <v>4396</v>
      </c>
      <c r="Z6" s="9" t="s">
        <v>4396</v>
      </c>
      <c r="AE6" s="9" t="s">
        <v>4397</v>
      </c>
      <c r="AG6" s="9" t="s">
        <v>4398</v>
      </c>
      <c r="AI6" s="9" t="s">
        <v>4399</v>
      </c>
      <c r="AJ6" s="9" t="s">
        <v>4400</v>
      </c>
      <c r="AK6" s="9" t="s">
        <v>4398</v>
      </c>
      <c r="AM6" s="9" t="s">
        <v>3287</v>
      </c>
      <c r="AO6" s="9" t="s">
        <v>3287</v>
      </c>
      <c r="AQ6" s="9" t="s">
        <v>612</v>
      </c>
      <c r="AR6" s="9" t="s">
        <v>4401</v>
      </c>
      <c r="AS6" s="9" t="s">
        <v>53</v>
      </c>
      <c r="AU6" s="9" t="s">
        <v>25</v>
      </c>
      <c r="BD6" s="9" t="s">
        <v>3287</v>
      </c>
      <c r="BF6" s="9" t="s">
        <v>3287</v>
      </c>
      <c r="BH6" s="9" t="s">
        <v>612</v>
      </c>
      <c r="BI6" s="9" t="s">
        <v>4402</v>
      </c>
      <c r="BJ6" s="9" t="s">
        <v>3287</v>
      </c>
      <c r="BL6" s="9" t="s">
        <v>25</v>
      </c>
      <c r="BQ6" s="9" t="s">
        <v>53</v>
      </c>
      <c r="BS6" s="9" t="s">
        <v>53</v>
      </c>
      <c r="BU6" s="9" t="s">
        <v>3287</v>
      </c>
      <c r="BW6" s="9" t="s">
        <v>3988</v>
      </c>
      <c r="BX6" s="9" t="s">
        <v>4401</v>
      </c>
      <c r="BY6" s="9" t="s">
        <v>25</v>
      </c>
      <c r="CD6" s="9" t="s">
        <v>13587</v>
      </c>
      <c r="CF6" s="9" t="s">
        <v>3567</v>
      </c>
      <c r="CH6" s="9" t="s">
        <v>4403</v>
      </c>
      <c r="CJ6" s="9" t="s">
        <v>3292</v>
      </c>
      <c r="CL6" s="9" t="s">
        <v>3293</v>
      </c>
      <c r="CN6" s="9" t="s">
        <v>3349</v>
      </c>
      <c r="CP6" s="9" t="s">
        <v>3287</v>
      </c>
      <c r="CR6" s="9" t="s">
        <v>25</v>
      </c>
      <c r="CY6" s="9" t="s">
        <v>3287</v>
      </c>
      <c r="DA6" s="9" t="s">
        <v>3287</v>
      </c>
      <c r="DC6" s="9" t="s">
        <v>3303</v>
      </c>
      <c r="DD6" s="9" t="s">
        <v>4404</v>
      </c>
      <c r="DE6" s="9" t="s">
        <v>3287</v>
      </c>
      <c r="DG6" s="9" t="s">
        <v>612</v>
      </c>
      <c r="DH6" s="9" t="s">
        <v>4405</v>
      </c>
      <c r="DI6" s="9" t="s">
        <v>3287</v>
      </c>
      <c r="DK6" s="9" t="s">
        <v>3596</v>
      </c>
      <c r="DM6" s="9" t="s">
        <v>3287</v>
      </c>
      <c r="DO6" s="9" t="s">
        <v>3596</v>
      </c>
      <c r="DQ6" s="9" t="s">
        <v>3287</v>
      </c>
      <c r="DS6" s="9" t="s">
        <v>3596</v>
      </c>
      <c r="DU6" s="9" t="s">
        <v>3417</v>
      </c>
      <c r="DW6" s="9" t="s">
        <v>3417</v>
      </c>
      <c r="DY6" s="9" t="s">
        <v>3287</v>
      </c>
      <c r="EA6" s="9" t="s">
        <v>3287</v>
      </c>
      <c r="EC6" s="9" t="s">
        <v>3287</v>
      </c>
      <c r="EE6" s="9" t="s">
        <v>612</v>
      </c>
      <c r="EF6" s="9" t="s">
        <v>4404</v>
      </c>
      <c r="EG6" s="9" t="s">
        <v>25</v>
      </c>
      <c r="EY6" s="9" t="s">
        <v>4406</v>
      </c>
      <c r="FA6" s="9" t="s">
        <v>3287</v>
      </c>
      <c r="FC6" s="9" t="s">
        <v>3287</v>
      </c>
      <c r="FE6" s="9" t="s">
        <v>4075</v>
      </c>
      <c r="FG6" s="9" t="s">
        <v>3596</v>
      </c>
      <c r="FI6" s="9" t="s">
        <v>3596</v>
      </c>
      <c r="FK6" s="9" t="s">
        <v>3297</v>
      </c>
      <c r="FM6" s="9" t="s">
        <v>25</v>
      </c>
      <c r="FU6" s="9" t="s">
        <v>25</v>
      </c>
      <c r="FW6" s="9" t="s">
        <v>4407</v>
      </c>
      <c r="FY6" s="9" t="s">
        <v>3379</v>
      </c>
      <c r="GA6" s="9" t="s">
        <v>4408</v>
      </c>
      <c r="GC6" s="9" t="s">
        <v>4407</v>
      </c>
      <c r="GE6" s="9" t="s">
        <v>3611</v>
      </c>
      <c r="GG6" s="9" t="s">
        <v>4094</v>
      </c>
      <c r="GH6" s="9" t="s">
        <v>4409</v>
      </c>
      <c r="GI6" s="9" t="s">
        <v>3379</v>
      </c>
      <c r="GK6" s="9" t="s">
        <v>25</v>
      </c>
      <c r="GS6" s="9" t="s">
        <v>53</v>
      </c>
      <c r="GU6" s="9" t="s">
        <v>53</v>
      </c>
      <c r="GW6" s="9" t="s">
        <v>53</v>
      </c>
      <c r="GY6" s="9" t="s">
        <v>53</v>
      </c>
      <c r="HA6" s="9" t="s">
        <v>3287</v>
      </c>
      <c r="HC6" s="9" t="s">
        <v>25</v>
      </c>
      <c r="HI6" s="9" t="s">
        <v>3347</v>
      </c>
      <c r="HK6" s="9" t="s">
        <v>1265</v>
      </c>
      <c r="HM6" s="9" t="s">
        <v>1265</v>
      </c>
      <c r="HO6" s="9" t="s">
        <v>3287</v>
      </c>
      <c r="HQ6" s="9" t="s">
        <v>4139</v>
      </c>
      <c r="HS6" s="9" t="s">
        <v>612</v>
      </c>
      <c r="HT6" s="9" t="s">
        <v>4410</v>
      </c>
      <c r="HU6" s="9" t="s">
        <v>1265</v>
      </c>
      <c r="HW6" s="9" t="s">
        <v>1265</v>
      </c>
      <c r="HY6" s="9" t="s">
        <v>25</v>
      </c>
      <c r="IH6" s="9" t="s">
        <v>3379</v>
      </c>
      <c r="IJ6" s="9" t="s">
        <v>3380</v>
      </c>
      <c r="IL6" s="9" t="s">
        <v>3379</v>
      </c>
      <c r="IN6" s="9" t="s">
        <v>3379</v>
      </c>
      <c r="IP6" s="9" t="s">
        <v>3379</v>
      </c>
      <c r="IR6" s="9" t="s">
        <v>3379</v>
      </c>
      <c r="IT6" s="9" t="s">
        <v>3514</v>
      </c>
      <c r="IV6" s="9" t="s">
        <v>25</v>
      </c>
      <c r="JD6" s="9" t="s">
        <v>3347</v>
      </c>
      <c r="JF6" s="9" t="s">
        <v>3287</v>
      </c>
      <c r="JH6" s="9" t="s">
        <v>3287</v>
      </c>
      <c r="JJ6" s="9" t="s">
        <v>3718</v>
      </c>
      <c r="JK6" s="9" t="s">
        <v>4411</v>
      </c>
      <c r="JL6" s="9" t="s">
        <v>3287</v>
      </c>
      <c r="JN6" s="9" t="s">
        <v>3287</v>
      </c>
      <c r="JP6" s="9" t="s">
        <v>3287</v>
      </c>
      <c r="JR6" s="9" t="s">
        <v>25</v>
      </c>
      <c r="JZ6" s="9" t="s">
        <v>3287</v>
      </c>
      <c r="KB6" s="9" t="s">
        <v>3403</v>
      </c>
      <c r="KD6" s="9" t="s">
        <v>3457</v>
      </c>
      <c r="KF6" s="9" t="s">
        <v>3287</v>
      </c>
      <c r="KH6" s="9" t="s">
        <v>3287</v>
      </c>
      <c r="KJ6" s="9" t="s">
        <v>3287</v>
      </c>
      <c r="KL6" s="9" t="s">
        <v>3287</v>
      </c>
      <c r="KN6" s="9" t="s">
        <v>3643</v>
      </c>
      <c r="KP6" s="9" t="s">
        <v>3332</v>
      </c>
      <c r="KR6" s="9" t="s">
        <v>25</v>
      </c>
      <c r="LB6" s="9" t="s">
        <v>3287</v>
      </c>
      <c r="LD6" s="9" t="s">
        <v>4311</v>
      </c>
      <c r="LF6" s="9" t="s">
        <v>3335</v>
      </c>
      <c r="LH6" s="9" t="s">
        <v>3883</v>
      </c>
      <c r="LJ6" s="9" t="s">
        <v>3801</v>
      </c>
      <c r="LL6" s="9" t="s">
        <v>3287</v>
      </c>
      <c r="LN6" s="9" t="s">
        <v>3287</v>
      </c>
      <c r="LP6" s="9" t="s">
        <v>4311</v>
      </c>
      <c r="LR6" s="9" t="s">
        <v>25</v>
      </c>
      <c r="MA6" s="9" t="s">
        <v>14596</v>
      </c>
    </row>
    <row r="7" spans="1:339" ht="25.5" x14ac:dyDescent="0.2">
      <c r="A7" s="8" t="s">
        <v>122</v>
      </c>
      <c r="B7" s="9" t="s">
        <v>25</v>
      </c>
      <c r="C7" s="9" t="s">
        <v>25</v>
      </c>
      <c r="D7" s="9" t="s">
        <v>25</v>
      </c>
      <c r="E7" s="9" t="s">
        <v>25</v>
      </c>
      <c r="F7" s="9" t="s">
        <v>25</v>
      </c>
      <c r="G7" s="9" t="s">
        <v>25</v>
      </c>
      <c r="H7" s="9" t="s">
        <v>25</v>
      </c>
      <c r="L7" s="9" t="s">
        <v>3407</v>
      </c>
      <c r="N7" s="9" t="s">
        <v>3407</v>
      </c>
      <c r="P7" s="9" t="s">
        <v>13992</v>
      </c>
      <c r="R7" s="9" t="s">
        <v>3279</v>
      </c>
      <c r="T7" s="9" t="s">
        <v>3279</v>
      </c>
      <c r="V7" s="9" t="s">
        <v>3279</v>
      </c>
      <c r="X7" s="9" t="s">
        <v>25</v>
      </c>
      <c r="AE7" s="9" t="s">
        <v>3339</v>
      </c>
      <c r="AG7" s="9" t="s">
        <v>3287</v>
      </c>
      <c r="AI7" s="9" t="s">
        <v>3287</v>
      </c>
      <c r="AK7" s="9" t="s">
        <v>3287</v>
      </c>
      <c r="AM7" s="9" t="s">
        <v>3408</v>
      </c>
      <c r="AO7" s="9" t="s">
        <v>3287</v>
      </c>
      <c r="AQ7" s="9" t="s">
        <v>3287</v>
      </c>
      <c r="AS7" s="9" t="s">
        <v>3287</v>
      </c>
      <c r="AU7" s="9" t="s">
        <v>25</v>
      </c>
      <c r="BD7" s="9" t="s">
        <v>3409</v>
      </c>
      <c r="BF7" s="9" t="s">
        <v>3409</v>
      </c>
      <c r="BH7" s="9" t="s">
        <v>3409</v>
      </c>
      <c r="BJ7" s="9" t="s">
        <v>3409</v>
      </c>
      <c r="BL7" s="9" t="s">
        <v>25</v>
      </c>
      <c r="BQ7" s="9" t="s">
        <v>3287</v>
      </c>
      <c r="BS7" s="9" t="s">
        <v>3341</v>
      </c>
      <c r="BU7" s="9" t="s">
        <v>3287</v>
      </c>
      <c r="BW7" s="9" t="s">
        <v>3339</v>
      </c>
      <c r="BY7" s="9" t="s">
        <v>25</v>
      </c>
      <c r="CD7" s="9" t="s">
        <v>3410</v>
      </c>
      <c r="CF7" s="9" t="s">
        <v>3411</v>
      </c>
      <c r="CH7" s="9" t="s">
        <v>3412</v>
      </c>
      <c r="CJ7" s="9" t="s">
        <v>3397</v>
      </c>
      <c r="CL7" s="9" t="s">
        <v>3293</v>
      </c>
      <c r="CN7" s="9" t="s">
        <v>3287</v>
      </c>
      <c r="CP7" s="9" t="s">
        <v>3287</v>
      </c>
      <c r="CR7" s="9" t="s">
        <v>25</v>
      </c>
      <c r="CY7" s="9" t="s">
        <v>3413</v>
      </c>
      <c r="DA7" s="9" t="s">
        <v>3414</v>
      </c>
      <c r="DC7" s="9" t="s">
        <v>3287</v>
      </c>
      <c r="DE7" s="9" t="s">
        <v>3297</v>
      </c>
      <c r="DG7" s="9" t="s">
        <v>3287</v>
      </c>
      <c r="DI7" s="9" t="s">
        <v>3287</v>
      </c>
      <c r="DK7" s="9" t="s">
        <v>3415</v>
      </c>
      <c r="DM7" s="9" t="s">
        <v>3287</v>
      </c>
      <c r="DO7" s="9" t="s">
        <v>3415</v>
      </c>
      <c r="DQ7" s="9" t="s">
        <v>3287</v>
      </c>
      <c r="DS7" s="9" t="s">
        <v>3287</v>
      </c>
      <c r="DU7" s="9" t="s">
        <v>3416</v>
      </c>
      <c r="DW7" s="9" t="s">
        <v>3287</v>
      </c>
      <c r="DY7" s="9" t="s">
        <v>3417</v>
      </c>
      <c r="EA7" s="9" t="s">
        <v>3287</v>
      </c>
      <c r="EC7" s="9" t="s">
        <v>3418</v>
      </c>
      <c r="EE7" s="9" t="s">
        <v>3287</v>
      </c>
      <c r="EG7" s="9" t="s">
        <v>25</v>
      </c>
      <c r="EY7" s="9" t="s">
        <v>3287</v>
      </c>
      <c r="FA7" s="9" t="s">
        <v>3287</v>
      </c>
      <c r="FC7" s="9" t="s">
        <v>3287</v>
      </c>
      <c r="FE7" s="9" t="s">
        <v>3287</v>
      </c>
      <c r="FG7" s="9" t="s">
        <v>3287</v>
      </c>
      <c r="FI7" s="9" t="s">
        <v>3287</v>
      </c>
      <c r="FK7" s="9" t="s">
        <v>3287</v>
      </c>
      <c r="FM7" s="9" t="s">
        <v>25</v>
      </c>
      <c r="FU7" s="9" t="s">
        <v>25</v>
      </c>
      <c r="FW7" s="9" t="s">
        <v>3287</v>
      </c>
      <c r="FY7" s="9" t="s">
        <v>3287</v>
      </c>
      <c r="GA7" s="9" t="s">
        <v>865</v>
      </c>
      <c r="GC7" s="9" t="s">
        <v>3419</v>
      </c>
      <c r="GE7" s="9" t="s">
        <v>3317</v>
      </c>
      <c r="GG7" s="9" t="s">
        <v>3317</v>
      </c>
      <c r="GI7" s="9" t="s">
        <v>3287</v>
      </c>
      <c r="GK7" s="9" t="s">
        <v>25</v>
      </c>
      <c r="GS7" s="9" t="s">
        <v>3339</v>
      </c>
      <c r="GU7" s="9" t="s">
        <v>3339</v>
      </c>
      <c r="GW7" s="9" t="s">
        <v>3339</v>
      </c>
      <c r="GY7" s="9" t="s">
        <v>3339</v>
      </c>
      <c r="HA7" s="9" t="s">
        <v>3287</v>
      </c>
      <c r="HC7" s="9" t="s">
        <v>25</v>
      </c>
      <c r="HI7" s="9" t="s">
        <v>3420</v>
      </c>
      <c r="HK7" s="9" t="s">
        <v>3421</v>
      </c>
      <c r="HM7" s="9" t="s">
        <v>3339</v>
      </c>
      <c r="HO7" s="9" t="s">
        <v>3279</v>
      </c>
      <c r="HQ7" s="9" t="s">
        <v>3422</v>
      </c>
      <c r="HS7" s="9" t="s">
        <v>3279</v>
      </c>
      <c r="HU7" s="9" t="s">
        <v>1265</v>
      </c>
      <c r="HW7" s="9" t="s">
        <v>3339</v>
      </c>
      <c r="HY7" s="9" t="s">
        <v>25</v>
      </c>
      <c r="IH7" s="9" t="s">
        <v>3423</v>
      </c>
      <c r="IJ7" s="9" t="s">
        <v>3323</v>
      </c>
      <c r="IL7" s="9" t="s">
        <v>3350</v>
      </c>
      <c r="IN7" s="9" t="s">
        <v>3350</v>
      </c>
      <c r="IP7" s="9" t="s">
        <v>3350</v>
      </c>
      <c r="IR7" s="9" t="s">
        <v>3322</v>
      </c>
      <c r="IT7" s="9" t="s">
        <v>3350</v>
      </c>
      <c r="IV7" s="9" t="s">
        <v>25</v>
      </c>
      <c r="JD7" s="9" t="s">
        <v>3424</v>
      </c>
      <c r="JF7" s="9" t="s">
        <v>3425</v>
      </c>
      <c r="JH7" s="9" t="s">
        <v>3287</v>
      </c>
      <c r="JJ7" s="9" t="s">
        <v>3424</v>
      </c>
      <c r="JL7" s="9" t="s">
        <v>3426</v>
      </c>
      <c r="JN7" s="9" t="s">
        <v>3287</v>
      </c>
      <c r="JP7" s="9" t="s">
        <v>3287</v>
      </c>
      <c r="JR7" s="9" t="s">
        <v>25</v>
      </c>
      <c r="JZ7" s="9" t="s">
        <v>3397</v>
      </c>
      <c r="KB7" s="9" t="s">
        <v>3287</v>
      </c>
      <c r="KD7" s="9" t="s">
        <v>3397</v>
      </c>
      <c r="KF7" s="9" t="s">
        <v>3427</v>
      </c>
      <c r="KH7" s="9" t="s">
        <v>3287</v>
      </c>
      <c r="KJ7" s="9" t="s">
        <v>3287</v>
      </c>
      <c r="KL7" s="9" t="s">
        <v>3287</v>
      </c>
      <c r="KN7" s="9" t="s">
        <v>3428</v>
      </c>
      <c r="KP7" s="9" t="s">
        <v>3332</v>
      </c>
      <c r="KR7" s="9" t="s">
        <v>25</v>
      </c>
      <c r="LB7" s="9" t="s">
        <v>3429</v>
      </c>
      <c r="LD7" s="9" t="s">
        <v>3287</v>
      </c>
      <c r="LF7" s="9" t="s">
        <v>3335</v>
      </c>
      <c r="LH7" s="9" t="s">
        <v>3430</v>
      </c>
      <c r="LJ7" s="9" t="s">
        <v>3431</v>
      </c>
      <c r="LL7" s="9" t="s">
        <v>3432</v>
      </c>
      <c r="LN7" s="9" t="s">
        <v>3433</v>
      </c>
      <c r="LP7" s="9" t="s">
        <v>3287</v>
      </c>
      <c r="LR7" s="9" t="s">
        <v>25</v>
      </c>
      <c r="MA7" s="9" t="s">
        <v>3338</v>
      </c>
    </row>
    <row r="8" spans="1:339" ht="25.5" x14ac:dyDescent="0.2">
      <c r="A8" s="8" t="s">
        <v>160</v>
      </c>
      <c r="B8" s="9" t="s">
        <v>25</v>
      </c>
      <c r="C8" s="9" t="s">
        <v>25</v>
      </c>
      <c r="D8" s="9" t="s">
        <v>28</v>
      </c>
      <c r="E8" s="9" t="s">
        <v>25</v>
      </c>
      <c r="F8" s="9" t="s">
        <v>25</v>
      </c>
      <c r="G8" s="9" t="s">
        <v>25</v>
      </c>
      <c r="H8" s="9" t="s">
        <v>25</v>
      </c>
      <c r="I8" s="9" t="s">
        <v>25</v>
      </c>
      <c r="J8" s="9" t="s">
        <v>28</v>
      </c>
      <c r="K8" s="9" t="s">
        <v>4147</v>
      </c>
      <c r="L8" s="9" t="s">
        <v>3339</v>
      </c>
      <c r="N8" s="9" t="s">
        <v>3287</v>
      </c>
      <c r="P8" s="9" t="s">
        <v>3339</v>
      </c>
      <c r="R8" s="9" t="s">
        <v>3279</v>
      </c>
      <c r="T8" s="9" t="s">
        <v>3279</v>
      </c>
      <c r="V8" s="9" t="s">
        <v>3287</v>
      </c>
      <c r="X8" s="9" t="s">
        <v>25</v>
      </c>
      <c r="AE8" s="9" t="s">
        <v>3339</v>
      </c>
      <c r="AG8" s="9" t="s">
        <v>3339</v>
      </c>
      <c r="AI8" s="9" t="s">
        <v>3287</v>
      </c>
      <c r="AK8" s="9" t="s">
        <v>3339</v>
      </c>
      <c r="AM8" s="9" t="s">
        <v>3339</v>
      </c>
      <c r="AO8" s="9" t="s">
        <v>3287</v>
      </c>
      <c r="AQ8" s="9" t="s">
        <v>3287</v>
      </c>
      <c r="AS8" s="9" t="s">
        <v>3287</v>
      </c>
      <c r="AU8" s="9" t="s">
        <v>25</v>
      </c>
      <c r="BD8" s="9" t="s">
        <v>3287</v>
      </c>
      <c r="BF8" s="9" t="s">
        <v>3287</v>
      </c>
      <c r="BH8" s="9" t="s">
        <v>3287</v>
      </c>
      <c r="BJ8" s="9" t="s">
        <v>3287</v>
      </c>
      <c r="BL8" s="9" t="s">
        <v>25</v>
      </c>
      <c r="BQ8" s="9" t="s">
        <v>53</v>
      </c>
      <c r="BS8" s="9" t="s">
        <v>53</v>
      </c>
      <c r="BU8" s="9" t="s">
        <v>3287</v>
      </c>
      <c r="BW8" s="9" t="s">
        <v>53</v>
      </c>
      <c r="BY8" s="9" t="s">
        <v>25</v>
      </c>
      <c r="CD8" s="9" t="s">
        <v>13583</v>
      </c>
      <c r="CF8" s="9" t="s">
        <v>4088</v>
      </c>
      <c r="CH8" s="9" t="s">
        <v>4148</v>
      </c>
      <c r="CJ8" s="9" t="s">
        <v>3993</v>
      </c>
      <c r="CL8" s="9" t="s">
        <v>3994</v>
      </c>
      <c r="CN8" s="9" t="s">
        <v>612</v>
      </c>
      <c r="CO8" s="9" t="s">
        <v>4001</v>
      </c>
      <c r="CP8" s="9" t="s">
        <v>3287</v>
      </c>
      <c r="CR8" s="9" t="s">
        <v>25</v>
      </c>
      <c r="CY8" s="9" t="s">
        <v>3287</v>
      </c>
      <c r="DA8" s="9" t="s">
        <v>3287</v>
      </c>
      <c r="DC8" s="9" t="s">
        <v>3287</v>
      </c>
      <c r="DE8" s="9" t="s">
        <v>3287</v>
      </c>
      <c r="DG8" s="9" t="s">
        <v>3287</v>
      </c>
      <c r="DI8" s="9" t="s">
        <v>3287</v>
      </c>
      <c r="DK8" s="9" t="s">
        <v>3287</v>
      </c>
      <c r="DM8" s="9" t="s">
        <v>3415</v>
      </c>
      <c r="DO8" s="9" t="s">
        <v>3287</v>
      </c>
      <c r="DQ8" s="9" t="s">
        <v>3415</v>
      </c>
      <c r="DS8" s="9" t="s">
        <v>3415</v>
      </c>
      <c r="DU8" s="9" t="s">
        <v>3360</v>
      </c>
      <c r="DW8" s="9" t="s">
        <v>4149</v>
      </c>
      <c r="DY8" s="9" t="s">
        <v>3287</v>
      </c>
      <c r="EA8" s="9" t="s">
        <v>3287</v>
      </c>
      <c r="EC8" s="9" t="s">
        <v>4150</v>
      </c>
      <c r="ED8" s="9" t="s">
        <v>2391</v>
      </c>
      <c r="EE8" s="9" t="s">
        <v>3415</v>
      </c>
      <c r="EG8" s="9" t="s">
        <v>25</v>
      </c>
      <c r="EY8" s="9" t="s">
        <v>3629</v>
      </c>
      <c r="FA8" s="9" t="s">
        <v>3287</v>
      </c>
      <c r="FC8" s="9" t="s">
        <v>3287</v>
      </c>
      <c r="FE8" s="9" t="s">
        <v>3287</v>
      </c>
      <c r="FG8" s="9" t="s">
        <v>3287</v>
      </c>
      <c r="FI8" s="9" t="s">
        <v>3287</v>
      </c>
      <c r="FK8" s="9" t="s">
        <v>3287</v>
      </c>
      <c r="FM8" s="9" t="s">
        <v>25</v>
      </c>
      <c r="FU8" s="9" t="s">
        <v>25</v>
      </c>
      <c r="FW8" s="9" t="s">
        <v>3287</v>
      </c>
      <c r="FY8" s="9" t="s">
        <v>3287</v>
      </c>
      <c r="GA8" s="9" t="s">
        <v>3287</v>
      </c>
      <c r="GC8" s="9" t="s">
        <v>3287</v>
      </c>
      <c r="GE8" s="9" t="s">
        <v>3287</v>
      </c>
      <c r="GG8" s="9" t="s">
        <v>3287</v>
      </c>
      <c r="GI8" s="9" t="s">
        <v>3287</v>
      </c>
      <c r="GK8" s="9" t="s">
        <v>25</v>
      </c>
      <c r="GS8" s="9" t="s">
        <v>53</v>
      </c>
      <c r="GU8" s="9" t="s">
        <v>3287</v>
      </c>
      <c r="GW8" s="9" t="s">
        <v>3287</v>
      </c>
      <c r="GY8" s="9" t="s">
        <v>3808</v>
      </c>
      <c r="HA8" s="9" t="s">
        <v>3808</v>
      </c>
      <c r="HC8" s="9" t="s">
        <v>25</v>
      </c>
      <c r="HI8" s="9" t="s">
        <v>929</v>
      </c>
      <c r="HK8" s="9" t="s">
        <v>929</v>
      </c>
      <c r="HM8" s="9" t="s">
        <v>1265</v>
      </c>
      <c r="HO8" s="9" t="s">
        <v>3287</v>
      </c>
      <c r="HQ8" s="9" t="s">
        <v>3348</v>
      </c>
      <c r="HS8" s="9" t="s">
        <v>3287</v>
      </c>
      <c r="HU8" s="9" t="s">
        <v>929</v>
      </c>
      <c r="HW8" s="9" t="s">
        <v>3287</v>
      </c>
      <c r="HY8" s="9" t="s">
        <v>25</v>
      </c>
      <c r="IH8" s="9" t="s">
        <v>3871</v>
      </c>
      <c r="IJ8" s="9" t="s">
        <v>3380</v>
      </c>
      <c r="IL8" s="9" t="s">
        <v>3871</v>
      </c>
      <c r="IN8" s="9" t="s">
        <v>3735</v>
      </c>
      <c r="IP8" s="9" t="s">
        <v>3735</v>
      </c>
      <c r="IR8" s="9" t="s">
        <v>3735</v>
      </c>
      <c r="IT8" s="9" t="s">
        <v>3579</v>
      </c>
      <c r="IV8" s="9" t="s">
        <v>25</v>
      </c>
      <c r="JD8" s="9" t="s">
        <v>3347</v>
      </c>
      <c r="JF8" s="9" t="s">
        <v>3287</v>
      </c>
      <c r="JH8" s="9" t="s">
        <v>3287</v>
      </c>
      <c r="JJ8" s="9" t="s">
        <v>3287</v>
      </c>
      <c r="JL8" s="9" t="s">
        <v>3287</v>
      </c>
      <c r="JN8" s="9" t="s">
        <v>3287</v>
      </c>
      <c r="JP8" s="9" t="s">
        <v>3287</v>
      </c>
      <c r="JR8" s="9" t="s">
        <v>25</v>
      </c>
      <c r="JZ8" s="9" t="s">
        <v>3287</v>
      </c>
      <c r="KB8" s="9" t="s">
        <v>3287</v>
      </c>
      <c r="KD8" s="9" t="s">
        <v>3287</v>
      </c>
      <c r="KF8" s="9" t="s">
        <v>3287</v>
      </c>
      <c r="KH8" s="9" t="s">
        <v>3287</v>
      </c>
      <c r="KJ8" s="9" t="s">
        <v>3287</v>
      </c>
      <c r="KL8" s="9" t="s">
        <v>3287</v>
      </c>
      <c r="KN8" s="9" t="s">
        <v>612</v>
      </c>
      <c r="KO8" s="9" t="s">
        <v>4145</v>
      </c>
      <c r="KP8" s="9" t="s">
        <v>3287</v>
      </c>
      <c r="KR8" s="9" t="s">
        <v>25</v>
      </c>
      <c r="LB8" s="9" t="s">
        <v>3287</v>
      </c>
      <c r="LD8" s="9" t="s">
        <v>3287</v>
      </c>
      <c r="LF8" s="9" t="s">
        <v>3287</v>
      </c>
      <c r="LH8" s="9" t="s">
        <v>3287</v>
      </c>
      <c r="LJ8" s="9" t="s">
        <v>3287</v>
      </c>
      <c r="LL8" s="9" t="s">
        <v>3287</v>
      </c>
      <c r="LN8" s="9" t="s">
        <v>3287</v>
      </c>
      <c r="LP8" s="9" t="s">
        <v>3287</v>
      </c>
      <c r="LR8" s="9" t="s">
        <v>25</v>
      </c>
      <c r="MA8" s="9" t="s">
        <v>3338</v>
      </c>
    </row>
    <row r="9" spans="1:339" ht="25.5" x14ac:dyDescent="0.2">
      <c r="A9" s="8" t="s">
        <v>154</v>
      </c>
      <c r="B9" s="9" t="s">
        <v>28</v>
      </c>
      <c r="C9" s="9" t="s">
        <v>28</v>
      </c>
      <c r="D9" s="9" t="s">
        <v>25</v>
      </c>
      <c r="E9" s="9" t="s">
        <v>25</v>
      </c>
      <c r="F9" s="9" t="s">
        <v>25</v>
      </c>
      <c r="G9" s="9" t="s">
        <v>25</v>
      </c>
      <c r="H9" s="9" t="s">
        <v>25</v>
      </c>
      <c r="I9" s="9" t="s">
        <v>25</v>
      </c>
      <c r="J9" s="9" t="s">
        <v>25</v>
      </c>
      <c r="L9" s="9" t="s">
        <v>3339</v>
      </c>
      <c r="N9" s="9" t="s">
        <v>3339</v>
      </c>
      <c r="P9" s="9" t="s">
        <v>4033</v>
      </c>
      <c r="R9" s="9" t="s">
        <v>3279</v>
      </c>
      <c r="T9" s="9" t="s">
        <v>3699</v>
      </c>
      <c r="V9" s="9" t="s">
        <v>3287</v>
      </c>
      <c r="X9" s="9" t="s">
        <v>28</v>
      </c>
      <c r="AB9" s="9" t="s">
        <v>4034</v>
      </c>
      <c r="AE9" s="9" t="s">
        <v>3284</v>
      </c>
      <c r="AG9" s="9" t="s">
        <v>3285</v>
      </c>
      <c r="AI9" s="9" t="s">
        <v>3282</v>
      </c>
      <c r="AK9" s="9" t="s">
        <v>3284</v>
      </c>
      <c r="AM9" s="9" t="s">
        <v>3284</v>
      </c>
      <c r="AO9" s="9" t="s">
        <v>3284</v>
      </c>
      <c r="AQ9" s="9" t="s">
        <v>3282</v>
      </c>
      <c r="AS9" s="9" t="s">
        <v>3287</v>
      </c>
      <c r="AU9" s="9" t="s">
        <v>25</v>
      </c>
      <c r="BD9" s="9" t="s">
        <v>13994</v>
      </c>
      <c r="BF9" s="9" t="s">
        <v>3342</v>
      </c>
      <c r="BH9" s="9" t="s">
        <v>3342</v>
      </c>
      <c r="BJ9" s="9" t="s">
        <v>3287</v>
      </c>
      <c r="BL9" s="9" t="s">
        <v>25</v>
      </c>
      <c r="BQ9" s="9" t="s">
        <v>53</v>
      </c>
      <c r="BS9" s="9" t="s">
        <v>3289</v>
      </c>
      <c r="BU9" s="9" t="s">
        <v>3287</v>
      </c>
      <c r="BW9" s="9" t="s">
        <v>3282</v>
      </c>
      <c r="BY9" s="9" t="s">
        <v>25</v>
      </c>
      <c r="CD9" s="9" t="s">
        <v>4036</v>
      </c>
      <c r="CF9" s="9" t="s">
        <v>3546</v>
      </c>
      <c r="CH9" s="9" t="s">
        <v>4037</v>
      </c>
      <c r="CJ9" s="9" t="s">
        <v>4038</v>
      </c>
      <c r="CL9" s="9" t="s">
        <v>3293</v>
      </c>
      <c r="CN9" s="9" t="s">
        <v>612</v>
      </c>
      <c r="CO9" s="9" t="s">
        <v>3831</v>
      </c>
      <c r="CP9" s="9" t="s">
        <v>3287</v>
      </c>
      <c r="CR9" s="9" t="s">
        <v>25</v>
      </c>
      <c r="CY9" s="9" t="s">
        <v>3414</v>
      </c>
      <c r="DA9" s="9" t="s">
        <v>3414</v>
      </c>
      <c r="DC9" s="9" t="s">
        <v>3287</v>
      </c>
      <c r="DE9" s="9" t="s">
        <v>3287</v>
      </c>
      <c r="DG9" s="9" t="s">
        <v>3287</v>
      </c>
      <c r="DI9" s="9" t="s">
        <v>3287</v>
      </c>
      <c r="DK9" s="9" t="s">
        <v>3287</v>
      </c>
      <c r="DM9" s="9" t="s">
        <v>3415</v>
      </c>
      <c r="DO9" s="9" t="s">
        <v>3287</v>
      </c>
      <c r="DQ9" s="9" t="s">
        <v>3415</v>
      </c>
      <c r="DS9" s="9" t="s">
        <v>3659</v>
      </c>
      <c r="DT9" s="9" t="s">
        <v>4039</v>
      </c>
      <c r="DU9" s="9" t="s">
        <v>3416</v>
      </c>
      <c r="DW9" s="9" t="s">
        <v>3416</v>
      </c>
      <c r="DY9" s="9" t="s">
        <v>3287</v>
      </c>
      <c r="EA9" s="9" t="s">
        <v>3415</v>
      </c>
      <c r="EC9" s="9" t="s">
        <v>4040</v>
      </c>
      <c r="EE9" s="9" t="s">
        <v>4041</v>
      </c>
      <c r="EG9" s="9" t="s">
        <v>25</v>
      </c>
      <c r="EY9" s="9" t="s">
        <v>3287</v>
      </c>
      <c r="FA9" s="9" t="s">
        <v>3287</v>
      </c>
      <c r="FC9" s="9" t="s">
        <v>3287</v>
      </c>
      <c r="FE9" s="9" t="s">
        <v>3287</v>
      </c>
      <c r="FG9" s="9" t="s">
        <v>3287</v>
      </c>
      <c r="FI9" s="9" t="s">
        <v>3287</v>
      </c>
      <c r="FK9" s="9" t="s">
        <v>3287</v>
      </c>
      <c r="FM9" s="9" t="s">
        <v>28</v>
      </c>
      <c r="FQ9" s="9" t="s">
        <v>4042</v>
      </c>
      <c r="FU9" s="9" t="s">
        <v>25</v>
      </c>
      <c r="FW9" s="9" t="s">
        <v>4043</v>
      </c>
      <c r="FY9" s="9" t="s">
        <v>612</v>
      </c>
      <c r="FZ9" s="9" t="s">
        <v>4044</v>
      </c>
      <c r="GA9" s="9" t="s">
        <v>14010</v>
      </c>
      <c r="GC9" s="9" t="s">
        <v>4045</v>
      </c>
      <c r="GE9" s="9" t="s">
        <v>3611</v>
      </c>
      <c r="GG9" s="9" t="s">
        <v>3611</v>
      </c>
      <c r="GI9" s="9" t="s">
        <v>3397</v>
      </c>
      <c r="GK9" s="9" t="s">
        <v>25</v>
      </c>
      <c r="GS9" s="9" t="s">
        <v>3282</v>
      </c>
      <c r="GU9" s="9" t="s">
        <v>4046</v>
      </c>
      <c r="GW9" s="9" t="s">
        <v>3282</v>
      </c>
      <c r="GY9" s="9" t="s">
        <v>3282</v>
      </c>
      <c r="HA9" s="9" t="s">
        <v>4047</v>
      </c>
      <c r="HC9" s="9" t="s">
        <v>25</v>
      </c>
      <c r="HI9" s="9" t="s">
        <v>3347</v>
      </c>
      <c r="HK9" s="9" t="s">
        <v>1265</v>
      </c>
      <c r="HM9" s="9" t="s">
        <v>3282</v>
      </c>
      <c r="HO9" s="9" t="s">
        <v>3339</v>
      </c>
      <c r="HQ9" s="9" t="s">
        <v>3690</v>
      </c>
      <c r="HS9" s="9" t="s">
        <v>3287</v>
      </c>
      <c r="HU9" s="9" t="s">
        <v>1265</v>
      </c>
      <c r="HW9" s="9" t="s">
        <v>3282</v>
      </c>
      <c r="HY9" s="9" t="s">
        <v>28</v>
      </c>
      <c r="IB9" s="9" t="s">
        <v>1265</v>
      </c>
      <c r="IH9" s="9" t="s">
        <v>3373</v>
      </c>
      <c r="IJ9" s="9" t="s">
        <v>3483</v>
      </c>
      <c r="IL9" s="9" t="s">
        <v>3735</v>
      </c>
      <c r="IN9" s="9" t="s">
        <v>3735</v>
      </c>
      <c r="IP9" s="9" t="s">
        <v>3484</v>
      </c>
      <c r="IR9" s="9" t="s">
        <v>3373</v>
      </c>
      <c r="IT9" s="9" t="s">
        <v>3514</v>
      </c>
      <c r="IV9" s="9" t="s">
        <v>25</v>
      </c>
      <c r="JD9" s="9" t="s">
        <v>3347</v>
      </c>
      <c r="JF9" s="9" t="s">
        <v>3287</v>
      </c>
      <c r="JH9" s="9" t="s">
        <v>3287</v>
      </c>
      <c r="JJ9" s="9" t="s">
        <v>4048</v>
      </c>
      <c r="JL9" s="9" t="s">
        <v>4048</v>
      </c>
      <c r="JN9" s="9" t="s">
        <v>4048</v>
      </c>
      <c r="JP9" s="9" t="s">
        <v>4049</v>
      </c>
      <c r="JR9" s="9" t="s">
        <v>25</v>
      </c>
      <c r="JZ9" s="9" t="s">
        <v>4050</v>
      </c>
      <c r="KB9" s="9" t="s">
        <v>3929</v>
      </c>
      <c r="KD9" s="9" t="s">
        <v>3457</v>
      </c>
      <c r="KF9" s="9" t="s">
        <v>3603</v>
      </c>
      <c r="KH9" s="9" t="s">
        <v>3603</v>
      </c>
      <c r="KJ9" s="9" t="s">
        <v>4051</v>
      </c>
      <c r="KL9" s="9" t="s">
        <v>3287</v>
      </c>
      <c r="KN9" s="9" t="s">
        <v>14020</v>
      </c>
      <c r="KP9" s="9" t="s">
        <v>3332</v>
      </c>
      <c r="KR9" s="9" t="s">
        <v>25</v>
      </c>
      <c r="LB9" s="9" t="s">
        <v>3287</v>
      </c>
      <c r="LD9" s="9" t="s">
        <v>3518</v>
      </c>
      <c r="LF9" s="9" t="s">
        <v>3335</v>
      </c>
      <c r="LH9" s="9" t="s">
        <v>3287</v>
      </c>
      <c r="LL9" s="9" t="s">
        <v>3406</v>
      </c>
      <c r="LN9" s="9" t="s">
        <v>3802</v>
      </c>
      <c r="MA9" s="9" t="s">
        <v>4052</v>
      </c>
    </row>
    <row r="10" spans="1:339" ht="38.25" x14ac:dyDescent="0.2">
      <c r="A10" s="8" t="s">
        <v>170</v>
      </c>
      <c r="B10" s="9" t="s">
        <v>25</v>
      </c>
      <c r="C10" s="9" t="s">
        <v>28</v>
      </c>
      <c r="D10" s="9" t="s">
        <v>25</v>
      </c>
      <c r="E10" s="9" t="s">
        <v>25</v>
      </c>
      <c r="F10" s="9" t="s">
        <v>25</v>
      </c>
      <c r="G10" s="9" t="s">
        <v>25</v>
      </c>
      <c r="H10" s="9" t="s">
        <v>25</v>
      </c>
      <c r="I10" s="9" t="s">
        <v>25</v>
      </c>
      <c r="J10" s="9" t="s">
        <v>28</v>
      </c>
      <c r="K10" s="9" t="s">
        <v>4287</v>
      </c>
      <c r="L10" s="9" t="s">
        <v>3339</v>
      </c>
      <c r="N10" s="9" t="s">
        <v>3339</v>
      </c>
      <c r="P10" s="9" t="s">
        <v>4288</v>
      </c>
      <c r="R10" s="9" t="s">
        <v>4238</v>
      </c>
      <c r="T10" s="9" t="s">
        <v>4238</v>
      </c>
      <c r="V10" s="9" t="s">
        <v>3279</v>
      </c>
      <c r="X10" s="9" t="s">
        <v>25</v>
      </c>
      <c r="AE10" s="9" t="s">
        <v>53</v>
      </c>
      <c r="AG10" s="9" t="s">
        <v>3339</v>
      </c>
      <c r="AI10" s="9" t="s">
        <v>53</v>
      </c>
      <c r="AK10" s="9" t="s">
        <v>3287</v>
      </c>
      <c r="AM10" s="9" t="s">
        <v>3287</v>
      </c>
      <c r="AO10" s="9" t="s">
        <v>3287</v>
      </c>
      <c r="AQ10" s="9" t="s">
        <v>3988</v>
      </c>
      <c r="AR10" s="9" t="s">
        <v>4289</v>
      </c>
      <c r="AS10" s="9" t="s">
        <v>3287</v>
      </c>
      <c r="AU10" s="9" t="s">
        <v>25</v>
      </c>
      <c r="BD10" s="9" t="s">
        <v>3287</v>
      </c>
      <c r="BF10" s="9" t="s">
        <v>3287</v>
      </c>
      <c r="BH10" s="9" t="s">
        <v>3287</v>
      </c>
      <c r="BJ10" s="9" t="s">
        <v>3287</v>
      </c>
      <c r="BL10" s="9" t="s">
        <v>25</v>
      </c>
      <c r="BQ10" s="9" t="s">
        <v>53</v>
      </c>
      <c r="BS10" s="9" t="s">
        <v>53</v>
      </c>
      <c r="BU10" s="9" t="s">
        <v>53</v>
      </c>
      <c r="BW10" s="9" t="s">
        <v>3988</v>
      </c>
      <c r="BX10" s="9" t="s">
        <v>4289</v>
      </c>
      <c r="BY10" s="9" t="s">
        <v>25</v>
      </c>
      <c r="CD10" s="9" t="s">
        <v>4290</v>
      </c>
      <c r="CF10" s="9" t="s">
        <v>4290</v>
      </c>
      <c r="CH10" s="9" t="s">
        <v>4176</v>
      </c>
      <c r="CI10" s="9" t="s">
        <v>3573</v>
      </c>
      <c r="CJ10" s="9" t="s">
        <v>3397</v>
      </c>
      <c r="CL10" s="9" t="s">
        <v>612</v>
      </c>
      <c r="CM10" s="9" t="s">
        <v>4157</v>
      </c>
      <c r="CN10" s="9" t="s">
        <v>3349</v>
      </c>
      <c r="CP10" s="9" t="s">
        <v>3287</v>
      </c>
      <c r="CR10" s="9" t="s">
        <v>25</v>
      </c>
      <c r="CY10" s="9" t="s">
        <v>3287</v>
      </c>
      <c r="DA10" s="9" t="s">
        <v>3303</v>
      </c>
      <c r="DB10" s="9" t="s">
        <v>4291</v>
      </c>
      <c r="DC10" s="9" t="s">
        <v>3297</v>
      </c>
      <c r="DE10" s="9" t="s">
        <v>3297</v>
      </c>
      <c r="DG10" s="9" t="s">
        <v>3287</v>
      </c>
      <c r="DI10" s="9" t="s">
        <v>3287</v>
      </c>
      <c r="DK10" s="9" t="s">
        <v>3287</v>
      </c>
      <c r="DM10" s="9" t="s">
        <v>3287</v>
      </c>
      <c r="DO10" s="9" t="s">
        <v>3287</v>
      </c>
      <c r="DQ10" s="9" t="s">
        <v>3287</v>
      </c>
      <c r="DS10" s="9" t="s">
        <v>3297</v>
      </c>
      <c r="DU10" s="9" t="s">
        <v>3573</v>
      </c>
      <c r="DW10" s="9" t="s">
        <v>3968</v>
      </c>
      <c r="DY10" s="9" t="s">
        <v>3297</v>
      </c>
      <c r="EA10" s="9" t="s">
        <v>3297</v>
      </c>
      <c r="EC10" s="9" t="s">
        <v>3418</v>
      </c>
      <c r="EE10" s="9" t="s">
        <v>612</v>
      </c>
      <c r="EF10" s="9" t="s">
        <v>3628</v>
      </c>
      <c r="EG10" s="9" t="s">
        <v>25</v>
      </c>
      <c r="EY10" s="9" t="s">
        <v>612</v>
      </c>
      <c r="EZ10" s="9" t="s">
        <v>4095</v>
      </c>
      <c r="FA10" s="9" t="s">
        <v>3287</v>
      </c>
      <c r="FC10" s="9" t="s">
        <v>3287</v>
      </c>
      <c r="FE10" s="9" t="s">
        <v>3287</v>
      </c>
      <c r="FG10" s="9" t="s">
        <v>3287</v>
      </c>
      <c r="FI10" s="9" t="s">
        <v>3287</v>
      </c>
      <c r="FK10" s="9" t="s">
        <v>3297</v>
      </c>
      <c r="FM10" s="9" t="s">
        <v>25</v>
      </c>
      <c r="FU10" s="9" t="s">
        <v>28</v>
      </c>
      <c r="FV10" s="9" t="s">
        <v>4292</v>
      </c>
      <c r="FW10" s="9" t="s">
        <v>3287</v>
      </c>
      <c r="FY10" s="9" t="s">
        <v>3287</v>
      </c>
      <c r="GA10" s="9" t="s">
        <v>4207</v>
      </c>
      <c r="GC10" s="9" t="s">
        <v>3287</v>
      </c>
      <c r="GE10" s="9" t="s">
        <v>3287</v>
      </c>
      <c r="GG10" s="9" t="s">
        <v>3287</v>
      </c>
      <c r="GI10" s="9" t="s">
        <v>3287</v>
      </c>
      <c r="GK10" s="9" t="s">
        <v>28</v>
      </c>
      <c r="GP10" s="9" t="s">
        <v>3611</v>
      </c>
      <c r="GQ10" s="9" t="s">
        <v>3611</v>
      </c>
      <c r="GS10" s="9" t="s">
        <v>53</v>
      </c>
      <c r="GU10" s="9" t="s">
        <v>53</v>
      </c>
      <c r="GW10" s="9" t="s">
        <v>3287</v>
      </c>
      <c r="GY10" s="9" t="s">
        <v>3287</v>
      </c>
      <c r="HA10" s="9" t="s">
        <v>3339</v>
      </c>
      <c r="HC10" s="9" t="s">
        <v>25</v>
      </c>
      <c r="HI10" s="9" t="s">
        <v>3577</v>
      </c>
      <c r="HK10" s="9" t="s">
        <v>3371</v>
      </c>
      <c r="HM10" s="9" t="s">
        <v>3371</v>
      </c>
      <c r="HO10" s="9" t="s">
        <v>3287</v>
      </c>
      <c r="HQ10" s="9" t="s">
        <v>3348</v>
      </c>
      <c r="HS10" s="9" t="s">
        <v>3287</v>
      </c>
      <c r="HU10" s="9" t="s">
        <v>3371</v>
      </c>
      <c r="HW10" s="9" t="s">
        <v>3371</v>
      </c>
      <c r="HY10" s="9" t="s">
        <v>25</v>
      </c>
      <c r="IH10" s="9" t="s">
        <v>612</v>
      </c>
      <c r="II10" s="9" t="s">
        <v>3512</v>
      </c>
      <c r="IJ10" s="9" t="s">
        <v>3323</v>
      </c>
      <c r="IL10" s="9" t="s">
        <v>612</v>
      </c>
      <c r="IM10" s="9" t="s">
        <v>3512</v>
      </c>
      <c r="IN10" s="9" t="s">
        <v>3895</v>
      </c>
      <c r="IO10" s="9" t="s">
        <v>3512</v>
      </c>
      <c r="IP10" s="9" t="s">
        <v>612</v>
      </c>
      <c r="IQ10" s="9" t="s">
        <v>3512</v>
      </c>
      <c r="IR10" s="9" t="s">
        <v>612</v>
      </c>
      <c r="IS10" s="9" t="s">
        <v>3512</v>
      </c>
      <c r="IT10" s="9" t="s">
        <v>4278</v>
      </c>
      <c r="IV10" s="9" t="s">
        <v>25</v>
      </c>
      <c r="JD10" s="9" t="s">
        <v>3347</v>
      </c>
      <c r="JF10" s="9" t="s">
        <v>3287</v>
      </c>
      <c r="JH10" s="9" t="s">
        <v>3287</v>
      </c>
      <c r="JJ10" s="9" t="s">
        <v>3287</v>
      </c>
      <c r="JL10" s="9" t="s">
        <v>3287</v>
      </c>
      <c r="JN10" s="9" t="s">
        <v>3287</v>
      </c>
      <c r="JP10" s="9" t="s">
        <v>3287</v>
      </c>
      <c r="JR10" s="9" t="s">
        <v>25</v>
      </c>
      <c r="JZ10" s="9" t="s">
        <v>3287</v>
      </c>
      <c r="KB10" s="9" t="s">
        <v>3613</v>
      </c>
      <c r="KD10" s="9" t="s">
        <v>3287</v>
      </c>
      <c r="KF10" s="9" t="s">
        <v>3287</v>
      </c>
      <c r="KH10" s="9" t="s">
        <v>3287</v>
      </c>
      <c r="KJ10" s="9" t="s">
        <v>3695</v>
      </c>
      <c r="KL10" s="9" t="s">
        <v>3287</v>
      </c>
      <c r="KN10" s="9" t="s">
        <v>612</v>
      </c>
      <c r="KO10" s="9" t="s">
        <v>4145</v>
      </c>
      <c r="KP10" s="9" t="s">
        <v>3287</v>
      </c>
      <c r="KR10" s="9" t="s">
        <v>25</v>
      </c>
      <c r="LB10" s="9" t="s">
        <v>3287</v>
      </c>
      <c r="LD10" s="9" t="s">
        <v>3287</v>
      </c>
      <c r="LF10" s="9" t="s">
        <v>3287</v>
      </c>
      <c r="LH10" s="9" t="s">
        <v>3287</v>
      </c>
      <c r="LJ10" s="9" t="s">
        <v>612</v>
      </c>
      <c r="LK10" s="9" t="s">
        <v>4293</v>
      </c>
      <c r="LL10" s="9" t="s">
        <v>4294</v>
      </c>
      <c r="LN10" s="9" t="s">
        <v>3287</v>
      </c>
      <c r="LP10" s="9" t="s">
        <v>3287</v>
      </c>
      <c r="LR10" s="9" t="s">
        <v>25</v>
      </c>
      <c r="MA10" s="9" t="s">
        <v>13591</v>
      </c>
    </row>
    <row r="11" spans="1:339" ht="25.5" x14ac:dyDescent="0.2">
      <c r="A11" s="8" t="s">
        <v>176</v>
      </c>
      <c r="B11" s="9" t="s">
        <v>28</v>
      </c>
      <c r="C11" s="9" t="s">
        <v>25</v>
      </c>
      <c r="D11" s="9" t="s">
        <v>28</v>
      </c>
      <c r="E11" s="9" t="s">
        <v>25</v>
      </c>
      <c r="F11" s="9" t="s">
        <v>25</v>
      </c>
      <c r="G11" s="9" t="s">
        <v>28</v>
      </c>
      <c r="H11" s="9" t="s">
        <v>25</v>
      </c>
      <c r="I11" s="9" t="s">
        <v>25</v>
      </c>
      <c r="J11" s="9" t="s">
        <v>25</v>
      </c>
      <c r="L11" s="9" t="s">
        <v>3339</v>
      </c>
      <c r="N11" s="9" t="s">
        <v>3339</v>
      </c>
      <c r="P11" s="9" t="s">
        <v>3377</v>
      </c>
      <c r="R11" s="9" t="s">
        <v>3347</v>
      </c>
      <c r="T11" s="9" t="s">
        <v>3339</v>
      </c>
      <c r="AE11" s="9" t="s">
        <v>3339</v>
      </c>
      <c r="AG11" s="9" t="s">
        <v>3339</v>
      </c>
      <c r="AI11" s="9" t="s">
        <v>3339</v>
      </c>
      <c r="AK11" s="9" t="s">
        <v>3339</v>
      </c>
      <c r="AM11" s="9" t="s">
        <v>3279</v>
      </c>
      <c r="AO11" s="9" t="s">
        <v>3279</v>
      </c>
      <c r="AQ11" s="9" t="s">
        <v>3279</v>
      </c>
      <c r="AS11" s="9" t="s">
        <v>3287</v>
      </c>
      <c r="AU11" s="9" t="s">
        <v>25</v>
      </c>
      <c r="BQ11" s="9" t="s">
        <v>4046</v>
      </c>
      <c r="BS11" s="9" t="s">
        <v>3341</v>
      </c>
      <c r="BU11" s="9" t="s">
        <v>3287</v>
      </c>
      <c r="BW11" s="9" t="s">
        <v>3422</v>
      </c>
      <c r="BY11" s="9" t="s">
        <v>25</v>
      </c>
      <c r="CD11" s="9" t="s">
        <v>13587</v>
      </c>
      <c r="CF11" s="9" t="s">
        <v>13587</v>
      </c>
      <c r="CH11" s="9" t="s">
        <v>3349</v>
      </c>
      <c r="CJ11" s="9" t="s">
        <v>13999</v>
      </c>
      <c r="CK11" s="9" t="s">
        <v>4356</v>
      </c>
      <c r="CL11" s="9" t="s">
        <v>3293</v>
      </c>
      <c r="CN11" s="9" t="s">
        <v>3349</v>
      </c>
      <c r="CP11" s="9" t="s">
        <v>4174</v>
      </c>
      <c r="CR11" s="9" t="s">
        <v>25</v>
      </c>
      <c r="CY11" s="9" t="s">
        <v>3478</v>
      </c>
      <c r="DA11" s="9" t="s">
        <v>3297</v>
      </c>
      <c r="DC11" s="9" t="s">
        <v>3297</v>
      </c>
      <c r="DE11" s="9" t="s">
        <v>3287</v>
      </c>
      <c r="DG11" s="9" t="s">
        <v>3287</v>
      </c>
      <c r="DI11" s="9" t="s">
        <v>3287</v>
      </c>
      <c r="DK11" s="9" t="s">
        <v>3415</v>
      </c>
      <c r="DM11" s="9" t="s">
        <v>3287</v>
      </c>
      <c r="DO11" s="9" t="s">
        <v>3287</v>
      </c>
      <c r="DQ11" s="9" t="s">
        <v>3287</v>
      </c>
      <c r="DS11" s="9" t="s">
        <v>3297</v>
      </c>
      <c r="DU11" s="9" t="s">
        <v>3297</v>
      </c>
      <c r="DW11" s="9" t="s">
        <v>3626</v>
      </c>
      <c r="DY11" s="9" t="s">
        <v>3626</v>
      </c>
      <c r="EA11" s="9" t="s">
        <v>3626</v>
      </c>
      <c r="EC11" s="9" t="s">
        <v>3287</v>
      </c>
      <c r="EE11" s="9" t="s">
        <v>3287</v>
      </c>
      <c r="EG11" s="9" t="s">
        <v>25</v>
      </c>
      <c r="EY11" s="9" t="s">
        <v>3626</v>
      </c>
      <c r="FA11" s="9" t="s">
        <v>4258</v>
      </c>
      <c r="FC11" s="9" t="s">
        <v>3287</v>
      </c>
      <c r="FE11" s="9" t="s">
        <v>4258</v>
      </c>
      <c r="FG11" s="9" t="s">
        <v>3552</v>
      </c>
      <c r="FI11" s="9" t="s">
        <v>4258</v>
      </c>
      <c r="FK11" s="9" t="s">
        <v>3287</v>
      </c>
      <c r="FM11" s="9" t="s">
        <v>25</v>
      </c>
      <c r="FU11" s="9" t="s">
        <v>25</v>
      </c>
      <c r="FW11" s="9" t="s">
        <v>3396</v>
      </c>
      <c r="FY11" s="9" t="s">
        <v>3346</v>
      </c>
      <c r="GA11" s="9" t="s">
        <v>3942</v>
      </c>
      <c r="GC11" s="9" t="s">
        <v>3396</v>
      </c>
      <c r="GE11" s="9" t="s">
        <v>3396</v>
      </c>
      <c r="GG11" s="9" t="s">
        <v>3396</v>
      </c>
      <c r="GI11" s="9" t="s">
        <v>3287</v>
      </c>
      <c r="GK11" s="9" t="s">
        <v>25</v>
      </c>
      <c r="GS11" s="9" t="s">
        <v>3282</v>
      </c>
      <c r="GU11" s="9" t="s">
        <v>3282</v>
      </c>
      <c r="GW11" s="9" t="s">
        <v>3282</v>
      </c>
      <c r="GY11" s="9" t="s">
        <v>3282</v>
      </c>
      <c r="HA11" s="9" t="s">
        <v>3282</v>
      </c>
      <c r="HC11" s="9" t="s">
        <v>25</v>
      </c>
      <c r="HI11" s="9" t="s">
        <v>3577</v>
      </c>
      <c r="HK11" s="9" t="s">
        <v>1265</v>
      </c>
      <c r="HM11" s="9" t="s">
        <v>3282</v>
      </c>
      <c r="HO11" s="9" t="s">
        <v>3339</v>
      </c>
      <c r="HQ11" s="9" t="s">
        <v>3287</v>
      </c>
      <c r="HS11" s="9" t="s">
        <v>3339</v>
      </c>
      <c r="HU11" s="9" t="s">
        <v>1265</v>
      </c>
      <c r="HW11" s="9" t="s">
        <v>3282</v>
      </c>
      <c r="HY11" s="9" t="s">
        <v>25</v>
      </c>
      <c r="IH11" s="9" t="s">
        <v>3397</v>
      </c>
      <c r="IJ11" s="9" t="s">
        <v>3380</v>
      </c>
      <c r="IL11" s="9" t="s">
        <v>3513</v>
      </c>
      <c r="IN11" s="9" t="s">
        <v>14012</v>
      </c>
      <c r="IP11" s="9" t="s">
        <v>14012</v>
      </c>
      <c r="IR11" s="9" t="s">
        <v>3397</v>
      </c>
      <c r="IT11" s="9" t="s">
        <v>3514</v>
      </c>
      <c r="IV11" s="9" t="s">
        <v>25</v>
      </c>
      <c r="JD11" s="9" t="s">
        <v>3347</v>
      </c>
      <c r="JF11" s="9" t="s">
        <v>3287</v>
      </c>
      <c r="JH11" s="9" t="s">
        <v>3287</v>
      </c>
      <c r="JJ11" s="9" t="s">
        <v>3287</v>
      </c>
      <c r="JL11" s="9" t="s">
        <v>3287</v>
      </c>
      <c r="JN11" s="9" t="s">
        <v>3287</v>
      </c>
      <c r="JP11" s="9" t="s">
        <v>3287</v>
      </c>
      <c r="JR11" s="9" t="s">
        <v>25</v>
      </c>
      <c r="JZ11" s="9" t="s">
        <v>3397</v>
      </c>
      <c r="KB11" s="9" t="s">
        <v>3328</v>
      </c>
      <c r="KD11" s="9" t="s">
        <v>3287</v>
      </c>
      <c r="KF11" s="9" t="s">
        <v>3287</v>
      </c>
      <c r="KJ11" s="9" t="s">
        <v>3287</v>
      </c>
      <c r="KL11" s="9" t="s">
        <v>3287</v>
      </c>
      <c r="KN11" s="9" t="s">
        <v>3329</v>
      </c>
      <c r="KP11" s="9" t="s">
        <v>3332</v>
      </c>
      <c r="KR11" s="9" t="s">
        <v>25</v>
      </c>
      <c r="LB11" s="9" t="s">
        <v>3287</v>
      </c>
      <c r="LD11" s="9" t="s">
        <v>3287</v>
      </c>
      <c r="LF11" s="9" t="s">
        <v>3287</v>
      </c>
      <c r="LH11" s="9" t="s">
        <v>3287</v>
      </c>
      <c r="LJ11" s="9" t="s">
        <v>3586</v>
      </c>
      <c r="LL11" s="9" t="s">
        <v>3287</v>
      </c>
      <c r="LN11" s="9" t="s">
        <v>3433</v>
      </c>
      <c r="LP11" s="9" t="s">
        <v>3287</v>
      </c>
      <c r="LR11" s="9" t="s">
        <v>25</v>
      </c>
      <c r="MA11" s="9" t="s">
        <v>3803</v>
      </c>
    </row>
    <row r="12" spans="1:339" ht="25.5" x14ac:dyDescent="0.2">
      <c r="A12" s="8" t="s">
        <v>175</v>
      </c>
      <c r="B12" s="9" t="s">
        <v>25</v>
      </c>
      <c r="C12" s="9" t="s">
        <v>25</v>
      </c>
      <c r="D12" s="9" t="s">
        <v>25</v>
      </c>
      <c r="E12" s="9" t="s">
        <v>25</v>
      </c>
      <c r="F12" s="9" t="s">
        <v>25</v>
      </c>
      <c r="G12" s="9" t="s">
        <v>25</v>
      </c>
      <c r="H12" s="9" t="s">
        <v>25</v>
      </c>
      <c r="I12" s="9" t="s">
        <v>25</v>
      </c>
      <c r="J12" s="9" t="s">
        <v>25</v>
      </c>
      <c r="L12" s="9" t="s">
        <v>4342</v>
      </c>
      <c r="M12" s="9" t="s">
        <v>4343</v>
      </c>
      <c r="N12" s="9" t="s">
        <v>4342</v>
      </c>
      <c r="O12" s="9" t="s">
        <v>4343</v>
      </c>
      <c r="P12" s="9" t="s">
        <v>612</v>
      </c>
      <c r="Q12" s="9" t="s">
        <v>4344</v>
      </c>
      <c r="R12" s="9" t="s">
        <v>3280</v>
      </c>
      <c r="T12" s="9" t="s">
        <v>3287</v>
      </c>
      <c r="V12" s="9" t="s">
        <v>3280</v>
      </c>
      <c r="X12" s="9" t="s">
        <v>25</v>
      </c>
      <c r="AE12" s="9" t="s">
        <v>3287</v>
      </c>
      <c r="AG12" s="9" t="s">
        <v>3408</v>
      </c>
      <c r="AI12" s="9" t="s">
        <v>3287</v>
      </c>
      <c r="AK12" s="9" t="s">
        <v>3287</v>
      </c>
      <c r="AM12" s="9" t="s">
        <v>3408</v>
      </c>
      <c r="AO12" s="9" t="s">
        <v>3287</v>
      </c>
      <c r="AQ12" s="9" t="s">
        <v>3287</v>
      </c>
      <c r="AS12" s="9" t="s">
        <v>3287</v>
      </c>
      <c r="AU12" s="9" t="s">
        <v>25</v>
      </c>
      <c r="BD12" s="9" t="s">
        <v>3649</v>
      </c>
      <c r="BF12" s="9" t="s">
        <v>3649</v>
      </c>
      <c r="BH12" s="9" t="s">
        <v>3649</v>
      </c>
      <c r="BJ12" s="9" t="s">
        <v>3649</v>
      </c>
      <c r="BL12" s="9" t="s">
        <v>25</v>
      </c>
      <c r="BQ12" s="9" t="s">
        <v>53</v>
      </c>
      <c r="BS12" s="9" t="s">
        <v>3341</v>
      </c>
      <c r="BU12" s="9" t="s">
        <v>3408</v>
      </c>
      <c r="BW12" s="9" t="s">
        <v>612</v>
      </c>
      <c r="BX12" s="9" t="s">
        <v>3482</v>
      </c>
      <c r="BY12" s="9" t="s">
        <v>25</v>
      </c>
      <c r="CD12" s="9" t="s">
        <v>3703</v>
      </c>
      <c r="CE12" s="9" t="s">
        <v>4345</v>
      </c>
      <c r="CF12" s="9" t="s">
        <v>4346</v>
      </c>
      <c r="CH12" s="9" t="s">
        <v>1189</v>
      </c>
      <c r="CJ12" s="9" t="s">
        <v>3397</v>
      </c>
      <c r="CL12" s="9" t="s">
        <v>3293</v>
      </c>
      <c r="CN12" s="9" t="s">
        <v>3361</v>
      </c>
      <c r="CP12" s="9" t="s">
        <v>3287</v>
      </c>
      <c r="CR12" s="9" t="s">
        <v>28</v>
      </c>
      <c r="CS12" s="9" t="s">
        <v>4347</v>
      </c>
      <c r="CY12" s="9" t="s">
        <v>3478</v>
      </c>
      <c r="DA12" s="9" t="s">
        <v>3478</v>
      </c>
      <c r="DC12" s="9" t="s">
        <v>3478</v>
      </c>
      <c r="DE12" s="9" t="s">
        <v>3287</v>
      </c>
      <c r="DG12" s="9" t="s">
        <v>3287</v>
      </c>
      <c r="DI12" s="9" t="s">
        <v>3287</v>
      </c>
      <c r="DK12" s="9" t="s">
        <v>3287</v>
      </c>
      <c r="DM12" s="9" t="s">
        <v>3287</v>
      </c>
      <c r="DO12" s="9" t="s">
        <v>3287</v>
      </c>
      <c r="DQ12" s="9" t="s">
        <v>3287</v>
      </c>
      <c r="DS12" s="9" t="s">
        <v>4348</v>
      </c>
      <c r="DU12" s="9" t="s">
        <v>3417</v>
      </c>
      <c r="DW12" s="9" t="s">
        <v>3287</v>
      </c>
      <c r="DY12" s="9" t="s">
        <v>3287</v>
      </c>
      <c r="EA12" s="9" t="s">
        <v>3287</v>
      </c>
      <c r="EC12" s="9" t="s">
        <v>3418</v>
      </c>
      <c r="EE12" s="9" t="s">
        <v>3287</v>
      </c>
      <c r="EG12" s="9" t="s">
        <v>25</v>
      </c>
      <c r="EY12" s="9" t="s">
        <v>3287</v>
      </c>
      <c r="FA12" s="9" t="s">
        <v>3287</v>
      </c>
      <c r="FC12" s="9" t="s">
        <v>3287</v>
      </c>
      <c r="FE12" s="9" t="s">
        <v>3287</v>
      </c>
      <c r="FG12" s="9" t="s">
        <v>3287</v>
      </c>
      <c r="FI12" s="9" t="s">
        <v>3287</v>
      </c>
      <c r="FK12" s="9" t="s">
        <v>3287</v>
      </c>
      <c r="FM12" s="9" t="s">
        <v>25</v>
      </c>
      <c r="FU12" s="9" t="s">
        <v>25</v>
      </c>
      <c r="FW12" s="9" t="s">
        <v>3287</v>
      </c>
      <c r="FY12" s="9" t="s">
        <v>3287</v>
      </c>
      <c r="GA12" s="9" t="s">
        <v>4349</v>
      </c>
      <c r="GC12" s="9" t="s">
        <v>3488</v>
      </c>
      <c r="GE12" s="9" t="s">
        <v>3287</v>
      </c>
      <c r="GG12" s="9" t="s">
        <v>3317</v>
      </c>
      <c r="GI12" s="9" t="s">
        <v>3397</v>
      </c>
      <c r="GK12" s="9" t="s">
        <v>25</v>
      </c>
      <c r="GS12" s="9" t="s">
        <v>612</v>
      </c>
      <c r="GT12" s="9" t="s">
        <v>4350</v>
      </c>
      <c r="GU12" s="9" t="s">
        <v>612</v>
      </c>
      <c r="GV12" s="9" t="s">
        <v>3482</v>
      </c>
      <c r="GW12" s="9" t="s">
        <v>612</v>
      </c>
      <c r="GX12" s="9" t="s">
        <v>3482</v>
      </c>
      <c r="GY12" s="9" t="s">
        <v>3287</v>
      </c>
      <c r="HA12" s="9" t="s">
        <v>612</v>
      </c>
      <c r="HB12" s="9" t="s">
        <v>3482</v>
      </c>
      <c r="HC12" s="9" t="s">
        <v>25</v>
      </c>
      <c r="HI12" s="9" t="s">
        <v>929</v>
      </c>
      <c r="HK12" s="9" t="s">
        <v>612</v>
      </c>
      <c r="HL12" s="9" t="s">
        <v>4350</v>
      </c>
      <c r="HM12" s="9" t="s">
        <v>612</v>
      </c>
      <c r="HN12" s="9" t="s">
        <v>3482</v>
      </c>
      <c r="HO12" s="9" t="s">
        <v>3287</v>
      </c>
      <c r="HQ12" s="9" t="s">
        <v>3348</v>
      </c>
      <c r="HS12" s="9" t="s">
        <v>3287</v>
      </c>
      <c r="HU12" s="9" t="s">
        <v>612</v>
      </c>
      <c r="HV12" s="9" t="s">
        <v>3482</v>
      </c>
      <c r="HW12" s="9" t="s">
        <v>612</v>
      </c>
      <c r="HX12" s="9" t="s">
        <v>3482</v>
      </c>
      <c r="HY12" s="9" t="s">
        <v>25</v>
      </c>
      <c r="IH12" s="9" t="s">
        <v>3717</v>
      </c>
      <c r="IJ12" s="9" t="s">
        <v>3323</v>
      </c>
      <c r="IL12" s="9" t="s">
        <v>3513</v>
      </c>
      <c r="IN12" s="9" t="s">
        <v>3513</v>
      </c>
      <c r="IP12" s="9" t="s">
        <v>14014</v>
      </c>
      <c r="IR12" s="9" t="s">
        <v>3717</v>
      </c>
      <c r="IT12" s="9" t="s">
        <v>3514</v>
      </c>
      <c r="IV12" s="9" t="s">
        <v>25</v>
      </c>
      <c r="JD12" s="9" t="s">
        <v>3424</v>
      </c>
      <c r="JF12" s="9" t="s">
        <v>3424</v>
      </c>
      <c r="JH12" s="9" t="s">
        <v>4351</v>
      </c>
      <c r="JJ12" s="9" t="s">
        <v>3424</v>
      </c>
      <c r="JL12" s="9" t="s">
        <v>3424</v>
      </c>
      <c r="JN12" s="9" t="s">
        <v>4352</v>
      </c>
      <c r="JP12" s="9" t="s">
        <v>3287</v>
      </c>
      <c r="JR12" s="9" t="s">
        <v>25</v>
      </c>
      <c r="JZ12" s="9" t="s">
        <v>14018</v>
      </c>
      <c r="KB12" s="9" t="s">
        <v>3456</v>
      </c>
      <c r="KD12" s="9" t="s">
        <v>3909</v>
      </c>
      <c r="KF12" s="9" t="s">
        <v>3287</v>
      </c>
      <c r="KH12" s="9" t="s">
        <v>612</v>
      </c>
      <c r="KI12" s="9" t="s">
        <v>4353</v>
      </c>
      <c r="KJ12" s="9" t="s">
        <v>3375</v>
      </c>
      <c r="KL12" s="9" t="s">
        <v>3287</v>
      </c>
      <c r="KN12" s="9" t="s">
        <v>612</v>
      </c>
      <c r="KO12" s="9" t="s">
        <v>4354</v>
      </c>
      <c r="KP12" s="9" t="s">
        <v>3332</v>
      </c>
      <c r="KR12" s="9" t="s">
        <v>25</v>
      </c>
      <c r="LB12" s="9" t="s">
        <v>3287</v>
      </c>
      <c r="LD12" s="9" t="s">
        <v>3287</v>
      </c>
      <c r="LF12" s="9" t="s">
        <v>3287</v>
      </c>
      <c r="LH12" s="9" t="s">
        <v>3287</v>
      </c>
      <c r="LJ12" s="9" t="s">
        <v>3465</v>
      </c>
      <c r="LL12" s="9" t="s">
        <v>3587</v>
      </c>
      <c r="LN12" s="9" t="s">
        <v>3287</v>
      </c>
      <c r="LP12" s="9" t="s">
        <v>3287</v>
      </c>
      <c r="LR12" s="9" t="s">
        <v>25</v>
      </c>
      <c r="MA12" s="9" t="s">
        <v>4355</v>
      </c>
    </row>
    <row r="13" spans="1:339" ht="25.5" x14ac:dyDescent="0.2">
      <c r="A13" s="8" t="s">
        <v>121</v>
      </c>
      <c r="B13" s="9" t="s">
        <v>25</v>
      </c>
      <c r="C13" s="9" t="s">
        <v>25</v>
      </c>
      <c r="D13" s="9" t="s">
        <v>25</v>
      </c>
      <c r="E13" s="9" t="s">
        <v>25</v>
      </c>
      <c r="F13" s="9" t="s">
        <v>25</v>
      </c>
      <c r="G13" s="9" t="s">
        <v>25</v>
      </c>
      <c r="H13" s="9" t="s">
        <v>25</v>
      </c>
      <c r="I13" s="9" t="s">
        <v>25</v>
      </c>
      <c r="L13" s="9" t="s">
        <v>3339</v>
      </c>
      <c r="N13" s="9" t="s">
        <v>3287</v>
      </c>
      <c r="P13" s="9" t="s">
        <v>3381</v>
      </c>
      <c r="R13" s="9" t="s">
        <v>3279</v>
      </c>
      <c r="T13" s="9" t="s">
        <v>3279</v>
      </c>
      <c r="V13" s="9" t="s">
        <v>3279</v>
      </c>
      <c r="X13" s="9" t="s">
        <v>25</v>
      </c>
      <c r="AE13" s="9" t="s">
        <v>3287</v>
      </c>
      <c r="AG13" s="9" t="s">
        <v>3287</v>
      </c>
      <c r="AI13" s="9" t="s">
        <v>3287</v>
      </c>
      <c r="AK13" s="9" t="s">
        <v>3287</v>
      </c>
      <c r="AM13" s="9" t="s">
        <v>3287</v>
      </c>
      <c r="AO13" s="9" t="s">
        <v>3287</v>
      </c>
      <c r="AQ13" s="9" t="s">
        <v>3287</v>
      </c>
      <c r="AS13" s="9" t="s">
        <v>3287</v>
      </c>
      <c r="AU13" s="9" t="s">
        <v>25</v>
      </c>
      <c r="BD13" s="9" t="s">
        <v>3382</v>
      </c>
      <c r="BF13" s="9" t="s">
        <v>3382</v>
      </c>
      <c r="BH13" s="9" t="s">
        <v>3382</v>
      </c>
      <c r="BJ13" s="9" t="s">
        <v>3382</v>
      </c>
      <c r="BL13" s="9" t="s">
        <v>25</v>
      </c>
      <c r="BQ13" s="9" t="s">
        <v>3383</v>
      </c>
      <c r="BS13" s="9" t="s">
        <v>3384</v>
      </c>
      <c r="BU13" s="9" t="s">
        <v>3287</v>
      </c>
      <c r="BW13" s="9" t="s">
        <v>3385</v>
      </c>
      <c r="BY13" s="9" t="s">
        <v>25</v>
      </c>
      <c r="CD13" s="9" t="s">
        <v>3386</v>
      </c>
      <c r="CF13" s="9" t="s">
        <v>3386</v>
      </c>
      <c r="CH13" s="9" t="s">
        <v>3361</v>
      </c>
      <c r="CJ13" s="9" t="s">
        <v>3349</v>
      </c>
      <c r="CL13" s="9" t="s">
        <v>3293</v>
      </c>
      <c r="CN13" s="9" t="s">
        <v>3361</v>
      </c>
      <c r="CP13" s="9" t="s">
        <v>3287</v>
      </c>
      <c r="CR13" s="9" t="s">
        <v>25</v>
      </c>
      <c r="CY13" s="9" t="s">
        <v>3387</v>
      </c>
      <c r="DA13" s="9" t="s">
        <v>3297</v>
      </c>
      <c r="DC13" s="9" t="s">
        <v>3297</v>
      </c>
      <c r="DE13" s="9" t="s">
        <v>3297</v>
      </c>
      <c r="DG13" s="9" t="s">
        <v>3287</v>
      </c>
      <c r="DI13" s="9" t="s">
        <v>3287</v>
      </c>
      <c r="DK13" s="9" t="s">
        <v>3287</v>
      </c>
      <c r="DM13" s="9" t="s">
        <v>3287</v>
      </c>
      <c r="DO13" s="9" t="s">
        <v>3287</v>
      </c>
      <c r="DQ13" s="9" t="s">
        <v>3287</v>
      </c>
      <c r="DS13" s="9" t="s">
        <v>3388</v>
      </c>
      <c r="DU13" s="9" t="s">
        <v>612</v>
      </c>
      <c r="DV13" s="9" t="s">
        <v>3389</v>
      </c>
      <c r="DW13" s="9" t="s">
        <v>3390</v>
      </c>
      <c r="DY13" s="9" t="s">
        <v>3287</v>
      </c>
      <c r="EA13" s="9" t="s">
        <v>3287</v>
      </c>
      <c r="EC13" s="9" t="s">
        <v>3391</v>
      </c>
      <c r="EE13" s="9" t="s">
        <v>3392</v>
      </c>
      <c r="EF13" s="9" t="s">
        <v>3393</v>
      </c>
      <c r="EG13" s="9" t="s">
        <v>25</v>
      </c>
      <c r="EY13" s="9" t="s">
        <v>3345</v>
      </c>
      <c r="FA13" s="9" t="s">
        <v>3287</v>
      </c>
      <c r="FC13" s="9" t="s">
        <v>3345</v>
      </c>
      <c r="FE13" s="9" t="s">
        <v>612</v>
      </c>
      <c r="FF13" s="9" t="s">
        <v>3394</v>
      </c>
      <c r="FG13" s="9" t="s">
        <v>3287</v>
      </c>
      <c r="FI13" s="9" t="s">
        <v>612</v>
      </c>
      <c r="FJ13" s="9" t="s">
        <v>3395</v>
      </c>
      <c r="FK13" s="9" t="s">
        <v>3297</v>
      </c>
      <c r="FM13" s="9" t="s">
        <v>25</v>
      </c>
      <c r="FU13" s="9" t="s">
        <v>25</v>
      </c>
      <c r="FW13" s="9" t="s">
        <v>3287</v>
      </c>
      <c r="FY13" s="9" t="s">
        <v>3287</v>
      </c>
      <c r="GA13" s="9" t="s">
        <v>3287</v>
      </c>
      <c r="GC13" s="9" t="s">
        <v>3396</v>
      </c>
      <c r="GE13" s="9" t="s">
        <v>3396</v>
      </c>
      <c r="GG13" s="9" t="s">
        <v>3396</v>
      </c>
      <c r="GI13" s="9" t="s">
        <v>3397</v>
      </c>
      <c r="GK13" s="9" t="s">
        <v>25</v>
      </c>
      <c r="GS13" s="9" t="s">
        <v>3398</v>
      </c>
      <c r="GU13" s="9" t="s">
        <v>3398</v>
      </c>
      <c r="GW13" s="9" t="s">
        <v>3398</v>
      </c>
      <c r="GY13" s="9" t="s">
        <v>3398</v>
      </c>
      <c r="HA13" s="9" t="s">
        <v>3398</v>
      </c>
      <c r="HC13" s="9" t="s">
        <v>25</v>
      </c>
      <c r="HI13" s="9" t="s">
        <v>3347</v>
      </c>
      <c r="HK13" s="9" t="s">
        <v>612</v>
      </c>
      <c r="HL13" s="9" t="s">
        <v>3399</v>
      </c>
      <c r="HM13" s="9" t="s">
        <v>612</v>
      </c>
      <c r="HN13" s="9" t="s">
        <v>3398</v>
      </c>
      <c r="HO13" s="9" t="s">
        <v>3339</v>
      </c>
      <c r="HQ13" s="9" t="s">
        <v>3400</v>
      </c>
      <c r="HS13" s="9" t="s">
        <v>3401</v>
      </c>
      <c r="HU13" s="9" t="s">
        <v>1265</v>
      </c>
      <c r="HW13" s="9" t="s">
        <v>612</v>
      </c>
      <c r="HX13" s="9" t="s">
        <v>3398</v>
      </c>
      <c r="HY13" s="9" t="s">
        <v>25</v>
      </c>
      <c r="IH13" s="9" t="s">
        <v>3397</v>
      </c>
      <c r="IJ13" s="9" t="s">
        <v>3380</v>
      </c>
      <c r="IL13" s="9" t="s">
        <v>3397</v>
      </c>
      <c r="IN13" s="9" t="s">
        <v>3287</v>
      </c>
      <c r="IP13" s="9" t="s">
        <v>3287</v>
      </c>
      <c r="IR13" s="9" t="s">
        <v>3397</v>
      </c>
      <c r="IT13" s="9" t="s">
        <v>3287</v>
      </c>
      <c r="IV13" s="9" t="s">
        <v>25</v>
      </c>
      <c r="JD13" s="9" t="s">
        <v>3347</v>
      </c>
      <c r="JF13" s="9" t="s">
        <v>3347</v>
      </c>
      <c r="JH13" s="9" t="s">
        <v>3347</v>
      </c>
      <c r="JJ13" s="9" t="s">
        <v>3347</v>
      </c>
      <c r="JL13" s="9" t="s">
        <v>3347</v>
      </c>
      <c r="JN13" s="9" t="s">
        <v>3347</v>
      </c>
      <c r="JP13" s="9" t="s">
        <v>3347</v>
      </c>
      <c r="JR13" s="9" t="s">
        <v>25</v>
      </c>
      <c r="JZ13" s="9" t="s">
        <v>612</v>
      </c>
      <c r="KA13" s="9" t="s">
        <v>3402</v>
      </c>
      <c r="KB13" s="9" t="s">
        <v>3403</v>
      </c>
      <c r="KD13" s="9" t="s">
        <v>3397</v>
      </c>
      <c r="KF13" s="9" t="s">
        <v>3287</v>
      </c>
      <c r="KH13" s="9" t="s">
        <v>3287</v>
      </c>
      <c r="KJ13" s="9" t="s">
        <v>3404</v>
      </c>
      <c r="KL13" s="9" t="s">
        <v>3287</v>
      </c>
      <c r="KN13" s="9" t="s">
        <v>3396</v>
      </c>
      <c r="KP13" s="9" t="s">
        <v>3287</v>
      </c>
      <c r="KR13" s="9" t="s">
        <v>25</v>
      </c>
      <c r="LB13" s="9" t="s">
        <v>3287</v>
      </c>
      <c r="LD13" s="9" t="s">
        <v>3287</v>
      </c>
      <c r="LF13" s="9" t="s">
        <v>3287</v>
      </c>
      <c r="LH13" s="9" t="s">
        <v>3287</v>
      </c>
      <c r="LJ13" s="9" t="s">
        <v>612</v>
      </c>
      <c r="LK13" s="9" t="s">
        <v>3405</v>
      </c>
      <c r="LL13" s="9" t="s">
        <v>3406</v>
      </c>
      <c r="LN13" s="9" t="s">
        <v>3287</v>
      </c>
      <c r="LP13" s="9" t="s">
        <v>3287</v>
      </c>
      <c r="LR13" s="9" t="s">
        <v>25</v>
      </c>
      <c r="MA13" s="9" t="s">
        <v>3338</v>
      </c>
    </row>
    <row r="14" spans="1:339" ht="51" x14ac:dyDescent="0.2">
      <c r="A14" s="8" t="s">
        <v>147</v>
      </c>
      <c r="B14" s="9" t="s">
        <v>25</v>
      </c>
      <c r="C14" s="9" t="s">
        <v>25</v>
      </c>
      <c r="D14" s="9" t="s">
        <v>25</v>
      </c>
      <c r="E14" s="9" t="s">
        <v>25</v>
      </c>
      <c r="F14" s="9" t="s">
        <v>25</v>
      </c>
      <c r="G14" s="9" t="s">
        <v>28</v>
      </c>
      <c r="H14" s="9" t="s">
        <v>25</v>
      </c>
      <c r="I14" s="9" t="s">
        <v>25</v>
      </c>
      <c r="J14" s="9" t="s">
        <v>28</v>
      </c>
      <c r="K14" s="9" t="s">
        <v>3913</v>
      </c>
      <c r="L14" s="9" t="s">
        <v>3914</v>
      </c>
      <c r="N14" s="9" t="s">
        <v>3914</v>
      </c>
      <c r="P14" s="9" t="s">
        <v>3563</v>
      </c>
      <c r="R14" s="9" t="s">
        <v>3915</v>
      </c>
      <c r="T14" s="9" t="s">
        <v>3915</v>
      </c>
      <c r="V14" s="9" t="s">
        <v>3287</v>
      </c>
      <c r="X14" s="9" t="s">
        <v>25</v>
      </c>
      <c r="AE14" s="9" t="s">
        <v>3916</v>
      </c>
      <c r="AG14" s="9" t="s">
        <v>3916</v>
      </c>
      <c r="AI14" s="9" t="s">
        <v>3916</v>
      </c>
      <c r="AK14" s="9" t="s">
        <v>3916</v>
      </c>
      <c r="AM14" s="9" t="s">
        <v>3916</v>
      </c>
      <c r="AO14" s="9" t="s">
        <v>3916</v>
      </c>
      <c r="AQ14" s="9" t="s">
        <v>3916</v>
      </c>
      <c r="AS14" s="9" t="s">
        <v>3488</v>
      </c>
      <c r="AU14" s="9" t="s">
        <v>25</v>
      </c>
      <c r="BD14" s="9" t="s">
        <v>3474</v>
      </c>
      <c r="BF14" s="9" t="s">
        <v>3474</v>
      </c>
      <c r="BH14" s="9" t="s">
        <v>3474</v>
      </c>
      <c r="BJ14" s="9" t="s">
        <v>3287</v>
      </c>
      <c r="BL14" s="9" t="s">
        <v>25</v>
      </c>
      <c r="BQ14" s="9" t="s">
        <v>53</v>
      </c>
      <c r="BS14" s="9" t="s">
        <v>3341</v>
      </c>
      <c r="BU14" s="9" t="s">
        <v>3917</v>
      </c>
      <c r="BW14" s="9" t="s">
        <v>3917</v>
      </c>
      <c r="BY14" s="9" t="s">
        <v>25</v>
      </c>
      <c r="CD14" s="9" t="s">
        <v>3918</v>
      </c>
      <c r="CF14" s="9" t="s">
        <v>3918</v>
      </c>
      <c r="CH14" s="9" t="s">
        <v>3919</v>
      </c>
      <c r="CJ14" s="9" t="s">
        <v>3292</v>
      </c>
      <c r="CL14" s="9" t="s">
        <v>3293</v>
      </c>
      <c r="CN14" s="9" t="s">
        <v>612</v>
      </c>
      <c r="CO14" s="9" t="s">
        <v>3477</v>
      </c>
      <c r="CP14" s="9" t="s">
        <v>3287</v>
      </c>
      <c r="CR14" s="9" t="s">
        <v>28</v>
      </c>
      <c r="CS14" s="9" t="s">
        <v>3920</v>
      </c>
      <c r="CX14" s="9" t="s">
        <v>3361</v>
      </c>
      <c r="CY14" s="9" t="s">
        <v>612</v>
      </c>
      <c r="CZ14" s="9" t="s">
        <v>3921</v>
      </c>
      <c r="DA14" s="9" t="s">
        <v>3287</v>
      </c>
      <c r="DC14" s="9" t="s">
        <v>3287</v>
      </c>
      <c r="DE14" s="9" t="s">
        <v>3297</v>
      </c>
      <c r="DG14" s="9" t="s">
        <v>3499</v>
      </c>
      <c r="DI14" s="9" t="s">
        <v>612</v>
      </c>
      <c r="DJ14" s="9" t="s">
        <v>3658</v>
      </c>
      <c r="DK14" s="9" t="s">
        <v>3287</v>
      </c>
      <c r="DM14" s="9" t="s">
        <v>3287</v>
      </c>
      <c r="DO14" s="9" t="s">
        <v>612</v>
      </c>
      <c r="DP14" s="9" t="s">
        <v>3922</v>
      </c>
      <c r="DQ14" s="9" t="s">
        <v>3287</v>
      </c>
      <c r="DS14" s="9" t="s">
        <v>3297</v>
      </c>
      <c r="DU14" s="9" t="s">
        <v>612</v>
      </c>
      <c r="DV14" s="9" t="s">
        <v>3923</v>
      </c>
      <c r="DW14" s="9" t="s">
        <v>3287</v>
      </c>
      <c r="DY14" s="9" t="s">
        <v>3287</v>
      </c>
      <c r="EA14" s="9" t="s">
        <v>3287</v>
      </c>
      <c r="EC14" s="9" t="s">
        <v>3287</v>
      </c>
      <c r="EE14" s="9" t="s">
        <v>3504</v>
      </c>
      <c r="EG14" s="9" t="s">
        <v>25</v>
      </c>
      <c r="EY14" s="9" t="s">
        <v>3345</v>
      </c>
      <c r="FA14" s="9" t="s">
        <v>3345</v>
      </c>
      <c r="FC14" s="9" t="s">
        <v>3345</v>
      </c>
      <c r="FE14" s="9" t="s">
        <v>3811</v>
      </c>
      <c r="FG14" s="9" t="s">
        <v>3287</v>
      </c>
      <c r="FI14" s="9" t="s">
        <v>3287</v>
      </c>
      <c r="FK14" s="9" t="s">
        <v>3345</v>
      </c>
      <c r="FM14" s="9" t="s">
        <v>25</v>
      </c>
      <c r="FU14" s="9" t="s">
        <v>25</v>
      </c>
      <c r="FW14" s="9" t="s">
        <v>3287</v>
      </c>
      <c r="FY14" s="9" t="s">
        <v>3287</v>
      </c>
      <c r="GA14" s="9" t="s">
        <v>3611</v>
      </c>
      <c r="GC14" s="9" t="s">
        <v>3611</v>
      </c>
      <c r="GE14" s="9" t="s">
        <v>3924</v>
      </c>
      <c r="GG14" s="9" t="s">
        <v>3611</v>
      </c>
      <c r="GI14" s="9" t="s">
        <v>3397</v>
      </c>
      <c r="GK14" s="9" t="s">
        <v>25</v>
      </c>
      <c r="GS14" s="9" t="s">
        <v>3917</v>
      </c>
      <c r="GU14" s="9" t="s">
        <v>3917</v>
      </c>
      <c r="GW14" s="9" t="s">
        <v>3917</v>
      </c>
      <c r="GY14" s="9" t="s">
        <v>3917</v>
      </c>
      <c r="HA14" s="9" t="s">
        <v>3917</v>
      </c>
      <c r="HC14" s="9" t="s">
        <v>25</v>
      </c>
      <c r="HI14" s="9" t="s">
        <v>3371</v>
      </c>
      <c r="HK14" s="9" t="s">
        <v>3371</v>
      </c>
      <c r="HM14" s="9" t="s">
        <v>612</v>
      </c>
      <c r="HN14" s="9" t="s">
        <v>3925</v>
      </c>
      <c r="HO14" s="9" t="s">
        <v>3287</v>
      </c>
      <c r="HQ14" s="9" t="s">
        <v>612</v>
      </c>
      <c r="HR14" s="9" t="s">
        <v>3926</v>
      </c>
      <c r="HS14" s="9" t="s">
        <v>3287</v>
      </c>
      <c r="HU14" s="9" t="s">
        <v>3371</v>
      </c>
      <c r="HW14" s="9" t="s">
        <v>612</v>
      </c>
      <c r="HX14" s="9" t="s">
        <v>3927</v>
      </c>
      <c r="HY14" s="9" t="s">
        <v>25</v>
      </c>
      <c r="IH14" s="9" t="s">
        <v>612</v>
      </c>
      <c r="II14" s="9" t="s">
        <v>3813</v>
      </c>
      <c r="IJ14" s="9" t="s">
        <v>3323</v>
      </c>
      <c r="IL14" s="9" t="s">
        <v>612</v>
      </c>
      <c r="IM14" s="9" t="s">
        <v>3813</v>
      </c>
      <c r="IN14" s="9" t="s">
        <v>612</v>
      </c>
      <c r="IO14" s="9" t="s">
        <v>3813</v>
      </c>
      <c r="IP14" s="9" t="s">
        <v>612</v>
      </c>
      <c r="IQ14" s="9" t="s">
        <v>3813</v>
      </c>
      <c r="IR14" s="9" t="s">
        <v>612</v>
      </c>
      <c r="IS14" s="9" t="s">
        <v>3813</v>
      </c>
      <c r="IT14" s="9" t="s">
        <v>3324</v>
      </c>
      <c r="IV14" s="9" t="s">
        <v>28</v>
      </c>
      <c r="JC14" s="9" t="s">
        <v>3928</v>
      </c>
      <c r="JD14" s="9" t="s">
        <v>3520</v>
      </c>
      <c r="JF14" s="9" t="s">
        <v>3287</v>
      </c>
      <c r="JH14" s="9" t="s">
        <v>3287</v>
      </c>
      <c r="JJ14" s="9" t="s">
        <v>3520</v>
      </c>
      <c r="JL14" s="9" t="s">
        <v>3520</v>
      </c>
      <c r="JN14" s="9" t="s">
        <v>3520</v>
      </c>
      <c r="JP14" s="9" t="s">
        <v>3287</v>
      </c>
      <c r="JR14" s="9" t="s">
        <v>25</v>
      </c>
      <c r="JZ14" s="9" t="s">
        <v>3397</v>
      </c>
      <c r="KB14" s="9" t="s">
        <v>3929</v>
      </c>
      <c r="KD14" s="9" t="s">
        <v>3397</v>
      </c>
      <c r="KF14" s="9" t="s">
        <v>3287</v>
      </c>
      <c r="KH14" s="9" t="s">
        <v>3287</v>
      </c>
      <c r="KJ14" s="9" t="s">
        <v>3287</v>
      </c>
      <c r="KL14" s="9" t="s">
        <v>3287</v>
      </c>
      <c r="KN14" s="9" t="s">
        <v>3329</v>
      </c>
      <c r="KP14" s="9" t="s">
        <v>3287</v>
      </c>
      <c r="KR14" s="9" t="s">
        <v>25</v>
      </c>
      <c r="LB14" s="9" t="s">
        <v>3517</v>
      </c>
      <c r="LD14" s="9" t="s">
        <v>3287</v>
      </c>
      <c r="LF14" s="9" t="s">
        <v>3335</v>
      </c>
      <c r="LH14" s="9" t="s">
        <v>3287</v>
      </c>
      <c r="LJ14" s="9" t="s">
        <v>612</v>
      </c>
      <c r="LK14" s="9" t="s">
        <v>3930</v>
      </c>
      <c r="LL14" s="9" t="s">
        <v>3287</v>
      </c>
      <c r="LN14" s="9" t="s">
        <v>3287</v>
      </c>
      <c r="LP14" s="9" t="s">
        <v>3287</v>
      </c>
      <c r="LR14" s="9" t="s">
        <v>28</v>
      </c>
      <c r="LT14" s="9" t="s">
        <v>3931</v>
      </c>
      <c r="LV14" s="9" t="s">
        <v>3932</v>
      </c>
      <c r="MA14" s="9" t="s">
        <v>13589</v>
      </c>
    </row>
    <row r="15" spans="1:339" ht="25.5" x14ac:dyDescent="0.2">
      <c r="A15" s="8" t="s">
        <v>138</v>
      </c>
      <c r="B15" s="9" t="s">
        <v>25</v>
      </c>
      <c r="C15" s="9" t="s">
        <v>25</v>
      </c>
      <c r="D15" s="9" t="s">
        <v>25</v>
      </c>
      <c r="E15" s="9" t="s">
        <v>25</v>
      </c>
      <c r="F15" s="9" t="s">
        <v>25</v>
      </c>
      <c r="G15" s="9" t="s">
        <v>25</v>
      </c>
      <c r="H15" s="9" t="s">
        <v>25</v>
      </c>
      <c r="I15" s="9" t="s">
        <v>25</v>
      </c>
      <c r="L15" s="9" t="s">
        <v>3287</v>
      </c>
      <c r="N15" s="9" t="s">
        <v>3279</v>
      </c>
      <c r="P15" s="9" t="s">
        <v>3279</v>
      </c>
      <c r="R15" s="9" t="s">
        <v>3287</v>
      </c>
      <c r="T15" s="9" t="s">
        <v>3287</v>
      </c>
      <c r="V15" s="9" t="s">
        <v>3347</v>
      </c>
      <c r="X15" s="9" t="s">
        <v>25</v>
      </c>
      <c r="AE15" s="9" t="s">
        <v>3488</v>
      </c>
      <c r="AG15" s="9" t="s">
        <v>3488</v>
      </c>
      <c r="AI15" s="9" t="s">
        <v>3488</v>
      </c>
      <c r="AK15" s="9" t="s">
        <v>3287</v>
      </c>
      <c r="AM15" s="9" t="s">
        <v>14562</v>
      </c>
      <c r="AO15" s="9" t="s">
        <v>14562</v>
      </c>
      <c r="AQ15" s="9" t="s">
        <v>3287</v>
      </c>
      <c r="AS15" s="9" t="s">
        <v>3488</v>
      </c>
      <c r="AU15" s="9" t="s">
        <v>25</v>
      </c>
      <c r="BD15" s="9" t="s">
        <v>3684</v>
      </c>
      <c r="BF15" s="9" t="s">
        <v>3684</v>
      </c>
      <c r="BH15" s="9" t="s">
        <v>3287</v>
      </c>
      <c r="BJ15" s="9" t="s">
        <v>3287</v>
      </c>
      <c r="BL15" s="9" t="s">
        <v>25</v>
      </c>
      <c r="BQ15" s="9" t="s">
        <v>53</v>
      </c>
      <c r="BS15" s="9" t="s">
        <v>53</v>
      </c>
      <c r="BU15" s="9" t="s">
        <v>3760</v>
      </c>
      <c r="BV15" s="9" t="s">
        <v>3761</v>
      </c>
      <c r="BW15" s="9" t="s">
        <v>3287</v>
      </c>
      <c r="BY15" s="9" t="s">
        <v>25</v>
      </c>
      <c r="CD15" s="9" t="s">
        <v>3703</v>
      </c>
      <c r="CE15" s="9" t="s">
        <v>3762</v>
      </c>
      <c r="CF15" s="9" t="s">
        <v>3359</v>
      </c>
      <c r="CH15" s="9" t="s">
        <v>13998</v>
      </c>
      <c r="CJ15" s="9" t="s">
        <v>3763</v>
      </c>
      <c r="CL15" s="9" t="s">
        <v>3293</v>
      </c>
      <c r="CN15" s="9" t="s">
        <v>3287</v>
      </c>
      <c r="CP15" s="9" t="s">
        <v>3287</v>
      </c>
      <c r="CR15" s="9" t="s">
        <v>25</v>
      </c>
      <c r="CY15" s="9" t="s">
        <v>3287</v>
      </c>
      <c r="DA15" s="9" t="s">
        <v>612</v>
      </c>
      <c r="DB15" s="9" t="s">
        <v>3764</v>
      </c>
      <c r="DC15" s="9" t="s">
        <v>3765</v>
      </c>
      <c r="DE15" s="9" t="s">
        <v>3287</v>
      </c>
      <c r="DG15" s="9" t="s">
        <v>612</v>
      </c>
      <c r="DH15" s="9" t="s">
        <v>3766</v>
      </c>
      <c r="DI15" s="9" t="s">
        <v>612</v>
      </c>
      <c r="DJ15" s="9" t="s">
        <v>3767</v>
      </c>
      <c r="DK15" s="9" t="s">
        <v>3596</v>
      </c>
      <c r="DM15" s="9" t="s">
        <v>3287</v>
      </c>
      <c r="DO15" s="9" t="s">
        <v>3287</v>
      </c>
      <c r="DQ15" s="9" t="s">
        <v>3287</v>
      </c>
      <c r="DS15" s="9" t="s">
        <v>3297</v>
      </c>
      <c r="DU15" s="9" t="s">
        <v>3768</v>
      </c>
      <c r="DV15" s="9" t="s">
        <v>3769</v>
      </c>
      <c r="DW15" s="9" t="s">
        <v>3768</v>
      </c>
      <c r="DX15" s="9" t="s">
        <v>3770</v>
      </c>
      <c r="DY15" s="9" t="s">
        <v>3416</v>
      </c>
      <c r="EA15" s="9" t="s">
        <v>3771</v>
      </c>
      <c r="EC15" s="9" t="s">
        <v>3772</v>
      </c>
      <c r="EE15" s="9" t="s">
        <v>612</v>
      </c>
      <c r="EF15" s="9" t="s">
        <v>3596</v>
      </c>
      <c r="EG15" s="9" t="s">
        <v>25</v>
      </c>
      <c r="EY15" s="9" t="s">
        <v>3311</v>
      </c>
      <c r="FA15" s="9" t="s">
        <v>3311</v>
      </c>
      <c r="FC15" s="9" t="s">
        <v>3287</v>
      </c>
      <c r="FE15" s="9" t="s">
        <v>3311</v>
      </c>
      <c r="FG15" s="9" t="s">
        <v>3311</v>
      </c>
      <c r="FI15" s="9" t="s">
        <v>3773</v>
      </c>
      <c r="FK15" s="9" t="s">
        <v>3287</v>
      </c>
      <c r="FM15" s="9" t="s">
        <v>25</v>
      </c>
      <c r="FU15" s="9" t="s">
        <v>25</v>
      </c>
      <c r="FW15" s="9" t="s">
        <v>2205</v>
      </c>
      <c r="FY15" s="9" t="s">
        <v>612</v>
      </c>
      <c r="FZ15" s="9" t="s">
        <v>3672</v>
      </c>
      <c r="GA15" s="9" t="s">
        <v>3774</v>
      </c>
      <c r="GC15" s="9" t="s">
        <v>3416</v>
      </c>
      <c r="GE15" s="9" t="s">
        <v>3775</v>
      </c>
      <c r="GG15" s="9" t="s">
        <v>3776</v>
      </c>
      <c r="GI15" s="9" t="s">
        <v>3397</v>
      </c>
      <c r="GK15" s="9" t="s">
        <v>25</v>
      </c>
      <c r="GS15" s="9" t="s">
        <v>3508</v>
      </c>
      <c r="GU15" s="9" t="s">
        <v>3508</v>
      </c>
      <c r="GW15" s="9" t="s">
        <v>3508</v>
      </c>
      <c r="GY15" s="9" t="s">
        <v>3508</v>
      </c>
      <c r="HA15" s="9" t="s">
        <v>3508</v>
      </c>
      <c r="HC15" s="9" t="s">
        <v>28</v>
      </c>
      <c r="HD15" s="9" t="s">
        <v>847</v>
      </c>
      <c r="HE15" s="9" t="s">
        <v>847</v>
      </c>
      <c r="HF15" s="9" t="s">
        <v>847</v>
      </c>
      <c r="HG15" s="9" t="s">
        <v>847</v>
      </c>
      <c r="HH15" s="9" t="s">
        <v>847</v>
      </c>
      <c r="HI15" s="9" t="s">
        <v>3347</v>
      </c>
      <c r="HK15" s="9" t="s">
        <v>3488</v>
      </c>
      <c r="HM15" s="9" t="s">
        <v>3488</v>
      </c>
      <c r="HO15" s="9" t="s">
        <v>3777</v>
      </c>
      <c r="HQ15" s="9" t="s">
        <v>3422</v>
      </c>
      <c r="HS15" s="9" t="s">
        <v>3422</v>
      </c>
      <c r="HU15" s="9" t="s">
        <v>3488</v>
      </c>
      <c r="HW15" s="9" t="s">
        <v>3488</v>
      </c>
      <c r="HY15" s="9" t="s">
        <v>28</v>
      </c>
      <c r="IA15" s="9" t="s">
        <v>847</v>
      </c>
      <c r="IB15" s="9" t="s">
        <v>847</v>
      </c>
      <c r="IF15" s="9" t="s">
        <v>847</v>
      </c>
      <c r="IG15" s="9" t="s">
        <v>847</v>
      </c>
      <c r="IH15" s="9" t="s">
        <v>3423</v>
      </c>
      <c r="IJ15" s="9" t="s">
        <v>3323</v>
      </c>
      <c r="IL15" s="9" t="s">
        <v>3752</v>
      </c>
      <c r="IN15" s="9" t="s">
        <v>3752</v>
      </c>
      <c r="IP15" s="9" t="s">
        <v>3752</v>
      </c>
      <c r="IR15" s="9" t="s">
        <v>3752</v>
      </c>
      <c r="IT15" s="9" t="s">
        <v>3737</v>
      </c>
      <c r="IV15" s="9" t="s">
        <v>25</v>
      </c>
      <c r="JD15" s="9" t="s">
        <v>3347</v>
      </c>
      <c r="JF15" s="9" t="s">
        <v>3347</v>
      </c>
      <c r="JH15" s="9" t="s">
        <v>3287</v>
      </c>
      <c r="JJ15" s="9" t="s">
        <v>3347</v>
      </c>
      <c r="JL15" s="9" t="s">
        <v>3347</v>
      </c>
      <c r="JN15" s="9" t="s">
        <v>3347</v>
      </c>
      <c r="JP15" s="9" t="s">
        <v>3287</v>
      </c>
      <c r="JR15" s="9" t="s">
        <v>25</v>
      </c>
      <c r="JZ15" s="9" t="s">
        <v>3397</v>
      </c>
      <c r="KB15" s="9" t="s">
        <v>3403</v>
      </c>
      <c r="KD15" s="9" t="s">
        <v>3643</v>
      </c>
      <c r="KF15" s="9" t="s">
        <v>3778</v>
      </c>
      <c r="KH15" s="9" t="s">
        <v>612</v>
      </c>
      <c r="KI15" s="9" t="s">
        <v>3779</v>
      </c>
      <c r="KJ15" s="9" t="s">
        <v>3780</v>
      </c>
      <c r="KL15" s="9" t="s">
        <v>3755</v>
      </c>
      <c r="KN15" s="9" t="s">
        <v>3755</v>
      </c>
      <c r="KP15" s="9" t="s">
        <v>3332</v>
      </c>
      <c r="KR15" s="9" t="s">
        <v>25</v>
      </c>
      <c r="LB15" s="9" t="s">
        <v>3781</v>
      </c>
      <c r="LD15" s="9" t="s">
        <v>3287</v>
      </c>
      <c r="LF15" s="9" t="s">
        <v>3287</v>
      </c>
      <c r="LH15" s="9" t="s">
        <v>3287</v>
      </c>
      <c r="LJ15" s="9" t="s">
        <v>3353</v>
      </c>
      <c r="LL15" s="9" t="s">
        <v>3337</v>
      </c>
      <c r="LN15" s="9" t="s">
        <v>3428</v>
      </c>
      <c r="LP15" s="9" t="s">
        <v>3782</v>
      </c>
      <c r="LR15" s="9" t="s">
        <v>25</v>
      </c>
      <c r="MA15" s="9" t="s">
        <v>3338</v>
      </c>
    </row>
    <row r="16" spans="1:339" ht="25.5" x14ac:dyDescent="0.2">
      <c r="A16" s="8" t="s">
        <v>118</v>
      </c>
      <c r="B16" s="9" t="s">
        <v>25</v>
      </c>
      <c r="C16" s="9" t="s">
        <v>25</v>
      </c>
      <c r="D16" s="9" t="s">
        <v>28</v>
      </c>
      <c r="E16" s="9" t="s">
        <v>25</v>
      </c>
      <c r="F16" s="9" t="s">
        <v>25</v>
      </c>
      <c r="G16" s="9" t="s">
        <v>25</v>
      </c>
      <c r="H16" s="9" t="s">
        <v>25</v>
      </c>
      <c r="I16" s="9" t="s">
        <v>25</v>
      </c>
      <c r="J16" s="9" t="s">
        <v>25</v>
      </c>
      <c r="L16" s="9" t="s">
        <v>3339</v>
      </c>
      <c r="N16" s="9" t="s">
        <v>3339</v>
      </c>
      <c r="P16" s="9" t="s">
        <v>13991</v>
      </c>
      <c r="R16" s="9" t="s">
        <v>3340</v>
      </c>
      <c r="T16" s="9" t="s">
        <v>3340</v>
      </c>
      <c r="V16" s="9" t="s">
        <v>3340</v>
      </c>
      <c r="X16" s="9" t="s">
        <v>25</v>
      </c>
      <c r="AE16" s="9" t="s">
        <v>3287</v>
      </c>
      <c r="AG16" s="9" t="s">
        <v>3287</v>
      </c>
      <c r="AI16" s="9" t="s">
        <v>3287</v>
      </c>
      <c r="AK16" s="9" t="s">
        <v>3287</v>
      </c>
      <c r="AM16" s="9" t="s">
        <v>3287</v>
      </c>
      <c r="AO16" s="9" t="s">
        <v>3287</v>
      </c>
      <c r="AQ16" s="9" t="s">
        <v>3341</v>
      </c>
      <c r="AS16" s="9" t="s">
        <v>53</v>
      </c>
      <c r="AU16" s="9" t="s">
        <v>25</v>
      </c>
      <c r="BD16" s="9" t="s">
        <v>3342</v>
      </c>
      <c r="BF16" s="9" t="s">
        <v>3342</v>
      </c>
      <c r="BH16" s="9" t="s">
        <v>3342</v>
      </c>
      <c r="BJ16" s="9" t="s">
        <v>3342</v>
      </c>
      <c r="BL16" s="9" t="s">
        <v>25</v>
      </c>
      <c r="BQ16" s="9" t="s">
        <v>53</v>
      </c>
      <c r="BS16" s="9" t="s">
        <v>3341</v>
      </c>
      <c r="BU16" s="9" t="s">
        <v>53</v>
      </c>
      <c r="BW16" s="9" t="s">
        <v>3341</v>
      </c>
      <c r="BY16" s="9" t="s">
        <v>25</v>
      </c>
      <c r="CD16" s="9" t="s">
        <v>3343</v>
      </c>
      <c r="CF16" s="9" t="s">
        <v>3343</v>
      </c>
      <c r="CH16" s="9" t="s">
        <v>3343</v>
      </c>
      <c r="CJ16" s="9" t="s">
        <v>3292</v>
      </c>
      <c r="CL16" s="9" t="s">
        <v>3293</v>
      </c>
      <c r="CN16" s="9" t="s">
        <v>3287</v>
      </c>
      <c r="CP16" s="9" t="s">
        <v>3287</v>
      </c>
      <c r="CR16" s="9" t="s">
        <v>25</v>
      </c>
      <c r="CY16" s="9" t="s">
        <v>3287</v>
      </c>
      <c r="DA16" s="9" t="s">
        <v>3287</v>
      </c>
      <c r="DC16" s="9" t="s">
        <v>3287</v>
      </c>
      <c r="DG16" s="9" t="s">
        <v>3287</v>
      </c>
      <c r="DI16" s="9" t="s">
        <v>3287</v>
      </c>
      <c r="DK16" s="9" t="s">
        <v>3287</v>
      </c>
      <c r="DM16" s="9" t="s">
        <v>3287</v>
      </c>
      <c r="DO16" s="9" t="s">
        <v>3287</v>
      </c>
      <c r="DQ16" s="9" t="s">
        <v>3287</v>
      </c>
      <c r="DS16" s="9" t="s">
        <v>3287</v>
      </c>
      <c r="DU16" s="9" t="s">
        <v>3344</v>
      </c>
      <c r="DW16" s="9" t="s">
        <v>3344</v>
      </c>
      <c r="DY16" s="9" t="s">
        <v>3287</v>
      </c>
      <c r="EA16" s="9" t="s">
        <v>3287</v>
      </c>
      <c r="EC16" s="9" t="s">
        <v>3287</v>
      </c>
      <c r="EE16" s="9" t="s">
        <v>3287</v>
      </c>
      <c r="EG16" s="9" t="s">
        <v>25</v>
      </c>
      <c r="EY16" s="9" t="s">
        <v>3345</v>
      </c>
      <c r="FA16" s="9" t="s">
        <v>3287</v>
      </c>
      <c r="FC16" s="9" t="s">
        <v>3345</v>
      </c>
      <c r="FE16" s="9" t="s">
        <v>3287</v>
      </c>
      <c r="FG16" s="9" t="s">
        <v>3287</v>
      </c>
      <c r="FI16" s="9" t="s">
        <v>3287</v>
      </c>
      <c r="FK16" s="9" t="s">
        <v>3287</v>
      </c>
      <c r="FM16" s="9" t="s">
        <v>25</v>
      </c>
      <c r="FU16" s="9" t="s">
        <v>25</v>
      </c>
      <c r="FW16" s="9" t="s">
        <v>3287</v>
      </c>
      <c r="FY16" s="9" t="s">
        <v>3346</v>
      </c>
      <c r="GA16" s="9" t="s">
        <v>3287</v>
      </c>
      <c r="GC16" s="9" t="s">
        <v>3287</v>
      </c>
      <c r="GE16" s="9" t="s">
        <v>3287</v>
      </c>
      <c r="GG16" s="9" t="s">
        <v>3287</v>
      </c>
      <c r="GI16" s="9" t="s">
        <v>3287</v>
      </c>
      <c r="GK16" s="9" t="s">
        <v>25</v>
      </c>
      <c r="GS16" s="9" t="s">
        <v>3347</v>
      </c>
      <c r="GU16" s="9" t="s">
        <v>3347</v>
      </c>
      <c r="GW16" s="9" t="s">
        <v>3347</v>
      </c>
      <c r="GY16" s="9" t="s">
        <v>3287</v>
      </c>
      <c r="HA16" s="9" t="s">
        <v>3347</v>
      </c>
      <c r="HC16" s="9" t="s">
        <v>25</v>
      </c>
      <c r="HI16" s="9" t="s">
        <v>3347</v>
      </c>
      <c r="HK16" s="9" t="s">
        <v>1265</v>
      </c>
      <c r="HM16" s="9" t="s">
        <v>3347</v>
      </c>
      <c r="HO16" s="9" t="s">
        <v>3339</v>
      </c>
      <c r="HQ16" s="9" t="s">
        <v>3348</v>
      </c>
      <c r="HS16" s="9" t="s">
        <v>3287</v>
      </c>
      <c r="HU16" s="9" t="s">
        <v>3287</v>
      </c>
      <c r="HW16" s="9" t="s">
        <v>3339</v>
      </c>
      <c r="HY16" s="9" t="s">
        <v>25</v>
      </c>
      <c r="IH16" s="9" t="s">
        <v>3349</v>
      </c>
      <c r="IJ16" s="9" t="s">
        <v>3349</v>
      </c>
      <c r="IL16" s="9" t="s">
        <v>3350</v>
      </c>
      <c r="IN16" s="9" t="s">
        <v>3350</v>
      </c>
      <c r="IP16" s="9" t="s">
        <v>3350</v>
      </c>
      <c r="IR16" s="9" t="s">
        <v>3350</v>
      </c>
      <c r="IT16" s="9" t="s">
        <v>3350</v>
      </c>
      <c r="IV16" s="9" t="s">
        <v>25</v>
      </c>
      <c r="JD16" s="9" t="s">
        <v>3347</v>
      </c>
      <c r="JF16" s="9" t="s">
        <v>3347</v>
      </c>
      <c r="JH16" s="9" t="s">
        <v>3347</v>
      </c>
      <c r="JJ16" s="9" t="s">
        <v>3351</v>
      </c>
      <c r="JL16" s="9" t="s">
        <v>3351</v>
      </c>
      <c r="JN16" s="9" t="s">
        <v>3351</v>
      </c>
      <c r="JP16" s="9" t="s">
        <v>3287</v>
      </c>
      <c r="JR16" s="9" t="s">
        <v>25</v>
      </c>
      <c r="JZ16" s="9" t="s">
        <v>3287</v>
      </c>
      <c r="KB16" s="9" t="s">
        <v>3287</v>
      </c>
      <c r="KD16" s="9" t="s">
        <v>3287</v>
      </c>
      <c r="KF16" s="9" t="s">
        <v>3287</v>
      </c>
      <c r="KH16" s="9" t="s">
        <v>3287</v>
      </c>
      <c r="KJ16" s="9" t="s">
        <v>3352</v>
      </c>
      <c r="KL16" s="9" t="s">
        <v>3287</v>
      </c>
      <c r="KN16" s="9" t="s">
        <v>3287</v>
      </c>
      <c r="KP16" s="9" t="s">
        <v>3287</v>
      </c>
      <c r="KR16" s="9" t="s">
        <v>25</v>
      </c>
      <c r="LB16" s="9" t="s">
        <v>3287</v>
      </c>
      <c r="LD16" s="9" t="s">
        <v>3287</v>
      </c>
      <c r="LF16" s="9" t="s">
        <v>3335</v>
      </c>
      <c r="LH16" s="9" t="s">
        <v>3287</v>
      </c>
      <c r="LJ16" s="9" t="s">
        <v>3353</v>
      </c>
      <c r="LL16" s="9" t="s">
        <v>3287</v>
      </c>
      <c r="LN16" s="9" t="s">
        <v>3287</v>
      </c>
      <c r="LP16" s="9" t="s">
        <v>3287</v>
      </c>
      <c r="LR16" s="9" t="s">
        <v>25</v>
      </c>
      <c r="MA16" s="9" t="s">
        <v>3354</v>
      </c>
    </row>
    <row r="17" spans="1:339" ht="25.5" x14ac:dyDescent="0.2">
      <c r="A17" s="8" t="s">
        <v>134</v>
      </c>
      <c r="L17" s="9" t="s">
        <v>3279</v>
      </c>
      <c r="N17" s="9" t="s">
        <v>3279</v>
      </c>
      <c r="P17" s="9" t="s">
        <v>3279</v>
      </c>
      <c r="R17" s="9" t="s">
        <v>3377</v>
      </c>
      <c r="T17" s="9" t="s">
        <v>3325</v>
      </c>
      <c r="V17" s="9" t="s">
        <v>3325</v>
      </c>
      <c r="X17" s="9" t="s">
        <v>25</v>
      </c>
      <c r="AE17" s="9" t="s">
        <v>3287</v>
      </c>
      <c r="AG17" s="9" t="s">
        <v>3287</v>
      </c>
      <c r="AI17" s="9" t="s">
        <v>3287</v>
      </c>
      <c r="AK17" s="9" t="s">
        <v>3287</v>
      </c>
      <c r="AM17" s="9" t="s">
        <v>3287</v>
      </c>
      <c r="AO17" s="9" t="s">
        <v>3287</v>
      </c>
      <c r="AQ17" s="9" t="s">
        <v>3683</v>
      </c>
      <c r="AS17" s="9" t="s">
        <v>3339</v>
      </c>
      <c r="AU17" s="9" t="s">
        <v>25</v>
      </c>
      <c r="BD17" s="9" t="s">
        <v>3684</v>
      </c>
      <c r="BF17" s="9" t="s">
        <v>3684</v>
      </c>
      <c r="BH17" s="9" t="s">
        <v>3684</v>
      </c>
      <c r="BJ17" s="9" t="s">
        <v>3287</v>
      </c>
      <c r="BL17" s="9" t="s">
        <v>25</v>
      </c>
      <c r="BQ17" s="9" t="s">
        <v>53</v>
      </c>
      <c r="BS17" s="9" t="s">
        <v>3289</v>
      </c>
      <c r="BU17" s="9" t="s">
        <v>3685</v>
      </c>
      <c r="BY17" s="9" t="s">
        <v>25</v>
      </c>
      <c r="CD17" s="9" t="s">
        <v>3386</v>
      </c>
      <c r="CF17" s="9" t="s">
        <v>3546</v>
      </c>
      <c r="CH17" s="9" t="s">
        <v>3360</v>
      </c>
      <c r="CJ17" s="9" t="s">
        <v>3292</v>
      </c>
      <c r="CL17" s="9" t="s">
        <v>3293</v>
      </c>
      <c r="CN17" s="9" t="s">
        <v>3287</v>
      </c>
      <c r="CP17" s="9" t="s">
        <v>3287</v>
      </c>
      <c r="CR17" s="9" t="s">
        <v>25</v>
      </c>
      <c r="CY17" s="9" t="s">
        <v>3413</v>
      </c>
      <c r="DA17" s="9" t="s">
        <v>3287</v>
      </c>
      <c r="DC17" s="9" t="s">
        <v>3287</v>
      </c>
      <c r="DE17" s="9" t="s">
        <v>3287</v>
      </c>
      <c r="DG17" s="9" t="s">
        <v>3287</v>
      </c>
      <c r="DI17" s="9" t="s">
        <v>3287</v>
      </c>
      <c r="DK17" s="9" t="s">
        <v>3298</v>
      </c>
      <c r="DM17" s="9" t="s">
        <v>3287</v>
      </c>
      <c r="DO17" s="9" t="s">
        <v>3287</v>
      </c>
      <c r="DQ17" s="9" t="s">
        <v>3287</v>
      </c>
      <c r="DS17" s="9" t="s">
        <v>3388</v>
      </c>
      <c r="DU17" s="9" t="s">
        <v>3360</v>
      </c>
      <c r="DW17" s="9" t="s">
        <v>3686</v>
      </c>
      <c r="DY17" s="9" t="s">
        <v>3287</v>
      </c>
      <c r="EA17" s="9" t="s">
        <v>3687</v>
      </c>
      <c r="EC17" s="9" t="s">
        <v>3364</v>
      </c>
      <c r="EE17" s="9" t="s">
        <v>612</v>
      </c>
      <c r="EF17" s="9" t="s">
        <v>3395</v>
      </c>
      <c r="EG17" s="9" t="s">
        <v>28</v>
      </c>
      <c r="ET17" s="9" t="s">
        <v>3390</v>
      </c>
      <c r="EY17" s="9" t="s">
        <v>3287</v>
      </c>
      <c r="FA17" s="9" t="s">
        <v>3287</v>
      </c>
      <c r="FC17" s="9" t="s">
        <v>3287</v>
      </c>
      <c r="FE17" s="9" t="s">
        <v>3311</v>
      </c>
      <c r="FG17" s="9" t="s">
        <v>3298</v>
      </c>
      <c r="FI17" s="9" t="s">
        <v>3287</v>
      </c>
      <c r="FK17" s="9" t="s">
        <v>3287</v>
      </c>
      <c r="FM17" s="9" t="s">
        <v>25</v>
      </c>
      <c r="FU17" s="9" t="s">
        <v>28</v>
      </c>
      <c r="FV17" s="9" t="s">
        <v>3685</v>
      </c>
      <c r="FW17" s="9" t="s">
        <v>3397</v>
      </c>
      <c r="FY17" s="9" t="s">
        <v>3287</v>
      </c>
      <c r="GA17" s="9" t="s">
        <v>3688</v>
      </c>
      <c r="GC17" s="9" t="s">
        <v>3689</v>
      </c>
      <c r="GE17" s="9" t="s">
        <v>3611</v>
      </c>
      <c r="GG17" s="9" t="s">
        <v>3611</v>
      </c>
      <c r="GI17" s="9" t="s">
        <v>612</v>
      </c>
      <c r="GJ17" s="9" t="s">
        <v>3423</v>
      </c>
      <c r="GK17" s="9" t="s">
        <v>25</v>
      </c>
      <c r="GS17" s="9" t="s">
        <v>3683</v>
      </c>
      <c r="GU17" s="9" t="s">
        <v>3683</v>
      </c>
      <c r="GW17" s="9" t="s">
        <v>3287</v>
      </c>
      <c r="GY17" s="9" t="s">
        <v>3287</v>
      </c>
      <c r="HA17" s="9" t="s">
        <v>3287</v>
      </c>
      <c r="HC17" s="9" t="s">
        <v>25</v>
      </c>
      <c r="HI17" s="9" t="s">
        <v>929</v>
      </c>
      <c r="HK17" s="9" t="s">
        <v>929</v>
      </c>
      <c r="HM17" s="9" t="s">
        <v>929</v>
      </c>
      <c r="HO17" s="9" t="s">
        <v>3279</v>
      </c>
      <c r="HQ17" s="9" t="s">
        <v>3690</v>
      </c>
      <c r="HU17" s="9" t="s">
        <v>929</v>
      </c>
      <c r="HW17" s="9" t="s">
        <v>3287</v>
      </c>
      <c r="HY17" s="9" t="s">
        <v>25</v>
      </c>
      <c r="IH17" s="9" t="s">
        <v>3423</v>
      </c>
      <c r="IJ17" s="9" t="s">
        <v>3349</v>
      </c>
      <c r="IL17" s="9" t="s">
        <v>3350</v>
      </c>
      <c r="IN17" s="9" t="s">
        <v>3350</v>
      </c>
      <c r="IP17" s="9" t="s">
        <v>3691</v>
      </c>
      <c r="IR17" s="9" t="s">
        <v>3397</v>
      </c>
      <c r="IT17" s="9" t="s">
        <v>3692</v>
      </c>
      <c r="IV17" s="9" t="s">
        <v>25</v>
      </c>
      <c r="JD17" s="9" t="s">
        <v>3325</v>
      </c>
      <c r="JF17" s="9" t="s">
        <v>3325</v>
      </c>
      <c r="JH17" s="9" t="s">
        <v>3325</v>
      </c>
      <c r="JJ17" s="9" t="s">
        <v>3325</v>
      </c>
      <c r="JL17" s="9" t="s">
        <v>3325</v>
      </c>
      <c r="JN17" s="9" t="s">
        <v>3325</v>
      </c>
      <c r="JP17" s="9" t="s">
        <v>3325</v>
      </c>
      <c r="JR17" s="9" t="s">
        <v>25</v>
      </c>
      <c r="JZ17" s="9" t="s">
        <v>3397</v>
      </c>
      <c r="KB17" s="9" t="s">
        <v>3693</v>
      </c>
      <c r="KD17" s="9" t="s">
        <v>3287</v>
      </c>
      <c r="KF17" s="9" t="s">
        <v>3287</v>
      </c>
      <c r="KH17" s="9" t="s">
        <v>612</v>
      </c>
      <c r="KI17" s="9" t="s">
        <v>3694</v>
      </c>
      <c r="KJ17" s="9" t="s">
        <v>3695</v>
      </c>
      <c r="KL17" s="9" t="s">
        <v>3287</v>
      </c>
      <c r="KN17" s="9" t="s">
        <v>3428</v>
      </c>
      <c r="KP17" s="9" t="s">
        <v>3332</v>
      </c>
      <c r="KR17" s="9" t="s">
        <v>25</v>
      </c>
      <c r="LB17" s="9" t="s">
        <v>3696</v>
      </c>
      <c r="LD17" s="9" t="s">
        <v>3287</v>
      </c>
      <c r="LF17" s="9" t="s">
        <v>3335</v>
      </c>
      <c r="LH17" s="9" t="s">
        <v>3287</v>
      </c>
      <c r="LJ17" s="9" t="s">
        <v>3586</v>
      </c>
      <c r="LL17" s="9" t="s">
        <v>3337</v>
      </c>
      <c r="LN17" s="9" t="s">
        <v>3287</v>
      </c>
      <c r="LP17" s="9" t="s">
        <v>3287</v>
      </c>
      <c r="LR17" s="9" t="s">
        <v>25</v>
      </c>
    </row>
    <row r="18" spans="1:339" ht="38.25" x14ac:dyDescent="0.2">
      <c r="A18" s="8" t="s">
        <v>171</v>
      </c>
      <c r="B18" s="9" t="s">
        <v>28</v>
      </c>
      <c r="C18" s="9" t="s">
        <v>28</v>
      </c>
      <c r="D18" s="9" t="s">
        <v>25</v>
      </c>
      <c r="E18" s="9" t="s">
        <v>25</v>
      </c>
      <c r="F18" s="9" t="s">
        <v>25</v>
      </c>
      <c r="G18" s="9" t="s">
        <v>25</v>
      </c>
      <c r="H18" s="9" t="s">
        <v>25</v>
      </c>
      <c r="I18" s="9" t="s">
        <v>25</v>
      </c>
      <c r="J18" s="9" t="s">
        <v>25</v>
      </c>
      <c r="L18" s="9" t="s">
        <v>3279</v>
      </c>
      <c r="N18" s="9" t="s">
        <v>3279</v>
      </c>
      <c r="P18" s="9" t="s">
        <v>3279</v>
      </c>
      <c r="R18" s="9" t="s">
        <v>3280</v>
      </c>
      <c r="T18" s="9" t="s">
        <v>3280</v>
      </c>
      <c r="V18" s="9" t="s">
        <v>3280</v>
      </c>
      <c r="X18" s="9" t="s">
        <v>25</v>
      </c>
      <c r="AE18" s="9" t="s">
        <v>3285</v>
      </c>
      <c r="AG18" s="9" t="s">
        <v>3285</v>
      </c>
      <c r="AI18" s="9" t="s">
        <v>3285</v>
      </c>
      <c r="AK18" s="9" t="s">
        <v>3287</v>
      </c>
      <c r="AM18" s="9" t="s">
        <v>3285</v>
      </c>
      <c r="AO18" s="9" t="s">
        <v>3285</v>
      </c>
      <c r="AQ18" s="9" t="s">
        <v>3819</v>
      </c>
      <c r="AS18" s="9" t="s">
        <v>3287</v>
      </c>
      <c r="AU18" s="9" t="s">
        <v>28</v>
      </c>
      <c r="BA18" s="9" t="s">
        <v>3618</v>
      </c>
      <c r="BD18" s="9" t="s">
        <v>3342</v>
      </c>
      <c r="BF18" s="9" t="s">
        <v>3342</v>
      </c>
      <c r="BH18" s="9" t="s">
        <v>3342</v>
      </c>
      <c r="BJ18" s="9" t="s">
        <v>3342</v>
      </c>
      <c r="BL18" s="9" t="s">
        <v>25</v>
      </c>
      <c r="BQ18" s="9" t="s">
        <v>3820</v>
      </c>
      <c r="BS18" s="9" t="s">
        <v>3341</v>
      </c>
      <c r="BU18" s="9" t="s">
        <v>3287</v>
      </c>
      <c r="BW18" s="9" t="s">
        <v>612</v>
      </c>
      <c r="BX18" s="9" t="s">
        <v>3819</v>
      </c>
      <c r="BY18" s="9" t="s">
        <v>25</v>
      </c>
      <c r="CD18" s="9" t="s">
        <v>4058</v>
      </c>
      <c r="CF18" s="9" t="s">
        <v>4295</v>
      </c>
      <c r="CH18" s="9" t="s">
        <v>3360</v>
      </c>
      <c r="CJ18" s="9" t="s">
        <v>3292</v>
      </c>
      <c r="CL18" s="9" t="s">
        <v>3293</v>
      </c>
      <c r="CN18" s="9" t="s">
        <v>612</v>
      </c>
      <c r="CO18" s="9" t="s">
        <v>3477</v>
      </c>
      <c r="CP18" s="9" t="s">
        <v>4174</v>
      </c>
      <c r="CR18" s="9" t="s">
        <v>25</v>
      </c>
      <c r="CY18" s="9" t="s">
        <v>3497</v>
      </c>
      <c r="DA18" s="9" t="s">
        <v>3571</v>
      </c>
      <c r="DC18" s="9" t="s">
        <v>1189</v>
      </c>
      <c r="DE18" s="9" t="s">
        <v>4296</v>
      </c>
      <c r="DG18" s="9" t="s">
        <v>3287</v>
      </c>
      <c r="DI18" s="9" t="s">
        <v>3287</v>
      </c>
      <c r="DK18" s="9" t="s">
        <v>3287</v>
      </c>
      <c r="DM18" s="9" t="s">
        <v>3415</v>
      </c>
      <c r="DO18" s="9" t="s">
        <v>3287</v>
      </c>
      <c r="DQ18" s="9" t="s">
        <v>3415</v>
      </c>
      <c r="DS18" s="9" t="s">
        <v>4297</v>
      </c>
      <c r="DT18" s="9" t="s">
        <v>4298</v>
      </c>
      <c r="DU18" s="9" t="s">
        <v>3360</v>
      </c>
      <c r="DW18" s="9" t="s">
        <v>3390</v>
      </c>
      <c r="DY18" s="9" t="s">
        <v>3287</v>
      </c>
      <c r="EA18" s="9" t="s">
        <v>4299</v>
      </c>
      <c r="EC18" s="9" t="s">
        <v>4150</v>
      </c>
      <c r="ED18" s="9" t="s">
        <v>2427</v>
      </c>
      <c r="EE18" s="9" t="s">
        <v>3415</v>
      </c>
      <c r="EG18" s="9" t="s">
        <v>25</v>
      </c>
      <c r="EY18" s="9" t="s">
        <v>3952</v>
      </c>
      <c r="FA18" s="9" t="s">
        <v>4300</v>
      </c>
      <c r="FC18" s="9" t="s">
        <v>3952</v>
      </c>
      <c r="FE18" s="9" t="s">
        <v>612</v>
      </c>
      <c r="FF18" s="9" t="s">
        <v>4134</v>
      </c>
      <c r="FG18" s="9" t="s">
        <v>4301</v>
      </c>
      <c r="FI18" s="9" t="s">
        <v>4302</v>
      </c>
      <c r="FK18" s="9" t="s">
        <v>3953</v>
      </c>
      <c r="FM18" s="9" t="s">
        <v>25</v>
      </c>
      <c r="FU18" s="9" t="s">
        <v>28</v>
      </c>
      <c r="FV18" s="9" t="s">
        <v>3952</v>
      </c>
      <c r="FW18" s="9" t="s">
        <v>612</v>
      </c>
      <c r="FX18" s="9" t="s">
        <v>2427</v>
      </c>
      <c r="FY18" s="9" t="s">
        <v>4303</v>
      </c>
      <c r="FZ18" s="9" t="s">
        <v>3532</v>
      </c>
      <c r="GA18" s="9" t="s">
        <v>3317</v>
      </c>
      <c r="GC18" s="9" t="s">
        <v>3317</v>
      </c>
      <c r="GE18" s="9" t="s">
        <v>3317</v>
      </c>
      <c r="GG18" s="9" t="s">
        <v>3317</v>
      </c>
      <c r="GI18" s="9" t="s">
        <v>1189</v>
      </c>
      <c r="GK18" s="9" t="s">
        <v>28</v>
      </c>
      <c r="GR18" s="9" t="s">
        <v>4304</v>
      </c>
      <c r="GS18" s="9" t="s">
        <v>3508</v>
      </c>
      <c r="GU18" s="9" t="s">
        <v>3508</v>
      </c>
      <c r="GW18" s="9" t="s">
        <v>3508</v>
      </c>
      <c r="GY18" s="9" t="s">
        <v>3508</v>
      </c>
      <c r="HA18" s="9" t="s">
        <v>3508</v>
      </c>
      <c r="HC18" s="9" t="s">
        <v>25</v>
      </c>
      <c r="HI18" s="9" t="s">
        <v>3347</v>
      </c>
      <c r="HK18" s="9" t="s">
        <v>929</v>
      </c>
      <c r="HM18" s="9" t="s">
        <v>3488</v>
      </c>
      <c r="HO18" s="9" t="s">
        <v>4305</v>
      </c>
      <c r="HQ18" s="9" t="s">
        <v>3348</v>
      </c>
      <c r="HS18" s="9" t="s">
        <v>3348</v>
      </c>
      <c r="HU18" s="9" t="s">
        <v>929</v>
      </c>
      <c r="HW18" s="9" t="s">
        <v>3488</v>
      </c>
      <c r="HY18" s="9" t="s">
        <v>25</v>
      </c>
      <c r="IH18" s="9" t="s">
        <v>612</v>
      </c>
      <c r="II18" s="9" t="s">
        <v>4306</v>
      </c>
      <c r="IJ18" s="9" t="s">
        <v>3323</v>
      </c>
      <c r="IL18" s="9" t="s">
        <v>3735</v>
      </c>
      <c r="IN18" s="9" t="s">
        <v>3735</v>
      </c>
      <c r="IP18" s="9" t="s">
        <v>3895</v>
      </c>
      <c r="IQ18" s="9" t="s">
        <v>3512</v>
      </c>
      <c r="IR18" s="9" t="s">
        <v>612</v>
      </c>
      <c r="IS18" s="9" t="s">
        <v>3512</v>
      </c>
      <c r="IT18" s="9" t="s">
        <v>14015</v>
      </c>
      <c r="IU18" s="9" t="s">
        <v>4307</v>
      </c>
      <c r="IV18" s="9" t="s">
        <v>25</v>
      </c>
      <c r="JD18" s="9" t="s">
        <v>3347</v>
      </c>
      <c r="JF18" s="9" t="s">
        <v>3347</v>
      </c>
      <c r="JH18" s="9" t="s">
        <v>3347</v>
      </c>
      <c r="JJ18" s="9" t="s">
        <v>3718</v>
      </c>
      <c r="JK18" s="9" t="s">
        <v>2427</v>
      </c>
      <c r="JL18" s="9" t="s">
        <v>4308</v>
      </c>
      <c r="JM18" s="9" t="s">
        <v>2427</v>
      </c>
      <c r="JN18" s="9" t="s">
        <v>3718</v>
      </c>
      <c r="JO18" s="9" t="s">
        <v>2427</v>
      </c>
      <c r="JP18" s="9" t="s">
        <v>3287</v>
      </c>
      <c r="JR18" s="9" t="s">
        <v>25</v>
      </c>
      <c r="JZ18" s="9" t="s">
        <v>3397</v>
      </c>
      <c r="KB18" s="9" t="s">
        <v>4309</v>
      </c>
      <c r="KD18" s="9" t="s">
        <v>3397</v>
      </c>
      <c r="KF18" s="9" t="s">
        <v>3800</v>
      </c>
      <c r="KH18" s="9" t="s">
        <v>3347</v>
      </c>
      <c r="KJ18" s="9" t="s">
        <v>3404</v>
      </c>
      <c r="KL18" s="9" t="s">
        <v>3486</v>
      </c>
      <c r="KN18" s="9" t="s">
        <v>4310</v>
      </c>
      <c r="KO18" s="9" t="s">
        <v>4134</v>
      </c>
      <c r="KP18" s="9" t="s">
        <v>3332</v>
      </c>
      <c r="KR18" s="9" t="s">
        <v>25</v>
      </c>
      <c r="LB18" s="9" t="s">
        <v>3333</v>
      </c>
      <c r="LD18" s="9" t="s">
        <v>4311</v>
      </c>
      <c r="LF18" s="9" t="s">
        <v>3335</v>
      </c>
      <c r="LH18" s="9" t="s">
        <v>4311</v>
      </c>
      <c r="LJ18" s="9" t="s">
        <v>3353</v>
      </c>
      <c r="LL18" s="9" t="s">
        <v>3466</v>
      </c>
      <c r="LN18" s="9" t="s">
        <v>3287</v>
      </c>
      <c r="LP18" s="9" t="s">
        <v>3287</v>
      </c>
      <c r="LR18" s="9" t="s">
        <v>25</v>
      </c>
      <c r="MA18" s="9" t="s">
        <v>4312</v>
      </c>
    </row>
    <row r="19" spans="1:339" ht="25.5" x14ac:dyDescent="0.2">
      <c r="A19" s="8" t="s">
        <v>123</v>
      </c>
      <c r="B19" s="9" t="s">
        <v>25</v>
      </c>
      <c r="C19" s="9" t="s">
        <v>25</v>
      </c>
      <c r="D19" s="9" t="s">
        <v>25</v>
      </c>
      <c r="E19" s="9" t="s">
        <v>28</v>
      </c>
      <c r="F19" s="9" t="s">
        <v>25</v>
      </c>
      <c r="G19" s="9" t="s">
        <v>25</v>
      </c>
      <c r="H19" s="9" t="s">
        <v>28</v>
      </c>
      <c r="I19" s="9" t="s">
        <v>25</v>
      </c>
      <c r="L19" s="9" t="s">
        <v>3339</v>
      </c>
      <c r="N19" s="9" t="s">
        <v>3339</v>
      </c>
      <c r="P19" s="9" t="s">
        <v>3434</v>
      </c>
      <c r="R19" s="9" t="s">
        <v>3340</v>
      </c>
      <c r="T19" s="9" t="s">
        <v>3287</v>
      </c>
      <c r="V19" s="9" t="s">
        <v>612</v>
      </c>
      <c r="W19" s="9" t="s">
        <v>3435</v>
      </c>
      <c r="X19" s="9" t="s">
        <v>25</v>
      </c>
      <c r="AE19" s="9" t="s">
        <v>3339</v>
      </c>
      <c r="AG19" s="9" t="s">
        <v>3339</v>
      </c>
      <c r="AI19" s="9" t="s">
        <v>3339</v>
      </c>
      <c r="AK19" s="9" t="s">
        <v>3339</v>
      </c>
      <c r="AM19" s="9" t="s">
        <v>3339</v>
      </c>
      <c r="AO19" s="9" t="s">
        <v>3436</v>
      </c>
      <c r="AQ19" s="9" t="s">
        <v>3339</v>
      </c>
      <c r="AS19" s="9" t="s">
        <v>3287</v>
      </c>
      <c r="AU19" s="9" t="s">
        <v>28</v>
      </c>
      <c r="BB19" s="9" t="s">
        <v>3437</v>
      </c>
      <c r="BD19" s="9" t="s">
        <v>3438</v>
      </c>
      <c r="BF19" s="9" t="s">
        <v>3438</v>
      </c>
      <c r="BH19" s="9" t="s">
        <v>3438</v>
      </c>
      <c r="BJ19" s="9" t="s">
        <v>3438</v>
      </c>
      <c r="BL19" s="9" t="s">
        <v>25</v>
      </c>
      <c r="BQ19" s="9" t="s">
        <v>53</v>
      </c>
      <c r="BS19" s="9" t="s">
        <v>3341</v>
      </c>
      <c r="BU19" s="9" t="s">
        <v>3287</v>
      </c>
      <c r="BW19" s="9" t="s">
        <v>3339</v>
      </c>
      <c r="BY19" s="9" t="s">
        <v>28</v>
      </c>
      <c r="CC19" s="9" t="s">
        <v>3437</v>
      </c>
      <c r="CD19" s="9" t="s">
        <v>3291</v>
      </c>
      <c r="CF19" s="9" t="s">
        <v>3439</v>
      </c>
      <c r="CH19" s="9" t="s">
        <v>3291</v>
      </c>
      <c r="CJ19" s="9" t="s">
        <v>3292</v>
      </c>
      <c r="CL19" s="9" t="s">
        <v>3293</v>
      </c>
      <c r="CN19" s="9" t="s">
        <v>3440</v>
      </c>
      <c r="CP19" s="9" t="s">
        <v>3287</v>
      </c>
      <c r="CR19" s="9" t="s">
        <v>28</v>
      </c>
      <c r="CT19" s="9" t="s">
        <v>3441</v>
      </c>
      <c r="CY19" s="9" t="s">
        <v>612</v>
      </c>
      <c r="CZ19" s="9" t="s">
        <v>3442</v>
      </c>
      <c r="DA19" s="9" t="s">
        <v>3287</v>
      </c>
      <c r="DC19" s="9" t="s">
        <v>3297</v>
      </c>
      <c r="DE19" s="9" t="s">
        <v>3287</v>
      </c>
      <c r="DG19" s="9" t="s">
        <v>3287</v>
      </c>
      <c r="DI19" s="9" t="s">
        <v>3287</v>
      </c>
      <c r="DK19" s="9" t="s">
        <v>3415</v>
      </c>
      <c r="DM19" s="9" t="s">
        <v>3415</v>
      </c>
      <c r="DO19" s="9" t="s">
        <v>3287</v>
      </c>
      <c r="DQ19" s="9" t="s">
        <v>3287</v>
      </c>
      <c r="DS19" s="9" t="s">
        <v>3415</v>
      </c>
      <c r="DU19" s="9" t="s">
        <v>612</v>
      </c>
      <c r="DV19" s="9" t="s">
        <v>3443</v>
      </c>
      <c r="DW19" s="9" t="s">
        <v>612</v>
      </c>
      <c r="DX19" s="9" t="s">
        <v>3444</v>
      </c>
      <c r="DY19" s="9" t="s">
        <v>3287</v>
      </c>
      <c r="EA19" s="9" t="s">
        <v>3445</v>
      </c>
      <c r="EC19" s="9" t="s">
        <v>3287</v>
      </c>
      <c r="EE19" s="9" t="s">
        <v>3415</v>
      </c>
      <c r="EG19" s="9" t="s">
        <v>28</v>
      </c>
      <c r="EJ19" s="9" t="s">
        <v>3446</v>
      </c>
      <c r="EY19" s="9" t="s">
        <v>3415</v>
      </c>
      <c r="FA19" s="9" t="s">
        <v>3447</v>
      </c>
      <c r="FC19" s="9" t="s">
        <v>3287</v>
      </c>
      <c r="FE19" s="9" t="s">
        <v>3447</v>
      </c>
      <c r="FG19" s="9" t="s">
        <v>3448</v>
      </c>
      <c r="FI19" s="9" t="s">
        <v>3287</v>
      </c>
      <c r="FK19" s="9" t="s">
        <v>3287</v>
      </c>
      <c r="FM19" s="9" t="s">
        <v>28</v>
      </c>
      <c r="FP19" s="9" t="s">
        <v>3415</v>
      </c>
      <c r="FS19" s="9" t="s">
        <v>3415</v>
      </c>
      <c r="FT19" s="9" t="s">
        <v>3415</v>
      </c>
      <c r="FU19" s="9" t="s">
        <v>25</v>
      </c>
      <c r="FW19" s="9" t="s">
        <v>3449</v>
      </c>
      <c r="FX19" s="9" t="s">
        <v>3450</v>
      </c>
      <c r="FY19" s="9" t="s">
        <v>3287</v>
      </c>
      <c r="GA19" s="9" t="s">
        <v>3287</v>
      </c>
      <c r="GC19" s="9" t="s">
        <v>3287</v>
      </c>
      <c r="GE19" s="9" t="s">
        <v>3287</v>
      </c>
      <c r="GG19" s="9" t="s">
        <v>3287</v>
      </c>
      <c r="GI19" s="9" t="s">
        <v>3287</v>
      </c>
      <c r="GK19" s="9" t="s">
        <v>25</v>
      </c>
      <c r="GS19" s="9" t="s">
        <v>3339</v>
      </c>
      <c r="GU19" s="9" t="s">
        <v>3339</v>
      </c>
      <c r="GW19" s="9" t="s">
        <v>3339</v>
      </c>
      <c r="GY19" s="9" t="s">
        <v>3339</v>
      </c>
      <c r="HA19" s="9" t="s">
        <v>3339</v>
      </c>
      <c r="HC19" s="9" t="s">
        <v>25</v>
      </c>
      <c r="HI19" s="9" t="s">
        <v>3347</v>
      </c>
      <c r="HK19" s="9" t="s">
        <v>3451</v>
      </c>
      <c r="HM19" s="9" t="s">
        <v>3339</v>
      </c>
      <c r="HO19" s="9" t="s">
        <v>3287</v>
      </c>
      <c r="HQ19" s="9" t="s">
        <v>3452</v>
      </c>
      <c r="HS19" s="9" t="s">
        <v>3452</v>
      </c>
      <c r="HU19" s="9" t="s">
        <v>3287</v>
      </c>
      <c r="HW19" s="9" t="s">
        <v>3339</v>
      </c>
      <c r="HY19" s="9" t="s">
        <v>25</v>
      </c>
      <c r="IH19" s="9" t="s">
        <v>3373</v>
      </c>
      <c r="IJ19" s="9" t="s">
        <v>3323</v>
      </c>
      <c r="IL19" s="9" t="s">
        <v>3350</v>
      </c>
      <c r="IN19" s="9" t="s">
        <v>3350</v>
      </c>
      <c r="IP19" s="9" t="s">
        <v>3453</v>
      </c>
      <c r="IR19" s="9" t="s">
        <v>3373</v>
      </c>
      <c r="IT19" s="9" t="s">
        <v>3454</v>
      </c>
      <c r="IV19" s="9" t="s">
        <v>25</v>
      </c>
      <c r="JD19" s="9" t="s">
        <v>3347</v>
      </c>
      <c r="JF19" s="9" t="s">
        <v>3347</v>
      </c>
      <c r="JH19" s="9" t="s">
        <v>612</v>
      </c>
      <c r="JI19" s="9" t="s">
        <v>3455</v>
      </c>
      <c r="JJ19" s="9" t="s">
        <v>3347</v>
      </c>
      <c r="JL19" s="9" t="s">
        <v>3347</v>
      </c>
      <c r="JN19" s="9" t="s">
        <v>3347</v>
      </c>
      <c r="JP19" s="9" t="s">
        <v>3287</v>
      </c>
      <c r="JR19" s="9" t="s">
        <v>25</v>
      </c>
      <c r="JZ19" s="9" t="s">
        <v>3279</v>
      </c>
      <c r="KB19" s="9" t="s">
        <v>3456</v>
      </c>
      <c r="KD19" s="9" t="s">
        <v>3457</v>
      </c>
      <c r="KF19" s="9" t="s">
        <v>612</v>
      </c>
      <c r="KG19" s="9" t="s">
        <v>3458</v>
      </c>
      <c r="KH19" s="9" t="s">
        <v>3347</v>
      </c>
      <c r="KJ19" s="9" t="s">
        <v>612</v>
      </c>
      <c r="KK19" s="9" t="s">
        <v>3459</v>
      </c>
      <c r="KL19" s="9" t="s">
        <v>3460</v>
      </c>
      <c r="KN19" s="9" t="s">
        <v>612</v>
      </c>
      <c r="KO19" s="9" t="s">
        <v>3461</v>
      </c>
      <c r="KP19" s="9" t="s">
        <v>3462</v>
      </c>
      <c r="KR19" s="9" t="s">
        <v>25</v>
      </c>
      <c r="LB19" s="9" t="s">
        <v>3463</v>
      </c>
      <c r="LD19" s="9" t="s">
        <v>3464</v>
      </c>
      <c r="LF19" s="9" t="s">
        <v>3287</v>
      </c>
      <c r="LH19" s="9" t="s">
        <v>3287</v>
      </c>
      <c r="LJ19" s="9" t="s">
        <v>3465</v>
      </c>
      <c r="LL19" s="9" t="s">
        <v>3466</v>
      </c>
      <c r="LN19" s="9" t="s">
        <v>3467</v>
      </c>
      <c r="LP19" s="9" t="s">
        <v>3287</v>
      </c>
      <c r="LR19" s="9" t="s">
        <v>28</v>
      </c>
      <c r="LU19" s="9" t="s">
        <v>3468</v>
      </c>
      <c r="MA19" s="9" t="s">
        <v>3469</v>
      </c>
    </row>
    <row r="20" spans="1:339" ht="38.25" x14ac:dyDescent="0.2">
      <c r="A20" s="8" t="s">
        <v>125</v>
      </c>
      <c r="B20" s="9" t="s">
        <v>25</v>
      </c>
      <c r="C20" s="9" t="s">
        <v>25</v>
      </c>
      <c r="D20" s="9" t="s">
        <v>25</v>
      </c>
      <c r="E20" s="9" t="s">
        <v>25</v>
      </c>
      <c r="F20" s="9" t="s">
        <v>25</v>
      </c>
      <c r="G20" s="9" t="s">
        <v>25</v>
      </c>
      <c r="H20" s="9" t="s">
        <v>25</v>
      </c>
      <c r="I20" s="9" t="s">
        <v>25</v>
      </c>
      <c r="L20" s="9" t="s">
        <v>3470</v>
      </c>
      <c r="N20" s="9" t="s">
        <v>3470</v>
      </c>
      <c r="P20" s="9" t="s">
        <v>3279</v>
      </c>
      <c r="R20" s="9" t="s">
        <v>3280</v>
      </c>
      <c r="T20" s="9" t="s">
        <v>3280</v>
      </c>
      <c r="V20" s="9" t="s">
        <v>3280</v>
      </c>
      <c r="X20" s="9" t="s">
        <v>25</v>
      </c>
      <c r="AE20" s="9" t="s">
        <v>3488</v>
      </c>
      <c r="AG20" s="9" t="s">
        <v>3488</v>
      </c>
      <c r="AI20" s="9" t="s">
        <v>3488</v>
      </c>
      <c r="AK20" s="9" t="s">
        <v>3488</v>
      </c>
      <c r="AM20" s="9" t="s">
        <v>3489</v>
      </c>
      <c r="AO20" s="9" t="s">
        <v>3286</v>
      </c>
      <c r="AQ20" s="9" t="s">
        <v>3488</v>
      </c>
      <c r="AS20" s="9" t="s">
        <v>3287</v>
      </c>
      <c r="AU20" s="9" t="s">
        <v>25</v>
      </c>
      <c r="BD20" s="9" t="s">
        <v>612</v>
      </c>
      <c r="BE20" s="9" t="s">
        <v>3490</v>
      </c>
      <c r="BF20" s="9" t="s">
        <v>612</v>
      </c>
      <c r="BG20" s="9" t="s">
        <v>3490</v>
      </c>
      <c r="BH20" s="9" t="s">
        <v>612</v>
      </c>
      <c r="BI20" s="9" t="s">
        <v>3490</v>
      </c>
      <c r="BJ20" s="9" t="s">
        <v>612</v>
      </c>
      <c r="BK20" s="9" t="s">
        <v>3490</v>
      </c>
      <c r="BL20" s="9" t="s">
        <v>25</v>
      </c>
      <c r="BQ20" s="9" t="s">
        <v>53</v>
      </c>
      <c r="BS20" s="9" t="s">
        <v>3491</v>
      </c>
      <c r="BU20" s="9" t="s">
        <v>3287</v>
      </c>
      <c r="BW20" s="9" t="s">
        <v>612</v>
      </c>
      <c r="BX20" s="9" t="s">
        <v>3492</v>
      </c>
      <c r="BY20" s="9" t="s">
        <v>25</v>
      </c>
      <c r="CD20" s="9" t="s">
        <v>3493</v>
      </c>
      <c r="CF20" s="9" t="s">
        <v>3494</v>
      </c>
      <c r="CH20" s="9" t="s">
        <v>3495</v>
      </c>
      <c r="CJ20" s="9" t="s">
        <v>3397</v>
      </c>
      <c r="CL20" s="9" t="s">
        <v>3293</v>
      </c>
      <c r="CN20" s="9" t="s">
        <v>3421</v>
      </c>
      <c r="CP20" s="9" t="s">
        <v>3496</v>
      </c>
      <c r="CR20" s="9" t="s">
        <v>25</v>
      </c>
      <c r="CY20" s="9" t="s">
        <v>3497</v>
      </c>
      <c r="DA20" s="9" t="s">
        <v>3498</v>
      </c>
      <c r="DC20" s="9" t="s">
        <v>3498</v>
      </c>
      <c r="DE20" s="9" t="s">
        <v>3297</v>
      </c>
      <c r="DG20" s="9" t="s">
        <v>3499</v>
      </c>
      <c r="DI20" s="9" t="s">
        <v>3500</v>
      </c>
      <c r="DK20" s="9" t="s">
        <v>3287</v>
      </c>
      <c r="DM20" s="9" t="s">
        <v>3287</v>
      </c>
      <c r="DO20" s="9" t="s">
        <v>3287</v>
      </c>
      <c r="DQ20" s="9" t="s">
        <v>3287</v>
      </c>
      <c r="DS20" s="9" t="s">
        <v>3297</v>
      </c>
      <c r="DU20" s="9" t="s">
        <v>3501</v>
      </c>
      <c r="DW20" s="9" t="s">
        <v>3502</v>
      </c>
      <c r="DY20" s="9" t="s">
        <v>3287</v>
      </c>
      <c r="EA20" s="9" t="s">
        <v>3503</v>
      </c>
      <c r="EC20" s="9" t="s">
        <v>3305</v>
      </c>
      <c r="EE20" s="9" t="s">
        <v>3504</v>
      </c>
      <c r="EG20" s="9" t="s">
        <v>25</v>
      </c>
      <c r="EY20" s="9" t="s">
        <v>3505</v>
      </c>
      <c r="FA20" s="9" t="s">
        <v>3505</v>
      </c>
      <c r="FC20" s="9" t="s">
        <v>3505</v>
      </c>
      <c r="FE20" s="9" t="s">
        <v>3506</v>
      </c>
      <c r="FG20" s="9" t="s">
        <v>3287</v>
      </c>
      <c r="FI20" s="9" t="s">
        <v>3287</v>
      </c>
      <c r="FK20" s="9" t="s">
        <v>3287</v>
      </c>
      <c r="FM20" s="9" t="s">
        <v>25</v>
      </c>
      <c r="FU20" s="9" t="s">
        <v>25</v>
      </c>
      <c r="FW20" s="9" t="s">
        <v>3287</v>
      </c>
      <c r="FY20" s="9" t="s">
        <v>3379</v>
      </c>
      <c r="GA20" s="9" t="s">
        <v>3317</v>
      </c>
      <c r="GC20" s="9" t="s">
        <v>3317</v>
      </c>
      <c r="GE20" s="9" t="s">
        <v>3507</v>
      </c>
      <c r="GG20" s="9" t="s">
        <v>3317</v>
      </c>
      <c r="GI20" s="9" t="s">
        <v>3397</v>
      </c>
      <c r="GK20" s="9" t="s">
        <v>25</v>
      </c>
      <c r="GS20" s="9" t="s">
        <v>3508</v>
      </c>
      <c r="GU20" s="9" t="s">
        <v>3509</v>
      </c>
      <c r="GW20" s="9" t="s">
        <v>3508</v>
      </c>
      <c r="GY20" s="9" t="s">
        <v>3508</v>
      </c>
      <c r="HA20" s="9" t="s">
        <v>3508</v>
      </c>
      <c r="HC20" s="9" t="s">
        <v>25</v>
      </c>
      <c r="HI20" s="9" t="s">
        <v>3420</v>
      </c>
      <c r="HK20" s="9" t="s">
        <v>3510</v>
      </c>
      <c r="HM20" s="9" t="s">
        <v>3488</v>
      </c>
      <c r="HO20" s="9" t="s">
        <v>3511</v>
      </c>
      <c r="HQ20" s="9" t="s">
        <v>3348</v>
      </c>
      <c r="HS20" s="9" t="s">
        <v>3287</v>
      </c>
      <c r="HU20" s="9" t="s">
        <v>3510</v>
      </c>
      <c r="HW20" s="9" t="s">
        <v>3488</v>
      </c>
      <c r="HY20" s="9" t="s">
        <v>25</v>
      </c>
      <c r="IH20" s="9" t="s">
        <v>612</v>
      </c>
      <c r="II20" s="9" t="s">
        <v>3512</v>
      </c>
      <c r="IJ20" s="9" t="s">
        <v>3374</v>
      </c>
      <c r="IL20" s="9" t="s">
        <v>3513</v>
      </c>
      <c r="IN20" s="9" t="s">
        <v>14013</v>
      </c>
      <c r="IO20" s="9" t="s">
        <v>3512</v>
      </c>
      <c r="IP20" s="9" t="s">
        <v>14013</v>
      </c>
      <c r="IQ20" s="9" t="s">
        <v>3512</v>
      </c>
      <c r="IR20" s="9" t="s">
        <v>612</v>
      </c>
      <c r="IS20" s="9" t="s">
        <v>3512</v>
      </c>
      <c r="IT20" s="9" t="s">
        <v>3514</v>
      </c>
      <c r="IV20" s="9" t="s">
        <v>25</v>
      </c>
      <c r="JD20" s="9" t="s">
        <v>3424</v>
      </c>
      <c r="JF20" s="9" t="s">
        <v>3424</v>
      </c>
      <c r="JH20" s="9" t="s">
        <v>3424</v>
      </c>
      <c r="JJ20" s="9" t="s">
        <v>3424</v>
      </c>
      <c r="JL20" s="9" t="s">
        <v>3287</v>
      </c>
      <c r="JN20" s="9" t="s">
        <v>3515</v>
      </c>
      <c r="JP20" s="9" t="s">
        <v>3325</v>
      </c>
      <c r="JR20" s="9" t="s">
        <v>25</v>
      </c>
      <c r="JZ20" s="9" t="s">
        <v>3397</v>
      </c>
      <c r="KB20" s="9" t="s">
        <v>3328</v>
      </c>
      <c r="KD20" s="9" t="s">
        <v>3397</v>
      </c>
      <c r="KF20" s="9" t="s">
        <v>3287</v>
      </c>
      <c r="KH20" s="9" t="s">
        <v>3287</v>
      </c>
      <c r="KJ20" s="9" t="s">
        <v>3516</v>
      </c>
      <c r="KL20" s="9" t="s">
        <v>3486</v>
      </c>
      <c r="KN20" s="9" t="s">
        <v>14567</v>
      </c>
      <c r="KP20" s="9" t="s">
        <v>3332</v>
      </c>
      <c r="KR20" s="9" t="s">
        <v>25</v>
      </c>
      <c r="LB20" s="9" t="s">
        <v>3517</v>
      </c>
      <c r="LD20" s="9" t="s">
        <v>3518</v>
      </c>
      <c r="LF20" s="9" t="s">
        <v>3335</v>
      </c>
      <c r="LH20" s="9" t="s">
        <v>3287</v>
      </c>
      <c r="LJ20" s="9" t="s">
        <v>3487</v>
      </c>
      <c r="LL20" s="9" t="s">
        <v>3519</v>
      </c>
      <c r="LN20" s="9" t="s">
        <v>3287</v>
      </c>
      <c r="LP20" s="9" t="s">
        <v>3287</v>
      </c>
      <c r="LR20" s="9" t="s">
        <v>25</v>
      </c>
      <c r="MA20" s="9" t="s">
        <v>3338</v>
      </c>
    </row>
    <row r="21" spans="1:339" ht="25.5" x14ac:dyDescent="0.2">
      <c r="A21" s="8" t="s">
        <v>169</v>
      </c>
      <c r="B21" s="9" t="s">
        <v>25</v>
      </c>
      <c r="C21" s="9" t="s">
        <v>25</v>
      </c>
      <c r="D21" s="9" t="s">
        <v>25</v>
      </c>
      <c r="E21" s="9" t="s">
        <v>25</v>
      </c>
      <c r="F21" s="9" t="s">
        <v>25</v>
      </c>
      <c r="G21" s="9" t="s">
        <v>25</v>
      </c>
      <c r="H21" s="9" t="s">
        <v>25</v>
      </c>
      <c r="I21" s="9" t="s">
        <v>25</v>
      </c>
      <c r="J21" s="9" t="s">
        <v>28</v>
      </c>
      <c r="K21" s="9" t="s">
        <v>4284</v>
      </c>
      <c r="L21" s="9" t="s">
        <v>3279</v>
      </c>
      <c r="N21" s="9" t="s">
        <v>3279</v>
      </c>
      <c r="P21" s="9" t="s">
        <v>3279</v>
      </c>
      <c r="R21" s="9" t="s">
        <v>3355</v>
      </c>
      <c r="T21" s="9" t="s">
        <v>3355</v>
      </c>
      <c r="V21" s="9" t="s">
        <v>3287</v>
      </c>
      <c r="X21" s="9" t="s">
        <v>25</v>
      </c>
      <c r="AE21" s="9" t="s">
        <v>3287</v>
      </c>
      <c r="AG21" s="9" t="s">
        <v>3287</v>
      </c>
      <c r="AI21" s="9" t="s">
        <v>3287</v>
      </c>
      <c r="AK21" s="9" t="s">
        <v>3287</v>
      </c>
      <c r="AM21" s="9" t="s">
        <v>3279</v>
      </c>
      <c r="AO21" s="9" t="s">
        <v>3279</v>
      </c>
      <c r="AQ21" s="9" t="s">
        <v>4172</v>
      </c>
      <c r="AS21" s="9" t="s">
        <v>3287</v>
      </c>
      <c r="AU21" s="9" t="s">
        <v>25</v>
      </c>
      <c r="BD21" s="9" t="s">
        <v>3342</v>
      </c>
      <c r="BF21" s="9" t="s">
        <v>3342</v>
      </c>
      <c r="BH21" s="9" t="s">
        <v>3342</v>
      </c>
      <c r="BJ21" s="9" t="s">
        <v>3342</v>
      </c>
      <c r="BL21" s="9" t="s">
        <v>25</v>
      </c>
      <c r="BQ21" s="9" t="s">
        <v>53</v>
      </c>
      <c r="BS21" s="9" t="s">
        <v>3289</v>
      </c>
      <c r="BU21" s="9" t="s">
        <v>3287</v>
      </c>
      <c r="BW21" s="9" t="s">
        <v>4172</v>
      </c>
      <c r="BY21" s="9" t="s">
        <v>25</v>
      </c>
      <c r="CD21" s="9" t="s">
        <v>3291</v>
      </c>
      <c r="CF21" s="9" t="s">
        <v>3291</v>
      </c>
      <c r="CH21" s="9" t="s">
        <v>3360</v>
      </c>
      <c r="CJ21" s="9" t="s">
        <v>3292</v>
      </c>
      <c r="CL21" s="9" t="s">
        <v>3293</v>
      </c>
      <c r="CN21" s="9" t="s">
        <v>3440</v>
      </c>
      <c r="CP21" s="9" t="s">
        <v>3287</v>
      </c>
      <c r="CR21" s="9" t="s">
        <v>25</v>
      </c>
      <c r="CY21" s="9" t="s">
        <v>3287</v>
      </c>
      <c r="DA21" s="9" t="s">
        <v>3287</v>
      </c>
      <c r="DC21" s="9" t="s">
        <v>3287</v>
      </c>
      <c r="DE21" s="9" t="s">
        <v>3287</v>
      </c>
      <c r="DG21" s="9" t="s">
        <v>3287</v>
      </c>
      <c r="DI21" s="9" t="s">
        <v>3287</v>
      </c>
      <c r="DK21" s="9" t="s">
        <v>3287</v>
      </c>
      <c r="DM21" s="9" t="s">
        <v>3287</v>
      </c>
      <c r="DO21" s="9" t="s">
        <v>3287</v>
      </c>
      <c r="DQ21" s="9" t="s">
        <v>3287</v>
      </c>
      <c r="DS21" s="9" t="s">
        <v>3297</v>
      </c>
      <c r="DU21" s="9" t="s">
        <v>3416</v>
      </c>
      <c r="DW21" s="9" t="s">
        <v>3939</v>
      </c>
      <c r="DY21" s="9" t="s">
        <v>3287</v>
      </c>
      <c r="EA21" s="9" t="s">
        <v>3287</v>
      </c>
      <c r="EC21" s="9" t="s">
        <v>612</v>
      </c>
      <c r="ED21" s="9" t="s">
        <v>2422</v>
      </c>
      <c r="EE21" s="9" t="s">
        <v>3287</v>
      </c>
      <c r="EG21" s="9" t="s">
        <v>25</v>
      </c>
      <c r="EY21" s="9" t="s">
        <v>3287</v>
      </c>
      <c r="FA21" s="9" t="s">
        <v>3287</v>
      </c>
      <c r="FC21" s="9" t="s">
        <v>3287</v>
      </c>
      <c r="FE21" s="9" t="s">
        <v>3287</v>
      </c>
      <c r="FG21" s="9" t="s">
        <v>3287</v>
      </c>
      <c r="FI21" s="9" t="s">
        <v>3287</v>
      </c>
      <c r="FK21" s="9" t="s">
        <v>3287</v>
      </c>
      <c r="FM21" s="9" t="s">
        <v>25</v>
      </c>
      <c r="FU21" s="9" t="s">
        <v>25</v>
      </c>
      <c r="FW21" s="9" t="s">
        <v>3287</v>
      </c>
      <c r="FY21" s="9" t="s">
        <v>612</v>
      </c>
      <c r="FZ21" s="9" t="s">
        <v>3532</v>
      </c>
      <c r="GA21" s="9" t="s">
        <v>3611</v>
      </c>
      <c r="GC21" s="9" t="s">
        <v>3611</v>
      </c>
      <c r="GE21" s="9" t="s">
        <v>3611</v>
      </c>
      <c r="GG21" s="9" t="s">
        <v>3611</v>
      </c>
      <c r="GI21" s="9" t="s">
        <v>612</v>
      </c>
      <c r="GJ21" s="9" t="s">
        <v>3440</v>
      </c>
      <c r="GK21" s="9" t="s">
        <v>25</v>
      </c>
      <c r="GS21" s="9" t="s">
        <v>3287</v>
      </c>
      <c r="GU21" s="9" t="s">
        <v>3287</v>
      </c>
      <c r="GW21" s="9" t="s">
        <v>3287</v>
      </c>
      <c r="GY21" s="9" t="s">
        <v>3287</v>
      </c>
      <c r="HA21" s="9" t="s">
        <v>3287</v>
      </c>
      <c r="HC21" s="9" t="s">
        <v>25</v>
      </c>
      <c r="HI21" s="9" t="s">
        <v>929</v>
      </c>
      <c r="HK21" s="9" t="s">
        <v>3869</v>
      </c>
      <c r="HM21" s="9" t="s">
        <v>3869</v>
      </c>
      <c r="HO21" s="9" t="s">
        <v>3279</v>
      </c>
      <c r="HQ21" s="9" t="s">
        <v>3348</v>
      </c>
      <c r="HS21" s="9" t="s">
        <v>3287</v>
      </c>
      <c r="HU21" s="9" t="s">
        <v>3869</v>
      </c>
      <c r="HW21" s="9" t="s">
        <v>3287</v>
      </c>
      <c r="HY21" s="9" t="s">
        <v>25</v>
      </c>
      <c r="IH21" s="9" t="s">
        <v>3717</v>
      </c>
      <c r="IJ21" s="9" t="s">
        <v>3287</v>
      </c>
      <c r="IL21" s="9" t="s">
        <v>3717</v>
      </c>
      <c r="IN21" s="9" t="s">
        <v>3717</v>
      </c>
      <c r="IP21" s="9" t="s">
        <v>3717</v>
      </c>
      <c r="IR21" s="9" t="s">
        <v>3717</v>
      </c>
      <c r="IT21" s="9" t="s">
        <v>3350</v>
      </c>
      <c r="IV21" s="9" t="s">
        <v>25</v>
      </c>
      <c r="JD21" s="9" t="s">
        <v>3347</v>
      </c>
      <c r="JF21" s="9" t="s">
        <v>3287</v>
      </c>
      <c r="JH21" s="9" t="s">
        <v>3287</v>
      </c>
      <c r="JJ21" s="9" t="s">
        <v>3287</v>
      </c>
      <c r="JL21" s="9" t="s">
        <v>3287</v>
      </c>
      <c r="JN21" s="9" t="s">
        <v>3287</v>
      </c>
      <c r="JP21" s="9" t="s">
        <v>3287</v>
      </c>
      <c r="JR21" s="9" t="s">
        <v>25</v>
      </c>
      <c r="JZ21" s="9" t="s">
        <v>3287</v>
      </c>
      <c r="KB21" s="9" t="s">
        <v>3613</v>
      </c>
      <c r="KD21" s="9" t="s">
        <v>3287</v>
      </c>
      <c r="KF21" s="9" t="s">
        <v>3287</v>
      </c>
      <c r="KH21" s="9" t="s">
        <v>3287</v>
      </c>
      <c r="KJ21" s="9" t="s">
        <v>612</v>
      </c>
      <c r="KK21" s="9" t="s">
        <v>4285</v>
      </c>
      <c r="KL21" s="9" t="s">
        <v>3287</v>
      </c>
      <c r="KN21" s="9" t="s">
        <v>3329</v>
      </c>
      <c r="KP21" s="9" t="s">
        <v>3287</v>
      </c>
      <c r="KR21" s="9" t="s">
        <v>25</v>
      </c>
      <c r="LB21" s="9" t="s">
        <v>3287</v>
      </c>
      <c r="LD21" s="9" t="s">
        <v>3287</v>
      </c>
      <c r="LF21" s="9" t="s">
        <v>3287</v>
      </c>
      <c r="LH21" s="9" t="s">
        <v>3287</v>
      </c>
      <c r="LJ21" s="9" t="s">
        <v>3287</v>
      </c>
      <c r="LL21" s="9" t="s">
        <v>3587</v>
      </c>
      <c r="LN21" s="9" t="s">
        <v>3287</v>
      </c>
      <c r="LP21" s="9" t="s">
        <v>3287</v>
      </c>
      <c r="LR21" s="9" t="s">
        <v>25</v>
      </c>
      <c r="MA21" s="9" t="s">
        <v>4286</v>
      </c>
    </row>
    <row r="22" spans="1:339" ht="25.5" x14ac:dyDescent="0.2">
      <c r="A22" s="8" t="s">
        <v>159</v>
      </c>
      <c r="B22" s="9" t="s">
        <v>25</v>
      </c>
      <c r="C22" s="9" t="s">
        <v>25</v>
      </c>
      <c r="D22" s="9" t="s">
        <v>25</v>
      </c>
      <c r="E22" s="9" t="s">
        <v>25</v>
      </c>
      <c r="F22" s="9" t="s">
        <v>25</v>
      </c>
      <c r="G22" s="9" t="s">
        <v>28</v>
      </c>
      <c r="H22" s="9" t="s">
        <v>25</v>
      </c>
      <c r="I22" s="9" t="s">
        <v>25</v>
      </c>
      <c r="J22" s="9" t="s">
        <v>28</v>
      </c>
      <c r="K22" s="9" t="s">
        <v>4124</v>
      </c>
      <c r="L22" s="9" t="s">
        <v>3279</v>
      </c>
      <c r="N22" s="9" t="s">
        <v>3279</v>
      </c>
      <c r="P22" s="9" t="s">
        <v>3279</v>
      </c>
      <c r="R22" s="9" t="s">
        <v>4125</v>
      </c>
      <c r="T22" s="9" t="s">
        <v>4125</v>
      </c>
      <c r="V22" s="9" t="s">
        <v>3287</v>
      </c>
      <c r="X22" s="9" t="s">
        <v>25</v>
      </c>
      <c r="AE22" s="9" t="s">
        <v>3946</v>
      </c>
      <c r="AG22" s="9" t="s">
        <v>3946</v>
      </c>
      <c r="AI22" s="9" t="s">
        <v>3946</v>
      </c>
      <c r="AK22" s="9" t="s">
        <v>3946</v>
      </c>
      <c r="AM22" s="9" t="s">
        <v>3899</v>
      </c>
      <c r="AO22" s="9" t="s">
        <v>3287</v>
      </c>
      <c r="AQ22" s="9" t="s">
        <v>612</v>
      </c>
      <c r="AR22" s="9" t="s">
        <v>4126</v>
      </c>
      <c r="AS22" s="9" t="s">
        <v>3279</v>
      </c>
      <c r="AU22" s="9" t="s">
        <v>25</v>
      </c>
      <c r="BD22" s="9" t="s">
        <v>4035</v>
      </c>
      <c r="BF22" s="9" t="s">
        <v>3342</v>
      </c>
      <c r="BH22" s="9" t="s">
        <v>3342</v>
      </c>
      <c r="BJ22" s="9" t="s">
        <v>3287</v>
      </c>
      <c r="BL22" s="9" t="s">
        <v>25</v>
      </c>
      <c r="BQ22" s="9" t="s">
        <v>53</v>
      </c>
      <c r="BS22" s="9" t="s">
        <v>53</v>
      </c>
      <c r="BU22" s="9" t="s">
        <v>3287</v>
      </c>
      <c r="BW22" s="9" t="s">
        <v>612</v>
      </c>
      <c r="BX22" s="9" t="s">
        <v>4126</v>
      </c>
      <c r="BY22" s="9" t="s">
        <v>25</v>
      </c>
      <c r="CD22" s="9" t="s">
        <v>4127</v>
      </c>
      <c r="CE22" s="9" t="s">
        <v>4090</v>
      </c>
      <c r="CF22" s="9" t="s">
        <v>4128</v>
      </c>
      <c r="CH22" s="9" t="s">
        <v>4129</v>
      </c>
      <c r="CI22" s="9" t="s">
        <v>4090</v>
      </c>
      <c r="CJ22" s="9" t="s">
        <v>3292</v>
      </c>
      <c r="CL22" s="9" t="s">
        <v>3293</v>
      </c>
      <c r="CN22" s="9" t="s">
        <v>612</v>
      </c>
      <c r="CO22" s="9" t="s">
        <v>4090</v>
      </c>
      <c r="CP22" s="9" t="s">
        <v>3287</v>
      </c>
      <c r="CR22" s="9" t="s">
        <v>25</v>
      </c>
      <c r="CY22" s="9" t="s">
        <v>3287</v>
      </c>
      <c r="DA22" s="9" t="s">
        <v>3808</v>
      </c>
      <c r="DC22" s="9" t="s">
        <v>3287</v>
      </c>
      <c r="DE22" s="9" t="s">
        <v>3287</v>
      </c>
      <c r="DG22" s="9" t="s">
        <v>3287</v>
      </c>
      <c r="DI22" s="9" t="s">
        <v>3287</v>
      </c>
      <c r="DK22" s="9" t="s">
        <v>3287</v>
      </c>
      <c r="DM22" s="9" t="s">
        <v>3287</v>
      </c>
      <c r="DO22" s="9" t="s">
        <v>3287</v>
      </c>
      <c r="DQ22" s="9" t="s">
        <v>3287</v>
      </c>
      <c r="DS22" s="9" t="s">
        <v>612</v>
      </c>
      <c r="DT22" s="9" t="s">
        <v>4130</v>
      </c>
      <c r="DU22" s="9" t="s">
        <v>3360</v>
      </c>
      <c r="DW22" s="9" t="s">
        <v>4131</v>
      </c>
      <c r="DX22" s="9" t="s">
        <v>3444</v>
      </c>
      <c r="DY22" s="9" t="s">
        <v>3287</v>
      </c>
      <c r="EA22" s="9" t="s">
        <v>3287</v>
      </c>
      <c r="EC22" s="9" t="s">
        <v>4132</v>
      </c>
      <c r="ED22" s="9" t="s">
        <v>4133</v>
      </c>
      <c r="EE22" s="9" t="s">
        <v>3951</v>
      </c>
      <c r="EG22" s="9" t="s">
        <v>25</v>
      </c>
      <c r="EY22" s="9" t="s">
        <v>612</v>
      </c>
      <c r="EZ22" s="9" t="s">
        <v>4134</v>
      </c>
      <c r="FA22" s="9" t="s">
        <v>4135</v>
      </c>
      <c r="FB22" s="9" t="s">
        <v>4134</v>
      </c>
      <c r="FC22" s="9" t="s">
        <v>3287</v>
      </c>
      <c r="FE22" s="9" t="s">
        <v>3287</v>
      </c>
      <c r="FG22" s="9" t="s">
        <v>3287</v>
      </c>
      <c r="FI22" s="9" t="s">
        <v>3287</v>
      </c>
      <c r="FK22" s="9" t="s">
        <v>3287</v>
      </c>
      <c r="FM22" s="9" t="s">
        <v>25</v>
      </c>
      <c r="FU22" s="9" t="s">
        <v>25</v>
      </c>
      <c r="FW22" s="9" t="s">
        <v>4136</v>
      </c>
      <c r="FY22" s="9" t="s">
        <v>612</v>
      </c>
      <c r="FZ22" s="9" t="s">
        <v>3672</v>
      </c>
      <c r="GA22" s="9" t="s">
        <v>4137</v>
      </c>
      <c r="GC22" s="9" t="s">
        <v>3556</v>
      </c>
      <c r="GE22" s="9" t="s">
        <v>612</v>
      </c>
      <c r="GF22" s="9" t="s">
        <v>4138</v>
      </c>
      <c r="GG22" s="9" t="s">
        <v>612</v>
      </c>
      <c r="GH22" s="9" t="s">
        <v>4138</v>
      </c>
      <c r="GI22" s="9" t="s">
        <v>3560</v>
      </c>
      <c r="GK22" s="9" t="s">
        <v>25</v>
      </c>
      <c r="GS22" s="9" t="s">
        <v>53</v>
      </c>
      <c r="GU22" s="9" t="s">
        <v>3808</v>
      </c>
      <c r="GW22" s="9" t="s">
        <v>3808</v>
      </c>
      <c r="GY22" s="9" t="s">
        <v>3808</v>
      </c>
      <c r="HA22" s="9" t="s">
        <v>3808</v>
      </c>
      <c r="HC22" s="9" t="s">
        <v>25</v>
      </c>
      <c r="HI22" s="9" t="s">
        <v>929</v>
      </c>
      <c r="HK22" s="9" t="s">
        <v>929</v>
      </c>
      <c r="HM22" s="9" t="s">
        <v>612</v>
      </c>
      <c r="HN22" s="9" t="s">
        <v>3372</v>
      </c>
      <c r="HO22" s="9" t="s">
        <v>3287</v>
      </c>
      <c r="HQ22" s="9" t="s">
        <v>4139</v>
      </c>
      <c r="HS22" s="9" t="s">
        <v>3287</v>
      </c>
      <c r="HU22" s="9" t="s">
        <v>1265</v>
      </c>
      <c r="HW22" s="9" t="s">
        <v>3451</v>
      </c>
      <c r="HY22" s="9" t="s">
        <v>25</v>
      </c>
      <c r="IH22" s="9" t="s">
        <v>612</v>
      </c>
      <c r="II22" s="9" t="s">
        <v>3813</v>
      </c>
      <c r="IJ22" s="9" t="s">
        <v>3380</v>
      </c>
      <c r="IL22" s="9" t="s">
        <v>4140</v>
      </c>
      <c r="IM22" s="9" t="s">
        <v>4141</v>
      </c>
      <c r="IN22" s="9" t="s">
        <v>3735</v>
      </c>
      <c r="IP22" s="9" t="s">
        <v>4142</v>
      </c>
      <c r="IQ22" s="9" t="s">
        <v>3813</v>
      </c>
      <c r="IR22" s="9" t="s">
        <v>612</v>
      </c>
      <c r="IS22" s="9" t="s">
        <v>3813</v>
      </c>
      <c r="IT22" s="9" t="s">
        <v>4143</v>
      </c>
      <c r="IV22" s="9" t="s">
        <v>25</v>
      </c>
      <c r="JD22" s="9" t="s">
        <v>3325</v>
      </c>
      <c r="JF22" s="9" t="s">
        <v>3287</v>
      </c>
      <c r="JH22" s="9" t="s">
        <v>3287</v>
      </c>
      <c r="JJ22" s="9" t="s">
        <v>3325</v>
      </c>
      <c r="JL22" s="9" t="s">
        <v>3325</v>
      </c>
      <c r="JN22" s="9" t="s">
        <v>4144</v>
      </c>
      <c r="JO22" s="9" t="s">
        <v>4133</v>
      </c>
      <c r="JP22" s="9" t="s">
        <v>3287</v>
      </c>
      <c r="JR22" s="9" t="s">
        <v>25</v>
      </c>
      <c r="JZ22" s="9" t="s">
        <v>3287</v>
      </c>
      <c r="KB22" s="9" t="s">
        <v>3287</v>
      </c>
      <c r="KD22" s="9" t="s">
        <v>3287</v>
      </c>
      <c r="KF22" s="9" t="s">
        <v>3287</v>
      </c>
      <c r="KH22" s="9" t="s">
        <v>3287</v>
      </c>
      <c r="KJ22" s="9" t="s">
        <v>3695</v>
      </c>
      <c r="KL22" s="9" t="s">
        <v>3287</v>
      </c>
      <c r="KN22" s="9" t="s">
        <v>612</v>
      </c>
      <c r="KO22" s="9" t="s">
        <v>4145</v>
      </c>
      <c r="KP22" s="9" t="s">
        <v>612</v>
      </c>
      <c r="KQ22" s="9" t="s">
        <v>3851</v>
      </c>
      <c r="KR22" s="9" t="s">
        <v>25</v>
      </c>
      <c r="LB22" s="9" t="s">
        <v>3287</v>
      </c>
      <c r="LD22" s="9" t="s">
        <v>3287</v>
      </c>
      <c r="LF22" s="9" t="s">
        <v>3335</v>
      </c>
      <c r="LH22" s="9" t="s">
        <v>3287</v>
      </c>
      <c r="LJ22" s="9" t="s">
        <v>3287</v>
      </c>
      <c r="LL22" s="9" t="s">
        <v>3287</v>
      </c>
      <c r="LN22" s="9" t="s">
        <v>3287</v>
      </c>
      <c r="LP22" s="9" t="s">
        <v>3287</v>
      </c>
      <c r="LR22" s="9" t="s">
        <v>25</v>
      </c>
      <c r="MA22" s="9" t="s">
        <v>4146</v>
      </c>
    </row>
    <row r="23" spans="1:339" ht="63.75" x14ac:dyDescent="0.2">
      <c r="A23" s="8" t="s">
        <v>166</v>
      </c>
      <c r="B23" s="9" t="s">
        <v>25</v>
      </c>
      <c r="C23" s="9" t="s">
        <v>25</v>
      </c>
      <c r="D23" s="9" t="s">
        <v>28</v>
      </c>
      <c r="E23" s="9" t="s">
        <v>25</v>
      </c>
      <c r="F23" s="9" t="s">
        <v>25</v>
      </c>
      <c r="G23" s="9" t="s">
        <v>25</v>
      </c>
      <c r="H23" s="9" t="s">
        <v>25</v>
      </c>
      <c r="I23" s="9" t="s">
        <v>25</v>
      </c>
      <c r="J23" s="9" t="s">
        <v>28</v>
      </c>
      <c r="K23" s="9" t="s">
        <v>4236</v>
      </c>
      <c r="L23" s="9" t="s">
        <v>4237</v>
      </c>
      <c r="N23" s="9" t="s">
        <v>3563</v>
      </c>
      <c r="P23" s="9" t="s">
        <v>3563</v>
      </c>
      <c r="R23" s="9" t="s">
        <v>4238</v>
      </c>
      <c r="T23" s="9" t="s">
        <v>4085</v>
      </c>
      <c r="V23" s="9" t="s">
        <v>3287</v>
      </c>
      <c r="X23" s="9" t="s">
        <v>25</v>
      </c>
      <c r="AE23" s="9" t="s">
        <v>3563</v>
      </c>
      <c r="AG23" s="9" t="s">
        <v>4239</v>
      </c>
      <c r="AI23" s="9" t="s">
        <v>3563</v>
      </c>
      <c r="AK23" s="9" t="s">
        <v>3563</v>
      </c>
      <c r="AM23" s="9" t="s">
        <v>4240</v>
      </c>
      <c r="AO23" s="9" t="s">
        <v>3899</v>
      </c>
      <c r="AQ23" s="9" t="s">
        <v>3563</v>
      </c>
      <c r="AS23" s="9" t="s">
        <v>3287</v>
      </c>
      <c r="AU23" s="9" t="s">
        <v>25</v>
      </c>
      <c r="BD23" s="9" t="s">
        <v>3342</v>
      </c>
      <c r="BF23" s="9" t="s">
        <v>3342</v>
      </c>
      <c r="BH23" s="9" t="s">
        <v>3342</v>
      </c>
      <c r="BJ23" s="9" t="s">
        <v>3287</v>
      </c>
      <c r="BL23" s="9" t="s">
        <v>25</v>
      </c>
      <c r="BQ23" s="9" t="s">
        <v>53</v>
      </c>
      <c r="BS23" s="9" t="s">
        <v>3341</v>
      </c>
      <c r="BU23" s="9" t="s">
        <v>3384</v>
      </c>
      <c r="BW23" s="9" t="s">
        <v>612</v>
      </c>
      <c r="BX23" s="9" t="s">
        <v>3488</v>
      </c>
      <c r="BY23" s="9" t="s">
        <v>25</v>
      </c>
      <c r="CD23" s="9" t="s">
        <v>4058</v>
      </c>
      <c r="CF23" s="9" t="s">
        <v>3411</v>
      </c>
      <c r="CH23" s="9" t="s">
        <v>4241</v>
      </c>
      <c r="CI23" s="9" t="s">
        <v>1064</v>
      </c>
      <c r="CJ23" s="9" t="s">
        <v>3292</v>
      </c>
      <c r="CL23" s="9" t="s">
        <v>3293</v>
      </c>
      <c r="CN23" s="9" t="s">
        <v>3421</v>
      </c>
      <c r="CP23" s="9" t="s">
        <v>3287</v>
      </c>
      <c r="CR23" s="9" t="s">
        <v>25</v>
      </c>
      <c r="CY23" s="9" t="s">
        <v>3297</v>
      </c>
      <c r="DA23" s="9" t="s">
        <v>3297</v>
      </c>
      <c r="DC23" s="9" t="s">
        <v>3297</v>
      </c>
      <c r="DE23" s="9" t="s">
        <v>3287</v>
      </c>
      <c r="DG23" s="9" t="s">
        <v>3287</v>
      </c>
      <c r="DI23" s="9" t="s">
        <v>3287</v>
      </c>
      <c r="DK23" s="9" t="s">
        <v>3287</v>
      </c>
      <c r="DM23" s="9" t="s">
        <v>3287</v>
      </c>
      <c r="DO23" s="9" t="s">
        <v>3287</v>
      </c>
      <c r="DQ23" s="9" t="s">
        <v>3287</v>
      </c>
      <c r="DS23" s="9" t="s">
        <v>3297</v>
      </c>
      <c r="DU23" s="9" t="s">
        <v>3360</v>
      </c>
      <c r="DW23" s="9" t="s">
        <v>4242</v>
      </c>
      <c r="DY23" s="9" t="s">
        <v>3297</v>
      </c>
      <c r="EA23" s="9" t="s">
        <v>3297</v>
      </c>
      <c r="EC23" s="9" t="s">
        <v>4243</v>
      </c>
      <c r="ED23" s="9" t="s">
        <v>4244</v>
      </c>
      <c r="EE23" s="9" t="s">
        <v>3287</v>
      </c>
      <c r="EG23" s="9" t="s">
        <v>25</v>
      </c>
      <c r="EY23" s="9" t="s">
        <v>3297</v>
      </c>
      <c r="FA23" s="9" t="s">
        <v>3287</v>
      </c>
      <c r="FC23" s="9" t="s">
        <v>612</v>
      </c>
      <c r="FD23" s="9" t="s">
        <v>4134</v>
      </c>
      <c r="FE23" s="9" t="s">
        <v>3287</v>
      </c>
      <c r="FG23" s="9" t="s">
        <v>3297</v>
      </c>
      <c r="FI23" s="9" t="s">
        <v>3287</v>
      </c>
      <c r="FK23" s="9" t="s">
        <v>3297</v>
      </c>
      <c r="FM23" s="9" t="s">
        <v>25</v>
      </c>
      <c r="FU23" s="9" t="s">
        <v>28</v>
      </c>
      <c r="FV23" s="9" t="s">
        <v>4245</v>
      </c>
      <c r="FW23" s="9" t="s">
        <v>3287</v>
      </c>
      <c r="FY23" s="9" t="s">
        <v>3287</v>
      </c>
      <c r="GA23" s="9" t="s">
        <v>4246</v>
      </c>
      <c r="GC23" s="9" t="s">
        <v>3360</v>
      </c>
      <c r="GE23" s="9" t="s">
        <v>4246</v>
      </c>
      <c r="GG23" s="9" t="s">
        <v>3287</v>
      </c>
      <c r="GI23" s="9" t="s">
        <v>3475</v>
      </c>
      <c r="GK23" s="9" t="s">
        <v>25</v>
      </c>
      <c r="GS23" s="9" t="s">
        <v>3508</v>
      </c>
      <c r="GU23" s="9" t="s">
        <v>3509</v>
      </c>
      <c r="GW23" s="9" t="s">
        <v>3563</v>
      </c>
      <c r="GY23" s="9" t="s">
        <v>3563</v>
      </c>
      <c r="HA23" s="9" t="s">
        <v>4247</v>
      </c>
      <c r="HC23" s="9" t="s">
        <v>25</v>
      </c>
      <c r="HI23" s="9" t="s">
        <v>3420</v>
      </c>
      <c r="HK23" s="9" t="s">
        <v>3371</v>
      </c>
      <c r="HM23" s="9" t="s">
        <v>3488</v>
      </c>
      <c r="HO23" s="9" t="s">
        <v>3287</v>
      </c>
      <c r="HQ23" s="9" t="s">
        <v>3348</v>
      </c>
      <c r="HS23" s="9" t="s">
        <v>3735</v>
      </c>
      <c r="HU23" s="9" t="s">
        <v>4248</v>
      </c>
      <c r="HW23" s="9" t="s">
        <v>3488</v>
      </c>
      <c r="HY23" s="9" t="s">
        <v>25</v>
      </c>
      <c r="IH23" s="9" t="s">
        <v>3373</v>
      </c>
      <c r="IJ23" s="9" t="s">
        <v>3380</v>
      </c>
      <c r="IL23" s="9" t="s">
        <v>3735</v>
      </c>
      <c r="IN23" s="9" t="s">
        <v>3735</v>
      </c>
      <c r="IP23" s="9" t="s">
        <v>3735</v>
      </c>
      <c r="IR23" s="9" t="s">
        <v>3373</v>
      </c>
      <c r="IT23" s="9" t="s">
        <v>3323</v>
      </c>
      <c r="IV23" s="9" t="s">
        <v>25</v>
      </c>
      <c r="JD23" s="9" t="s">
        <v>3347</v>
      </c>
      <c r="JF23" s="9" t="s">
        <v>3287</v>
      </c>
      <c r="JH23" s="9" t="s">
        <v>3287</v>
      </c>
      <c r="JJ23" s="9" t="s">
        <v>3718</v>
      </c>
      <c r="JK23" s="9" t="s">
        <v>3899</v>
      </c>
      <c r="JL23" s="9" t="s">
        <v>3718</v>
      </c>
      <c r="JM23" s="9" t="s">
        <v>4244</v>
      </c>
      <c r="JN23" s="9" t="s">
        <v>3718</v>
      </c>
      <c r="JO23" s="9" t="s">
        <v>4244</v>
      </c>
      <c r="JP23" s="9" t="s">
        <v>3287</v>
      </c>
      <c r="JR23" s="9" t="s">
        <v>25</v>
      </c>
      <c r="JZ23" s="9" t="s">
        <v>3329</v>
      </c>
      <c r="KB23" s="9" t="s">
        <v>3287</v>
      </c>
      <c r="KD23" s="9" t="s">
        <v>3329</v>
      </c>
      <c r="KF23" s="9" t="s">
        <v>3287</v>
      </c>
      <c r="KH23" s="9" t="s">
        <v>3287</v>
      </c>
      <c r="KJ23" s="9" t="s">
        <v>3695</v>
      </c>
      <c r="KL23" s="9" t="s">
        <v>3287</v>
      </c>
      <c r="KN23" s="9" t="s">
        <v>3329</v>
      </c>
      <c r="KP23" s="9" t="s">
        <v>3332</v>
      </c>
      <c r="KR23" s="9" t="s">
        <v>25</v>
      </c>
      <c r="LB23" s="9" t="s">
        <v>3287</v>
      </c>
      <c r="LD23" s="9" t="s">
        <v>3287</v>
      </c>
      <c r="LF23" s="9" t="s">
        <v>3287</v>
      </c>
      <c r="LH23" s="9" t="s">
        <v>3287</v>
      </c>
      <c r="LJ23" s="9" t="s">
        <v>3487</v>
      </c>
      <c r="LL23" s="9" t="s">
        <v>3587</v>
      </c>
      <c r="LN23" s="9" t="s">
        <v>4249</v>
      </c>
      <c r="LP23" s="9" t="s">
        <v>3287</v>
      </c>
      <c r="LR23" s="9" t="s">
        <v>25</v>
      </c>
      <c r="MA23" s="9" t="s">
        <v>14597</v>
      </c>
    </row>
    <row r="24" spans="1:339" ht="25.5" x14ac:dyDescent="0.2">
      <c r="A24" s="8" t="s">
        <v>157</v>
      </c>
      <c r="J24" s="9" t="s">
        <v>28</v>
      </c>
      <c r="K24" s="9" t="s">
        <v>4084</v>
      </c>
      <c r="L24" s="9" t="s">
        <v>3339</v>
      </c>
      <c r="N24" s="9" t="s">
        <v>3339</v>
      </c>
      <c r="P24" s="9" t="s">
        <v>3339</v>
      </c>
      <c r="R24" s="9" t="s">
        <v>4085</v>
      </c>
      <c r="T24" s="9" t="s">
        <v>4085</v>
      </c>
      <c r="V24" s="9" t="s">
        <v>3287</v>
      </c>
      <c r="X24" s="9" t="s">
        <v>25</v>
      </c>
      <c r="AE24" s="9" t="s">
        <v>3339</v>
      </c>
      <c r="AG24" s="9" t="s">
        <v>3408</v>
      </c>
      <c r="AI24" s="9" t="s">
        <v>3339</v>
      </c>
      <c r="AK24" s="9" t="s">
        <v>4086</v>
      </c>
      <c r="AM24" s="9" t="s">
        <v>4087</v>
      </c>
      <c r="AO24" s="9" t="s">
        <v>3287</v>
      </c>
      <c r="AQ24" s="9" t="s">
        <v>3339</v>
      </c>
      <c r="AS24" s="9" t="s">
        <v>53</v>
      </c>
      <c r="AU24" s="9" t="s">
        <v>25</v>
      </c>
      <c r="BD24" s="9" t="s">
        <v>3287</v>
      </c>
      <c r="BF24" s="9" t="s">
        <v>3287</v>
      </c>
      <c r="BH24" s="9" t="s">
        <v>3287</v>
      </c>
      <c r="BJ24" s="9" t="s">
        <v>3287</v>
      </c>
      <c r="BL24" s="9" t="s">
        <v>25</v>
      </c>
      <c r="BQ24" s="9" t="s">
        <v>53</v>
      </c>
      <c r="BS24" s="9" t="s">
        <v>3341</v>
      </c>
      <c r="BU24" s="9" t="s">
        <v>3287</v>
      </c>
      <c r="BW24" s="9" t="s">
        <v>3339</v>
      </c>
      <c r="BY24" s="9" t="s">
        <v>25</v>
      </c>
      <c r="CD24" s="9" t="s">
        <v>3990</v>
      </c>
      <c r="CF24" s="9" t="s">
        <v>4088</v>
      </c>
      <c r="CH24" s="9" t="s">
        <v>3475</v>
      </c>
      <c r="CJ24" s="9" t="s">
        <v>3292</v>
      </c>
      <c r="CL24" s="9" t="s">
        <v>3293</v>
      </c>
      <c r="CN24" s="9" t="s">
        <v>3937</v>
      </c>
      <c r="CP24" s="9" t="s">
        <v>4089</v>
      </c>
      <c r="CQ24" s="9" t="s">
        <v>4090</v>
      </c>
      <c r="CR24" s="9" t="s">
        <v>28</v>
      </c>
      <c r="CS24" s="9" t="s">
        <v>3361</v>
      </c>
      <c r="CU24" s="9" t="s">
        <v>4091</v>
      </c>
      <c r="CX24" s="9" t="s">
        <v>3361</v>
      </c>
      <c r="CY24" s="9" t="s">
        <v>3387</v>
      </c>
      <c r="DA24" s="9" t="s">
        <v>3287</v>
      </c>
      <c r="DC24" s="9" t="s">
        <v>3287</v>
      </c>
      <c r="DE24" s="9" t="s">
        <v>3297</v>
      </c>
      <c r="DG24" s="9" t="s">
        <v>3287</v>
      </c>
      <c r="DI24" s="9" t="s">
        <v>3287</v>
      </c>
      <c r="DK24" s="9" t="s">
        <v>3287</v>
      </c>
      <c r="DM24" s="9" t="s">
        <v>3287</v>
      </c>
      <c r="DO24" s="9" t="s">
        <v>3287</v>
      </c>
      <c r="DQ24" s="9" t="s">
        <v>3287</v>
      </c>
      <c r="DS24" s="9" t="s">
        <v>3297</v>
      </c>
      <c r="DU24" s="9" t="s">
        <v>612</v>
      </c>
      <c r="DV24" s="9" t="s">
        <v>4092</v>
      </c>
      <c r="DW24" s="9" t="s">
        <v>3287</v>
      </c>
      <c r="DY24" s="9" t="s">
        <v>3287</v>
      </c>
      <c r="EA24" s="9" t="s">
        <v>3297</v>
      </c>
      <c r="EC24" s="9" t="s">
        <v>3287</v>
      </c>
      <c r="EE24" s="9" t="s">
        <v>612</v>
      </c>
      <c r="EF24" s="9" t="s">
        <v>4002</v>
      </c>
      <c r="EG24" s="9" t="s">
        <v>28</v>
      </c>
      <c r="EH24" s="9" t="s">
        <v>3921</v>
      </c>
      <c r="EI24" s="9" t="s">
        <v>3808</v>
      </c>
      <c r="EO24" s="9" t="s">
        <v>4093</v>
      </c>
      <c r="EW24" s="9" t="s">
        <v>3642</v>
      </c>
      <c r="EY24" s="9" t="s">
        <v>3287</v>
      </c>
      <c r="FA24" s="9" t="s">
        <v>3287</v>
      </c>
      <c r="FC24" s="9" t="s">
        <v>3287</v>
      </c>
      <c r="FE24" s="9" t="s">
        <v>3311</v>
      </c>
      <c r="FG24" s="9" t="s">
        <v>3287</v>
      </c>
      <c r="FI24" s="9" t="s">
        <v>3287</v>
      </c>
      <c r="FK24" s="9" t="s">
        <v>3287</v>
      </c>
      <c r="FM24" s="9" t="s">
        <v>25</v>
      </c>
      <c r="FU24" s="9" t="s">
        <v>25</v>
      </c>
      <c r="FW24" s="9" t="s">
        <v>3287</v>
      </c>
      <c r="FY24" s="9" t="s">
        <v>3287</v>
      </c>
      <c r="GA24" s="9" t="s">
        <v>4094</v>
      </c>
      <c r="GB24" s="9" t="s">
        <v>865</v>
      </c>
      <c r="GC24" s="9" t="s">
        <v>3611</v>
      </c>
      <c r="GE24" s="9" t="s">
        <v>3611</v>
      </c>
      <c r="GG24" s="9" t="s">
        <v>3611</v>
      </c>
      <c r="GI24" s="9" t="s">
        <v>3397</v>
      </c>
      <c r="GK24" s="9" t="s">
        <v>25</v>
      </c>
      <c r="GS24" s="9" t="s">
        <v>3339</v>
      </c>
      <c r="GU24" s="9" t="s">
        <v>4086</v>
      </c>
      <c r="GW24" s="9" t="s">
        <v>3339</v>
      </c>
      <c r="GY24" s="9" t="s">
        <v>3339</v>
      </c>
      <c r="HA24" s="9" t="s">
        <v>3905</v>
      </c>
      <c r="HC24" s="9" t="s">
        <v>28</v>
      </c>
      <c r="HD24" s="9" t="s">
        <v>53</v>
      </c>
      <c r="HF24" s="9" t="s">
        <v>3808</v>
      </c>
      <c r="HG24" s="9" t="s">
        <v>3808</v>
      </c>
      <c r="HH24" s="9" t="s">
        <v>3808</v>
      </c>
      <c r="HI24" s="9" t="s">
        <v>3451</v>
      </c>
      <c r="HK24" s="9" t="s">
        <v>3451</v>
      </c>
      <c r="HM24" s="9" t="s">
        <v>3339</v>
      </c>
      <c r="HO24" s="9" t="s">
        <v>3287</v>
      </c>
      <c r="HQ24" s="9" t="s">
        <v>3348</v>
      </c>
      <c r="HS24" s="9" t="s">
        <v>3287</v>
      </c>
      <c r="HU24" s="9" t="s">
        <v>3451</v>
      </c>
      <c r="HW24" s="9" t="s">
        <v>3339</v>
      </c>
      <c r="HY24" s="9" t="s">
        <v>28</v>
      </c>
      <c r="HZ24" s="9" t="s">
        <v>4095</v>
      </c>
      <c r="IA24" s="9" t="s">
        <v>4095</v>
      </c>
      <c r="IB24" s="9" t="s">
        <v>4096</v>
      </c>
      <c r="IF24" s="9" t="s">
        <v>4095</v>
      </c>
      <c r="IG24" s="9" t="s">
        <v>4096</v>
      </c>
      <c r="IH24" s="9" t="s">
        <v>3717</v>
      </c>
      <c r="IJ24" s="9" t="s">
        <v>612</v>
      </c>
      <c r="IK24" s="9" t="s">
        <v>4097</v>
      </c>
      <c r="IL24" s="9" t="s">
        <v>3717</v>
      </c>
      <c r="IN24" s="9" t="s">
        <v>3717</v>
      </c>
      <c r="IP24" s="9" t="s">
        <v>3717</v>
      </c>
      <c r="IR24" s="9" t="s">
        <v>3717</v>
      </c>
      <c r="IT24" s="9" t="s">
        <v>3514</v>
      </c>
      <c r="IV24" s="9" t="s">
        <v>28</v>
      </c>
      <c r="JD24" s="9" t="s">
        <v>3347</v>
      </c>
      <c r="JF24" s="9" t="s">
        <v>3287</v>
      </c>
      <c r="JH24" s="9" t="s">
        <v>3287</v>
      </c>
      <c r="JJ24" s="9" t="s">
        <v>3347</v>
      </c>
      <c r="JL24" s="9" t="s">
        <v>3287</v>
      </c>
      <c r="JN24" s="9" t="s">
        <v>3287</v>
      </c>
      <c r="JP24" s="9" t="s">
        <v>3287</v>
      </c>
      <c r="JR24" s="9" t="s">
        <v>25</v>
      </c>
      <c r="JZ24" s="9" t="s">
        <v>3397</v>
      </c>
      <c r="KB24" s="9" t="s">
        <v>3456</v>
      </c>
      <c r="KD24" s="9" t="s">
        <v>3457</v>
      </c>
      <c r="KF24" s="9" t="s">
        <v>3287</v>
      </c>
      <c r="KH24" s="9" t="s">
        <v>3347</v>
      </c>
      <c r="KJ24" s="9" t="s">
        <v>3287</v>
      </c>
      <c r="KL24" s="9" t="s">
        <v>3287</v>
      </c>
      <c r="KN24" s="9" t="s">
        <v>3643</v>
      </c>
      <c r="KP24" s="9" t="s">
        <v>3287</v>
      </c>
      <c r="KR24" s="9" t="s">
        <v>25</v>
      </c>
      <c r="LB24" s="9" t="s">
        <v>3429</v>
      </c>
      <c r="LD24" s="9" t="s">
        <v>3464</v>
      </c>
      <c r="LF24" s="9" t="s">
        <v>3335</v>
      </c>
      <c r="LH24" s="9" t="s">
        <v>3287</v>
      </c>
      <c r="LL24" s="9" t="s">
        <v>3287</v>
      </c>
      <c r="LN24" s="9" t="s">
        <v>3978</v>
      </c>
      <c r="LP24" s="9" t="s">
        <v>3287</v>
      </c>
      <c r="LR24" s="9" t="s">
        <v>25</v>
      </c>
      <c r="MA24" s="9" t="s">
        <v>4098</v>
      </c>
    </row>
    <row r="25" spans="1:339" ht="38.25" x14ac:dyDescent="0.2">
      <c r="A25" s="8" t="s">
        <v>144</v>
      </c>
      <c r="B25" s="9" t="s">
        <v>25</v>
      </c>
      <c r="C25" s="9" t="s">
        <v>25</v>
      </c>
      <c r="D25" s="9" t="s">
        <v>25</v>
      </c>
      <c r="E25" s="9" t="s">
        <v>25</v>
      </c>
      <c r="F25" s="9" t="s">
        <v>25</v>
      </c>
      <c r="G25" s="9" t="s">
        <v>25</v>
      </c>
      <c r="H25" s="9" t="s">
        <v>25</v>
      </c>
      <c r="I25" s="9" t="s">
        <v>25</v>
      </c>
      <c r="J25" s="9" t="s">
        <v>25</v>
      </c>
      <c r="L25" s="9" t="s">
        <v>3339</v>
      </c>
      <c r="N25" s="9" t="s">
        <v>3339</v>
      </c>
      <c r="P25" s="9" t="s">
        <v>3339</v>
      </c>
      <c r="R25" s="9" t="s">
        <v>3758</v>
      </c>
      <c r="T25" s="9" t="s">
        <v>3758</v>
      </c>
      <c r="V25" s="9" t="s">
        <v>3758</v>
      </c>
      <c r="X25" s="9" t="s">
        <v>25</v>
      </c>
      <c r="AE25" s="9" t="s">
        <v>3875</v>
      </c>
      <c r="AG25" s="9" t="s">
        <v>3285</v>
      </c>
      <c r="AI25" s="9" t="s">
        <v>13582</v>
      </c>
      <c r="AK25" s="9" t="s">
        <v>13582</v>
      </c>
      <c r="AM25" s="9" t="s">
        <v>3285</v>
      </c>
      <c r="AO25" s="9" t="s">
        <v>3287</v>
      </c>
      <c r="AQ25" s="9" t="s">
        <v>3488</v>
      </c>
      <c r="AS25" s="9" t="s">
        <v>3287</v>
      </c>
      <c r="AU25" s="9" t="s">
        <v>25</v>
      </c>
      <c r="BD25" s="9" t="s">
        <v>3876</v>
      </c>
      <c r="BF25" s="9" t="s">
        <v>3876</v>
      </c>
      <c r="BH25" s="9" t="s">
        <v>3876</v>
      </c>
      <c r="BJ25" s="9" t="s">
        <v>3876</v>
      </c>
      <c r="BL25" s="9" t="s">
        <v>25</v>
      </c>
      <c r="BQ25" s="9" t="s">
        <v>53</v>
      </c>
      <c r="BS25" s="9" t="s">
        <v>53</v>
      </c>
      <c r="BU25" s="9" t="s">
        <v>3287</v>
      </c>
      <c r="BW25" s="9" t="s">
        <v>53</v>
      </c>
      <c r="BY25" s="9" t="s">
        <v>25</v>
      </c>
      <c r="CD25" s="9" t="s">
        <v>3567</v>
      </c>
      <c r="CF25" s="9" t="s">
        <v>3359</v>
      </c>
      <c r="CH25" s="9" t="s">
        <v>3567</v>
      </c>
      <c r="CJ25" s="9" t="s">
        <v>3349</v>
      </c>
      <c r="CL25" s="9" t="s">
        <v>3293</v>
      </c>
      <c r="CN25" s="9" t="s">
        <v>3287</v>
      </c>
      <c r="CP25" s="9" t="s">
        <v>3287</v>
      </c>
      <c r="CR25" s="9" t="s">
        <v>25</v>
      </c>
      <c r="CY25" s="9" t="s">
        <v>3287</v>
      </c>
      <c r="DA25" s="9" t="s">
        <v>3297</v>
      </c>
      <c r="DC25" s="9" t="s">
        <v>3297</v>
      </c>
      <c r="DE25" s="9" t="s">
        <v>3297</v>
      </c>
      <c r="DG25" s="9" t="s">
        <v>3877</v>
      </c>
      <c r="DI25" s="9" t="s">
        <v>3287</v>
      </c>
      <c r="DK25" s="9" t="s">
        <v>3877</v>
      </c>
      <c r="DM25" s="9" t="s">
        <v>3287</v>
      </c>
      <c r="DO25" s="9" t="s">
        <v>3287</v>
      </c>
      <c r="DQ25" s="9" t="s">
        <v>3287</v>
      </c>
      <c r="DS25" s="9" t="s">
        <v>3297</v>
      </c>
      <c r="DU25" s="9" t="s">
        <v>3297</v>
      </c>
      <c r="DW25" s="9" t="s">
        <v>3297</v>
      </c>
      <c r="DY25" s="9" t="s">
        <v>3297</v>
      </c>
      <c r="EA25" s="9" t="s">
        <v>3297</v>
      </c>
      <c r="EC25" s="9" t="s">
        <v>3878</v>
      </c>
      <c r="ED25" s="9" t="s">
        <v>3347</v>
      </c>
      <c r="EE25" s="9" t="s">
        <v>612</v>
      </c>
      <c r="EF25" s="9" t="s">
        <v>3877</v>
      </c>
      <c r="EG25" s="9" t="s">
        <v>25</v>
      </c>
      <c r="EY25" s="9" t="s">
        <v>3877</v>
      </c>
      <c r="FA25" s="9" t="s">
        <v>14004</v>
      </c>
      <c r="FC25" s="9" t="s">
        <v>3287</v>
      </c>
      <c r="FE25" s="9" t="s">
        <v>3311</v>
      </c>
      <c r="FG25" s="9" t="s">
        <v>3877</v>
      </c>
      <c r="FI25" s="9" t="s">
        <v>3877</v>
      </c>
      <c r="FK25" s="9" t="s">
        <v>3877</v>
      </c>
      <c r="FM25" s="9" t="s">
        <v>25</v>
      </c>
      <c r="FU25" s="9" t="s">
        <v>28</v>
      </c>
      <c r="FV25" s="9" t="s">
        <v>3879</v>
      </c>
      <c r="FW25" s="9" t="s">
        <v>3488</v>
      </c>
      <c r="FY25" s="9" t="s">
        <v>3287</v>
      </c>
      <c r="GA25" s="9" t="s">
        <v>3317</v>
      </c>
      <c r="GC25" s="9" t="s">
        <v>3317</v>
      </c>
      <c r="GE25" s="9" t="s">
        <v>3317</v>
      </c>
      <c r="GG25" s="9" t="s">
        <v>3317</v>
      </c>
      <c r="GI25" s="9" t="s">
        <v>3297</v>
      </c>
      <c r="GK25" s="9" t="s">
        <v>25</v>
      </c>
      <c r="GS25" s="9" t="s">
        <v>3508</v>
      </c>
      <c r="GU25" s="9" t="s">
        <v>3508</v>
      </c>
      <c r="GW25" s="9" t="s">
        <v>3508</v>
      </c>
      <c r="GY25" s="9" t="s">
        <v>3287</v>
      </c>
      <c r="HA25" s="9" t="s">
        <v>3508</v>
      </c>
      <c r="HC25" s="9" t="s">
        <v>25</v>
      </c>
      <c r="HI25" s="9" t="s">
        <v>3347</v>
      </c>
      <c r="HK25" s="9" t="s">
        <v>3488</v>
      </c>
      <c r="HM25" s="9" t="s">
        <v>3488</v>
      </c>
      <c r="HO25" s="9" t="s">
        <v>3339</v>
      </c>
      <c r="HQ25" s="9" t="s">
        <v>612</v>
      </c>
      <c r="HR25" s="9" t="s">
        <v>3880</v>
      </c>
      <c r="HS25" s="9" t="s">
        <v>3339</v>
      </c>
      <c r="HU25" s="9" t="s">
        <v>3321</v>
      </c>
      <c r="HW25" s="9" t="s">
        <v>3488</v>
      </c>
      <c r="HY25" s="9" t="s">
        <v>25</v>
      </c>
      <c r="IH25" s="9" t="s">
        <v>3349</v>
      </c>
      <c r="IJ25" s="9" t="s">
        <v>3380</v>
      </c>
      <c r="IL25" s="9" t="s">
        <v>3349</v>
      </c>
      <c r="IN25" s="9" t="s">
        <v>3349</v>
      </c>
      <c r="IP25" s="9" t="s">
        <v>3349</v>
      </c>
      <c r="IR25" s="9" t="s">
        <v>3349</v>
      </c>
      <c r="IT25" s="9" t="s">
        <v>3374</v>
      </c>
      <c r="IV25" s="9" t="s">
        <v>25</v>
      </c>
      <c r="JD25" s="9" t="s">
        <v>3347</v>
      </c>
      <c r="JF25" s="9" t="s">
        <v>3872</v>
      </c>
      <c r="JH25" s="9" t="s">
        <v>3640</v>
      </c>
      <c r="JJ25" s="9" t="s">
        <v>3351</v>
      </c>
      <c r="JL25" s="9" t="s">
        <v>3347</v>
      </c>
      <c r="JN25" s="9" t="s">
        <v>3351</v>
      </c>
      <c r="JP25" s="9" t="s">
        <v>3287</v>
      </c>
      <c r="JR25" s="9" t="s">
        <v>25</v>
      </c>
      <c r="JZ25" s="9" t="s">
        <v>3397</v>
      </c>
      <c r="KB25" s="9" t="s">
        <v>3456</v>
      </c>
      <c r="KD25" s="9" t="s">
        <v>3397</v>
      </c>
      <c r="KF25" s="9" t="s">
        <v>3287</v>
      </c>
      <c r="KH25" s="9" t="s">
        <v>3347</v>
      </c>
      <c r="KJ25" s="9" t="s">
        <v>612</v>
      </c>
      <c r="KK25" s="9" t="s">
        <v>3881</v>
      </c>
      <c r="KL25" s="9" t="s">
        <v>3720</v>
      </c>
      <c r="KN25" s="9" t="s">
        <v>3755</v>
      </c>
      <c r="KP25" s="9" t="s">
        <v>3462</v>
      </c>
      <c r="KR25" s="9" t="s">
        <v>25</v>
      </c>
      <c r="LB25" s="9" t="s">
        <v>3882</v>
      </c>
      <c r="LD25" s="9" t="s">
        <v>3287</v>
      </c>
      <c r="LF25" s="9" t="s">
        <v>3287</v>
      </c>
      <c r="LH25" s="9" t="s">
        <v>3883</v>
      </c>
      <c r="LJ25" s="9" t="s">
        <v>3884</v>
      </c>
      <c r="LL25" s="9" t="s">
        <v>3587</v>
      </c>
      <c r="LN25" s="9" t="s">
        <v>3287</v>
      </c>
      <c r="LP25" s="9" t="s">
        <v>3287</v>
      </c>
      <c r="LR25" s="9" t="s">
        <v>25</v>
      </c>
      <c r="MA25" s="9" t="s">
        <v>3338</v>
      </c>
    </row>
    <row r="26" spans="1:339" ht="25.5" x14ac:dyDescent="0.2">
      <c r="A26" s="8" t="s">
        <v>140</v>
      </c>
      <c r="B26" s="9" t="s">
        <v>25</v>
      </c>
      <c r="C26" s="9" t="s">
        <v>25</v>
      </c>
      <c r="D26" s="9" t="s">
        <v>28</v>
      </c>
      <c r="E26" s="9" t="s">
        <v>25</v>
      </c>
      <c r="F26" s="9" t="s">
        <v>25</v>
      </c>
      <c r="G26" s="9" t="s">
        <v>25</v>
      </c>
      <c r="H26" s="9" t="s">
        <v>25</v>
      </c>
      <c r="I26" s="9" t="s">
        <v>25</v>
      </c>
      <c r="J26" s="9" t="s">
        <v>25</v>
      </c>
      <c r="L26" s="9" t="s">
        <v>3381</v>
      </c>
      <c r="P26" s="9" t="s">
        <v>3377</v>
      </c>
      <c r="R26" s="9" t="s">
        <v>3279</v>
      </c>
      <c r="V26" s="9" t="s">
        <v>3279</v>
      </c>
      <c r="AE26" s="9" t="s">
        <v>3804</v>
      </c>
      <c r="AG26" s="9" t="s">
        <v>3279</v>
      </c>
      <c r="AI26" s="9" t="s">
        <v>3589</v>
      </c>
      <c r="AK26" s="9" t="s">
        <v>3589</v>
      </c>
      <c r="AM26" s="9" t="s">
        <v>3805</v>
      </c>
      <c r="AO26" s="9" t="s">
        <v>3806</v>
      </c>
      <c r="AQ26" s="9" t="s">
        <v>3279</v>
      </c>
      <c r="AS26" s="9" t="s">
        <v>3287</v>
      </c>
      <c r="AU26" s="9" t="s">
        <v>25</v>
      </c>
      <c r="BD26" s="9" t="s">
        <v>3342</v>
      </c>
      <c r="BF26" s="9" t="s">
        <v>3342</v>
      </c>
      <c r="BH26" s="9" t="s">
        <v>3342</v>
      </c>
      <c r="BJ26" s="9" t="s">
        <v>3342</v>
      </c>
      <c r="BL26" s="9" t="s">
        <v>25</v>
      </c>
      <c r="BQ26" s="9" t="s">
        <v>103</v>
      </c>
      <c r="BS26" s="9" t="s">
        <v>3341</v>
      </c>
      <c r="BU26" s="9" t="s">
        <v>3287</v>
      </c>
      <c r="BW26" s="9" t="s">
        <v>3589</v>
      </c>
      <c r="BY26" s="9" t="s">
        <v>28</v>
      </c>
      <c r="BZ26" s="9" t="s">
        <v>3807</v>
      </c>
      <c r="CD26" s="9" t="s">
        <v>13583</v>
      </c>
      <c r="CF26" s="9" t="s">
        <v>3359</v>
      </c>
      <c r="CH26" s="9" t="s">
        <v>3808</v>
      </c>
      <c r="CJ26" s="9" t="s">
        <v>3292</v>
      </c>
      <c r="CL26" s="9" t="s">
        <v>3293</v>
      </c>
      <c r="CN26" s="9" t="s">
        <v>612</v>
      </c>
      <c r="CO26" s="9" t="s">
        <v>3787</v>
      </c>
      <c r="CP26" s="9" t="s">
        <v>3287</v>
      </c>
      <c r="CR26" s="9" t="s">
        <v>25</v>
      </c>
      <c r="CY26" s="9" t="s">
        <v>3497</v>
      </c>
      <c r="DA26" s="9" t="s">
        <v>3808</v>
      </c>
      <c r="DC26" s="9" t="s">
        <v>3808</v>
      </c>
      <c r="DE26" s="9" t="s">
        <v>3287</v>
      </c>
      <c r="DG26" s="9" t="s">
        <v>3499</v>
      </c>
      <c r="DI26" s="9" t="s">
        <v>3287</v>
      </c>
      <c r="DK26" s="9" t="s">
        <v>3287</v>
      </c>
      <c r="DM26" s="9" t="s">
        <v>3287</v>
      </c>
      <c r="DO26" s="9" t="s">
        <v>3287</v>
      </c>
      <c r="DQ26" s="9" t="s">
        <v>3287</v>
      </c>
      <c r="DS26" s="9" t="s">
        <v>3297</v>
      </c>
      <c r="DU26" s="9" t="s">
        <v>612</v>
      </c>
      <c r="DV26" s="9" t="s">
        <v>3809</v>
      </c>
      <c r="DW26" s="9" t="s">
        <v>612</v>
      </c>
      <c r="DX26" s="9" t="s">
        <v>3810</v>
      </c>
      <c r="DY26" s="9" t="s">
        <v>3287</v>
      </c>
      <c r="EA26" s="9" t="s">
        <v>3287</v>
      </c>
      <c r="EC26" s="9" t="s">
        <v>3426</v>
      </c>
      <c r="EE26" s="9" t="s">
        <v>3287</v>
      </c>
      <c r="EG26" s="9" t="s">
        <v>25</v>
      </c>
      <c r="EY26" s="9" t="s">
        <v>612</v>
      </c>
      <c r="EZ26" s="9" t="s">
        <v>3810</v>
      </c>
      <c r="FA26" s="9" t="s">
        <v>3287</v>
      </c>
      <c r="FC26" s="9" t="s">
        <v>3287</v>
      </c>
      <c r="FE26" s="9" t="s">
        <v>3811</v>
      </c>
      <c r="FG26" s="9" t="s">
        <v>612</v>
      </c>
      <c r="FH26" s="9" t="s">
        <v>3810</v>
      </c>
      <c r="FI26" s="9" t="s">
        <v>3287</v>
      </c>
      <c r="FK26" s="9" t="s">
        <v>3287</v>
      </c>
      <c r="FM26" s="9" t="s">
        <v>25</v>
      </c>
      <c r="FU26" s="9" t="s">
        <v>25</v>
      </c>
      <c r="FW26" s="9" t="s">
        <v>3287</v>
      </c>
      <c r="FY26" s="9" t="s">
        <v>3287</v>
      </c>
      <c r="GA26" s="9" t="s">
        <v>3507</v>
      </c>
      <c r="GC26" s="9" t="s">
        <v>3317</v>
      </c>
      <c r="GE26" s="9" t="s">
        <v>3317</v>
      </c>
      <c r="GG26" s="9" t="s">
        <v>3317</v>
      </c>
      <c r="GI26" s="9" t="s">
        <v>3287</v>
      </c>
      <c r="GK26" s="9" t="s">
        <v>25</v>
      </c>
      <c r="GS26" s="9" t="s">
        <v>3589</v>
      </c>
      <c r="GU26" s="9" t="s">
        <v>3589</v>
      </c>
      <c r="GW26" s="9" t="s">
        <v>3812</v>
      </c>
      <c r="GY26" s="9" t="s">
        <v>3812</v>
      </c>
      <c r="HA26" s="9" t="s">
        <v>3812</v>
      </c>
      <c r="HC26" s="9" t="s">
        <v>25</v>
      </c>
      <c r="HI26" s="9" t="s">
        <v>3347</v>
      </c>
      <c r="HK26" s="9" t="s">
        <v>3589</v>
      </c>
      <c r="HM26" s="9" t="s">
        <v>3589</v>
      </c>
      <c r="HO26" s="9" t="s">
        <v>3279</v>
      </c>
      <c r="HQ26" s="9" t="s">
        <v>3348</v>
      </c>
      <c r="HS26" s="9" t="s">
        <v>3279</v>
      </c>
      <c r="HU26" s="9" t="s">
        <v>1265</v>
      </c>
      <c r="HW26" s="9" t="s">
        <v>3589</v>
      </c>
      <c r="HY26" s="9" t="s">
        <v>25</v>
      </c>
      <c r="IH26" s="9" t="s">
        <v>612</v>
      </c>
      <c r="II26" s="9" t="s">
        <v>3813</v>
      </c>
      <c r="IJ26" s="9" t="s">
        <v>3323</v>
      </c>
      <c r="IL26" s="9" t="s">
        <v>612</v>
      </c>
      <c r="IM26" s="9" t="s">
        <v>3813</v>
      </c>
      <c r="IN26" s="9" t="s">
        <v>612</v>
      </c>
      <c r="IO26" s="9" t="s">
        <v>3813</v>
      </c>
      <c r="IP26" s="9" t="s">
        <v>612</v>
      </c>
      <c r="IQ26" s="9" t="s">
        <v>3813</v>
      </c>
      <c r="IR26" s="9" t="s">
        <v>612</v>
      </c>
      <c r="IS26" s="9" t="s">
        <v>3813</v>
      </c>
      <c r="IT26" s="9" t="s">
        <v>3514</v>
      </c>
      <c r="IV26" s="9" t="s">
        <v>25</v>
      </c>
      <c r="JD26" s="9" t="s">
        <v>3347</v>
      </c>
      <c r="JF26" s="9" t="s">
        <v>3347</v>
      </c>
      <c r="JH26" s="9" t="s">
        <v>3347</v>
      </c>
      <c r="JJ26" s="9" t="s">
        <v>3351</v>
      </c>
      <c r="JL26" s="9" t="s">
        <v>3287</v>
      </c>
      <c r="JN26" s="9" t="s">
        <v>3814</v>
      </c>
      <c r="JP26" s="9" t="s">
        <v>3287</v>
      </c>
      <c r="JR26" s="9" t="s">
        <v>25</v>
      </c>
      <c r="JZ26" s="9" t="s">
        <v>3602</v>
      </c>
      <c r="KB26" s="9" t="s">
        <v>3328</v>
      </c>
      <c r="KD26" s="9" t="s">
        <v>3457</v>
      </c>
      <c r="KF26" s="9" t="s">
        <v>3603</v>
      </c>
      <c r="KH26" s="9" t="s">
        <v>3287</v>
      </c>
      <c r="KJ26" s="9" t="s">
        <v>3352</v>
      </c>
      <c r="KL26" s="9" t="s">
        <v>3815</v>
      </c>
      <c r="KN26" s="9" t="s">
        <v>612</v>
      </c>
      <c r="KO26" s="9" t="s">
        <v>3816</v>
      </c>
      <c r="KP26" s="9" t="s">
        <v>3332</v>
      </c>
      <c r="KR26" s="9" t="s">
        <v>25</v>
      </c>
      <c r="LB26" s="9" t="s">
        <v>3333</v>
      </c>
      <c r="LD26" s="9" t="s">
        <v>3817</v>
      </c>
      <c r="LF26" s="9" t="s">
        <v>3335</v>
      </c>
      <c r="LH26" s="9" t="s">
        <v>3287</v>
      </c>
      <c r="LJ26" s="9" t="s">
        <v>3487</v>
      </c>
      <c r="LL26" s="9" t="s">
        <v>3287</v>
      </c>
      <c r="LN26" s="9" t="s">
        <v>3467</v>
      </c>
      <c r="LP26" s="9" t="s">
        <v>3287</v>
      </c>
      <c r="LR26" s="9" t="s">
        <v>25</v>
      </c>
    </row>
    <row r="27" spans="1:339" ht="25.5" x14ac:dyDescent="0.2">
      <c r="A27" s="8" t="s">
        <v>127</v>
      </c>
      <c r="B27" s="9" t="s">
        <v>25</v>
      </c>
      <c r="C27" s="9" t="s">
        <v>25</v>
      </c>
      <c r="D27" s="9" t="s">
        <v>25</v>
      </c>
      <c r="E27" s="9" t="s">
        <v>25</v>
      </c>
      <c r="F27" s="9" t="s">
        <v>25</v>
      </c>
      <c r="G27" s="9" t="s">
        <v>25</v>
      </c>
      <c r="H27" s="9" t="s">
        <v>25</v>
      </c>
      <c r="I27" s="9" t="s">
        <v>25</v>
      </c>
      <c r="J27" s="9" t="s">
        <v>25</v>
      </c>
      <c r="L27" s="9" t="s">
        <v>3407</v>
      </c>
      <c r="N27" s="9" t="s">
        <v>3539</v>
      </c>
      <c r="P27" s="9" t="s">
        <v>3434</v>
      </c>
      <c r="R27" s="9" t="s">
        <v>3377</v>
      </c>
      <c r="X27" s="9" t="s">
        <v>25</v>
      </c>
      <c r="AE27" s="9" t="s">
        <v>3540</v>
      </c>
      <c r="AG27" s="9" t="s">
        <v>3541</v>
      </c>
      <c r="AI27" s="9" t="s">
        <v>3540</v>
      </c>
      <c r="AK27" s="9" t="s">
        <v>3540</v>
      </c>
      <c r="AM27" s="9" t="s">
        <v>3541</v>
      </c>
      <c r="AO27" s="9" t="s">
        <v>3541</v>
      </c>
      <c r="AQ27" s="9" t="s">
        <v>3542</v>
      </c>
      <c r="AS27" s="9" t="s">
        <v>3347</v>
      </c>
      <c r="AU27" s="9" t="s">
        <v>25</v>
      </c>
      <c r="BD27" s="9" t="s">
        <v>3342</v>
      </c>
      <c r="BF27" s="9" t="s">
        <v>3342</v>
      </c>
      <c r="BH27" s="9" t="s">
        <v>3342</v>
      </c>
      <c r="BJ27" s="9" t="s">
        <v>3543</v>
      </c>
      <c r="BL27" s="9" t="s">
        <v>25</v>
      </c>
      <c r="BQ27" s="9" t="s">
        <v>53</v>
      </c>
      <c r="BS27" s="9" t="s">
        <v>3341</v>
      </c>
      <c r="BU27" s="9" t="s">
        <v>3544</v>
      </c>
      <c r="BW27" s="9" t="s">
        <v>3422</v>
      </c>
      <c r="CD27" s="9" t="s">
        <v>3545</v>
      </c>
      <c r="CF27" s="9" t="s">
        <v>3546</v>
      </c>
      <c r="CH27" s="9" t="s">
        <v>1189</v>
      </c>
      <c r="CJ27" s="9" t="s">
        <v>3397</v>
      </c>
      <c r="CL27" s="9" t="s">
        <v>3293</v>
      </c>
      <c r="CN27" s="9" t="s">
        <v>3287</v>
      </c>
      <c r="CP27" s="9" t="s">
        <v>3547</v>
      </c>
      <c r="CR27" s="9" t="s">
        <v>25</v>
      </c>
      <c r="CY27" s="9" t="s">
        <v>3413</v>
      </c>
      <c r="DA27" s="9" t="s">
        <v>3548</v>
      </c>
      <c r="DC27" s="9" t="s">
        <v>3303</v>
      </c>
      <c r="DD27" s="9" t="s">
        <v>3549</v>
      </c>
      <c r="DE27" s="9" t="s">
        <v>3297</v>
      </c>
      <c r="DG27" s="9" t="s">
        <v>3287</v>
      </c>
      <c r="DI27" s="9" t="s">
        <v>3287</v>
      </c>
      <c r="DK27" s="9" t="s">
        <v>3550</v>
      </c>
      <c r="DM27" s="9" t="s">
        <v>3415</v>
      </c>
      <c r="DS27" s="9" t="s">
        <v>3297</v>
      </c>
      <c r="DU27" s="9" t="s">
        <v>3417</v>
      </c>
      <c r="DW27" s="9" t="s">
        <v>3551</v>
      </c>
      <c r="DY27" s="9" t="s">
        <v>3552</v>
      </c>
      <c r="EA27" s="9" t="s">
        <v>3552</v>
      </c>
      <c r="EC27" s="9" t="s">
        <v>3305</v>
      </c>
      <c r="EG27" s="9" t="s">
        <v>25</v>
      </c>
      <c r="FE27" s="9" t="s">
        <v>3553</v>
      </c>
      <c r="FG27" s="9" t="s">
        <v>3552</v>
      </c>
      <c r="FI27" s="9" t="s">
        <v>3554</v>
      </c>
      <c r="FM27" s="9" t="s">
        <v>25</v>
      </c>
      <c r="FU27" s="9" t="s">
        <v>25</v>
      </c>
      <c r="FW27" s="9" t="s">
        <v>3555</v>
      </c>
      <c r="FY27" s="9" t="s">
        <v>3287</v>
      </c>
      <c r="GA27" s="9" t="s">
        <v>3556</v>
      </c>
      <c r="GC27" s="9" t="s">
        <v>3557</v>
      </c>
      <c r="GE27" s="9" t="s">
        <v>3558</v>
      </c>
      <c r="GG27" s="9" t="s">
        <v>3559</v>
      </c>
      <c r="GI27" s="9" t="s">
        <v>3560</v>
      </c>
      <c r="GK27" s="9" t="s">
        <v>25</v>
      </c>
      <c r="GS27" s="9" t="s">
        <v>3540</v>
      </c>
      <c r="GU27" s="9" t="s">
        <v>3540</v>
      </c>
      <c r="GW27" s="9" t="s">
        <v>3540</v>
      </c>
      <c r="GY27" s="9" t="s">
        <v>3540</v>
      </c>
      <c r="HA27" s="9" t="s">
        <v>3540</v>
      </c>
      <c r="HI27" s="9" t="s">
        <v>929</v>
      </c>
      <c r="HK27" s="9" t="s">
        <v>929</v>
      </c>
    </row>
    <row r="28" spans="1:339" ht="38.25" x14ac:dyDescent="0.2">
      <c r="A28" s="8" t="s">
        <v>131</v>
      </c>
      <c r="B28" s="9" t="s">
        <v>25</v>
      </c>
      <c r="C28" s="9" t="s">
        <v>28</v>
      </c>
      <c r="D28" s="9" t="s">
        <v>25</v>
      </c>
      <c r="E28" s="9" t="s">
        <v>25</v>
      </c>
      <c r="F28" s="9" t="s">
        <v>25</v>
      </c>
      <c r="G28" s="9" t="s">
        <v>25</v>
      </c>
      <c r="H28" s="9" t="s">
        <v>25</v>
      </c>
      <c r="I28" s="9" t="s">
        <v>25</v>
      </c>
      <c r="L28" s="9" t="s">
        <v>3279</v>
      </c>
      <c r="N28" s="9" t="s">
        <v>3279</v>
      </c>
      <c r="P28" s="9" t="s">
        <v>3617</v>
      </c>
      <c r="R28" s="9" t="s">
        <v>3279</v>
      </c>
      <c r="T28" s="9" t="s">
        <v>3279</v>
      </c>
      <c r="V28" s="9" t="s">
        <v>3279</v>
      </c>
      <c r="AE28" s="9" t="s">
        <v>3589</v>
      </c>
      <c r="AG28" s="9" t="s">
        <v>3589</v>
      </c>
      <c r="AI28" s="9" t="s">
        <v>3589</v>
      </c>
      <c r="AK28" s="9" t="s">
        <v>3589</v>
      </c>
      <c r="AM28" s="9" t="s">
        <v>3589</v>
      </c>
      <c r="AO28" s="9" t="s">
        <v>3589</v>
      </c>
      <c r="AQ28" s="9" t="s">
        <v>3589</v>
      </c>
      <c r="AS28" s="9" t="s">
        <v>3287</v>
      </c>
      <c r="AU28" s="9" t="s">
        <v>28</v>
      </c>
      <c r="BA28" s="9" t="s">
        <v>3618</v>
      </c>
      <c r="BD28" s="9" t="s">
        <v>3287</v>
      </c>
      <c r="BF28" s="9" t="s">
        <v>3287</v>
      </c>
      <c r="BH28" s="9" t="s">
        <v>3287</v>
      </c>
      <c r="BJ28" s="9" t="s">
        <v>3287</v>
      </c>
      <c r="BQ28" s="9" t="s">
        <v>53</v>
      </c>
      <c r="BS28" s="9" t="s">
        <v>3341</v>
      </c>
      <c r="BU28" s="9" t="s">
        <v>3619</v>
      </c>
      <c r="BW28" s="9" t="s">
        <v>3589</v>
      </c>
      <c r="CD28" s="9" t="s">
        <v>3620</v>
      </c>
      <c r="CF28" s="9" t="s">
        <v>3359</v>
      </c>
      <c r="CH28" s="9" t="s">
        <v>3621</v>
      </c>
      <c r="CJ28" s="9" t="s">
        <v>3292</v>
      </c>
      <c r="CL28" s="9" t="s">
        <v>3293</v>
      </c>
      <c r="CN28" s="9" t="s">
        <v>3361</v>
      </c>
      <c r="CP28" s="9" t="s">
        <v>3287</v>
      </c>
      <c r="CR28" s="9" t="s">
        <v>25</v>
      </c>
      <c r="CY28" s="9" t="s">
        <v>3478</v>
      </c>
      <c r="DA28" s="9" t="s">
        <v>3287</v>
      </c>
      <c r="DC28" s="9" t="s">
        <v>3287</v>
      </c>
      <c r="DE28" s="9" t="s">
        <v>3287</v>
      </c>
      <c r="DG28" s="9" t="s">
        <v>3622</v>
      </c>
      <c r="DI28" s="9" t="s">
        <v>3287</v>
      </c>
      <c r="DK28" s="9" t="s">
        <v>3287</v>
      </c>
      <c r="DM28" s="9" t="s">
        <v>3287</v>
      </c>
      <c r="DO28" s="9" t="s">
        <v>3287</v>
      </c>
      <c r="DQ28" s="9" t="s">
        <v>3287</v>
      </c>
      <c r="DS28" s="9" t="s">
        <v>3623</v>
      </c>
      <c r="DT28" s="9" t="s">
        <v>3624</v>
      </c>
      <c r="DU28" s="9" t="s">
        <v>3360</v>
      </c>
      <c r="DW28" s="9" t="s">
        <v>3625</v>
      </c>
      <c r="DY28" s="9" t="s">
        <v>3626</v>
      </c>
      <c r="EA28" s="9" t="s">
        <v>3627</v>
      </c>
      <c r="EC28" s="9" t="s">
        <v>3287</v>
      </c>
      <c r="EE28" s="9" t="s">
        <v>612</v>
      </c>
      <c r="EF28" s="9" t="s">
        <v>3628</v>
      </c>
      <c r="EY28" s="9" t="s">
        <v>3627</v>
      </c>
      <c r="FA28" s="9" t="s">
        <v>3629</v>
      </c>
      <c r="FC28" s="9" t="s">
        <v>3287</v>
      </c>
      <c r="FE28" s="9" t="s">
        <v>3287</v>
      </c>
      <c r="FG28" s="9" t="s">
        <v>3552</v>
      </c>
      <c r="FI28" s="9" t="s">
        <v>3287</v>
      </c>
      <c r="FK28" s="9" t="s">
        <v>3287</v>
      </c>
      <c r="FU28" s="9" t="s">
        <v>28</v>
      </c>
      <c r="FV28" s="9" t="s">
        <v>3630</v>
      </c>
      <c r="FW28" s="9" t="s">
        <v>3287</v>
      </c>
      <c r="FY28" s="9" t="s">
        <v>3287</v>
      </c>
      <c r="GA28" s="9" t="s">
        <v>3631</v>
      </c>
      <c r="GC28" s="9" t="s">
        <v>3287</v>
      </c>
      <c r="GE28" s="9" t="s">
        <v>3611</v>
      </c>
      <c r="GG28" s="9" t="s">
        <v>3611</v>
      </c>
      <c r="GI28" s="9" t="s">
        <v>3287</v>
      </c>
      <c r="GS28" s="9" t="s">
        <v>3589</v>
      </c>
      <c r="GU28" s="9" t="s">
        <v>3589</v>
      </c>
      <c r="GW28" s="9" t="s">
        <v>3589</v>
      </c>
      <c r="GY28" s="9" t="s">
        <v>3589</v>
      </c>
      <c r="HA28" s="9" t="s">
        <v>3589</v>
      </c>
      <c r="HI28" s="9" t="s">
        <v>929</v>
      </c>
      <c r="HK28" s="9" t="s">
        <v>3589</v>
      </c>
      <c r="HM28" s="9" t="s">
        <v>3589</v>
      </c>
      <c r="HO28" s="9" t="s">
        <v>3279</v>
      </c>
      <c r="HQ28" s="9" t="s">
        <v>3348</v>
      </c>
      <c r="HS28" s="9" t="s">
        <v>3279</v>
      </c>
      <c r="HU28" s="9" t="s">
        <v>3287</v>
      </c>
      <c r="HW28" s="9" t="s">
        <v>3589</v>
      </c>
      <c r="IH28" s="9" t="s">
        <v>3322</v>
      </c>
      <c r="IJ28" s="9" t="s">
        <v>3323</v>
      </c>
      <c r="IL28" s="9" t="s">
        <v>3350</v>
      </c>
      <c r="IN28" s="9" t="s">
        <v>3350</v>
      </c>
      <c r="IP28" s="9" t="s">
        <v>3632</v>
      </c>
      <c r="IR28" s="9" t="s">
        <v>3322</v>
      </c>
      <c r="IT28" s="9" t="s">
        <v>3350</v>
      </c>
      <c r="JD28" s="9" t="s">
        <v>3347</v>
      </c>
      <c r="JF28" s="9" t="s">
        <v>3347</v>
      </c>
      <c r="JH28" s="9" t="s">
        <v>3279</v>
      </c>
      <c r="JJ28" s="9" t="s">
        <v>3347</v>
      </c>
      <c r="JL28" s="9" t="s">
        <v>3347</v>
      </c>
      <c r="JN28" s="9" t="s">
        <v>3347</v>
      </c>
      <c r="JP28" s="9" t="s">
        <v>3287</v>
      </c>
      <c r="JZ28" s="9" t="s">
        <v>3287</v>
      </c>
      <c r="KB28" s="9" t="s">
        <v>3328</v>
      </c>
      <c r="KD28" s="9" t="s">
        <v>3457</v>
      </c>
      <c r="KF28" s="9" t="s">
        <v>3287</v>
      </c>
      <c r="KH28" s="9" t="s">
        <v>3287</v>
      </c>
      <c r="KJ28" s="9" t="s">
        <v>3404</v>
      </c>
      <c r="KL28" s="9" t="s">
        <v>3287</v>
      </c>
      <c r="KN28" s="9" t="s">
        <v>3287</v>
      </c>
      <c r="KP28" s="9" t="s">
        <v>3287</v>
      </c>
      <c r="LB28" s="9" t="s">
        <v>3517</v>
      </c>
      <c r="LD28" s="9" t="s">
        <v>3633</v>
      </c>
      <c r="LF28" s="9" t="s">
        <v>3634</v>
      </c>
      <c r="LH28" s="9" t="s">
        <v>3336</v>
      </c>
      <c r="LJ28" s="9" t="s">
        <v>3465</v>
      </c>
      <c r="LL28" s="9" t="s">
        <v>3287</v>
      </c>
      <c r="LN28" s="9" t="s">
        <v>3287</v>
      </c>
      <c r="LP28" s="9" t="s">
        <v>3287</v>
      </c>
      <c r="MA28" s="9" t="s">
        <v>14598</v>
      </c>
    </row>
    <row r="29" spans="1:339" ht="25.5" x14ac:dyDescent="0.2">
      <c r="A29" s="8" t="s">
        <v>139</v>
      </c>
      <c r="B29" s="9" t="s">
        <v>28</v>
      </c>
      <c r="C29" s="9" t="s">
        <v>25</v>
      </c>
      <c r="D29" s="9" t="s">
        <v>28</v>
      </c>
      <c r="E29" s="9" t="s">
        <v>25</v>
      </c>
      <c r="F29" s="9" t="s">
        <v>25</v>
      </c>
      <c r="G29" s="9" t="s">
        <v>25</v>
      </c>
      <c r="H29" s="9" t="s">
        <v>25</v>
      </c>
      <c r="I29" s="9" t="s">
        <v>25</v>
      </c>
      <c r="L29" s="9" t="s">
        <v>3339</v>
      </c>
      <c r="P29" s="9" t="s">
        <v>3279</v>
      </c>
      <c r="R29" s="9" t="s">
        <v>3280</v>
      </c>
      <c r="T29" s="9" t="s">
        <v>3280</v>
      </c>
      <c r="V29" s="9" t="s">
        <v>3783</v>
      </c>
      <c r="X29" s="9" t="s">
        <v>25</v>
      </c>
      <c r="AE29" s="9" t="s">
        <v>3285</v>
      </c>
      <c r="AG29" s="9" t="s">
        <v>3285</v>
      </c>
      <c r="AI29" s="9" t="s">
        <v>3285</v>
      </c>
      <c r="AK29" s="9" t="s">
        <v>3285</v>
      </c>
      <c r="AM29" s="9" t="s">
        <v>3285</v>
      </c>
      <c r="AO29" s="9" t="s">
        <v>3285</v>
      </c>
      <c r="AQ29" s="9" t="s">
        <v>3285</v>
      </c>
      <c r="AS29" s="9" t="s">
        <v>3285</v>
      </c>
      <c r="AU29" s="9" t="s">
        <v>25</v>
      </c>
      <c r="BD29" s="9" t="s">
        <v>3784</v>
      </c>
      <c r="BF29" s="9" t="s">
        <v>3784</v>
      </c>
      <c r="BH29" s="9" t="s">
        <v>3784</v>
      </c>
      <c r="BJ29" s="9" t="s">
        <v>3784</v>
      </c>
      <c r="BL29" s="9" t="s">
        <v>25</v>
      </c>
      <c r="BQ29" s="9" t="s">
        <v>53</v>
      </c>
      <c r="BS29" s="9" t="s">
        <v>3491</v>
      </c>
      <c r="BU29" s="9" t="s">
        <v>3685</v>
      </c>
      <c r="BW29" s="9" t="s">
        <v>3785</v>
      </c>
      <c r="BY29" s="9" t="s">
        <v>25</v>
      </c>
      <c r="CD29" s="9" t="s">
        <v>3786</v>
      </c>
      <c r="CF29" s="9" t="s">
        <v>3546</v>
      </c>
      <c r="CH29" s="9" t="s">
        <v>1189</v>
      </c>
      <c r="CJ29" s="9" t="s">
        <v>3440</v>
      </c>
      <c r="CL29" s="9" t="s">
        <v>3293</v>
      </c>
      <c r="CN29" s="9" t="s">
        <v>612</v>
      </c>
      <c r="CO29" s="9" t="s">
        <v>3787</v>
      </c>
      <c r="CP29" s="9" t="s">
        <v>3287</v>
      </c>
      <c r="CR29" s="9" t="s">
        <v>25</v>
      </c>
      <c r="CY29" s="9" t="s">
        <v>3497</v>
      </c>
      <c r="DA29" s="9" t="s">
        <v>3788</v>
      </c>
      <c r="DC29" s="9" t="s">
        <v>3297</v>
      </c>
      <c r="DE29" s="9" t="s">
        <v>3789</v>
      </c>
      <c r="DG29" s="9" t="s">
        <v>612</v>
      </c>
      <c r="DH29" s="9" t="s">
        <v>3790</v>
      </c>
      <c r="DI29" s="9" t="s">
        <v>3287</v>
      </c>
      <c r="DK29" s="9" t="s">
        <v>3287</v>
      </c>
      <c r="DM29" s="9" t="s">
        <v>3415</v>
      </c>
      <c r="DO29" s="9" t="s">
        <v>3287</v>
      </c>
      <c r="DS29" s="9" t="s">
        <v>3303</v>
      </c>
      <c r="DT29" s="9" t="s">
        <v>3299</v>
      </c>
      <c r="DU29" s="9" t="s">
        <v>3417</v>
      </c>
      <c r="DW29" s="9" t="s">
        <v>3791</v>
      </c>
      <c r="DY29" s="9" t="s">
        <v>3297</v>
      </c>
      <c r="EA29" s="9" t="s">
        <v>3287</v>
      </c>
      <c r="EC29" s="9" t="s">
        <v>3792</v>
      </c>
      <c r="EE29" s="9" t="s">
        <v>3306</v>
      </c>
      <c r="EF29" s="9" t="s">
        <v>3793</v>
      </c>
      <c r="EG29" s="9" t="s">
        <v>25</v>
      </c>
      <c r="EY29" s="9" t="s">
        <v>3530</v>
      </c>
      <c r="FA29" s="9" t="s">
        <v>3530</v>
      </c>
      <c r="FC29" s="9" t="s">
        <v>3530</v>
      </c>
      <c r="FE29" s="9" t="s">
        <v>3311</v>
      </c>
      <c r="FG29" s="9" t="s">
        <v>3530</v>
      </c>
      <c r="FI29" s="9" t="s">
        <v>3287</v>
      </c>
      <c r="FK29" s="9" t="s">
        <v>3530</v>
      </c>
      <c r="FM29" s="9" t="s">
        <v>25</v>
      </c>
      <c r="FU29" s="9" t="s">
        <v>28</v>
      </c>
      <c r="FV29" s="9" t="s">
        <v>3794</v>
      </c>
      <c r="FW29" s="9" t="s">
        <v>1189</v>
      </c>
      <c r="FY29" s="9" t="s">
        <v>612</v>
      </c>
      <c r="FZ29" s="9" t="s">
        <v>3795</v>
      </c>
      <c r="GA29" s="9" t="s">
        <v>3796</v>
      </c>
      <c r="GC29" s="9" t="s">
        <v>3317</v>
      </c>
      <c r="GE29" s="9" t="s">
        <v>3317</v>
      </c>
      <c r="GG29" s="9" t="s">
        <v>3317</v>
      </c>
      <c r="GI29" s="9" t="s">
        <v>3297</v>
      </c>
      <c r="GK29" s="9" t="s">
        <v>25</v>
      </c>
      <c r="GS29" s="9" t="s">
        <v>3589</v>
      </c>
      <c r="GU29" s="9" t="s">
        <v>3589</v>
      </c>
      <c r="GW29" s="9" t="s">
        <v>3589</v>
      </c>
      <c r="GY29" s="9" t="s">
        <v>3589</v>
      </c>
      <c r="HA29" s="9" t="s">
        <v>3589</v>
      </c>
      <c r="HC29" s="9" t="s">
        <v>25</v>
      </c>
      <c r="HI29" s="9" t="s">
        <v>929</v>
      </c>
      <c r="HK29" s="9" t="s">
        <v>3589</v>
      </c>
      <c r="HM29" s="9" t="s">
        <v>3589</v>
      </c>
      <c r="HO29" s="9" t="s">
        <v>3339</v>
      </c>
      <c r="HQ29" s="9" t="s">
        <v>3348</v>
      </c>
      <c r="HS29" s="9" t="s">
        <v>3339</v>
      </c>
      <c r="HU29" s="9" t="s">
        <v>3341</v>
      </c>
      <c r="HW29" s="9" t="s">
        <v>3589</v>
      </c>
      <c r="HY29" s="9" t="s">
        <v>25</v>
      </c>
      <c r="IH29" s="9" t="s">
        <v>3423</v>
      </c>
      <c r="IJ29" s="9" t="s">
        <v>3374</v>
      </c>
      <c r="IL29" s="9" t="s">
        <v>3797</v>
      </c>
      <c r="IM29" s="9" t="s">
        <v>3798</v>
      </c>
      <c r="IN29" s="9" t="s">
        <v>3797</v>
      </c>
      <c r="IO29" s="9" t="s">
        <v>3798</v>
      </c>
      <c r="IP29" s="9" t="s">
        <v>3797</v>
      </c>
      <c r="IQ29" s="9" t="s">
        <v>3798</v>
      </c>
      <c r="IR29" s="9" t="s">
        <v>3797</v>
      </c>
      <c r="IS29" s="9" t="s">
        <v>3798</v>
      </c>
      <c r="IT29" s="9" t="s">
        <v>3737</v>
      </c>
      <c r="IV29" s="9" t="s">
        <v>25</v>
      </c>
      <c r="JD29" s="9" t="s">
        <v>3424</v>
      </c>
      <c r="JF29" s="9" t="s">
        <v>3425</v>
      </c>
      <c r="JH29" s="9" t="s">
        <v>3640</v>
      </c>
      <c r="JJ29" s="9" t="s">
        <v>3424</v>
      </c>
      <c r="JL29" s="9" t="s">
        <v>3799</v>
      </c>
      <c r="JR29" s="9" t="s">
        <v>25</v>
      </c>
      <c r="JZ29" s="9" t="s">
        <v>3755</v>
      </c>
      <c r="KB29" s="9" t="s">
        <v>3456</v>
      </c>
      <c r="KD29" s="9" t="s">
        <v>3755</v>
      </c>
      <c r="KF29" s="9" t="s">
        <v>3800</v>
      </c>
      <c r="KH29" s="9" t="s">
        <v>3287</v>
      </c>
      <c r="KJ29" s="9" t="s">
        <v>3516</v>
      </c>
      <c r="KL29" s="9" t="s">
        <v>3486</v>
      </c>
      <c r="KN29" s="9" t="s">
        <v>14019</v>
      </c>
      <c r="KP29" s="9" t="s">
        <v>3332</v>
      </c>
      <c r="KR29" s="9" t="s">
        <v>25</v>
      </c>
      <c r="LB29" s="9" t="s">
        <v>3463</v>
      </c>
      <c r="LF29" s="9" t="s">
        <v>3335</v>
      </c>
      <c r="LH29" s="9" t="s">
        <v>3287</v>
      </c>
      <c r="LJ29" s="9" t="s">
        <v>3801</v>
      </c>
      <c r="LL29" s="9" t="s">
        <v>3466</v>
      </c>
      <c r="LN29" s="9" t="s">
        <v>3802</v>
      </c>
      <c r="MA29" s="9" t="s">
        <v>3803</v>
      </c>
    </row>
    <row r="30" spans="1:339" x14ac:dyDescent="0.2">
      <c r="A30" s="8" t="s">
        <v>120</v>
      </c>
      <c r="B30" s="9" t="s">
        <v>25</v>
      </c>
      <c r="C30" s="9" t="s">
        <v>25</v>
      </c>
      <c r="D30" s="9" t="s">
        <v>25</v>
      </c>
      <c r="E30" s="9" t="s">
        <v>25</v>
      </c>
      <c r="F30" s="9" t="s">
        <v>25</v>
      </c>
      <c r="G30" s="9" t="s">
        <v>25</v>
      </c>
      <c r="H30" s="9" t="s">
        <v>25</v>
      </c>
      <c r="I30" s="9" t="s">
        <v>25</v>
      </c>
      <c r="J30" s="9" t="s">
        <v>25</v>
      </c>
      <c r="L30" s="9" t="s">
        <v>3341</v>
      </c>
      <c r="N30" s="9" t="s">
        <v>3377</v>
      </c>
      <c r="P30" s="9" t="s">
        <v>3377</v>
      </c>
      <c r="R30" s="9" t="s">
        <v>3378</v>
      </c>
      <c r="T30" s="9" t="s">
        <v>3287</v>
      </c>
      <c r="V30" s="9" t="s">
        <v>3287</v>
      </c>
      <c r="X30" s="9" t="s">
        <v>25</v>
      </c>
      <c r="AE30" s="9" t="s">
        <v>3341</v>
      </c>
      <c r="AG30" s="9" t="s">
        <v>3287</v>
      </c>
      <c r="AI30" s="9" t="s">
        <v>3341</v>
      </c>
      <c r="AK30" s="9" t="s">
        <v>3287</v>
      </c>
      <c r="AM30" s="9" t="s">
        <v>3377</v>
      </c>
      <c r="AO30" s="9" t="s">
        <v>3287</v>
      </c>
      <c r="AQ30" s="9" t="s">
        <v>3287</v>
      </c>
      <c r="AS30" s="9" t="s">
        <v>3287</v>
      </c>
      <c r="AU30" s="9" t="s">
        <v>25</v>
      </c>
      <c r="BD30" s="9" t="s">
        <v>3287</v>
      </c>
      <c r="BF30" s="9" t="s">
        <v>3287</v>
      </c>
      <c r="BH30" s="9" t="s">
        <v>3287</v>
      </c>
      <c r="BJ30" s="9" t="s">
        <v>3287</v>
      </c>
      <c r="BL30" s="9" t="s">
        <v>25</v>
      </c>
      <c r="BQ30" s="9" t="s">
        <v>3287</v>
      </c>
      <c r="BS30" s="9" t="s">
        <v>3287</v>
      </c>
      <c r="BU30" s="9" t="s">
        <v>3287</v>
      </c>
      <c r="BW30" s="9" t="s">
        <v>3287</v>
      </c>
      <c r="BY30" s="9" t="s">
        <v>25</v>
      </c>
      <c r="CD30" s="9" t="s">
        <v>3349</v>
      </c>
      <c r="CF30" s="9" t="s">
        <v>3349</v>
      </c>
      <c r="CH30" s="9" t="s">
        <v>3349</v>
      </c>
      <c r="CJ30" s="9" t="s">
        <v>3292</v>
      </c>
      <c r="CL30" s="9" t="s">
        <v>3293</v>
      </c>
      <c r="CN30" s="9" t="s">
        <v>3287</v>
      </c>
      <c r="CP30" s="9" t="s">
        <v>3287</v>
      </c>
      <c r="CR30" s="9" t="s">
        <v>25</v>
      </c>
      <c r="CY30" s="9" t="s">
        <v>3287</v>
      </c>
      <c r="DA30" s="9" t="s">
        <v>3287</v>
      </c>
      <c r="DC30" s="9" t="s">
        <v>3287</v>
      </c>
      <c r="DE30" s="9" t="s">
        <v>3287</v>
      </c>
      <c r="DG30" s="9" t="s">
        <v>3287</v>
      </c>
      <c r="DI30" s="9" t="s">
        <v>3287</v>
      </c>
      <c r="DK30" s="9" t="s">
        <v>3287</v>
      </c>
      <c r="DM30" s="9" t="s">
        <v>3287</v>
      </c>
      <c r="DO30" s="9" t="s">
        <v>3287</v>
      </c>
      <c r="DQ30" s="9" t="s">
        <v>3287</v>
      </c>
      <c r="DS30" s="9" t="s">
        <v>3287</v>
      </c>
      <c r="DU30" s="9" t="s">
        <v>3287</v>
      </c>
      <c r="DW30" s="9" t="s">
        <v>3287</v>
      </c>
      <c r="DY30" s="9" t="s">
        <v>3287</v>
      </c>
      <c r="EA30" s="9" t="s">
        <v>3287</v>
      </c>
      <c r="EC30" s="9" t="s">
        <v>3287</v>
      </c>
      <c r="EE30" s="9" t="s">
        <v>3287</v>
      </c>
      <c r="EG30" s="9" t="s">
        <v>25</v>
      </c>
      <c r="EY30" s="9" t="s">
        <v>3287</v>
      </c>
      <c r="FA30" s="9" t="s">
        <v>3287</v>
      </c>
      <c r="FC30" s="9" t="s">
        <v>3287</v>
      </c>
      <c r="FE30" s="9" t="s">
        <v>3287</v>
      </c>
      <c r="FG30" s="9" t="s">
        <v>3287</v>
      </c>
      <c r="FI30" s="9" t="s">
        <v>3287</v>
      </c>
      <c r="FK30" s="9" t="s">
        <v>3287</v>
      </c>
      <c r="FM30" s="9" t="s">
        <v>25</v>
      </c>
      <c r="FU30" s="9" t="s">
        <v>25</v>
      </c>
      <c r="FW30" s="9" t="s">
        <v>3287</v>
      </c>
      <c r="FY30" s="9" t="s">
        <v>3287</v>
      </c>
      <c r="GA30" s="9" t="s">
        <v>3287</v>
      </c>
      <c r="GC30" s="9" t="s">
        <v>3287</v>
      </c>
      <c r="GE30" s="9" t="s">
        <v>3287</v>
      </c>
      <c r="GG30" s="9" t="s">
        <v>3287</v>
      </c>
      <c r="GI30" s="9" t="s">
        <v>3287</v>
      </c>
      <c r="GK30" s="9" t="s">
        <v>25</v>
      </c>
      <c r="GS30" s="9" t="s">
        <v>3341</v>
      </c>
      <c r="GU30" s="9" t="s">
        <v>3341</v>
      </c>
      <c r="GW30" s="9" t="s">
        <v>3341</v>
      </c>
      <c r="GY30" s="9" t="s">
        <v>3341</v>
      </c>
      <c r="HA30" s="9" t="s">
        <v>3287</v>
      </c>
      <c r="HC30" s="9" t="s">
        <v>25</v>
      </c>
      <c r="HI30" s="9" t="s">
        <v>3287</v>
      </c>
      <c r="HK30" s="9" t="s">
        <v>3287</v>
      </c>
      <c r="HM30" s="9" t="s">
        <v>3287</v>
      </c>
      <c r="HO30" s="9" t="s">
        <v>3287</v>
      </c>
      <c r="HQ30" s="9" t="s">
        <v>3287</v>
      </c>
      <c r="HS30" s="9" t="s">
        <v>3287</v>
      </c>
      <c r="HU30" s="9" t="s">
        <v>3287</v>
      </c>
      <c r="HW30" s="9" t="s">
        <v>3287</v>
      </c>
      <c r="HY30" s="9" t="s">
        <v>25</v>
      </c>
      <c r="IH30" s="9" t="s">
        <v>3379</v>
      </c>
      <c r="IJ30" s="9" t="s">
        <v>3380</v>
      </c>
      <c r="IL30" s="9" t="s">
        <v>3379</v>
      </c>
      <c r="IN30" s="9" t="s">
        <v>3287</v>
      </c>
      <c r="IP30" s="9" t="s">
        <v>3287</v>
      </c>
      <c r="IR30" s="9" t="s">
        <v>3379</v>
      </c>
      <c r="IT30" s="9" t="s">
        <v>3374</v>
      </c>
      <c r="IV30" s="9" t="s">
        <v>25</v>
      </c>
      <c r="JD30" s="9" t="s">
        <v>3287</v>
      </c>
      <c r="JF30" s="9" t="s">
        <v>3287</v>
      </c>
      <c r="JH30" s="9" t="s">
        <v>3287</v>
      </c>
      <c r="JJ30" s="9" t="s">
        <v>3287</v>
      </c>
      <c r="JL30" s="9" t="s">
        <v>3287</v>
      </c>
      <c r="JN30" s="9" t="s">
        <v>3287</v>
      </c>
      <c r="JP30" s="9" t="s">
        <v>3287</v>
      </c>
      <c r="JR30" s="9" t="s">
        <v>25</v>
      </c>
      <c r="JZ30" s="9" t="s">
        <v>3287</v>
      </c>
      <c r="KB30" s="9" t="s">
        <v>3287</v>
      </c>
      <c r="KD30" s="9" t="s">
        <v>3287</v>
      </c>
      <c r="KF30" s="9" t="s">
        <v>3287</v>
      </c>
      <c r="KH30" s="9" t="s">
        <v>3287</v>
      </c>
      <c r="KJ30" s="9" t="s">
        <v>3287</v>
      </c>
      <c r="KL30" s="9" t="s">
        <v>3287</v>
      </c>
      <c r="KN30" s="9" t="s">
        <v>3287</v>
      </c>
      <c r="KP30" s="9" t="s">
        <v>3287</v>
      </c>
      <c r="KR30" s="9" t="s">
        <v>25</v>
      </c>
      <c r="LB30" s="9" t="s">
        <v>3287</v>
      </c>
      <c r="LD30" s="9" t="s">
        <v>3287</v>
      </c>
      <c r="LF30" s="9" t="s">
        <v>3287</v>
      </c>
      <c r="LH30" s="9" t="s">
        <v>3287</v>
      </c>
      <c r="LJ30" s="9" t="s">
        <v>3287</v>
      </c>
      <c r="LL30" s="9" t="s">
        <v>3287</v>
      </c>
      <c r="LN30" s="9" t="s">
        <v>3287</v>
      </c>
      <c r="LP30" s="9" t="s">
        <v>3287</v>
      </c>
      <c r="LR30" s="9" t="s">
        <v>25</v>
      </c>
      <c r="MA30" s="9" t="s">
        <v>3338</v>
      </c>
    </row>
    <row r="31" spans="1:339" ht="25.5" x14ac:dyDescent="0.2">
      <c r="A31" s="8" t="s">
        <v>174</v>
      </c>
      <c r="D31" s="9" t="s">
        <v>28</v>
      </c>
      <c r="J31" s="9" t="s">
        <v>28</v>
      </c>
      <c r="K31" s="9" t="s">
        <v>4333</v>
      </c>
      <c r="L31" s="9" t="s">
        <v>3339</v>
      </c>
      <c r="N31" s="9" t="s">
        <v>3339</v>
      </c>
      <c r="P31" s="9" t="s">
        <v>612</v>
      </c>
      <c r="Q31" s="9" t="s">
        <v>3983</v>
      </c>
      <c r="R31" s="9" t="s">
        <v>3355</v>
      </c>
      <c r="T31" s="9" t="s">
        <v>3355</v>
      </c>
      <c r="V31" s="9" t="s">
        <v>3287</v>
      </c>
      <c r="X31" s="9" t="s">
        <v>25</v>
      </c>
      <c r="AE31" s="9" t="s">
        <v>53</v>
      </c>
      <c r="AG31" s="9" t="s">
        <v>3541</v>
      </c>
      <c r="AI31" s="9" t="s">
        <v>3287</v>
      </c>
      <c r="AK31" s="9" t="s">
        <v>3287</v>
      </c>
      <c r="AM31" s="9" t="s">
        <v>3541</v>
      </c>
      <c r="AO31" s="9" t="s">
        <v>3541</v>
      </c>
      <c r="AQ31" s="9" t="s">
        <v>53</v>
      </c>
      <c r="AS31" s="9" t="s">
        <v>3287</v>
      </c>
      <c r="AU31" s="9" t="s">
        <v>25</v>
      </c>
      <c r="BD31" s="9" t="s">
        <v>3784</v>
      </c>
      <c r="BF31" s="9" t="s">
        <v>3784</v>
      </c>
      <c r="BH31" s="9" t="s">
        <v>3784</v>
      </c>
      <c r="BJ31" s="9" t="s">
        <v>3287</v>
      </c>
      <c r="BL31" s="9" t="s">
        <v>25</v>
      </c>
      <c r="BQ31" s="9" t="s">
        <v>53</v>
      </c>
      <c r="BS31" s="9" t="s">
        <v>3341</v>
      </c>
      <c r="BU31" s="9" t="s">
        <v>3287</v>
      </c>
      <c r="BW31" s="9" t="s">
        <v>53</v>
      </c>
      <c r="BY31" s="9" t="s">
        <v>25</v>
      </c>
      <c r="CD31" s="9" t="s">
        <v>13587</v>
      </c>
      <c r="CF31" s="9" t="s">
        <v>3349</v>
      </c>
      <c r="CH31" s="9" t="s">
        <v>3567</v>
      </c>
      <c r="CJ31" s="9" t="s">
        <v>3349</v>
      </c>
      <c r="CL31" s="9" t="s">
        <v>3293</v>
      </c>
      <c r="CN31" s="9" t="s">
        <v>612</v>
      </c>
      <c r="CO31" s="9" t="s">
        <v>3831</v>
      </c>
      <c r="CP31" s="9" t="s">
        <v>3287</v>
      </c>
      <c r="CR31" s="9" t="s">
        <v>25</v>
      </c>
      <c r="CY31" s="9" t="s">
        <v>3287</v>
      </c>
      <c r="DA31" s="9" t="s">
        <v>3287</v>
      </c>
      <c r="DC31" s="9" t="s">
        <v>3287</v>
      </c>
      <c r="DE31" s="9" t="s">
        <v>3287</v>
      </c>
      <c r="DG31" s="9" t="s">
        <v>3287</v>
      </c>
      <c r="DI31" s="9" t="s">
        <v>3287</v>
      </c>
      <c r="DK31" s="9" t="s">
        <v>3287</v>
      </c>
      <c r="DM31" s="9" t="s">
        <v>3287</v>
      </c>
      <c r="DO31" s="9" t="s">
        <v>3287</v>
      </c>
      <c r="DQ31" s="9" t="s">
        <v>3287</v>
      </c>
      <c r="DS31" s="9" t="s">
        <v>3287</v>
      </c>
      <c r="DU31" s="9" t="s">
        <v>4334</v>
      </c>
      <c r="DW31" s="9" t="s">
        <v>4335</v>
      </c>
      <c r="DY31" s="9" t="s">
        <v>3287</v>
      </c>
      <c r="EA31" s="9" t="s">
        <v>3287</v>
      </c>
      <c r="EC31" s="9" t="s">
        <v>4336</v>
      </c>
      <c r="EE31" s="9" t="s">
        <v>3287</v>
      </c>
      <c r="EG31" s="9" t="s">
        <v>25</v>
      </c>
      <c r="EY31" s="9" t="s">
        <v>3287</v>
      </c>
      <c r="FA31" s="9" t="s">
        <v>3287</v>
      </c>
      <c r="FC31" s="9" t="s">
        <v>3287</v>
      </c>
      <c r="FE31" s="9" t="s">
        <v>3287</v>
      </c>
      <c r="FG31" s="9" t="s">
        <v>3287</v>
      </c>
      <c r="FI31" s="9" t="s">
        <v>3287</v>
      </c>
      <c r="FK31" s="9" t="s">
        <v>3287</v>
      </c>
      <c r="FM31" s="9" t="s">
        <v>25</v>
      </c>
      <c r="FU31" s="9" t="s">
        <v>25</v>
      </c>
      <c r="FW31" s="9" t="s">
        <v>3287</v>
      </c>
      <c r="FY31" s="9" t="s">
        <v>612</v>
      </c>
      <c r="FZ31" s="9" t="s">
        <v>3532</v>
      </c>
      <c r="GA31" s="9" t="s">
        <v>3611</v>
      </c>
      <c r="GC31" s="9" t="s">
        <v>3611</v>
      </c>
      <c r="GE31" s="9" t="s">
        <v>4337</v>
      </c>
      <c r="GG31" s="9" t="s">
        <v>3611</v>
      </c>
      <c r="GI31" s="9" t="s">
        <v>3287</v>
      </c>
      <c r="GK31" s="9" t="s">
        <v>25</v>
      </c>
      <c r="GS31" s="9" t="s">
        <v>53</v>
      </c>
      <c r="GU31" s="9" t="s">
        <v>53</v>
      </c>
      <c r="GW31" s="9" t="s">
        <v>3287</v>
      </c>
      <c r="GY31" s="9" t="s">
        <v>3287</v>
      </c>
      <c r="HA31" s="9" t="s">
        <v>3287</v>
      </c>
      <c r="HC31" s="9" t="s">
        <v>25</v>
      </c>
      <c r="HI31" s="9" t="s">
        <v>4338</v>
      </c>
      <c r="HK31" s="9" t="s">
        <v>3578</v>
      </c>
      <c r="HM31" s="9" t="s">
        <v>3578</v>
      </c>
      <c r="HO31" s="9" t="s">
        <v>3348</v>
      </c>
      <c r="HQ31" s="9" t="s">
        <v>612</v>
      </c>
      <c r="HR31" s="9" t="s">
        <v>4339</v>
      </c>
      <c r="HS31" s="9" t="s">
        <v>3287</v>
      </c>
      <c r="HU31" s="9" t="s">
        <v>3578</v>
      </c>
      <c r="HW31" s="9" t="s">
        <v>3578</v>
      </c>
      <c r="HY31" s="9" t="s">
        <v>25</v>
      </c>
      <c r="IH31" s="9" t="s">
        <v>3397</v>
      </c>
      <c r="IJ31" s="9" t="s">
        <v>3483</v>
      </c>
      <c r="IL31" s="9" t="s">
        <v>3735</v>
      </c>
      <c r="IN31" s="9" t="s">
        <v>3735</v>
      </c>
      <c r="IP31" s="9" t="s">
        <v>3735</v>
      </c>
      <c r="IR31" s="9" t="s">
        <v>3397</v>
      </c>
      <c r="IT31" s="9" t="s">
        <v>3323</v>
      </c>
      <c r="IV31" s="9" t="s">
        <v>25</v>
      </c>
      <c r="JD31" s="9" t="s">
        <v>3325</v>
      </c>
      <c r="JF31" s="9" t="s">
        <v>3287</v>
      </c>
      <c r="JH31" s="9" t="s">
        <v>3287</v>
      </c>
      <c r="JJ31" s="9" t="s">
        <v>4340</v>
      </c>
      <c r="JL31" s="9" t="s">
        <v>3515</v>
      </c>
      <c r="JN31" s="9" t="s">
        <v>4340</v>
      </c>
      <c r="JP31" s="9" t="s">
        <v>3287</v>
      </c>
      <c r="JR31" s="9" t="s">
        <v>25</v>
      </c>
      <c r="JZ31" s="9" t="s">
        <v>3397</v>
      </c>
      <c r="KB31" s="9" t="s">
        <v>3397</v>
      </c>
      <c r="KD31" s="9" t="s">
        <v>3397</v>
      </c>
      <c r="KF31" s="9" t="s">
        <v>3287</v>
      </c>
      <c r="KH31" s="9" t="s">
        <v>3287</v>
      </c>
      <c r="KJ31" s="9" t="s">
        <v>3695</v>
      </c>
      <c r="KL31" s="9" t="s">
        <v>3287</v>
      </c>
      <c r="KN31" s="9" t="s">
        <v>612</v>
      </c>
      <c r="KO31" s="9" t="s">
        <v>4028</v>
      </c>
      <c r="KP31" s="9" t="s">
        <v>3287</v>
      </c>
      <c r="KR31" s="9" t="s">
        <v>25</v>
      </c>
      <c r="LB31" s="9" t="s">
        <v>3287</v>
      </c>
      <c r="LD31" s="9" t="s">
        <v>3287</v>
      </c>
      <c r="LF31" s="9" t="s">
        <v>3335</v>
      </c>
      <c r="LH31" s="9" t="s">
        <v>3287</v>
      </c>
      <c r="LL31" s="9" t="s">
        <v>3287</v>
      </c>
      <c r="LN31" s="9" t="s">
        <v>3287</v>
      </c>
      <c r="LP31" s="9" t="s">
        <v>3287</v>
      </c>
      <c r="LR31" s="9" t="s">
        <v>25</v>
      </c>
      <c r="MA31" s="9" t="s">
        <v>4341</v>
      </c>
    </row>
    <row r="32" spans="1:339" ht="25.5" x14ac:dyDescent="0.2">
      <c r="A32" s="8" t="s">
        <v>124</v>
      </c>
      <c r="B32" s="9" t="s">
        <v>25</v>
      </c>
      <c r="C32" s="9" t="s">
        <v>25</v>
      </c>
      <c r="D32" s="9" t="s">
        <v>25</v>
      </c>
      <c r="E32" s="9" t="s">
        <v>25</v>
      </c>
      <c r="F32" s="9" t="s">
        <v>25</v>
      </c>
      <c r="G32" s="9" t="s">
        <v>25</v>
      </c>
      <c r="H32" s="9" t="s">
        <v>25</v>
      </c>
      <c r="I32" s="9" t="s">
        <v>25</v>
      </c>
      <c r="L32" s="9" t="s">
        <v>3470</v>
      </c>
      <c r="N32" s="9" t="s">
        <v>3470</v>
      </c>
      <c r="P32" s="9" t="s">
        <v>3471</v>
      </c>
      <c r="Q32" s="9" t="s">
        <v>3472</v>
      </c>
      <c r="R32" s="9" t="s">
        <v>3340</v>
      </c>
      <c r="T32" s="9" t="s">
        <v>3287</v>
      </c>
      <c r="V32" s="9" t="s">
        <v>3340</v>
      </c>
      <c r="X32" s="9" t="s">
        <v>25</v>
      </c>
      <c r="AE32" s="9" t="s">
        <v>3285</v>
      </c>
      <c r="AG32" s="9" t="s">
        <v>3285</v>
      </c>
      <c r="AI32" s="9" t="s">
        <v>3285</v>
      </c>
      <c r="AK32" s="9" t="s">
        <v>3473</v>
      </c>
      <c r="AM32" s="9" t="s">
        <v>3287</v>
      </c>
      <c r="AO32" s="9" t="s">
        <v>3287</v>
      </c>
      <c r="AQ32" s="9" t="s">
        <v>3287</v>
      </c>
      <c r="AS32" s="9" t="s">
        <v>3287</v>
      </c>
      <c r="AU32" s="9" t="s">
        <v>25</v>
      </c>
      <c r="BD32" s="9" t="s">
        <v>3342</v>
      </c>
      <c r="BF32" s="9" t="s">
        <v>3342</v>
      </c>
      <c r="BH32" s="9" t="s">
        <v>3474</v>
      </c>
      <c r="BJ32" s="9" t="s">
        <v>3474</v>
      </c>
      <c r="BL32" s="9" t="s">
        <v>25</v>
      </c>
      <c r="BQ32" s="9" t="s">
        <v>53</v>
      </c>
      <c r="BS32" s="9" t="s">
        <v>53</v>
      </c>
      <c r="BU32" s="9" t="s">
        <v>3287</v>
      </c>
      <c r="BW32" s="9" t="s">
        <v>3341</v>
      </c>
      <c r="BY32" s="9" t="s">
        <v>25</v>
      </c>
      <c r="CD32" s="9" t="s">
        <v>3410</v>
      </c>
      <c r="CF32" s="9" t="s">
        <v>3297</v>
      </c>
      <c r="CH32" s="9" t="s">
        <v>3475</v>
      </c>
      <c r="CJ32" s="9" t="s">
        <v>3476</v>
      </c>
      <c r="CL32" s="9" t="s">
        <v>14566</v>
      </c>
      <c r="CN32" s="9" t="s">
        <v>612</v>
      </c>
      <c r="CO32" s="9" t="s">
        <v>3477</v>
      </c>
      <c r="CP32" s="9" t="s">
        <v>14000</v>
      </c>
      <c r="CR32" s="9" t="s">
        <v>28</v>
      </c>
      <c r="CS32" s="9" t="s">
        <v>3440</v>
      </c>
      <c r="CU32" s="9" t="s">
        <v>1189</v>
      </c>
      <c r="CY32" s="9" t="s">
        <v>3478</v>
      </c>
      <c r="DA32" s="9" t="s">
        <v>3479</v>
      </c>
      <c r="DC32" s="9" t="s">
        <v>3297</v>
      </c>
      <c r="DE32" s="9" t="s">
        <v>3297</v>
      </c>
      <c r="DG32" s="9" t="s">
        <v>3287</v>
      </c>
      <c r="DI32" s="9" t="s">
        <v>3287</v>
      </c>
      <c r="DK32" s="9" t="s">
        <v>3287</v>
      </c>
      <c r="DM32" s="9" t="s">
        <v>3287</v>
      </c>
      <c r="DO32" s="9" t="s">
        <v>3287</v>
      </c>
      <c r="DQ32" s="9" t="s">
        <v>3287</v>
      </c>
      <c r="DS32" s="9" t="s">
        <v>3297</v>
      </c>
      <c r="DU32" s="9" t="s">
        <v>3360</v>
      </c>
      <c r="DW32" s="9" t="s">
        <v>612</v>
      </c>
      <c r="DX32" s="9" t="s">
        <v>3480</v>
      </c>
      <c r="DY32" s="9" t="s">
        <v>3297</v>
      </c>
      <c r="EA32" s="9" t="s">
        <v>3297</v>
      </c>
      <c r="EC32" s="9" t="s">
        <v>3418</v>
      </c>
      <c r="EE32" s="9" t="s">
        <v>3287</v>
      </c>
      <c r="EG32" s="9" t="s">
        <v>25</v>
      </c>
      <c r="EY32" s="9" t="s">
        <v>3287</v>
      </c>
      <c r="FA32" s="9" t="s">
        <v>3287</v>
      </c>
      <c r="FC32" s="9" t="s">
        <v>3287</v>
      </c>
      <c r="FE32" s="9" t="s">
        <v>3311</v>
      </c>
      <c r="FG32" s="9" t="s">
        <v>3481</v>
      </c>
      <c r="FI32" s="9" t="s">
        <v>3287</v>
      </c>
      <c r="FK32" s="9" t="s">
        <v>3287</v>
      </c>
      <c r="FM32" s="9" t="s">
        <v>25</v>
      </c>
      <c r="FU32" s="9" t="s">
        <v>25</v>
      </c>
      <c r="FW32" s="9" t="s">
        <v>3360</v>
      </c>
      <c r="FY32" s="9" t="s">
        <v>3287</v>
      </c>
      <c r="GA32" s="9" t="s">
        <v>3287</v>
      </c>
      <c r="GC32" s="9" t="s">
        <v>3287</v>
      </c>
      <c r="GE32" s="9" t="s">
        <v>3287</v>
      </c>
      <c r="GG32" s="9" t="s">
        <v>3287</v>
      </c>
      <c r="GI32" s="9" t="s">
        <v>3297</v>
      </c>
      <c r="GK32" s="9" t="s">
        <v>25</v>
      </c>
      <c r="GS32" s="9" t="s">
        <v>3287</v>
      </c>
      <c r="GU32" s="9" t="s">
        <v>3287</v>
      </c>
      <c r="GW32" s="9" t="s">
        <v>3287</v>
      </c>
      <c r="GY32" s="9" t="s">
        <v>3287</v>
      </c>
      <c r="HA32" s="9" t="s">
        <v>3287</v>
      </c>
      <c r="HC32" s="9" t="s">
        <v>28</v>
      </c>
      <c r="HD32" s="9" t="s">
        <v>3482</v>
      </c>
      <c r="HF32" s="9" t="s">
        <v>3482</v>
      </c>
      <c r="HG32" s="9" t="s">
        <v>3482</v>
      </c>
      <c r="HH32" s="9" t="s">
        <v>3482</v>
      </c>
      <c r="HI32" s="9" t="s">
        <v>3420</v>
      </c>
      <c r="HK32" s="9" t="s">
        <v>1265</v>
      </c>
      <c r="HM32" s="9" t="s">
        <v>1265</v>
      </c>
      <c r="HO32" s="9" t="s">
        <v>3287</v>
      </c>
      <c r="HQ32" s="9" t="s">
        <v>3348</v>
      </c>
      <c r="HS32" s="9" t="s">
        <v>3287</v>
      </c>
      <c r="HU32" s="9" t="s">
        <v>3287</v>
      </c>
      <c r="HW32" s="9" t="s">
        <v>3287</v>
      </c>
      <c r="HY32" s="9" t="s">
        <v>28</v>
      </c>
      <c r="IA32" s="9" t="s">
        <v>3482</v>
      </c>
      <c r="IB32" s="9" t="s">
        <v>3482</v>
      </c>
      <c r="IH32" s="9" t="s">
        <v>3373</v>
      </c>
      <c r="IJ32" s="9" t="s">
        <v>3483</v>
      </c>
      <c r="IL32" s="9" t="s">
        <v>3287</v>
      </c>
      <c r="IN32" s="9" t="s">
        <v>3484</v>
      </c>
      <c r="IP32" s="9" t="s">
        <v>3484</v>
      </c>
      <c r="IR32" s="9" t="s">
        <v>3373</v>
      </c>
      <c r="IT32" s="9" t="s">
        <v>3485</v>
      </c>
      <c r="IV32" s="9" t="s">
        <v>25</v>
      </c>
      <c r="JD32" s="9" t="s">
        <v>3325</v>
      </c>
      <c r="JF32" s="9" t="s">
        <v>3325</v>
      </c>
      <c r="JH32" s="9" t="s">
        <v>3325</v>
      </c>
      <c r="JJ32" s="9" t="s">
        <v>3325</v>
      </c>
      <c r="JL32" s="9" t="s">
        <v>3287</v>
      </c>
      <c r="JN32" s="9" t="s">
        <v>3287</v>
      </c>
      <c r="JP32" s="9" t="s">
        <v>3287</v>
      </c>
      <c r="JR32" s="9" t="s">
        <v>25</v>
      </c>
      <c r="JZ32" s="9" t="s">
        <v>3397</v>
      </c>
      <c r="KB32" s="9" t="s">
        <v>3456</v>
      </c>
      <c r="KD32" s="9" t="s">
        <v>3457</v>
      </c>
      <c r="KF32" s="9" t="s">
        <v>3287</v>
      </c>
      <c r="KH32" s="9" t="s">
        <v>3287</v>
      </c>
      <c r="KJ32" s="9" t="s">
        <v>3330</v>
      </c>
      <c r="KL32" s="9" t="s">
        <v>3486</v>
      </c>
      <c r="KN32" s="9" t="s">
        <v>3287</v>
      </c>
      <c r="KP32" s="9" t="s">
        <v>3462</v>
      </c>
      <c r="KR32" s="9" t="s">
        <v>25</v>
      </c>
      <c r="LB32" s="9" t="s">
        <v>3287</v>
      </c>
      <c r="LD32" s="9" t="s">
        <v>3287</v>
      </c>
      <c r="LF32" s="9" t="s">
        <v>3287</v>
      </c>
      <c r="LH32" s="9" t="s">
        <v>3287</v>
      </c>
      <c r="LJ32" s="9" t="s">
        <v>3487</v>
      </c>
      <c r="LL32" s="9" t="s">
        <v>3466</v>
      </c>
      <c r="LN32" s="9" t="s">
        <v>3287</v>
      </c>
      <c r="LP32" s="9" t="s">
        <v>3287</v>
      </c>
      <c r="LR32" s="9" t="s">
        <v>25</v>
      </c>
    </row>
    <row r="33" spans="1:339" ht="38.25" x14ac:dyDescent="0.2">
      <c r="A33" s="8" t="s">
        <v>117</v>
      </c>
      <c r="B33" s="9" t="s">
        <v>25</v>
      </c>
      <c r="C33" s="9" t="s">
        <v>25</v>
      </c>
      <c r="D33" s="9" t="s">
        <v>25</v>
      </c>
      <c r="E33" s="9" t="s">
        <v>25</v>
      </c>
      <c r="F33" s="9" t="s">
        <v>25</v>
      </c>
      <c r="G33" s="9" t="s">
        <v>25</v>
      </c>
      <c r="H33" s="9" t="s">
        <v>25</v>
      </c>
      <c r="I33" s="9" t="s">
        <v>28</v>
      </c>
      <c r="J33" s="9" t="s">
        <v>25</v>
      </c>
      <c r="L33" s="9" t="s">
        <v>3277</v>
      </c>
      <c r="N33" s="9" t="s">
        <v>3278</v>
      </c>
      <c r="P33" s="9" t="s">
        <v>3279</v>
      </c>
      <c r="R33" s="9" t="s">
        <v>3280</v>
      </c>
      <c r="T33" s="9" t="s">
        <v>3281</v>
      </c>
      <c r="V33" s="9" t="s">
        <v>3280</v>
      </c>
      <c r="X33" s="9" t="s">
        <v>25</v>
      </c>
      <c r="AE33" s="9" t="s">
        <v>3282</v>
      </c>
      <c r="AG33" s="9" t="s">
        <v>3283</v>
      </c>
      <c r="AI33" s="9" t="s">
        <v>3284</v>
      </c>
      <c r="AK33" s="9" t="s">
        <v>3285</v>
      </c>
      <c r="AM33" s="9" t="s">
        <v>3285</v>
      </c>
      <c r="AO33" s="9" t="s">
        <v>3286</v>
      </c>
      <c r="AQ33" s="9" t="s">
        <v>3282</v>
      </c>
      <c r="AS33" s="9" t="s">
        <v>3287</v>
      </c>
      <c r="BD33" s="9" t="s">
        <v>3288</v>
      </c>
      <c r="BF33" s="9" t="s">
        <v>3288</v>
      </c>
      <c r="BH33" s="9" t="s">
        <v>3288</v>
      </c>
      <c r="BJ33" s="9" t="s">
        <v>3288</v>
      </c>
      <c r="BL33" s="9" t="s">
        <v>25</v>
      </c>
      <c r="BQ33" s="9" t="s">
        <v>53</v>
      </c>
      <c r="BS33" s="9" t="s">
        <v>3289</v>
      </c>
      <c r="BU33" s="9" t="s">
        <v>3287</v>
      </c>
      <c r="BW33" s="9" t="s">
        <v>3282</v>
      </c>
      <c r="BY33" s="9" t="s">
        <v>25</v>
      </c>
      <c r="CD33" s="9" t="s">
        <v>3290</v>
      </c>
      <c r="CF33" s="9" t="s">
        <v>3291</v>
      </c>
      <c r="CH33" s="9" t="s">
        <v>3291</v>
      </c>
      <c r="CJ33" s="9" t="s">
        <v>3292</v>
      </c>
      <c r="CL33" s="9" t="s">
        <v>3293</v>
      </c>
      <c r="CP33" s="9" t="s">
        <v>3287</v>
      </c>
      <c r="CR33" s="9" t="s">
        <v>25</v>
      </c>
      <c r="CY33" s="9" t="s">
        <v>3294</v>
      </c>
      <c r="DA33" s="9" t="s">
        <v>3295</v>
      </c>
      <c r="DC33" s="9" t="s">
        <v>3296</v>
      </c>
      <c r="DE33" s="9" t="s">
        <v>3297</v>
      </c>
      <c r="DG33" s="9" t="s">
        <v>3287</v>
      </c>
      <c r="DI33" s="9" t="s">
        <v>3287</v>
      </c>
      <c r="DK33" s="9" t="s">
        <v>3287</v>
      </c>
      <c r="DM33" s="9" t="s">
        <v>3298</v>
      </c>
      <c r="DO33" s="9" t="s">
        <v>3287</v>
      </c>
      <c r="DQ33" s="9" t="s">
        <v>3287</v>
      </c>
      <c r="DS33" s="9" t="s">
        <v>612</v>
      </c>
      <c r="DT33" s="9" t="s">
        <v>3299</v>
      </c>
      <c r="DU33" s="9" t="s">
        <v>3300</v>
      </c>
      <c r="DV33" s="9" t="s">
        <v>3301</v>
      </c>
      <c r="DW33" s="9" t="s">
        <v>3300</v>
      </c>
      <c r="DX33" s="9" t="s">
        <v>3302</v>
      </c>
      <c r="DY33" s="9" t="s">
        <v>3303</v>
      </c>
      <c r="DZ33" s="9" t="s">
        <v>3304</v>
      </c>
      <c r="EA33" s="9" t="s">
        <v>3297</v>
      </c>
      <c r="EC33" s="9" t="s">
        <v>3305</v>
      </c>
      <c r="EE33" s="9" t="s">
        <v>3306</v>
      </c>
      <c r="EF33" s="9" t="s">
        <v>3307</v>
      </c>
      <c r="EG33" s="9" t="s">
        <v>25</v>
      </c>
      <c r="EY33" s="9" t="s">
        <v>3308</v>
      </c>
      <c r="FA33" s="9" t="s">
        <v>3309</v>
      </c>
      <c r="FB33" s="9" t="s">
        <v>3310</v>
      </c>
      <c r="FC33" s="9" t="s">
        <v>3287</v>
      </c>
      <c r="FE33" s="9" t="s">
        <v>3311</v>
      </c>
      <c r="FG33" s="9" t="s">
        <v>3309</v>
      </c>
      <c r="FH33" s="9" t="s">
        <v>3312</v>
      </c>
      <c r="FI33" s="9" t="s">
        <v>612</v>
      </c>
      <c r="FJ33" s="9" t="s">
        <v>3313</v>
      </c>
      <c r="FK33" s="9" t="s">
        <v>3297</v>
      </c>
      <c r="FM33" s="9" t="s">
        <v>25</v>
      </c>
      <c r="FU33" s="9" t="s">
        <v>25</v>
      </c>
      <c r="FW33" s="9" t="s">
        <v>3314</v>
      </c>
      <c r="FY33" s="9" t="s">
        <v>3315</v>
      </c>
      <c r="GA33" s="9" t="s">
        <v>14007</v>
      </c>
      <c r="GC33" s="9" t="s">
        <v>3316</v>
      </c>
      <c r="GE33" s="9" t="s">
        <v>3317</v>
      </c>
      <c r="GG33" s="9" t="s">
        <v>3317</v>
      </c>
      <c r="GI33" s="9" t="s">
        <v>3287</v>
      </c>
      <c r="GK33" s="9" t="s">
        <v>28</v>
      </c>
      <c r="GM33" s="9" t="s">
        <v>3318</v>
      </c>
      <c r="GS33" s="9" t="s">
        <v>3282</v>
      </c>
      <c r="GU33" s="9" t="s">
        <v>3282</v>
      </c>
      <c r="GW33" s="9" t="s">
        <v>3282</v>
      </c>
      <c r="GY33" s="9" t="s">
        <v>3282</v>
      </c>
      <c r="HA33" s="9" t="s">
        <v>3282</v>
      </c>
      <c r="HC33" s="9" t="s">
        <v>25</v>
      </c>
      <c r="HI33" s="9" t="s">
        <v>929</v>
      </c>
      <c r="HK33" s="9" t="s">
        <v>3319</v>
      </c>
      <c r="HM33" s="9" t="s">
        <v>3282</v>
      </c>
      <c r="HO33" s="9" t="s">
        <v>3279</v>
      </c>
      <c r="HQ33" s="9" t="s">
        <v>612</v>
      </c>
      <c r="HR33" s="9" t="s">
        <v>3320</v>
      </c>
      <c r="HS33" s="9" t="s">
        <v>3279</v>
      </c>
      <c r="HU33" s="9" t="s">
        <v>3321</v>
      </c>
      <c r="HW33" s="9" t="s">
        <v>3282</v>
      </c>
      <c r="HY33" s="9" t="s">
        <v>25</v>
      </c>
      <c r="IH33" s="9" t="s">
        <v>3322</v>
      </c>
      <c r="IJ33" s="9" t="s">
        <v>3323</v>
      </c>
      <c r="IL33" s="9" t="s">
        <v>3322</v>
      </c>
      <c r="IN33" s="9" t="s">
        <v>3322</v>
      </c>
      <c r="IP33" s="9" t="s">
        <v>3322</v>
      </c>
      <c r="IR33" s="9" t="s">
        <v>3322</v>
      </c>
      <c r="IT33" s="9" t="s">
        <v>3324</v>
      </c>
      <c r="IV33" s="9" t="s">
        <v>25</v>
      </c>
      <c r="JD33" s="9" t="s">
        <v>3325</v>
      </c>
      <c r="JF33" s="9" t="s">
        <v>3326</v>
      </c>
      <c r="JH33" s="9" t="s">
        <v>3327</v>
      </c>
      <c r="JJ33" s="9" t="s">
        <v>3325</v>
      </c>
      <c r="JL33" s="9" t="s">
        <v>3325</v>
      </c>
      <c r="JN33" s="9" t="s">
        <v>3325</v>
      </c>
      <c r="JP33" s="9" t="s">
        <v>3325</v>
      </c>
      <c r="JR33" s="9" t="s">
        <v>25</v>
      </c>
      <c r="JZ33" s="9" t="s">
        <v>3287</v>
      </c>
      <c r="KB33" s="9" t="s">
        <v>3328</v>
      </c>
      <c r="KD33" s="9" t="s">
        <v>3329</v>
      </c>
      <c r="KF33" s="9" t="s">
        <v>3319</v>
      </c>
      <c r="KH33" s="9" t="s">
        <v>3287</v>
      </c>
      <c r="KJ33" s="9" t="s">
        <v>3330</v>
      </c>
      <c r="KL33" s="9" t="s">
        <v>3331</v>
      </c>
      <c r="KN33" s="9" t="s">
        <v>3329</v>
      </c>
      <c r="KP33" s="9" t="s">
        <v>3332</v>
      </c>
      <c r="KR33" s="9" t="s">
        <v>25</v>
      </c>
      <c r="LB33" s="9" t="s">
        <v>3333</v>
      </c>
      <c r="LD33" s="9" t="s">
        <v>3334</v>
      </c>
      <c r="LF33" s="9" t="s">
        <v>3335</v>
      </c>
      <c r="LH33" s="9" t="s">
        <v>3336</v>
      </c>
      <c r="LL33" s="9" t="s">
        <v>3337</v>
      </c>
      <c r="LN33" s="9" t="s">
        <v>3287</v>
      </c>
      <c r="LP33" s="9" t="s">
        <v>3287</v>
      </c>
      <c r="LR33" s="9" t="s">
        <v>25</v>
      </c>
      <c r="MA33" s="9" t="s">
        <v>3338</v>
      </c>
    </row>
    <row r="34" spans="1:339" ht="38.25" x14ac:dyDescent="0.2">
      <c r="A34" s="8" t="s">
        <v>168</v>
      </c>
      <c r="B34" s="9" t="s">
        <v>28</v>
      </c>
      <c r="C34" s="9" t="s">
        <v>25</v>
      </c>
      <c r="D34" s="9" t="s">
        <v>25</v>
      </c>
      <c r="E34" s="9" t="s">
        <v>25</v>
      </c>
      <c r="F34" s="9" t="s">
        <v>25</v>
      </c>
      <c r="G34" s="9" t="s">
        <v>25</v>
      </c>
      <c r="H34" s="9" t="s">
        <v>25</v>
      </c>
      <c r="I34" s="9" t="s">
        <v>25</v>
      </c>
      <c r="J34" s="9" t="s">
        <v>25</v>
      </c>
      <c r="L34" s="9" t="s">
        <v>3339</v>
      </c>
      <c r="N34" s="9" t="s">
        <v>3339</v>
      </c>
      <c r="P34" s="9" t="s">
        <v>4269</v>
      </c>
      <c r="Q34" s="9" t="s">
        <v>4270</v>
      </c>
      <c r="R34" s="9" t="s">
        <v>4085</v>
      </c>
      <c r="T34" s="9" t="s">
        <v>4238</v>
      </c>
      <c r="V34" s="9" t="s">
        <v>3287</v>
      </c>
      <c r="X34" s="9" t="s">
        <v>25</v>
      </c>
      <c r="AE34" s="9" t="s">
        <v>4271</v>
      </c>
      <c r="AG34" s="9" t="s">
        <v>3287</v>
      </c>
      <c r="AI34" s="9" t="s">
        <v>3285</v>
      </c>
      <c r="AK34" s="9" t="s">
        <v>3287</v>
      </c>
      <c r="AM34" s="9" t="s">
        <v>4272</v>
      </c>
      <c r="AO34" s="9" t="s">
        <v>3899</v>
      </c>
      <c r="AQ34" s="9" t="s">
        <v>3341</v>
      </c>
      <c r="AS34" s="9" t="s">
        <v>3287</v>
      </c>
      <c r="BD34" s="9" t="s">
        <v>3342</v>
      </c>
      <c r="BF34" s="9" t="s">
        <v>3342</v>
      </c>
      <c r="BH34" s="9" t="s">
        <v>3342</v>
      </c>
      <c r="BJ34" s="9" t="s">
        <v>3287</v>
      </c>
      <c r="BQ34" s="9" t="s">
        <v>53</v>
      </c>
      <c r="BS34" s="9" t="s">
        <v>53</v>
      </c>
      <c r="BU34" s="9" t="s">
        <v>3287</v>
      </c>
      <c r="BW34" s="9" t="s">
        <v>3341</v>
      </c>
      <c r="BY34" s="9" t="s">
        <v>25</v>
      </c>
      <c r="CD34" s="9" t="s">
        <v>4058</v>
      </c>
      <c r="CF34" s="9" t="s">
        <v>3411</v>
      </c>
      <c r="CH34" s="9" t="s">
        <v>3637</v>
      </c>
      <c r="CJ34" s="9" t="s">
        <v>4273</v>
      </c>
      <c r="CL34" s="9" t="s">
        <v>4274</v>
      </c>
      <c r="CN34" s="9" t="s">
        <v>3421</v>
      </c>
      <c r="CP34" s="9" t="s">
        <v>3287</v>
      </c>
      <c r="CR34" s="9" t="s">
        <v>25</v>
      </c>
      <c r="CY34" s="9" t="s">
        <v>612</v>
      </c>
      <c r="CZ34" s="9" t="s">
        <v>3921</v>
      </c>
      <c r="DA34" s="9" t="s">
        <v>3287</v>
      </c>
      <c r="DC34" s="9" t="s">
        <v>3287</v>
      </c>
      <c r="DE34" s="9" t="s">
        <v>3287</v>
      </c>
      <c r="DG34" s="9" t="s">
        <v>3287</v>
      </c>
      <c r="DI34" s="9" t="s">
        <v>3287</v>
      </c>
      <c r="DK34" s="9" t="s">
        <v>3287</v>
      </c>
      <c r="DM34" s="9" t="s">
        <v>3287</v>
      </c>
      <c r="DO34" s="9" t="s">
        <v>3287</v>
      </c>
      <c r="DQ34" s="9" t="s">
        <v>3287</v>
      </c>
      <c r="DS34" s="9" t="s">
        <v>3287</v>
      </c>
      <c r="DU34" s="9" t="s">
        <v>4275</v>
      </c>
      <c r="DV34" s="9" t="s">
        <v>3637</v>
      </c>
      <c r="DW34" s="9" t="s">
        <v>612</v>
      </c>
      <c r="DX34" s="9" t="s">
        <v>3637</v>
      </c>
      <c r="DY34" s="9" t="s">
        <v>3287</v>
      </c>
      <c r="EA34" s="9" t="s">
        <v>3287</v>
      </c>
      <c r="EC34" s="9" t="s">
        <v>4276</v>
      </c>
      <c r="EE34" s="9" t="s">
        <v>3287</v>
      </c>
      <c r="EY34" s="9" t="s">
        <v>3287</v>
      </c>
      <c r="FA34" s="9" t="s">
        <v>3287</v>
      </c>
      <c r="FC34" s="9" t="s">
        <v>3287</v>
      </c>
      <c r="FE34" s="9" t="s">
        <v>3287</v>
      </c>
      <c r="FG34" s="9" t="s">
        <v>3287</v>
      </c>
      <c r="FI34" s="9" t="s">
        <v>3287</v>
      </c>
      <c r="FK34" s="9" t="s">
        <v>3287</v>
      </c>
      <c r="FM34" s="9" t="s">
        <v>25</v>
      </c>
      <c r="FU34" s="9" t="s">
        <v>25</v>
      </c>
      <c r="FW34" s="9" t="s">
        <v>3287</v>
      </c>
      <c r="FY34" s="9" t="s">
        <v>3287</v>
      </c>
      <c r="GA34" s="9" t="s">
        <v>4277</v>
      </c>
      <c r="GC34" s="9" t="s">
        <v>3287</v>
      </c>
      <c r="GE34" s="9" t="s">
        <v>3287</v>
      </c>
      <c r="GG34" s="9" t="s">
        <v>3317</v>
      </c>
      <c r="GK34" s="9" t="s">
        <v>25</v>
      </c>
      <c r="GS34" s="9" t="s">
        <v>53</v>
      </c>
      <c r="GU34" s="9" t="s">
        <v>53</v>
      </c>
      <c r="GW34" s="9" t="s">
        <v>3287</v>
      </c>
      <c r="GY34" s="9" t="s">
        <v>3287</v>
      </c>
      <c r="HA34" s="9" t="s">
        <v>3339</v>
      </c>
      <c r="HC34" s="9" t="s">
        <v>25</v>
      </c>
      <c r="HI34" s="9" t="s">
        <v>3578</v>
      </c>
      <c r="HK34" s="9" t="s">
        <v>3578</v>
      </c>
      <c r="HM34" s="9" t="s">
        <v>3578</v>
      </c>
      <c r="HO34" s="9" t="s">
        <v>3287</v>
      </c>
      <c r="HQ34" s="9" t="s">
        <v>4139</v>
      </c>
      <c r="HS34" s="9" t="s">
        <v>3287</v>
      </c>
      <c r="HU34" s="9" t="s">
        <v>3578</v>
      </c>
      <c r="HW34" s="9" t="s">
        <v>3578</v>
      </c>
      <c r="HY34" s="9" t="s">
        <v>25</v>
      </c>
      <c r="IH34" s="9" t="s">
        <v>3373</v>
      </c>
      <c r="IJ34" s="9" t="s">
        <v>3323</v>
      </c>
      <c r="IL34" s="9" t="s">
        <v>3484</v>
      </c>
      <c r="IN34" s="9" t="s">
        <v>3484</v>
      </c>
      <c r="IP34" s="9" t="s">
        <v>3484</v>
      </c>
      <c r="IR34" s="9" t="s">
        <v>3373</v>
      </c>
      <c r="IT34" s="9" t="s">
        <v>4278</v>
      </c>
      <c r="IV34" s="9" t="s">
        <v>25</v>
      </c>
      <c r="JD34" s="9" t="s">
        <v>3347</v>
      </c>
      <c r="JF34" s="9" t="s">
        <v>3287</v>
      </c>
      <c r="JH34" s="9" t="s">
        <v>3287</v>
      </c>
      <c r="JJ34" s="9" t="s">
        <v>3347</v>
      </c>
      <c r="JL34" s="9" t="s">
        <v>3347</v>
      </c>
      <c r="JN34" s="9" t="s">
        <v>3347</v>
      </c>
      <c r="JP34" s="9" t="s">
        <v>4049</v>
      </c>
      <c r="JR34" s="9" t="s">
        <v>25</v>
      </c>
      <c r="JZ34" s="9" t="s">
        <v>3287</v>
      </c>
      <c r="KB34" s="9" t="s">
        <v>3287</v>
      </c>
      <c r="KD34" s="9" t="s">
        <v>612</v>
      </c>
      <c r="KE34" s="9" t="s">
        <v>4279</v>
      </c>
      <c r="KF34" s="9" t="s">
        <v>3287</v>
      </c>
      <c r="KH34" s="9" t="s">
        <v>612</v>
      </c>
      <c r="KI34" s="9" t="s">
        <v>4280</v>
      </c>
      <c r="KJ34" s="9" t="s">
        <v>4264</v>
      </c>
      <c r="KL34" s="9" t="s">
        <v>3287</v>
      </c>
      <c r="KN34" s="9" t="s">
        <v>4281</v>
      </c>
      <c r="KO34" s="9" t="s">
        <v>4282</v>
      </c>
      <c r="KP34" s="9" t="s">
        <v>3332</v>
      </c>
      <c r="KR34" s="9" t="s">
        <v>25</v>
      </c>
      <c r="LB34" s="9" t="s">
        <v>3287</v>
      </c>
      <c r="LD34" s="9" t="s">
        <v>3287</v>
      </c>
      <c r="LF34" s="9" t="s">
        <v>3335</v>
      </c>
      <c r="LH34" s="9" t="s">
        <v>3287</v>
      </c>
      <c r="LJ34" s="9" t="s">
        <v>3465</v>
      </c>
      <c r="LL34" s="9" t="s">
        <v>3287</v>
      </c>
      <c r="LN34" s="9" t="s">
        <v>3802</v>
      </c>
      <c r="LP34" s="9" t="s">
        <v>3287</v>
      </c>
      <c r="LR34" s="9" t="s">
        <v>25</v>
      </c>
      <c r="MA34" s="9" t="s">
        <v>4283</v>
      </c>
    </row>
    <row r="35" spans="1:339" ht="25.5" x14ac:dyDescent="0.2">
      <c r="A35" s="8" t="s">
        <v>143</v>
      </c>
      <c r="B35" s="9" t="s">
        <v>25</v>
      </c>
      <c r="C35" s="9" t="s">
        <v>25</v>
      </c>
      <c r="D35" s="9" t="s">
        <v>25</v>
      </c>
      <c r="E35" s="9" t="s">
        <v>25</v>
      </c>
      <c r="F35" s="9" t="s">
        <v>25</v>
      </c>
      <c r="G35" s="9" t="s">
        <v>25</v>
      </c>
      <c r="H35" s="9" t="s">
        <v>25</v>
      </c>
      <c r="I35" s="9" t="s">
        <v>25</v>
      </c>
      <c r="L35" s="9" t="s">
        <v>3377</v>
      </c>
      <c r="N35" s="9" t="s">
        <v>3377</v>
      </c>
      <c r="P35" s="9" t="s">
        <v>3854</v>
      </c>
      <c r="T35" s="9" t="s">
        <v>3287</v>
      </c>
      <c r="X35" s="9" t="s">
        <v>25</v>
      </c>
      <c r="AE35" s="9" t="s">
        <v>3285</v>
      </c>
      <c r="AG35" s="9" t="s">
        <v>3285</v>
      </c>
      <c r="AI35" s="9" t="s">
        <v>3855</v>
      </c>
      <c r="AK35" s="9" t="s">
        <v>3856</v>
      </c>
      <c r="AM35" s="9" t="s">
        <v>3285</v>
      </c>
      <c r="AO35" s="9" t="s">
        <v>3347</v>
      </c>
      <c r="AQ35" s="9" t="s">
        <v>3855</v>
      </c>
      <c r="AU35" s="9" t="s">
        <v>25</v>
      </c>
      <c r="BD35" s="9" t="s">
        <v>3857</v>
      </c>
      <c r="BF35" s="9" t="s">
        <v>3857</v>
      </c>
      <c r="BH35" s="9" t="s">
        <v>3857</v>
      </c>
      <c r="BJ35" s="9" t="s">
        <v>3858</v>
      </c>
      <c r="BL35" s="9" t="s">
        <v>25</v>
      </c>
      <c r="BQ35" s="9" t="s">
        <v>3859</v>
      </c>
      <c r="BS35" s="9" t="s">
        <v>3860</v>
      </c>
      <c r="BU35" s="9" t="s">
        <v>3287</v>
      </c>
      <c r="BY35" s="9" t="s">
        <v>25</v>
      </c>
      <c r="CD35" s="9" t="s">
        <v>3861</v>
      </c>
      <c r="CF35" s="9" t="s">
        <v>3862</v>
      </c>
      <c r="CH35" s="9" t="s">
        <v>3863</v>
      </c>
      <c r="CJ35" s="9" t="s">
        <v>3292</v>
      </c>
      <c r="CL35" s="9" t="s">
        <v>3293</v>
      </c>
      <c r="CN35" s="9" t="s">
        <v>612</v>
      </c>
      <c r="CO35" s="9" t="s">
        <v>3477</v>
      </c>
      <c r="CP35" s="9" t="s">
        <v>3287</v>
      </c>
      <c r="CR35" s="9" t="s">
        <v>28</v>
      </c>
      <c r="CS35" s="9" t="s">
        <v>3864</v>
      </c>
      <c r="CY35" s="9" t="s">
        <v>3571</v>
      </c>
      <c r="DA35" s="9" t="s">
        <v>3571</v>
      </c>
      <c r="DC35" s="9" t="s">
        <v>3287</v>
      </c>
      <c r="DE35" s="9" t="s">
        <v>3287</v>
      </c>
      <c r="DG35" s="9" t="s">
        <v>3287</v>
      </c>
      <c r="DI35" s="9" t="s">
        <v>3287</v>
      </c>
      <c r="DK35" s="9" t="s">
        <v>3287</v>
      </c>
      <c r="DM35" s="9" t="s">
        <v>3298</v>
      </c>
      <c r="DO35" s="9" t="s">
        <v>3287</v>
      </c>
      <c r="DQ35" s="9" t="s">
        <v>3298</v>
      </c>
      <c r="DS35" s="9" t="s">
        <v>3865</v>
      </c>
      <c r="DU35" s="9" t="s">
        <v>3417</v>
      </c>
      <c r="DW35" s="9" t="s">
        <v>3791</v>
      </c>
      <c r="DY35" s="9" t="s">
        <v>3287</v>
      </c>
      <c r="EA35" s="9" t="s">
        <v>3287</v>
      </c>
      <c r="EC35" s="9" t="s">
        <v>3665</v>
      </c>
      <c r="ED35" s="9" t="s">
        <v>3347</v>
      </c>
      <c r="EE35" s="9" t="s">
        <v>3866</v>
      </c>
      <c r="EG35" s="9" t="s">
        <v>25</v>
      </c>
      <c r="EY35" s="9" t="s">
        <v>3867</v>
      </c>
      <c r="FA35" s="9" t="s">
        <v>3867</v>
      </c>
      <c r="FC35" s="9" t="s">
        <v>3530</v>
      </c>
      <c r="FE35" s="9" t="s">
        <v>3670</v>
      </c>
      <c r="FG35" s="9" t="s">
        <v>3530</v>
      </c>
      <c r="FI35" s="9" t="s">
        <v>3868</v>
      </c>
      <c r="FK35" s="9" t="s">
        <v>3530</v>
      </c>
      <c r="FM35" s="9" t="s">
        <v>25</v>
      </c>
      <c r="FU35" s="9" t="s">
        <v>25</v>
      </c>
      <c r="FW35" s="9" t="s">
        <v>3287</v>
      </c>
      <c r="FY35" s="9" t="s">
        <v>3287</v>
      </c>
      <c r="GA35" s="9" t="s">
        <v>3611</v>
      </c>
      <c r="GC35" s="9" t="s">
        <v>3611</v>
      </c>
      <c r="GE35" s="9" t="s">
        <v>3611</v>
      </c>
      <c r="GG35" s="9" t="s">
        <v>3611</v>
      </c>
      <c r="GI35" s="9" t="s">
        <v>3397</v>
      </c>
      <c r="GK35" s="9" t="s">
        <v>25</v>
      </c>
      <c r="GS35" s="9" t="s">
        <v>3855</v>
      </c>
      <c r="GU35" s="9" t="s">
        <v>3855</v>
      </c>
      <c r="GW35" s="9" t="s">
        <v>3855</v>
      </c>
      <c r="GY35" s="9" t="s">
        <v>3855</v>
      </c>
      <c r="HA35" s="9" t="s">
        <v>3855</v>
      </c>
      <c r="HC35" s="9" t="s">
        <v>25</v>
      </c>
      <c r="HI35" s="9" t="s">
        <v>3869</v>
      </c>
      <c r="HK35" s="9" t="s">
        <v>3869</v>
      </c>
      <c r="HM35" s="9" t="s">
        <v>3870</v>
      </c>
      <c r="HO35" s="9" t="s">
        <v>3348</v>
      </c>
      <c r="HQ35" s="9" t="s">
        <v>3348</v>
      </c>
      <c r="HS35" s="9" t="s">
        <v>3348</v>
      </c>
      <c r="HU35" s="9" t="s">
        <v>3869</v>
      </c>
      <c r="HW35" s="9" t="s">
        <v>3870</v>
      </c>
      <c r="HY35" s="9" t="s">
        <v>25</v>
      </c>
      <c r="IH35" s="9" t="s">
        <v>3871</v>
      </c>
      <c r="IJ35" s="9" t="s">
        <v>3323</v>
      </c>
      <c r="IL35" s="9" t="s">
        <v>3324</v>
      </c>
      <c r="IN35" s="9" t="s">
        <v>3324</v>
      </c>
      <c r="IP35" s="9" t="s">
        <v>3324</v>
      </c>
      <c r="IR35" s="9" t="s">
        <v>3871</v>
      </c>
      <c r="IT35" s="9" t="s">
        <v>3513</v>
      </c>
      <c r="IV35" s="9" t="s">
        <v>25</v>
      </c>
      <c r="JD35" s="9" t="s">
        <v>3347</v>
      </c>
      <c r="JF35" s="9" t="s">
        <v>3872</v>
      </c>
      <c r="JH35" s="9" t="s">
        <v>3287</v>
      </c>
      <c r="JJ35" s="9" t="s">
        <v>3347</v>
      </c>
      <c r="JL35" s="9" t="s">
        <v>3347</v>
      </c>
      <c r="JN35" s="9" t="s">
        <v>3347</v>
      </c>
      <c r="JP35" s="9" t="s">
        <v>3287</v>
      </c>
      <c r="JR35" s="9" t="s">
        <v>25</v>
      </c>
      <c r="JZ35" s="9" t="s">
        <v>3397</v>
      </c>
      <c r="KB35" s="9" t="s">
        <v>3456</v>
      </c>
      <c r="KD35" s="9" t="s">
        <v>3397</v>
      </c>
      <c r="KF35" s="9" t="s">
        <v>3800</v>
      </c>
      <c r="KH35" s="9" t="s">
        <v>3347</v>
      </c>
      <c r="KJ35" s="9" t="s">
        <v>3404</v>
      </c>
      <c r="KL35" s="9" t="s">
        <v>612</v>
      </c>
      <c r="KM35" s="9" t="s">
        <v>3873</v>
      </c>
      <c r="KN35" s="9" t="s">
        <v>3287</v>
      </c>
      <c r="KP35" s="9" t="s">
        <v>3332</v>
      </c>
      <c r="KR35" s="9" t="s">
        <v>25</v>
      </c>
      <c r="LB35" s="9" t="s">
        <v>3874</v>
      </c>
      <c r="LD35" s="9" t="s">
        <v>3464</v>
      </c>
      <c r="LF35" s="9" t="s">
        <v>3335</v>
      </c>
      <c r="LH35" s="9" t="s">
        <v>3287</v>
      </c>
      <c r="LJ35" s="9" t="s">
        <v>3487</v>
      </c>
      <c r="LL35" s="9" t="s">
        <v>3287</v>
      </c>
      <c r="LN35" s="9" t="s">
        <v>3287</v>
      </c>
      <c r="LP35" s="9" t="s">
        <v>3287</v>
      </c>
      <c r="LR35" s="9" t="s">
        <v>25</v>
      </c>
      <c r="MA35" s="9" t="s">
        <v>3338</v>
      </c>
    </row>
    <row r="36" spans="1:339" ht="25.5" x14ac:dyDescent="0.2">
      <c r="A36" s="8" t="s">
        <v>180</v>
      </c>
      <c r="B36" s="9" t="s">
        <v>25</v>
      </c>
      <c r="C36" s="9" t="s">
        <v>25</v>
      </c>
      <c r="D36" s="9" t="s">
        <v>25</v>
      </c>
      <c r="E36" s="9" t="s">
        <v>25</v>
      </c>
      <c r="F36" s="9" t="s">
        <v>25</v>
      </c>
      <c r="G36" s="9" t="s">
        <v>25</v>
      </c>
      <c r="H36" s="9" t="s">
        <v>25</v>
      </c>
      <c r="I36" s="9" t="s">
        <v>25</v>
      </c>
      <c r="J36" s="9" t="s">
        <v>28</v>
      </c>
      <c r="K36" s="9" t="s">
        <v>4412</v>
      </c>
      <c r="L36" s="9" t="s">
        <v>3885</v>
      </c>
      <c r="M36" s="9" t="s">
        <v>3808</v>
      </c>
      <c r="N36" s="9" t="s">
        <v>3339</v>
      </c>
      <c r="P36" s="9" t="s">
        <v>3407</v>
      </c>
      <c r="R36" s="9" t="s">
        <v>4010</v>
      </c>
      <c r="T36" s="9" t="s">
        <v>4413</v>
      </c>
      <c r="V36" s="9" t="s">
        <v>3287</v>
      </c>
      <c r="X36" s="9" t="s">
        <v>25</v>
      </c>
      <c r="AE36" s="9" t="s">
        <v>14561</v>
      </c>
      <c r="AG36" s="9" t="s">
        <v>3287</v>
      </c>
      <c r="AI36" s="9" t="s">
        <v>3436</v>
      </c>
      <c r="AK36" s="9" t="s">
        <v>3287</v>
      </c>
      <c r="AM36" s="9" t="s">
        <v>3287</v>
      </c>
      <c r="AO36" s="9" t="s">
        <v>3287</v>
      </c>
      <c r="AQ36" s="9" t="s">
        <v>3287</v>
      </c>
      <c r="AS36" s="9" t="s">
        <v>53</v>
      </c>
      <c r="AU36" s="9" t="s">
        <v>25</v>
      </c>
      <c r="BD36" s="9" t="s">
        <v>3287</v>
      </c>
      <c r="BF36" s="9" t="s">
        <v>3287</v>
      </c>
      <c r="BH36" s="9" t="s">
        <v>3287</v>
      </c>
      <c r="BJ36" s="9" t="s">
        <v>3287</v>
      </c>
      <c r="BL36" s="9" t="s">
        <v>25</v>
      </c>
      <c r="BQ36" s="9" t="s">
        <v>53</v>
      </c>
      <c r="BS36" s="9" t="s">
        <v>53</v>
      </c>
      <c r="BU36" s="9" t="s">
        <v>53</v>
      </c>
      <c r="BW36" s="9" t="s">
        <v>612</v>
      </c>
      <c r="BX36" s="9" t="s">
        <v>3986</v>
      </c>
      <c r="BY36" s="9" t="s">
        <v>25</v>
      </c>
      <c r="CD36" s="9" t="s">
        <v>4414</v>
      </c>
      <c r="CF36" s="9" t="s">
        <v>4415</v>
      </c>
      <c r="CH36" s="9" t="s">
        <v>3637</v>
      </c>
      <c r="CJ36" s="9" t="s">
        <v>3808</v>
      </c>
      <c r="CL36" s="9" t="s">
        <v>3808</v>
      </c>
      <c r="CN36" s="9" t="s">
        <v>3937</v>
      </c>
      <c r="CP36" s="9" t="s">
        <v>3287</v>
      </c>
      <c r="CR36" s="9" t="s">
        <v>25</v>
      </c>
      <c r="CY36" s="9" t="s">
        <v>3287</v>
      </c>
      <c r="DA36" s="9" t="s">
        <v>3287</v>
      </c>
      <c r="DC36" s="9" t="s">
        <v>3808</v>
      </c>
      <c r="DE36" s="9" t="s">
        <v>3808</v>
      </c>
      <c r="DG36" s="9" t="s">
        <v>3287</v>
      </c>
      <c r="DI36" s="9" t="s">
        <v>3287</v>
      </c>
      <c r="DK36" s="9" t="s">
        <v>3287</v>
      </c>
      <c r="DM36" s="9" t="s">
        <v>3298</v>
      </c>
      <c r="DO36" s="9" t="s">
        <v>3287</v>
      </c>
      <c r="DQ36" s="9" t="s">
        <v>3287</v>
      </c>
      <c r="DS36" s="9" t="s">
        <v>4416</v>
      </c>
      <c r="DU36" s="9" t="s">
        <v>4334</v>
      </c>
      <c r="DW36" s="9" t="s">
        <v>4417</v>
      </c>
      <c r="DX36" s="9" t="s">
        <v>4418</v>
      </c>
      <c r="DY36" s="9" t="s">
        <v>3287</v>
      </c>
      <c r="EA36" s="9" t="s">
        <v>3287</v>
      </c>
      <c r="EC36" s="9" t="s">
        <v>3287</v>
      </c>
      <c r="EE36" s="9" t="s">
        <v>3287</v>
      </c>
      <c r="EG36" s="9" t="s">
        <v>25</v>
      </c>
      <c r="EY36" s="9" t="s">
        <v>3287</v>
      </c>
      <c r="FA36" s="9" t="s">
        <v>3287</v>
      </c>
      <c r="FC36" s="9" t="s">
        <v>3287</v>
      </c>
      <c r="FE36" s="9" t="s">
        <v>3287</v>
      </c>
      <c r="FG36" s="9" t="s">
        <v>3287</v>
      </c>
      <c r="FI36" s="9" t="s">
        <v>3287</v>
      </c>
      <c r="FK36" s="9" t="s">
        <v>3287</v>
      </c>
      <c r="FM36" s="9" t="s">
        <v>25</v>
      </c>
      <c r="FU36" s="9" t="s">
        <v>25</v>
      </c>
      <c r="FW36" s="9" t="s">
        <v>3287</v>
      </c>
      <c r="FY36" s="9" t="s">
        <v>612</v>
      </c>
      <c r="FZ36" s="9" t="s">
        <v>4419</v>
      </c>
      <c r="GA36" s="9" t="s">
        <v>4420</v>
      </c>
      <c r="GC36" s="9" t="s">
        <v>3689</v>
      </c>
      <c r="GE36" s="9" t="s">
        <v>3689</v>
      </c>
      <c r="GG36" s="9" t="s">
        <v>3611</v>
      </c>
      <c r="GI36" s="9" t="s">
        <v>612</v>
      </c>
      <c r="GJ36" s="9" t="s">
        <v>3512</v>
      </c>
      <c r="GK36" s="9" t="s">
        <v>25</v>
      </c>
      <c r="GS36" s="9" t="s">
        <v>53</v>
      </c>
      <c r="GU36" s="9" t="s">
        <v>53</v>
      </c>
      <c r="GW36" s="9" t="s">
        <v>3287</v>
      </c>
      <c r="GY36" s="9" t="s">
        <v>3287</v>
      </c>
      <c r="HA36" s="9" t="s">
        <v>3808</v>
      </c>
      <c r="HC36" s="9" t="s">
        <v>25</v>
      </c>
      <c r="HI36" s="9" t="s">
        <v>929</v>
      </c>
      <c r="HK36" s="9" t="s">
        <v>1265</v>
      </c>
      <c r="HM36" s="9" t="s">
        <v>612</v>
      </c>
      <c r="HN36" s="9" t="s">
        <v>3372</v>
      </c>
      <c r="HO36" s="9" t="s">
        <v>3287</v>
      </c>
      <c r="HQ36" s="9" t="s">
        <v>3347</v>
      </c>
      <c r="HS36" s="9" t="s">
        <v>3287</v>
      </c>
      <c r="HU36" s="9" t="s">
        <v>1265</v>
      </c>
      <c r="HW36" s="9" t="s">
        <v>3287</v>
      </c>
      <c r="HY36" s="9" t="s">
        <v>25</v>
      </c>
      <c r="IH36" s="9" t="s">
        <v>612</v>
      </c>
      <c r="II36" s="9" t="s">
        <v>3512</v>
      </c>
      <c r="IJ36" s="9" t="s">
        <v>3323</v>
      </c>
      <c r="IL36" s="9" t="s">
        <v>612</v>
      </c>
      <c r="IM36" s="9" t="s">
        <v>3512</v>
      </c>
      <c r="IN36" s="9" t="s">
        <v>612</v>
      </c>
      <c r="IO36" s="9" t="s">
        <v>3512</v>
      </c>
      <c r="IP36" s="9" t="s">
        <v>612</v>
      </c>
      <c r="IQ36" s="9" t="s">
        <v>3512</v>
      </c>
      <c r="IR36" s="9" t="s">
        <v>612</v>
      </c>
      <c r="IS36" s="9" t="s">
        <v>3512</v>
      </c>
      <c r="IT36" s="9" t="s">
        <v>612</v>
      </c>
      <c r="IU36" s="9" t="s">
        <v>4421</v>
      </c>
      <c r="IV36" s="9" t="s">
        <v>25</v>
      </c>
      <c r="JD36" s="9" t="s">
        <v>3718</v>
      </c>
      <c r="JE36" s="9" t="s">
        <v>4421</v>
      </c>
      <c r="JF36" s="9" t="s">
        <v>3287</v>
      </c>
      <c r="JH36" s="9" t="s">
        <v>3287</v>
      </c>
      <c r="JJ36" s="9" t="s">
        <v>3287</v>
      </c>
      <c r="JL36" s="9" t="s">
        <v>3287</v>
      </c>
      <c r="JN36" s="9" t="s">
        <v>3287</v>
      </c>
      <c r="JP36" s="9" t="s">
        <v>3287</v>
      </c>
      <c r="JR36" s="9" t="s">
        <v>25</v>
      </c>
      <c r="JZ36" s="9" t="s">
        <v>3287</v>
      </c>
      <c r="KB36" s="9" t="s">
        <v>3287</v>
      </c>
      <c r="KD36" s="9" t="s">
        <v>3457</v>
      </c>
      <c r="KF36" s="9" t="s">
        <v>3287</v>
      </c>
      <c r="KH36" s="9" t="s">
        <v>3287</v>
      </c>
      <c r="KJ36" s="9" t="s">
        <v>3287</v>
      </c>
      <c r="KL36" s="9" t="s">
        <v>612</v>
      </c>
      <c r="KM36" s="9" t="s">
        <v>4422</v>
      </c>
      <c r="KN36" s="9" t="s">
        <v>3329</v>
      </c>
      <c r="KP36" s="9" t="s">
        <v>3287</v>
      </c>
      <c r="KR36" s="9" t="s">
        <v>25</v>
      </c>
      <c r="LB36" s="9" t="s">
        <v>3287</v>
      </c>
      <c r="LD36" s="9" t="s">
        <v>3287</v>
      </c>
      <c r="LF36" s="9" t="s">
        <v>3287</v>
      </c>
      <c r="LH36" s="9" t="s">
        <v>3287</v>
      </c>
      <c r="LJ36" s="9" t="s">
        <v>3287</v>
      </c>
      <c r="LL36" s="9" t="s">
        <v>3287</v>
      </c>
      <c r="LN36" s="9" t="s">
        <v>3287</v>
      </c>
      <c r="LP36" s="9" t="s">
        <v>3287</v>
      </c>
      <c r="LR36" s="9" t="s">
        <v>25</v>
      </c>
      <c r="MA36" s="9" t="s">
        <v>4423</v>
      </c>
    </row>
    <row r="37" spans="1:339" ht="76.5" x14ac:dyDescent="0.2">
      <c r="A37" s="8" t="s">
        <v>158</v>
      </c>
      <c r="B37" s="9" t="s">
        <v>28</v>
      </c>
      <c r="C37" s="9" t="s">
        <v>28</v>
      </c>
      <c r="I37" s="9" t="s">
        <v>28</v>
      </c>
      <c r="L37" s="9" t="s">
        <v>3279</v>
      </c>
      <c r="N37" s="9" t="s">
        <v>3279</v>
      </c>
      <c r="P37" s="9" t="s">
        <v>3564</v>
      </c>
      <c r="R37" s="9" t="s">
        <v>3279</v>
      </c>
      <c r="T37" s="9" t="s">
        <v>3279</v>
      </c>
      <c r="V37" s="9" t="s">
        <v>3279</v>
      </c>
      <c r="X37" s="9" t="s">
        <v>25</v>
      </c>
      <c r="AE37" s="9" t="s">
        <v>3285</v>
      </c>
      <c r="AG37" s="9" t="s">
        <v>3285</v>
      </c>
      <c r="AI37" s="9" t="s">
        <v>3285</v>
      </c>
      <c r="AK37" s="9" t="s">
        <v>3285</v>
      </c>
      <c r="AM37" s="9" t="s">
        <v>3285</v>
      </c>
      <c r="AO37" s="9" t="s">
        <v>3285</v>
      </c>
      <c r="AQ37" s="9" t="s">
        <v>3589</v>
      </c>
      <c r="AS37" s="9" t="s">
        <v>3287</v>
      </c>
      <c r="AU37" s="9" t="s">
        <v>25</v>
      </c>
      <c r="BL37" s="9" t="s">
        <v>25</v>
      </c>
      <c r="BQ37" s="9" t="s">
        <v>53</v>
      </c>
      <c r="BS37" s="9" t="s">
        <v>3341</v>
      </c>
      <c r="BU37" s="9" t="s">
        <v>3279</v>
      </c>
      <c r="BW37" s="9" t="s">
        <v>3589</v>
      </c>
      <c r="BY37" s="9" t="s">
        <v>25</v>
      </c>
      <c r="CD37" s="9" t="s">
        <v>13584</v>
      </c>
      <c r="CF37" s="9" t="s">
        <v>3546</v>
      </c>
      <c r="CH37" s="9" t="s">
        <v>3412</v>
      </c>
      <c r="CJ37" s="9" t="s">
        <v>3292</v>
      </c>
      <c r="CL37" s="9" t="s">
        <v>3293</v>
      </c>
      <c r="CP37" s="9" t="s">
        <v>3287</v>
      </c>
      <c r="CR37" s="9" t="s">
        <v>25</v>
      </c>
      <c r="CY37" s="9" t="s">
        <v>3413</v>
      </c>
      <c r="DA37" s="9" t="s">
        <v>4099</v>
      </c>
      <c r="DC37" s="9" t="s">
        <v>3297</v>
      </c>
      <c r="DE37" s="9" t="s">
        <v>4100</v>
      </c>
      <c r="DG37" s="9" t="s">
        <v>14003</v>
      </c>
      <c r="DI37" s="9" t="s">
        <v>3834</v>
      </c>
      <c r="DK37" s="9" t="s">
        <v>3287</v>
      </c>
      <c r="DM37" s="9" t="s">
        <v>3287</v>
      </c>
      <c r="DO37" s="9" t="s">
        <v>3287</v>
      </c>
      <c r="DQ37" s="9" t="s">
        <v>3287</v>
      </c>
      <c r="DS37" s="9" t="s">
        <v>3297</v>
      </c>
      <c r="DU37" s="9" t="s">
        <v>4101</v>
      </c>
      <c r="DW37" s="9" t="s">
        <v>4102</v>
      </c>
      <c r="DY37" s="9" t="s">
        <v>3297</v>
      </c>
      <c r="EA37" s="9" t="s">
        <v>4103</v>
      </c>
      <c r="EC37" s="9" t="s">
        <v>4104</v>
      </c>
      <c r="EE37" s="9" t="s">
        <v>3638</v>
      </c>
      <c r="EG37" s="9" t="s">
        <v>28</v>
      </c>
      <c r="ET37" s="9" t="s">
        <v>4105</v>
      </c>
      <c r="EV37" s="9" t="s">
        <v>3503</v>
      </c>
      <c r="EY37" s="9" t="s">
        <v>4106</v>
      </c>
      <c r="FA37" s="9" t="s">
        <v>3287</v>
      </c>
      <c r="FC37" s="9" t="s">
        <v>3287</v>
      </c>
      <c r="FE37" s="9" t="s">
        <v>3311</v>
      </c>
      <c r="FG37" s="9" t="s">
        <v>4107</v>
      </c>
      <c r="FI37" s="9" t="s">
        <v>4108</v>
      </c>
      <c r="FK37" s="9" t="s">
        <v>3287</v>
      </c>
      <c r="FM37" s="9" t="s">
        <v>28</v>
      </c>
      <c r="FO37" s="9" t="s">
        <v>4109</v>
      </c>
      <c r="FS37" s="9" t="s">
        <v>4110</v>
      </c>
      <c r="FU37" s="9" t="s">
        <v>28</v>
      </c>
      <c r="FV37" s="9" t="s">
        <v>4111</v>
      </c>
      <c r="FW37" s="9" t="s">
        <v>4112</v>
      </c>
      <c r="FX37" s="9" t="s">
        <v>4113</v>
      </c>
      <c r="FY37" s="9" t="s">
        <v>3287</v>
      </c>
      <c r="GA37" s="9" t="s">
        <v>4114</v>
      </c>
      <c r="GC37" s="9" t="s">
        <v>3317</v>
      </c>
      <c r="GE37" s="9" t="s">
        <v>3317</v>
      </c>
      <c r="GG37" s="9" t="s">
        <v>3317</v>
      </c>
      <c r="GI37" s="9" t="s">
        <v>3560</v>
      </c>
      <c r="GK37" s="9" t="s">
        <v>25</v>
      </c>
      <c r="GS37" s="9" t="s">
        <v>3589</v>
      </c>
      <c r="GU37" s="9" t="s">
        <v>3589</v>
      </c>
      <c r="GW37" s="9" t="s">
        <v>3589</v>
      </c>
      <c r="GY37" s="9" t="s">
        <v>3589</v>
      </c>
      <c r="HA37" s="9" t="s">
        <v>3589</v>
      </c>
      <c r="HC37" s="9" t="s">
        <v>25</v>
      </c>
      <c r="HI37" s="9" t="s">
        <v>929</v>
      </c>
      <c r="HK37" s="9" t="s">
        <v>3589</v>
      </c>
      <c r="HM37" s="9" t="s">
        <v>3589</v>
      </c>
      <c r="HO37" s="9" t="s">
        <v>3279</v>
      </c>
      <c r="HQ37" s="9" t="s">
        <v>3348</v>
      </c>
      <c r="HS37" s="9" t="s">
        <v>3279</v>
      </c>
      <c r="HU37" s="9" t="s">
        <v>3287</v>
      </c>
      <c r="HW37" s="9" t="s">
        <v>3589</v>
      </c>
      <c r="HY37" s="9" t="s">
        <v>25</v>
      </c>
      <c r="IH37" s="9" t="s">
        <v>4115</v>
      </c>
      <c r="IJ37" s="9" t="s">
        <v>3323</v>
      </c>
      <c r="IL37" s="9" t="s">
        <v>3350</v>
      </c>
      <c r="IN37" s="9" t="s">
        <v>3350</v>
      </c>
      <c r="IP37" s="9" t="s">
        <v>3453</v>
      </c>
      <c r="IR37" s="9" t="s">
        <v>3373</v>
      </c>
      <c r="IT37" s="9" t="s">
        <v>4116</v>
      </c>
      <c r="IV37" s="9" t="s">
        <v>25</v>
      </c>
      <c r="JD37" s="9" t="s">
        <v>3520</v>
      </c>
      <c r="JF37" s="9" t="s">
        <v>3520</v>
      </c>
      <c r="JH37" s="9" t="s">
        <v>3520</v>
      </c>
      <c r="JJ37" s="9" t="s">
        <v>3520</v>
      </c>
      <c r="JL37" s="9" t="s">
        <v>4117</v>
      </c>
      <c r="JM37" s="9" t="s">
        <v>2205</v>
      </c>
      <c r="JN37" s="9" t="s">
        <v>4118</v>
      </c>
      <c r="JO37" s="9" t="s">
        <v>2205</v>
      </c>
      <c r="JP37" s="9" t="s">
        <v>3287</v>
      </c>
      <c r="JR37" s="9" t="s">
        <v>25</v>
      </c>
      <c r="JZ37" s="9" t="s">
        <v>3287</v>
      </c>
      <c r="KB37" s="9" t="s">
        <v>3328</v>
      </c>
      <c r="KD37" s="9" t="s">
        <v>4119</v>
      </c>
      <c r="KF37" s="9" t="s">
        <v>3287</v>
      </c>
      <c r="KH37" s="9" t="s">
        <v>3287</v>
      </c>
      <c r="KJ37" s="9" t="s">
        <v>3404</v>
      </c>
      <c r="KL37" s="9" t="s">
        <v>3287</v>
      </c>
      <c r="KN37" s="9" t="s">
        <v>4120</v>
      </c>
      <c r="KO37" s="9" t="s">
        <v>4028</v>
      </c>
      <c r="KP37" s="9" t="s">
        <v>3332</v>
      </c>
      <c r="KR37" s="9" t="s">
        <v>25</v>
      </c>
      <c r="LB37" s="9" t="s">
        <v>4121</v>
      </c>
      <c r="LD37" s="9" t="s">
        <v>3817</v>
      </c>
      <c r="LF37" s="9" t="s">
        <v>4122</v>
      </c>
      <c r="LH37" s="9" t="s">
        <v>3883</v>
      </c>
      <c r="LJ37" s="9" t="s">
        <v>4123</v>
      </c>
      <c r="LL37" s="9" t="s">
        <v>3587</v>
      </c>
      <c r="LN37" s="9" t="s">
        <v>3467</v>
      </c>
      <c r="LP37" s="9" t="s">
        <v>3287</v>
      </c>
      <c r="LR37" s="9" t="s">
        <v>25</v>
      </c>
      <c r="MA37" s="9" t="s">
        <v>14599</v>
      </c>
    </row>
    <row r="38" spans="1:339" ht="38.25" x14ac:dyDescent="0.2">
      <c r="A38" s="8" t="s">
        <v>150</v>
      </c>
      <c r="B38" s="9" t="s">
        <v>25</v>
      </c>
      <c r="C38" s="9" t="s">
        <v>25</v>
      </c>
      <c r="D38" s="9" t="s">
        <v>25</v>
      </c>
      <c r="E38" s="9" t="s">
        <v>25</v>
      </c>
      <c r="F38" s="9" t="s">
        <v>25</v>
      </c>
      <c r="G38" s="9" t="s">
        <v>28</v>
      </c>
      <c r="H38" s="9" t="s">
        <v>25</v>
      </c>
      <c r="I38" s="9" t="s">
        <v>28</v>
      </c>
      <c r="J38" s="9" t="s">
        <v>25</v>
      </c>
      <c r="L38" s="9" t="s">
        <v>3962</v>
      </c>
      <c r="N38" s="9" t="s">
        <v>3287</v>
      </c>
      <c r="P38" s="9" t="s">
        <v>3963</v>
      </c>
      <c r="R38" s="9" t="s">
        <v>3964</v>
      </c>
      <c r="T38" s="9" t="s">
        <v>3964</v>
      </c>
      <c r="V38" s="9" t="s">
        <v>3964</v>
      </c>
      <c r="X38" s="9" t="s">
        <v>25</v>
      </c>
      <c r="AE38" s="9" t="s">
        <v>3965</v>
      </c>
      <c r="AG38" s="9" t="s">
        <v>3965</v>
      </c>
      <c r="AI38" s="9" t="s">
        <v>3965</v>
      </c>
      <c r="AK38" s="9" t="s">
        <v>3965</v>
      </c>
      <c r="AM38" s="9" t="s">
        <v>3339</v>
      </c>
      <c r="AO38" s="9" t="s">
        <v>3287</v>
      </c>
      <c r="AQ38" s="9" t="s">
        <v>3589</v>
      </c>
      <c r="AS38" s="9" t="s">
        <v>3287</v>
      </c>
      <c r="AU38" s="9" t="s">
        <v>25</v>
      </c>
      <c r="BD38" s="9" t="s">
        <v>3342</v>
      </c>
      <c r="BF38" s="9" t="s">
        <v>3342</v>
      </c>
      <c r="BH38" s="9" t="s">
        <v>3342</v>
      </c>
      <c r="BJ38" s="9" t="s">
        <v>3342</v>
      </c>
      <c r="BL38" s="9" t="s">
        <v>25</v>
      </c>
      <c r="BQ38" s="9" t="s">
        <v>3820</v>
      </c>
      <c r="BS38" s="9" t="s">
        <v>3341</v>
      </c>
      <c r="BU38" s="9" t="s">
        <v>3287</v>
      </c>
      <c r="BW38" s="9" t="s">
        <v>3589</v>
      </c>
      <c r="BY38" s="9" t="s">
        <v>25</v>
      </c>
      <c r="CD38" s="9" t="s">
        <v>3358</v>
      </c>
      <c r="CF38" s="9" t="s">
        <v>3966</v>
      </c>
      <c r="CH38" s="9" t="s">
        <v>3887</v>
      </c>
      <c r="CJ38" s="9" t="s">
        <v>3292</v>
      </c>
      <c r="CL38" s="9" t="s">
        <v>3293</v>
      </c>
      <c r="CN38" s="9" t="s">
        <v>3361</v>
      </c>
      <c r="CP38" s="9" t="s">
        <v>3386</v>
      </c>
      <c r="CR38" s="9" t="s">
        <v>25</v>
      </c>
      <c r="CY38" s="9" t="s">
        <v>612</v>
      </c>
      <c r="CZ38" s="9" t="s">
        <v>3967</v>
      </c>
      <c r="DA38" s="9" t="s">
        <v>3589</v>
      </c>
      <c r="DC38" s="9" t="s">
        <v>3297</v>
      </c>
      <c r="DE38" s="9" t="s">
        <v>3297</v>
      </c>
      <c r="DG38" s="9" t="s">
        <v>3287</v>
      </c>
      <c r="DI38" s="9" t="s">
        <v>3287</v>
      </c>
      <c r="DK38" s="9" t="s">
        <v>3287</v>
      </c>
      <c r="DM38" s="9" t="s">
        <v>3287</v>
      </c>
      <c r="DO38" s="9" t="s">
        <v>3287</v>
      </c>
      <c r="DQ38" s="9" t="s">
        <v>3287</v>
      </c>
      <c r="DS38" s="9" t="s">
        <v>3297</v>
      </c>
      <c r="DU38" s="9" t="s">
        <v>3968</v>
      </c>
      <c r="DW38" s="9" t="s">
        <v>3969</v>
      </c>
      <c r="DY38" s="9" t="s">
        <v>3287</v>
      </c>
      <c r="EA38" s="9" t="s">
        <v>3287</v>
      </c>
      <c r="EC38" s="9" t="s">
        <v>3970</v>
      </c>
      <c r="EE38" s="9" t="s">
        <v>3546</v>
      </c>
      <c r="EG38" s="9" t="s">
        <v>28</v>
      </c>
      <c r="EL38" s="9" t="s">
        <v>3971</v>
      </c>
      <c r="EO38" s="9" t="s">
        <v>3415</v>
      </c>
      <c r="EY38" s="9" t="s">
        <v>612</v>
      </c>
      <c r="EZ38" s="9" t="s">
        <v>3972</v>
      </c>
      <c r="FA38" s="9" t="s">
        <v>612</v>
      </c>
      <c r="FB38" s="9" t="s">
        <v>3972</v>
      </c>
      <c r="FC38" s="9" t="s">
        <v>612</v>
      </c>
      <c r="FD38" s="9" t="s">
        <v>3972</v>
      </c>
      <c r="FE38" s="9" t="s">
        <v>3287</v>
      </c>
      <c r="FG38" s="9" t="s">
        <v>3287</v>
      </c>
      <c r="FI38" s="9" t="s">
        <v>3287</v>
      </c>
      <c r="FK38" s="9" t="s">
        <v>3287</v>
      </c>
      <c r="FM38" s="9" t="s">
        <v>25</v>
      </c>
      <c r="FU38" s="9" t="s">
        <v>28</v>
      </c>
      <c r="FV38" s="9" t="s">
        <v>3972</v>
      </c>
      <c r="FW38" s="9" t="s">
        <v>3449</v>
      </c>
      <c r="FX38" s="9" t="s">
        <v>3973</v>
      </c>
      <c r="FY38" s="9" t="s">
        <v>3287</v>
      </c>
      <c r="GA38" s="9" t="s">
        <v>3317</v>
      </c>
      <c r="GC38" s="9" t="s">
        <v>3317</v>
      </c>
      <c r="GE38" s="9" t="s">
        <v>3317</v>
      </c>
      <c r="GG38" s="9" t="s">
        <v>3317</v>
      </c>
      <c r="GI38" s="9" t="s">
        <v>3287</v>
      </c>
      <c r="GK38" s="9" t="s">
        <v>25</v>
      </c>
      <c r="GS38" s="9" t="s">
        <v>3589</v>
      </c>
      <c r="GU38" s="9" t="s">
        <v>3589</v>
      </c>
      <c r="GW38" s="9" t="s">
        <v>3589</v>
      </c>
      <c r="GY38" s="9" t="s">
        <v>3589</v>
      </c>
      <c r="HA38" s="9" t="s">
        <v>3974</v>
      </c>
      <c r="HC38" s="9" t="s">
        <v>25</v>
      </c>
      <c r="HI38" s="9" t="s">
        <v>929</v>
      </c>
      <c r="HK38" s="9" t="s">
        <v>929</v>
      </c>
      <c r="HM38" s="9" t="s">
        <v>3589</v>
      </c>
      <c r="HO38" s="9" t="s">
        <v>3339</v>
      </c>
      <c r="HQ38" s="9" t="s">
        <v>3348</v>
      </c>
      <c r="HS38" s="9" t="s">
        <v>3348</v>
      </c>
      <c r="HU38" s="9" t="s">
        <v>929</v>
      </c>
      <c r="HW38" s="9" t="s">
        <v>3975</v>
      </c>
      <c r="HY38" s="9" t="s">
        <v>25</v>
      </c>
      <c r="IH38" s="9" t="s">
        <v>3397</v>
      </c>
      <c r="IJ38" s="9" t="s">
        <v>3380</v>
      </c>
      <c r="IL38" s="9" t="s">
        <v>3976</v>
      </c>
      <c r="IN38" s="9" t="s">
        <v>612</v>
      </c>
      <c r="IO38" s="9" t="s">
        <v>3536</v>
      </c>
      <c r="IP38" s="9" t="s">
        <v>612</v>
      </c>
      <c r="IQ38" s="9" t="s">
        <v>3536</v>
      </c>
      <c r="IR38" s="9" t="s">
        <v>612</v>
      </c>
      <c r="IS38" s="9" t="s">
        <v>3536</v>
      </c>
      <c r="IT38" s="9" t="s">
        <v>3513</v>
      </c>
      <c r="IV38" s="9" t="s">
        <v>25</v>
      </c>
      <c r="JD38" s="9" t="s">
        <v>3347</v>
      </c>
      <c r="JF38" s="9" t="s">
        <v>3347</v>
      </c>
      <c r="JH38" s="9" t="s">
        <v>3347</v>
      </c>
      <c r="JJ38" s="9" t="s">
        <v>3347</v>
      </c>
      <c r="JL38" s="9" t="s">
        <v>3347</v>
      </c>
      <c r="JN38" s="9" t="s">
        <v>3347</v>
      </c>
      <c r="JP38" s="9" t="s">
        <v>3287</v>
      </c>
      <c r="JR38" s="9" t="s">
        <v>25</v>
      </c>
      <c r="JZ38" s="9" t="s">
        <v>3397</v>
      </c>
      <c r="KB38" s="9" t="s">
        <v>3397</v>
      </c>
      <c r="KD38" s="9" t="s">
        <v>3397</v>
      </c>
      <c r="KF38" s="9" t="s">
        <v>3287</v>
      </c>
      <c r="KH38" s="9" t="s">
        <v>3347</v>
      </c>
      <c r="KJ38" s="9" t="s">
        <v>3404</v>
      </c>
      <c r="KL38" s="9" t="s">
        <v>3287</v>
      </c>
      <c r="KN38" s="9" t="s">
        <v>3977</v>
      </c>
      <c r="KP38" s="9" t="s">
        <v>3332</v>
      </c>
      <c r="KR38" s="9" t="s">
        <v>25</v>
      </c>
      <c r="LB38" s="9" t="s">
        <v>3287</v>
      </c>
      <c r="LD38" s="9" t="s">
        <v>3287</v>
      </c>
      <c r="LF38" s="9" t="s">
        <v>3287</v>
      </c>
      <c r="LH38" s="9" t="s">
        <v>3287</v>
      </c>
      <c r="LJ38" s="9" t="s">
        <v>3287</v>
      </c>
      <c r="LL38" s="9" t="s">
        <v>3910</v>
      </c>
      <c r="LN38" s="9" t="s">
        <v>3978</v>
      </c>
      <c r="LP38" s="9" t="s">
        <v>3287</v>
      </c>
      <c r="LR38" s="9" t="s">
        <v>28</v>
      </c>
      <c r="LS38" s="9" t="s">
        <v>3979</v>
      </c>
      <c r="LT38" s="9" t="s">
        <v>3980</v>
      </c>
      <c r="LU38" s="9" t="s">
        <v>3981</v>
      </c>
      <c r="LW38" s="9" t="s">
        <v>3982</v>
      </c>
      <c r="MA38" s="9" t="s">
        <v>13590</v>
      </c>
    </row>
    <row r="39" spans="1:339" ht="38.25" x14ac:dyDescent="0.2">
      <c r="A39" s="8" t="s">
        <v>135</v>
      </c>
      <c r="B39" s="9" t="s">
        <v>25</v>
      </c>
      <c r="C39" s="9" t="s">
        <v>25</v>
      </c>
      <c r="E39" s="9" t="s">
        <v>28</v>
      </c>
      <c r="F39" s="9" t="s">
        <v>28</v>
      </c>
      <c r="G39" s="9" t="s">
        <v>25</v>
      </c>
      <c r="H39" s="9" t="s">
        <v>25</v>
      </c>
      <c r="I39" s="9" t="s">
        <v>25</v>
      </c>
      <c r="J39" s="9" t="s">
        <v>28</v>
      </c>
      <c r="K39" s="9" t="s">
        <v>3697</v>
      </c>
      <c r="L39" s="9" t="s">
        <v>3434</v>
      </c>
      <c r="N39" s="9" t="s">
        <v>3381</v>
      </c>
      <c r="P39" s="9" t="s">
        <v>3381</v>
      </c>
      <c r="R39" s="9" t="s">
        <v>3407</v>
      </c>
      <c r="T39" s="9" t="s">
        <v>3698</v>
      </c>
      <c r="V39" s="9" t="s">
        <v>3699</v>
      </c>
      <c r="X39" s="9" t="s">
        <v>25</v>
      </c>
      <c r="AE39" s="9" t="s">
        <v>3700</v>
      </c>
      <c r="AG39" s="9" t="s">
        <v>3701</v>
      </c>
      <c r="AI39" s="9" t="s">
        <v>3700</v>
      </c>
      <c r="AK39" s="9" t="s">
        <v>3700</v>
      </c>
      <c r="AM39" s="9" t="s">
        <v>3589</v>
      </c>
      <c r="AO39" s="9" t="s">
        <v>3287</v>
      </c>
      <c r="AQ39" s="9" t="s">
        <v>3282</v>
      </c>
      <c r="AS39" s="9" t="s">
        <v>3589</v>
      </c>
      <c r="AU39" s="9" t="s">
        <v>28</v>
      </c>
      <c r="AW39" s="9" t="s">
        <v>3285</v>
      </c>
      <c r="BD39" s="9" t="s">
        <v>3287</v>
      </c>
      <c r="BF39" s="9" t="s">
        <v>3287</v>
      </c>
      <c r="BH39" s="9" t="s">
        <v>3287</v>
      </c>
      <c r="BJ39" s="9" t="s">
        <v>3287</v>
      </c>
      <c r="BL39" s="9" t="s">
        <v>25</v>
      </c>
      <c r="BQ39" s="9" t="s">
        <v>53</v>
      </c>
      <c r="BS39" s="9" t="s">
        <v>3341</v>
      </c>
      <c r="BU39" s="9" t="s">
        <v>3702</v>
      </c>
      <c r="BW39" s="9" t="s">
        <v>3377</v>
      </c>
      <c r="BY39" s="9" t="s">
        <v>25</v>
      </c>
      <c r="CD39" s="9" t="s">
        <v>3703</v>
      </c>
      <c r="CE39" s="9" t="s">
        <v>3704</v>
      </c>
      <c r="CF39" s="9" t="s">
        <v>13996</v>
      </c>
      <c r="CH39" s="9" t="s">
        <v>3705</v>
      </c>
      <c r="CJ39" s="9" t="s">
        <v>3706</v>
      </c>
      <c r="CL39" s="9" t="s">
        <v>3707</v>
      </c>
      <c r="CN39" s="9" t="s">
        <v>3421</v>
      </c>
      <c r="CP39" s="9" t="s">
        <v>3287</v>
      </c>
      <c r="CR39" s="9" t="s">
        <v>28</v>
      </c>
      <c r="CS39" s="9" t="s">
        <v>3708</v>
      </c>
      <c r="CY39" s="9" t="s">
        <v>3478</v>
      </c>
      <c r="DA39" s="9" t="s">
        <v>3709</v>
      </c>
      <c r="DC39" s="9" t="s">
        <v>3572</v>
      </c>
      <c r="DG39" s="9" t="s">
        <v>3287</v>
      </c>
      <c r="DI39" s="9" t="s">
        <v>3287</v>
      </c>
      <c r="DK39" s="9" t="s">
        <v>3596</v>
      </c>
      <c r="DM39" s="9" t="s">
        <v>3287</v>
      </c>
      <c r="DO39" s="9" t="s">
        <v>3596</v>
      </c>
      <c r="DQ39" s="9" t="s">
        <v>3287</v>
      </c>
      <c r="DS39" s="9" t="s">
        <v>3710</v>
      </c>
      <c r="DU39" s="9" t="s">
        <v>3417</v>
      </c>
      <c r="DW39" s="9" t="s">
        <v>3501</v>
      </c>
      <c r="DY39" s="9" t="s">
        <v>612</v>
      </c>
      <c r="DZ39" s="9" t="s">
        <v>3711</v>
      </c>
      <c r="EA39" s="9" t="s">
        <v>3503</v>
      </c>
      <c r="EC39" s="9" t="s">
        <v>3712</v>
      </c>
      <c r="ED39" s="9" t="s">
        <v>3347</v>
      </c>
      <c r="EE39" s="9" t="s">
        <v>612</v>
      </c>
      <c r="EF39" s="9" t="s">
        <v>1189</v>
      </c>
      <c r="EG39" s="9" t="s">
        <v>25</v>
      </c>
      <c r="EY39" s="9" t="s">
        <v>3530</v>
      </c>
      <c r="FA39" s="9" t="s">
        <v>3530</v>
      </c>
      <c r="FC39" s="9" t="s">
        <v>3287</v>
      </c>
      <c r="FE39" s="9" t="s">
        <v>3554</v>
      </c>
      <c r="FG39" s="9" t="s">
        <v>3713</v>
      </c>
      <c r="FI39" s="9" t="s">
        <v>3287</v>
      </c>
      <c r="FK39" s="9" t="s">
        <v>3287</v>
      </c>
      <c r="FM39" s="9" t="s">
        <v>25</v>
      </c>
      <c r="FU39" s="9" t="s">
        <v>25</v>
      </c>
      <c r="FW39" s="9" t="s">
        <v>3287</v>
      </c>
      <c r="FY39" s="9" t="s">
        <v>3287</v>
      </c>
      <c r="GA39" s="9" t="s">
        <v>3714</v>
      </c>
      <c r="GC39" s="9" t="s">
        <v>3715</v>
      </c>
      <c r="GE39" s="9" t="s">
        <v>3396</v>
      </c>
      <c r="GG39" s="9" t="s">
        <v>3396</v>
      </c>
      <c r="GI39" s="9" t="s">
        <v>3287</v>
      </c>
      <c r="GK39" s="9" t="s">
        <v>25</v>
      </c>
      <c r="GS39" s="9" t="s">
        <v>3282</v>
      </c>
      <c r="GU39" s="9" t="s">
        <v>3282</v>
      </c>
      <c r="GW39" s="9" t="s">
        <v>3282</v>
      </c>
      <c r="GY39" s="9" t="s">
        <v>3282</v>
      </c>
      <c r="HA39" s="9" t="s">
        <v>3282</v>
      </c>
      <c r="HI39" s="9" t="s">
        <v>3347</v>
      </c>
      <c r="HK39" s="9" t="s">
        <v>3347</v>
      </c>
      <c r="HM39" s="9" t="s">
        <v>3287</v>
      </c>
      <c r="HO39" s="9" t="s">
        <v>3339</v>
      </c>
      <c r="HQ39" s="9" t="s">
        <v>3339</v>
      </c>
      <c r="HS39" s="9" t="s">
        <v>3339</v>
      </c>
      <c r="HU39" s="9" t="s">
        <v>3287</v>
      </c>
      <c r="HW39" s="9" t="s">
        <v>3282</v>
      </c>
      <c r="HY39" s="9" t="s">
        <v>25</v>
      </c>
      <c r="IH39" s="9" t="s">
        <v>3349</v>
      </c>
      <c r="IJ39" s="9" t="s">
        <v>3380</v>
      </c>
      <c r="IL39" s="9" t="s">
        <v>3513</v>
      </c>
      <c r="IN39" s="9" t="s">
        <v>3716</v>
      </c>
      <c r="IP39" s="9" t="s">
        <v>14014</v>
      </c>
      <c r="IR39" s="9" t="s">
        <v>3717</v>
      </c>
      <c r="IT39" s="9" t="s">
        <v>3513</v>
      </c>
      <c r="IV39" s="9" t="s">
        <v>25</v>
      </c>
      <c r="JD39" s="9" t="s">
        <v>3347</v>
      </c>
      <c r="JF39" s="9" t="s">
        <v>3347</v>
      </c>
      <c r="JH39" s="9" t="s">
        <v>3287</v>
      </c>
      <c r="JJ39" s="9" t="s">
        <v>3347</v>
      </c>
      <c r="JL39" s="9" t="s">
        <v>3718</v>
      </c>
      <c r="JM39" s="9" t="s">
        <v>3422</v>
      </c>
      <c r="JN39" s="9" t="s">
        <v>3718</v>
      </c>
      <c r="JO39" s="9" t="s">
        <v>3422</v>
      </c>
      <c r="JP39" s="9" t="s">
        <v>3287</v>
      </c>
      <c r="JR39" s="9" t="s">
        <v>25</v>
      </c>
      <c r="JZ39" s="9" t="s">
        <v>3719</v>
      </c>
      <c r="KB39" s="9" t="s">
        <v>3456</v>
      </c>
      <c r="KD39" s="9" t="s">
        <v>3287</v>
      </c>
      <c r="KF39" s="9" t="s">
        <v>3287</v>
      </c>
      <c r="KH39" s="9" t="s">
        <v>3347</v>
      </c>
      <c r="KJ39" s="9" t="s">
        <v>3287</v>
      </c>
      <c r="KL39" s="9" t="s">
        <v>3720</v>
      </c>
      <c r="KN39" s="9" t="s">
        <v>3721</v>
      </c>
      <c r="KP39" s="9" t="s">
        <v>3332</v>
      </c>
      <c r="KR39" s="9" t="s">
        <v>25</v>
      </c>
      <c r="LB39" s="9" t="s">
        <v>3722</v>
      </c>
      <c r="LD39" s="9" t="s">
        <v>3464</v>
      </c>
      <c r="LF39" s="9" t="s">
        <v>3335</v>
      </c>
      <c r="LH39" s="9" t="s">
        <v>3447</v>
      </c>
      <c r="LJ39" s="9" t="s">
        <v>3487</v>
      </c>
      <c r="LL39" s="9" t="s">
        <v>3587</v>
      </c>
      <c r="LN39" s="9" t="s">
        <v>3723</v>
      </c>
      <c r="LP39" s="9" t="s">
        <v>3287</v>
      </c>
      <c r="LR39" s="9" t="s">
        <v>25</v>
      </c>
      <c r="MA39" s="9" t="s">
        <v>3724</v>
      </c>
    </row>
    <row r="40" spans="1:339" ht="25.5" x14ac:dyDescent="0.2">
      <c r="A40" s="8" t="s">
        <v>137</v>
      </c>
      <c r="B40" s="9" t="s">
        <v>28</v>
      </c>
      <c r="J40" s="9" t="s">
        <v>28</v>
      </c>
      <c r="K40" s="9" t="s">
        <v>3741</v>
      </c>
      <c r="L40" s="9" t="s">
        <v>3377</v>
      </c>
      <c r="N40" s="9" t="s">
        <v>3377</v>
      </c>
      <c r="P40" s="9" t="s">
        <v>3434</v>
      </c>
      <c r="R40" s="9" t="s">
        <v>3347</v>
      </c>
      <c r="T40" s="9" t="s">
        <v>3347</v>
      </c>
      <c r="V40" s="9" t="s">
        <v>3347</v>
      </c>
      <c r="X40" s="9" t="s">
        <v>25</v>
      </c>
      <c r="AE40" s="9" t="s">
        <v>3589</v>
      </c>
      <c r="AG40" s="9" t="s">
        <v>3589</v>
      </c>
      <c r="AI40" s="9" t="s">
        <v>3589</v>
      </c>
      <c r="AK40" s="9" t="s">
        <v>3589</v>
      </c>
      <c r="AM40" s="9" t="s">
        <v>3589</v>
      </c>
      <c r="AO40" s="9" t="s">
        <v>3287</v>
      </c>
      <c r="AQ40" s="9" t="s">
        <v>3589</v>
      </c>
      <c r="AS40" s="9" t="s">
        <v>3589</v>
      </c>
      <c r="AU40" s="9" t="s">
        <v>25</v>
      </c>
      <c r="BD40" s="9" t="s">
        <v>3287</v>
      </c>
      <c r="BF40" s="9" t="s">
        <v>3287</v>
      </c>
      <c r="BH40" s="9" t="s">
        <v>3287</v>
      </c>
      <c r="BJ40" s="9" t="s">
        <v>3287</v>
      </c>
      <c r="BL40" s="9" t="s">
        <v>25</v>
      </c>
      <c r="BQ40" s="9" t="s">
        <v>3589</v>
      </c>
      <c r="BS40" s="9" t="s">
        <v>3287</v>
      </c>
      <c r="BU40" s="9" t="s">
        <v>3619</v>
      </c>
      <c r="BW40" s="9" t="s">
        <v>3589</v>
      </c>
      <c r="BY40" s="9" t="s">
        <v>25</v>
      </c>
      <c r="CD40" s="9" t="s">
        <v>3742</v>
      </c>
      <c r="CF40" s="9" t="s">
        <v>3546</v>
      </c>
      <c r="CH40" s="9" t="s">
        <v>3743</v>
      </c>
      <c r="CJ40" s="9" t="s">
        <v>3744</v>
      </c>
      <c r="CL40" s="9" t="s">
        <v>3707</v>
      </c>
      <c r="CN40" s="9" t="s">
        <v>3287</v>
      </c>
      <c r="CP40" s="9" t="s">
        <v>3287</v>
      </c>
      <c r="CR40" s="9" t="s">
        <v>28</v>
      </c>
      <c r="CT40" s="9" t="s">
        <v>3745</v>
      </c>
      <c r="CY40" s="9" t="s">
        <v>3478</v>
      </c>
      <c r="DA40" s="9" t="s">
        <v>3478</v>
      </c>
      <c r="DC40" s="9" t="s">
        <v>3478</v>
      </c>
      <c r="DE40" s="9" t="s">
        <v>3478</v>
      </c>
      <c r="DG40" s="9" t="s">
        <v>3287</v>
      </c>
      <c r="DI40" s="9" t="s">
        <v>3287</v>
      </c>
      <c r="DK40" s="9" t="s">
        <v>3415</v>
      </c>
      <c r="DM40" s="9" t="s">
        <v>3415</v>
      </c>
      <c r="DO40" s="9" t="s">
        <v>3287</v>
      </c>
      <c r="DQ40" s="9" t="s">
        <v>3287</v>
      </c>
      <c r="DS40" s="9" t="s">
        <v>3297</v>
      </c>
      <c r="DU40" s="9" t="s">
        <v>3416</v>
      </c>
      <c r="DW40" s="9" t="s">
        <v>3416</v>
      </c>
      <c r="DY40" s="9" t="s">
        <v>3297</v>
      </c>
      <c r="EA40" s="9" t="s">
        <v>3287</v>
      </c>
      <c r="EC40" s="9" t="s">
        <v>3287</v>
      </c>
      <c r="EE40" s="9" t="s">
        <v>612</v>
      </c>
      <c r="EF40" s="9" t="s">
        <v>3746</v>
      </c>
      <c r="EG40" s="9" t="s">
        <v>28</v>
      </c>
      <c r="EX40" s="9" t="s">
        <v>3747</v>
      </c>
      <c r="EY40" s="9" t="s">
        <v>3530</v>
      </c>
      <c r="FA40" s="9" t="s">
        <v>3530</v>
      </c>
      <c r="FC40" s="9" t="s">
        <v>3505</v>
      </c>
      <c r="FE40" s="9" t="s">
        <v>3447</v>
      </c>
      <c r="FG40" s="9" t="s">
        <v>3287</v>
      </c>
      <c r="FI40" s="9" t="s">
        <v>612</v>
      </c>
      <c r="FJ40" s="9" t="s">
        <v>3748</v>
      </c>
      <c r="FK40" s="9" t="s">
        <v>3530</v>
      </c>
      <c r="FM40" s="9" t="s">
        <v>25</v>
      </c>
      <c r="FU40" s="9" t="s">
        <v>28</v>
      </c>
      <c r="FV40" s="9" t="s">
        <v>3749</v>
      </c>
      <c r="FW40" s="9" t="s">
        <v>3556</v>
      </c>
      <c r="FY40" s="9" t="s">
        <v>3287</v>
      </c>
      <c r="GA40" s="9" t="s">
        <v>3750</v>
      </c>
      <c r="GC40" s="9" t="s">
        <v>3419</v>
      </c>
      <c r="GE40" s="9" t="s">
        <v>3317</v>
      </c>
      <c r="GG40" s="9" t="s">
        <v>3317</v>
      </c>
      <c r="GI40" s="9" t="s">
        <v>3314</v>
      </c>
      <c r="GK40" s="9" t="s">
        <v>25</v>
      </c>
      <c r="GS40" s="9" t="s">
        <v>3589</v>
      </c>
      <c r="GU40" s="9" t="s">
        <v>3589</v>
      </c>
      <c r="GW40" s="9" t="s">
        <v>3589</v>
      </c>
      <c r="GY40" s="9" t="s">
        <v>3589</v>
      </c>
      <c r="HA40" s="9" t="s">
        <v>3589</v>
      </c>
      <c r="HC40" s="9" t="s">
        <v>25</v>
      </c>
      <c r="HI40" s="9" t="s">
        <v>929</v>
      </c>
      <c r="HK40" s="9" t="s">
        <v>3751</v>
      </c>
      <c r="HM40" s="9" t="s">
        <v>3589</v>
      </c>
      <c r="HO40" s="9" t="s">
        <v>3589</v>
      </c>
      <c r="HQ40" s="9" t="s">
        <v>3422</v>
      </c>
      <c r="HS40" s="9" t="s">
        <v>3377</v>
      </c>
      <c r="HU40" s="9" t="s">
        <v>3287</v>
      </c>
      <c r="HW40" s="9" t="s">
        <v>3589</v>
      </c>
      <c r="HY40" s="9" t="s">
        <v>25</v>
      </c>
      <c r="IH40" s="9" t="s">
        <v>3349</v>
      </c>
      <c r="IJ40" s="9" t="s">
        <v>3380</v>
      </c>
      <c r="IL40" s="9" t="s">
        <v>3752</v>
      </c>
      <c r="IN40" s="9" t="s">
        <v>3752</v>
      </c>
      <c r="IP40" s="9" t="s">
        <v>3752</v>
      </c>
      <c r="IR40" s="9" t="s">
        <v>3349</v>
      </c>
      <c r="IT40" s="9" t="s">
        <v>3349</v>
      </c>
      <c r="IV40" s="9" t="s">
        <v>25</v>
      </c>
      <c r="JD40" s="9" t="s">
        <v>3347</v>
      </c>
      <c r="JF40" s="9" t="s">
        <v>3347</v>
      </c>
      <c r="JH40" s="9" t="s">
        <v>3287</v>
      </c>
      <c r="JJ40" s="9" t="s">
        <v>3347</v>
      </c>
      <c r="JL40" s="9" t="s">
        <v>3347</v>
      </c>
      <c r="JN40" s="9" t="s">
        <v>3347</v>
      </c>
      <c r="JP40" s="9" t="s">
        <v>3287</v>
      </c>
      <c r="JR40" s="9" t="s">
        <v>25</v>
      </c>
      <c r="JZ40" s="9" t="s">
        <v>3753</v>
      </c>
      <c r="KB40" s="9" t="s">
        <v>3456</v>
      </c>
      <c r="KD40" s="9" t="s">
        <v>3287</v>
      </c>
      <c r="KF40" s="9" t="s">
        <v>3287</v>
      </c>
      <c r="KH40" s="9" t="s">
        <v>3287</v>
      </c>
      <c r="KJ40" s="9" t="s">
        <v>3754</v>
      </c>
      <c r="KL40" s="9" t="s">
        <v>3720</v>
      </c>
      <c r="KN40" s="9" t="s">
        <v>3755</v>
      </c>
      <c r="KP40" s="9" t="s">
        <v>3287</v>
      </c>
      <c r="KR40" s="9" t="s">
        <v>25</v>
      </c>
      <c r="LB40" s="9" t="s">
        <v>3756</v>
      </c>
      <c r="LD40" s="9" t="s">
        <v>3757</v>
      </c>
      <c r="LF40" s="9" t="s">
        <v>3287</v>
      </c>
      <c r="LH40" s="9" t="s">
        <v>3447</v>
      </c>
      <c r="LJ40" s="9" t="s">
        <v>3758</v>
      </c>
      <c r="LL40" s="9" t="s">
        <v>3406</v>
      </c>
      <c r="LN40" s="9" t="s">
        <v>3723</v>
      </c>
      <c r="LP40" s="9" t="s">
        <v>3287</v>
      </c>
      <c r="LR40" s="9" t="s">
        <v>25</v>
      </c>
      <c r="MA40" s="9" t="s">
        <v>3759</v>
      </c>
    </row>
    <row r="41" spans="1:339" ht="38.25" x14ac:dyDescent="0.2">
      <c r="A41" s="8" t="s">
        <v>142</v>
      </c>
      <c r="I41" s="9" t="s">
        <v>28</v>
      </c>
      <c r="J41" s="9" t="s">
        <v>28</v>
      </c>
      <c r="K41" s="9" t="s">
        <v>3823</v>
      </c>
      <c r="L41" s="9" t="s">
        <v>3339</v>
      </c>
      <c r="N41" s="9" t="s">
        <v>3287</v>
      </c>
      <c r="P41" s="9" t="s">
        <v>3470</v>
      </c>
      <c r="R41" s="9" t="s">
        <v>3824</v>
      </c>
      <c r="T41" s="9" t="s">
        <v>3824</v>
      </c>
      <c r="V41" s="9" t="s">
        <v>3824</v>
      </c>
      <c r="X41" s="9" t="s">
        <v>25</v>
      </c>
      <c r="AE41" s="9" t="s">
        <v>3825</v>
      </c>
      <c r="AG41" s="9" t="s">
        <v>3339</v>
      </c>
      <c r="AI41" s="9" t="s">
        <v>3339</v>
      </c>
      <c r="AK41" s="9" t="s">
        <v>3826</v>
      </c>
      <c r="AM41" s="9" t="s">
        <v>3287</v>
      </c>
      <c r="AO41" s="9" t="s">
        <v>3287</v>
      </c>
      <c r="AQ41" s="9" t="s">
        <v>3287</v>
      </c>
      <c r="AS41" s="9" t="s">
        <v>3287</v>
      </c>
      <c r="AU41" s="9" t="s">
        <v>25</v>
      </c>
      <c r="BD41" s="9" t="s">
        <v>3474</v>
      </c>
      <c r="BF41" s="9" t="s">
        <v>3827</v>
      </c>
      <c r="BG41" s="9" t="s">
        <v>3828</v>
      </c>
      <c r="BH41" s="9" t="s">
        <v>3474</v>
      </c>
      <c r="BJ41" s="9" t="s">
        <v>3474</v>
      </c>
      <c r="BL41" s="9" t="s">
        <v>25</v>
      </c>
      <c r="BQ41" s="9" t="s">
        <v>53</v>
      </c>
      <c r="BS41" s="9" t="s">
        <v>3341</v>
      </c>
      <c r="BU41" s="9" t="s">
        <v>3287</v>
      </c>
      <c r="BW41" s="9" t="s">
        <v>3785</v>
      </c>
      <c r="BY41" s="9" t="s">
        <v>25</v>
      </c>
      <c r="CD41" s="9" t="s">
        <v>13584</v>
      </c>
      <c r="CF41" s="9" t="s">
        <v>13586</v>
      </c>
      <c r="CH41" s="9" t="s">
        <v>13586</v>
      </c>
      <c r="CJ41" s="9" t="s">
        <v>3829</v>
      </c>
      <c r="CL41" s="9" t="s">
        <v>3830</v>
      </c>
      <c r="CN41" s="9" t="s">
        <v>612</v>
      </c>
      <c r="CO41" s="9" t="s">
        <v>3831</v>
      </c>
      <c r="CP41" s="9" t="s">
        <v>3287</v>
      </c>
      <c r="CR41" s="9" t="s">
        <v>25</v>
      </c>
      <c r="CY41" s="9" t="s">
        <v>3303</v>
      </c>
      <c r="CZ41" s="9" t="s">
        <v>3832</v>
      </c>
      <c r="DA41" s="9" t="s">
        <v>3571</v>
      </c>
      <c r="DC41" s="9" t="s">
        <v>3789</v>
      </c>
      <c r="DE41" s="9" t="s">
        <v>3833</v>
      </c>
      <c r="DF41" s="9" t="s">
        <v>3657</v>
      </c>
      <c r="DG41" s="9" t="s">
        <v>14003</v>
      </c>
      <c r="DI41" s="9" t="s">
        <v>612</v>
      </c>
      <c r="DJ41" s="9" t="s">
        <v>3658</v>
      </c>
      <c r="DK41" s="9" t="s">
        <v>3287</v>
      </c>
      <c r="DM41" s="9" t="s">
        <v>3287</v>
      </c>
      <c r="DO41" s="9" t="s">
        <v>3287</v>
      </c>
      <c r="DQ41" s="9" t="s">
        <v>3287</v>
      </c>
      <c r="DS41" s="9" t="s">
        <v>3297</v>
      </c>
      <c r="DU41" s="9" t="s">
        <v>3417</v>
      </c>
      <c r="DW41" s="9" t="s">
        <v>3287</v>
      </c>
      <c r="DY41" s="9" t="s">
        <v>3835</v>
      </c>
      <c r="DZ41" s="9" t="s">
        <v>3836</v>
      </c>
      <c r="EA41" s="9" t="s">
        <v>3303</v>
      </c>
      <c r="EB41" s="9" t="s">
        <v>3837</v>
      </c>
      <c r="EC41" s="9" t="s">
        <v>3364</v>
      </c>
      <c r="EE41" s="9" t="s">
        <v>3504</v>
      </c>
      <c r="EG41" s="9" t="s">
        <v>25</v>
      </c>
      <c r="EY41" s="9" t="s">
        <v>3530</v>
      </c>
      <c r="FA41" s="9" t="s">
        <v>3838</v>
      </c>
      <c r="FC41" s="9" t="s">
        <v>3530</v>
      </c>
      <c r="FE41" s="9" t="s">
        <v>3839</v>
      </c>
      <c r="FG41" s="9" t="s">
        <v>3531</v>
      </c>
      <c r="FI41" s="9" t="s">
        <v>3840</v>
      </c>
      <c r="FK41" s="9" t="s">
        <v>3530</v>
      </c>
      <c r="FM41" s="9" t="s">
        <v>28</v>
      </c>
      <c r="FS41" s="9" t="s">
        <v>3840</v>
      </c>
      <c r="FU41" s="9" t="s">
        <v>28</v>
      </c>
      <c r="FV41" s="9" t="s">
        <v>3530</v>
      </c>
      <c r="FW41" s="9" t="s">
        <v>612</v>
      </c>
      <c r="FX41" s="9" t="s">
        <v>3841</v>
      </c>
      <c r="FY41" s="9" t="s">
        <v>3287</v>
      </c>
      <c r="GA41" s="9" t="s">
        <v>3842</v>
      </c>
      <c r="GC41" s="9" t="s">
        <v>3611</v>
      </c>
      <c r="GE41" s="9" t="s">
        <v>3611</v>
      </c>
      <c r="GG41" s="9" t="s">
        <v>3611</v>
      </c>
      <c r="GI41" s="9" t="s">
        <v>3397</v>
      </c>
      <c r="GK41" s="9" t="s">
        <v>25</v>
      </c>
      <c r="GS41" s="9" t="s">
        <v>3398</v>
      </c>
      <c r="GU41" s="9" t="s">
        <v>3398</v>
      </c>
      <c r="GW41" s="9" t="s">
        <v>3398</v>
      </c>
      <c r="GY41" s="9" t="s">
        <v>3398</v>
      </c>
      <c r="HA41" s="9" t="s">
        <v>3843</v>
      </c>
      <c r="HC41" s="9" t="s">
        <v>25</v>
      </c>
      <c r="HI41" s="9" t="s">
        <v>3718</v>
      </c>
      <c r="HJ41" s="9" t="s">
        <v>3844</v>
      </c>
      <c r="HK41" s="9" t="s">
        <v>3845</v>
      </c>
      <c r="HL41" s="9" t="s">
        <v>3846</v>
      </c>
      <c r="HM41" s="9" t="s">
        <v>612</v>
      </c>
      <c r="HN41" s="9" t="s">
        <v>3847</v>
      </c>
      <c r="HO41" s="9" t="s">
        <v>3287</v>
      </c>
      <c r="HQ41" s="9" t="s">
        <v>3348</v>
      </c>
      <c r="HS41" s="9" t="s">
        <v>3348</v>
      </c>
      <c r="HU41" s="9" t="s">
        <v>3845</v>
      </c>
      <c r="HV41" s="9" t="s">
        <v>3846</v>
      </c>
      <c r="HW41" s="9" t="s">
        <v>3287</v>
      </c>
      <c r="HY41" s="9" t="s">
        <v>28</v>
      </c>
      <c r="HZ41" s="9" t="s">
        <v>859</v>
      </c>
      <c r="IA41" s="9" t="s">
        <v>859</v>
      </c>
      <c r="IF41" s="9" t="s">
        <v>859</v>
      </c>
      <c r="IH41" s="9" t="s">
        <v>612</v>
      </c>
      <c r="II41" s="9" t="s">
        <v>3512</v>
      </c>
      <c r="IJ41" s="9" t="s">
        <v>3323</v>
      </c>
      <c r="IL41" s="9" t="s">
        <v>612</v>
      </c>
      <c r="IM41" s="9" t="s">
        <v>3512</v>
      </c>
      <c r="IN41" s="9" t="s">
        <v>612</v>
      </c>
      <c r="IO41" s="9" t="s">
        <v>3512</v>
      </c>
      <c r="IP41" s="9" t="s">
        <v>612</v>
      </c>
      <c r="IQ41" s="9" t="s">
        <v>3512</v>
      </c>
      <c r="IR41" s="9" t="s">
        <v>612</v>
      </c>
      <c r="IS41" s="9" t="s">
        <v>3512</v>
      </c>
      <c r="IT41" s="9" t="s">
        <v>3514</v>
      </c>
      <c r="IV41" s="9" t="s">
        <v>25</v>
      </c>
      <c r="JD41" s="9" t="s">
        <v>3347</v>
      </c>
      <c r="JF41" s="9" t="s">
        <v>3425</v>
      </c>
      <c r="JH41" s="9" t="s">
        <v>3606</v>
      </c>
      <c r="JJ41" s="9" t="s">
        <v>3718</v>
      </c>
      <c r="JK41" s="9" t="s">
        <v>2205</v>
      </c>
      <c r="JL41" s="9" t="s">
        <v>3848</v>
      </c>
      <c r="JN41" s="9" t="s">
        <v>3718</v>
      </c>
      <c r="JO41" s="9" t="s">
        <v>2205</v>
      </c>
      <c r="JP41" s="9" t="s">
        <v>3287</v>
      </c>
      <c r="JR41" s="9" t="s">
        <v>25</v>
      </c>
      <c r="JZ41" s="9" t="s">
        <v>3397</v>
      </c>
      <c r="KB41" s="9" t="s">
        <v>3328</v>
      </c>
      <c r="KD41" s="9" t="s">
        <v>612</v>
      </c>
      <c r="KE41" s="9" t="s">
        <v>3849</v>
      </c>
      <c r="KF41" s="9" t="s">
        <v>3287</v>
      </c>
      <c r="KH41" s="9" t="s">
        <v>3347</v>
      </c>
      <c r="KJ41" s="9" t="s">
        <v>612</v>
      </c>
      <c r="KK41" s="9" t="s">
        <v>3850</v>
      </c>
      <c r="KL41" s="9" t="s">
        <v>3486</v>
      </c>
      <c r="KN41" s="9" t="s">
        <v>3604</v>
      </c>
      <c r="KP41" s="9" t="s">
        <v>3851</v>
      </c>
      <c r="KR41" s="9" t="s">
        <v>25</v>
      </c>
      <c r="LB41" s="9" t="s">
        <v>3606</v>
      </c>
      <c r="LD41" s="9" t="s">
        <v>3464</v>
      </c>
      <c r="LF41" s="9" t="s">
        <v>612</v>
      </c>
      <c r="LG41" s="9" t="s">
        <v>3852</v>
      </c>
      <c r="LH41" s="9" t="s">
        <v>3287</v>
      </c>
      <c r="LJ41" s="9" t="s">
        <v>3465</v>
      </c>
      <c r="LL41" s="9" t="s">
        <v>3466</v>
      </c>
      <c r="LN41" s="9" t="s">
        <v>3287</v>
      </c>
      <c r="LP41" s="9" t="s">
        <v>3287</v>
      </c>
      <c r="LR41" s="9" t="s">
        <v>25</v>
      </c>
      <c r="MA41" s="9" t="s">
        <v>3853</v>
      </c>
    </row>
    <row r="42" spans="1:339" ht="25.5" x14ac:dyDescent="0.2">
      <c r="A42" s="8" t="s">
        <v>161</v>
      </c>
      <c r="B42" s="9" t="s">
        <v>25</v>
      </c>
      <c r="C42" s="9" t="s">
        <v>25</v>
      </c>
      <c r="D42" s="9" t="s">
        <v>25</v>
      </c>
      <c r="E42" s="9" t="s">
        <v>25</v>
      </c>
      <c r="F42" s="9" t="s">
        <v>25</v>
      </c>
      <c r="G42" s="9" t="s">
        <v>25</v>
      </c>
      <c r="H42" s="9" t="s">
        <v>25</v>
      </c>
      <c r="I42" s="9" t="s">
        <v>25</v>
      </c>
      <c r="J42" s="9" t="s">
        <v>28</v>
      </c>
      <c r="K42" s="9" t="s">
        <v>4151</v>
      </c>
      <c r="L42" s="9" t="s">
        <v>3434</v>
      </c>
      <c r="N42" s="9" t="s">
        <v>3287</v>
      </c>
      <c r="P42" s="9" t="s">
        <v>3279</v>
      </c>
      <c r="R42" s="9" t="s">
        <v>3340</v>
      </c>
      <c r="T42" s="9" t="s">
        <v>3287</v>
      </c>
      <c r="V42" s="9" t="s">
        <v>3340</v>
      </c>
      <c r="X42" s="9" t="s">
        <v>25</v>
      </c>
      <c r="AE42" s="9" t="s">
        <v>3282</v>
      </c>
      <c r="AG42" s="9" t="s">
        <v>4152</v>
      </c>
      <c r="AI42" s="9" t="s">
        <v>3282</v>
      </c>
      <c r="AK42" s="9" t="s">
        <v>3282</v>
      </c>
      <c r="AM42" s="9" t="s">
        <v>4152</v>
      </c>
      <c r="AO42" s="9" t="s">
        <v>3286</v>
      </c>
      <c r="AQ42" s="9" t="s">
        <v>3282</v>
      </c>
      <c r="AS42" s="9" t="s">
        <v>3282</v>
      </c>
      <c r="AU42" s="9" t="s">
        <v>25</v>
      </c>
      <c r="BD42" s="9" t="s">
        <v>4153</v>
      </c>
      <c r="BF42" s="9" t="s">
        <v>4153</v>
      </c>
      <c r="BH42" s="9" t="s">
        <v>3357</v>
      </c>
      <c r="BJ42" s="9" t="s">
        <v>3357</v>
      </c>
      <c r="BL42" s="9" t="s">
        <v>25</v>
      </c>
      <c r="BQ42" s="9" t="s">
        <v>53</v>
      </c>
      <c r="BS42" s="9" t="s">
        <v>3341</v>
      </c>
      <c r="BU42" s="9" t="s">
        <v>3619</v>
      </c>
      <c r="BW42" s="9" t="s">
        <v>3282</v>
      </c>
      <c r="BY42" s="9" t="s">
        <v>25</v>
      </c>
      <c r="CD42" s="9" t="s">
        <v>4058</v>
      </c>
      <c r="CF42" s="9" t="s">
        <v>3862</v>
      </c>
      <c r="CH42" s="9" t="s">
        <v>4154</v>
      </c>
      <c r="CJ42" s="9" t="s">
        <v>3292</v>
      </c>
      <c r="CL42" s="9" t="s">
        <v>3293</v>
      </c>
      <c r="CN42" s="9" t="s">
        <v>3287</v>
      </c>
      <c r="CP42" s="9" t="s">
        <v>3496</v>
      </c>
      <c r="CR42" s="9" t="s">
        <v>25</v>
      </c>
      <c r="CY42" s="9" t="s">
        <v>612</v>
      </c>
      <c r="CZ42" s="9" t="s">
        <v>4155</v>
      </c>
      <c r="DA42" s="9" t="s">
        <v>1189</v>
      </c>
      <c r="DC42" s="9" t="s">
        <v>3297</v>
      </c>
      <c r="DE42" s="9" t="s">
        <v>3297</v>
      </c>
      <c r="DG42" s="9" t="s">
        <v>3287</v>
      </c>
      <c r="DI42" s="9" t="s">
        <v>4156</v>
      </c>
      <c r="DK42" s="9" t="s">
        <v>3550</v>
      </c>
      <c r="DM42" s="9" t="s">
        <v>3287</v>
      </c>
      <c r="DO42" s="9" t="s">
        <v>612</v>
      </c>
      <c r="DP42" s="9" t="s">
        <v>4157</v>
      </c>
      <c r="DQ42" s="9" t="s">
        <v>3287</v>
      </c>
      <c r="DS42" s="9" t="s">
        <v>3297</v>
      </c>
      <c r="DU42" s="9" t="s">
        <v>3969</v>
      </c>
      <c r="DW42" s="9" t="s">
        <v>3969</v>
      </c>
      <c r="DY42" s="9" t="s">
        <v>3552</v>
      </c>
      <c r="EA42" s="9" t="s">
        <v>3552</v>
      </c>
      <c r="EC42" s="9" t="s">
        <v>612</v>
      </c>
      <c r="ED42" s="9" t="s">
        <v>3347</v>
      </c>
      <c r="EE42" s="9" t="s">
        <v>4158</v>
      </c>
      <c r="EG42" s="9" t="s">
        <v>25</v>
      </c>
      <c r="EY42" s="9" t="s">
        <v>612</v>
      </c>
      <c r="EZ42" s="9" t="s">
        <v>3282</v>
      </c>
      <c r="FA42" s="9" t="s">
        <v>3287</v>
      </c>
      <c r="FC42" s="9" t="s">
        <v>612</v>
      </c>
      <c r="FD42" s="9" t="s">
        <v>3282</v>
      </c>
      <c r="FE42" s="9" t="s">
        <v>1189</v>
      </c>
      <c r="FG42" s="9" t="s">
        <v>3552</v>
      </c>
      <c r="FI42" s="9" t="s">
        <v>3840</v>
      </c>
      <c r="FK42" s="9" t="s">
        <v>3287</v>
      </c>
      <c r="FM42" s="9" t="s">
        <v>25</v>
      </c>
      <c r="FU42" s="9" t="s">
        <v>25</v>
      </c>
      <c r="FW42" s="9" t="s">
        <v>3287</v>
      </c>
      <c r="FY42" s="9" t="s">
        <v>3287</v>
      </c>
      <c r="GA42" s="9" t="s">
        <v>3317</v>
      </c>
      <c r="GC42" s="9" t="s">
        <v>3317</v>
      </c>
      <c r="GE42" s="9" t="s">
        <v>3317</v>
      </c>
      <c r="GG42" s="9" t="s">
        <v>3317</v>
      </c>
      <c r="GI42" s="9" t="s">
        <v>3287</v>
      </c>
      <c r="GK42" s="9" t="s">
        <v>25</v>
      </c>
      <c r="GS42" s="9" t="s">
        <v>3282</v>
      </c>
      <c r="GU42" s="9" t="s">
        <v>3282</v>
      </c>
      <c r="GW42" s="9" t="s">
        <v>3287</v>
      </c>
      <c r="GY42" s="9" t="s">
        <v>3287</v>
      </c>
      <c r="HA42" s="9" t="s">
        <v>612</v>
      </c>
      <c r="HB42" s="9" t="s">
        <v>1189</v>
      </c>
      <c r="HC42" s="9" t="s">
        <v>25</v>
      </c>
      <c r="HI42" s="9" t="s">
        <v>3420</v>
      </c>
      <c r="HK42" s="9" t="s">
        <v>3420</v>
      </c>
      <c r="HM42" s="9" t="s">
        <v>3282</v>
      </c>
      <c r="HO42" s="9" t="s">
        <v>3377</v>
      </c>
      <c r="HQ42" s="9" t="s">
        <v>4159</v>
      </c>
      <c r="HS42" s="9" t="s">
        <v>3339</v>
      </c>
      <c r="HU42" s="9" t="s">
        <v>612</v>
      </c>
      <c r="HV42" s="9" t="s">
        <v>4160</v>
      </c>
      <c r="HW42" s="9" t="s">
        <v>4161</v>
      </c>
      <c r="HY42" s="9" t="s">
        <v>25</v>
      </c>
      <c r="IH42" s="9" t="s">
        <v>3423</v>
      </c>
      <c r="IJ42" s="9" t="s">
        <v>3349</v>
      </c>
      <c r="IL42" s="9" t="s">
        <v>612</v>
      </c>
      <c r="IM42" s="9" t="s">
        <v>3560</v>
      </c>
      <c r="IN42" s="9" t="s">
        <v>612</v>
      </c>
      <c r="IO42" s="9" t="s">
        <v>3560</v>
      </c>
      <c r="IP42" s="9" t="s">
        <v>612</v>
      </c>
      <c r="IQ42" s="9" t="s">
        <v>3560</v>
      </c>
      <c r="IR42" s="9" t="s">
        <v>3373</v>
      </c>
      <c r="IT42" s="9" t="s">
        <v>3692</v>
      </c>
      <c r="IV42" s="9" t="s">
        <v>25</v>
      </c>
      <c r="JD42" s="9" t="s">
        <v>3347</v>
      </c>
      <c r="JF42" s="9" t="s">
        <v>4162</v>
      </c>
      <c r="JH42" s="9" t="s">
        <v>4162</v>
      </c>
      <c r="JJ42" s="9" t="s">
        <v>3347</v>
      </c>
      <c r="JL42" s="9" t="s">
        <v>3347</v>
      </c>
      <c r="JN42" s="9" t="s">
        <v>3347</v>
      </c>
      <c r="JP42" s="9" t="s">
        <v>3287</v>
      </c>
      <c r="JR42" s="9" t="s">
        <v>25</v>
      </c>
      <c r="JZ42" s="9" t="s">
        <v>3287</v>
      </c>
      <c r="KB42" s="9" t="s">
        <v>3456</v>
      </c>
      <c r="KD42" s="9" t="s">
        <v>3397</v>
      </c>
      <c r="KF42" s="9" t="s">
        <v>3287</v>
      </c>
      <c r="KH42" s="9" t="s">
        <v>3287</v>
      </c>
      <c r="KJ42" s="9" t="s">
        <v>3352</v>
      </c>
      <c r="KN42" s="9" t="s">
        <v>3428</v>
      </c>
      <c r="KP42" s="9" t="s">
        <v>3287</v>
      </c>
      <c r="KR42" s="9" t="s">
        <v>25</v>
      </c>
      <c r="LB42" s="9" t="s">
        <v>4163</v>
      </c>
      <c r="LD42" s="9" t="s">
        <v>3287</v>
      </c>
      <c r="LF42" s="9" t="s">
        <v>4164</v>
      </c>
      <c r="LH42" s="9" t="s">
        <v>3287</v>
      </c>
      <c r="LJ42" s="9" t="s">
        <v>3353</v>
      </c>
      <c r="LL42" s="9" t="s">
        <v>3287</v>
      </c>
      <c r="LN42" s="9" t="s">
        <v>4165</v>
      </c>
      <c r="LP42" s="9" t="s">
        <v>3287</v>
      </c>
      <c r="LR42" s="9" t="s">
        <v>25</v>
      </c>
      <c r="MA42" s="9" t="s">
        <v>14576</v>
      </c>
    </row>
    <row r="43" spans="1:339" ht="25.5" x14ac:dyDescent="0.2">
      <c r="A43" s="8" t="s">
        <v>163</v>
      </c>
      <c r="B43" s="9" t="s">
        <v>28</v>
      </c>
      <c r="C43" s="9" t="s">
        <v>25</v>
      </c>
      <c r="D43" s="9" t="s">
        <v>28</v>
      </c>
      <c r="E43" s="9" t="s">
        <v>28</v>
      </c>
      <c r="F43" s="9" t="s">
        <v>25</v>
      </c>
      <c r="G43" s="9" t="s">
        <v>25</v>
      </c>
      <c r="H43" s="9" t="s">
        <v>25</v>
      </c>
      <c r="I43" s="9" t="s">
        <v>25</v>
      </c>
      <c r="L43" s="9" t="s">
        <v>4188</v>
      </c>
      <c r="N43" s="9" t="s">
        <v>4188</v>
      </c>
      <c r="P43" s="9" t="s">
        <v>3287</v>
      </c>
      <c r="R43" s="9" t="s">
        <v>4189</v>
      </c>
      <c r="T43" s="9" t="s">
        <v>4189</v>
      </c>
      <c r="V43" s="9" t="s">
        <v>4189</v>
      </c>
      <c r="X43" s="9" t="s">
        <v>25</v>
      </c>
      <c r="AE43" s="9" t="s">
        <v>3488</v>
      </c>
      <c r="AG43" s="9" t="s">
        <v>3287</v>
      </c>
      <c r="AI43" s="9" t="s">
        <v>3287</v>
      </c>
      <c r="AK43" s="9" t="s">
        <v>3287</v>
      </c>
      <c r="AM43" s="9" t="s">
        <v>3287</v>
      </c>
      <c r="AO43" s="9" t="s">
        <v>3287</v>
      </c>
      <c r="AQ43" s="9" t="s">
        <v>3488</v>
      </c>
      <c r="AS43" s="9" t="s">
        <v>3287</v>
      </c>
      <c r="AU43" s="9" t="s">
        <v>25</v>
      </c>
      <c r="BD43" s="9" t="s">
        <v>4190</v>
      </c>
      <c r="BF43" s="9" t="s">
        <v>4190</v>
      </c>
      <c r="BH43" s="9" t="s">
        <v>4190</v>
      </c>
      <c r="BJ43" s="9" t="s">
        <v>4190</v>
      </c>
      <c r="BL43" s="9" t="s">
        <v>25</v>
      </c>
      <c r="BQ43" s="9" t="s">
        <v>53</v>
      </c>
      <c r="BS43" s="9" t="s">
        <v>3289</v>
      </c>
      <c r="BU43" s="9" t="s">
        <v>3377</v>
      </c>
      <c r="BW43" s="9" t="s">
        <v>612</v>
      </c>
      <c r="BX43" s="9" t="s">
        <v>4191</v>
      </c>
      <c r="BY43" s="9" t="s">
        <v>25</v>
      </c>
      <c r="CD43" s="9" t="s">
        <v>4192</v>
      </c>
      <c r="CF43" s="9" t="s">
        <v>3546</v>
      </c>
      <c r="CH43" s="9" t="s">
        <v>1189</v>
      </c>
      <c r="CJ43" s="9" t="s">
        <v>3421</v>
      </c>
      <c r="CL43" s="9" t="s">
        <v>3293</v>
      </c>
      <c r="CN43" s="9" t="s">
        <v>3421</v>
      </c>
      <c r="CP43" s="9" t="s">
        <v>3287</v>
      </c>
      <c r="CR43" s="9" t="s">
        <v>25</v>
      </c>
      <c r="CY43" s="9" t="s">
        <v>3287</v>
      </c>
      <c r="DA43" s="9" t="s">
        <v>3287</v>
      </c>
      <c r="DC43" s="9" t="s">
        <v>3287</v>
      </c>
      <c r="DE43" s="9" t="s">
        <v>3287</v>
      </c>
      <c r="DG43" s="9" t="s">
        <v>3287</v>
      </c>
      <c r="DI43" s="9" t="s">
        <v>3287</v>
      </c>
      <c r="DK43" s="9" t="s">
        <v>3287</v>
      </c>
      <c r="DM43" s="9" t="s">
        <v>3287</v>
      </c>
      <c r="DO43" s="9" t="s">
        <v>3287</v>
      </c>
      <c r="DQ43" s="9" t="s">
        <v>3287</v>
      </c>
      <c r="DS43" s="9" t="s">
        <v>3287</v>
      </c>
      <c r="DU43" s="9" t="s">
        <v>3417</v>
      </c>
      <c r="DW43" s="9" t="s">
        <v>3287</v>
      </c>
      <c r="DY43" s="9" t="s">
        <v>3417</v>
      </c>
      <c r="EA43" s="9" t="s">
        <v>3503</v>
      </c>
      <c r="EC43" s="9" t="s">
        <v>4193</v>
      </c>
      <c r="EE43" s="9" t="s">
        <v>3287</v>
      </c>
      <c r="EG43" s="9" t="s">
        <v>25</v>
      </c>
      <c r="EY43" s="9" t="s">
        <v>612</v>
      </c>
      <c r="EZ43" s="9" t="s">
        <v>4194</v>
      </c>
      <c r="FA43" s="9" t="s">
        <v>3287</v>
      </c>
      <c r="FC43" s="9" t="s">
        <v>3287</v>
      </c>
      <c r="FE43" s="9" t="s">
        <v>3311</v>
      </c>
      <c r="FG43" s="9" t="s">
        <v>3287</v>
      </c>
      <c r="FI43" s="9" t="s">
        <v>3287</v>
      </c>
      <c r="FK43" s="9" t="s">
        <v>612</v>
      </c>
      <c r="FL43" s="9" t="s">
        <v>4194</v>
      </c>
      <c r="FM43" s="9" t="s">
        <v>25</v>
      </c>
      <c r="FU43" s="9" t="s">
        <v>25</v>
      </c>
      <c r="FW43" s="9" t="s">
        <v>3287</v>
      </c>
      <c r="FY43" s="9" t="s">
        <v>3287</v>
      </c>
      <c r="GA43" s="9" t="s">
        <v>3287</v>
      </c>
      <c r="GC43" s="9" t="s">
        <v>3287</v>
      </c>
      <c r="GE43" s="9" t="s">
        <v>3317</v>
      </c>
      <c r="GG43" s="9" t="s">
        <v>3317</v>
      </c>
      <c r="GI43" s="9" t="s">
        <v>3397</v>
      </c>
      <c r="GK43" s="9" t="s">
        <v>25</v>
      </c>
      <c r="GS43" s="9" t="s">
        <v>3508</v>
      </c>
      <c r="GU43" s="9" t="s">
        <v>3287</v>
      </c>
      <c r="GW43" s="9" t="s">
        <v>3287</v>
      </c>
      <c r="GY43" s="9" t="s">
        <v>3287</v>
      </c>
      <c r="HA43" s="9" t="s">
        <v>3508</v>
      </c>
      <c r="HC43" s="9" t="s">
        <v>25</v>
      </c>
      <c r="HI43" s="9" t="s">
        <v>3420</v>
      </c>
      <c r="HK43" s="9" t="s">
        <v>3421</v>
      </c>
      <c r="HM43" s="9" t="s">
        <v>3421</v>
      </c>
      <c r="HO43" s="9" t="s">
        <v>3377</v>
      </c>
      <c r="HQ43" s="9" t="s">
        <v>3690</v>
      </c>
      <c r="HS43" s="9" t="s">
        <v>3287</v>
      </c>
      <c r="HU43" s="9" t="s">
        <v>3287</v>
      </c>
      <c r="HW43" s="9" t="s">
        <v>3421</v>
      </c>
      <c r="HY43" s="9" t="s">
        <v>25</v>
      </c>
      <c r="IH43" s="9" t="s">
        <v>3373</v>
      </c>
      <c r="IJ43" s="9" t="s">
        <v>4143</v>
      </c>
      <c r="IL43" s="9" t="s">
        <v>3373</v>
      </c>
      <c r="IN43" s="9" t="s">
        <v>3373</v>
      </c>
      <c r="IP43" s="9" t="s">
        <v>3373</v>
      </c>
      <c r="IR43" s="9" t="s">
        <v>3373</v>
      </c>
      <c r="IT43" s="9" t="s">
        <v>3737</v>
      </c>
      <c r="IV43" s="9" t="s">
        <v>25</v>
      </c>
      <c r="JD43" s="9" t="s">
        <v>3347</v>
      </c>
      <c r="JF43" s="9" t="s">
        <v>3347</v>
      </c>
      <c r="JH43" s="9" t="s">
        <v>3347</v>
      </c>
      <c r="JJ43" s="9" t="s">
        <v>3347</v>
      </c>
      <c r="JL43" s="9" t="s">
        <v>3347</v>
      </c>
      <c r="JN43" s="9" t="s">
        <v>4195</v>
      </c>
      <c r="JR43" s="9" t="s">
        <v>25</v>
      </c>
      <c r="JZ43" s="9" t="s">
        <v>3457</v>
      </c>
      <c r="KB43" s="9" t="s">
        <v>3328</v>
      </c>
      <c r="KD43" s="9" t="s">
        <v>3457</v>
      </c>
      <c r="KF43" s="9" t="s">
        <v>3287</v>
      </c>
      <c r="KH43" s="9" t="s">
        <v>3287</v>
      </c>
      <c r="KJ43" s="9" t="s">
        <v>3287</v>
      </c>
      <c r="KL43" s="9" t="s">
        <v>3287</v>
      </c>
      <c r="KN43" s="9" t="s">
        <v>3287</v>
      </c>
      <c r="KP43" s="9" t="s">
        <v>3287</v>
      </c>
      <c r="KR43" s="9" t="s">
        <v>25</v>
      </c>
      <c r="LB43" s="9" t="s">
        <v>3287</v>
      </c>
      <c r="LD43" s="9" t="s">
        <v>3287</v>
      </c>
      <c r="LF43" s="9" t="s">
        <v>3287</v>
      </c>
      <c r="LH43" s="9" t="s">
        <v>3287</v>
      </c>
      <c r="LL43" s="9" t="s">
        <v>3287</v>
      </c>
      <c r="LN43" s="9" t="s">
        <v>3287</v>
      </c>
      <c r="LP43" s="9" t="s">
        <v>3287</v>
      </c>
      <c r="LR43" s="9" t="s">
        <v>25</v>
      </c>
      <c r="MA43" s="9" t="s">
        <v>4196</v>
      </c>
    </row>
    <row r="44" spans="1:339" ht="25.5" x14ac:dyDescent="0.2">
      <c r="A44" s="8" t="s">
        <v>165</v>
      </c>
      <c r="B44" s="9" t="s">
        <v>25</v>
      </c>
      <c r="C44" s="9" t="s">
        <v>25</v>
      </c>
      <c r="D44" s="9" t="s">
        <v>25</v>
      </c>
      <c r="E44" s="9" t="s">
        <v>28</v>
      </c>
      <c r="F44" s="9" t="s">
        <v>25</v>
      </c>
      <c r="G44" s="9" t="s">
        <v>25</v>
      </c>
      <c r="H44" s="9" t="s">
        <v>25</v>
      </c>
      <c r="I44" s="9" t="s">
        <v>25</v>
      </c>
      <c r="J44" s="9" t="s">
        <v>28</v>
      </c>
      <c r="K44" s="9" t="s">
        <v>4223</v>
      </c>
      <c r="L44" s="9" t="s">
        <v>3339</v>
      </c>
      <c r="N44" s="9" t="s">
        <v>3339</v>
      </c>
      <c r="P44" s="9" t="s">
        <v>3339</v>
      </c>
      <c r="R44" s="9" t="s">
        <v>3340</v>
      </c>
      <c r="T44" s="9" t="s">
        <v>3287</v>
      </c>
      <c r="V44" s="9" t="s">
        <v>612</v>
      </c>
      <c r="W44" s="9" t="s">
        <v>4224</v>
      </c>
      <c r="X44" s="9" t="s">
        <v>25</v>
      </c>
      <c r="AE44" s="9" t="s">
        <v>3285</v>
      </c>
      <c r="AG44" s="9" t="s">
        <v>3285</v>
      </c>
      <c r="AI44" s="9" t="s">
        <v>3285</v>
      </c>
      <c r="AK44" s="9" t="s">
        <v>3285</v>
      </c>
      <c r="AM44" s="9" t="s">
        <v>3285</v>
      </c>
      <c r="AO44" s="9" t="s">
        <v>3287</v>
      </c>
      <c r="AQ44" s="9" t="s">
        <v>3287</v>
      </c>
      <c r="AS44" s="9" t="s">
        <v>3287</v>
      </c>
      <c r="AU44" s="9" t="s">
        <v>25</v>
      </c>
      <c r="BD44" s="9" t="s">
        <v>4057</v>
      </c>
      <c r="BF44" s="9" t="s">
        <v>4057</v>
      </c>
      <c r="BH44" s="9" t="s">
        <v>4057</v>
      </c>
      <c r="BJ44" s="9" t="s">
        <v>4057</v>
      </c>
      <c r="BL44" s="9" t="s">
        <v>25</v>
      </c>
      <c r="BQ44" s="9" t="s">
        <v>3384</v>
      </c>
      <c r="BS44" s="9" t="s">
        <v>3729</v>
      </c>
      <c r="BU44" s="9" t="s">
        <v>3287</v>
      </c>
      <c r="BW44" s="9" t="s">
        <v>612</v>
      </c>
      <c r="BX44" s="9" t="s">
        <v>4225</v>
      </c>
      <c r="BY44" s="9" t="s">
        <v>25</v>
      </c>
      <c r="CD44" s="9" t="s">
        <v>4226</v>
      </c>
      <c r="CF44" s="9" t="s">
        <v>612</v>
      </c>
      <c r="CG44" s="9" t="s">
        <v>4227</v>
      </c>
      <c r="CH44" s="9" t="s">
        <v>3361</v>
      </c>
      <c r="CJ44" s="9" t="s">
        <v>3292</v>
      </c>
      <c r="CL44" s="9" t="s">
        <v>3293</v>
      </c>
      <c r="CN44" s="9" t="s">
        <v>612</v>
      </c>
      <c r="CO44" s="9" t="s">
        <v>4228</v>
      </c>
      <c r="CP44" s="9" t="s">
        <v>3287</v>
      </c>
      <c r="CR44" s="9" t="s">
        <v>28</v>
      </c>
      <c r="CS44" s="9" t="s">
        <v>3349</v>
      </c>
      <c r="CY44" s="9" t="s">
        <v>3287</v>
      </c>
      <c r="DA44" s="9" t="s">
        <v>3287</v>
      </c>
      <c r="DC44" s="9" t="s">
        <v>3297</v>
      </c>
      <c r="DE44" s="9" t="s">
        <v>3297</v>
      </c>
      <c r="DG44" s="9" t="s">
        <v>3287</v>
      </c>
      <c r="DI44" s="9" t="s">
        <v>3287</v>
      </c>
      <c r="DK44" s="9" t="s">
        <v>3287</v>
      </c>
      <c r="DM44" s="9" t="s">
        <v>3287</v>
      </c>
      <c r="DO44" s="9" t="s">
        <v>3287</v>
      </c>
      <c r="DQ44" s="9" t="s">
        <v>3287</v>
      </c>
      <c r="DS44" s="9" t="s">
        <v>3297</v>
      </c>
      <c r="DU44" s="9" t="s">
        <v>3297</v>
      </c>
      <c r="DW44" s="9" t="s">
        <v>3629</v>
      </c>
      <c r="DY44" s="9" t="s">
        <v>3297</v>
      </c>
      <c r="EA44" s="9" t="s">
        <v>3287</v>
      </c>
      <c r="EC44" s="9" t="s">
        <v>2409</v>
      </c>
      <c r="EE44" s="9" t="s">
        <v>3546</v>
      </c>
      <c r="EG44" s="9" t="s">
        <v>25</v>
      </c>
      <c r="EY44" s="9" t="s">
        <v>3629</v>
      </c>
      <c r="FA44" s="9" t="s">
        <v>3629</v>
      </c>
      <c r="FC44" s="9" t="s">
        <v>3287</v>
      </c>
      <c r="FE44" s="9" t="s">
        <v>3447</v>
      </c>
      <c r="FG44" s="9" t="s">
        <v>3297</v>
      </c>
      <c r="FI44" s="9" t="s">
        <v>3287</v>
      </c>
      <c r="FK44" s="9" t="s">
        <v>3629</v>
      </c>
      <c r="FM44" s="9" t="s">
        <v>25</v>
      </c>
      <c r="FU44" s="9" t="s">
        <v>28</v>
      </c>
      <c r="FV44" s="9" t="s">
        <v>3629</v>
      </c>
      <c r="FW44" s="9" t="s">
        <v>3287</v>
      </c>
      <c r="FY44" s="9" t="s">
        <v>3379</v>
      </c>
      <c r="GA44" s="9" t="s">
        <v>4229</v>
      </c>
      <c r="GC44" s="9" t="s">
        <v>3287</v>
      </c>
      <c r="GE44" s="9" t="s">
        <v>3287</v>
      </c>
      <c r="GG44" s="9" t="s">
        <v>3287</v>
      </c>
      <c r="GI44" s="9" t="s">
        <v>3287</v>
      </c>
      <c r="GK44" s="9" t="s">
        <v>25</v>
      </c>
      <c r="GS44" s="9" t="s">
        <v>3683</v>
      </c>
      <c r="GU44" s="9" t="s">
        <v>3683</v>
      </c>
      <c r="GW44" s="9" t="s">
        <v>3683</v>
      </c>
      <c r="GY44" s="9" t="s">
        <v>3287</v>
      </c>
      <c r="HA44" s="9" t="s">
        <v>3287</v>
      </c>
      <c r="HC44" s="9" t="s">
        <v>25</v>
      </c>
      <c r="HI44" s="9" t="s">
        <v>3577</v>
      </c>
      <c r="HK44" s="9" t="s">
        <v>3533</v>
      </c>
      <c r="HM44" s="9" t="s">
        <v>3533</v>
      </c>
      <c r="HO44" s="9" t="s">
        <v>3339</v>
      </c>
      <c r="HQ44" s="9" t="s">
        <v>3348</v>
      </c>
      <c r="HS44" s="9" t="s">
        <v>3348</v>
      </c>
      <c r="HU44" s="9" t="s">
        <v>3533</v>
      </c>
      <c r="HW44" s="9" t="s">
        <v>3287</v>
      </c>
      <c r="HY44" s="9" t="s">
        <v>25</v>
      </c>
      <c r="IH44" s="9" t="s">
        <v>3423</v>
      </c>
      <c r="IJ44" s="9" t="s">
        <v>3349</v>
      </c>
      <c r="IL44" s="9" t="s">
        <v>3373</v>
      </c>
      <c r="IN44" s="9" t="s">
        <v>3350</v>
      </c>
      <c r="IP44" s="9" t="s">
        <v>3350</v>
      </c>
      <c r="IR44" s="9" t="s">
        <v>3373</v>
      </c>
      <c r="IT44" s="9" t="s">
        <v>3737</v>
      </c>
      <c r="IV44" s="9" t="s">
        <v>25</v>
      </c>
      <c r="JD44" s="9" t="s">
        <v>3347</v>
      </c>
      <c r="JF44" s="9" t="s">
        <v>3872</v>
      </c>
      <c r="JH44" s="9" t="s">
        <v>3606</v>
      </c>
      <c r="JJ44" s="9" t="s">
        <v>3347</v>
      </c>
      <c r="JL44" s="9" t="s">
        <v>3287</v>
      </c>
      <c r="JN44" s="9" t="s">
        <v>3287</v>
      </c>
      <c r="JP44" s="9" t="s">
        <v>3287</v>
      </c>
      <c r="JR44" s="9" t="s">
        <v>25</v>
      </c>
      <c r="JZ44" s="9" t="s">
        <v>4230</v>
      </c>
      <c r="KB44" s="9" t="s">
        <v>4231</v>
      </c>
      <c r="KD44" s="9" t="s">
        <v>4232</v>
      </c>
      <c r="KF44" s="9" t="s">
        <v>3287</v>
      </c>
      <c r="KH44" s="9" t="s">
        <v>612</v>
      </c>
      <c r="KI44" s="9" t="s">
        <v>2409</v>
      </c>
      <c r="KJ44" s="9" t="s">
        <v>3330</v>
      </c>
      <c r="KL44" s="9" t="s">
        <v>4233</v>
      </c>
      <c r="KN44" s="9" t="s">
        <v>4234</v>
      </c>
      <c r="KP44" s="9" t="s">
        <v>3287</v>
      </c>
      <c r="LB44" s="9" t="s">
        <v>3287</v>
      </c>
      <c r="LD44" s="9" t="s">
        <v>3287</v>
      </c>
      <c r="LF44" s="9" t="s">
        <v>3287</v>
      </c>
      <c r="LH44" s="9" t="s">
        <v>3287</v>
      </c>
      <c r="LJ44" s="9" t="s">
        <v>3353</v>
      </c>
      <c r="LL44" s="9" t="s">
        <v>3466</v>
      </c>
      <c r="LN44" s="9" t="s">
        <v>3287</v>
      </c>
      <c r="LP44" s="9" t="s">
        <v>3287</v>
      </c>
      <c r="LR44" s="9" t="s">
        <v>25</v>
      </c>
      <c r="MA44" s="9" t="s">
        <v>4235</v>
      </c>
    </row>
    <row r="45" spans="1:339" ht="38.25" x14ac:dyDescent="0.2">
      <c r="A45" s="8" t="s">
        <v>129</v>
      </c>
      <c r="B45" s="9" t="s">
        <v>28</v>
      </c>
      <c r="C45" s="9" t="s">
        <v>28</v>
      </c>
      <c r="D45" s="9" t="s">
        <v>25</v>
      </c>
      <c r="E45" s="9" t="s">
        <v>25</v>
      </c>
      <c r="F45" s="9" t="s">
        <v>25</v>
      </c>
      <c r="G45" s="9" t="s">
        <v>28</v>
      </c>
      <c r="H45" s="9" t="s">
        <v>25</v>
      </c>
      <c r="I45" s="9" t="s">
        <v>28</v>
      </c>
      <c r="L45" s="9" t="s">
        <v>3339</v>
      </c>
      <c r="N45" s="9" t="s">
        <v>3539</v>
      </c>
      <c r="P45" s="9" t="s">
        <v>3434</v>
      </c>
      <c r="R45" s="9" t="s">
        <v>3279</v>
      </c>
      <c r="T45" s="9" t="s">
        <v>3588</v>
      </c>
      <c r="V45" s="9" t="s">
        <v>3279</v>
      </c>
      <c r="X45" s="9" t="s">
        <v>25</v>
      </c>
      <c r="AE45" s="9" t="s">
        <v>3589</v>
      </c>
      <c r="AG45" s="9" t="s">
        <v>3589</v>
      </c>
      <c r="AI45" s="9" t="s">
        <v>3589</v>
      </c>
      <c r="AK45" s="9" t="s">
        <v>3589</v>
      </c>
      <c r="AM45" s="9" t="s">
        <v>3589</v>
      </c>
      <c r="AO45" s="9" t="s">
        <v>3589</v>
      </c>
      <c r="AQ45" s="9" t="s">
        <v>3590</v>
      </c>
      <c r="AS45" s="9" t="s">
        <v>3589</v>
      </c>
      <c r="AU45" s="9" t="s">
        <v>25</v>
      </c>
      <c r="BD45" s="9" t="s">
        <v>3591</v>
      </c>
      <c r="BF45" s="9" t="s">
        <v>3591</v>
      </c>
      <c r="BQ45" s="9" t="s">
        <v>53</v>
      </c>
      <c r="BS45" s="9" t="s">
        <v>3341</v>
      </c>
      <c r="BU45" s="9" t="s">
        <v>3592</v>
      </c>
      <c r="BW45" s="9" t="s">
        <v>3422</v>
      </c>
      <c r="BY45" s="9" t="s">
        <v>25</v>
      </c>
      <c r="CD45" s="9" t="s">
        <v>3593</v>
      </c>
      <c r="CF45" s="9" t="s">
        <v>3546</v>
      </c>
      <c r="CH45" s="9" t="s">
        <v>3593</v>
      </c>
      <c r="CJ45" s="9" t="s">
        <v>3292</v>
      </c>
      <c r="CL45" s="9" t="s">
        <v>3293</v>
      </c>
      <c r="CN45" s="9" t="s">
        <v>3287</v>
      </c>
      <c r="CP45" s="9" t="s">
        <v>3287</v>
      </c>
      <c r="CR45" s="9" t="s">
        <v>25</v>
      </c>
      <c r="CY45" s="9" t="s">
        <v>3413</v>
      </c>
      <c r="DA45" s="9" t="s">
        <v>14002</v>
      </c>
      <c r="DC45" s="9" t="s">
        <v>3297</v>
      </c>
      <c r="DE45" s="9" t="s">
        <v>3297</v>
      </c>
      <c r="DG45" s="9" t="s">
        <v>3287</v>
      </c>
      <c r="DI45" s="9" t="s">
        <v>3287</v>
      </c>
      <c r="DK45" s="9" t="s">
        <v>3287</v>
      </c>
      <c r="DM45" s="9" t="s">
        <v>3287</v>
      </c>
      <c r="DO45" s="9" t="s">
        <v>3287</v>
      </c>
      <c r="DQ45" s="9" t="s">
        <v>3287</v>
      </c>
      <c r="DS45" s="9" t="s">
        <v>612</v>
      </c>
      <c r="DT45" s="9" t="s">
        <v>3299</v>
      </c>
      <c r="DU45" s="9" t="s">
        <v>3360</v>
      </c>
      <c r="DW45" s="9" t="s">
        <v>3594</v>
      </c>
      <c r="DY45" s="9" t="s">
        <v>3297</v>
      </c>
      <c r="EA45" s="9" t="s">
        <v>3297</v>
      </c>
      <c r="EC45" s="9" t="s">
        <v>612</v>
      </c>
      <c r="ED45" s="9" t="s">
        <v>3347</v>
      </c>
      <c r="EE45" s="9" t="s">
        <v>612</v>
      </c>
      <c r="EF45" s="9" t="s">
        <v>3595</v>
      </c>
      <c r="EG45" s="9" t="s">
        <v>28</v>
      </c>
      <c r="EI45" s="9" t="s">
        <v>1189</v>
      </c>
      <c r="ES45" s="9" t="s">
        <v>1189</v>
      </c>
      <c r="EY45" s="9" t="s">
        <v>3530</v>
      </c>
      <c r="FA45" s="9" t="s">
        <v>3530</v>
      </c>
      <c r="FC45" s="9" t="s">
        <v>3530</v>
      </c>
      <c r="FE45" s="9" t="s">
        <v>3596</v>
      </c>
      <c r="FG45" s="9" t="s">
        <v>3531</v>
      </c>
      <c r="FI45" s="9" t="s">
        <v>3287</v>
      </c>
      <c r="FK45" s="9" t="s">
        <v>3530</v>
      </c>
      <c r="FU45" s="9" t="s">
        <v>25</v>
      </c>
      <c r="FY45" s="9" t="s">
        <v>3287</v>
      </c>
      <c r="GA45" s="9" t="s">
        <v>14008</v>
      </c>
      <c r="GC45" s="9" t="s">
        <v>3597</v>
      </c>
      <c r="GE45" s="9" t="s">
        <v>3317</v>
      </c>
      <c r="GG45" s="9" t="s">
        <v>3317</v>
      </c>
      <c r="GI45" s="9" t="s">
        <v>3303</v>
      </c>
      <c r="GJ45" s="9" t="s">
        <v>3598</v>
      </c>
      <c r="GK45" s="9" t="s">
        <v>25</v>
      </c>
      <c r="GS45" s="9" t="s">
        <v>3589</v>
      </c>
      <c r="GU45" s="9" t="s">
        <v>3589</v>
      </c>
      <c r="GW45" s="9" t="s">
        <v>3589</v>
      </c>
      <c r="GY45" s="9" t="s">
        <v>3589</v>
      </c>
      <c r="HA45" s="9" t="s">
        <v>3589</v>
      </c>
      <c r="HC45" s="9" t="s">
        <v>25</v>
      </c>
      <c r="HI45" s="9" t="s">
        <v>3589</v>
      </c>
      <c r="HK45" s="9" t="s">
        <v>3589</v>
      </c>
      <c r="HM45" s="9" t="s">
        <v>3589</v>
      </c>
      <c r="HO45" s="9" t="s">
        <v>3339</v>
      </c>
      <c r="HQ45" s="9" t="s">
        <v>3599</v>
      </c>
      <c r="HS45" s="9" t="s">
        <v>3287</v>
      </c>
      <c r="HU45" s="9" t="s">
        <v>3600</v>
      </c>
      <c r="HW45" s="9" t="s">
        <v>3589</v>
      </c>
      <c r="HY45" s="9" t="s">
        <v>25</v>
      </c>
      <c r="IH45" s="9" t="s">
        <v>3397</v>
      </c>
      <c r="IJ45" s="9" t="s">
        <v>3380</v>
      </c>
      <c r="IL45" s="9" t="s">
        <v>3350</v>
      </c>
      <c r="IN45" s="9" t="s">
        <v>3350</v>
      </c>
      <c r="IP45" s="9" t="s">
        <v>3601</v>
      </c>
      <c r="IR45" s="9" t="s">
        <v>3349</v>
      </c>
      <c r="IT45" s="9" t="s">
        <v>3454</v>
      </c>
      <c r="IV45" s="9" t="s">
        <v>25</v>
      </c>
      <c r="JD45" s="9" t="s">
        <v>3347</v>
      </c>
      <c r="JF45" s="9" t="s">
        <v>3347</v>
      </c>
      <c r="JH45" s="9" t="s">
        <v>3347</v>
      </c>
      <c r="JJ45" s="9" t="s">
        <v>3351</v>
      </c>
      <c r="JL45" s="9" t="s">
        <v>3347</v>
      </c>
      <c r="JN45" s="9" t="s">
        <v>3351</v>
      </c>
      <c r="JP45" s="9" t="s">
        <v>3287</v>
      </c>
      <c r="JR45" s="9" t="s">
        <v>25</v>
      </c>
      <c r="JZ45" s="9" t="s">
        <v>3602</v>
      </c>
      <c r="KB45" s="9" t="s">
        <v>3328</v>
      </c>
      <c r="KD45" s="9" t="s">
        <v>3457</v>
      </c>
      <c r="KF45" s="9" t="s">
        <v>3603</v>
      </c>
      <c r="KJ45" s="9" t="s">
        <v>3352</v>
      </c>
      <c r="KL45" s="9" t="s">
        <v>3486</v>
      </c>
      <c r="KN45" s="9" t="s">
        <v>3604</v>
      </c>
      <c r="KP45" s="9" t="s">
        <v>3462</v>
      </c>
      <c r="KR45" s="9" t="s">
        <v>28</v>
      </c>
      <c r="KZ45" s="9" t="s">
        <v>3605</v>
      </c>
      <c r="LB45" s="9" t="s">
        <v>3606</v>
      </c>
      <c r="LD45" s="9" t="s">
        <v>3287</v>
      </c>
      <c r="LF45" s="9" t="s">
        <v>3287</v>
      </c>
      <c r="LH45" s="9" t="s">
        <v>3287</v>
      </c>
      <c r="LJ45" s="9" t="s">
        <v>3465</v>
      </c>
      <c r="LL45" s="9" t="s">
        <v>3466</v>
      </c>
      <c r="LP45" s="9" t="s">
        <v>3287</v>
      </c>
    </row>
    <row r="46" spans="1:339" ht="25.5" x14ac:dyDescent="0.2">
      <c r="A46" s="8" t="s">
        <v>153</v>
      </c>
      <c r="B46" s="9" t="s">
        <v>28</v>
      </c>
      <c r="C46" s="9" t="s">
        <v>28</v>
      </c>
      <c r="D46" s="9" t="s">
        <v>25</v>
      </c>
      <c r="E46" s="9" t="s">
        <v>25</v>
      </c>
      <c r="F46" s="9" t="s">
        <v>25</v>
      </c>
      <c r="G46" s="9" t="s">
        <v>25</v>
      </c>
      <c r="H46" s="9" t="s">
        <v>25</v>
      </c>
      <c r="I46" s="9" t="s">
        <v>25</v>
      </c>
      <c r="J46" s="9" t="s">
        <v>25</v>
      </c>
      <c r="L46" s="9" t="s">
        <v>3407</v>
      </c>
      <c r="N46" s="9" t="s">
        <v>3279</v>
      </c>
      <c r="P46" s="9" t="s">
        <v>4008</v>
      </c>
      <c r="Q46" s="9" t="s">
        <v>4009</v>
      </c>
      <c r="R46" s="9" t="s">
        <v>3355</v>
      </c>
      <c r="T46" s="9" t="s">
        <v>4010</v>
      </c>
      <c r="V46" s="9" t="s">
        <v>3287</v>
      </c>
      <c r="X46" s="9" t="s">
        <v>25</v>
      </c>
      <c r="AE46" s="9" t="s">
        <v>3279</v>
      </c>
      <c r="AG46" s="9" t="s">
        <v>3287</v>
      </c>
      <c r="AI46" s="9" t="s">
        <v>3279</v>
      </c>
      <c r="AK46" s="9" t="s">
        <v>3279</v>
      </c>
      <c r="AM46" s="9" t="s">
        <v>3279</v>
      </c>
      <c r="AO46" s="9" t="s">
        <v>3279</v>
      </c>
      <c r="AQ46" s="9" t="s">
        <v>3287</v>
      </c>
      <c r="AS46" s="9" t="s">
        <v>3287</v>
      </c>
      <c r="AU46" s="9" t="s">
        <v>25</v>
      </c>
      <c r="BD46" s="9" t="s">
        <v>3784</v>
      </c>
      <c r="BF46" s="9" t="s">
        <v>3784</v>
      </c>
      <c r="BH46" s="9" t="s">
        <v>3287</v>
      </c>
      <c r="BJ46" s="9" t="s">
        <v>3287</v>
      </c>
      <c r="BL46" s="9" t="s">
        <v>25</v>
      </c>
      <c r="BQ46" s="9" t="s">
        <v>53</v>
      </c>
      <c r="BS46" s="9" t="s">
        <v>3566</v>
      </c>
      <c r="BU46" s="9" t="s">
        <v>3287</v>
      </c>
      <c r="BW46" s="9" t="s">
        <v>4011</v>
      </c>
      <c r="BY46" s="9" t="s">
        <v>25</v>
      </c>
      <c r="CD46" s="9" t="s">
        <v>4012</v>
      </c>
      <c r="CF46" s="9" t="s">
        <v>4013</v>
      </c>
      <c r="CH46" s="9" t="s">
        <v>4014</v>
      </c>
      <c r="CJ46" s="9" t="s">
        <v>3292</v>
      </c>
      <c r="CL46" s="9" t="s">
        <v>3293</v>
      </c>
      <c r="CN46" s="9" t="s">
        <v>4015</v>
      </c>
      <c r="CP46" s="9" t="s">
        <v>3287</v>
      </c>
      <c r="CR46" s="9" t="s">
        <v>25</v>
      </c>
      <c r="CY46" s="9" t="s">
        <v>3287</v>
      </c>
      <c r="DA46" s="9" t="s">
        <v>612</v>
      </c>
      <c r="DB46" s="9" t="s">
        <v>4016</v>
      </c>
      <c r="DC46" s="9" t="s">
        <v>3297</v>
      </c>
      <c r="DE46" s="9" t="s">
        <v>3415</v>
      </c>
      <c r="DG46" s="9" t="s">
        <v>3287</v>
      </c>
      <c r="DI46" s="9" t="s">
        <v>3287</v>
      </c>
      <c r="DK46" s="9" t="s">
        <v>3287</v>
      </c>
      <c r="DM46" s="9" t="s">
        <v>3415</v>
      </c>
      <c r="DO46" s="9" t="s">
        <v>3940</v>
      </c>
      <c r="DQ46" s="9" t="s">
        <v>3940</v>
      </c>
      <c r="DS46" s="9" t="s">
        <v>3940</v>
      </c>
      <c r="DU46" s="9" t="s">
        <v>4017</v>
      </c>
      <c r="DW46" s="9" t="s">
        <v>4018</v>
      </c>
      <c r="DY46" s="9" t="s">
        <v>3297</v>
      </c>
      <c r="EA46" s="9" t="s">
        <v>3297</v>
      </c>
      <c r="EC46" s="9" t="s">
        <v>3665</v>
      </c>
      <c r="ED46" s="9" t="s">
        <v>4019</v>
      </c>
      <c r="EE46" s="9" t="s">
        <v>612</v>
      </c>
      <c r="EF46" s="9" t="s">
        <v>4020</v>
      </c>
      <c r="EG46" s="9" t="s">
        <v>28</v>
      </c>
      <c r="EI46" s="9" t="s">
        <v>4021</v>
      </c>
      <c r="EY46" s="9" t="s">
        <v>4022</v>
      </c>
      <c r="FA46" s="9" t="s">
        <v>3629</v>
      </c>
      <c r="FC46" s="9" t="s">
        <v>3287</v>
      </c>
      <c r="FE46" s="9" t="s">
        <v>612</v>
      </c>
      <c r="FF46" s="9" t="s">
        <v>4023</v>
      </c>
      <c r="FG46" s="9" t="s">
        <v>4024</v>
      </c>
      <c r="FI46" s="9" t="s">
        <v>3287</v>
      </c>
      <c r="FK46" s="9" t="s">
        <v>3297</v>
      </c>
      <c r="FM46" s="9" t="s">
        <v>25</v>
      </c>
      <c r="FU46" s="9" t="s">
        <v>28</v>
      </c>
      <c r="FV46" s="9" t="s">
        <v>4025</v>
      </c>
      <c r="FW46" s="9" t="s">
        <v>3287</v>
      </c>
      <c r="FY46" s="9" t="s">
        <v>3287</v>
      </c>
      <c r="GA46" s="9" t="s">
        <v>1064</v>
      </c>
      <c r="GC46" s="9" t="s">
        <v>3287</v>
      </c>
      <c r="GE46" s="9" t="s">
        <v>3287</v>
      </c>
      <c r="GG46" s="9" t="s">
        <v>3287</v>
      </c>
      <c r="GI46" s="9" t="s">
        <v>3287</v>
      </c>
      <c r="GK46" s="9" t="s">
        <v>25</v>
      </c>
      <c r="GS46" s="9" t="s">
        <v>53</v>
      </c>
      <c r="GU46" s="9" t="s">
        <v>53</v>
      </c>
      <c r="GW46" s="9" t="s">
        <v>3287</v>
      </c>
      <c r="GY46" s="9" t="s">
        <v>3287</v>
      </c>
      <c r="HA46" s="9" t="s">
        <v>3297</v>
      </c>
      <c r="HC46" s="9" t="s">
        <v>25</v>
      </c>
      <c r="HI46" s="9" t="s">
        <v>929</v>
      </c>
      <c r="HK46" s="9" t="s">
        <v>929</v>
      </c>
      <c r="HM46" s="9" t="s">
        <v>612</v>
      </c>
      <c r="HN46" s="9" t="s">
        <v>3372</v>
      </c>
      <c r="HO46" s="9" t="s">
        <v>3407</v>
      </c>
      <c r="HQ46" s="9" t="s">
        <v>3348</v>
      </c>
      <c r="HS46" s="9" t="s">
        <v>4026</v>
      </c>
      <c r="HU46" s="9" t="s">
        <v>929</v>
      </c>
      <c r="HW46" s="9" t="s">
        <v>612</v>
      </c>
      <c r="HX46" s="9" t="s">
        <v>3372</v>
      </c>
      <c r="HY46" s="9" t="s">
        <v>25</v>
      </c>
      <c r="IH46" s="9" t="s">
        <v>3579</v>
      </c>
      <c r="IJ46" s="9" t="s">
        <v>612</v>
      </c>
      <c r="IK46" s="9" t="s">
        <v>3314</v>
      </c>
      <c r="IL46" s="9" t="s">
        <v>3579</v>
      </c>
      <c r="IN46" s="9" t="s">
        <v>3579</v>
      </c>
      <c r="IP46" s="9" t="s">
        <v>3579</v>
      </c>
      <c r="IR46" s="9" t="s">
        <v>3579</v>
      </c>
      <c r="IT46" s="9" t="s">
        <v>3323</v>
      </c>
      <c r="IV46" s="9" t="s">
        <v>25</v>
      </c>
      <c r="JD46" s="9" t="s">
        <v>3347</v>
      </c>
      <c r="JF46" s="9" t="s">
        <v>3287</v>
      </c>
      <c r="JH46" s="9" t="s">
        <v>3287</v>
      </c>
      <c r="JJ46" s="9" t="s">
        <v>3347</v>
      </c>
      <c r="JL46" s="9" t="s">
        <v>4027</v>
      </c>
      <c r="JN46" s="9" t="s">
        <v>3347</v>
      </c>
      <c r="JP46" s="9" t="s">
        <v>3287</v>
      </c>
      <c r="JR46" s="9" t="s">
        <v>25</v>
      </c>
      <c r="JZ46" s="9" t="s">
        <v>3287</v>
      </c>
      <c r="KB46" s="9" t="s">
        <v>3287</v>
      </c>
      <c r="KD46" s="9" t="s">
        <v>3287</v>
      </c>
      <c r="KF46" s="9" t="s">
        <v>3287</v>
      </c>
      <c r="KH46" s="9" t="s">
        <v>3287</v>
      </c>
      <c r="KJ46" s="9" t="s">
        <v>3695</v>
      </c>
      <c r="KL46" s="9" t="s">
        <v>3486</v>
      </c>
      <c r="KN46" s="9" t="s">
        <v>612</v>
      </c>
      <c r="KO46" s="9" t="s">
        <v>4028</v>
      </c>
      <c r="KP46" s="9" t="s">
        <v>3332</v>
      </c>
      <c r="KR46" s="9" t="s">
        <v>25</v>
      </c>
      <c r="LB46" s="9" t="s">
        <v>3287</v>
      </c>
      <c r="LD46" s="9" t="s">
        <v>612</v>
      </c>
      <c r="LE46" s="9" t="s">
        <v>4029</v>
      </c>
      <c r="LF46" s="9" t="s">
        <v>3335</v>
      </c>
      <c r="LH46" s="9" t="s">
        <v>612</v>
      </c>
      <c r="LI46" s="9" t="s">
        <v>4030</v>
      </c>
      <c r="LJ46" s="9" t="s">
        <v>612</v>
      </c>
      <c r="LK46" s="9" t="s">
        <v>4030</v>
      </c>
      <c r="LL46" s="9" t="s">
        <v>3337</v>
      </c>
      <c r="LN46" s="9" t="s">
        <v>612</v>
      </c>
      <c r="LO46" s="9" t="s">
        <v>4031</v>
      </c>
      <c r="LP46" s="9" t="s">
        <v>3287</v>
      </c>
      <c r="LR46" s="9" t="s">
        <v>25</v>
      </c>
      <c r="MA46" s="9" t="s">
        <v>4032</v>
      </c>
    </row>
    <row r="47" spans="1:339" ht="38.25" x14ac:dyDescent="0.2">
      <c r="A47" s="8" t="s">
        <v>164</v>
      </c>
      <c r="B47" s="9" t="s">
        <v>28</v>
      </c>
      <c r="D47" s="9" t="s">
        <v>28</v>
      </c>
      <c r="J47" s="9" t="s">
        <v>28</v>
      </c>
      <c r="K47" s="9" t="s">
        <v>4197</v>
      </c>
      <c r="L47" s="9" t="s">
        <v>3377</v>
      </c>
      <c r="N47" s="9" t="s">
        <v>3377</v>
      </c>
      <c r="P47" s="9" t="s">
        <v>3287</v>
      </c>
      <c r="R47" s="9" t="s">
        <v>612</v>
      </c>
      <c r="S47" s="9" t="s">
        <v>4198</v>
      </c>
      <c r="T47" s="9" t="s">
        <v>3347</v>
      </c>
      <c r="V47" s="9" t="s">
        <v>3347</v>
      </c>
      <c r="X47" s="9" t="s">
        <v>25</v>
      </c>
      <c r="AE47" s="9" t="s">
        <v>3488</v>
      </c>
      <c r="AG47" s="9" t="s">
        <v>3377</v>
      </c>
      <c r="AI47" s="9" t="s">
        <v>4199</v>
      </c>
      <c r="AK47" s="9" t="s">
        <v>3488</v>
      </c>
      <c r="AM47" s="9" t="s">
        <v>3287</v>
      </c>
      <c r="AO47" s="9" t="s">
        <v>4200</v>
      </c>
      <c r="AQ47" s="9" t="s">
        <v>3488</v>
      </c>
      <c r="AS47" s="9" t="s">
        <v>3287</v>
      </c>
      <c r="AU47" s="9" t="s">
        <v>25</v>
      </c>
      <c r="BD47" s="9" t="s">
        <v>4190</v>
      </c>
      <c r="BF47" s="9" t="s">
        <v>4190</v>
      </c>
      <c r="BH47" s="9" t="s">
        <v>4190</v>
      </c>
      <c r="BJ47" s="9" t="s">
        <v>4190</v>
      </c>
      <c r="BL47" s="9" t="s">
        <v>25</v>
      </c>
      <c r="BQ47" s="9" t="s">
        <v>53</v>
      </c>
      <c r="BS47" s="9" t="s">
        <v>3289</v>
      </c>
      <c r="BU47" s="9" t="s">
        <v>3287</v>
      </c>
      <c r="BW47" s="9" t="s">
        <v>612</v>
      </c>
      <c r="BX47" s="9" t="s">
        <v>3492</v>
      </c>
      <c r="BY47" s="9" t="s">
        <v>25</v>
      </c>
      <c r="CD47" s="9" t="s">
        <v>3567</v>
      </c>
      <c r="CF47" s="9" t="s">
        <v>3546</v>
      </c>
      <c r="CH47" s="9" t="s">
        <v>4201</v>
      </c>
      <c r="CI47" s="9" t="s">
        <v>4202</v>
      </c>
      <c r="CJ47" s="9" t="s">
        <v>3349</v>
      </c>
      <c r="CL47" s="9" t="s">
        <v>3293</v>
      </c>
      <c r="CN47" s="9" t="s">
        <v>3349</v>
      </c>
      <c r="CP47" s="9" t="s">
        <v>3287</v>
      </c>
      <c r="CR47" s="9" t="s">
        <v>25</v>
      </c>
      <c r="CY47" s="9" t="s">
        <v>4203</v>
      </c>
      <c r="DA47" s="9" t="s">
        <v>4203</v>
      </c>
      <c r="DC47" s="9" t="s">
        <v>4204</v>
      </c>
      <c r="DD47" s="9" t="s">
        <v>4205</v>
      </c>
      <c r="DE47" s="9" t="s">
        <v>4206</v>
      </c>
      <c r="DF47" s="9" t="s">
        <v>4207</v>
      </c>
      <c r="DG47" s="9" t="s">
        <v>3287</v>
      </c>
      <c r="DI47" s="9" t="s">
        <v>612</v>
      </c>
      <c r="DJ47" s="9" t="s">
        <v>4208</v>
      </c>
      <c r="DK47" s="9" t="s">
        <v>3287</v>
      </c>
      <c r="DM47" s="9" t="s">
        <v>3287</v>
      </c>
      <c r="DO47" s="9" t="s">
        <v>3287</v>
      </c>
      <c r="DQ47" s="9" t="s">
        <v>3287</v>
      </c>
      <c r="DS47" s="9" t="s">
        <v>3303</v>
      </c>
      <c r="DT47" s="9" t="s">
        <v>4209</v>
      </c>
      <c r="DU47" s="9" t="s">
        <v>4210</v>
      </c>
      <c r="DV47" s="9" t="s">
        <v>4211</v>
      </c>
      <c r="DW47" s="9" t="s">
        <v>4212</v>
      </c>
      <c r="DX47" s="9" t="s">
        <v>3444</v>
      </c>
      <c r="DY47" s="9" t="s">
        <v>3297</v>
      </c>
      <c r="EA47" s="9" t="s">
        <v>3297</v>
      </c>
      <c r="EC47" s="9" t="s">
        <v>3418</v>
      </c>
      <c r="EE47" s="9" t="s">
        <v>3504</v>
      </c>
      <c r="EG47" s="9" t="s">
        <v>25</v>
      </c>
      <c r="EY47" s="9" t="s">
        <v>4210</v>
      </c>
      <c r="EZ47" s="9" t="s">
        <v>3629</v>
      </c>
      <c r="FA47" s="9" t="s">
        <v>3629</v>
      </c>
      <c r="FC47" s="9" t="s">
        <v>612</v>
      </c>
      <c r="FD47" s="9" t="s">
        <v>4213</v>
      </c>
      <c r="FE47" s="9" t="s">
        <v>4135</v>
      </c>
      <c r="FF47" s="9" t="s">
        <v>4214</v>
      </c>
      <c r="FG47" s="9" t="s">
        <v>3416</v>
      </c>
      <c r="FI47" s="9" t="s">
        <v>3287</v>
      </c>
      <c r="FK47" s="9" t="s">
        <v>3287</v>
      </c>
      <c r="FM47" s="9" t="s">
        <v>25</v>
      </c>
      <c r="FU47" s="9" t="s">
        <v>28</v>
      </c>
      <c r="FV47" s="9" t="s">
        <v>3629</v>
      </c>
      <c r="FW47" s="9" t="s">
        <v>3303</v>
      </c>
      <c r="FX47" s="9" t="s">
        <v>3872</v>
      </c>
      <c r="FY47" s="9" t="s">
        <v>3315</v>
      </c>
      <c r="GA47" s="9" t="s">
        <v>4210</v>
      </c>
      <c r="GB47" s="9" t="s">
        <v>4215</v>
      </c>
      <c r="GC47" s="9" t="s">
        <v>4210</v>
      </c>
      <c r="GD47" s="9" t="s">
        <v>4215</v>
      </c>
      <c r="GE47" s="9" t="s">
        <v>612</v>
      </c>
      <c r="GF47" s="9" t="s">
        <v>4215</v>
      </c>
      <c r="GG47" s="9" t="s">
        <v>612</v>
      </c>
      <c r="GH47" s="9" t="s">
        <v>4215</v>
      </c>
      <c r="GI47" s="9" t="s">
        <v>3297</v>
      </c>
      <c r="GK47" s="9" t="s">
        <v>25</v>
      </c>
      <c r="GS47" s="9" t="s">
        <v>3508</v>
      </c>
      <c r="GU47" s="9" t="s">
        <v>3287</v>
      </c>
      <c r="GW47" s="9" t="s">
        <v>3508</v>
      </c>
      <c r="GY47" s="9" t="s">
        <v>3508</v>
      </c>
      <c r="HA47" s="9" t="s">
        <v>3508</v>
      </c>
      <c r="HC47" s="9" t="s">
        <v>25</v>
      </c>
      <c r="HI47" s="9" t="s">
        <v>929</v>
      </c>
      <c r="HK47" s="9" t="s">
        <v>3488</v>
      </c>
      <c r="HM47" s="9" t="s">
        <v>3488</v>
      </c>
      <c r="HO47" s="9" t="s">
        <v>3377</v>
      </c>
      <c r="HQ47" s="9" t="s">
        <v>3690</v>
      </c>
      <c r="HS47" s="9" t="s">
        <v>3287</v>
      </c>
      <c r="HU47" s="9" t="s">
        <v>3488</v>
      </c>
      <c r="HW47" s="9" t="s">
        <v>3488</v>
      </c>
      <c r="HY47" s="9" t="s">
        <v>25</v>
      </c>
      <c r="IH47" s="9" t="s">
        <v>4216</v>
      </c>
      <c r="II47" s="9" t="s">
        <v>3315</v>
      </c>
      <c r="IJ47" s="9" t="s">
        <v>3380</v>
      </c>
      <c r="IL47" s="9" t="s">
        <v>3373</v>
      </c>
      <c r="IN47" s="9" t="s">
        <v>3373</v>
      </c>
      <c r="IP47" s="9" t="s">
        <v>3373</v>
      </c>
      <c r="IR47" s="9" t="s">
        <v>3373</v>
      </c>
      <c r="IT47" s="9" t="s">
        <v>612</v>
      </c>
      <c r="IU47" s="9" t="s">
        <v>14016</v>
      </c>
      <c r="IV47" s="9" t="s">
        <v>25</v>
      </c>
      <c r="JD47" s="9" t="s">
        <v>3347</v>
      </c>
      <c r="JF47" s="9" t="s">
        <v>3347</v>
      </c>
      <c r="JH47" s="9" t="s">
        <v>612</v>
      </c>
      <c r="JI47" s="9" t="s">
        <v>32</v>
      </c>
      <c r="JJ47" s="9" t="s">
        <v>4217</v>
      </c>
      <c r="JL47" s="9" t="s">
        <v>4218</v>
      </c>
      <c r="JN47" s="9" t="s">
        <v>3287</v>
      </c>
      <c r="JP47" s="9" t="s">
        <v>3287</v>
      </c>
      <c r="JR47" s="9" t="s">
        <v>25</v>
      </c>
      <c r="JZ47" s="9" t="s">
        <v>3287</v>
      </c>
      <c r="KB47" s="9" t="s">
        <v>3929</v>
      </c>
      <c r="KD47" s="9" t="s">
        <v>3287</v>
      </c>
      <c r="KF47" s="9" t="s">
        <v>612</v>
      </c>
      <c r="KG47" s="9" t="s">
        <v>2409</v>
      </c>
      <c r="KH47" s="9" t="s">
        <v>612</v>
      </c>
      <c r="KI47" s="9" t="s">
        <v>2409</v>
      </c>
      <c r="KJ47" s="9" t="s">
        <v>3287</v>
      </c>
      <c r="KL47" s="9" t="s">
        <v>612</v>
      </c>
      <c r="KM47" s="9" t="s">
        <v>4029</v>
      </c>
      <c r="KN47" s="9" t="s">
        <v>3287</v>
      </c>
      <c r="KP47" s="9" t="s">
        <v>3332</v>
      </c>
      <c r="KR47" s="9" t="s">
        <v>25</v>
      </c>
      <c r="LB47" s="9" t="s">
        <v>612</v>
      </c>
      <c r="LC47" s="9" t="s">
        <v>4219</v>
      </c>
      <c r="LD47" s="9" t="s">
        <v>612</v>
      </c>
      <c r="LE47" s="9" t="s">
        <v>4220</v>
      </c>
      <c r="LF47" s="9" t="s">
        <v>3335</v>
      </c>
      <c r="LH47" s="9" t="s">
        <v>612</v>
      </c>
      <c r="LI47" s="9" t="s">
        <v>4221</v>
      </c>
      <c r="LJ47" s="9" t="s">
        <v>3487</v>
      </c>
      <c r="LL47" s="9" t="s">
        <v>3287</v>
      </c>
      <c r="LN47" s="9" t="s">
        <v>3287</v>
      </c>
      <c r="LP47" s="9" t="s">
        <v>3287</v>
      </c>
      <c r="LR47" s="9" t="s">
        <v>28</v>
      </c>
      <c r="LV47" s="9" t="s">
        <v>4222</v>
      </c>
      <c r="MA47" s="9" t="s">
        <v>14024</v>
      </c>
    </row>
    <row r="48" spans="1:339" ht="38.25" x14ac:dyDescent="0.2">
      <c r="A48" s="8" t="s">
        <v>155</v>
      </c>
      <c r="B48" s="9" t="s">
        <v>25</v>
      </c>
      <c r="C48" s="9" t="s">
        <v>25</v>
      </c>
      <c r="D48" s="9" t="s">
        <v>25</v>
      </c>
      <c r="E48" s="9" t="s">
        <v>25</v>
      </c>
      <c r="F48" s="9" t="s">
        <v>25</v>
      </c>
      <c r="G48" s="9" t="s">
        <v>25</v>
      </c>
      <c r="H48" s="9" t="s">
        <v>25</v>
      </c>
      <c r="I48" s="9" t="s">
        <v>25</v>
      </c>
      <c r="J48" s="9" t="s">
        <v>28</v>
      </c>
      <c r="K48" s="9" t="s">
        <v>4053</v>
      </c>
      <c r="L48" s="9" t="s">
        <v>3377</v>
      </c>
      <c r="N48" s="9" t="s">
        <v>3377</v>
      </c>
      <c r="P48" s="9" t="s">
        <v>3381</v>
      </c>
      <c r="R48" s="9" t="s">
        <v>612</v>
      </c>
      <c r="S48" s="9" t="s">
        <v>4054</v>
      </c>
      <c r="T48" s="9" t="s">
        <v>612</v>
      </c>
      <c r="U48" s="9" t="s">
        <v>4054</v>
      </c>
      <c r="V48" s="9" t="s">
        <v>3287</v>
      </c>
      <c r="AE48" s="9" t="s">
        <v>4055</v>
      </c>
      <c r="AG48" s="9" t="s">
        <v>3282</v>
      </c>
      <c r="AI48" s="9" t="s">
        <v>3287</v>
      </c>
      <c r="AK48" s="9" t="s">
        <v>4056</v>
      </c>
      <c r="AM48" s="9" t="s">
        <v>4056</v>
      </c>
      <c r="AO48" s="9" t="s">
        <v>3282</v>
      </c>
      <c r="AQ48" s="9" t="s">
        <v>3282</v>
      </c>
      <c r="AS48" s="9" t="s">
        <v>3282</v>
      </c>
      <c r="BD48" s="9" t="s">
        <v>4057</v>
      </c>
      <c r="BF48" s="9" t="s">
        <v>4057</v>
      </c>
      <c r="BH48" s="9" t="s">
        <v>4057</v>
      </c>
      <c r="BJ48" s="9" t="s">
        <v>3287</v>
      </c>
      <c r="BQ48" s="9" t="s">
        <v>53</v>
      </c>
      <c r="BS48" s="9" t="s">
        <v>3341</v>
      </c>
      <c r="BU48" s="9" t="s">
        <v>53</v>
      </c>
      <c r="BW48" s="9" t="s">
        <v>3282</v>
      </c>
      <c r="BY48" s="9" t="s">
        <v>25</v>
      </c>
      <c r="CD48" s="9" t="s">
        <v>4058</v>
      </c>
      <c r="CF48" s="9" t="s">
        <v>3862</v>
      </c>
      <c r="CH48" s="9" t="s">
        <v>4059</v>
      </c>
      <c r="CJ48" s="9" t="s">
        <v>3292</v>
      </c>
      <c r="CL48" s="9" t="s">
        <v>3293</v>
      </c>
      <c r="CN48" s="9" t="s">
        <v>612</v>
      </c>
      <c r="CO48" s="9" t="s">
        <v>4060</v>
      </c>
      <c r="CP48" s="9" t="s">
        <v>3287</v>
      </c>
      <c r="CR48" s="9" t="s">
        <v>25</v>
      </c>
      <c r="CY48" s="9" t="s">
        <v>3287</v>
      </c>
      <c r="DA48" s="9" t="s">
        <v>3297</v>
      </c>
      <c r="DC48" s="9" t="s">
        <v>3297</v>
      </c>
      <c r="DE48" s="9" t="s">
        <v>3297</v>
      </c>
      <c r="DG48" s="9" t="s">
        <v>3287</v>
      </c>
      <c r="DI48" s="9" t="s">
        <v>3287</v>
      </c>
      <c r="DK48" s="9" t="s">
        <v>3287</v>
      </c>
      <c r="DM48" s="9" t="s">
        <v>3287</v>
      </c>
      <c r="DO48" s="9" t="s">
        <v>3287</v>
      </c>
      <c r="DQ48" s="9" t="s">
        <v>3287</v>
      </c>
      <c r="DS48" s="9" t="s">
        <v>3297</v>
      </c>
      <c r="DU48" s="9" t="s">
        <v>3417</v>
      </c>
      <c r="DW48" s="9" t="s">
        <v>4061</v>
      </c>
      <c r="DY48" s="9" t="s">
        <v>3297</v>
      </c>
      <c r="EA48" s="9" t="s">
        <v>4062</v>
      </c>
      <c r="EC48" s="9" t="s">
        <v>3418</v>
      </c>
      <c r="EE48" s="9" t="s">
        <v>612</v>
      </c>
      <c r="EF48" s="9" t="s">
        <v>4063</v>
      </c>
      <c r="EG48" s="9" t="s">
        <v>25</v>
      </c>
      <c r="EY48" s="9" t="s">
        <v>4064</v>
      </c>
      <c r="FA48" s="9" t="s">
        <v>3811</v>
      </c>
      <c r="FC48" s="9" t="s">
        <v>3287</v>
      </c>
      <c r="FE48" s="9" t="s">
        <v>3811</v>
      </c>
      <c r="FG48" s="9" t="s">
        <v>4062</v>
      </c>
      <c r="FI48" s="9" t="s">
        <v>612</v>
      </c>
      <c r="FJ48" s="9" t="s">
        <v>4063</v>
      </c>
      <c r="FK48" s="9" t="s">
        <v>13588</v>
      </c>
      <c r="FM48" s="9" t="s">
        <v>25</v>
      </c>
      <c r="FU48" s="9" t="s">
        <v>25</v>
      </c>
      <c r="FW48" s="9" t="s">
        <v>3396</v>
      </c>
      <c r="FY48" s="9" t="s">
        <v>3287</v>
      </c>
      <c r="GA48" s="9" t="s">
        <v>4065</v>
      </c>
      <c r="GC48" s="9" t="s">
        <v>3396</v>
      </c>
      <c r="GE48" s="9" t="s">
        <v>3396</v>
      </c>
      <c r="GG48" s="9" t="s">
        <v>3396</v>
      </c>
      <c r="GI48" s="9" t="s">
        <v>3287</v>
      </c>
      <c r="GK48" s="9" t="s">
        <v>25</v>
      </c>
      <c r="GS48" s="9" t="s">
        <v>3282</v>
      </c>
      <c r="GU48" s="9" t="s">
        <v>3282</v>
      </c>
      <c r="GW48" s="9" t="s">
        <v>3282</v>
      </c>
      <c r="GY48" s="9" t="s">
        <v>3282</v>
      </c>
      <c r="HA48" s="9" t="s">
        <v>3282</v>
      </c>
      <c r="HC48" s="9" t="s">
        <v>25</v>
      </c>
      <c r="HI48" s="9" t="s">
        <v>3347</v>
      </c>
      <c r="HK48" s="9" t="s">
        <v>4066</v>
      </c>
      <c r="HM48" s="9" t="s">
        <v>3421</v>
      </c>
      <c r="HO48" s="9" t="s">
        <v>3377</v>
      </c>
      <c r="HQ48" s="9" t="s">
        <v>612</v>
      </c>
      <c r="HR48" s="9" t="s">
        <v>4067</v>
      </c>
      <c r="HS48" s="9" t="s">
        <v>3872</v>
      </c>
      <c r="HU48" s="9" t="s">
        <v>3421</v>
      </c>
      <c r="HW48" s="9" t="s">
        <v>3421</v>
      </c>
      <c r="IH48" s="9" t="s">
        <v>3397</v>
      </c>
      <c r="IJ48" s="9" t="s">
        <v>3380</v>
      </c>
      <c r="IL48" s="9" t="s">
        <v>3373</v>
      </c>
      <c r="IN48" s="9" t="s">
        <v>3373</v>
      </c>
      <c r="IP48" s="9" t="s">
        <v>3373</v>
      </c>
      <c r="IR48" s="9" t="s">
        <v>3373</v>
      </c>
      <c r="IT48" s="9" t="s">
        <v>3513</v>
      </c>
      <c r="JD48" s="9" t="s">
        <v>3347</v>
      </c>
      <c r="JF48" s="9" t="s">
        <v>3287</v>
      </c>
      <c r="JH48" s="9" t="s">
        <v>3287</v>
      </c>
      <c r="JJ48" s="9" t="s">
        <v>3347</v>
      </c>
      <c r="JL48" s="9" t="s">
        <v>3347</v>
      </c>
      <c r="JN48" s="9" t="s">
        <v>3347</v>
      </c>
      <c r="JP48" s="9" t="s">
        <v>3287</v>
      </c>
      <c r="JR48" s="9" t="s">
        <v>25</v>
      </c>
      <c r="JZ48" s="9" t="s">
        <v>4068</v>
      </c>
      <c r="KA48" s="9" t="s">
        <v>4069</v>
      </c>
      <c r="KB48" s="9" t="s">
        <v>3328</v>
      </c>
      <c r="KD48" s="9" t="s">
        <v>3397</v>
      </c>
      <c r="KF48" s="9" t="s">
        <v>3287</v>
      </c>
      <c r="KH48" s="9" t="s">
        <v>3287</v>
      </c>
      <c r="KL48" s="9" t="s">
        <v>3287</v>
      </c>
      <c r="KN48" s="9" t="s">
        <v>3643</v>
      </c>
      <c r="KP48" s="9" t="s">
        <v>3287</v>
      </c>
      <c r="LB48" s="9" t="s">
        <v>3287</v>
      </c>
      <c r="LD48" s="9" t="s">
        <v>3287</v>
      </c>
      <c r="LF48" s="9" t="s">
        <v>3287</v>
      </c>
      <c r="LH48" s="9" t="s">
        <v>3336</v>
      </c>
      <c r="LJ48" s="9" t="s">
        <v>3465</v>
      </c>
      <c r="LL48" s="9" t="s">
        <v>3587</v>
      </c>
      <c r="LN48" s="9" t="s">
        <v>3287</v>
      </c>
      <c r="LP48" s="9" t="s">
        <v>3287</v>
      </c>
      <c r="LR48" s="9" t="s">
        <v>25</v>
      </c>
      <c r="MA48" s="9" t="s">
        <v>4070</v>
      </c>
    </row>
    <row r="49" spans="1:339" ht="25.5" x14ac:dyDescent="0.2">
      <c r="A49" s="8" t="s">
        <v>128</v>
      </c>
      <c r="B49" s="9" t="s">
        <v>25</v>
      </c>
      <c r="C49" s="9" t="s">
        <v>25</v>
      </c>
      <c r="D49" s="9" t="s">
        <v>25</v>
      </c>
      <c r="E49" s="9" t="s">
        <v>25</v>
      </c>
      <c r="F49" s="9" t="s">
        <v>25</v>
      </c>
      <c r="G49" s="9" t="s">
        <v>25</v>
      </c>
      <c r="H49" s="9" t="s">
        <v>25</v>
      </c>
      <c r="I49" s="9" t="s">
        <v>25</v>
      </c>
      <c r="J49" s="9" t="s">
        <v>28</v>
      </c>
      <c r="K49" s="9" t="s">
        <v>3561</v>
      </c>
      <c r="L49" s="9" t="s">
        <v>3562</v>
      </c>
      <c r="N49" s="9" t="s">
        <v>3563</v>
      </c>
      <c r="P49" s="9" t="s">
        <v>3564</v>
      </c>
      <c r="R49" s="9" t="s">
        <v>3378</v>
      </c>
      <c r="T49" s="9" t="s">
        <v>3347</v>
      </c>
      <c r="V49" s="9" t="s">
        <v>3287</v>
      </c>
      <c r="X49" s="9" t="s">
        <v>25</v>
      </c>
      <c r="AE49" s="9" t="s">
        <v>3287</v>
      </c>
      <c r="AG49" s="9" t="s">
        <v>3287</v>
      </c>
      <c r="AI49" s="9" t="s">
        <v>3287</v>
      </c>
      <c r="AK49" s="9" t="s">
        <v>3287</v>
      </c>
      <c r="AM49" s="9" t="s">
        <v>3563</v>
      </c>
      <c r="AO49" s="9" t="s">
        <v>3287</v>
      </c>
      <c r="AQ49" s="9" t="s">
        <v>3287</v>
      </c>
      <c r="AS49" s="9" t="s">
        <v>3287</v>
      </c>
      <c r="AU49" s="9" t="s">
        <v>25</v>
      </c>
      <c r="BD49" s="9" t="s">
        <v>3565</v>
      </c>
      <c r="BF49" s="9" t="s">
        <v>3565</v>
      </c>
      <c r="BH49" s="9" t="s">
        <v>3565</v>
      </c>
      <c r="BJ49" s="9" t="s">
        <v>3287</v>
      </c>
      <c r="BL49" s="9" t="s">
        <v>25</v>
      </c>
      <c r="BQ49" s="9" t="s">
        <v>53</v>
      </c>
      <c r="BS49" s="9" t="s">
        <v>3566</v>
      </c>
      <c r="BU49" s="9" t="s">
        <v>3287</v>
      </c>
      <c r="BW49" s="9" t="s">
        <v>53</v>
      </c>
      <c r="BY49" s="9" t="s">
        <v>25</v>
      </c>
      <c r="CD49" s="9" t="s">
        <v>3567</v>
      </c>
      <c r="CF49" s="9" t="s">
        <v>3567</v>
      </c>
      <c r="CH49" s="9" t="s">
        <v>3568</v>
      </c>
      <c r="CI49" s="9" t="s">
        <v>3569</v>
      </c>
      <c r="CJ49" s="9" t="s">
        <v>3349</v>
      </c>
      <c r="CL49" s="9" t="s">
        <v>3349</v>
      </c>
      <c r="CN49" s="9" t="s">
        <v>3349</v>
      </c>
      <c r="CP49" s="9" t="s">
        <v>612</v>
      </c>
      <c r="CQ49" s="9" t="s">
        <v>3570</v>
      </c>
      <c r="CR49" s="9" t="s">
        <v>25</v>
      </c>
      <c r="CY49" s="9" t="s">
        <v>3287</v>
      </c>
      <c r="DA49" s="9" t="s">
        <v>3571</v>
      </c>
      <c r="DC49" s="9" t="s">
        <v>3572</v>
      </c>
      <c r="DE49" s="9" t="s">
        <v>3287</v>
      </c>
      <c r="DG49" s="9" t="s">
        <v>3287</v>
      </c>
      <c r="DI49" s="9" t="s">
        <v>3287</v>
      </c>
      <c r="DK49" s="9" t="s">
        <v>3287</v>
      </c>
      <c r="DM49" s="9" t="s">
        <v>3287</v>
      </c>
      <c r="DO49" s="9" t="s">
        <v>3287</v>
      </c>
      <c r="DQ49" s="9" t="s">
        <v>3287</v>
      </c>
      <c r="DS49" s="9" t="s">
        <v>3297</v>
      </c>
      <c r="DU49" s="9" t="s">
        <v>3573</v>
      </c>
      <c r="DW49" s="9" t="s">
        <v>3574</v>
      </c>
      <c r="DY49" s="9" t="s">
        <v>3297</v>
      </c>
      <c r="EA49" s="9" t="s">
        <v>3575</v>
      </c>
      <c r="EC49" s="9" t="s">
        <v>3418</v>
      </c>
      <c r="EE49" s="9" t="s">
        <v>3287</v>
      </c>
      <c r="EG49" s="9" t="s">
        <v>25</v>
      </c>
      <c r="EY49" s="9" t="s">
        <v>3530</v>
      </c>
      <c r="FA49" s="9" t="s">
        <v>3530</v>
      </c>
      <c r="FC49" s="9" t="s">
        <v>3530</v>
      </c>
      <c r="FE49" s="9" t="s">
        <v>3287</v>
      </c>
      <c r="FG49" s="9" t="s">
        <v>3530</v>
      </c>
      <c r="FI49" s="9" t="s">
        <v>3287</v>
      </c>
      <c r="FK49" s="9" t="s">
        <v>3530</v>
      </c>
      <c r="FM49" s="9" t="s">
        <v>25</v>
      </c>
      <c r="FU49" s="9" t="s">
        <v>25</v>
      </c>
      <c r="FW49" s="9" t="s">
        <v>2205</v>
      </c>
      <c r="FY49" s="9" t="s">
        <v>3287</v>
      </c>
      <c r="GA49" s="9" t="s">
        <v>2205</v>
      </c>
      <c r="GC49" s="9" t="s">
        <v>3287</v>
      </c>
      <c r="GE49" s="9" t="s">
        <v>3287</v>
      </c>
      <c r="GG49" s="9" t="s">
        <v>3287</v>
      </c>
      <c r="GI49" s="9" t="s">
        <v>3287</v>
      </c>
      <c r="GK49" s="9" t="s">
        <v>25</v>
      </c>
      <c r="GS49" s="9" t="s">
        <v>53</v>
      </c>
      <c r="GU49" s="9" t="s">
        <v>53</v>
      </c>
      <c r="GW49" s="9" t="s">
        <v>53</v>
      </c>
      <c r="GY49" s="9" t="s">
        <v>53</v>
      </c>
      <c r="HA49" s="9" t="s">
        <v>3576</v>
      </c>
      <c r="HC49" s="9" t="s">
        <v>25</v>
      </c>
      <c r="HI49" s="9" t="s">
        <v>3577</v>
      </c>
      <c r="HK49" s="9" t="s">
        <v>3349</v>
      </c>
      <c r="HM49" s="9" t="s">
        <v>3578</v>
      </c>
      <c r="HO49" s="9" t="s">
        <v>3287</v>
      </c>
      <c r="HQ49" s="9" t="s">
        <v>3422</v>
      </c>
      <c r="HS49" s="9" t="s">
        <v>3287</v>
      </c>
      <c r="HU49" s="9" t="s">
        <v>3578</v>
      </c>
      <c r="HW49" s="9" t="s">
        <v>3578</v>
      </c>
      <c r="HY49" s="9" t="s">
        <v>25</v>
      </c>
      <c r="IH49" s="9" t="s">
        <v>3579</v>
      </c>
      <c r="IJ49" s="9" t="s">
        <v>3514</v>
      </c>
      <c r="IL49" s="9" t="s">
        <v>3579</v>
      </c>
      <c r="IN49" s="9" t="s">
        <v>3579</v>
      </c>
      <c r="IP49" s="9" t="s">
        <v>3579</v>
      </c>
      <c r="IR49" s="9" t="s">
        <v>3579</v>
      </c>
      <c r="IT49" s="9" t="s">
        <v>3514</v>
      </c>
      <c r="IV49" s="9" t="s">
        <v>28</v>
      </c>
      <c r="JC49" s="9" t="s">
        <v>3579</v>
      </c>
      <c r="JD49" s="9" t="s">
        <v>3347</v>
      </c>
      <c r="JF49" s="9" t="s">
        <v>3287</v>
      </c>
      <c r="JH49" s="9" t="s">
        <v>3287</v>
      </c>
      <c r="JJ49" s="9" t="s">
        <v>3347</v>
      </c>
      <c r="JL49" s="9" t="s">
        <v>3347</v>
      </c>
      <c r="JN49" s="9" t="s">
        <v>3347</v>
      </c>
      <c r="JP49" s="9" t="s">
        <v>3580</v>
      </c>
      <c r="JR49" s="9" t="s">
        <v>25</v>
      </c>
      <c r="JZ49" s="9" t="s">
        <v>3287</v>
      </c>
      <c r="KB49" s="9" t="s">
        <v>3581</v>
      </c>
      <c r="KD49" s="9" t="s">
        <v>3287</v>
      </c>
      <c r="KF49" s="9" t="s">
        <v>3287</v>
      </c>
      <c r="KH49" s="9" t="s">
        <v>3287</v>
      </c>
      <c r="KL49" s="9" t="s">
        <v>3582</v>
      </c>
      <c r="KM49" s="9" t="s">
        <v>3583</v>
      </c>
      <c r="KN49" s="9" t="s">
        <v>3584</v>
      </c>
      <c r="KP49" s="9" t="s">
        <v>3332</v>
      </c>
      <c r="KR49" s="9" t="s">
        <v>25</v>
      </c>
      <c r="LB49" s="9" t="s">
        <v>3287</v>
      </c>
      <c r="LD49" s="9" t="s">
        <v>3287</v>
      </c>
      <c r="LF49" s="9" t="s">
        <v>3585</v>
      </c>
      <c r="LH49" s="9" t="s">
        <v>3287</v>
      </c>
      <c r="LJ49" s="9" t="s">
        <v>3586</v>
      </c>
      <c r="LL49" s="9" t="s">
        <v>3587</v>
      </c>
      <c r="LN49" s="9" t="s">
        <v>3287</v>
      </c>
      <c r="LP49" s="9" t="s">
        <v>3287</v>
      </c>
      <c r="LR49" s="9" t="s">
        <v>25</v>
      </c>
      <c r="MA49" s="9" t="s">
        <v>894</v>
      </c>
    </row>
    <row r="50" spans="1:339" ht="25.5" x14ac:dyDescent="0.2">
      <c r="A50" s="8" t="s">
        <v>126</v>
      </c>
      <c r="B50" s="9" t="s">
        <v>25</v>
      </c>
      <c r="C50" s="9" t="s">
        <v>25</v>
      </c>
      <c r="D50" s="9" t="s">
        <v>25</v>
      </c>
      <c r="E50" s="9" t="s">
        <v>28</v>
      </c>
      <c r="F50" s="9" t="s">
        <v>25</v>
      </c>
      <c r="G50" s="9" t="s">
        <v>25</v>
      </c>
      <c r="H50" s="9" t="s">
        <v>25</v>
      </c>
      <c r="I50" s="9" t="s">
        <v>25</v>
      </c>
      <c r="L50" s="9" t="s">
        <v>3279</v>
      </c>
      <c r="N50" s="9" t="s">
        <v>3279</v>
      </c>
      <c r="P50" s="9" t="s">
        <v>3279</v>
      </c>
      <c r="R50" s="9" t="s">
        <v>3520</v>
      </c>
      <c r="T50" s="9" t="s">
        <v>3279</v>
      </c>
      <c r="V50" s="9" t="s">
        <v>3279</v>
      </c>
      <c r="X50" s="9" t="s">
        <v>25</v>
      </c>
      <c r="AE50" s="9" t="s">
        <v>3282</v>
      </c>
      <c r="AG50" s="9" t="s">
        <v>3282</v>
      </c>
      <c r="AI50" s="9" t="s">
        <v>3282</v>
      </c>
      <c r="AK50" s="9" t="s">
        <v>3287</v>
      </c>
      <c r="AM50" s="9" t="s">
        <v>612</v>
      </c>
      <c r="AN50" s="9" t="s">
        <v>3521</v>
      </c>
      <c r="AO50" s="9" t="s">
        <v>3287</v>
      </c>
      <c r="AQ50" s="9" t="s">
        <v>3282</v>
      </c>
      <c r="AS50" s="9" t="s">
        <v>3287</v>
      </c>
      <c r="AU50" s="9" t="s">
        <v>25</v>
      </c>
      <c r="BD50" s="9" t="s">
        <v>3522</v>
      </c>
      <c r="BE50" s="9" t="s">
        <v>3523</v>
      </c>
      <c r="BF50" s="9" t="s">
        <v>612</v>
      </c>
      <c r="BG50" s="9" t="s">
        <v>3523</v>
      </c>
      <c r="BH50" s="9" t="s">
        <v>612</v>
      </c>
      <c r="BI50" s="9" t="s">
        <v>3523</v>
      </c>
      <c r="BJ50" s="9" t="s">
        <v>612</v>
      </c>
      <c r="BK50" s="9" t="s">
        <v>3523</v>
      </c>
      <c r="BL50" s="9" t="s">
        <v>25</v>
      </c>
      <c r="BQ50" s="9" t="s">
        <v>53</v>
      </c>
      <c r="BS50" s="9" t="s">
        <v>3341</v>
      </c>
      <c r="BU50" s="9" t="s">
        <v>3287</v>
      </c>
      <c r="BW50" s="9" t="s">
        <v>3282</v>
      </c>
      <c r="BY50" s="9" t="s">
        <v>25</v>
      </c>
      <c r="CD50" s="9" t="s">
        <v>3290</v>
      </c>
      <c r="CF50" s="9" t="s">
        <v>3524</v>
      </c>
      <c r="CH50" s="9" t="s">
        <v>3303</v>
      </c>
      <c r="CI50" s="9" t="s">
        <v>3525</v>
      </c>
      <c r="CJ50" s="9" t="s">
        <v>3397</v>
      </c>
      <c r="CL50" s="9" t="s">
        <v>3293</v>
      </c>
      <c r="CN50" s="9" t="s">
        <v>612</v>
      </c>
      <c r="CO50" s="9" t="s">
        <v>3477</v>
      </c>
      <c r="CP50" s="9" t="s">
        <v>3287</v>
      </c>
      <c r="CR50" s="9" t="s">
        <v>25</v>
      </c>
      <c r="CY50" s="9" t="s">
        <v>3287</v>
      </c>
      <c r="DA50" s="9" t="s">
        <v>3287</v>
      </c>
      <c r="DC50" s="9" t="s">
        <v>3526</v>
      </c>
      <c r="DE50" s="9" t="s">
        <v>3287</v>
      </c>
      <c r="DG50" s="9" t="s">
        <v>3287</v>
      </c>
      <c r="DI50" s="9" t="s">
        <v>3287</v>
      </c>
      <c r="DK50" s="9" t="s">
        <v>3287</v>
      </c>
      <c r="DM50" s="9" t="s">
        <v>3287</v>
      </c>
      <c r="DO50" s="9" t="s">
        <v>3287</v>
      </c>
      <c r="DQ50" s="9" t="s">
        <v>3287</v>
      </c>
      <c r="DS50" s="9" t="s">
        <v>3297</v>
      </c>
      <c r="DU50" s="9" t="s">
        <v>612</v>
      </c>
      <c r="DV50" s="9" t="s">
        <v>3527</v>
      </c>
      <c r="DW50" s="9" t="s">
        <v>3287</v>
      </c>
      <c r="DY50" s="9" t="s">
        <v>3297</v>
      </c>
      <c r="EA50" s="9" t="s">
        <v>3287</v>
      </c>
      <c r="EC50" s="9" t="s">
        <v>3528</v>
      </c>
      <c r="ED50" s="9" t="s">
        <v>3529</v>
      </c>
      <c r="EE50" s="9" t="s">
        <v>3287</v>
      </c>
      <c r="EG50" s="9" t="s">
        <v>25</v>
      </c>
      <c r="EY50" s="9" t="s">
        <v>3530</v>
      </c>
      <c r="FA50" s="9" t="s">
        <v>3287</v>
      </c>
      <c r="FC50" s="9" t="s">
        <v>3530</v>
      </c>
      <c r="FE50" s="9" t="s">
        <v>3287</v>
      </c>
      <c r="FG50" s="9" t="s">
        <v>3297</v>
      </c>
      <c r="FI50" s="9" t="s">
        <v>3287</v>
      </c>
      <c r="FK50" s="9" t="s">
        <v>3531</v>
      </c>
      <c r="FM50" s="9" t="s">
        <v>25</v>
      </c>
      <c r="FU50" s="9" t="s">
        <v>25</v>
      </c>
      <c r="FW50" s="9" t="s">
        <v>3287</v>
      </c>
      <c r="FY50" s="9" t="s">
        <v>612</v>
      </c>
      <c r="FZ50" s="9" t="s">
        <v>3532</v>
      </c>
      <c r="GA50" s="9" t="s">
        <v>3287</v>
      </c>
      <c r="GC50" s="9" t="s">
        <v>3287</v>
      </c>
      <c r="GE50" s="9" t="s">
        <v>3287</v>
      </c>
      <c r="GG50" s="9" t="s">
        <v>3287</v>
      </c>
      <c r="GI50" s="9" t="s">
        <v>612</v>
      </c>
      <c r="GJ50" s="9" t="s">
        <v>3440</v>
      </c>
      <c r="GK50" s="9" t="s">
        <v>25</v>
      </c>
      <c r="GS50" s="9" t="s">
        <v>3282</v>
      </c>
      <c r="GU50" s="9" t="s">
        <v>3282</v>
      </c>
      <c r="GW50" s="9" t="s">
        <v>3287</v>
      </c>
      <c r="GY50" s="9" t="s">
        <v>3287</v>
      </c>
      <c r="HA50" s="9" t="s">
        <v>3282</v>
      </c>
      <c r="HC50" s="9" t="s">
        <v>25</v>
      </c>
      <c r="HI50" s="9" t="s">
        <v>3533</v>
      </c>
      <c r="HK50" s="9" t="s">
        <v>3533</v>
      </c>
      <c r="HM50" s="9" t="s">
        <v>3533</v>
      </c>
      <c r="HO50" s="9" t="s">
        <v>3287</v>
      </c>
      <c r="HQ50" s="9" t="s">
        <v>3422</v>
      </c>
      <c r="HS50" s="9" t="s">
        <v>3287</v>
      </c>
      <c r="HU50" s="9" t="s">
        <v>3533</v>
      </c>
      <c r="HW50" s="9" t="s">
        <v>3533</v>
      </c>
      <c r="HY50" s="9" t="s">
        <v>25</v>
      </c>
      <c r="IH50" s="9" t="s">
        <v>3423</v>
      </c>
      <c r="IJ50" s="9" t="s">
        <v>3323</v>
      </c>
      <c r="IL50" s="9" t="s">
        <v>3534</v>
      </c>
      <c r="IM50" s="9" t="s">
        <v>3535</v>
      </c>
      <c r="IN50" s="9" t="s">
        <v>3534</v>
      </c>
      <c r="IO50" s="9" t="s">
        <v>3536</v>
      </c>
      <c r="IP50" s="9" t="s">
        <v>3322</v>
      </c>
      <c r="IR50" s="9" t="s">
        <v>3322</v>
      </c>
      <c r="IT50" s="9" t="s">
        <v>3514</v>
      </c>
      <c r="IV50" s="9" t="s">
        <v>25</v>
      </c>
      <c r="JD50" s="9" t="s">
        <v>3520</v>
      </c>
      <c r="JF50" s="9" t="s">
        <v>3520</v>
      </c>
      <c r="JH50" s="9" t="s">
        <v>3520</v>
      </c>
      <c r="JJ50" s="9" t="s">
        <v>3520</v>
      </c>
      <c r="JL50" s="9" t="s">
        <v>3287</v>
      </c>
      <c r="JN50" s="9" t="s">
        <v>3520</v>
      </c>
      <c r="JP50" s="9" t="s">
        <v>3287</v>
      </c>
      <c r="JR50" s="9" t="s">
        <v>25</v>
      </c>
      <c r="JZ50" s="9" t="s">
        <v>3537</v>
      </c>
      <c r="KB50" s="9" t="s">
        <v>3328</v>
      </c>
      <c r="KD50" s="9" t="s">
        <v>3287</v>
      </c>
      <c r="KF50" s="9" t="s">
        <v>3287</v>
      </c>
      <c r="KH50" s="9" t="s">
        <v>3287</v>
      </c>
      <c r="KJ50" s="9" t="s">
        <v>3287</v>
      </c>
      <c r="KL50" s="9" t="s">
        <v>3287</v>
      </c>
      <c r="KN50" s="9" t="s">
        <v>3287</v>
      </c>
      <c r="KP50" s="9" t="s">
        <v>3332</v>
      </c>
      <c r="KR50" s="9" t="s">
        <v>25</v>
      </c>
      <c r="LB50" s="9" t="s">
        <v>3287</v>
      </c>
      <c r="LD50" s="9" t="s">
        <v>3287</v>
      </c>
      <c r="LF50" s="9" t="s">
        <v>3287</v>
      </c>
      <c r="LH50" s="9" t="s">
        <v>3287</v>
      </c>
      <c r="LJ50" s="9" t="s">
        <v>3287</v>
      </c>
      <c r="LL50" s="9" t="s">
        <v>3287</v>
      </c>
      <c r="LN50" s="9" t="s">
        <v>3287</v>
      </c>
      <c r="LP50" s="9" t="s">
        <v>3287</v>
      </c>
      <c r="LR50" s="9" t="s">
        <v>25</v>
      </c>
      <c r="MA50" s="9" t="s">
        <v>3538</v>
      </c>
    </row>
    <row r="51" spans="1:339" ht="25.5" x14ac:dyDescent="0.2">
      <c r="A51" s="8" t="s">
        <v>130</v>
      </c>
      <c r="B51" s="9" t="s">
        <v>25</v>
      </c>
      <c r="C51" s="9" t="s">
        <v>25</v>
      </c>
      <c r="D51" s="9" t="s">
        <v>25</v>
      </c>
      <c r="E51" s="9" t="s">
        <v>25</v>
      </c>
      <c r="F51" s="9" t="s">
        <v>25</v>
      </c>
      <c r="G51" s="9" t="s">
        <v>25</v>
      </c>
      <c r="H51" s="9" t="s">
        <v>25</v>
      </c>
      <c r="I51" s="9" t="s">
        <v>25</v>
      </c>
      <c r="J51" s="9" t="s">
        <v>25</v>
      </c>
      <c r="L51" s="9" t="s">
        <v>612</v>
      </c>
      <c r="M51" s="9" t="s">
        <v>3607</v>
      </c>
      <c r="N51" s="9" t="s">
        <v>612</v>
      </c>
      <c r="O51" s="9" t="s">
        <v>3607</v>
      </c>
      <c r="P51" s="9" t="s">
        <v>612</v>
      </c>
      <c r="Q51" s="9" t="s">
        <v>3607</v>
      </c>
      <c r="R51" s="9" t="s">
        <v>3355</v>
      </c>
      <c r="T51" s="9" t="s">
        <v>3355</v>
      </c>
      <c r="V51" s="9" t="s">
        <v>3287</v>
      </c>
      <c r="X51" s="9" t="s">
        <v>25</v>
      </c>
      <c r="AE51" s="9" t="s">
        <v>3287</v>
      </c>
      <c r="AG51" s="9" t="s">
        <v>3287</v>
      </c>
      <c r="AI51" s="9" t="s">
        <v>3282</v>
      </c>
      <c r="AK51" s="9" t="s">
        <v>3287</v>
      </c>
      <c r="AM51" s="9" t="s">
        <v>3287</v>
      </c>
      <c r="AO51" s="9" t="s">
        <v>3287</v>
      </c>
      <c r="AQ51" s="9" t="s">
        <v>3287</v>
      </c>
      <c r="AS51" s="9" t="s">
        <v>3287</v>
      </c>
      <c r="AU51" s="9" t="s">
        <v>25</v>
      </c>
      <c r="BD51" s="9" t="s">
        <v>3342</v>
      </c>
      <c r="BF51" s="9" t="s">
        <v>3342</v>
      </c>
      <c r="BH51" s="9" t="s">
        <v>3342</v>
      </c>
      <c r="BJ51" s="9" t="s">
        <v>3287</v>
      </c>
      <c r="BL51" s="9" t="s">
        <v>25</v>
      </c>
      <c r="BQ51" s="9" t="s">
        <v>53</v>
      </c>
      <c r="BS51" s="9" t="s">
        <v>3341</v>
      </c>
      <c r="BW51" s="9" t="s">
        <v>3282</v>
      </c>
      <c r="BY51" s="9" t="s">
        <v>25</v>
      </c>
      <c r="CD51" s="9" t="s">
        <v>3291</v>
      </c>
      <c r="CF51" s="9" t="s">
        <v>3291</v>
      </c>
      <c r="CH51" s="9" t="s">
        <v>612</v>
      </c>
      <c r="CI51" s="9" t="s">
        <v>3301</v>
      </c>
      <c r="CJ51" s="9" t="s">
        <v>3292</v>
      </c>
      <c r="CL51" s="9" t="s">
        <v>3608</v>
      </c>
      <c r="CM51" s="9" t="s">
        <v>3609</v>
      </c>
      <c r="CN51" s="9" t="s">
        <v>3440</v>
      </c>
      <c r="CP51" s="9" t="s">
        <v>3287</v>
      </c>
      <c r="CR51" s="9" t="s">
        <v>25</v>
      </c>
      <c r="CY51" s="9" t="s">
        <v>3287</v>
      </c>
      <c r="DA51" s="9" t="s">
        <v>3287</v>
      </c>
      <c r="DC51" s="9" t="s">
        <v>3287</v>
      </c>
      <c r="DE51" s="9" t="s">
        <v>3287</v>
      </c>
      <c r="DG51" s="9" t="s">
        <v>3287</v>
      </c>
      <c r="DI51" s="9" t="s">
        <v>3287</v>
      </c>
      <c r="DK51" s="9" t="s">
        <v>3287</v>
      </c>
      <c r="DM51" s="9" t="s">
        <v>3287</v>
      </c>
      <c r="DO51" s="9" t="s">
        <v>3287</v>
      </c>
      <c r="DQ51" s="9" t="s">
        <v>3287</v>
      </c>
      <c r="DS51" s="9" t="s">
        <v>3297</v>
      </c>
      <c r="DU51" s="9" t="s">
        <v>3416</v>
      </c>
      <c r="DW51" s="9" t="s">
        <v>3287</v>
      </c>
      <c r="DY51" s="9" t="s">
        <v>3287</v>
      </c>
      <c r="EA51" s="9" t="s">
        <v>3287</v>
      </c>
      <c r="EC51" s="9" t="s">
        <v>612</v>
      </c>
      <c r="ED51" s="9" t="s">
        <v>2422</v>
      </c>
      <c r="EE51" s="9" t="s">
        <v>3287</v>
      </c>
      <c r="EY51" s="9" t="s">
        <v>3287</v>
      </c>
      <c r="FA51" s="9" t="s">
        <v>3287</v>
      </c>
      <c r="FC51" s="9" t="s">
        <v>3287</v>
      </c>
      <c r="FE51" s="9" t="s">
        <v>3287</v>
      </c>
      <c r="FG51" s="9" t="s">
        <v>3287</v>
      </c>
      <c r="FI51" s="9" t="s">
        <v>3287</v>
      </c>
      <c r="FK51" s="9" t="s">
        <v>3287</v>
      </c>
      <c r="FM51" s="9" t="s">
        <v>25</v>
      </c>
      <c r="FU51" s="9" t="s">
        <v>25</v>
      </c>
      <c r="FW51" s="9" t="s">
        <v>3610</v>
      </c>
      <c r="FY51" s="9" t="s">
        <v>3287</v>
      </c>
      <c r="GA51" s="9" t="s">
        <v>3610</v>
      </c>
      <c r="GC51" s="9" t="s">
        <v>3610</v>
      </c>
      <c r="GE51" s="9" t="s">
        <v>3287</v>
      </c>
      <c r="GG51" s="9" t="s">
        <v>3611</v>
      </c>
      <c r="GI51" s="9" t="s">
        <v>612</v>
      </c>
      <c r="GJ51" s="9" t="s">
        <v>3440</v>
      </c>
      <c r="GK51" s="9" t="s">
        <v>25</v>
      </c>
      <c r="GS51" s="9" t="s">
        <v>3282</v>
      </c>
      <c r="GU51" s="9" t="s">
        <v>3282</v>
      </c>
      <c r="GW51" s="9" t="s">
        <v>3287</v>
      </c>
      <c r="GY51" s="9" t="s">
        <v>3287</v>
      </c>
      <c r="HA51" s="9" t="s">
        <v>3287</v>
      </c>
      <c r="HC51" s="9" t="s">
        <v>25</v>
      </c>
      <c r="HI51" s="9" t="s">
        <v>3371</v>
      </c>
      <c r="HK51" s="9" t="s">
        <v>3612</v>
      </c>
      <c r="HM51" s="9" t="s">
        <v>3612</v>
      </c>
      <c r="HO51" s="9" t="s">
        <v>3287</v>
      </c>
      <c r="HQ51" s="9" t="s">
        <v>3348</v>
      </c>
      <c r="HS51" s="9" t="s">
        <v>3287</v>
      </c>
      <c r="HU51" s="9" t="s">
        <v>3612</v>
      </c>
      <c r="HW51" s="9" t="s">
        <v>3287</v>
      </c>
      <c r="HY51" s="9" t="s">
        <v>25</v>
      </c>
      <c r="IH51" s="9" t="s">
        <v>3440</v>
      </c>
      <c r="IJ51" s="9" t="s">
        <v>3287</v>
      </c>
      <c r="IL51" s="9" t="s">
        <v>612</v>
      </c>
      <c r="IM51" s="9" t="s">
        <v>3512</v>
      </c>
      <c r="IP51" s="9" t="s">
        <v>3287</v>
      </c>
      <c r="IR51" s="9" t="s">
        <v>612</v>
      </c>
      <c r="IS51" s="9" t="s">
        <v>3512</v>
      </c>
      <c r="IT51" s="9" t="s">
        <v>3350</v>
      </c>
      <c r="IV51" s="9" t="s">
        <v>25</v>
      </c>
      <c r="JD51" s="9" t="s">
        <v>3325</v>
      </c>
      <c r="JF51" s="9" t="s">
        <v>3287</v>
      </c>
      <c r="JH51" s="9" t="s">
        <v>3287</v>
      </c>
      <c r="JJ51" s="9" t="s">
        <v>3287</v>
      </c>
      <c r="JL51" s="9" t="s">
        <v>3287</v>
      </c>
      <c r="JN51" s="9" t="s">
        <v>3287</v>
      </c>
      <c r="JP51" s="9" t="s">
        <v>3287</v>
      </c>
      <c r="JR51" s="9" t="s">
        <v>25</v>
      </c>
      <c r="JZ51" s="9" t="s">
        <v>3287</v>
      </c>
      <c r="KB51" s="9" t="s">
        <v>3613</v>
      </c>
      <c r="KD51" s="9" t="s">
        <v>612</v>
      </c>
      <c r="KE51" s="9" t="s">
        <v>3614</v>
      </c>
      <c r="KF51" s="9" t="s">
        <v>612</v>
      </c>
      <c r="KG51" s="9" t="s">
        <v>3615</v>
      </c>
      <c r="KH51" s="9" t="s">
        <v>3287</v>
      </c>
      <c r="KJ51" s="9" t="s">
        <v>3404</v>
      </c>
      <c r="KL51" s="9" t="s">
        <v>3287</v>
      </c>
      <c r="KN51" s="9" t="s">
        <v>3329</v>
      </c>
      <c r="KP51" s="9" t="s">
        <v>3332</v>
      </c>
      <c r="KR51" s="9" t="s">
        <v>25</v>
      </c>
      <c r="LB51" s="9" t="s">
        <v>3287</v>
      </c>
      <c r="LD51" s="9" t="s">
        <v>3287</v>
      </c>
      <c r="LF51" s="9" t="s">
        <v>3287</v>
      </c>
      <c r="LH51" s="9" t="s">
        <v>3287</v>
      </c>
      <c r="LJ51" s="9" t="s">
        <v>3287</v>
      </c>
      <c r="LL51" s="9" t="s">
        <v>3287</v>
      </c>
      <c r="LN51" s="9" t="s">
        <v>3287</v>
      </c>
      <c r="LP51" s="9" t="s">
        <v>3287</v>
      </c>
      <c r="LR51" s="9" t="s">
        <v>25</v>
      </c>
      <c r="MA51" s="9" t="s">
        <v>3616</v>
      </c>
    </row>
    <row r="52" spans="1:339" ht="25.5" x14ac:dyDescent="0.2">
      <c r="A52" s="8" t="s">
        <v>173</v>
      </c>
      <c r="B52" s="9" t="s">
        <v>25</v>
      </c>
      <c r="C52" s="9" t="s">
        <v>25</v>
      </c>
      <c r="D52" s="9" t="s">
        <v>25</v>
      </c>
      <c r="E52" s="9" t="s">
        <v>25</v>
      </c>
      <c r="F52" s="9" t="s">
        <v>25</v>
      </c>
      <c r="G52" s="9" t="s">
        <v>25</v>
      </c>
      <c r="H52" s="9" t="s">
        <v>25</v>
      </c>
      <c r="I52" s="9" t="s">
        <v>25</v>
      </c>
      <c r="J52" s="9" t="s">
        <v>25</v>
      </c>
      <c r="L52" s="9" t="s">
        <v>4318</v>
      </c>
      <c r="M52" s="9" t="s">
        <v>4319</v>
      </c>
      <c r="N52" s="9" t="s">
        <v>4320</v>
      </c>
      <c r="O52" s="9" t="s">
        <v>4321</v>
      </c>
      <c r="P52" s="9" t="s">
        <v>3377</v>
      </c>
      <c r="R52" s="9" t="s">
        <v>4085</v>
      </c>
      <c r="T52" s="9" t="s">
        <v>4238</v>
      </c>
      <c r="V52" s="9" t="s">
        <v>3287</v>
      </c>
      <c r="X52" s="9" t="s">
        <v>25</v>
      </c>
      <c r="AE52" s="9" t="s">
        <v>3488</v>
      </c>
      <c r="AG52" s="9" t="s">
        <v>3287</v>
      </c>
      <c r="AI52" s="9" t="s">
        <v>3488</v>
      </c>
      <c r="AK52" s="9" t="s">
        <v>3488</v>
      </c>
      <c r="AM52" s="9" t="s">
        <v>3279</v>
      </c>
      <c r="AO52" s="9" t="s">
        <v>3287</v>
      </c>
      <c r="AQ52" s="9" t="s">
        <v>3287</v>
      </c>
      <c r="AS52" s="9" t="s">
        <v>3287</v>
      </c>
      <c r="AU52" s="9" t="s">
        <v>25</v>
      </c>
      <c r="BD52" s="9" t="s">
        <v>3342</v>
      </c>
      <c r="BF52" s="9" t="s">
        <v>3342</v>
      </c>
      <c r="BH52" s="9" t="s">
        <v>3287</v>
      </c>
      <c r="BJ52" s="9" t="s">
        <v>3287</v>
      </c>
      <c r="BL52" s="9" t="s">
        <v>25</v>
      </c>
      <c r="BQ52" s="9" t="s">
        <v>612</v>
      </c>
      <c r="BR52" s="9" t="s">
        <v>4322</v>
      </c>
      <c r="BS52" s="9" t="s">
        <v>3289</v>
      </c>
      <c r="BU52" s="9" t="s">
        <v>612</v>
      </c>
      <c r="BV52" s="9" t="s">
        <v>4323</v>
      </c>
      <c r="BW52" s="9" t="s">
        <v>612</v>
      </c>
      <c r="BX52" s="9" t="s">
        <v>4323</v>
      </c>
      <c r="BY52" s="9" t="s">
        <v>25</v>
      </c>
      <c r="CD52" s="9" t="s">
        <v>4012</v>
      </c>
      <c r="CF52" s="9" t="s">
        <v>4324</v>
      </c>
      <c r="CH52" s="9" t="s">
        <v>4154</v>
      </c>
      <c r="CJ52" s="9" t="s">
        <v>3292</v>
      </c>
      <c r="CL52" s="9" t="s">
        <v>3293</v>
      </c>
      <c r="CN52" s="9" t="s">
        <v>3421</v>
      </c>
      <c r="CP52" s="9" t="s">
        <v>4325</v>
      </c>
      <c r="CR52" s="9" t="s">
        <v>25</v>
      </c>
      <c r="CY52" s="9" t="s">
        <v>3287</v>
      </c>
      <c r="DA52" s="9" t="s">
        <v>1189</v>
      </c>
      <c r="DC52" s="9" t="s">
        <v>1189</v>
      </c>
      <c r="DE52" s="9" t="s">
        <v>1189</v>
      </c>
      <c r="DG52" s="9" t="s">
        <v>3287</v>
      </c>
      <c r="DI52" s="9" t="s">
        <v>3287</v>
      </c>
      <c r="DK52" s="9" t="s">
        <v>612</v>
      </c>
      <c r="DL52" s="9" t="s">
        <v>3971</v>
      </c>
      <c r="DM52" s="9" t="s">
        <v>3287</v>
      </c>
      <c r="DO52" s="9" t="s">
        <v>3287</v>
      </c>
      <c r="DQ52" s="9" t="s">
        <v>3287</v>
      </c>
      <c r="DS52" s="9" t="s">
        <v>3297</v>
      </c>
      <c r="DU52" s="9" t="s">
        <v>3360</v>
      </c>
      <c r="DW52" s="9" t="s">
        <v>3360</v>
      </c>
      <c r="DY52" s="9" t="s">
        <v>3297</v>
      </c>
      <c r="EA52" s="9" t="s">
        <v>3297</v>
      </c>
      <c r="EC52" s="9" t="s">
        <v>2409</v>
      </c>
      <c r="EE52" s="9" t="s">
        <v>3504</v>
      </c>
      <c r="EG52" s="9" t="s">
        <v>25</v>
      </c>
      <c r="EY52" s="9" t="s">
        <v>4062</v>
      </c>
      <c r="FA52" s="9" t="s">
        <v>3287</v>
      </c>
      <c r="FC52" s="9" t="s">
        <v>3287</v>
      </c>
      <c r="FE52" s="9" t="s">
        <v>3287</v>
      </c>
      <c r="FG52" s="9" t="s">
        <v>3287</v>
      </c>
      <c r="FI52" s="9" t="s">
        <v>3287</v>
      </c>
      <c r="FK52" s="9" t="s">
        <v>3297</v>
      </c>
      <c r="FM52" s="9" t="s">
        <v>25</v>
      </c>
      <c r="FU52" s="9" t="s">
        <v>25</v>
      </c>
      <c r="FW52" s="9" t="s">
        <v>612</v>
      </c>
      <c r="FX52" s="9" t="s">
        <v>4326</v>
      </c>
      <c r="FY52" s="9" t="s">
        <v>612</v>
      </c>
      <c r="FZ52" s="9" t="s">
        <v>3672</v>
      </c>
      <c r="GA52" s="9" t="s">
        <v>4327</v>
      </c>
      <c r="GB52" s="9" t="s">
        <v>3477</v>
      </c>
      <c r="GC52" s="9" t="s">
        <v>3611</v>
      </c>
      <c r="GE52" s="9" t="s">
        <v>4328</v>
      </c>
      <c r="GG52" s="9" t="s">
        <v>3611</v>
      </c>
      <c r="GI52" s="9" t="s">
        <v>612</v>
      </c>
      <c r="GJ52" s="9" t="s">
        <v>3477</v>
      </c>
      <c r="GK52" s="9" t="s">
        <v>25</v>
      </c>
      <c r="GS52" s="9" t="s">
        <v>4329</v>
      </c>
      <c r="GU52" s="9" t="s">
        <v>3508</v>
      </c>
      <c r="GW52" s="9" t="s">
        <v>3508</v>
      </c>
      <c r="GY52" s="9" t="s">
        <v>3508</v>
      </c>
      <c r="HA52" s="9" t="s">
        <v>3508</v>
      </c>
      <c r="HC52" s="9" t="s">
        <v>25</v>
      </c>
      <c r="HI52" s="9" t="s">
        <v>3420</v>
      </c>
      <c r="HK52" s="9" t="s">
        <v>3420</v>
      </c>
      <c r="HM52" s="9" t="s">
        <v>3488</v>
      </c>
      <c r="HO52" s="9" t="s">
        <v>3279</v>
      </c>
      <c r="HS52" s="9" t="s">
        <v>612</v>
      </c>
      <c r="HT52" s="9" t="s">
        <v>4321</v>
      </c>
      <c r="HU52" s="9" t="s">
        <v>612</v>
      </c>
      <c r="HV52" s="9" t="s">
        <v>4330</v>
      </c>
      <c r="HW52" s="9" t="s">
        <v>3488</v>
      </c>
      <c r="HY52" s="9" t="s">
        <v>25</v>
      </c>
      <c r="IH52" s="9" t="s">
        <v>3373</v>
      </c>
      <c r="IJ52" s="9" t="s">
        <v>3323</v>
      </c>
      <c r="IL52" s="9" t="s">
        <v>3373</v>
      </c>
      <c r="IN52" s="9" t="s">
        <v>3350</v>
      </c>
      <c r="IP52" s="9" t="s">
        <v>3350</v>
      </c>
      <c r="IR52" s="9" t="s">
        <v>3373</v>
      </c>
      <c r="IT52" s="9" t="s">
        <v>3374</v>
      </c>
      <c r="IV52" s="9" t="s">
        <v>25</v>
      </c>
      <c r="JD52" s="9" t="s">
        <v>3347</v>
      </c>
      <c r="JF52" s="9" t="s">
        <v>3287</v>
      </c>
      <c r="JH52" s="9" t="s">
        <v>3287</v>
      </c>
      <c r="JJ52" s="9" t="s">
        <v>3347</v>
      </c>
      <c r="JL52" s="9" t="s">
        <v>3347</v>
      </c>
      <c r="JN52" s="9" t="s">
        <v>3347</v>
      </c>
      <c r="JP52" s="9" t="s">
        <v>3287</v>
      </c>
      <c r="JR52" s="9" t="s">
        <v>25</v>
      </c>
      <c r="JZ52" s="9" t="s">
        <v>3287</v>
      </c>
      <c r="KB52" s="9" t="s">
        <v>3456</v>
      </c>
      <c r="KD52" s="9" t="s">
        <v>3643</v>
      </c>
      <c r="KF52" s="9" t="s">
        <v>3287</v>
      </c>
      <c r="KH52" s="9" t="s">
        <v>612</v>
      </c>
      <c r="KI52" s="9" t="s">
        <v>2409</v>
      </c>
      <c r="KJ52" s="9" t="s">
        <v>3330</v>
      </c>
      <c r="KL52" s="9" t="s">
        <v>3287</v>
      </c>
      <c r="KN52" s="9" t="s">
        <v>4331</v>
      </c>
      <c r="KO52" s="9" t="s">
        <v>14021</v>
      </c>
      <c r="KP52" s="9" t="s">
        <v>3287</v>
      </c>
      <c r="KR52" s="9" t="s">
        <v>25</v>
      </c>
      <c r="LB52" s="9" t="s">
        <v>3696</v>
      </c>
      <c r="LD52" s="9" t="s">
        <v>3287</v>
      </c>
      <c r="LF52" s="9" t="s">
        <v>4311</v>
      </c>
      <c r="LH52" s="9" t="s">
        <v>3287</v>
      </c>
      <c r="LL52" s="9" t="s">
        <v>3287</v>
      </c>
      <c r="LN52" s="9" t="s">
        <v>3287</v>
      </c>
      <c r="LP52" s="9" t="s">
        <v>4311</v>
      </c>
      <c r="LR52" s="9" t="s">
        <v>25</v>
      </c>
      <c r="MA52" s="9" t="s">
        <v>4332</v>
      </c>
    </row>
    <row r="53" spans="1:339" ht="38.25" x14ac:dyDescent="0.2">
      <c r="A53" s="8" t="s">
        <v>178</v>
      </c>
      <c r="B53" s="9" t="s">
        <v>25</v>
      </c>
      <c r="C53" s="9" t="s">
        <v>25</v>
      </c>
      <c r="D53" s="9" t="s">
        <v>25</v>
      </c>
      <c r="E53" s="9" t="s">
        <v>25</v>
      </c>
      <c r="F53" s="9" t="s">
        <v>25</v>
      </c>
      <c r="G53" s="9" t="s">
        <v>25</v>
      </c>
      <c r="H53" s="9" t="s">
        <v>25</v>
      </c>
      <c r="I53" s="9" t="s">
        <v>25</v>
      </c>
      <c r="J53" s="9" t="s">
        <v>28</v>
      </c>
      <c r="K53" s="9" t="s">
        <v>4371</v>
      </c>
      <c r="L53" s="9" t="s">
        <v>3279</v>
      </c>
      <c r="N53" s="9" t="s">
        <v>3279</v>
      </c>
      <c r="P53" s="9" t="s">
        <v>3279</v>
      </c>
      <c r="R53" s="9" t="s">
        <v>3377</v>
      </c>
      <c r="T53" s="9" t="s">
        <v>3377</v>
      </c>
      <c r="V53" s="9" t="s">
        <v>3377</v>
      </c>
      <c r="X53" s="9" t="s">
        <v>28</v>
      </c>
      <c r="AB53" s="9" t="s">
        <v>4372</v>
      </c>
      <c r="AC53" s="9" t="s">
        <v>4372</v>
      </c>
      <c r="AD53" s="9" t="s">
        <v>4373</v>
      </c>
      <c r="AE53" s="9" t="s">
        <v>53</v>
      </c>
      <c r="AG53" s="9" t="s">
        <v>3287</v>
      </c>
      <c r="AI53" s="9" t="s">
        <v>53</v>
      </c>
      <c r="AK53" s="9" t="s">
        <v>53</v>
      </c>
      <c r="AM53" s="9" t="s">
        <v>3279</v>
      </c>
      <c r="AO53" s="9" t="s">
        <v>3279</v>
      </c>
      <c r="AQ53" s="9" t="s">
        <v>53</v>
      </c>
      <c r="AS53" s="9" t="s">
        <v>3287</v>
      </c>
      <c r="AU53" s="9" t="s">
        <v>25</v>
      </c>
      <c r="BD53" s="9" t="s">
        <v>3784</v>
      </c>
      <c r="BF53" s="9" t="s">
        <v>3784</v>
      </c>
      <c r="BH53" s="9" t="s">
        <v>3857</v>
      </c>
      <c r="BJ53" s="9" t="s">
        <v>3857</v>
      </c>
      <c r="BL53" s="9" t="s">
        <v>25</v>
      </c>
      <c r="BQ53" s="9" t="s">
        <v>53</v>
      </c>
      <c r="BS53" s="9" t="s">
        <v>3729</v>
      </c>
      <c r="BU53" s="9" t="s">
        <v>612</v>
      </c>
      <c r="BV53" s="9" t="s">
        <v>4374</v>
      </c>
      <c r="BW53" s="9" t="s">
        <v>3988</v>
      </c>
      <c r="BX53" s="9" t="s">
        <v>4375</v>
      </c>
      <c r="BY53" s="9" t="s">
        <v>25</v>
      </c>
      <c r="CD53" s="9" t="s">
        <v>3358</v>
      </c>
      <c r="CF53" s="9" t="s">
        <v>3948</v>
      </c>
      <c r="CH53" s="9" t="s">
        <v>3948</v>
      </c>
      <c r="CJ53" s="9" t="s">
        <v>4038</v>
      </c>
      <c r="CL53" s="9" t="s">
        <v>3293</v>
      </c>
      <c r="CN53" s="9" t="s">
        <v>3287</v>
      </c>
      <c r="CP53" s="9" t="s">
        <v>3287</v>
      </c>
      <c r="CR53" s="9" t="s">
        <v>25</v>
      </c>
      <c r="CY53" s="9" t="s">
        <v>14001</v>
      </c>
      <c r="DA53" s="9" t="s">
        <v>4376</v>
      </c>
      <c r="DC53" s="9" t="s">
        <v>4377</v>
      </c>
      <c r="DE53" s="9" t="s">
        <v>3297</v>
      </c>
      <c r="DG53" s="9" t="s">
        <v>3287</v>
      </c>
      <c r="DI53" s="9" t="s">
        <v>3287</v>
      </c>
      <c r="DK53" s="9" t="s">
        <v>4378</v>
      </c>
      <c r="DM53" s="9" t="s">
        <v>3287</v>
      </c>
      <c r="DO53" s="9" t="s">
        <v>3287</v>
      </c>
      <c r="DQ53" s="9" t="s">
        <v>3287</v>
      </c>
      <c r="DS53" s="9" t="s">
        <v>3388</v>
      </c>
      <c r="DU53" s="9" t="s">
        <v>612</v>
      </c>
      <c r="DV53" s="9" t="s">
        <v>4379</v>
      </c>
      <c r="DW53" s="9" t="s">
        <v>4380</v>
      </c>
      <c r="DX53" s="9" t="s">
        <v>4379</v>
      </c>
      <c r="DY53" s="9" t="s">
        <v>3297</v>
      </c>
      <c r="EA53" s="9" t="s">
        <v>3303</v>
      </c>
      <c r="EB53" s="9" t="s">
        <v>4381</v>
      </c>
      <c r="EC53" s="9" t="s">
        <v>3418</v>
      </c>
      <c r="EE53" s="9" t="s">
        <v>3659</v>
      </c>
      <c r="EF53" s="9" t="s">
        <v>4382</v>
      </c>
      <c r="EG53" s="9" t="s">
        <v>28</v>
      </c>
      <c r="ES53" s="9" t="s">
        <v>4383</v>
      </c>
      <c r="EV53" s="9" t="s">
        <v>4384</v>
      </c>
      <c r="EY53" s="9" t="s">
        <v>3530</v>
      </c>
      <c r="FA53" s="9" t="s">
        <v>3530</v>
      </c>
      <c r="FC53" s="9" t="s">
        <v>3530</v>
      </c>
      <c r="FE53" s="9" t="s">
        <v>4385</v>
      </c>
      <c r="FG53" s="9" t="s">
        <v>4378</v>
      </c>
      <c r="FI53" s="9" t="s">
        <v>14005</v>
      </c>
      <c r="FK53" s="9" t="s">
        <v>3530</v>
      </c>
      <c r="FM53" s="9" t="s">
        <v>28</v>
      </c>
      <c r="FQ53" s="9" t="s">
        <v>4258</v>
      </c>
      <c r="FU53" s="9" t="s">
        <v>25</v>
      </c>
      <c r="FW53" s="9" t="s">
        <v>4386</v>
      </c>
      <c r="FY53" s="9" t="s">
        <v>3287</v>
      </c>
      <c r="GA53" s="9" t="s">
        <v>4387</v>
      </c>
      <c r="GB53" s="9" t="s">
        <v>4388</v>
      </c>
      <c r="GC53" s="9" t="s">
        <v>3287</v>
      </c>
      <c r="GE53" s="9" t="s">
        <v>3287</v>
      </c>
      <c r="GG53" s="9" t="s">
        <v>3287</v>
      </c>
      <c r="GI53" s="9" t="s">
        <v>3397</v>
      </c>
      <c r="GK53" s="9" t="s">
        <v>25</v>
      </c>
      <c r="GS53" s="9" t="s">
        <v>53</v>
      </c>
      <c r="GU53" s="9" t="s">
        <v>53</v>
      </c>
      <c r="GW53" s="9" t="s">
        <v>3279</v>
      </c>
      <c r="GY53" s="9" t="s">
        <v>3279</v>
      </c>
      <c r="HA53" s="9" t="s">
        <v>3287</v>
      </c>
      <c r="HC53" s="9" t="s">
        <v>25</v>
      </c>
      <c r="HI53" s="9" t="s">
        <v>929</v>
      </c>
      <c r="HK53" s="9" t="s">
        <v>929</v>
      </c>
      <c r="HM53" s="9" t="s">
        <v>3578</v>
      </c>
      <c r="HO53" s="9" t="s">
        <v>3287</v>
      </c>
      <c r="HQ53" s="9" t="s">
        <v>4389</v>
      </c>
      <c r="HS53" s="9" t="s">
        <v>3287</v>
      </c>
      <c r="HU53" s="9" t="s">
        <v>3287</v>
      </c>
      <c r="HW53" s="9" t="s">
        <v>3287</v>
      </c>
      <c r="HY53" s="9" t="s">
        <v>25</v>
      </c>
      <c r="IH53" s="9" t="s">
        <v>3397</v>
      </c>
      <c r="IJ53" s="9" t="s">
        <v>3323</v>
      </c>
      <c r="IL53" s="9" t="s">
        <v>3397</v>
      </c>
      <c r="IN53" s="9" t="s">
        <v>3397</v>
      </c>
      <c r="IP53" s="9" t="s">
        <v>3397</v>
      </c>
      <c r="IR53" s="9" t="s">
        <v>3397</v>
      </c>
      <c r="IT53" s="9" t="s">
        <v>4390</v>
      </c>
      <c r="IV53" s="9" t="s">
        <v>25</v>
      </c>
      <c r="JD53" s="9" t="s">
        <v>3424</v>
      </c>
      <c r="JF53" s="9" t="s">
        <v>3425</v>
      </c>
      <c r="JH53" s="9" t="s">
        <v>3640</v>
      </c>
      <c r="JJ53" s="9" t="s">
        <v>3424</v>
      </c>
      <c r="JL53" s="9" t="s">
        <v>3287</v>
      </c>
      <c r="JN53" s="9" t="s">
        <v>3287</v>
      </c>
      <c r="JP53" s="9" t="s">
        <v>3287</v>
      </c>
      <c r="JR53" s="9" t="s">
        <v>28</v>
      </c>
      <c r="JS53" s="9" t="s">
        <v>4391</v>
      </c>
      <c r="JZ53" s="9" t="s">
        <v>3287</v>
      </c>
      <c r="KB53" s="9" t="s">
        <v>3328</v>
      </c>
      <c r="KD53" s="9" t="s">
        <v>3397</v>
      </c>
      <c r="KF53" s="9" t="s">
        <v>3287</v>
      </c>
      <c r="KH53" s="9" t="s">
        <v>3287</v>
      </c>
      <c r="KJ53" s="9" t="s">
        <v>3287</v>
      </c>
      <c r="KL53" s="9" t="s">
        <v>3287</v>
      </c>
      <c r="KN53" s="9" t="s">
        <v>4392</v>
      </c>
      <c r="KP53" s="9" t="s">
        <v>3287</v>
      </c>
      <c r="KR53" s="9" t="s">
        <v>25</v>
      </c>
      <c r="LB53" s="9" t="s">
        <v>3287</v>
      </c>
      <c r="LD53" s="9" t="s">
        <v>3464</v>
      </c>
      <c r="LF53" s="9" t="s">
        <v>3287</v>
      </c>
      <c r="LH53" s="9" t="s">
        <v>3336</v>
      </c>
      <c r="LJ53" s="9" t="s">
        <v>3487</v>
      </c>
      <c r="LL53" s="9" t="s">
        <v>3287</v>
      </c>
      <c r="LN53" s="9" t="s">
        <v>3802</v>
      </c>
      <c r="LP53" s="9" t="s">
        <v>3287</v>
      </c>
      <c r="LR53" s="9" t="s">
        <v>25</v>
      </c>
      <c r="MA53" s="9" t="s">
        <v>4393</v>
      </c>
    </row>
    <row r="54" spans="1:339" ht="38.25" x14ac:dyDescent="0.2">
      <c r="A54" s="8" t="s">
        <v>151</v>
      </c>
      <c r="B54" s="9" t="s">
        <v>25</v>
      </c>
      <c r="C54" s="9" t="s">
        <v>28</v>
      </c>
      <c r="D54" s="9" t="s">
        <v>28</v>
      </c>
      <c r="E54" s="9" t="s">
        <v>25</v>
      </c>
      <c r="F54" s="9" t="s">
        <v>25</v>
      </c>
      <c r="G54" s="9" t="s">
        <v>25</v>
      </c>
      <c r="H54" s="9" t="s">
        <v>28</v>
      </c>
      <c r="I54" s="9" t="s">
        <v>25</v>
      </c>
      <c r="J54" s="9" t="s">
        <v>28</v>
      </c>
      <c r="K54" s="9" t="s">
        <v>1472</v>
      </c>
      <c r="L54" s="9" t="s">
        <v>612</v>
      </c>
      <c r="M54" s="9" t="s">
        <v>3983</v>
      </c>
      <c r="N54" s="9" t="s">
        <v>612</v>
      </c>
      <c r="O54" s="9" t="s">
        <v>3983</v>
      </c>
      <c r="P54" s="9" t="s">
        <v>3984</v>
      </c>
      <c r="R54" s="9" t="s">
        <v>3914</v>
      </c>
      <c r="T54" s="9" t="s">
        <v>3914</v>
      </c>
      <c r="V54" s="9" t="s">
        <v>3287</v>
      </c>
      <c r="X54" s="9" t="s">
        <v>28</v>
      </c>
      <c r="AA54" s="9" t="s">
        <v>3985</v>
      </c>
      <c r="AE54" s="9" t="s">
        <v>3287</v>
      </c>
      <c r="AG54" s="9" t="s">
        <v>3287</v>
      </c>
      <c r="AI54" s="9" t="s">
        <v>53</v>
      </c>
      <c r="AM54" s="9" t="s">
        <v>3287</v>
      </c>
      <c r="AO54" s="9" t="s">
        <v>3287</v>
      </c>
      <c r="AQ54" s="9" t="s">
        <v>612</v>
      </c>
      <c r="AR54" s="9" t="s">
        <v>3986</v>
      </c>
      <c r="AS54" s="9" t="s">
        <v>3287</v>
      </c>
      <c r="AU54" s="9" t="s">
        <v>25</v>
      </c>
      <c r="BD54" s="9" t="s">
        <v>3287</v>
      </c>
      <c r="BF54" s="9" t="s">
        <v>612</v>
      </c>
      <c r="BG54" s="9" t="s">
        <v>3987</v>
      </c>
      <c r="BH54" s="9" t="s">
        <v>612</v>
      </c>
      <c r="BI54" s="9" t="s">
        <v>3987</v>
      </c>
      <c r="BJ54" s="9" t="s">
        <v>3287</v>
      </c>
      <c r="BL54" s="9" t="s">
        <v>25</v>
      </c>
      <c r="BQ54" s="9" t="s">
        <v>53</v>
      </c>
      <c r="BS54" s="9" t="s">
        <v>53</v>
      </c>
      <c r="BU54" s="9" t="s">
        <v>3988</v>
      </c>
      <c r="BV54" s="9" t="s">
        <v>3989</v>
      </c>
      <c r="BW54" s="9" t="s">
        <v>3988</v>
      </c>
      <c r="BX54" s="9" t="s">
        <v>3986</v>
      </c>
      <c r="BY54" s="9" t="s">
        <v>25</v>
      </c>
      <c r="CD54" s="9" t="s">
        <v>3990</v>
      </c>
      <c r="CF54" s="9" t="s">
        <v>3991</v>
      </c>
      <c r="CH54" s="9" t="s">
        <v>3992</v>
      </c>
      <c r="CJ54" s="9" t="s">
        <v>3993</v>
      </c>
      <c r="CL54" s="9" t="s">
        <v>3994</v>
      </c>
      <c r="CN54" s="9" t="s">
        <v>3287</v>
      </c>
      <c r="CP54" s="9" t="s">
        <v>3386</v>
      </c>
      <c r="CR54" s="9" t="s">
        <v>25</v>
      </c>
      <c r="CY54" s="9" t="s">
        <v>3287</v>
      </c>
      <c r="DA54" s="9" t="s">
        <v>3808</v>
      </c>
      <c r="DC54" s="9" t="s">
        <v>3287</v>
      </c>
      <c r="DE54" s="9" t="s">
        <v>3808</v>
      </c>
      <c r="DG54" s="9" t="s">
        <v>612</v>
      </c>
      <c r="DH54" s="9" t="s">
        <v>3504</v>
      </c>
      <c r="DI54" s="9" t="s">
        <v>3287</v>
      </c>
      <c r="DK54" s="9" t="s">
        <v>612</v>
      </c>
      <c r="DL54" s="9" t="s">
        <v>3504</v>
      </c>
      <c r="DM54" s="9" t="s">
        <v>3287</v>
      </c>
      <c r="DO54" s="9" t="s">
        <v>3287</v>
      </c>
      <c r="DQ54" s="9" t="s">
        <v>3287</v>
      </c>
      <c r="DS54" s="9" t="s">
        <v>3297</v>
      </c>
      <c r="DU54" s="9" t="s">
        <v>3360</v>
      </c>
      <c r="DW54" s="9" t="s">
        <v>3363</v>
      </c>
      <c r="DY54" s="9" t="s">
        <v>3287</v>
      </c>
      <c r="EA54" s="9" t="s">
        <v>3287</v>
      </c>
      <c r="EC54" s="9" t="s">
        <v>3287</v>
      </c>
      <c r="EE54" s="9" t="s">
        <v>3504</v>
      </c>
      <c r="EG54" s="9" t="s">
        <v>25</v>
      </c>
      <c r="EY54" s="9" t="s">
        <v>3287</v>
      </c>
      <c r="FA54" s="9" t="s">
        <v>3287</v>
      </c>
      <c r="FC54" s="9" t="s">
        <v>3287</v>
      </c>
      <c r="FE54" s="9" t="s">
        <v>3287</v>
      </c>
      <c r="FG54" s="9" t="s">
        <v>3287</v>
      </c>
      <c r="FI54" s="9" t="s">
        <v>3287</v>
      </c>
      <c r="FK54" s="9" t="s">
        <v>3287</v>
      </c>
      <c r="FM54" s="9" t="s">
        <v>25</v>
      </c>
      <c r="FW54" s="9" t="s">
        <v>3287</v>
      </c>
      <c r="FY54" s="9" t="s">
        <v>3287</v>
      </c>
      <c r="GA54" s="9" t="s">
        <v>3995</v>
      </c>
      <c r="GC54" s="9" t="s">
        <v>3996</v>
      </c>
      <c r="GE54" s="9" t="s">
        <v>3996</v>
      </c>
      <c r="GG54" s="9" t="s">
        <v>3611</v>
      </c>
      <c r="GI54" s="9" t="s">
        <v>3287</v>
      </c>
      <c r="GK54" s="9" t="s">
        <v>25</v>
      </c>
      <c r="GS54" s="9" t="s">
        <v>3997</v>
      </c>
      <c r="GU54" s="9" t="s">
        <v>3997</v>
      </c>
      <c r="GW54" s="9" t="s">
        <v>3808</v>
      </c>
      <c r="GY54" s="9" t="s">
        <v>3808</v>
      </c>
      <c r="HA54" s="9" t="s">
        <v>3808</v>
      </c>
      <c r="HC54" s="9" t="s">
        <v>25</v>
      </c>
      <c r="HI54" s="9" t="s">
        <v>929</v>
      </c>
      <c r="HK54" s="9" t="s">
        <v>929</v>
      </c>
      <c r="HM54" s="9" t="s">
        <v>1265</v>
      </c>
      <c r="HO54" s="9" t="s">
        <v>3287</v>
      </c>
      <c r="HQ54" s="9" t="s">
        <v>3452</v>
      </c>
      <c r="HS54" s="9" t="s">
        <v>3287</v>
      </c>
      <c r="HU54" s="9" t="s">
        <v>3287</v>
      </c>
      <c r="HW54" s="9" t="s">
        <v>1265</v>
      </c>
      <c r="HY54" s="9" t="s">
        <v>25</v>
      </c>
      <c r="IH54" s="9" t="s">
        <v>3287</v>
      </c>
      <c r="IJ54" s="9" t="s">
        <v>3287</v>
      </c>
      <c r="IL54" s="9" t="s">
        <v>3976</v>
      </c>
      <c r="IN54" s="9" t="s">
        <v>3287</v>
      </c>
      <c r="IP54" s="9" t="s">
        <v>3322</v>
      </c>
      <c r="IR54" s="9" t="s">
        <v>3322</v>
      </c>
      <c r="IT54" s="9" t="s">
        <v>3998</v>
      </c>
      <c r="IV54" s="9" t="s">
        <v>25</v>
      </c>
      <c r="JD54" s="9" t="s">
        <v>3347</v>
      </c>
      <c r="JF54" s="9" t="s">
        <v>3287</v>
      </c>
      <c r="JH54" s="9" t="s">
        <v>3287</v>
      </c>
      <c r="JJ54" s="9" t="s">
        <v>3347</v>
      </c>
      <c r="JL54" s="9" t="s">
        <v>3287</v>
      </c>
      <c r="JN54" s="9" t="s">
        <v>3347</v>
      </c>
      <c r="JP54" s="9" t="s">
        <v>3287</v>
      </c>
      <c r="JR54" s="9" t="s">
        <v>25</v>
      </c>
      <c r="JZ54" s="9" t="s">
        <v>3287</v>
      </c>
      <c r="KB54" s="9" t="s">
        <v>3287</v>
      </c>
      <c r="KD54" s="9" t="s">
        <v>3287</v>
      </c>
      <c r="KF54" s="9" t="s">
        <v>3287</v>
      </c>
      <c r="KH54" s="9" t="s">
        <v>3287</v>
      </c>
      <c r="KJ54" s="9" t="s">
        <v>3404</v>
      </c>
      <c r="KL54" s="9" t="s">
        <v>3287</v>
      </c>
      <c r="KN54" s="9" t="s">
        <v>3977</v>
      </c>
      <c r="KP54" s="9" t="s">
        <v>3332</v>
      </c>
      <c r="KR54" s="9" t="s">
        <v>25</v>
      </c>
      <c r="LB54" s="9" t="s">
        <v>3287</v>
      </c>
      <c r="LD54" s="9" t="s">
        <v>3287</v>
      </c>
      <c r="LF54" s="9" t="s">
        <v>3335</v>
      </c>
      <c r="LH54" s="9" t="s">
        <v>3287</v>
      </c>
      <c r="LJ54" s="9" t="s">
        <v>612</v>
      </c>
      <c r="LK54" s="9" t="s">
        <v>766</v>
      </c>
      <c r="LL54" s="9" t="s">
        <v>3910</v>
      </c>
      <c r="LN54" s="9" t="s">
        <v>3287</v>
      </c>
      <c r="LP54" s="9" t="s">
        <v>3287</v>
      </c>
      <c r="LR54" s="9" t="s">
        <v>25</v>
      </c>
      <c r="MA54" s="9" t="s">
        <v>14600</v>
      </c>
    </row>
    <row r="55" spans="1:339" ht="25.5" x14ac:dyDescent="0.2">
      <c r="A55" s="8" t="s">
        <v>172</v>
      </c>
      <c r="B55" s="9" t="s">
        <v>28</v>
      </c>
      <c r="C55" s="9" t="s">
        <v>28</v>
      </c>
      <c r="D55" s="9" t="s">
        <v>28</v>
      </c>
      <c r="E55" s="9" t="s">
        <v>28</v>
      </c>
      <c r="F55" s="9" t="s">
        <v>28</v>
      </c>
      <c r="G55" s="9" t="s">
        <v>28</v>
      </c>
      <c r="H55" s="9" t="s">
        <v>28</v>
      </c>
      <c r="I55" s="9" t="s">
        <v>25</v>
      </c>
      <c r="J55" s="9" t="s">
        <v>25</v>
      </c>
      <c r="L55" s="9" t="s">
        <v>3377</v>
      </c>
      <c r="N55" s="9" t="s">
        <v>3377</v>
      </c>
      <c r="P55" s="9" t="s">
        <v>3377</v>
      </c>
      <c r="R55" s="9" t="s">
        <v>3347</v>
      </c>
      <c r="T55" s="9" t="s">
        <v>3347</v>
      </c>
      <c r="V55" s="9" t="s">
        <v>3347</v>
      </c>
      <c r="X55" s="9" t="s">
        <v>25</v>
      </c>
      <c r="AE55" s="9" t="s">
        <v>3341</v>
      </c>
      <c r="AG55" s="9" t="s">
        <v>3287</v>
      </c>
      <c r="AI55" s="9" t="s">
        <v>3341</v>
      </c>
      <c r="AK55" s="9" t="s">
        <v>3287</v>
      </c>
      <c r="AM55" s="9" t="s">
        <v>3377</v>
      </c>
      <c r="AO55" s="9" t="s">
        <v>3287</v>
      </c>
      <c r="AQ55" s="9" t="s">
        <v>3341</v>
      </c>
      <c r="AS55" s="9" t="s">
        <v>3287</v>
      </c>
      <c r="AU55" s="9" t="s">
        <v>25</v>
      </c>
      <c r="BD55" s="9" t="s">
        <v>3287</v>
      </c>
      <c r="BF55" s="9" t="s">
        <v>3287</v>
      </c>
      <c r="BH55" s="9" t="s">
        <v>3287</v>
      </c>
      <c r="BJ55" s="9" t="s">
        <v>3287</v>
      </c>
      <c r="BL55" s="9" t="s">
        <v>25</v>
      </c>
      <c r="BQ55" s="9" t="s">
        <v>3341</v>
      </c>
      <c r="BS55" s="9" t="s">
        <v>3341</v>
      </c>
      <c r="BU55" s="9" t="s">
        <v>3341</v>
      </c>
      <c r="BW55" s="9" t="s">
        <v>3341</v>
      </c>
      <c r="BY55" s="9" t="s">
        <v>25</v>
      </c>
      <c r="CD55" s="9" t="s">
        <v>3291</v>
      </c>
      <c r="CF55" s="9" t="s">
        <v>3291</v>
      </c>
      <c r="CH55" s="9" t="s">
        <v>3291</v>
      </c>
      <c r="CJ55" s="9" t="s">
        <v>3349</v>
      </c>
      <c r="CL55" s="9" t="s">
        <v>4274</v>
      </c>
      <c r="CN55" s="9" t="s">
        <v>3287</v>
      </c>
      <c r="CP55" s="9" t="s">
        <v>3287</v>
      </c>
      <c r="CR55" s="9" t="s">
        <v>28</v>
      </c>
      <c r="CS55" s="9" t="s">
        <v>4313</v>
      </c>
      <c r="CT55" s="9" t="s">
        <v>4313</v>
      </c>
      <c r="CY55" s="9" t="s">
        <v>3287</v>
      </c>
      <c r="DA55" s="9" t="s">
        <v>3287</v>
      </c>
      <c r="DC55" s="9" t="s">
        <v>3287</v>
      </c>
      <c r="DE55" s="9" t="s">
        <v>3287</v>
      </c>
      <c r="DG55" s="9" t="s">
        <v>3287</v>
      </c>
      <c r="DI55" s="9" t="s">
        <v>3287</v>
      </c>
      <c r="DK55" s="9" t="s">
        <v>3287</v>
      </c>
      <c r="DM55" s="9" t="s">
        <v>3287</v>
      </c>
      <c r="DO55" s="9" t="s">
        <v>3287</v>
      </c>
      <c r="DQ55" s="9" t="s">
        <v>3287</v>
      </c>
      <c r="DS55" s="9" t="s">
        <v>3287</v>
      </c>
      <c r="DU55" s="9" t="s">
        <v>612</v>
      </c>
      <c r="DV55" s="9" t="s">
        <v>4314</v>
      </c>
      <c r="DW55" s="9" t="s">
        <v>3287</v>
      </c>
      <c r="DY55" s="9" t="s">
        <v>3287</v>
      </c>
      <c r="EA55" s="9" t="s">
        <v>3287</v>
      </c>
      <c r="EC55" s="9" t="s">
        <v>3287</v>
      </c>
      <c r="EE55" s="9" t="s">
        <v>3504</v>
      </c>
      <c r="EG55" s="9" t="s">
        <v>25</v>
      </c>
      <c r="EY55" s="9" t="s">
        <v>3287</v>
      </c>
      <c r="FA55" s="9" t="s">
        <v>3287</v>
      </c>
      <c r="FC55" s="9" t="s">
        <v>3287</v>
      </c>
      <c r="FE55" s="9" t="s">
        <v>3287</v>
      </c>
      <c r="FG55" s="9" t="s">
        <v>3287</v>
      </c>
      <c r="FI55" s="9" t="s">
        <v>3287</v>
      </c>
      <c r="FK55" s="9" t="s">
        <v>3287</v>
      </c>
      <c r="FM55" s="9" t="s">
        <v>25</v>
      </c>
      <c r="FU55" s="9" t="s">
        <v>25</v>
      </c>
      <c r="FW55" s="9" t="s">
        <v>3287</v>
      </c>
      <c r="FY55" s="9" t="s">
        <v>3287</v>
      </c>
      <c r="GA55" s="9" t="s">
        <v>3287</v>
      </c>
      <c r="GC55" s="9" t="s">
        <v>3287</v>
      </c>
      <c r="GE55" s="9" t="s">
        <v>3287</v>
      </c>
      <c r="GG55" s="9" t="s">
        <v>3287</v>
      </c>
      <c r="GI55" s="9" t="s">
        <v>3287</v>
      </c>
      <c r="GK55" s="9" t="s">
        <v>25</v>
      </c>
      <c r="GS55" s="9" t="s">
        <v>3341</v>
      </c>
      <c r="GU55" s="9" t="s">
        <v>3341</v>
      </c>
      <c r="GW55" s="9" t="s">
        <v>3287</v>
      </c>
      <c r="GY55" s="9" t="s">
        <v>3287</v>
      </c>
      <c r="HA55" s="9" t="s">
        <v>3341</v>
      </c>
      <c r="HC55" s="9" t="s">
        <v>25</v>
      </c>
      <c r="HI55" s="9" t="s">
        <v>3287</v>
      </c>
      <c r="HK55" s="9" t="s">
        <v>3869</v>
      </c>
      <c r="HM55" s="9" t="s">
        <v>3869</v>
      </c>
      <c r="HO55" s="9" t="s">
        <v>3287</v>
      </c>
      <c r="HQ55" s="9" t="s">
        <v>612</v>
      </c>
      <c r="HR55" s="9" t="s">
        <v>4315</v>
      </c>
      <c r="HS55" s="9" t="s">
        <v>3287</v>
      </c>
      <c r="HU55" s="9" t="s">
        <v>3869</v>
      </c>
      <c r="HW55" s="9" t="s">
        <v>3869</v>
      </c>
      <c r="HY55" s="9" t="s">
        <v>25</v>
      </c>
      <c r="IH55" s="9" t="s">
        <v>612</v>
      </c>
      <c r="II55" s="9" t="s">
        <v>4273</v>
      </c>
      <c r="IJ55" s="9" t="s">
        <v>612</v>
      </c>
      <c r="IK55" s="9" t="s">
        <v>4316</v>
      </c>
      <c r="IL55" s="9" t="s">
        <v>612</v>
      </c>
      <c r="IM55" s="9" t="s">
        <v>4273</v>
      </c>
      <c r="IN55" s="9" t="s">
        <v>612</v>
      </c>
      <c r="IO55" s="9" t="s">
        <v>4273</v>
      </c>
      <c r="IP55" s="9" t="s">
        <v>3287</v>
      </c>
      <c r="IR55" s="9" t="s">
        <v>612</v>
      </c>
      <c r="IS55" s="9" t="s">
        <v>4273</v>
      </c>
      <c r="IT55" s="9" t="s">
        <v>3579</v>
      </c>
      <c r="IV55" s="9" t="s">
        <v>25</v>
      </c>
      <c r="JD55" s="9" t="s">
        <v>3347</v>
      </c>
      <c r="JF55" s="9" t="s">
        <v>3347</v>
      </c>
      <c r="JH55" s="9" t="s">
        <v>3347</v>
      </c>
      <c r="JJ55" s="9" t="s">
        <v>3347</v>
      </c>
      <c r="JL55" s="9" t="s">
        <v>3347</v>
      </c>
      <c r="JN55" s="9" t="s">
        <v>3347</v>
      </c>
      <c r="JP55" s="9" t="s">
        <v>3287</v>
      </c>
      <c r="JR55" s="9" t="s">
        <v>25</v>
      </c>
      <c r="JZ55" s="9" t="s">
        <v>3287</v>
      </c>
      <c r="KB55" s="9" t="s">
        <v>3581</v>
      </c>
      <c r="KD55" s="9" t="s">
        <v>3287</v>
      </c>
      <c r="KF55" s="9" t="s">
        <v>3287</v>
      </c>
      <c r="KH55" s="9" t="s">
        <v>3287</v>
      </c>
      <c r="KJ55" s="9" t="s">
        <v>3287</v>
      </c>
      <c r="KL55" s="9" t="s">
        <v>3287</v>
      </c>
      <c r="KN55" s="9" t="s">
        <v>3287</v>
      </c>
      <c r="KP55" s="9" t="s">
        <v>3287</v>
      </c>
      <c r="KR55" s="9" t="s">
        <v>25</v>
      </c>
      <c r="LB55" s="9" t="s">
        <v>3287</v>
      </c>
      <c r="LD55" s="9" t="s">
        <v>3287</v>
      </c>
      <c r="LF55" s="9" t="s">
        <v>3287</v>
      </c>
      <c r="LH55" s="9" t="s">
        <v>3287</v>
      </c>
      <c r="LJ55" s="9" t="s">
        <v>3287</v>
      </c>
      <c r="LL55" s="9" t="s">
        <v>3337</v>
      </c>
      <c r="LN55" s="9" t="s">
        <v>3287</v>
      </c>
      <c r="LP55" s="9" t="s">
        <v>3287</v>
      </c>
      <c r="LR55" s="9" t="s">
        <v>25</v>
      </c>
      <c r="MA55" s="9" t="s">
        <v>4317</v>
      </c>
    </row>
    <row r="56" spans="1:339" ht="25.5" x14ac:dyDescent="0.2">
      <c r="A56" s="8" t="s">
        <v>119</v>
      </c>
      <c r="B56" s="9" t="s">
        <v>25</v>
      </c>
      <c r="C56" s="9" t="s">
        <v>25</v>
      </c>
      <c r="D56" s="9" t="s">
        <v>25</v>
      </c>
      <c r="E56" s="9" t="s">
        <v>28</v>
      </c>
      <c r="F56" s="9" t="s">
        <v>25</v>
      </c>
      <c r="G56" s="9" t="s">
        <v>25</v>
      </c>
      <c r="H56" s="9" t="s">
        <v>25</v>
      </c>
      <c r="I56" s="9" t="s">
        <v>25</v>
      </c>
      <c r="J56" s="9" t="s">
        <v>25</v>
      </c>
      <c r="L56" s="9" t="s">
        <v>3339</v>
      </c>
      <c r="N56" s="9" t="s">
        <v>3339</v>
      </c>
      <c r="P56" s="9" t="s">
        <v>3339</v>
      </c>
      <c r="R56" s="9" t="s">
        <v>3355</v>
      </c>
      <c r="T56" s="9" t="s">
        <v>3355</v>
      </c>
      <c r="V56" s="9" t="s">
        <v>3287</v>
      </c>
      <c r="X56" s="9" t="s">
        <v>25</v>
      </c>
      <c r="AE56" s="9" t="s">
        <v>612</v>
      </c>
      <c r="AF56" s="9" t="s">
        <v>3356</v>
      </c>
      <c r="AG56" s="9" t="s">
        <v>3287</v>
      </c>
      <c r="AI56" s="9" t="s">
        <v>3287</v>
      </c>
      <c r="AK56" s="9" t="s">
        <v>3287</v>
      </c>
      <c r="AM56" s="9" t="s">
        <v>3287</v>
      </c>
      <c r="AO56" s="9" t="s">
        <v>3287</v>
      </c>
      <c r="AQ56" s="9" t="s">
        <v>3287</v>
      </c>
      <c r="AS56" s="9" t="s">
        <v>3287</v>
      </c>
      <c r="AU56" s="9" t="s">
        <v>25</v>
      </c>
      <c r="BD56" s="9" t="s">
        <v>3357</v>
      </c>
      <c r="BF56" s="9" t="s">
        <v>3357</v>
      </c>
      <c r="BH56" s="9" t="s">
        <v>3357</v>
      </c>
      <c r="BJ56" s="9" t="s">
        <v>3287</v>
      </c>
      <c r="BL56" s="9" t="s">
        <v>25</v>
      </c>
      <c r="BQ56" s="9" t="s">
        <v>53</v>
      </c>
      <c r="BS56" s="9" t="s">
        <v>53</v>
      </c>
      <c r="BU56" s="9" t="s">
        <v>3287</v>
      </c>
      <c r="BW56" s="9" t="s">
        <v>3287</v>
      </c>
      <c r="BY56" s="9" t="s">
        <v>25</v>
      </c>
      <c r="CD56" s="9" t="s">
        <v>3358</v>
      </c>
      <c r="CF56" s="9" t="s">
        <v>3359</v>
      </c>
      <c r="CH56" s="9" t="s">
        <v>3360</v>
      </c>
      <c r="CJ56" s="9" t="s">
        <v>3349</v>
      </c>
      <c r="CL56" s="9" t="s">
        <v>3293</v>
      </c>
      <c r="CN56" s="9" t="s">
        <v>3361</v>
      </c>
      <c r="CP56" s="9" t="s">
        <v>3361</v>
      </c>
      <c r="CR56" s="9" t="s">
        <v>25</v>
      </c>
      <c r="CY56" s="9" t="s">
        <v>3287</v>
      </c>
      <c r="DA56" s="9" t="s">
        <v>3287</v>
      </c>
      <c r="DC56" s="9" t="s">
        <v>3297</v>
      </c>
      <c r="DE56" s="9" t="s">
        <v>3287</v>
      </c>
      <c r="DG56" s="9" t="s">
        <v>3287</v>
      </c>
      <c r="DI56" s="9" t="s">
        <v>3287</v>
      </c>
      <c r="DK56" s="9" t="s">
        <v>3287</v>
      </c>
      <c r="DM56" s="9" t="s">
        <v>3287</v>
      </c>
      <c r="DO56" s="9" t="s">
        <v>3287</v>
      </c>
      <c r="DQ56" s="9" t="s">
        <v>3287</v>
      </c>
      <c r="DS56" s="9" t="s">
        <v>3362</v>
      </c>
      <c r="DU56" s="9" t="s">
        <v>3363</v>
      </c>
      <c r="DW56" s="9" t="s">
        <v>3363</v>
      </c>
      <c r="DY56" s="9" t="s">
        <v>3287</v>
      </c>
      <c r="EA56" s="9" t="s">
        <v>3287</v>
      </c>
      <c r="EC56" s="9" t="s">
        <v>3364</v>
      </c>
      <c r="EE56" s="9" t="s">
        <v>3365</v>
      </c>
      <c r="EG56" s="9" t="s">
        <v>25</v>
      </c>
      <c r="EY56" s="9" t="s">
        <v>3287</v>
      </c>
      <c r="FA56" s="9" t="s">
        <v>3287</v>
      </c>
      <c r="FC56" s="9" t="s">
        <v>3287</v>
      </c>
      <c r="FE56" s="9" t="s">
        <v>3287</v>
      </c>
      <c r="FG56" s="9" t="s">
        <v>3287</v>
      </c>
      <c r="FI56" s="9" t="s">
        <v>3287</v>
      </c>
      <c r="FK56" s="9" t="s">
        <v>3287</v>
      </c>
      <c r="FM56" s="9" t="s">
        <v>25</v>
      </c>
      <c r="FU56" s="9" t="s">
        <v>25</v>
      </c>
      <c r="FW56" s="9" t="s">
        <v>3366</v>
      </c>
      <c r="FY56" s="9" t="s">
        <v>3287</v>
      </c>
      <c r="GA56" s="9" t="s">
        <v>3367</v>
      </c>
      <c r="GC56" s="9" t="s">
        <v>3368</v>
      </c>
      <c r="GE56" s="9" t="s">
        <v>3369</v>
      </c>
      <c r="GG56" s="9" t="s">
        <v>3370</v>
      </c>
      <c r="GI56" s="9" t="s">
        <v>3287</v>
      </c>
      <c r="GK56" s="9" t="s">
        <v>25</v>
      </c>
      <c r="GS56" s="9" t="s">
        <v>3287</v>
      </c>
      <c r="GU56" s="9" t="s">
        <v>3287</v>
      </c>
      <c r="GW56" s="9" t="s">
        <v>3287</v>
      </c>
      <c r="GY56" s="9" t="s">
        <v>3287</v>
      </c>
      <c r="HA56" s="9" t="s">
        <v>3287</v>
      </c>
      <c r="HC56" s="9" t="s">
        <v>25</v>
      </c>
      <c r="HI56" s="9" t="s">
        <v>3287</v>
      </c>
      <c r="HK56" s="9" t="s">
        <v>3371</v>
      </c>
      <c r="HM56" s="9" t="s">
        <v>612</v>
      </c>
      <c r="HN56" s="9" t="s">
        <v>3372</v>
      </c>
      <c r="HO56" s="9" t="s">
        <v>3287</v>
      </c>
      <c r="HQ56" s="9" t="s">
        <v>3287</v>
      </c>
      <c r="HS56" s="9" t="s">
        <v>3287</v>
      </c>
      <c r="HU56" s="9" t="s">
        <v>3371</v>
      </c>
      <c r="HW56" s="9" t="s">
        <v>612</v>
      </c>
      <c r="HX56" s="9" t="s">
        <v>3372</v>
      </c>
      <c r="HY56" s="9" t="s">
        <v>25</v>
      </c>
      <c r="IH56" s="9" t="s">
        <v>3373</v>
      </c>
      <c r="IJ56" s="9" t="s">
        <v>3374</v>
      </c>
      <c r="IL56" s="9" t="s">
        <v>3373</v>
      </c>
      <c r="IN56" s="9" t="s">
        <v>3373</v>
      </c>
      <c r="IP56" s="9" t="s">
        <v>3373</v>
      </c>
      <c r="IR56" s="9" t="s">
        <v>3373</v>
      </c>
      <c r="IT56" s="9" t="s">
        <v>3287</v>
      </c>
      <c r="IV56" s="9" t="s">
        <v>25</v>
      </c>
      <c r="JD56" s="9" t="s">
        <v>3347</v>
      </c>
      <c r="JF56" s="9" t="s">
        <v>3287</v>
      </c>
      <c r="JH56" s="9" t="s">
        <v>3287</v>
      </c>
      <c r="JJ56" s="9" t="s">
        <v>3347</v>
      </c>
      <c r="JL56" s="9" t="s">
        <v>3347</v>
      </c>
      <c r="JN56" s="9" t="s">
        <v>3347</v>
      </c>
      <c r="JP56" s="9" t="s">
        <v>3287</v>
      </c>
      <c r="JR56" s="9" t="s">
        <v>25</v>
      </c>
      <c r="JZ56" s="9" t="s">
        <v>3287</v>
      </c>
      <c r="KB56" s="9" t="s">
        <v>3287</v>
      </c>
      <c r="KD56" s="9" t="s">
        <v>3287</v>
      </c>
      <c r="KF56" s="9" t="s">
        <v>3287</v>
      </c>
      <c r="KH56" s="9" t="s">
        <v>3287</v>
      </c>
      <c r="KJ56" s="9" t="s">
        <v>3375</v>
      </c>
      <c r="KL56" s="9" t="s">
        <v>3287</v>
      </c>
      <c r="KN56" s="9" t="s">
        <v>3287</v>
      </c>
      <c r="KP56" s="9" t="s">
        <v>3287</v>
      </c>
      <c r="KR56" s="9" t="s">
        <v>25</v>
      </c>
      <c r="LB56" s="9" t="s">
        <v>3287</v>
      </c>
      <c r="LD56" s="9" t="s">
        <v>3287</v>
      </c>
      <c r="LF56" s="9" t="s">
        <v>3287</v>
      </c>
      <c r="LH56" s="9" t="s">
        <v>3287</v>
      </c>
      <c r="LJ56" s="9" t="s">
        <v>3287</v>
      </c>
      <c r="LL56" s="9" t="s">
        <v>3287</v>
      </c>
      <c r="LN56" s="9" t="s">
        <v>3287</v>
      </c>
      <c r="LP56" s="9" t="s">
        <v>3287</v>
      </c>
      <c r="LR56" s="9" t="s">
        <v>25</v>
      </c>
      <c r="MA56" s="9" t="s">
        <v>3376</v>
      </c>
    </row>
    <row r="57" spans="1:339" ht="38.25" x14ac:dyDescent="0.2">
      <c r="A57" s="8" t="s">
        <v>146</v>
      </c>
      <c r="B57" s="9" t="s">
        <v>25</v>
      </c>
      <c r="C57" s="9" t="s">
        <v>25</v>
      </c>
      <c r="D57" s="9" t="s">
        <v>28</v>
      </c>
      <c r="E57" s="9" t="s">
        <v>25</v>
      </c>
      <c r="F57" s="9" t="s">
        <v>25</v>
      </c>
      <c r="G57" s="9" t="s">
        <v>25</v>
      </c>
      <c r="H57" s="9" t="s">
        <v>28</v>
      </c>
      <c r="I57" s="9" t="s">
        <v>25</v>
      </c>
      <c r="L57" s="9" t="s">
        <v>3339</v>
      </c>
      <c r="N57" s="9" t="s">
        <v>3339</v>
      </c>
      <c r="P57" s="9" t="s">
        <v>3279</v>
      </c>
      <c r="R57" s="9" t="s">
        <v>3896</v>
      </c>
      <c r="S57" s="9" t="s">
        <v>3897</v>
      </c>
      <c r="T57" s="9" t="s">
        <v>3896</v>
      </c>
      <c r="U57" s="9" t="s">
        <v>3897</v>
      </c>
      <c r="V57" s="9" t="s">
        <v>3287</v>
      </c>
      <c r="X57" s="9" t="s">
        <v>25</v>
      </c>
      <c r="AE57" s="9" t="s">
        <v>3898</v>
      </c>
      <c r="AG57" s="9" t="s">
        <v>3898</v>
      </c>
      <c r="AI57" s="9" t="s">
        <v>3898</v>
      </c>
      <c r="AK57" s="9" t="s">
        <v>3898</v>
      </c>
      <c r="AM57" s="9" t="s">
        <v>3898</v>
      </c>
      <c r="AO57" s="9" t="s">
        <v>3899</v>
      </c>
      <c r="AQ57" s="9" t="s">
        <v>3900</v>
      </c>
      <c r="AS57" s="9" t="s">
        <v>53</v>
      </c>
      <c r="AU57" s="9" t="s">
        <v>25</v>
      </c>
      <c r="BD57" s="9" t="s">
        <v>612</v>
      </c>
      <c r="BE57" s="9" t="s">
        <v>3901</v>
      </c>
      <c r="BF57" s="9" t="s">
        <v>3474</v>
      </c>
      <c r="BH57" s="9" t="s">
        <v>3474</v>
      </c>
      <c r="BJ57" s="9" t="s">
        <v>3287</v>
      </c>
      <c r="BL57" s="9" t="s">
        <v>25</v>
      </c>
      <c r="BQ57" s="9" t="s">
        <v>53</v>
      </c>
      <c r="BS57" s="9" t="s">
        <v>3341</v>
      </c>
      <c r="BU57" s="9" t="s">
        <v>53</v>
      </c>
      <c r="BW57" s="9" t="s">
        <v>3900</v>
      </c>
      <c r="CD57" s="9" t="s">
        <v>3386</v>
      </c>
      <c r="CF57" s="9" t="s">
        <v>13997</v>
      </c>
      <c r="CH57" s="9" t="s">
        <v>3902</v>
      </c>
      <c r="CJ57" s="9" t="s">
        <v>3292</v>
      </c>
      <c r="CL57" s="9" t="s">
        <v>3293</v>
      </c>
      <c r="CN57" s="9" t="s">
        <v>3361</v>
      </c>
      <c r="CP57" s="9" t="s">
        <v>3386</v>
      </c>
      <c r="CR57" s="9" t="s">
        <v>25</v>
      </c>
      <c r="CY57" s="9" t="s">
        <v>612</v>
      </c>
      <c r="CZ57" s="9" t="s">
        <v>3299</v>
      </c>
      <c r="DA57" s="9" t="s">
        <v>3297</v>
      </c>
      <c r="DC57" s="9" t="s">
        <v>3297</v>
      </c>
      <c r="DE57" s="9" t="s">
        <v>3297</v>
      </c>
      <c r="DG57" s="9" t="s">
        <v>3287</v>
      </c>
      <c r="DI57" s="9" t="s">
        <v>612</v>
      </c>
      <c r="DJ57" s="9" t="s">
        <v>3658</v>
      </c>
      <c r="DK57" s="9" t="s">
        <v>3287</v>
      </c>
      <c r="DM57" s="9" t="s">
        <v>3287</v>
      </c>
      <c r="DO57" s="9" t="s">
        <v>3287</v>
      </c>
      <c r="DQ57" s="9" t="s">
        <v>3287</v>
      </c>
      <c r="DS57" s="9" t="s">
        <v>3297</v>
      </c>
      <c r="DU57" s="9" t="s">
        <v>3344</v>
      </c>
      <c r="DW57" s="9" t="s">
        <v>3903</v>
      </c>
      <c r="DX57" s="9" t="s">
        <v>3749</v>
      </c>
      <c r="DY57" s="9" t="s">
        <v>3344</v>
      </c>
      <c r="EA57" s="9" t="s">
        <v>3297</v>
      </c>
      <c r="EC57" s="9" t="s">
        <v>612</v>
      </c>
      <c r="ED57" s="9" t="s">
        <v>3904</v>
      </c>
      <c r="EE57" s="9" t="s">
        <v>3287</v>
      </c>
      <c r="EG57" s="9" t="s">
        <v>25</v>
      </c>
      <c r="EY57" s="9" t="s">
        <v>3530</v>
      </c>
      <c r="FA57" s="9" t="s">
        <v>3530</v>
      </c>
      <c r="FC57" s="9" t="s">
        <v>3530</v>
      </c>
      <c r="FE57" s="9" t="s">
        <v>3287</v>
      </c>
      <c r="FG57" s="9" t="s">
        <v>3297</v>
      </c>
      <c r="FI57" s="9" t="s">
        <v>3840</v>
      </c>
      <c r="FK57" s="9" t="s">
        <v>3297</v>
      </c>
      <c r="FM57" s="9" t="s">
        <v>25</v>
      </c>
      <c r="FU57" s="9" t="s">
        <v>25</v>
      </c>
      <c r="FW57" s="9" t="s">
        <v>3297</v>
      </c>
      <c r="FY57" s="9" t="s">
        <v>3287</v>
      </c>
      <c r="GA57" s="9" t="s">
        <v>3297</v>
      </c>
      <c r="GC57" s="9" t="s">
        <v>3287</v>
      </c>
      <c r="GE57" s="9" t="s">
        <v>3287</v>
      </c>
      <c r="GG57" s="9" t="s">
        <v>3287</v>
      </c>
      <c r="GI57" s="9" t="s">
        <v>3397</v>
      </c>
      <c r="GK57" s="9" t="s">
        <v>25</v>
      </c>
      <c r="GS57" s="9" t="s">
        <v>3287</v>
      </c>
      <c r="GU57" s="9" t="s">
        <v>3287</v>
      </c>
      <c r="GW57" s="9" t="s">
        <v>3905</v>
      </c>
      <c r="GY57" s="9" t="s">
        <v>3905</v>
      </c>
      <c r="HA57" s="9" t="s">
        <v>3297</v>
      </c>
      <c r="HC57" s="9" t="s">
        <v>25</v>
      </c>
      <c r="HI57" s="9" t="s">
        <v>3420</v>
      </c>
      <c r="HK57" s="9" t="s">
        <v>3420</v>
      </c>
      <c r="HM57" s="9" t="s">
        <v>3420</v>
      </c>
      <c r="HO57" s="9" t="s">
        <v>3906</v>
      </c>
      <c r="HQ57" s="9" t="s">
        <v>3348</v>
      </c>
      <c r="HS57" s="9" t="s">
        <v>3322</v>
      </c>
      <c r="HU57" s="9" t="s">
        <v>3420</v>
      </c>
      <c r="HW57" s="9" t="s">
        <v>3420</v>
      </c>
      <c r="HY57" s="9" t="s">
        <v>25</v>
      </c>
      <c r="IH57" s="9" t="s">
        <v>3907</v>
      </c>
      <c r="II57" s="9" t="s">
        <v>3512</v>
      </c>
      <c r="IJ57" s="9" t="s">
        <v>3323</v>
      </c>
      <c r="IL57" s="9" t="s">
        <v>612</v>
      </c>
      <c r="IM57" s="9" t="s">
        <v>3512</v>
      </c>
      <c r="IN57" s="9" t="s">
        <v>612</v>
      </c>
      <c r="IO57" s="9" t="s">
        <v>3512</v>
      </c>
      <c r="IP57" s="9" t="s">
        <v>612</v>
      </c>
      <c r="IQ57" s="9" t="s">
        <v>3512</v>
      </c>
      <c r="IR57" s="9" t="s">
        <v>612</v>
      </c>
      <c r="IS57" s="9" t="s">
        <v>3512</v>
      </c>
      <c r="IV57" s="9" t="s">
        <v>25</v>
      </c>
      <c r="JD57" s="9" t="s">
        <v>3908</v>
      </c>
      <c r="JF57" s="9" t="s">
        <v>3287</v>
      </c>
      <c r="JH57" s="9" t="s">
        <v>3287</v>
      </c>
      <c r="JJ57" s="9" t="s">
        <v>3908</v>
      </c>
      <c r="JL57" s="9" t="s">
        <v>3908</v>
      </c>
      <c r="JN57" s="9" t="s">
        <v>3908</v>
      </c>
      <c r="JP57" s="9" t="s">
        <v>3287</v>
      </c>
      <c r="JR57" s="9" t="s">
        <v>25</v>
      </c>
      <c r="JZ57" s="9" t="s">
        <v>3397</v>
      </c>
      <c r="KB57" s="9" t="s">
        <v>3397</v>
      </c>
      <c r="KD57" s="9" t="s">
        <v>3909</v>
      </c>
      <c r="KF57" s="9" t="s">
        <v>3287</v>
      </c>
      <c r="KH57" s="9" t="s">
        <v>3642</v>
      </c>
      <c r="KJ57" s="9" t="s">
        <v>3720</v>
      </c>
      <c r="KL57" s="9" t="s">
        <v>3287</v>
      </c>
      <c r="KN57" s="9" t="s">
        <v>3643</v>
      </c>
      <c r="KP57" s="9" t="s">
        <v>3332</v>
      </c>
      <c r="KR57" s="9" t="s">
        <v>25</v>
      </c>
      <c r="LB57" s="9" t="s">
        <v>3756</v>
      </c>
      <c r="LD57" s="9" t="s">
        <v>3287</v>
      </c>
      <c r="LF57" s="9" t="s">
        <v>3335</v>
      </c>
      <c r="LH57" s="9" t="s">
        <v>3287</v>
      </c>
      <c r="LJ57" s="9" t="s">
        <v>3287</v>
      </c>
      <c r="LL57" s="9" t="s">
        <v>3910</v>
      </c>
      <c r="LN57" s="9" t="s">
        <v>3911</v>
      </c>
      <c r="LP57" s="9" t="s">
        <v>3287</v>
      </c>
      <c r="LR57" s="9" t="s">
        <v>25</v>
      </c>
      <c r="MA57" s="9" t="s">
        <v>3912</v>
      </c>
    </row>
    <row r="58" spans="1:339" ht="25.5" x14ac:dyDescent="0.2">
      <c r="A58" s="8" t="s">
        <v>149</v>
      </c>
      <c r="B58" s="9" t="s">
        <v>25</v>
      </c>
      <c r="C58" s="9" t="s">
        <v>25</v>
      </c>
      <c r="D58" s="9" t="s">
        <v>25</v>
      </c>
      <c r="E58" s="9" t="s">
        <v>25</v>
      </c>
      <c r="F58" s="9" t="s">
        <v>25</v>
      </c>
      <c r="G58" s="9" t="s">
        <v>25</v>
      </c>
      <c r="H58" s="9" t="s">
        <v>28</v>
      </c>
      <c r="I58" s="9" t="s">
        <v>25</v>
      </c>
      <c r="J58" s="9" t="s">
        <v>25</v>
      </c>
      <c r="L58" s="9" t="s">
        <v>3279</v>
      </c>
      <c r="N58" s="9" t="s">
        <v>3287</v>
      </c>
      <c r="P58" s="9" t="s">
        <v>3434</v>
      </c>
      <c r="R58" s="9" t="s">
        <v>3279</v>
      </c>
      <c r="T58" s="9" t="s">
        <v>3287</v>
      </c>
      <c r="V58" s="9" t="s">
        <v>3287</v>
      </c>
      <c r="AG58" s="9" t="s">
        <v>3287</v>
      </c>
      <c r="AI58" s="9" t="s">
        <v>3339</v>
      </c>
      <c r="AK58" s="9" t="s">
        <v>3339</v>
      </c>
      <c r="AO58" s="9" t="s">
        <v>3287</v>
      </c>
      <c r="AQ58" s="9" t="s">
        <v>3339</v>
      </c>
      <c r="AS58" s="9" t="s">
        <v>3946</v>
      </c>
      <c r="BD58" s="9" t="s">
        <v>3287</v>
      </c>
      <c r="BF58" s="9" t="s">
        <v>3684</v>
      </c>
      <c r="BH58" s="9" t="s">
        <v>3684</v>
      </c>
      <c r="BJ58" s="9" t="s">
        <v>3684</v>
      </c>
      <c r="BQ58" s="9" t="s">
        <v>3384</v>
      </c>
      <c r="BS58" s="9" t="s">
        <v>3384</v>
      </c>
      <c r="BU58" s="9" t="s">
        <v>3287</v>
      </c>
      <c r="CD58" s="9" t="s">
        <v>3947</v>
      </c>
      <c r="CF58" s="9" t="s">
        <v>3359</v>
      </c>
      <c r="CH58" s="9" t="s">
        <v>3948</v>
      </c>
      <c r="CJ58" s="9" t="s">
        <v>3937</v>
      </c>
      <c r="CL58" s="9" t="s">
        <v>3949</v>
      </c>
      <c r="CN58" s="9" t="s">
        <v>3287</v>
      </c>
      <c r="CP58" s="9" t="s">
        <v>3287</v>
      </c>
      <c r="CR58" s="9" t="s">
        <v>25</v>
      </c>
      <c r="CY58" s="9" t="s">
        <v>3413</v>
      </c>
      <c r="DA58" s="9" t="s">
        <v>3287</v>
      </c>
      <c r="DC58" s="9" t="s">
        <v>3297</v>
      </c>
      <c r="DG58" s="9" t="s">
        <v>3287</v>
      </c>
      <c r="DI58" s="9" t="s">
        <v>3287</v>
      </c>
      <c r="DK58" s="9" t="s">
        <v>3415</v>
      </c>
      <c r="DM58" s="9" t="s">
        <v>3415</v>
      </c>
      <c r="DO58" s="9" t="s">
        <v>3596</v>
      </c>
      <c r="DQ58" s="9" t="s">
        <v>3287</v>
      </c>
      <c r="DS58" s="9" t="s">
        <v>3297</v>
      </c>
      <c r="DU58" s="9" t="s">
        <v>3950</v>
      </c>
      <c r="DW58" s="9" t="s">
        <v>3950</v>
      </c>
      <c r="DY58" s="9" t="s">
        <v>3297</v>
      </c>
      <c r="EA58" s="9" t="s">
        <v>3297</v>
      </c>
      <c r="EC58" s="9" t="s">
        <v>3426</v>
      </c>
      <c r="EE58" s="9" t="s">
        <v>3951</v>
      </c>
      <c r="EG58" s="9" t="s">
        <v>25</v>
      </c>
      <c r="EY58" s="9" t="s">
        <v>3952</v>
      </c>
      <c r="FA58" s="9" t="s">
        <v>3953</v>
      </c>
      <c r="FC58" s="9" t="s">
        <v>3287</v>
      </c>
      <c r="FE58" s="9" t="s">
        <v>3839</v>
      </c>
      <c r="FG58" s="9" t="s">
        <v>3954</v>
      </c>
      <c r="FI58" s="9" t="s">
        <v>3954</v>
      </c>
      <c r="FK58" s="9" t="s">
        <v>3952</v>
      </c>
      <c r="FM58" s="9" t="s">
        <v>25</v>
      </c>
      <c r="FU58" s="9" t="s">
        <v>28</v>
      </c>
      <c r="FV58" s="9" t="s">
        <v>3955</v>
      </c>
      <c r="FW58" s="9" t="s">
        <v>3956</v>
      </c>
      <c r="FY58" s="9" t="s">
        <v>3287</v>
      </c>
      <c r="GA58" s="9" t="s">
        <v>3957</v>
      </c>
      <c r="GC58" s="9" t="s">
        <v>3287</v>
      </c>
      <c r="GE58" s="9" t="s">
        <v>14011</v>
      </c>
      <c r="GG58" s="9" t="s">
        <v>3317</v>
      </c>
      <c r="GI58" s="9" t="s">
        <v>3287</v>
      </c>
      <c r="GK58" s="9" t="s">
        <v>25</v>
      </c>
      <c r="GS58" s="9" t="s">
        <v>3508</v>
      </c>
      <c r="GU58" s="9" t="s">
        <v>3508</v>
      </c>
      <c r="GW58" s="9" t="s">
        <v>3287</v>
      </c>
      <c r="GY58" s="9" t="s">
        <v>3287</v>
      </c>
      <c r="HA58" s="9" t="s">
        <v>3287</v>
      </c>
      <c r="HC58" s="9" t="s">
        <v>25</v>
      </c>
      <c r="HI58" s="9" t="s">
        <v>3869</v>
      </c>
      <c r="HK58" s="9" t="s">
        <v>3869</v>
      </c>
      <c r="HM58" s="9" t="s">
        <v>3488</v>
      </c>
      <c r="HO58" s="9" t="s">
        <v>3279</v>
      </c>
      <c r="HQ58" s="9" t="s">
        <v>3958</v>
      </c>
      <c r="HS58" s="9" t="s">
        <v>3287</v>
      </c>
      <c r="HU58" s="9" t="s">
        <v>1265</v>
      </c>
      <c r="HW58" s="9" t="s">
        <v>3488</v>
      </c>
      <c r="IH58" s="9" t="s">
        <v>3373</v>
      </c>
      <c r="IJ58" s="9" t="s">
        <v>3349</v>
      </c>
      <c r="IL58" s="9" t="s">
        <v>3373</v>
      </c>
      <c r="IN58" s="9" t="s">
        <v>3373</v>
      </c>
      <c r="IP58" s="9" t="s">
        <v>3373</v>
      </c>
      <c r="IR58" s="9" t="s">
        <v>3373</v>
      </c>
      <c r="IT58" s="9" t="s">
        <v>3692</v>
      </c>
      <c r="JD58" s="9" t="s">
        <v>3347</v>
      </c>
      <c r="JF58" s="9" t="s">
        <v>3347</v>
      </c>
      <c r="JH58" s="9" t="s">
        <v>3287</v>
      </c>
      <c r="JJ58" s="9" t="s">
        <v>14017</v>
      </c>
      <c r="JL58" s="9" t="s">
        <v>3814</v>
      </c>
      <c r="JN58" s="9" t="s">
        <v>3347</v>
      </c>
      <c r="JP58" s="9" t="s">
        <v>3287</v>
      </c>
      <c r="JR58" s="9" t="s">
        <v>25</v>
      </c>
      <c r="JZ58" s="9" t="s">
        <v>3287</v>
      </c>
      <c r="KB58" s="9" t="s">
        <v>3456</v>
      </c>
      <c r="KD58" s="9" t="s">
        <v>3287</v>
      </c>
      <c r="KF58" s="9" t="s">
        <v>3603</v>
      </c>
      <c r="KJ58" s="9" t="s">
        <v>3352</v>
      </c>
      <c r="KL58" s="9" t="s">
        <v>3959</v>
      </c>
      <c r="KN58" s="9" t="s">
        <v>3428</v>
      </c>
      <c r="KP58" s="9" t="s">
        <v>3332</v>
      </c>
      <c r="LB58" s="9" t="s">
        <v>14022</v>
      </c>
      <c r="LD58" s="9" t="s">
        <v>612</v>
      </c>
      <c r="LE58" s="9" t="s">
        <v>14023</v>
      </c>
      <c r="LF58" s="9" t="s">
        <v>3287</v>
      </c>
      <c r="LH58" s="9" t="s">
        <v>3287</v>
      </c>
      <c r="LJ58" s="9" t="s">
        <v>3758</v>
      </c>
      <c r="LL58" s="9" t="s">
        <v>3587</v>
      </c>
      <c r="LN58" s="9" t="s">
        <v>3960</v>
      </c>
      <c r="LP58" s="9" t="s">
        <v>612</v>
      </c>
      <c r="LQ58" s="9" t="s">
        <v>3961</v>
      </c>
      <c r="LR58" s="9" t="s">
        <v>25</v>
      </c>
      <c r="MA58" s="9" t="s">
        <v>3338</v>
      </c>
    </row>
    <row r="59" spans="1:339" ht="25.5" x14ac:dyDescent="0.2">
      <c r="A59" s="8" t="s">
        <v>145</v>
      </c>
      <c r="B59" s="9" t="s">
        <v>25</v>
      </c>
      <c r="C59" s="9" t="s">
        <v>25</v>
      </c>
      <c r="D59" s="9" t="s">
        <v>25</v>
      </c>
      <c r="E59" s="9" t="s">
        <v>25</v>
      </c>
      <c r="F59" s="9" t="s">
        <v>25</v>
      </c>
      <c r="G59" s="9" t="s">
        <v>25</v>
      </c>
      <c r="H59" s="9" t="s">
        <v>25</v>
      </c>
      <c r="I59" s="9" t="s">
        <v>25</v>
      </c>
      <c r="J59" s="9" t="s">
        <v>25</v>
      </c>
      <c r="L59" s="9" t="s">
        <v>3588</v>
      </c>
      <c r="N59" s="9" t="s">
        <v>3339</v>
      </c>
      <c r="P59" s="9" t="s">
        <v>3279</v>
      </c>
      <c r="R59" s="9" t="s">
        <v>3347</v>
      </c>
      <c r="T59" s="9" t="s">
        <v>3347</v>
      </c>
      <c r="V59" s="9" t="s">
        <v>3287</v>
      </c>
      <c r="X59" s="9" t="s">
        <v>25</v>
      </c>
      <c r="AE59" s="9" t="s">
        <v>3339</v>
      </c>
      <c r="AG59" s="9" t="s">
        <v>3885</v>
      </c>
      <c r="AH59" s="9" t="s">
        <v>3886</v>
      </c>
      <c r="AI59" s="9" t="s">
        <v>3339</v>
      </c>
      <c r="AK59" s="9" t="s">
        <v>3339</v>
      </c>
      <c r="AM59" s="9" t="s">
        <v>3287</v>
      </c>
      <c r="AO59" s="9" t="s">
        <v>3287</v>
      </c>
      <c r="AQ59" s="9" t="s">
        <v>3488</v>
      </c>
      <c r="AS59" s="9" t="s">
        <v>3339</v>
      </c>
      <c r="AU59" s="9" t="s">
        <v>25</v>
      </c>
      <c r="BD59" s="9" t="s">
        <v>3342</v>
      </c>
      <c r="BF59" s="9" t="s">
        <v>3342</v>
      </c>
      <c r="BH59" s="9" t="s">
        <v>3342</v>
      </c>
      <c r="BJ59" s="9" t="s">
        <v>3287</v>
      </c>
      <c r="BL59" s="9" t="s">
        <v>25</v>
      </c>
      <c r="BQ59" s="9" t="s">
        <v>53</v>
      </c>
      <c r="BS59" s="9" t="s">
        <v>3341</v>
      </c>
      <c r="BU59" s="9" t="s">
        <v>3287</v>
      </c>
      <c r="BW59" s="9" t="s">
        <v>612</v>
      </c>
      <c r="BX59" s="9" t="s">
        <v>3492</v>
      </c>
      <c r="BY59" s="9" t="s">
        <v>25</v>
      </c>
      <c r="CD59" s="9" t="s">
        <v>3386</v>
      </c>
      <c r="CF59" s="9" t="s">
        <v>3386</v>
      </c>
      <c r="CH59" s="9" t="s">
        <v>3887</v>
      </c>
      <c r="CJ59" s="9" t="s">
        <v>3292</v>
      </c>
      <c r="CL59" s="9" t="s">
        <v>3293</v>
      </c>
      <c r="CN59" s="9" t="s">
        <v>3361</v>
      </c>
      <c r="CP59" s="9" t="s">
        <v>3287</v>
      </c>
      <c r="CR59" s="9" t="s">
        <v>25</v>
      </c>
      <c r="CY59" s="9" t="s">
        <v>3287</v>
      </c>
      <c r="DA59" s="9" t="s">
        <v>3287</v>
      </c>
      <c r="DC59" s="9" t="s">
        <v>3287</v>
      </c>
      <c r="DE59" s="9" t="s">
        <v>3287</v>
      </c>
      <c r="DG59" s="9" t="s">
        <v>3287</v>
      </c>
      <c r="DI59" s="9" t="s">
        <v>612</v>
      </c>
      <c r="DJ59" s="9" t="s">
        <v>3888</v>
      </c>
      <c r="DK59" s="9" t="s">
        <v>3287</v>
      </c>
      <c r="DM59" s="9" t="s">
        <v>3415</v>
      </c>
      <c r="DQ59" s="9" t="s">
        <v>3415</v>
      </c>
      <c r="DS59" s="9" t="s">
        <v>3889</v>
      </c>
      <c r="DU59" s="9" t="s">
        <v>3360</v>
      </c>
      <c r="DW59" s="9" t="s">
        <v>3287</v>
      </c>
      <c r="DY59" s="9" t="s">
        <v>3287</v>
      </c>
      <c r="EA59" s="9" t="s">
        <v>3415</v>
      </c>
      <c r="EC59" s="9" t="s">
        <v>3890</v>
      </c>
      <c r="EE59" s="9" t="s">
        <v>3415</v>
      </c>
      <c r="EG59" s="9" t="s">
        <v>25</v>
      </c>
      <c r="EY59" s="9" t="s">
        <v>3891</v>
      </c>
      <c r="FA59" s="9" t="s">
        <v>3892</v>
      </c>
      <c r="FB59" s="9" t="s">
        <v>3893</v>
      </c>
      <c r="FC59" s="9" t="s">
        <v>3287</v>
      </c>
      <c r="FE59" s="9" t="s">
        <v>3670</v>
      </c>
      <c r="FG59" s="9" t="s">
        <v>3287</v>
      </c>
      <c r="FI59" s="9" t="s">
        <v>3287</v>
      </c>
      <c r="FK59" s="9" t="s">
        <v>3287</v>
      </c>
      <c r="FM59" s="9" t="s">
        <v>25</v>
      </c>
      <c r="FU59" s="9" t="s">
        <v>25</v>
      </c>
      <c r="FW59" s="9" t="s">
        <v>612</v>
      </c>
      <c r="FX59" s="9" t="s">
        <v>3894</v>
      </c>
      <c r="FY59" s="9" t="s">
        <v>3287</v>
      </c>
      <c r="GA59" s="9" t="s">
        <v>14009</v>
      </c>
      <c r="GC59" s="9" t="s">
        <v>3370</v>
      </c>
      <c r="GE59" s="9" t="s">
        <v>3370</v>
      </c>
      <c r="GG59" s="9" t="s">
        <v>3370</v>
      </c>
      <c r="GI59" s="9" t="s">
        <v>3287</v>
      </c>
      <c r="GK59" s="9" t="s">
        <v>25</v>
      </c>
      <c r="GS59" s="9" t="s">
        <v>612</v>
      </c>
      <c r="GT59" s="9" t="s">
        <v>3492</v>
      </c>
      <c r="GU59" s="9" t="s">
        <v>612</v>
      </c>
      <c r="GV59" s="9" t="s">
        <v>3492</v>
      </c>
      <c r="GW59" s="9" t="s">
        <v>612</v>
      </c>
      <c r="GX59" s="9" t="s">
        <v>3492</v>
      </c>
      <c r="GY59" s="9" t="s">
        <v>612</v>
      </c>
      <c r="GZ59" s="9" t="s">
        <v>3492</v>
      </c>
      <c r="HA59" s="9" t="s">
        <v>3287</v>
      </c>
      <c r="HC59" s="9" t="s">
        <v>25</v>
      </c>
      <c r="HI59" s="9" t="s">
        <v>3287</v>
      </c>
      <c r="HK59" s="9" t="s">
        <v>3510</v>
      </c>
      <c r="HM59" s="9" t="s">
        <v>3488</v>
      </c>
      <c r="HO59" s="9" t="s">
        <v>3339</v>
      </c>
      <c r="HQ59" s="9" t="s">
        <v>3287</v>
      </c>
      <c r="HS59" s="9" t="s">
        <v>3287</v>
      </c>
      <c r="HU59" s="9" t="s">
        <v>3510</v>
      </c>
      <c r="HW59" s="9" t="s">
        <v>3488</v>
      </c>
      <c r="HY59" s="9" t="s">
        <v>25</v>
      </c>
      <c r="IH59" s="9" t="s">
        <v>612</v>
      </c>
      <c r="II59" s="9" t="s">
        <v>3536</v>
      </c>
      <c r="IJ59" s="9" t="s">
        <v>3380</v>
      </c>
      <c r="IL59" s="9" t="s">
        <v>3895</v>
      </c>
      <c r="IM59" s="9" t="s">
        <v>3536</v>
      </c>
      <c r="IN59" s="9" t="s">
        <v>3735</v>
      </c>
      <c r="IP59" s="9" t="s">
        <v>3895</v>
      </c>
      <c r="IQ59" s="9" t="s">
        <v>3536</v>
      </c>
      <c r="IR59" s="9" t="s">
        <v>612</v>
      </c>
      <c r="IS59" s="9" t="s">
        <v>3536</v>
      </c>
      <c r="IT59" s="9" t="s">
        <v>3692</v>
      </c>
      <c r="IV59" s="9" t="s">
        <v>25</v>
      </c>
      <c r="JD59" s="9" t="s">
        <v>3347</v>
      </c>
      <c r="JF59" s="9" t="s">
        <v>3287</v>
      </c>
      <c r="JH59" s="9" t="s">
        <v>3287</v>
      </c>
      <c r="JJ59" s="9" t="s">
        <v>3347</v>
      </c>
      <c r="JL59" s="9" t="s">
        <v>3347</v>
      </c>
      <c r="JN59" s="9" t="s">
        <v>3347</v>
      </c>
      <c r="JP59" s="9" t="s">
        <v>3287</v>
      </c>
      <c r="JR59" s="9" t="s">
        <v>25</v>
      </c>
      <c r="JZ59" s="9" t="s">
        <v>3287</v>
      </c>
      <c r="KB59" s="9" t="s">
        <v>3328</v>
      </c>
      <c r="KD59" s="9" t="s">
        <v>3457</v>
      </c>
      <c r="KF59" s="9" t="s">
        <v>3603</v>
      </c>
      <c r="KH59" s="9" t="s">
        <v>3287</v>
      </c>
      <c r="KJ59" s="9" t="s">
        <v>3330</v>
      </c>
      <c r="KL59" s="9" t="s">
        <v>3287</v>
      </c>
      <c r="KN59" s="9" t="s">
        <v>3287</v>
      </c>
      <c r="KP59" s="9" t="s">
        <v>3332</v>
      </c>
      <c r="KR59" s="9" t="s">
        <v>25</v>
      </c>
      <c r="LB59" s="9" t="s">
        <v>3287</v>
      </c>
      <c r="LD59" s="9" t="s">
        <v>3334</v>
      </c>
      <c r="LF59" s="9" t="s">
        <v>3335</v>
      </c>
      <c r="LH59" s="9" t="s">
        <v>3336</v>
      </c>
      <c r="LL59" s="9" t="s">
        <v>3587</v>
      </c>
      <c r="LN59" s="9" t="s">
        <v>3287</v>
      </c>
      <c r="LP59" s="9" t="s">
        <v>3287</v>
      </c>
      <c r="LR59" s="9" t="s">
        <v>25</v>
      </c>
      <c r="MA59" s="9" t="s">
        <v>3338</v>
      </c>
    </row>
    <row r="60" spans="1:339" ht="25.5" x14ac:dyDescent="0.2">
      <c r="A60" s="8" t="s">
        <v>141</v>
      </c>
      <c r="B60" s="9" t="s">
        <v>25</v>
      </c>
      <c r="C60" s="9" t="s">
        <v>25</v>
      </c>
      <c r="D60" s="9" t="s">
        <v>25</v>
      </c>
      <c r="E60" s="9" t="s">
        <v>25</v>
      </c>
      <c r="F60" s="9" t="s">
        <v>25</v>
      </c>
      <c r="G60" s="9" t="s">
        <v>25</v>
      </c>
      <c r="H60" s="9" t="s">
        <v>25</v>
      </c>
      <c r="I60" s="9" t="s">
        <v>25</v>
      </c>
      <c r="J60" s="9" t="s">
        <v>25</v>
      </c>
      <c r="L60" s="9" t="s">
        <v>3339</v>
      </c>
      <c r="N60" s="9" t="s">
        <v>3287</v>
      </c>
      <c r="P60" s="9" t="s">
        <v>3287</v>
      </c>
      <c r="R60" s="9" t="s">
        <v>3340</v>
      </c>
      <c r="T60" s="9" t="s">
        <v>3287</v>
      </c>
      <c r="V60" s="9" t="s">
        <v>3347</v>
      </c>
      <c r="AE60" s="9" t="s">
        <v>3818</v>
      </c>
      <c r="AG60" s="9" t="s">
        <v>3287</v>
      </c>
      <c r="AI60" s="9" t="s">
        <v>3287</v>
      </c>
      <c r="AK60" s="9" t="s">
        <v>3287</v>
      </c>
      <c r="AM60" s="9" t="s">
        <v>3287</v>
      </c>
      <c r="AO60" s="9" t="s">
        <v>3287</v>
      </c>
      <c r="AQ60" s="9" t="s">
        <v>3819</v>
      </c>
      <c r="AS60" s="9" t="s">
        <v>3287</v>
      </c>
      <c r="BD60" s="9" t="s">
        <v>3543</v>
      </c>
      <c r="BF60" s="9" t="s">
        <v>3543</v>
      </c>
      <c r="BH60" s="9" t="s">
        <v>3543</v>
      </c>
      <c r="BJ60" s="9" t="s">
        <v>3543</v>
      </c>
      <c r="BQ60" s="9" t="s">
        <v>3820</v>
      </c>
      <c r="BS60" s="9" t="s">
        <v>3820</v>
      </c>
      <c r="BU60" s="9" t="s">
        <v>3820</v>
      </c>
      <c r="BW60" s="9" t="s">
        <v>612</v>
      </c>
      <c r="BX60" s="9" t="s">
        <v>3821</v>
      </c>
      <c r="BY60" s="9" t="s">
        <v>25</v>
      </c>
      <c r="CD60" s="9" t="s">
        <v>13584</v>
      </c>
      <c r="CF60" s="9" t="s">
        <v>13584</v>
      </c>
      <c r="CH60" s="9" t="s">
        <v>13585</v>
      </c>
      <c r="CJ60" s="9" t="s">
        <v>3292</v>
      </c>
      <c r="CL60" s="9" t="s">
        <v>3293</v>
      </c>
      <c r="CN60" s="9" t="s">
        <v>3287</v>
      </c>
      <c r="CY60" s="9" t="s">
        <v>3287</v>
      </c>
      <c r="DA60" s="9" t="s">
        <v>3297</v>
      </c>
      <c r="DC60" s="9" t="s">
        <v>3297</v>
      </c>
      <c r="DI60" s="9" t="s">
        <v>3287</v>
      </c>
      <c r="DK60" s="9" t="s">
        <v>3287</v>
      </c>
      <c r="DO60" s="9" t="s">
        <v>3287</v>
      </c>
      <c r="DS60" s="9" t="s">
        <v>3297</v>
      </c>
      <c r="DU60" s="9" t="s">
        <v>3344</v>
      </c>
      <c r="DW60" s="9" t="s">
        <v>3297</v>
      </c>
      <c r="DY60" s="9" t="s">
        <v>3297</v>
      </c>
      <c r="EA60" s="9" t="s">
        <v>3297</v>
      </c>
      <c r="EY60" s="9" t="s">
        <v>3297</v>
      </c>
      <c r="FA60" s="9" t="s">
        <v>3287</v>
      </c>
      <c r="FC60" s="9" t="s">
        <v>3287</v>
      </c>
      <c r="FE60" s="9" t="s">
        <v>3287</v>
      </c>
      <c r="FG60" s="9" t="s">
        <v>3287</v>
      </c>
      <c r="FI60" s="9" t="s">
        <v>3287</v>
      </c>
      <c r="FK60" s="9" t="s">
        <v>3287</v>
      </c>
      <c r="FU60" s="9" t="s">
        <v>28</v>
      </c>
      <c r="FV60" s="9" t="s">
        <v>3347</v>
      </c>
      <c r="FW60" s="9" t="s">
        <v>3822</v>
      </c>
      <c r="FY60" s="9" t="s">
        <v>3287</v>
      </c>
      <c r="GE60" s="9" t="s">
        <v>3287</v>
      </c>
      <c r="GI60" s="9" t="s">
        <v>3287</v>
      </c>
      <c r="GS60" s="9" t="s">
        <v>3347</v>
      </c>
      <c r="GU60" s="9" t="s">
        <v>3347</v>
      </c>
      <c r="GW60" s="9" t="s">
        <v>3287</v>
      </c>
      <c r="GY60" s="9" t="s">
        <v>3287</v>
      </c>
      <c r="HA60" s="9" t="s">
        <v>3347</v>
      </c>
      <c r="HC60" s="9" t="s">
        <v>25</v>
      </c>
      <c r="HI60" s="9" t="s">
        <v>3347</v>
      </c>
      <c r="HK60" s="9" t="s">
        <v>3421</v>
      </c>
      <c r="HM60" s="9" t="s">
        <v>3347</v>
      </c>
      <c r="HO60" s="9" t="s">
        <v>3287</v>
      </c>
      <c r="HQ60" s="9" t="s">
        <v>3348</v>
      </c>
      <c r="HS60" s="9" t="s">
        <v>3287</v>
      </c>
      <c r="HU60" s="9" t="s">
        <v>3287</v>
      </c>
      <c r="HW60" s="9" t="s">
        <v>3287</v>
      </c>
      <c r="IH60" s="9" t="s">
        <v>3349</v>
      </c>
      <c r="IJ60" s="9" t="s">
        <v>3323</v>
      </c>
      <c r="IL60" s="9" t="s">
        <v>3350</v>
      </c>
      <c r="IN60" s="9" t="s">
        <v>3350</v>
      </c>
      <c r="IP60" s="9" t="s">
        <v>3350</v>
      </c>
      <c r="IR60" s="9" t="s">
        <v>3350</v>
      </c>
      <c r="IT60" s="9" t="s">
        <v>3350</v>
      </c>
      <c r="JD60" s="9" t="s">
        <v>3347</v>
      </c>
      <c r="JF60" s="9" t="s">
        <v>3347</v>
      </c>
      <c r="JH60" s="9" t="s">
        <v>3347</v>
      </c>
      <c r="JJ60" s="9" t="s">
        <v>3347</v>
      </c>
      <c r="JL60" s="9" t="s">
        <v>3347</v>
      </c>
      <c r="JN60" s="9" t="s">
        <v>3351</v>
      </c>
      <c r="JP60" s="9" t="s">
        <v>3287</v>
      </c>
      <c r="JZ60" s="9" t="s">
        <v>3287</v>
      </c>
      <c r="KB60" s="9" t="s">
        <v>3287</v>
      </c>
      <c r="KD60" s="9" t="s">
        <v>3287</v>
      </c>
      <c r="KF60" s="9" t="s">
        <v>3287</v>
      </c>
      <c r="KJ60" s="9" t="s">
        <v>3352</v>
      </c>
      <c r="KL60" s="9" t="s">
        <v>3287</v>
      </c>
      <c r="KP60" s="9" t="s">
        <v>3287</v>
      </c>
      <c r="LB60" s="9" t="s">
        <v>3287</v>
      </c>
      <c r="LD60" s="9" t="s">
        <v>3287</v>
      </c>
      <c r="LF60" s="9" t="s">
        <v>3287</v>
      </c>
      <c r="LH60" s="9" t="s">
        <v>3287</v>
      </c>
      <c r="LJ60" s="9" t="s">
        <v>3353</v>
      </c>
      <c r="LL60" s="9" t="s">
        <v>3337</v>
      </c>
      <c r="LN60" s="9" t="s">
        <v>3287</v>
      </c>
      <c r="LP60" s="9" t="s">
        <v>3287</v>
      </c>
      <c r="LR60" s="9" t="s">
        <v>25</v>
      </c>
      <c r="MA60" s="9" t="s">
        <v>3338</v>
      </c>
    </row>
    <row r="61" spans="1:339" ht="25.5" x14ac:dyDescent="0.2">
      <c r="A61" s="8" t="s">
        <v>132</v>
      </c>
      <c r="B61" s="9" t="s">
        <v>25</v>
      </c>
      <c r="D61" s="9" t="s">
        <v>28</v>
      </c>
      <c r="E61" s="9" t="s">
        <v>25</v>
      </c>
      <c r="F61" s="9" t="s">
        <v>25</v>
      </c>
      <c r="G61" s="9" t="s">
        <v>25</v>
      </c>
      <c r="H61" s="9" t="s">
        <v>25</v>
      </c>
      <c r="I61" s="9" t="s">
        <v>25</v>
      </c>
      <c r="J61" s="9" t="s">
        <v>25</v>
      </c>
      <c r="L61" s="9" t="s">
        <v>3563</v>
      </c>
      <c r="N61" s="9" t="s">
        <v>3563</v>
      </c>
      <c r="P61" s="9" t="s">
        <v>3563</v>
      </c>
      <c r="R61" s="9" t="s">
        <v>3279</v>
      </c>
      <c r="T61" s="9" t="s">
        <v>3279</v>
      </c>
      <c r="V61" s="9" t="s">
        <v>3279</v>
      </c>
      <c r="X61" s="9" t="s">
        <v>25</v>
      </c>
      <c r="AE61" s="9" t="s">
        <v>3635</v>
      </c>
      <c r="AG61" s="9" t="s">
        <v>3287</v>
      </c>
      <c r="AI61" s="9" t="s">
        <v>3488</v>
      </c>
      <c r="AK61" s="9" t="s">
        <v>3488</v>
      </c>
      <c r="AM61" s="9" t="s">
        <v>3563</v>
      </c>
      <c r="AO61" s="9" t="s">
        <v>3563</v>
      </c>
      <c r="AQ61" s="9" t="s">
        <v>3488</v>
      </c>
      <c r="AS61" s="9" t="s">
        <v>3287</v>
      </c>
      <c r="AU61" s="9" t="s">
        <v>25</v>
      </c>
      <c r="BD61" s="9" t="s">
        <v>3636</v>
      </c>
      <c r="BF61" s="9" t="s">
        <v>3287</v>
      </c>
      <c r="BH61" s="9" t="s">
        <v>3287</v>
      </c>
      <c r="BJ61" s="9" t="s">
        <v>3287</v>
      </c>
      <c r="BL61" s="9" t="s">
        <v>25</v>
      </c>
      <c r="BQ61" s="9" t="s">
        <v>53</v>
      </c>
      <c r="BS61" s="9" t="s">
        <v>3289</v>
      </c>
      <c r="BW61" s="9" t="s">
        <v>612</v>
      </c>
      <c r="BX61" s="9" t="s">
        <v>3492</v>
      </c>
      <c r="BY61" s="9" t="s">
        <v>28</v>
      </c>
      <c r="CA61" s="9" t="s">
        <v>3341</v>
      </c>
      <c r="CD61" s="9" t="s">
        <v>3567</v>
      </c>
      <c r="CF61" s="9" t="s">
        <v>3567</v>
      </c>
      <c r="CH61" s="9" t="s">
        <v>3637</v>
      </c>
      <c r="CJ61" s="9" t="s">
        <v>3292</v>
      </c>
      <c r="CL61" s="9" t="s">
        <v>3293</v>
      </c>
      <c r="CN61" s="9" t="s">
        <v>3349</v>
      </c>
      <c r="CP61" s="9" t="s">
        <v>3349</v>
      </c>
      <c r="CR61" s="9" t="s">
        <v>25</v>
      </c>
      <c r="CY61" s="9" t="s">
        <v>3478</v>
      </c>
      <c r="DA61" s="9" t="s">
        <v>3287</v>
      </c>
      <c r="DC61" s="9" t="s">
        <v>3287</v>
      </c>
      <c r="DE61" s="9" t="s">
        <v>3287</v>
      </c>
      <c r="DG61" s="9" t="s">
        <v>3287</v>
      </c>
      <c r="DI61" s="9" t="s">
        <v>3287</v>
      </c>
      <c r="DK61" s="9" t="s">
        <v>3287</v>
      </c>
      <c r="DM61" s="9" t="s">
        <v>3287</v>
      </c>
      <c r="DO61" s="9" t="s">
        <v>3287</v>
      </c>
      <c r="DQ61" s="9" t="s">
        <v>3287</v>
      </c>
      <c r="DS61" s="9" t="s">
        <v>3297</v>
      </c>
      <c r="DU61" s="9" t="s">
        <v>612</v>
      </c>
      <c r="DV61" s="9" t="s">
        <v>3637</v>
      </c>
      <c r="DW61" s="9" t="s">
        <v>612</v>
      </c>
      <c r="DX61" s="9" t="s">
        <v>3637</v>
      </c>
      <c r="DY61" s="9" t="s">
        <v>3287</v>
      </c>
      <c r="EA61" s="9" t="s">
        <v>3287</v>
      </c>
      <c r="EC61" s="9" t="s">
        <v>3287</v>
      </c>
      <c r="EE61" s="9" t="s">
        <v>3638</v>
      </c>
      <c r="EG61" s="9" t="s">
        <v>25</v>
      </c>
      <c r="EY61" s="9" t="s">
        <v>3287</v>
      </c>
      <c r="FA61" s="9" t="s">
        <v>3287</v>
      </c>
      <c r="FC61" s="9" t="s">
        <v>3287</v>
      </c>
      <c r="FE61" s="9" t="s">
        <v>1189</v>
      </c>
      <c r="FG61" s="9" t="s">
        <v>3287</v>
      </c>
      <c r="FI61" s="9" t="s">
        <v>3287</v>
      </c>
      <c r="FK61" s="9" t="s">
        <v>3287</v>
      </c>
      <c r="FM61" s="9" t="s">
        <v>25</v>
      </c>
      <c r="FU61" s="9" t="s">
        <v>25</v>
      </c>
      <c r="FW61" s="9" t="s">
        <v>3396</v>
      </c>
      <c r="FY61" s="9" t="s">
        <v>3287</v>
      </c>
      <c r="GA61" s="9" t="s">
        <v>3396</v>
      </c>
      <c r="GC61" s="9" t="s">
        <v>3396</v>
      </c>
      <c r="GE61" s="9" t="s">
        <v>3317</v>
      </c>
      <c r="GG61" s="9" t="s">
        <v>3396</v>
      </c>
      <c r="GI61" s="9" t="s">
        <v>612</v>
      </c>
      <c r="GJ61" s="9" t="s">
        <v>3477</v>
      </c>
      <c r="GK61" s="9" t="s">
        <v>25</v>
      </c>
      <c r="GS61" s="9" t="s">
        <v>3508</v>
      </c>
      <c r="GU61" s="9" t="s">
        <v>3508</v>
      </c>
      <c r="GW61" s="9" t="s">
        <v>3508</v>
      </c>
      <c r="GY61" s="9" t="s">
        <v>3508</v>
      </c>
      <c r="HA61" s="9" t="s">
        <v>3508</v>
      </c>
      <c r="HC61" s="9" t="s">
        <v>25</v>
      </c>
      <c r="HI61" s="9" t="s">
        <v>3488</v>
      </c>
      <c r="HK61" s="9" t="s">
        <v>3488</v>
      </c>
      <c r="HM61" s="9" t="s">
        <v>3488</v>
      </c>
      <c r="HO61" s="9" t="s">
        <v>3287</v>
      </c>
      <c r="HS61" s="9" t="s">
        <v>3287</v>
      </c>
      <c r="HU61" s="9" t="s">
        <v>3488</v>
      </c>
      <c r="HW61" s="9" t="s">
        <v>3488</v>
      </c>
      <c r="HY61" s="9" t="s">
        <v>28</v>
      </c>
      <c r="IA61" s="9" t="s">
        <v>1235</v>
      </c>
      <c r="IF61" s="9" t="s">
        <v>1235</v>
      </c>
      <c r="IH61" s="9" t="s">
        <v>612</v>
      </c>
      <c r="II61" s="9" t="s">
        <v>3512</v>
      </c>
      <c r="IJ61" s="9" t="s">
        <v>3323</v>
      </c>
      <c r="IL61" s="9" t="s">
        <v>3513</v>
      </c>
      <c r="IN61" s="9" t="s">
        <v>3513</v>
      </c>
      <c r="IP61" s="9" t="s">
        <v>3513</v>
      </c>
      <c r="IR61" s="9" t="s">
        <v>3513</v>
      </c>
      <c r="IT61" s="9" t="s">
        <v>3513</v>
      </c>
      <c r="IV61" s="9" t="s">
        <v>25</v>
      </c>
      <c r="JD61" s="9" t="s">
        <v>3520</v>
      </c>
      <c r="JF61" s="9" t="s">
        <v>3639</v>
      </c>
      <c r="JH61" s="9" t="s">
        <v>3640</v>
      </c>
      <c r="JJ61" s="9" t="s">
        <v>3520</v>
      </c>
      <c r="JL61" s="9" t="s">
        <v>3520</v>
      </c>
      <c r="JN61" s="9" t="s">
        <v>3520</v>
      </c>
      <c r="JP61" s="9" t="s">
        <v>3287</v>
      </c>
      <c r="JR61" s="9" t="s">
        <v>25</v>
      </c>
      <c r="JZ61" s="9" t="s">
        <v>3602</v>
      </c>
      <c r="KB61" s="9" t="s">
        <v>3641</v>
      </c>
      <c r="KD61" s="9" t="s">
        <v>3457</v>
      </c>
      <c r="KF61" s="9" t="s">
        <v>3642</v>
      </c>
      <c r="KH61" s="9" t="s">
        <v>3642</v>
      </c>
      <c r="KJ61" s="9" t="s">
        <v>3352</v>
      </c>
      <c r="KL61" s="9" t="s">
        <v>3287</v>
      </c>
      <c r="KN61" s="9" t="s">
        <v>3643</v>
      </c>
      <c r="KP61" s="9" t="s">
        <v>3287</v>
      </c>
      <c r="KR61" s="9" t="s">
        <v>25</v>
      </c>
      <c r="LB61" s="9" t="s">
        <v>3644</v>
      </c>
      <c r="LD61" s="9" t="s">
        <v>3645</v>
      </c>
      <c r="LF61" s="9" t="s">
        <v>3335</v>
      </c>
      <c r="LH61" s="9" t="s">
        <v>3287</v>
      </c>
      <c r="LL61" s="9" t="s">
        <v>3287</v>
      </c>
      <c r="LN61" s="9" t="s">
        <v>3287</v>
      </c>
      <c r="LP61" s="9" t="s">
        <v>3287</v>
      </c>
      <c r="LR61" s="9" t="s">
        <v>25</v>
      </c>
      <c r="MA61" s="9" t="s">
        <v>3338</v>
      </c>
    </row>
    <row r="62" spans="1:339" ht="25.5" x14ac:dyDescent="0.2">
      <c r="A62" s="8" t="s">
        <v>136</v>
      </c>
      <c r="B62" s="9" t="s">
        <v>25</v>
      </c>
      <c r="C62" s="9" t="s">
        <v>25</v>
      </c>
      <c r="D62" s="9" t="s">
        <v>25</v>
      </c>
      <c r="E62" s="9" t="s">
        <v>25</v>
      </c>
      <c r="F62" s="9" t="s">
        <v>25</v>
      </c>
      <c r="G62" s="9" t="s">
        <v>25</v>
      </c>
      <c r="H62" s="9" t="s">
        <v>25</v>
      </c>
      <c r="I62" s="9" t="s">
        <v>25</v>
      </c>
      <c r="J62" s="9" t="s">
        <v>28</v>
      </c>
      <c r="K62" s="9" t="s">
        <v>3725</v>
      </c>
      <c r="L62" s="9" t="s">
        <v>3470</v>
      </c>
      <c r="N62" s="9" t="s">
        <v>3470</v>
      </c>
      <c r="P62" s="9" t="s">
        <v>13993</v>
      </c>
      <c r="R62" s="9" t="s">
        <v>3726</v>
      </c>
      <c r="T62" s="9" t="s">
        <v>3727</v>
      </c>
      <c r="V62" s="9" t="s">
        <v>3727</v>
      </c>
      <c r="X62" s="9" t="s">
        <v>25</v>
      </c>
      <c r="AE62" s="9" t="s">
        <v>3285</v>
      </c>
      <c r="AG62" s="9" t="s">
        <v>3285</v>
      </c>
      <c r="AI62" s="9" t="s">
        <v>3285</v>
      </c>
      <c r="AK62" s="9" t="s">
        <v>3285</v>
      </c>
      <c r="AM62" s="9" t="s">
        <v>3285</v>
      </c>
      <c r="AO62" s="9" t="s">
        <v>3285</v>
      </c>
      <c r="AQ62" s="9" t="s">
        <v>3488</v>
      </c>
      <c r="AS62" s="9" t="s">
        <v>3287</v>
      </c>
      <c r="AU62" s="9" t="s">
        <v>25</v>
      </c>
      <c r="BD62" s="9" t="s">
        <v>3728</v>
      </c>
      <c r="BF62" s="9" t="s">
        <v>3728</v>
      </c>
      <c r="BH62" s="9" t="s">
        <v>3728</v>
      </c>
      <c r="BJ62" s="9" t="s">
        <v>3728</v>
      </c>
      <c r="BL62" s="9" t="s">
        <v>25</v>
      </c>
      <c r="BQ62" s="9" t="s">
        <v>53</v>
      </c>
      <c r="BS62" s="9" t="s">
        <v>3729</v>
      </c>
      <c r="BU62" s="9" t="s">
        <v>3287</v>
      </c>
      <c r="BW62" s="9" t="s">
        <v>612</v>
      </c>
      <c r="BX62" s="9" t="s">
        <v>3488</v>
      </c>
      <c r="BY62" s="9" t="s">
        <v>28</v>
      </c>
      <c r="BZ62" s="9" t="s">
        <v>103</v>
      </c>
      <c r="CD62" s="9" t="s">
        <v>3386</v>
      </c>
      <c r="CF62" s="9" t="s">
        <v>3546</v>
      </c>
      <c r="CH62" s="9" t="s">
        <v>3546</v>
      </c>
      <c r="CJ62" s="9" t="s">
        <v>3292</v>
      </c>
      <c r="CL62" s="9" t="s">
        <v>3293</v>
      </c>
      <c r="CN62" s="9" t="s">
        <v>612</v>
      </c>
      <c r="CO62" s="9" t="s">
        <v>3477</v>
      </c>
      <c r="CP62" s="9" t="s">
        <v>3287</v>
      </c>
      <c r="CR62" s="9" t="s">
        <v>25</v>
      </c>
      <c r="CY62" s="9" t="s">
        <v>3730</v>
      </c>
      <c r="DA62" s="9" t="s">
        <v>3287</v>
      </c>
      <c r="DC62" s="9" t="s">
        <v>3730</v>
      </c>
      <c r="DE62" s="9" t="s">
        <v>3287</v>
      </c>
      <c r="DG62" s="9" t="s">
        <v>3287</v>
      </c>
      <c r="DI62" s="9" t="s">
        <v>3287</v>
      </c>
      <c r="DK62" s="9" t="s">
        <v>3287</v>
      </c>
      <c r="DM62" s="9" t="s">
        <v>3287</v>
      </c>
      <c r="DO62" s="9" t="s">
        <v>3287</v>
      </c>
      <c r="DQ62" s="9" t="s">
        <v>3287</v>
      </c>
      <c r="DS62" s="9" t="s">
        <v>3287</v>
      </c>
      <c r="DU62" s="9" t="s">
        <v>3287</v>
      </c>
      <c r="DW62" s="9" t="s">
        <v>3287</v>
      </c>
      <c r="DY62" s="9" t="s">
        <v>3287</v>
      </c>
      <c r="EA62" s="9" t="s">
        <v>3287</v>
      </c>
      <c r="EC62" s="9" t="s">
        <v>3418</v>
      </c>
      <c r="EE62" s="9" t="s">
        <v>3287</v>
      </c>
      <c r="EG62" s="9" t="s">
        <v>25</v>
      </c>
      <c r="EY62" s="9" t="s">
        <v>3287</v>
      </c>
      <c r="FA62" s="9" t="s">
        <v>3287</v>
      </c>
      <c r="FC62" s="9" t="s">
        <v>3287</v>
      </c>
      <c r="FE62" s="9" t="s">
        <v>3287</v>
      </c>
      <c r="FG62" s="9" t="s">
        <v>3287</v>
      </c>
      <c r="FI62" s="9" t="s">
        <v>3287</v>
      </c>
      <c r="FK62" s="9" t="s">
        <v>3287</v>
      </c>
      <c r="FM62" s="9" t="s">
        <v>28</v>
      </c>
      <c r="FN62" s="9" t="s">
        <v>3731</v>
      </c>
      <c r="FO62" s="9" t="s">
        <v>3731</v>
      </c>
      <c r="FR62" s="9" t="s">
        <v>3731</v>
      </c>
      <c r="FS62" s="9" t="s">
        <v>3731</v>
      </c>
      <c r="FT62" s="9" t="s">
        <v>3731</v>
      </c>
      <c r="FU62" s="9" t="s">
        <v>25</v>
      </c>
      <c r="FW62" s="9" t="s">
        <v>3287</v>
      </c>
      <c r="FY62" s="9" t="s">
        <v>3315</v>
      </c>
      <c r="GA62" s="9" t="s">
        <v>3732</v>
      </c>
      <c r="GC62" s="9" t="s">
        <v>3317</v>
      </c>
      <c r="GE62" s="9" t="s">
        <v>3287</v>
      </c>
      <c r="GG62" s="9" t="s">
        <v>3317</v>
      </c>
      <c r="GI62" s="9" t="s">
        <v>612</v>
      </c>
      <c r="GJ62" s="9" t="s">
        <v>3477</v>
      </c>
      <c r="GK62" s="9" t="s">
        <v>25</v>
      </c>
      <c r="GS62" s="9" t="s">
        <v>3508</v>
      </c>
      <c r="GU62" s="9" t="s">
        <v>3508</v>
      </c>
      <c r="GW62" s="9" t="s">
        <v>3287</v>
      </c>
      <c r="GY62" s="9" t="s">
        <v>3287</v>
      </c>
      <c r="HA62" s="9" t="s">
        <v>3508</v>
      </c>
      <c r="HC62" s="9" t="s">
        <v>28</v>
      </c>
      <c r="HD62" s="9" t="s">
        <v>3398</v>
      </c>
      <c r="HE62" s="9" t="s">
        <v>3398</v>
      </c>
      <c r="HF62" s="9" t="s">
        <v>3733</v>
      </c>
      <c r="HG62" s="9" t="s">
        <v>3733</v>
      </c>
      <c r="HH62" s="9" t="s">
        <v>3398</v>
      </c>
      <c r="HI62" s="9" t="s">
        <v>3577</v>
      </c>
      <c r="HK62" s="9" t="s">
        <v>3488</v>
      </c>
      <c r="HM62" s="9" t="s">
        <v>3488</v>
      </c>
      <c r="HO62" s="9" t="s">
        <v>3287</v>
      </c>
      <c r="HQ62" s="9" t="s">
        <v>612</v>
      </c>
      <c r="HR62" s="9" t="s">
        <v>3734</v>
      </c>
      <c r="HS62" s="9" t="s">
        <v>612</v>
      </c>
      <c r="HT62" s="9" t="s">
        <v>3734</v>
      </c>
      <c r="HU62" s="9" t="s">
        <v>1265</v>
      </c>
      <c r="HW62" s="9" t="s">
        <v>3488</v>
      </c>
      <c r="HY62" s="9" t="s">
        <v>25</v>
      </c>
      <c r="IH62" s="9" t="s">
        <v>3322</v>
      </c>
      <c r="IJ62" s="9" t="s">
        <v>3323</v>
      </c>
      <c r="IL62" s="9" t="s">
        <v>3735</v>
      </c>
      <c r="IN62" s="9" t="s">
        <v>3735</v>
      </c>
      <c r="IP62" s="9" t="s">
        <v>3736</v>
      </c>
      <c r="IR62" s="9" t="s">
        <v>3322</v>
      </c>
      <c r="IT62" s="9" t="s">
        <v>3737</v>
      </c>
      <c r="IV62" s="9" t="s">
        <v>25</v>
      </c>
      <c r="JD62" s="9" t="s">
        <v>3347</v>
      </c>
      <c r="JF62" s="9" t="s">
        <v>3347</v>
      </c>
      <c r="JH62" s="9" t="s">
        <v>3347</v>
      </c>
      <c r="JJ62" s="9" t="s">
        <v>3347</v>
      </c>
      <c r="JL62" s="9" t="s">
        <v>3347</v>
      </c>
      <c r="JN62" s="9" t="s">
        <v>3347</v>
      </c>
      <c r="JP62" s="9" t="s">
        <v>3287</v>
      </c>
      <c r="JR62" s="9" t="s">
        <v>25</v>
      </c>
      <c r="JZ62" s="9" t="s">
        <v>3397</v>
      </c>
      <c r="KB62" s="9" t="s">
        <v>3456</v>
      </c>
      <c r="KD62" s="9" t="s">
        <v>3738</v>
      </c>
      <c r="KF62" s="9" t="s">
        <v>3287</v>
      </c>
      <c r="KH62" s="9" t="s">
        <v>612</v>
      </c>
      <c r="KI62" s="9" t="s">
        <v>3739</v>
      </c>
      <c r="KJ62" s="9" t="s">
        <v>3287</v>
      </c>
      <c r="KL62" s="9" t="s">
        <v>3460</v>
      </c>
      <c r="KN62" s="9" t="s">
        <v>3604</v>
      </c>
      <c r="KP62" s="9" t="s">
        <v>3287</v>
      </c>
      <c r="KR62" s="9" t="s">
        <v>25</v>
      </c>
      <c r="LB62" s="9" t="s">
        <v>3287</v>
      </c>
      <c r="LD62" s="9" t="s">
        <v>3287</v>
      </c>
      <c r="LF62" s="9" t="s">
        <v>3335</v>
      </c>
      <c r="LH62" s="9" t="s">
        <v>3287</v>
      </c>
      <c r="LJ62" s="9" t="s">
        <v>3287</v>
      </c>
      <c r="LL62" s="9" t="s">
        <v>3287</v>
      </c>
      <c r="LN62" s="9" t="s">
        <v>3287</v>
      </c>
      <c r="LP62" s="9" t="s">
        <v>3287</v>
      </c>
      <c r="LR62" s="9" t="s">
        <v>25</v>
      </c>
      <c r="MA62" s="9" t="s">
        <v>3740</v>
      </c>
    </row>
    <row r="63" spans="1:339" ht="38.25" x14ac:dyDescent="0.2">
      <c r="A63" s="8" t="s">
        <v>177</v>
      </c>
      <c r="B63" s="9" t="s">
        <v>28</v>
      </c>
      <c r="C63" s="9" t="s">
        <v>28</v>
      </c>
      <c r="D63" s="9" t="s">
        <v>25</v>
      </c>
      <c r="E63" s="9" t="s">
        <v>28</v>
      </c>
      <c r="F63" s="9" t="s">
        <v>28</v>
      </c>
      <c r="G63" s="9" t="s">
        <v>28</v>
      </c>
      <c r="H63" s="9" t="s">
        <v>25</v>
      </c>
      <c r="I63" s="9" t="s">
        <v>25</v>
      </c>
      <c r="L63" s="9" t="s">
        <v>3470</v>
      </c>
      <c r="N63" s="9" t="s">
        <v>3470</v>
      </c>
      <c r="P63" s="9" t="s">
        <v>3279</v>
      </c>
      <c r="R63" s="9" t="s">
        <v>4238</v>
      </c>
      <c r="T63" s="9" t="s">
        <v>3347</v>
      </c>
      <c r="V63" s="9" t="s">
        <v>4238</v>
      </c>
      <c r="X63" s="9" t="s">
        <v>25</v>
      </c>
      <c r="AE63" s="9" t="s">
        <v>612</v>
      </c>
      <c r="AF63" s="9" t="s">
        <v>4357</v>
      </c>
      <c r="AG63" s="9" t="s">
        <v>612</v>
      </c>
      <c r="AH63" s="9" t="s">
        <v>4357</v>
      </c>
      <c r="AI63" s="9" t="s">
        <v>612</v>
      </c>
      <c r="AJ63" s="9" t="s">
        <v>4357</v>
      </c>
      <c r="AK63" s="9" t="s">
        <v>3287</v>
      </c>
      <c r="AM63" s="9" t="s">
        <v>612</v>
      </c>
      <c r="AN63" s="9" t="s">
        <v>4357</v>
      </c>
      <c r="AO63" s="9" t="s">
        <v>3287</v>
      </c>
      <c r="AQ63" s="9" t="s">
        <v>3287</v>
      </c>
      <c r="AS63" s="9" t="s">
        <v>3287</v>
      </c>
      <c r="AU63" s="9" t="s">
        <v>28</v>
      </c>
      <c r="AV63" s="9" t="s">
        <v>4358</v>
      </c>
      <c r="AW63" s="9" t="s">
        <v>4358</v>
      </c>
      <c r="AX63" s="9" t="s">
        <v>4358</v>
      </c>
      <c r="AZ63" s="9" t="s">
        <v>4358</v>
      </c>
      <c r="BD63" s="9" t="s">
        <v>4359</v>
      </c>
      <c r="BF63" s="9" t="s">
        <v>4359</v>
      </c>
      <c r="BH63" s="9" t="s">
        <v>3784</v>
      </c>
      <c r="BJ63" s="9" t="s">
        <v>3784</v>
      </c>
      <c r="BL63" s="9" t="s">
        <v>25</v>
      </c>
      <c r="BQ63" s="9" t="s">
        <v>53</v>
      </c>
      <c r="BS63" s="9" t="s">
        <v>3566</v>
      </c>
      <c r="BU63" s="9" t="s">
        <v>3287</v>
      </c>
      <c r="BW63" s="9" t="s">
        <v>3566</v>
      </c>
      <c r="BY63" s="9" t="s">
        <v>28</v>
      </c>
      <c r="CA63" s="9" t="s">
        <v>3341</v>
      </c>
      <c r="CD63" s="9" t="s">
        <v>4058</v>
      </c>
      <c r="CF63" s="9" t="s">
        <v>3862</v>
      </c>
      <c r="CH63" s="9" t="s">
        <v>4154</v>
      </c>
      <c r="CJ63" s="9" t="s">
        <v>3292</v>
      </c>
      <c r="CL63" s="9" t="s">
        <v>3293</v>
      </c>
      <c r="CN63" s="9" t="s">
        <v>612</v>
      </c>
      <c r="CO63" s="9" t="s">
        <v>4360</v>
      </c>
      <c r="CP63" s="9" t="s">
        <v>4325</v>
      </c>
      <c r="CR63" s="9" t="s">
        <v>25</v>
      </c>
      <c r="CY63" s="9" t="s">
        <v>3478</v>
      </c>
      <c r="DA63" s="9" t="s">
        <v>3297</v>
      </c>
      <c r="DC63" s="9" t="s">
        <v>3297</v>
      </c>
      <c r="DE63" s="9" t="s">
        <v>3297</v>
      </c>
      <c r="DG63" s="9" t="s">
        <v>14003</v>
      </c>
      <c r="DI63" s="9" t="s">
        <v>612</v>
      </c>
      <c r="DJ63" s="9" t="s">
        <v>3658</v>
      </c>
      <c r="DK63" s="9" t="s">
        <v>14003</v>
      </c>
      <c r="DM63" s="9" t="s">
        <v>3287</v>
      </c>
      <c r="DO63" s="9" t="s">
        <v>612</v>
      </c>
      <c r="DP63" s="9" t="s">
        <v>3658</v>
      </c>
      <c r="DQ63" s="9" t="s">
        <v>3287</v>
      </c>
      <c r="DS63" s="9" t="s">
        <v>3297</v>
      </c>
      <c r="DU63" s="9" t="s">
        <v>3360</v>
      </c>
      <c r="DW63" s="9" t="s">
        <v>3360</v>
      </c>
      <c r="DY63" s="9" t="s">
        <v>3360</v>
      </c>
      <c r="EA63" s="9" t="s">
        <v>3287</v>
      </c>
      <c r="EC63" s="9" t="s">
        <v>3287</v>
      </c>
      <c r="EE63" s="9" t="s">
        <v>3287</v>
      </c>
      <c r="EG63" s="9" t="s">
        <v>25</v>
      </c>
      <c r="EY63" s="9" t="s">
        <v>3287</v>
      </c>
      <c r="FA63" s="9" t="s">
        <v>3287</v>
      </c>
      <c r="FC63" s="9" t="s">
        <v>3287</v>
      </c>
      <c r="FE63" s="9" t="s">
        <v>3287</v>
      </c>
      <c r="FG63" s="9" t="s">
        <v>612</v>
      </c>
      <c r="FH63" s="9" t="s">
        <v>3360</v>
      </c>
      <c r="FI63" s="9" t="s">
        <v>3297</v>
      </c>
      <c r="FK63" s="9" t="s">
        <v>3297</v>
      </c>
      <c r="FM63" s="9" t="s">
        <v>25</v>
      </c>
      <c r="FU63" s="9" t="s">
        <v>25</v>
      </c>
      <c r="FW63" s="9" t="s">
        <v>3287</v>
      </c>
      <c r="FY63" s="9" t="s">
        <v>612</v>
      </c>
      <c r="FZ63" s="9" t="s">
        <v>3532</v>
      </c>
      <c r="GA63" s="9" t="s">
        <v>4361</v>
      </c>
      <c r="GC63" s="9" t="s">
        <v>3317</v>
      </c>
      <c r="GE63" s="9" t="s">
        <v>3287</v>
      </c>
      <c r="GG63" s="9" t="s">
        <v>3317</v>
      </c>
      <c r="GI63" s="9" t="s">
        <v>612</v>
      </c>
      <c r="GJ63" s="9" t="s">
        <v>3477</v>
      </c>
      <c r="GK63" s="9" t="s">
        <v>25</v>
      </c>
      <c r="GS63" s="9" t="s">
        <v>53</v>
      </c>
      <c r="GU63" s="9" t="s">
        <v>53</v>
      </c>
      <c r="GW63" s="9" t="s">
        <v>53</v>
      </c>
      <c r="GY63" s="9" t="s">
        <v>53</v>
      </c>
      <c r="HA63" s="9" t="s">
        <v>3287</v>
      </c>
      <c r="HC63" s="9" t="s">
        <v>25</v>
      </c>
      <c r="HI63" s="9" t="s">
        <v>929</v>
      </c>
      <c r="HK63" s="9" t="s">
        <v>3319</v>
      </c>
      <c r="HM63" s="9" t="s">
        <v>3319</v>
      </c>
      <c r="HO63" s="9" t="s">
        <v>4362</v>
      </c>
      <c r="HQ63" s="9" t="s">
        <v>3348</v>
      </c>
      <c r="HS63" s="9" t="s">
        <v>3287</v>
      </c>
      <c r="HU63" s="9" t="s">
        <v>4363</v>
      </c>
      <c r="HV63" s="9" t="s">
        <v>4364</v>
      </c>
      <c r="HW63" s="9" t="s">
        <v>3319</v>
      </c>
      <c r="HY63" s="9" t="s">
        <v>28</v>
      </c>
      <c r="IF63" s="9" t="s">
        <v>4365</v>
      </c>
      <c r="IH63" s="9" t="s">
        <v>3349</v>
      </c>
      <c r="IJ63" s="9" t="s">
        <v>4366</v>
      </c>
      <c r="IL63" s="9" t="s">
        <v>3350</v>
      </c>
      <c r="IN63" s="9" t="s">
        <v>3350</v>
      </c>
      <c r="IP63" s="9" t="s">
        <v>3601</v>
      </c>
      <c r="IR63" s="9" t="s">
        <v>3349</v>
      </c>
      <c r="IT63" s="9" t="s">
        <v>4367</v>
      </c>
      <c r="IV63" s="9" t="s">
        <v>28</v>
      </c>
      <c r="JC63" s="9" t="s">
        <v>4368</v>
      </c>
      <c r="JD63" s="9" t="s">
        <v>3347</v>
      </c>
      <c r="JF63" s="9" t="s">
        <v>3347</v>
      </c>
      <c r="JH63" s="9" t="s">
        <v>3347</v>
      </c>
      <c r="JJ63" s="9" t="s">
        <v>3347</v>
      </c>
      <c r="JL63" s="9" t="s">
        <v>3347</v>
      </c>
      <c r="JN63" s="9" t="s">
        <v>3347</v>
      </c>
      <c r="JP63" s="9" t="s">
        <v>3287</v>
      </c>
      <c r="JR63" s="9" t="s">
        <v>25</v>
      </c>
      <c r="JZ63" s="9" t="s">
        <v>4369</v>
      </c>
      <c r="KB63" s="9" t="s">
        <v>3456</v>
      </c>
      <c r="KD63" s="9" t="s">
        <v>4369</v>
      </c>
      <c r="KF63" s="9" t="s">
        <v>3287</v>
      </c>
      <c r="KH63" s="9" t="s">
        <v>4369</v>
      </c>
      <c r="KJ63" s="9" t="s">
        <v>3330</v>
      </c>
      <c r="KL63" s="9" t="s">
        <v>3287</v>
      </c>
      <c r="KN63" s="9" t="s">
        <v>3755</v>
      </c>
      <c r="KP63" s="9" t="s">
        <v>3851</v>
      </c>
      <c r="KR63" s="9" t="s">
        <v>25</v>
      </c>
      <c r="LB63" s="9" t="s">
        <v>3696</v>
      </c>
      <c r="LD63" s="9" t="s">
        <v>612</v>
      </c>
      <c r="LE63" s="9" t="s">
        <v>4370</v>
      </c>
      <c r="LF63" s="9" t="s">
        <v>3335</v>
      </c>
      <c r="LH63" s="9" t="s">
        <v>3287</v>
      </c>
      <c r="LL63" s="9" t="s">
        <v>3587</v>
      </c>
      <c r="LN63" s="9" t="s">
        <v>3287</v>
      </c>
      <c r="LP63" s="9" t="s">
        <v>3287</v>
      </c>
      <c r="LR63" s="9" t="s">
        <v>28</v>
      </c>
      <c r="LT63" s="9" t="s">
        <v>4006</v>
      </c>
      <c r="LV63" s="9" t="s">
        <v>3679</v>
      </c>
      <c r="MA63" s="9" t="s">
        <v>14601</v>
      </c>
    </row>
    <row r="64" spans="1:339" ht="38.25" x14ac:dyDescent="0.2">
      <c r="A64" s="8" t="s">
        <v>162</v>
      </c>
      <c r="J64" s="9" t="s">
        <v>28</v>
      </c>
      <c r="K64" s="9" t="s">
        <v>4166</v>
      </c>
      <c r="L64" s="9" t="s">
        <v>3279</v>
      </c>
      <c r="N64" s="9" t="s">
        <v>3279</v>
      </c>
      <c r="P64" s="9" t="s">
        <v>4167</v>
      </c>
      <c r="R64" s="9" t="s">
        <v>3340</v>
      </c>
      <c r="T64" s="9" t="s">
        <v>3287</v>
      </c>
      <c r="V64" s="9" t="s">
        <v>3287</v>
      </c>
      <c r="X64" s="9" t="s">
        <v>25</v>
      </c>
      <c r="AE64" s="9" t="s">
        <v>4168</v>
      </c>
      <c r="AF64" s="9" t="s">
        <v>4169</v>
      </c>
      <c r="AG64" s="9" t="s">
        <v>3589</v>
      </c>
      <c r="AI64" s="9" t="s">
        <v>3589</v>
      </c>
      <c r="AK64" s="9" t="s">
        <v>3589</v>
      </c>
      <c r="AM64" s="9" t="s">
        <v>3589</v>
      </c>
      <c r="AO64" s="9" t="s">
        <v>4170</v>
      </c>
      <c r="AP64" s="9" t="s">
        <v>4169</v>
      </c>
      <c r="AQ64" s="9" t="s">
        <v>4171</v>
      </c>
      <c r="AS64" s="9" t="s">
        <v>3287</v>
      </c>
      <c r="AU64" s="9" t="s">
        <v>28</v>
      </c>
      <c r="AV64" s="9" t="s">
        <v>3285</v>
      </c>
      <c r="AW64" s="9" t="s">
        <v>3285</v>
      </c>
      <c r="AX64" s="9" t="s">
        <v>3285</v>
      </c>
      <c r="AY64" s="9" t="s">
        <v>3285</v>
      </c>
      <c r="BD64" s="9" t="s">
        <v>13995</v>
      </c>
      <c r="BF64" s="9" t="s">
        <v>13995</v>
      </c>
      <c r="BH64" s="9" t="s">
        <v>13995</v>
      </c>
      <c r="BJ64" s="9" t="s">
        <v>3287</v>
      </c>
      <c r="BL64" s="9" t="s">
        <v>25</v>
      </c>
      <c r="BQ64" s="9" t="s">
        <v>53</v>
      </c>
      <c r="BS64" s="9" t="s">
        <v>53</v>
      </c>
      <c r="BU64" s="9" t="s">
        <v>3287</v>
      </c>
      <c r="BW64" s="9" t="s">
        <v>4172</v>
      </c>
      <c r="BY64" s="9" t="s">
        <v>25</v>
      </c>
      <c r="CD64" s="9" t="s">
        <v>3410</v>
      </c>
      <c r="CF64" s="9" t="s">
        <v>3546</v>
      </c>
      <c r="CH64" s="9" t="s">
        <v>4173</v>
      </c>
      <c r="CJ64" s="9" t="s">
        <v>3292</v>
      </c>
      <c r="CL64" s="9" t="s">
        <v>3293</v>
      </c>
      <c r="CN64" s="9" t="s">
        <v>612</v>
      </c>
      <c r="CO64" s="9" t="s">
        <v>3477</v>
      </c>
      <c r="CP64" s="9" t="s">
        <v>4174</v>
      </c>
      <c r="CR64" s="9" t="s">
        <v>28</v>
      </c>
      <c r="CS64" s="9" t="s">
        <v>4175</v>
      </c>
      <c r="CY64" s="9" t="s">
        <v>3478</v>
      </c>
      <c r="DA64" s="9" t="s">
        <v>3478</v>
      </c>
      <c r="DC64" s="9" t="s">
        <v>3789</v>
      </c>
      <c r="DE64" s="9" t="s">
        <v>3789</v>
      </c>
      <c r="DG64" s="9" t="s">
        <v>3287</v>
      </c>
      <c r="DI64" s="9" t="s">
        <v>3287</v>
      </c>
      <c r="DK64" s="9" t="s">
        <v>3287</v>
      </c>
      <c r="DM64" s="9" t="s">
        <v>3287</v>
      </c>
      <c r="DO64" s="9" t="s">
        <v>3287</v>
      </c>
      <c r="DQ64" s="9" t="s">
        <v>3287</v>
      </c>
      <c r="DS64" s="9" t="s">
        <v>3303</v>
      </c>
      <c r="DT64" s="9" t="s">
        <v>3478</v>
      </c>
      <c r="DU64" s="9" t="s">
        <v>4176</v>
      </c>
      <c r="DV64" s="9" t="s">
        <v>4177</v>
      </c>
      <c r="DW64" s="9" t="s">
        <v>4176</v>
      </c>
      <c r="DX64" s="9" t="s">
        <v>4177</v>
      </c>
      <c r="DY64" s="9" t="s">
        <v>3297</v>
      </c>
      <c r="EA64" s="9" t="s">
        <v>3297</v>
      </c>
      <c r="EC64" s="9" t="s">
        <v>4178</v>
      </c>
      <c r="ED64" s="9" t="s">
        <v>4179</v>
      </c>
      <c r="EE64" s="9" t="s">
        <v>3546</v>
      </c>
      <c r="EG64" s="9" t="s">
        <v>28</v>
      </c>
      <c r="ES64" s="9" t="s">
        <v>4180</v>
      </c>
      <c r="ET64" s="9" t="s">
        <v>4180</v>
      </c>
      <c r="EY64" s="9" t="s">
        <v>4181</v>
      </c>
      <c r="FA64" s="9" t="s">
        <v>3839</v>
      </c>
      <c r="FC64" s="9" t="s">
        <v>3287</v>
      </c>
      <c r="FE64" s="9" t="s">
        <v>3839</v>
      </c>
      <c r="FG64" s="9" t="s">
        <v>3297</v>
      </c>
      <c r="FI64" s="9" t="s">
        <v>3287</v>
      </c>
      <c r="FK64" s="9" t="s">
        <v>3287</v>
      </c>
      <c r="FM64" s="9" t="s">
        <v>25</v>
      </c>
      <c r="FU64" s="9" t="s">
        <v>25</v>
      </c>
      <c r="FW64" s="9" t="s">
        <v>3556</v>
      </c>
      <c r="FY64" s="9" t="s">
        <v>3556</v>
      </c>
      <c r="GA64" s="9" t="s">
        <v>3369</v>
      </c>
      <c r="GC64" s="9" t="s">
        <v>3368</v>
      </c>
      <c r="GE64" s="9" t="s">
        <v>3558</v>
      </c>
      <c r="GG64" s="9" t="s">
        <v>3317</v>
      </c>
      <c r="GI64" s="9" t="s">
        <v>3556</v>
      </c>
      <c r="GK64" s="9" t="s">
        <v>25</v>
      </c>
      <c r="GS64" s="9" t="s">
        <v>53</v>
      </c>
      <c r="GU64" s="9" t="s">
        <v>53</v>
      </c>
      <c r="GW64" s="9" t="s">
        <v>53</v>
      </c>
      <c r="GY64" s="9" t="s">
        <v>53</v>
      </c>
      <c r="HA64" s="9" t="s">
        <v>3303</v>
      </c>
      <c r="HB64" s="9" t="s">
        <v>3478</v>
      </c>
      <c r="HC64" s="9" t="s">
        <v>25</v>
      </c>
      <c r="HI64" s="9" t="s">
        <v>3420</v>
      </c>
      <c r="HK64" s="9" t="s">
        <v>3420</v>
      </c>
      <c r="HM64" s="9" t="s">
        <v>3533</v>
      </c>
      <c r="HO64" s="9" t="s">
        <v>3287</v>
      </c>
      <c r="HQ64" s="9" t="s">
        <v>3422</v>
      </c>
      <c r="HS64" s="9" t="s">
        <v>3287</v>
      </c>
      <c r="HU64" s="9" t="s">
        <v>3510</v>
      </c>
      <c r="HW64" s="9" t="s">
        <v>3533</v>
      </c>
      <c r="HY64" s="9" t="s">
        <v>25</v>
      </c>
      <c r="IH64" s="9" t="s">
        <v>3397</v>
      </c>
      <c r="IJ64" s="9" t="s">
        <v>4182</v>
      </c>
      <c r="IL64" s="9" t="s">
        <v>3513</v>
      </c>
      <c r="IN64" s="9" t="s">
        <v>3397</v>
      </c>
      <c r="IP64" s="9" t="s">
        <v>3513</v>
      </c>
      <c r="IR64" s="9" t="s">
        <v>3397</v>
      </c>
      <c r="IT64" s="9" t="s">
        <v>3485</v>
      </c>
      <c r="IV64" s="9" t="s">
        <v>25</v>
      </c>
      <c r="JD64" s="9" t="s">
        <v>3347</v>
      </c>
      <c r="JF64" s="9" t="s">
        <v>3287</v>
      </c>
      <c r="JH64" s="9" t="s">
        <v>3287</v>
      </c>
      <c r="JJ64" s="9" t="s">
        <v>3347</v>
      </c>
      <c r="JL64" s="9" t="s">
        <v>4183</v>
      </c>
      <c r="JN64" s="9" t="s">
        <v>4184</v>
      </c>
      <c r="JP64" s="9" t="s">
        <v>3287</v>
      </c>
      <c r="JR64" s="9" t="s">
        <v>25</v>
      </c>
      <c r="JZ64" s="9" t="s">
        <v>3287</v>
      </c>
      <c r="KB64" s="9" t="s">
        <v>3397</v>
      </c>
      <c r="KD64" s="9" t="s">
        <v>3329</v>
      </c>
      <c r="KF64" s="9" t="s">
        <v>3287</v>
      </c>
      <c r="KH64" s="9" t="s">
        <v>612</v>
      </c>
      <c r="KI64" s="9" t="s">
        <v>4185</v>
      </c>
      <c r="KJ64" s="9" t="s">
        <v>3695</v>
      </c>
      <c r="KL64" s="9" t="s">
        <v>3460</v>
      </c>
      <c r="KN64" s="9" t="s">
        <v>3329</v>
      </c>
      <c r="KP64" s="9" t="s">
        <v>3287</v>
      </c>
      <c r="KR64" s="9" t="s">
        <v>25</v>
      </c>
      <c r="LB64" s="9" t="s">
        <v>3287</v>
      </c>
      <c r="LD64" s="9" t="s">
        <v>3287</v>
      </c>
      <c r="LF64" s="9" t="s">
        <v>3287</v>
      </c>
      <c r="LH64" s="9" t="s">
        <v>3679</v>
      </c>
      <c r="LJ64" s="9" t="s">
        <v>4186</v>
      </c>
      <c r="LL64" s="9" t="s">
        <v>3337</v>
      </c>
      <c r="LN64" s="9" t="s">
        <v>3287</v>
      </c>
      <c r="LP64" s="9" t="s">
        <v>3287</v>
      </c>
      <c r="LR64" s="9" t="s">
        <v>25</v>
      </c>
      <c r="MA64" s="9" t="s">
        <v>4187</v>
      </c>
    </row>
    <row r="65" spans="1:339" ht="25.5" x14ac:dyDescent="0.2">
      <c r="A65" s="8" t="s">
        <v>148</v>
      </c>
      <c r="B65" s="9" t="s">
        <v>25</v>
      </c>
      <c r="C65" s="9" t="s">
        <v>25</v>
      </c>
      <c r="D65" s="9" t="s">
        <v>25</v>
      </c>
      <c r="E65" s="9" t="s">
        <v>25</v>
      </c>
      <c r="F65" s="9" t="s">
        <v>25</v>
      </c>
      <c r="G65" s="9" t="s">
        <v>25</v>
      </c>
      <c r="H65" s="9" t="s">
        <v>25</v>
      </c>
      <c r="I65" s="9" t="s">
        <v>25</v>
      </c>
      <c r="J65" s="9" t="s">
        <v>25</v>
      </c>
      <c r="L65" s="9" t="s">
        <v>3339</v>
      </c>
      <c r="N65" s="9" t="s">
        <v>3287</v>
      </c>
      <c r="P65" s="9" t="s">
        <v>3933</v>
      </c>
      <c r="R65" s="9" t="s">
        <v>3279</v>
      </c>
      <c r="T65" s="9" t="s">
        <v>3287</v>
      </c>
      <c r="V65" s="9" t="s">
        <v>3279</v>
      </c>
      <c r="X65" s="9" t="s">
        <v>25</v>
      </c>
      <c r="AE65" s="9" t="s">
        <v>3287</v>
      </c>
      <c r="AG65" s="9" t="s">
        <v>3287</v>
      </c>
      <c r="AI65" s="9" t="s">
        <v>3287</v>
      </c>
      <c r="AK65" s="9" t="s">
        <v>3287</v>
      </c>
      <c r="AM65" s="9" t="s">
        <v>3287</v>
      </c>
      <c r="AO65" s="9" t="s">
        <v>3287</v>
      </c>
      <c r="AQ65" s="9" t="s">
        <v>3341</v>
      </c>
      <c r="AS65" s="9" t="s">
        <v>3287</v>
      </c>
      <c r="AU65" s="9" t="s">
        <v>25</v>
      </c>
      <c r="BD65" s="9" t="s">
        <v>612</v>
      </c>
      <c r="BE65" s="9" t="s">
        <v>3934</v>
      </c>
      <c r="BF65" s="9" t="s">
        <v>612</v>
      </c>
      <c r="BG65" s="9" t="s">
        <v>3934</v>
      </c>
      <c r="BH65" s="9" t="s">
        <v>612</v>
      </c>
      <c r="BI65" s="9" t="s">
        <v>3934</v>
      </c>
      <c r="BJ65" s="9" t="s">
        <v>612</v>
      </c>
      <c r="BK65" s="9" t="s">
        <v>3934</v>
      </c>
      <c r="BL65" s="9" t="s">
        <v>25</v>
      </c>
      <c r="BQ65" s="9" t="s">
        <v>3935</v>
      </c>
      <c r="BS65" s="9" t="s">
        <v>3384</v>
      </c>
      <c r="BU65" s="9" t="s">
        <v>3287</v>
      </c>
      <c r="BW65" s="9" t="s">
        <v>3341</v>
      </c>
      <c r="BY65" s="9" t="s">
        <v>25</v>
      </c>
      <c r="CD65" s="9" t="s">
        <v>3936</v>
      </c>
      <c r="CF65" s="9" t="s">
        <v>3937</v>
      </c>
      <c r="CH65" s="9" t="s">
        <v>3938</v>
      </c>
      <c r="CJ65" s="9" t="s">
        <v>3937</v>
      </c>
      <c r="CL65" s="9" t="s">
        <v>3293</v>
      </c>
      <c r="CN65" s="9" t="s">
        <v>3287</v>
      </c>
      <c r="CP65" s="9" t="s">
        <v>3287</v>
      </c>
      <c r="CR65" s="9" t="s">
        <v>25</v>
      </c>
      <c r="CY65" s="9" t="s">
        <v>3287</v>
      </c>
      <c r="DA65" s="9" t="s">
        <v>3287</v>
      </c>
      <c r="DC65" s="9" t="s">
        <v>3287</v>
      </c>
      <c r="DE65" s="9" t="s">
        <v>3287</v>
      </c>
      <c r="DG65" s="9" t="s">
        <v>3287</v>
      </c>
      <c r="DI65" s="9" t="s">
        <v>3287</v>
      </c>
      <c r="DK65" s="9" t="s">
        <v>3415</v>
      </c>
      <c r="DM65" s="9" t="s">
        <v>3415</v>
      </c>
      <c r="DO65" s="9" t="s">
        <v>3287</v>
      </c>
      <c r="DQ65" s="9" t="s">
        <v>3287</v>
      </c>
      <c r="DS65" s="9" t="s">
        <v>3297</v>
      </c>
      <c r="DU65" s="9" t="s">
        <v>3416</v>
      </c>
      <c r="DW65" s="9" t="s">
        <v>3939</v>
      </c>
      <c r="DY65" s="9" t="s">
        <v>3287</v>
      </c>
      <c r="EA65" s="9" t="s">
        <v>3415</v>
      </c>
      <c r="EC65" s="9" t="s">
        <v>3287</v>
      </c>
      <c r="EE65" s="9" t="s">
        <v>612</v>
      </c>
      <c r="EF65" s="9" t="s">
        <v>3628</v>
      </c>
      <c r="EG65" s="9" t="s">
        <v>25</v>
      </c>
      <c r="EY65" s="9" t="s">
        <v>3530</v>
      </c>
      <c r="FA65" s="9" t="s">
        <v>3287</v>
      </c>
      <c r="FC65" s="9" t="s">
        <v>3530</v>
      </c>
      <c r="FE65" s="9" t="s">
        <v>3287</v>
      </c>
      <c r="FG65" s="9" t="s">
        <v>3940</v>
      </c>
      <c r="FI65" s="9" t="s">
        <v>3297</v>
      </c>
      <c r="FK65" s="9" t="s">
        <v>3530</v>
      </c>
      <c r="FM65" s="9" t="s">
        <v>25</v>
      </c>
      <c r="FU65" s="9" t="s">
        <v>28</v>
      </c>
      <c r="FV65" s="9" t="s">
        <v>3941</v>
      </c>
      <c r="FW65" s="9" t="s">
        <v>3287</v>
      </c>
      <c r="FY65" s="9" t="s">
        <v>3287</v>
      </c>
      <c r="GA65" s="9" t="s">
        <v>3287</v>
      </c>
      <c r="GC65" s="9" t="s">
        <v>3317</v>
      </c>
      <c r="GE65" s="9" t="s">
        <v>3287</v>
      </c>
      <c r="GG65" s="9" t="s">
        <v>3317</v>
      </c>
      <c r="GI65" s="9" t="s">
        <v>3942</v>
      </c>
      <c r="GK65" s="9" t="s">
        <v>25</v>
      </c>
      <c r="GS65" s="9" t="s">
        <v>612</v>
      </c>
      <c r="GT65" s="9" t="s">
        <v>3482</v>
      </c>
      <c r="GU65" s="9" t="s">
        <v>612</v>
      </c>
      <c r="GV65" s="9" t="s">
        <v>3482</v>
      </c>
      <c r="GW65" s="9" t="s">
        <v>3287</v>
      </c>
      <c r="GY65" s="9" t="s">
        <v>3287</v>
      </c>
      <c r="HA65" s="9" t="s">
        <v>3287</v>
      </c>
      <c r="HC65" s="9" t="s">
        <v>25</v>
      </c>
      <c r="HI65" s="9" t="s">
        <v>612</v>
      </c>
      <c r="HJ65" s="9" t="s">
        <v>3943</v>
      </c>
      <c r="HK65" s="9" t="s">
        <v>612</v>
      </c>
      <c r="HL65" s="9" t="s">
        <v>3943</v>
      </c>
      <c r="HM65" s="9" t="s">
        <v>612</v>
      </c>
      <c r="HN65" s="9" t="s">
        <v>3482</v>
      </c>
      <c r="HO65" s="9" t="s">
        <v>3287</v>
      </c>
      <c r="HQ65" s="9" t="s">
        <v>3348</v>
      </c>
      <c r="HS65" s="9" t="s">
        <v>3287</v>
      </c>
      <c r="HU65" s="9" t="s">
        <v>3287</v>
      </c>
      <c r="HW65" s="9" t="s">
        <v>3287</v>
      </c>
      <c r="HY65" s="9" t="s">
        <v>25</v>
      </c>
      <c r="IH65" s="9" t="s">
        <v>3579</v>
      </c>
      <c r="IJ65" s="9" t="s">
        <v>3323</v>
      </c>
      <c r="IL65" s="9" t="s">
        <v>3513</v>
      </c>
      <c r="IN65" s="9" t="s">
        <v>3513</v>
      </c>
      <c r="IP65" s="9" t="s">
        <v>3513</v>
      </c>
      <c r="IR65" s="9" t="s">
        <v>3717</v>
      </c>
      <c r="IT65" s="9" t="s">
        <v>3485</v>
      </c>
      <c r="IV65" s="9" t="s">
        <v>25</v>
      </c>
      <c r="JD65" s="9" t="s">
        <v>3347</v>
      </c>
      <c r="JF65" s="9" t="s">
        <v>3347</v>
      </c>
      <c r="JH65" s="9" t="s">
        <v>3347</v>
      </c>
      <c r="JJ65" s="9" t="s">
        <v>3347</v>
      </c>
      <c r="JL65" s="9" t="s">
        <v>3347</v>
      </c>
      <c r="JN65" s="9" t="s">
        <v>3347</v>
      </c>
      <c r="JP65" s="9" t="s">
        <v>3287</v>
      </c>
      <c r="JR65" s="9" t="s">
        <v>25</v>
      </c>
      <c r="JZ65" s="9" t="s">
        <v>3287</v>
      </c>
      <c r="KB65" s="9" t="s">
        <v>3287</v>
      </c>
      <c r="KD65" s="9" t="s">
        <v>3287</v>
      </c>
      <c r="KF65" s="9" t="s">
        <v>3287</v>
      </c>
      <c r="KH65" s="9" t="s">
        <v>3287</v>
      </c>
      <c r="KJ65" s="9" t="s">
        <v>3944</v>
      </c>
      <c r="KL65" s="9" t="s">
        <v>3815</v>
      </c>
      <c r="KN65" s="9" t="s">
        <v>3287</v>
      </c>
      <c r="KP65" s="9" t="s">
        <v>3287</v>
      </c>
      <c r="KR65" s="9" t="s">
        <v>25</v>
      </c>
      <c r="LB65" s="9" t="s">
        <v>3945</v>
      </c>
      <c r="LD65" s="9" t="s">
        <v>3287</v>
      </c>
      <c r="LF65" s="9" t="s">
        <v>3287</v>
      </c>
      <c r="LH65" s="9" t="s">
        <v>3287</v>
      </c>
      <c r="LJ65" s="9" t="s">
        <v>3353</v>
      </c>
      <c r="LL65" s="9" t="s">
        <v>3287</v>
      </c>
      <c r="LN65" s="9" t="s">
        <v>3287</v>
      </c>
      <c r="LP65" s="9" t="s">
        <v>3287</v>
      </c>
      <c r="LR65" s="9" t="s">
        <v>25</v>
      </c>
      <c r="MA65" s="9" t="s">
        <v>3338</v>
      </c>
    </row>
    <row r="66" spans="1:339" ht="25.5" x14ac:dyDescent="0.2">
      <c r="A66" s="8" t="s">
        <v>167</v>
      </c>
      <c r="B66" s="9" t="s">
        <v>25</v>
      </c>
      <c r="C66" s="9" t="s">
        <v>28</v>
      </c>
      <c r="D66" s="9" t="s">
        <v>25</v>
      </c>
      <c r="E66" s="9" t="s">
        <v>25</v>
      </c>
      <c r="F66" s="9" t="s">
        <v>25</v>
      </c>
      <c r="G66" s="9" t="s">
        <v>25</v>
      </c>
      <c r="H66" s="9" t="s">
        <v>25</v>
      </c>
      <c r="I66" s="9" t="s">
        <v>25</v>
      </c>
      <c r="J66" s="9" t="s">
        <v>28</v>
      </c>
      <c r="K66" s="9" t="s">
        <v>4250</v>
      </c>
      <c r="L66" s="9" t="s">
        <v>13581</v>
      </c>
      <c r="N66" s="9" t="s">
        <v>13990</v>
      </c>
      <c r="P66" s="9" t="s">
        <v>4251</v>
      </c>
      <c r="Q66" s="9" t="s">
        <v>4252</v>
      </c>
      <c r="R66" s="9" t="s">
        <v>3279</v>
      </c>
      <c r="T66" s="9" t="s">
        <v>3339</v>
      </c>
      <c r="V66" s="9" t="s">
        <v>4253</v>
      </c>
      <c r="X66" s="9" t="s">
        <v>28</v>
      </c>
      <c r="Y66" s="9" t="s">
        <v>3279</v>
      </c>
      <c r="Z66" s="9" t="s">
        <v>3279</v>
      </c>
      <c r="AE66" s="9" t="s">
        <v>3946</v>
      </c>
      <c r="AG66" s="9" t="s">
        <v>3946</v>
      </c>
      <c r="AI66" s="9" t="s">
        <v>3946</v>
      </c>
      <c r="AK66" s="9" t="s">
        <v>3287</v>
      </c>
      <c r="AM66" s="9" t="s">
        <v>3946</v>
      </c>
      <c r="AO66" s="9" t="s">
        <v>3287</v>
      </c>
      <c r="AQ66" s="9" t="s">
        <v>3287</v>
      </c>
      <c r="AS66" s="9" t="s">
        <v>3287</v>
      </c>
      <c r="AU66" s="9" t="s">
        <v>25</v>
      </c>
      <c r="BD66" s="9" t="s">
        <v>3857</v>
      </c>
      <c r="BF66" s="9" t="s">
        <v>3857</v>
      </c>
      <c r="BH66" s="9" t="s">
        <v>3287</v>
      </c>
      <c r="BJ66" s="9" t="s">
        <v>612</v>
      </c>
      <c r="BK66" s="9" t="s">
        <v>4254</v>
      </c>
      <c r="BL66" s="9" t="s">
        <v>25</v>
      </c>
      <c r="BQ66" s="9" t="s">
        <v>4046</v>
      </c>
      <c r="BS66" s="9" t="s">
        <v>3341</v>
      </c>
      <c r="BU66" s="9" t="s">
        <v>3287</v>
      </c>
      <c r="BW66" s="9" t="s">
        <v>3282</v>
      </c>
      <c r="BY66" s="9" t="s">
        <v>25</v>
      </c>
      <c r="CD66" s="9" t="s">
        <v>3291</v>
      </c>
      <c r="CF66" s="9" t="s">
        <v>3359</v>
      </c>
      <c r="CH66" s="9" t="s">
        <v>4255</v>
      </c>
      <c r="CJ66" s="9" t="s">
        <v>3292</v>
      </c>
      <c r="CL66" s="9" t="s">
        <v>3293</v>
      </c>
      <c r="CN66" s="9" t="s">
        <v>612</v>
      </c>
      <c r="CO66" s="9" t="s">
        <v>3477</v>
      </c>
      <c r="CP66" s="9" t="s">
        <v>3287</v>
      </c>
      <c r="CR66" s="9" t="s">
        <v>25</v>
      </c>
      <c r="CY66" s="9" t="s">
        <v>3287</v>
      </c>
      <c r="DA66" s="9" t="s">
        <v>3287</v>
      </c>
      <c r="DC66" s="9" t="s">
        <v>3789</v>
      </c>
      <c r="DE66" s="9" t="s">
        <v>3789</v>
      </c>
      <c r="DG66" s="9" t="s">
        <v>3287</v>
      </c>
      <c r="DI66" s="9" t="s">
        <v>3287</v>
      </c>
      <c r="DK66" s="9" t="s">
        <v>3287</v>
      </c>
      <c r="DM66" s="9" t="s">
        <v>3287</v>
      </c>
      <c r="DO66" s="9" t="s">
        <v>3287</v>
      </c>
      <c r="DQ66" s="9" t="s">
        <v>3287</v>
      </c>
      <c r="DS66" s="9" t="s">
        <v>3297</v>
      </c>
      <c r="DU66" s="9" t="s">
        <v>3416</v>
      </c>
      <c r="DW66" s="9" t="s">
        <v>3287</v>
      </c>
      <c r="DY66" s="9" t="s">
        <v>3297</v>
      </c>
      <c r="EA66" s="9" t="s">
        <v>3287</v>
      </c>
      <c r="EC66" s="9" t="s">
        <v>2409</v>
      </c>
      <c r="EE66" s="9" t="s">
        <v>3392</v>
      </c>
      <c r="EF66" s="9" t="s">
        <v>4256</v>
      </c>
      <c r="EG66" s="9" t="s">
        <v>25</v>
      </c>
      <c r="EY66" s="9" t="s">
        <v>4257</v>
      </c>
      <c r="FA66" s="9" t="s">
        <v>3287</v>
      </c>
      <c r="FC66" s="9" t="s">
        <v>3287</v>
      </c>
      <c r="FE66" s="9" t="s">
        <v>4258</v>
      </c>
      <c r="FG66" s="9" t="s">
        <v>3287</v>
      </c>
      <c r="FI66" s="9" t="s">
        <v>4258</v>
      </c>
      <c r="FK66" s="9" t="s">
        <v>3297</v>
      </c>
      <c r="FM66" s="9" t="s">
        <v>25</v>
      </c>
      <c r="FU66" s="9" t="s">
        <v>25</v>
      </c>
      <c r="FW66" s="9" t="s">
        <v>3287</v>
      </c>
      <c r="FY66" s="9" t="s">
        <v>3287</v>
      </c>
      <c r="GA66" s="9" t="s">
        <v>4259</v>
      </c>
      <c r="GB66" s="9" t="s">
        <v>4260</v>
      </c>
      <c r="GC66" s="9" t="s">
        <v>3317</v>
      </c>
      <c r="GE66" s="9" t="s">
        <v>3317</v>
      </c>
      <c r="GG66" s="9" t="s">
        <v>3317</v>
      </c>
      <c r="GI66" s="9" t="s">
        <v>3287</v>
      </c>
      <c r="GK66" s="9" t="s">
        <v>28</v>
      </c>
      <c r="GQ66" s="9" t="s">
        <v>4261</v>
      </c>
      <c r="GS66" s="9" t="s">
        <v>3282</v>
      </c>
      <c r="GU66" s="9" t="s">
        <v>3282</v>
      </c>
      <c r="GW66" s="9" t="s">
        <v>3282</v>
      </c>
      <c r="GY66" s="9" t="s">
        <v>3287</v>
      </c>
      <c r="HA66" s="9" t="s">
        <v>3282</v>
      </c>
      <c r="HC66" s="9" t="s">
        <v>25</v>
      </c>
      <c r="HI66" s="9" t="s">
        <v>929</v>
      </c>
      <c r="HK66" s="9" t="s">
        <v>929</v>
      </c>
      <c r="HM66" s="9" t="s">
        <v>3282</v>
      </c>
      <c r="HO66" s="9" t="s">
        <v>3279</v>
      </c>
      <c r="HQ66" s="9" t="s">
        <v>4159</v>
      </c>
      <c r="HS66" s="9" t="s">
        <v>612</v>
      </c>
      <c r="HT66" s="9" t="s">
        <v>4262</v>
      </c>
      <c r="HU66" s="9" t="s">
        <v>929</v>
      </c>
      <c r="HW66" s="9" t="s">
        <v>4161</v>
      </c>
      <c r="HY66" s="9" t="s">
        <v>28</v>
      </c>
      <c r="IC66" s="9" t="s">
        <v>3279</v>
      </c>
      <c r="IH66" s="9" t="s">
        <v>3423</v>
      </c>
      <c r="IJ66" s="9" t="s">
        <v>3349</v>
      </c>
      <c r="IL66" s="9" t="s">
        <v>3513</v>
      </c>
      <c r="IN66" s="9" t="s">
        <v>3513</v>
      </c>
      <c r="IP66" s="9" t="s">
        <v>14014</v>
      </c>
      <c r="IR66" s="9" t="s">
        <v>3717</v>
      </c>
      <c r="IT66" s="9" t="s">
        <v>3324</v>
      </c>
      <c r="IV66" s="9" t="s">
        <v>25</v>
      </c>
      <c r="JD66" s="9" t="s">
        <v>3908</v>
      </c>
      <c r="JF66" s="9" t="s">
        <v>3908</v>
      </c>
      <c r="JH66" s="9" t="s">
        <v>3908</v>
      </c>
      <c r="JJ66" s="9" t="s">
        <v>4263</v>
      </c>
      <c r="JL66" s="9" t="s">
        <v>4263</v>
      </c>
      <c r="JN66" s="9" t="s">
        <v>3287</v>
      </c>
      <c r="JP66" s="9" t="s">
        <v>4049</v>
      </c>
      <c r="JR66" s="9" t="s">
        <v>25</v>
      </c>
      <c r="JZ66" s="9" t="s">
        <v>3537</v>
      </c>
      <c r="KB66" s="9" t="s">
        <v>3328</v>
      </c>
      <c r="KD66" s="9" t="s">
        <v>3397</v>
      </c>
      <c r="KF66" s="9" t="s">
        <v>3287</v>
      </c>
      <c r="KH66" s="9" t="s">
        <v>612</v>
      </c>
      <c r="KI66" s="9" t="s">
        <v>2409</v>
      </c>
      <c r="KJ66" s="9" t="s">
        <v>4264</v>
      </c>
      <c r="KL66" s="9" t="s">
        <v>4265</v>
      </c>
      <c r="KN66" s="9" t="s">
        <v>3428</v>
      </c>
      <c r="KP66" s="9" t="s">
        <v>3332</v>
      </c>
      <c r="KR66" s="9" t="s">
        <v>25</v>
      </c>
      <c r="LB66" s="9" t="s">
        <v>4266</v>
      </c>
      <c r="LD66" s="9" t="s">
        <v>3287</v>
      </c>
      <c r="LF66" s="9" t="s">
        <v>3335</v>
      </c>
      <c r="LH66" s="9" t="s">
        <v>4267</v>
      </c>
      <c r="LL66" s="9" t="s">
        <v>3587</v>
      </c>
      <c r="LN66" s="9" t="s">
        <v>3287</v>
      </c>
      <c r="LP66" s="9" t="s">
        <v>3287</v>
      </c>
      <c r="LR66" s="9" t="s">
        <v>25</v>
      </c>
      <c r="MA66" s="9" t="s">
        <v>4268</v>
      </c>
    </row>
    <row r="67" spans="1:339" x14ac:dyDescent="0.2">
      <c r="A67" s="71" t="s">
        <v>14025</v>
      </c>
      <c r="B67" s="72">
        <f>COUNTA(B3:B66)</f>
        <v>59</v>
      </c>
      <c r="C67" s="72">
        <f t="shared" ref="C67:BN67" si="0">COUNTA(C3:C66)</f>
        <v>56</v>
      </c>
      <c r="D67" s="72">
        <f t="shared" si="0"/>
        <v>57</v>
      </c>
      <c r="E67" s="72">
        <f t="shared" si="0"/>
        <v>56</v>
      </c>
      <c r="F67" s="72">
        <f t="shared" si="0"/>
        <v>56</v>
      </c>
      <c r="G67" s="72">
        <f t="shared" si="0"/>
        <v>56</v>
      </c>
      <c r="H67" s="72">
        <f t="shared" si="0"/>
        <v>56</v>
      </c>
      <c r="I67" s="72">
        <f t="shared" si="0"/>
        <v>57</v>
      </c>
      <c r="J67" s="72">
        <f t="shared" si="0"/>
        <v>46</v>
      </c>
      <c r="K67" s="72">
        <f t="shared" si="0"/>
        <v>22</v>
      </c>
      <c r="L67" s="72">
        <f t="shared" si="0"/>
        <v>64</v>
      </c>
      <c r="M67" s="72">
        <f t="shared" si="0"/>
        <v>5</v>
      </c>
      <c r="N67" s="72">
        <f t="shared" si="0"/>
        <v>62</v>
      </c>
      <c r="O67" s="72">
        <f t="shared" si="0"/>
        <v>4</v>
      </c>
      <c r="P67" s="72">
        <f t="shared" si="0"/>
        <v>64</v>
      </c>
      <c r="Q67" s="72">
        <f t="shared" si="0"/>
        <v>7</v>
      </c>
      <c r="R67" s="72">
        <f t="shared" si="0"/>
        <v>63</v>
      </c>
      <c r="S67" s="72">
        <f t="shared" si="0"/>
        <v>3</v>
      </c>
      <c r="T67" s="72">
        <f t="shared" si="0"/>
        <v>62</v>
      </c>
      <c r="U67" s="72">
        <f t="shared" si="0"/>
        <v>2</v>
      </c>
      <c r="V67" s="72">
        <f t="shared" si="0"/>
        <v>61</v>
      </c>
      <c r="W67" s="72">
        <f t="shared" si="0"/>
        <v>2</v>
      </c>
      <c r="X67" s="72">
        <f t="shared" si="0"/>
        <v>58</v>
      </c>
      <c r="Y67" s="72">
        <f t="shared" si="0"/>
        <v>2</v>
      </c>
      <c r="Z67" s="72">
        <f t="shared" si="0"/>
        <v>2</v>
      </c>
      <c r="AA67" s="72">
        <f t="shared" si="0"/>
        <v>1</v>
      </c>
      <c r="AB67" s="72">
        <f t="shared" si="0"/>
        <v>2</v>
      </c>
      <c r="AC67" s="72">
        <f t="shared" si="0"/>
        <v>1</v>
      </c>
      <c r="AD67" s="72">
        <f t="shared" si="0"/>
        <v>1</v>
      </c>
      <c r="AE67" s="72">
        <f t="shared" si="0"/>
        <v>63</v>
      </c>
      <c r="AF67" s="72">
        <f t="shared" si="0"/>
        <v>3</v>
      </c>
      <c r="AG67" s="72">
        <f t="shared" si="0"/>
        <v>64</v>
      </c>
      <c r="AH67" s="72">
        <f t="shared" si="0"/>
        <v>2</v>
      </c>
      <c r="AI67" s="72">
        <f t="shared" si="0"/>
        <v>64</v>
      </c>
      <c r="AJ67" s="72">
        <f t="shared" si="0"/>
        <v>2</v>
      </c>
      <c r="AK67" s="72">
        <f t="shared" si="0"/>
        <v>63</v>
      </c>
      <c r="AL67" s="72">
        <f t="shared" si="0"/>
        <v>0</v>
      </c>
      <c r="AM67" s="72">
        <f t="shared" si="0"/>
        <v>63</v>
      </c>
      <c r="AN67" s="72">
        <f t="shared" si="0"/>
        <v>2</v>
      </c>
      <c r="AO67" s="72">
        <f t="shared" si="0"/>
        <v>64</v>
      </c>
      <c r="AP67" s="72">
        <f t="shared" si="0"/>
        <v>2</v>
      </c>
      <c r="AQ67" s="72">
        <f t="shared" si="0"/>
        <v>64</v>
      </c>
      <c r="AR67" s="72">
        <f t="shared" si="0"/>
        <v>4</v>
      </c>
      <c r="AS67" s="72">
        <f t="shared" si="0"/>
        <v>63</v>
      </c>
      <c r="AT67" s="72">
        <f t="shared" si="0"/>
        <v>0</v>
      </c>
      <c r="AU67" s="72">
        <f t="shared" si="0"/>
        <v>59</v>
      </c>
      <c r="AV67" s="72">
        <f t="shared" si="0"/>
        <v>2</v>
      </c>
      <c r="AW67" s="72">
        <f t="shared" si="0"/>
        <v>3</v>
      </c>
      <c r="AX67" s="72">
        <f t="shared" si="0"/>
        <v>2</v>
      </c>
      <c r="AY67" s="72">
        <f t="shared" si="0"/>
        <v>1</v>
      </c>
      <c r="AZ67" s="72">
        <f t="shared" si="0"/>
        <v>1</v>
      </c>
      <c r="BA67" s="72">
        <f t="shared" si="0"/>
        <v>2</v>
      </c>
      <c r="BB67" s="72">
        <f t="shared" si="0"/>
        <v>1</v>
      </c>
      <c r="BC67" s="72">
        <f t="shared" si="0"/>
        <v>0</v>
      </c>
      <c r="BD67" s="72">
        <f t="shared" si="0"/>
        <v>62</v>
      </c>
      <c r="BE67" s="72">
        <f t="shared" si="0"/>
        <v>4</v>
      </c>
      <c r="BF67" s="72">
        <f t="shared" si="0"/>
        <v>62</v>
      </c>
      <c r="BG67" s="72">
        <f t="shared" si="0"/>
        <v>5</v>
      </c>
      <c r="BH67" s="72">
        <f t="shared" si="0"/>
        <v>61</v>
      </c>
      <c r="BI67" s="72">
        <f t="shared" si="0"/>
        <v>5</v>
      </c>
      <c r="BJ67" s="72">
        <f t="shared" si="0"/>
        <v>61</v>
      </c>
      <c r="BK67" s="72">
        <f t="shared" si="0"/>
        <v>4</v>
      </c>
      <c r="BL67" s="72">
        <f t="shared" si="0"/>
        <v>57</v>
      </c>
      <c r="BM67" s="72">
        <f t="shared" si="0"/>
        <v>0</v>
      </c>
      <c r="BN67" s="72">
        <f t="shared" si="0"/>
        <v>0</v>
      </c>
      <c r="BO67" s="72">
        <f t="shared" ref="BO67:DZ67" si="1">COUNTA(BO3:BO66)</f>
        <v>0</v>
      </c>
      <c r="BP67" s="72">
        <f t="shared" si="1"/>
        <v>0</v>
      </c>
      <c r="BQ67" s="72">
        <f t="shared" si="1"/>
        <v>64</v>
      </c>
      <c r="BR67" s="72">
        <f t="shared" si="1"/>
        <v>1</v>
      </c>
      <c r="BS67" s="72">
        <f t="shared" si="1"/>
        <v>64</v>
      </c>
      <c r="BT67" s="72">
        <f t="shared" si="1"/>
        <v>0</v>
      </c>
      <c r="BU67" s="72">
        <f t="shared" si="1"/>
        <v>62</v>
      </c>
      <c r="BV67" s="72">
        <f t="shared" si="1"/>
        <v>5</v>
      </c>
      <c r="BW67" s="72">
        <f t="shared" si="1"/>
        <v>61</v>
      </c>
      <c r="BX67" s="72">
        <f t="shared" si="1"/>
        <v>19</v>
      </c>
      <c r="BY67" s="72">
        <f t="shared" si="1"/>
        <v>60</v>
      </c>
      <c r="BZ67" s="72">
        <f t="shared" si="1"/>
        <v>2</v>
      </c>
      <c r="CA67" s="72">
        <f t="shared" si="1"/>
        <v>2</v>
      </c>
      <c r="CB67" s="72">
        <f t="shared" si="1"/>
        <v>0</v>
      </c>
      <c r="CC67" s="72">
        <f t="shared" si="1"/>
        <v>1</v>
      </c>
      <c r="CD67" s="72">
        <f t="shared" si="1"/>
        <v>64</v>
      </c>
      <c r="CE67" s="72">
        <f t="shared" si="1"/>
        <v>5</v>
      </c>
      <c r="CF67" s="72">
        <f t="shared" si="1"/>
        <v>64</v>
      </c>
      <c r="CG67" s="72">
        <f t="shared" si="1"/>
        <v>1</v>
      </c>
      <c r="CH67" s="72">
        <f t="shared" si="1"/>
        <v>64</v>
      </c>
      <c r="CI67" s="72">
        <f t="shared" si="1"/>
        <v>7</v>
      </c>
      <c r="CJ67" s="72">
        <f t="shared" si="1"/>
        <v>64</v>
      </c>
      <c r="CK67" s="72">
        <f t="shared" si="1"/>
        <v>1</v>
      </c>
      <c r="CL67" s="72">
        <f t="shared" si="1"/>
        <v>64</v>
      </c>
      <c r="CM67" s="72">
        <f t="shared" si="1"/>
        <v>2</v>
      </c>
      <c r="CN67" s="72">
        <f t="shared" si="1"/>
        <v>62</v>
      </c>
      <c r="CO67" s="72">
        <f t="shared" si="1"/>
        <v>18</v>
      </c>
      <c r="CP67" s="72">
        <f t="shared" si="1"/>
        <v>63</v>
      </c>
      <c r="CQ67" s="72">
        <f t="shared" si="1"/>
        <v>2</v>
      </c>
      <c r="CR67" s="72">
        <f t="shared" si="1"/>
        <v>63</v>
      </c>
      <c r="CS67" s="72">
        <f t="shared" si="1"/>
        <v>10</v>
      </c>
      <c r="CT67" s="72">
        <f t="shared" si="1"/>
        <v>4</v>
      </c>
      <c r="CU67" s="72">
        <f t="shared" si="1"/>
        <v>3</v>
      </c>
      <c r="CV67" s="72">
        <f t="shared" si="1"/>
        <v>0</v>
      </c>
      <c r="CW67" s="72">
        <f t="shared" si="1"/>
        <v>0</v>
      </c>
      <c r="CX67" s="72">
        <f t="shared" si="1"/>
        <v>3</v>
      </c>
      <c r="CY67" s="72">
        <f t="shared" si="1"/>
        <v>64</v>
      </c>
      <c r="CZ67" s="72">
        <f t="shared" si="1"/>
        <v>8</v>
      </c>
      <c r="DA67" s="72">
        <f t="shared" si="1"/>
        <v>64</v>
      </c>
      <c r="DB67" s="72">
        <f t="shared" si="1"/>
        <v>3</v>
      </c>
      <c r="DC67" s="72">
        <f t="shared" si="1"/>
        <v>64</v>
      </c>
      <c r="DD67" s="72">
        <f t="shared" si="1"/>
        <v>3</v>
      </c>
      <c r="DE67" s="72">
        <f t="shared" si="1"/>
        <v>60</v>
      </c>
      <c r="DF67" s="72">
        <f t="shared" si="1"/>
        <v>3</v>
      </c>
      <c r="DG67" s="72">
        <f t="shared" si="1"/>
        <v>63</v>
      </c>
      <c r="DH67" s="72">
        <f t="shared" si="1"/>
        <v>4</v>
      </c>
      <c r="DI67" s="72">
        <f t="shared" si="1"/>
        <v>64</v>
      </c>
      <c r="DJ67" s="72">
        <f t="shared" si="1"/>
        <v>8</v>
      </c>
      <c r="DK67" s="72">
        <f t="shared" si="1"/>
        <v>64</v>
      </c>
      <c r="DL67" s="72">
        <f t="shared" si="1"/>
        <v>2</v>
      </c>
      <c r="DM67" s="72">
        <f t="shared" si="1"/>
        <v>63</v>
      </c>
      <c r="DN67" s="72">
        <f t="shared" si="1"/>
        <v>0</v>
      </c>
      <c r="DO67" s="72">
        <f t="shared" si="1"/>
        <v>62</v>
      </c>
      <c r="DP67" s="72">
        <f t="shared" si="1"/>
        <v>4</v>
      </c>
      <c r="DQ67" s="72">
        <f t="shared" si="1"/>
        <v>61</v>
      </c>
      <c r="DR67" s="72">
        <f t="shared" si="1"/>
        <v>1</v>
      </c>
      <c r="DS67" s="72">
        <f t="shared" si="1"/>
        <v>64</v>
      </c>
      <c r="DT67" s="72">
        <f t="shared" si="1"/>
        <v>10</v>
      </c>
      <c r="DU67" s="72">
        <f t="shared" si="1"/>
        <v>64</v>
      </c>
      <c r="DV67" s="72">
        <f t="shared" si="1"/>
        <v>14</v>
      </c>
      <c r="DW67" s="72">
        <f t="shared" si="1"/>
        <v>64</v>
      </c>
      <c r="DX67" s="72">
        <f t="shared" si="1"/>
        <v>14</v>
      </c>
      <c r="DY67" s="72">
        <f t="shared" si="1"/>
        <v>64</v>
      </c>
      <c r="DZ67" s="72">
        <f t="shared" si="1"/>
        <v>3</v>
      </c>
      <c r="EA67" s="72">
        <f t="shared" ref="EA67:GL67" si="2">COUNTA(EA3:EA66)</f>
        <v>64</v>
      </c>
      <c r="EB67" s="72">
        <f t="shared" si="2"/>
        <v>2</v>
      </c>
      <c r="EC67" s="72">
        <f t="shared" si="2"/>
        <v>63</v>
      </c>
      <c r="ED67" s="72">
        <f t="shared" si="2"/>
        <v>16</v>
      </c>
      <c r="EE67" s="72">
        <f t="shared" si="2"/>
        <v>62</v>
      </c>
      <c r="EF67" s="72">
        <f t="shared" si="2"/>
        <v>19</v>
      </c>
      <c r="EG67" s="72">
        <f t="shared" si="2"/>
        <v>60</v>
      </c>
      <c r="EH67" s="72">
        <f t="shared" si="2"/>
        <v>1</v>
      </c>
      <c r="EI67" s="72">
        <f t="shared" si="2"/>
        <v>3</v>
      </c>
      <c r="EJ67" s="72">
        <f t="shared" si="2"/>
        <v>1</v>
      </c>
      <c r="EK67" s="72">
        <f t="shared" si="2"/>
        <v>0</v>
      </c>
      <c r="EL67" s="72">
        <f t="shared" si="2"/>
        <v>1</v>
      </c>
      <c r="EM67" s="72">
        <f t="shared" si="2"/>
        <v>0</v>
      </c>
      <c r="EN67" s="72">
        <f t="shared" si="2"/>
        <v>0</v>
      </c>
      <c r="EO67" s="72">
        <f t="shared" si="2"/>
        <v>2</v>
      </c>
      <c r="EP67" s="72">
        <f t="shared" si="2"/>
        <v>0</v>
      </c>
      <c r="EQ67" s="72">
        <f t="shared" si="2"/>
        <v>0</v>
      </c>
      <c r="ER67" s="72">
        <f t="shared" si="2"/>
        <v>0</v>
      </c>
      <c r="ES67" s="72">
        <f t="shared" si="2"/>
        <v>3</v>
      </c>
      <c r="ET67" s="72">
        <f t="shared" si="2"/>
        <v>4</v>
      </c>
      <c r="EU67" s="72">
        <f t="shared" si="2"/>
        <v>0</v>
      </c>
      <c r="EV67" s="72">
        <f t="shared" si="2"/>
        <v>2</v>
      </c>
      <c r="EW67" s="72">
        <f t="shared" si="2"/>
        <v>1</v>
      </c>
      <c r="EX67" s="72">
        <f t="shared" si="2"/>
        <v>1</v>
      </c>
      <c r="EY67" s="72">
        <f t="shared" si="2"/>
        <v>63</v>
      </c>
      <c r="EZ67" s="72">
        <f t="shared" si="2"/>
        <v>8</v>
      </c>
      <c r="FA67" s="72">
        <f t="shared" si="2"/>
        <v>63</v>
      </c>
      <c r="FB67" s="72">
        <f t="shared" si="2"/>
        <v>4</v>
      </c>
      <c r="FC67" s="72">
        <f t="shared" si="2"/>
        <v>63</v>
      </c>
      <c r="FD67" s="72">
        <f t="shared" si="2"/>
        <v>4</v>
      </c>
      <c r="FE67" s="72">
        <f t="shared" si="2"/>
        <v>64</v>
      </c>
      <c r="FF67" s="72">
        <f t="shared" si="2"/>
        <v>4</v>
      </c>
      <c r="FG67" s="72">
        <f t="shared" si="2"/>
        <v>64</v>
      </c>
      <c r="FH67" s="72">
        <f t="shared" si="2"/>
        <v>3</v>
      </c>
      <c r="FI67" s="72">
        <f t="shared" si="2"/>
        <v>64</v>
      </c>
      <c r="FJ67" s="72">
        <f t="shared" si="2"/>
        <v>4</v>
      </c>
      <c r="FK67" s="72">
        <f t="shared" si="2"/>
        <v>63</v>
      </c>
      <c r="FL67" s="72">
        <f t="shared" si="2"/>
        <v>1</v>
      </c>
      <c r="FM67" s="72">
        <f t="shared" si="2"/>
        <v>61</v>
      </c>
      <c r="FN67" s="72">
        <f t="shared" si="2"/>
        <v>1</v>
      </c>
      <c r="FO67" s="72">
        <f t="shared" si="2"/>
        <v>2</v>
      </c>
      <c r="FP67" s="72">
        <f t="shared" si="2"/>
        <v>1</v>
      </c>
      <c r="FQ67" s="72">
        <f t="shared" si="2"/>
        <v>2</v>
      </c>
      <c r="FR67" s="72">
        <f t="shared" si="2"/>
        <v>1</v>
      </c>
      <c r="FS67" s="72">
        <f t="shared" si="2"/>
        <v>4</v>
      </c>
      <c r="FT67" s="72">
        <f t="shared" si="2"/>
        <v>2</v>
      </c>
      <c r="FU67" s="72">
        <f t="shared" si="2"/>
        <v>63</v>
      </c>
      <c r="FV67" s="72">
        <f t="shared" si="2"/>
        <v>17</v>
      </c>
      <c r="FW67" s="72">
        <f t="shared" si="2"/>
        <v>63</v>
      </c>
      <c r="FX67" s="72">
        <f t="shared" si="2"/>
        <v>9</v>
      </c>
      <c r="FY67" s="72">
        <f t="shared" si="2"/>
        <v>64</v>
      </c>
      <c r="FZ67" s="72">
        <f t="shared" si="2"/>
        <v>12</v>
      </c>
      <c r="GA67" s="72">
        <f t="shared" si="2"/>
        <v>63</v>
      </c>
      <c r="GB67" s="72">
        <f t="shared" si="2"/>
        <v>5</v>
      </c>
      <c r="GC67" s="72">
        <f t="shared" si="2"/>
        <v>63</v>
      </c>
      <c r="GD67" s="72">
        <f t="shared" si="2"/>
        <v>1</v>
      </c>
      <c r="GE67" s="72">
        <f t="shared" si="2"/>
        <v>64</v>
      </c>
      <c r="GF67" s="72">
        <f t="shared" si="2"/>
        <v>2</v>
      </c>
      <c r="GG67" s="72">
        <f t="shared" si="2"/>
        <v>63</v>
      </c>
      <c r="GH67" s="72">
        <f t="shared" si="2"/>
        <v>3</v>
      </c>
      <c r="GI67" s="72">
        <f t="shared" si="2"/>
        <v>63</v>
      </c>
      <c r="GJ67" s="72">
        <f t="shared" si="2"/>
        <v>10</v>
      </c>
      <c r="GK67" s="72">
        <f t="shared" si="2"/>
        <v>62</v>
      </c>
      <c r="GL67" s="72">
        <f t="shared" si="2"/>
        <v>0</v>
      </c>
      <c r="GM67" s="72">
        <f t="shared" ref="GM67:IX67" si="3">COUNTA(GM3:GM66)</f>
        <v>1</v>
      </c>
      <c r="GN67" s="72">
        <f t="shared" si="3"/>
        <v>0</v>
      </c>
      <c r="GO67" s="72">
        <f t="shared" si="3"/>
        <v>0</v>
      </c>
      <c r="GP67" s="72">
        <f t="shared" si="3"/>
        <v>1</v>
      </c>
      <c r="GQ67" s="72">
        <f t="shared" si="3"/>
        <v>2</v>
      </c>
      <c r="GR67" s="72">
        <f t="shared" si="3"/>
        <v>1</v>
      </c>
      <c r="GS67" s="72">
        <f t="shared" si="3"/>
        <v>64</v>
      </c>
      <c r="GT67" s="72">
        <f t="shared" si="3"/>
        <v>3</v>
      </c>
      <c r="GU67" s="72">
        <f t="shared" si="3"/>
        <v>64</v>
      </c>
      <c r="GV67" s="72">
        <f t="shared" si="3"/>
        <v>3</v>
      </c>
      <c r="GW67" s="72">
        <f t="shared" si="3"/>
        <v>64</v>
      </c>
      <c r="GX67" s="72">
        <f t="shared" si="3"/>
        <v>2</v>
      </c>
      <c r="GY67" s="72">
        <f t="shared" si="3"/>
        <v>64</v>
      </c>
      <c r="GZ67" s="72">
        <f t="shared" si="3"/>
        <v>1</v>
      </c>
      <c r="HA67" s="72">
        <f t="shared" si="3"/>
        <v>64</v>
      </c>
      <c r="HB67" s="72">
        <f t="shared" si="3"/>
        <v>4</v>
      </c>
      <c r="HC67" s="72">
        <f t="shared" si="3"/>
        <v>61</v>
      </c>
      <c r="HD67" s="72">
        <f t="shared" si="3"/>
        <v>5</v>
      </c>
      <c r="HE67" s="72">
        <f t="shared" si="3"/>
        <v>3</v>
      </c>
      <c r="HF67" s="72">
        <f t="shared" si="3"/>
        <v>5</v>
      </c>
      <c r="HG67" s="72">
        <f t="shared" si="3"/>
        <v>5</v>
      </c>
      <c r="HH67" s="72">
        <f t="shared" si="3"/>
        <v>5</v>
      </c>
      <c r="HI67" s="72">
        <f t="shared" si="3"/>
        <v>64</v>
      </c>
      <c r="HJ67" s="72">
        <f t="shared" si="3"/>
        <v>2</v>
      </c>
      <c r="HK67" s="72">
        <f t="shared" si="3"/>
        <v>64</v>
      </c>
      <c r="HL67" s="72">
        <f t="shared" si="3"/>
        <v>4</v>
      </c>
      <c r="HM67" s="72">
        <f t="shared" si="3"/>
        <v>63</v>
      </c>
      <c r="HN67" s="72">
        <f t="shared" si="3"/>
        <v>9</v>
      </c>
      <c r="HO67" s="72">
        <f t="shared" si="3"/>
        <v>63</v>
      </c>
      <c r="HP67" s="72">
        <f t="shared" si="3"/>
        <v>0</v>
      </c>
      <c r="HQ67" s="72">
        <f t="shared" si="3"/>
        <v>61</v>
      </c>
      <c r="HR67" s="72">
        <f t="shared" si="3"/>
        <v>7</v>
      </c>
      <c r="HS67" s="72">
        <f t="shared" si="3"/>
        <v>62</v>
      </c>
      <c r="HT67" s="72">
        <f t="shared" si="3"/>
        <v>4</v>
      </c>
      <c r="HU67" s="72">
        <f t="shared" si="3"/>
        <v>63</v>
      </c>
      <c r="HV67" s="72">
        <f t="shared" si="3"/>
        <v>5</v>
      </c>
      <c r="HW67" s="72">
        <f t="shared" si="3"/>
        <v>63</v>
      </c>
      <c r="HX67" s="72">
        <f t="shared" si="3"/>
        <v>5</v>
      </c>
      <c r="HY67" s="72">
        <f t="shared" si="3"/>
        <v>59</v>
      </c>
      <c r="HZ67" s="72">
        <f t="shared" si="3"/>
        <v>3</v>
      </c>
      <c r="IA67" s="72">
        <f t="shared" si="3"/>
        <v>6</v>
      </c>
      <c r="IB67" s="72">
        <f t="shared" si="3"/>
        <v>6</v>
      </c>
      <c r="IC67" s="72">
        <f t="shared" si="3"/>
        <v>1</v>
      </c>
      <c r="ID67" s="72">
        <f t="shared" si="3"/>
        <v>0</v>
      </c>
      <c r="IE67" s="72">
        <f t="shared" si="3"/>
        <v>0</v>
      </c>
      <c r="IF67" s="72">
        <f t="shared" si="3"/>
        <v>6</v>
      </c>
      <c r="IG67" s="72">
        <f t="shared" si="3"/>
        <v>4</v>
      </c>
      <c r="IH67" s="72">
        <f t="shared" si="3"/>
        <v>63</v>
      </c>
      <c r="II67" s="72">
        <f t="shared" si="3"/>
        <v>13</v>
      </c>
      <c r="IJ67" s="72">
        <f t="shared" si="3"/>
        <v>63</v>
      </c>
      <c r="IK67" s="72">
        <f t="shared" si="3"/>
        <v>3</v>
      </c>
      <c r="IL67" s="72">
        <f t="shared" si="3"/>
        <v>63</v>
      </c>
      <c r="IM67" s="72">
        <f t="shared" si="3"/>
        <v>13</v>
      </c>
      <c r="IN67" s="72">
        <f t="shared" si="3"/>
        <v>62</v>
      </c>
      <c r="IO67" s="72">
        <f t="shared" si="3"/>
        <v>12</v>
      </c>
      <c r="IP67" s="72">
        <f t="shared" si="3"/>
        <v>63</v>
      </c>
      <c r="IQ67" s="72">
        <f t="shared" si="3"/>
        <v>13</v>
      </c>
      <c r="IR67" s="72">
        <f t="shared" si="3"/>
        <v>63</v>
      </c>
      <c r="IS67" s="72">
        <f t="shared" si="3"/>
        <v>14</v>
      </c>
      <c r="IT67" s="72">
        <f t="shared" si="3"/>
        <v>62</v>
      </c>
      <c r="IU67" s="72">
        <f t="shared" si="3"/>
        <v>3</v>
      </c>
      <c r="IV67" s="72">
        <f t="shared" si="3"/>
        <v>59</v>
      </c>
      <c r="IW67" s="72">
        <f t="shared" si="3"/>
        <v>0</v>
      </c>
      <c r="IX67" s="72">
        <f t="shared" si="3"/>
        <v>0</v>
      </c>
      <c r="IY67" s="72">
        <f t="shared" ref="IY67:LJ67" si="4">COUNTA(IY3:IY66)</f>
        <v>0</v>
      </c>
      <c r="IZ67" s="72">
        <f t="shared" si="4"/>
        <v>0</v>
      </c>
      <c r="JA67" s="72">
        <f t="shared" si="4"/>
        <v>0</v>
      </c>
      <c r="JB67" s="72">
        <f t="shared" si="4"/>
        <v>0</v>
      </c>
      <c r="JC67" s="72">
        <f t="shared" si="4"/>
        <v>3</v>
      </c>
      <c r="JD67" s="72">
        <f t="shared" si="4"/>
        <v>63</v>
      </c>
      <c r="JE67" s="72">
        <f t="shared" si="4"/>
        <v>1</v>
      </c>
      <c r="JF67" s="72">
        <f t="shared" si="4"/>
        <v>63</v>
      </c>
      <c r="JG67" s="72">
        <f t="shared" si="4"/>
        <v>0</v>
      </c>
      <c r="JH67" s="72">
        <f t="shared" si="4"/>
        <v>63</v>
      </c>
      <c r="JI67" s="72">
        <f t="shared" si="4"/>
        <v>2</v>
      </c>
      <c r="JJ67" s="72">
        <f t="shared" si="4"/>
        <v>63</v>
      </c>
      <c r="JK67" s="72">
        <f t="shared" si="4"/>
        <v>4</v>
      </c>
      <c r="JL67" s="72">
        <f t="shared" si="4"/>
        <v>63</v>
      </c>
      <c r="JM67" s="72">
        <f t="shared" si="4"/>
        <v>5</v>
      </c>
      <c r="JN67" s="72">
        <f t="shared" si="4"/>
        <v>62</v>
      </c>
      <c r="JO67" s="72">
        <f t="shared" si="4"/>
        <v>8</v>
      </c>
      <c r="JP67" s="72">
        <f t="shared" si="4"/>
        <v>61</v>
      </c>
      <c r="JQ67" s="72">
        <f t="shared" si="4"/>
        <v>0</v>
      </c>
      <c r="JR67" s="72">
        <f t="shared" si="4"/>
        <v>61</v>
      </c>
      <c r="JS67" s="72">
        <f t="shared" si="4"/>
        <v>1</v>
      </c>
      <c r="JT67" s="72">
        <f t="shared" si="4"/>
        <v>0</v>
      </c>
      <c r="JU67" s="72">
        <f t="shared" si="4"/>
        <v>0</v>
      </c>
      <c r="JV67" s="72">
        <f t="shared" si="4"/>
        <v>0</v>
      </c>
      <c r="JW67" s="72">
        <f t="shared" si="4"/>
        <v>0</v>
      </c>
      <c r="JX67" s="72">
        <f t="shared" si="4"/>
        <v>0</v>
      </c>
      <c r="JY67" s="72">
        <f t="shared" si="4"/>
        <v>0</v>
      </c>
      <c r="JZ67" s="72">
        <f t="shared" si="4"/>
        <v>63</v>
      </c>
      <c r="KA67" s="72">
        <f t="shared" si="4"/>
        <v>2</v>
      </c>
      <c r="KB67" s="72">
        <f t="shared" si="4"/>
        <v>63</v>
      </c>
      <c r="KC67" s="72">
        <f t="shared" si="4"/>
        <v>0</v>
      </c>
      <c r="KD67" s="72">
        <f t="shared" si="4"/>
        <v>63</v>
      </c>
      <c r="KE67" s="72">
        <f t="shared" si="4"/>
        <v>3</v>
      </c>
      <c r="KF67" s="72">
        <f t="shared" si="4"/>
        <v>63</v>
      </c>
      <c r="KG67" s="72">
        <f t="shared" si="4"/>
        <v>3</v>
      </c>
      <c r="KH67" s="72">
        <f t="shared" si="4"/>
        <v>58</v>
      </c>
      <c r="KI67" s="72">
        <f t="shared" si="4"/>
        <v>11</v>
      </c>
      <c r="KJ67" s="72">
        <f t="shared" si="4"/>
        <v>61</v>
      </c>
      <c r="KK67" s="72">
        <f t="shared" si="4"/>
        <v>4</v>
      </c>
      <c r="KL67" s="72">
        <f t="shared" si="4"/>
        <v>62</v>
      </c>
      <c r="KM67" s="72">
        <f t="shared" si="4"/>
        <v>4</v>
      </c>
      <c r="KN67" s="72">
        <f t="shared" si="4"/>
        <v>62</v>
      </c>
      <c r="KO67" s="72">
        <f t="shared" si="4"/>
        <v>12</v>
      </c>
      <c r="KP67" s="72">
        <f t="shared" si="4"/>
        <v>63</v>
      </c>
      <c r="KQ67" s="72">
        <f t="shared" si="4"/>
        <v>1</v>
      </c>
      <c r="KR67" s="72">
        <f t="shared" si="4"/>
        <v>57</v>
      </c>
      <c r="KS67" s="72">
        <f t="shared" si="4"/>
        <v>0</v>
      </c>
      <c r="KT67" s="72">
        <f t="shared" si="4"/>
        <v>0</v>
      </c>
      <c r="KU67" s="72">
        <f t="shared" si="4"/>
        <v>0</v>
      </c>
      <c r="KV67" s="72">
        <f t="shared" si="4"/>
        <v>0</v>
      </c>
      <c r="KW67" s="72">
        <f t="shared" si="4"/>
        <v>0</v>
      </c>
      <c r="KX67" s="72">
        <f t="shared" si="4"/>
        <v>0</v>
      </c>
      <c r="KY67" s="72">
        <f t="shared" si="4"/>
        <v>0</v>
      </c>
      <c r="KZ67" s="72">
        <f t="shared" si="4"/>
        <v>1</v>
      </c>
      <c r="LA67" s="72">
        <f t="shared" si="4"/>
        <v>0</v>
      </c>
      <c r="LB67" s="72">
        <f t="shared" si="4"/>
        <v>63</v>
      </c>
      <c r="LC67" s="72">
        <f t="shared" si="4"/>
        <v>1</v>
      </c>
      <c r="LD67" s="72">
        <f t="shared" si="4"/>
        <v>62</v>
      </c>
      <c r="LE67" s="72">
        <f t="shared" si="4"/>
        <v>5</v>
      </c>
      <c r="LF67" s="72">
        <f t="shared" si="4"/>
        <v>63</v>
      </c>
      <c r="LG67" s="72">
        <f t="shared" si="4"/>
        <v>1</v>
      </c>
      <c r="LH67" s="72">
        <f t="shared" si="4"/>
        <v>63</v>
      </c>
      <c r="LI67" s="72">
        <f t="shared" si="4"/>
        <v>2</v>
      </c>
      <c r="LJ67" s="72">
        <f t="shared" si="4"/>
        <v>53</v>
      </c>
      <c r="LK67" s="72">
        <f t="shared" ref="LK67:MA67" si="5">COUNTA(LK3:LK66)</f>
        <v>5</v>
      </c>
      <c r="LL67" s="72">
        <f t="shared" si="5"/>
        <v>63</v>
      </c>
      <c r="LM67" s="72">
        <f t="shared" si="5"/>
        <v>0</v>
      </c>
      <c r="LN67" s="72">
        <f t="shared" si="5"/>
        <v>62</v>
      </c>
      <c r="LO67" s="72">
        <f t="shared" si="5"/>
        <v>1</v>
      </c>
      <c r="LP67" s="72">
        <f t="shared" si="5"/>
        <v>61</v>
      </c>
      <c r="LQ67" s="72">
        <f t="shared" si="5"/>
        <v>2</v>
      </c>
      <c r="LR67" s="72">
        <f t="shared" si="5"/>
        <v>58</v>
      </c>
      <c r="LS67" s="72">
        <f t="shared" si="5"/>
        <v>1</v>
      </c>
      <c r="LT67" s="72">
        <f t="shared" si="5"/>
        <v>3</v>
      </c>
      <c r="LU67" s="72">
        <f t="shared" si="5"/>
        <v>2</v>
      </c>
      <c r="LV67" s="72">
        <f t="shared" si="5"/>
        <v>3</v>
      </c>
      <c r="LW67" s="72">
        <f t="shared" si="5"/>
        <v>1</v>
      </c>
      <c r="LX67" s="72">
        <f t="shared" si="5"/>
        <v>0</v>
      </c>
      <c r="LY67" s="72">
        <f t="shared" si="5"/>
        <v>0</v>
      </c>
      <c r="LZ67" s="72">
        <f t="shared" si="5"/>
        <v>0</v>
      </c>
      <c r="MA67" s="72">
        <f t="shared" si="5"/>
        <v>59</v>
      </c>
    </row>
  </sheetData>
  <autoFilter ref="A2:MA66" xr:uid="{039AC1F7-B278-4C7F-A191-450EEAF0545A}">
    <sortState xmlns:xlrd2="http://schemas.microsoft.com/office/spreadsheetml/2017/richdata2" ref="A3:MA66">
      <sortCondition ref="A3:A66"/>
    </sortState>
  </autoFilter>
  <hyperlinks>
    <hyperlink ref="A1" location="Index!A1" display="Index"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EB2501"/>
  <sheetViews>
    <sheetView showGridLines="0" workbookViewId="0">
      <pane ySplit="1" topLeftCell="A2" activePane="bottomLeft" state="frozen"/>
      <selection activeCell="BZA6" sqref="BZA6"/>
      <selection pane="bottomLeft" sqref="A1:B1"/>
    </sheetView>
  </sheetViews>
  <sheetFormatPr defaultRowHeight="11.25" x14ac:dyDescent="0.2"/>
  <cols>
    <col min="1" max="1" width="12.7109375" style="1" customWidth="1"/>
    <col min="2" max="2" width="40.7109375" style="2" customWidth="1"/>
    <col min="3" max="3" width="12.7109375" style="1" customWidth="1"/>
    <col min="4" max="4" width="40.7109375" style="2" customWidth="1"/>
    <col min="5" max="5" width="12.7109375" style="1" customWidth="1"/>
    <col min="6" max="6" width="40.7109375" style="2" customWidth="1"/>
    <col min="7" max="7" width="12.7109375" style="1" customWidth="1"/>
    <col min="8" max="8" width="40.7109375" style="2" customWidth="1"/>
    <col min="9" max="9" width="12.7109375" style="1" customWidth="1"/>
    <col min="10" max="10" width="40.7109375" style="2" customWidth="1"/>
    <col min="11" max="11" width="12.7109375" style="1" customWidth="1"/>
    <col min="12" max="12" width="40.7109375" style="2" customWidth="1"/>
    <col min="13" max="13" width="12.7109375" style="1" customWidth="1"/>
    <col min="14" max="14" width="40.7109375" style="2" customWidth="1"/>
    <col min="15" max="15" width="12.7109375" style="1" customWidth="1"/>
    <col min="16" max="16" width="40.7109375" style="2" customWidth="1"/>
    <col min="17" max="17" width="12.7109375" style="1" customWidth="1"/>
    <col min="18" max="18" width="40.7109375" style="2" customWidth="1"/>
    <col min="19" max="19" width="12.7109375" style="1" customWidth="1"/>
    <col min="20" max="20" width="40.7109375" style="2" customWidth="1"/>
    <col min="21" max="21" width="12.7109375" style="1" customWidth="1"/>
    <col min="22" max="22" width="40.7109375" style="2" customWidth="1"/>
    <col min="23" max="23" width="12.7109375" style="1" customWidth="1"/>
    <col min="24" max="24" width="40.7109375" style="2" customWidth="1"/>
    <col min="25" max="16384" width="9.140625" style="1"/>
  </cols>
  <sheetData>
    <row r="1" spans="1:132" s="90" customFormat="1" ht="15.75" thickBot="1" x14ac:dyDescent="0.25">
      <c r="A1" s="113" t="s">
        <v>14578</v>
      </c>
      <c r="B1" s="113"/>
      <c r="C1" s="113" t="s">
        <v>14579</v>
      </c>
      <c r="D1" s="113"/>
      <c r="E1" s="113" t="s">
        <v>14580</v>
      </c>
      <c r="F1" s="113"/>
      <c r="G1" s="113" t="s">
        <v>14581</v>
      </c>
      <c r="H1" s="113"/>
      <c r="I1" s="113" t="s">
        <v>14582</v>
      </c>
      <c r="J1" s="113"/>
      <c r="K1" s="113" t="s">
        <v>4720</v>
      </c>
      <c r="L1" s="113"/>
      <c r="M1" s="113" t="s">
        <v>14583</v>
      </c>
      <c r="N1" s="113"/>
      <c r="O1" s="113" t="s">
        <v>14584</v>
      </c>
      <c r="P1" s="113"/>
      <c r="Q1" s="113" t="s">
        <v>14585</v>
      </c>
      <c r="R1" s="113"/>
      <c r="S1" s="113" t="s">
        <v>14586</v>
      </c>
      <c r="T1" s="113"/>
      <c r="U1" s="113" t="s">
        <v>14587</v>
      </c>
      <c r="V1" s="113"/>
      <c r="W1" s="113" t="s">
        <v>14588</v>
      </c>
      <c r="X1" s="113"/>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row>
    <row r="2" spans="1:132" ht="25.5" x14ac:dyDescent="0.2">
      <c r="A2" s="89" t="str">
        <f>HYPERLINK("#'Company Overview'!B1","Q1.3.2")</f>
        <v>Q1.3.2</v>
      </c>
      <c r="B2" s="92" t="str">
        <f>HYPERLINK("#'Company Overview'!B2","Average age of benefits eligible employees")</f>
        <v>Average age of benefits eligible employees</v>
      </c>
      <c r="C2" s="100" t="str">
        <f>HYPERLINK("#'Enrollment, Eligib. &amp; Cost'!B1","Q2.1.2")</f>
        <v>Q2.1.2</v>
      </c>
      <c r="D2" s="92" t="str">
        <f>HYPERLINK("#'Enrollment, Eligib. &amp; Cost'!B2","Workers eligible for medical plan coverage")</f>
        <v>Workers eligible for medical plan coverage</v>
      </c>
      <c r="E2" s="98" t="str">
        <f>HYPERLINK("#'Admin, Tools, Audits, Data'!B1","Q3.1.2")</f>
        <v>Q3.1.2</v>
      </c>
      <c r="F2" s="102" t="str">
        <f>HYPERLINK("#'Admin, Tools, Audits, Data'!B2","Mobile optimized tools provided")</f>
        <v>Mobile optimized tools provided</v>
      </c>
      <c r="G2" s="89" t="str">
        <f>HYPERLINK("#'Communications &amp; Engagement'!B1","Q4.1.2")</f>
        <v>Q4.1.2</v>
      </c>
      <c r="H2" s="92" t="str">
        <f>HYPERLINK("#'Communications &amp; Engagement'!B2","Group that develops benefit communications")</f>
        <v>Group that develops benefit communications</v>
      </c>
      <c r="I2" s="100" t="str">
        <f>HYPERLINK("#'Other Benefits'!B1","Q5.1.2")</f>
        <v>Q5.1.2</v>
      </c>
      <c r="J2" s="92" t="str">
        <f>HYPERLINK("#'Other Benefits'!B2","Benefits or services offered: Executive-specific benefits")</f>
        <v>Benefits or services offered: Executive-specific benefits</v>
      </c>
      <c r="K2" s="89" t="str">
        <f>HYPERLINK("#'Healthcare'!B1","Q6.1.2_1_1")</f>
        <v>Q6.1.2_1_1</v>
      </c>
      <c r="L2" s="92" t="str">
        <f>HYPERLINK("#'Healthcare'!B2","Full time active eligible employees medical enrollment: PPO")</f>
        <v>Full time active eligible employees medical enrollment: PPO</v>
      </c>
      <c r="M2" s="107" t="str">
        <f>HYPERLINK("#'Disease Mgmt &amp; Wellbeing'!B1","Q7.1.2_1")</f>
        <v>Q7.1.2_1</v>
      </c>
      <c r="N2" s="102" t="str">
        <f>HYPERLINK("#'Disease Mgmt &amp; Wellbeing'!B2","Employees offered health risk assessment and biometric screening")</f>
        <v>Employees offered health risk assessment and biometric screening</v>
      </c>
      <c r="O2" s="89" t="str">
        <f>HYPERLINK("#'Trends &amp; Emerging Practices'!B1","Q8.1.3")</f>
        <v>Q8.1.3</v>
      </c>
      <c r="P2" s="92" t="str">
        <f>HYPERLINK("#'Trends &amp; Emerging Practices'!B2","On-site health clinic service status")</f>
        <v>On-site health clinic service status</v>
      </c>
      <c r="Q2" s="89" t="str">
        <f>HYPERLINK("#'Income Protection'!B1","Q9.1.2_1")</f>
        <v>Q9.1.2_1</v>
      </c>
      <c r="R2" s="109" t="str">
        <f>HYPERLINK("#'Income Protection'!B2","Income protection plans with salary included in earnings definition")</f>
        <v>Income protection plans with salary included in earnings definition</v>
      </c>
      <c r="S2" s="100" t="str">
        <f>HYPERLINK("#'Retirement, NQDC, Finances'!B1","Q10.1.2")</f>
        <v>Q10.1.2</v>
      </c>
      <c r="T2" s="92" t="str">
        <f>HYPERLINK("#'Retirement, NQDC, Finances'!B2","Date period used to complete 401(k)")</f>
        <v>Date period used to complete 401(k)</v>
      </c>
      <c r="U2" s="89" t="str">
        <f>HYPERLINK("#'Time Off'!B1","Q11.1.2")</f>
        <v>Q11.1.2</v>
      </c>
      <c r="V2" s="92" t="str">
        <f>HYPERLINK("#'Time Off'!B2","Bridge of service policy in place")</f>
        <v>Bridge of service policy in place</v>
      </c>
      <c r="W2" s="89" t="str">
        <f>HYPERLINK("#'Vendors'!B1","Q12.1.2_1")</f>
        <v>Q12.1.2_1</v>
      </c>
      <c r="X2" s="92" t="str">
        <f>HYPERLINK("#'Vendors'!B2","Request for proposal planned for medical in 2022")</f>
        <v>Request for proposal planned for medical in 2022</v>
      </c>
    </row>
    <row r="3" spans="1:132" ht="25.5" x14ac:dyDescent="0.2">
      <c r="A3" s="3" t="str">
        <f>HYPERLINK("#'Company Overview'!C1","Q1.3.3")</f>
        <v>Q1.3.3</v>
      </c>
      <c r="B3" s="93" t="str">
        <f>HYPERLINK("#'Company Overview'!C2","Gender identities tracked")</f>
        <v>Gender identities tracked</v>
      </c>
      <c r="C3" s="96" t="str">
        <f>HYPERLINK("#'Enrollment, Eligib. &amp; Cost'!C1","Q2.1.3")</f>
        <v>Q2.1.3</v>
      </c>
      <c r="D3" s="93" t="str">
        <f>HYPERLINK("#'Enrollment, Eligib. &amp; Cost'!C2","Workers eligible for medical plan coverage - other")</f>
        <v>Workers eligible for medical plan coverage - other</v>
      </c>
      <c r="E3" s="99" t="str">
        <f>HYPERLINK("#'Admin, Tools, Audits, Data'!C1","Q3.1.3")</f>
        <v>Q3.1.3</v>
      </c>
      <c r="F3" s="103" t="str">
        <f>HYPERLINK("#'Admin, Tools, Audits, Data'!C2","Actions available through the mobile optimized website")</f>
        <v>Actions available through the mobile optimized website</v>
      </c>
      <c r="G3" s="3" t="str">
        <f>HYPERLINK("#'Communications &amp; Engagement'!C1","Q4.1.3_1")</f>
        <v>Q4.1.3_1</v>
      </c>
      <c r="H3" s="93" t="str">
        <f>HYPERLINK("#'Communications &amp; Engagement'!C2","Status of communication methods: Mobile apps")</f>
        <v>Status of communication methods: Mobile apps</v>
      </c>
      <c r="I3" s="96" t="str">
        <f>HYPERLINK("#'Other Benefits'!C1","Q5.1.3_1")</f>
        <v>Q5.1.3_1</v>
      </c>
      <c r="J3" s="93" t="str">
        <f>HYPERLINK("#'Other Benefits'!C2","Exclusive executive benefits: Special medical/dental/vision plan options")</f>
        <v>Exclusive executive benefits: Special medical/dental/vision plan options</v>
      </c>
      <c r="K3" s="3" t="str">
        <f>HYPERLINK("#'Healthcare'!C1","Q6.1.2_2_1")</f>
        <v>Q6.1.2_2_1</v>
      </c>
      <c r="L3" s="93" t="str">
        <f>HYPERLINK("#'Healthcare'!C2","Full time active eligible employees medical enrollment: EPO")</f>
        <v>Full time active eligible employees medical enrollment: EPO</v>
      </c>
      <c r="M3" s="108" t="str">
        <f>HYPERLINK("#'Disease Mgmt &amp; Wellbeing'!C1","Q7.1.2_2")</f>
        <v>Q7.1.2_2</v>
      </c>
      <c r="N3" s="103" t="str">
        <f>HYPERLINK("#'Disease Mgmt &amp; Wellbeing'!C2","Employees offered health coaching")</f>
        <v>Employees offered health coaching</v>
      </c>
      <c r="O3" s="3" t="str">
        <f>HYPERLINK("#'Trends &amp; Emerging Practices'!C1","Q8.1.4")</f>
        <v>Q8.1.4</v>
      </c>
      <c r="P3" s="93" t="str">
        <f>HYPERLINK("#'Trends &amp; Emerging Practices'!C2","On-site health clinic service offerings")</f>
        <v>On-site health clinic service offerings</v>
      </c>
      <c r="Q3" s="3" t="str">
        <f>HYPERLINK("#'Income Protection'!C1","Q9.1.2_2")</f>
        <v>Q9.1.2_2</v>
      </c>
      <c r="R3" s="4" t="str">
        <f>HYPERLINK("#'Income Protection'!C2","Income protection plans with overtime included in earnings definition")</f>
        <v>Income protection plans with overtime included in earnings definition</v>
      </c>
      <c r="S3" s="96" t="str">
        <f>HYPERLINK("#'Retirement, NQDC, Finances'!C1","Q10.1.3")</f>
        <v>Q10.1.3</v>
      </c>
      <c r="T3" s="93" t="str">
        <f>HYPERLINK("#'Retirement, NQDC, Finances'!C2","401(k) minimum employment service duration eligibility requirement")</f>
        <v>401(k) minimum employment service duration eligibility requirement</v>
      </c>
      <c r="U3" s="3" t="str">
        <f>HYPERLINK("#'Time Off'!C1","Q11.1.3")</f>
        <v>Q11.1.3</v>
      </c>
      <c r="V3" s="93" t="str">
        <f>HYPERLINK("#'Time Off'!C2","Bridge of service policy requirements")</f>
        <v>Bridge of service policy requirements</v>
      </c>
      <c r="W3" s="3" t="str">
        <f>HYPERLINK("#'Vendors'!C1","Q12.1.2_2")</f>
        <v>Q12.1.2_2</v>
      </c>
      <c r="X3" s="93" t="str">
        <f>HYPERLINK("#'Vendors'!C2","Request for proposal planned for prescription in 2022")</f>
        <v>Request for proposal planned for prescription in 2022</v>
      </c>
    </row>
    <row r="4" spans="1:132" ht="38.25" x14ac:dyDescent="0.2">
      <c r="A4" s="3" t="str">
        <f>HYPERLINK("#'Company Overview'!D1","Q1.3.4_1_4")</f>
        <v>Q1.3.4_1_4</v>
      </c>
      <c r="B4" s="93" t="str">
        <f>HYPERLINK("#'Company Overview'!D2","Percentage of benefits eligible workforce: Male")</f>
        <v>Percentage of benefits eligible workforce: Male</v>
      </c>
      <c r="C4" s="96" t="str">
        <f>HYPERLINK("#'Enrollment, Eligib. &amp; Cost'!D1","Q2.1.4")</f>
        <v>Q2.1.4</v>
      </c>
      <c r="D4" s="93" t="str">
        <f>HYPERLINK("#'Enrollment, Eligib. &amp; Cost'!D2","Different eligibility rules based on job type/function")</f>
        <v>Different eligibility rules based on job type/function</v>
      </c>
      <c r="E4" s="99" t="str">
        <f>HYPERLINK("#'Admin, Tools, Audits, Data'!D1","Q3.1.4")</f>
        <v>Q3.1.4</v>
      </c>
      <c r="F4" s="103" t="str">
        <f>HYPERLINK("#'Admin, Tools, Audits, Data'!D2","Benefits information compatible with voice command technology (i.e., Alexa, Siri, etc.)")</f>
        <v>Benefits information compatible with voice command technology (i.e., Alexa, Siri, etc.)</v>
      </c>
      <c r="G4" s="3" t="str">
        <f>HYPERLINK("#'Communications &amp; Engagement'!D1","Q4.1.3_2")</f>
        <v>Q4.1.3_2</v>
      </c>
      <c r="H4" s="93" t="str">
        <f>HYPERLINK("#'Communications &amp; Engagement'!D2","Status of communication methods: Benefits enrollment decision tools")</f>
        <v>Status of communication methods: Benefits enrollment decision tools</v>
      </c>
      <c r="I4" s="96" t="str">
        <f>HYPERLINK("#'Other Benefits'!D1","Q5.1.3_2")</f>
        <v>Q5.1.3_2</v>
      </c>
      <c r="J4" s="93" t="str">
        <f>HYPERLINK("#'Other Benefits'!D2","Exclusive executive benefits: Additional vacation time")</f>
        <v>Exclusive executive benefits: Additional vacation time</v>
      </c>
      <c r="K4" s="3" t="str">
        <f>HYPERLINK("#'Healthcare'!D1","Q6.1.2_3_1")</f>
        <v>Q6.1.2_3_1</v>
      </c>
      <c r="L4" s="93" t="str">
        <f>HYPERLINK("#'Healthcare'!D2","Full time active eligible employees medical enrollment: HMO")</f>
        <v>Full time active eligible employees medical enrollment: HMO</v>
      </c>
      <c r="M4" s="108" t="str">
        <f>HYPERLINK("#'Disease Mgmt &amp; Wellbeing'!D1","Q7.1.2_3")</f>
        <v>Q7.1.2_3</v>
      </c>
      <c r="N4" s="103" t="str">
        <f>HYPERLINK("#'Disease Mgmt &amp; Wellbeing'!D2","Employees offered weight management program")</f>
        <v>Employees offered weight management program</v>
      </c>
      <c r="O4" s="3" t="str">
        <f>HYPERLINK("#'Trends &amp; Emerging Practices'!D1","Q8.1.5_1")</f>
        <v>Q8.1.5_1</v>
      </c>
      <c r="P4" s="93" t="str">
        <f>HYPERLINK("#'Trends &amp; Emerging Practices'!D2","On-site health clinic service covered by health care plan with highest enrollment: Primary care")</f>
        <v>On-site health clinic service covered by health care plan with highest enrollment: Primary care</v>
      </c>
      <c r="Q4" s="3" t="str">
        <f>HYPERLINK("#'Income Protection'!D1","Q9.1.2_3")</f>
        <v>Q9.1.2_3</v>
      </c>
      <c r="R4" s="4" t="str">
        <f>HYPERLINK("#'Income Protection'!D2","Income protection plans with performance bonus included in earnings definition")</f>
        <v>Income protection plans with performance bonus included in earnings definition</v>
      </c>
      <c r="S4" s="96" t="str">
        <f>HYPERLINK("#'Retirement, NQDC, Finances'!D1","Q10.1.4")</f>
        <v>Q10.1.4</v>
      </c>
      <c r="T4" s="93" t="str">
        <f>HYPERLINK("#'Retirement, NQDC, Finances'!D2","401(k) eligibility: Minimum employment service  requirements")</f>
        <v>401(k) eligibility: Minimum employment service  requirements</v>
      </c>
      <c r="U4" s="3" t="str">
        <f>HYPERLINK("#'Time Off'!D1","Q11.1.4")</f>
        <v>Q11.1.4</v>
      </c>
      <c r="V4" s="93" t="str">
        <f>HYPERLINK("#'Time Off'!D2","Individuals eligible for bridge of service benefits")</f>
        <v>Individuals eligible for bridge of service benefits</v>
      </c>
      <c r="W4" s="3" t="str">
        <f>HYPERLINK("#'Vendors'!D1","Q12.1.2_3")</f>
        <v>Q12.1.2_3</v>
      </c>
      <c r="X4" s="93" t="str">
        <f>HYPERLINK("#'Vendors'!D2","Request for proposal planned for benefits outsourcing administration in 2022")</f>
        <v>Request for proposal planned for benefits outsourcing administration in 2022</v>
      </c>
    </row>
    <row r="5" spans="1:132" ht="38.25" x14ac:dyDescent="0.2">
      <c r="A5" s="3" t="str">
        <f>HYPERLINK("#'Company Overview'!E1","Q1.3.4_2_4")</f>
        <v>Q1.3.4_2_4</v>
      </c>
      <c r="B5" s="93" t="str">
        <f>HYPERLINK("#'Company Overview'!E2","Percentage of benefits eligible workforce: Female")</f>
        <v>Percentage of benefits eligible workforce: Female</v>
      </c>
      <c r="C5" s="96" t="str">
        <f>HYPERLINK("#'Enrollment, Eligib. &amp; Cost'!E1","Q2.1.5")</f>
        <v>Q2.1.5</v>
      </c>
      <c r="D5" s="93" t="str">
        <f>HYPERLINK("#'Enrollment, Eligib. &amp; Cost'!E2","How eligibility rules differ based on job type/function")</f>
        <v>How eligibility rules differ based on job type/function</v>
      </c>
      <c r="E5" s="99" t="str">
        <f>HYPERLINK("#'Admin, Tools, Audits, Data'!E1","Q3.1.5")</f>
        <v>Q3.1.5</v>
      </c>
      <c r="F5" s="103" t="str">
        <f>HYPERLINK("#'Admin, Tools, Audits, Data'!E2","Online benefits administration tools offered to employees")</f>
        <v>Online benefits administration tools offered to employees</v>
      </c>
      <c r="G5" s="3" t="str">
        <f>HYPERLINK("#'Communications &amp; Engagement'!E1","Q4.1.3_3")</f>
        <v>Q4.1.3_3</v>
      </c>
      <c r="H5" s="93" t="str">
        <f>HYPERLINK("#'Communications &amp; Engagement'!E2","Status of communication methods: Leave of absence planning tools")</f>
        <v>Status of communication methods: Leave of absence planning tools</v>
      </c>
      <c r="I5" s="96" t="str">
        <f>HYPERLINK("#'Other Benefits'!E1","Q5.1.3_3")</f>
        <v>Q5.1.3_3</v>
      </c>
      <c r="J5" s="93" t="str">
        <f>HYPERLINK("#'Other Benefits'!E2","Exclusive executive benefits: Annual physical")</f>
        <v>Exclusive executive benefits: Annual physical</v>
      </c>
      <c r="K5" s="3" t="str">
        <f>HYPERLINK("#'Healthcare'!E1","Q6.1.2_4_1")</f>
        <v>Q6.1.2_4_1</v>
      </c>
      <c r="L5" s="93" t="str">
        <f>HYPERLINK("#'Healthcare'!E2","Full time active eligible employees medical enrollment: HDHP with HSA")</f>
        <v>Full time active eligible employees medical enrollment: HDHP with HSA</v>
      </c>
      <c r="M5" s="108" t="str">
        <f>HYPERLINK("#'Disease Mgmt &amp; Wellbeing'!E1","Q7.1.2_4")</f>
        <v>Q7.1.2_4</v>
      </c>
      <c r="N5" s="103" t="str">
        <f>HYPERLINK("#'Disease Mgmt &amp; Wellbeing'!E2","Employees offered tobacco cessation programs")</f>
        <v>Employees offered tobacco cessation programs</v>
      </c>
      <c r="O5" s="3" t="str">
        <f>HYPERLINK("#'Trends &amp; Emerging Practices'!E1","Q8.1.5_2")</f>
        <v>Q8.1.5_2</v>
      </c>
      <c r="P5" s="93" t="str">
        <f>HYPERLINK("#'Trends &amp; Emerging Practices'!E2","On-site health clinic service covered by health care plan with highest enrollment: Specialty care")</f>
        <v>On-site health clinic service covered by health care plan with highest enrollment: Specialty care</v>
      </c>
      <c r="Q5" s="3" t="str">
        <f>HYPERLINK("#'Income Protection'!E1","Q9.1.2_4")</f>
        <v>Q9.1.2_4</v>
      </c>
      <c r="R5" s="4" t="str">
        <f>HYPERLINK("#'Income Protection'!E2","Income protection plans with discretionary bonus included in earnings definition")</f>
        <v>Income protection plans with discretionary bonus included in earnings definition</v>
      </c>
      <c r="S5" s="96" t="str">
        <f>HYPERLINK("#'Retirement, NQDC, Finances'!E1","Q10.1.5")</f>
        <v>Q10.1.5</v>
      </c>
      <c r="T5" s="93" t="str">
        <f>HYPERLINK("#'Retirement, NQDC, Finances'!E2","401(k) eligibility: Minimum age requirement")</f>
        <v>401(k) eligibility: Minimum age requirement</v>
      </c>
      <c r="U5" s="3" t="str">
        <f>HYPERLINK("#'Time Off'!E1","Q11.1.5")</f>
        <v>Q11.1.5</v>
      </c>
      <c r="V5" s="93" t="str">
        <f>HYPERLINK("#'Time Off'!E2","Hire/rehire time period eligible for bridge of service benefits")</f>
        <v>Hire/rehire time period eligible for bridge of service benefits</v>
      </c>
      <c r="W5" s="3" t="str">
        <f>HYPERLINK("#'Vendors'!E1","Q12.1.2_4")</f>
        <v>Q12.1.2_4</v>
      </c>
      <c r="X5" s="93" t="str">
        <f>HYPERLINK("#'Vendors'!E2","Request for proposal planned for dental in 2022")</f>
        <v>Request for proposal planned for dental in 2022</v>
      </c>
    </row>
    <row r="6" spans="1:132" ht="38.25" x14ac:dyDescent="0.2">
      <c r="A6" s="3" t="str">
        <f>HYPERLINK("#'Company Overview'!F1","Q1.3.4_3_4")</f>
        <v>Q1.3.4_3_4</v>
      </c>
      <c r="B6" s="93" t="str">
        <f>HYPERLINK("#'Company Overview'!F2","Percentage of benefits eligible workforce: Nonbinary")</f>
        <v>Percentage of benefits eligible workforce: Nonbinary</v>
      </c>
      <c r="C6" s="96" t="str">
        <f>HYPERLINK("#'Enrollment, Eligib. &amp; Cost'!F1","Q2.1.6")</f>
        <v>Q2.1.6</v>
      </c>
      <c r="D6" s="93" t="str">
        <f>HYPERLINK("#'Enrollment, Eligib. &amp; Cost'!F2","Waiting period for medical plan coverage for non-regular part-time and full-time employee types")</f>
        <v>Waiting period for medical plan coverage for non-regular part-time and full-time employee types</v>
      </c>
      <c r="E6" s="99" t="str">
        <f>HYPERLINK("#'Admin, Tools, Audits, Data'!F1","Q3.2.2_1")</f>
        <v>Q3.2.2_1</v>
      </c>
      <c r="F6" s="103" t="str">
        <f>HYPERLINK("#'Admin, Tools, Audits, Data'!F2","Most recent year programs or offerings were audited: Medical plan")</f>
        <v>Most recent year programs or offerings were audited: Medical plan</v>
      </c>
      <c r="G6" s="3" t="str">
        <f>HYPERLINK("#'Communications &amp; Engagement'!F1","Q4.1.3_4")</f>
        <v>Q4.1.3_4</v>
      </c>
      <c r="H6" s="93" t="str">
        <f>HYPERLINK("#'Communications &amp; Engagement'!F2","Status of communication methods: Benefits website")</f>
        <v>Status of communication methods: Benefits website</v>
      </c>
      <c r="I6" s="96" t="str">
        <f>HYPERLINK("#'Other Benefits'!F1","Q5.1.3_4")</f>
        <v>Q5.1.3_4</v>
      </c>
      <c r="J6" s="93" t="str">
        <f>HYPERLINK("#'Other Benefits'!F2","Exclusive executive benefits: Car allowance")</f>
        <v>Exclusive executive benefits: Car allowance</v>
      </c>
      <c r="K6" s="3" t="str">
        <f>HYPERLINK("#'Healthcare'!F1","Q6.1.2_5_1")</f>
        <v>Q6.1.2_5_1</v>
      </c>
      <c r="L6" s="93" t="str">
        <f>HYPERLINK("#'Healthcare'!F2","Full time active eligible employees medical enrollment: HDHP with HRA")</f>
        <v>Full time active eligible employees medical enrollment: HDHP with HRA</v>
      </c>
      <c r="M6" s="108" t="str">
        <f>HYPERLINK("#'Disease Mgmt &amp; Wellbeing'!F1","Q7.1.2_5")</f>
        <v>Q7.1.2_5</v>
      </c>
      <c r="N6" s="103" t="str">
        <f>HYPERLINK("#'Disease Mgmt &amp; Wellbeing'!F2","Employees offered fitness centers or activity programs")</f>
        <v>Employees offered fitness centers or activity programs</v>
      </c>
      <c r="O6" s="3" t="str">
        <f>HYPERLINK("#'Trends &amp; Emerging Practices'!F1","Q8.1.5_3")</f>
        <v>Q8.1.5_3</v>
      </c>
      <c r="P6" s="93" t="str">
        <f>HYPERLINK("#'Trends &amp; Emerging Practices'!F2","On-site health clinic service covered by health care plan with highest enrollment: Mental well-being services")</f>
        <v>On-site health clinic service covered by health care plan with highest enrollment: Mental well-being services</v>
      </c>
      <c r="Q6" s="3" t="str">
        <f>HYPERLINK("#'Income Protection'!F1","Q9.1.2_5")</f>
        <v>Q9.1.2_5</v>
      </c>
      <c r="R6" s="4" t="str">
        <f>HYPERLINK("#'Income Protection'!F2","Income protection plans with projected sales commission included in earnings definition")</f>
        <v>Income protection plans with projected sales commission included in earnings definition</v>
      </c>
      <c r="S6" s="96" t="str">
        <f>HYPERLINK("#'Retirement, NQDC, Finances'!F1","Q10.1.6")</f>
        <v>Q10.1.6</v>
      </c>
      <c r="T6" s="93" t="str">
        <f>HYPERLINK("#'Retirement, NQDC, Finances'!F2","401(k) eligibility: Minimum age in years")</f>
        <v>401(k) eligibility: Minimum age in years</v>
      </c>
      <c r="U6" s="3" t="str">
        <f>HYPERLINK("#'Time Off'!F1","Q11.1.6")</f>
        <v>Q11.1.6</v>
      </c>
      <c r="V6" s="93" t="str">
        <f>HYPERLINK("#'Time Off'!F2","Minimum length of service for bridge of service eligibility")</f>
        <v>Minimum length of service for bridge of service eligibility</v>
      </c>
      <c r="W6" s="3" t="str">
        <f>HYPERLINK("#'Vendors'!F1","Q12.1.2_5")</f>
        <v>Q12.1.2_5</v>
      </c>
      <c r="X6" s="93" t="str">
        <f>HYPERLINK("#'Vendors'!F2","Request for proposal planned for vision in 2022")</f>
        <v>Request for proposal planned for vision in 2022</v>
      </c>
    </row>
    <row r="7" spans="1:132" ht="38.25" x14ac:dyDescent="0.2">
      <c r="A7" s="3" t="str">
        <f>HYPERLINK("#'Company Overview'!G1","Q1.3.4_4_4")</f>
        <v>Q1.3.4_4_4</v>
      </c>
      <c r="B7" s="93" t="str">
        <f>HYPERLINK("#'Company Overview'!G2","Percentage of benefits eligible workforce: Did not disclose")</f>
        <v>Percentage of benefits eligible workforce: Did not disclose</v>
      </c>
      <c r="C7" s="96" t="str">
        <f>HYPERLINK("#'Enrollment, Eligib. &amp; Cost'!G1","Q2.1.7")</f>
        <v>Q2.1.7</v>
      </c>
      <c r="D7" s="93" t="str">
        <f>HYPERLINK("#'Enrollment, Eligib. &amp; Cost'!G2","Other waiting period for medical plan coverage for non-regular part-time and full-time employee types")</f>
        <v>Other waiting period for medical plan coverage for non-regular part-time and full-time employee types</v>
      </c>
      <c r="E7" s="99" t="str">
        <f>HYPERLINK("#'Admin, Tools, Audits, Data'!G1","Q3.2.2_2")</f>
        <v>Q3.2.2_2</v>
      </c>
      <c r="F7" s="103" t="str">
        <f>HYPERLINK("#'Admin, Tools, Audits, Data'!G2","Most recent year programs or offerings were audited: Prescription drug coverage")</f>
        <v>Most recent year programs or offerings were audited: Prescription drug coverage</v>
      </c>
      <c r="G7" s="3" t="str">
        <f>HYPERLINK("#'Communications &amp; Engagement'!G1","Q4.1.3_5")</f>
        <v>Q4.1.3_5</v>
      </c>
      <c r="H7" s="93" t="str">
        <f>HYPERLINK("#'Communications &amp; Engagement'!G2","Status of communication methods: Benefits enrollment system (website)")</f>
        <v>Status of communication methods: Benefits enrollment system (website)</v>
      </c>
      <c r="I7" s="96" t="str">
        <f>HYPERLINK("#'Other Benefits'!G1","Q5.1.3_5")</f>
        <v>Q5.1.3_5</v>
      </c>
      <c r="J7" s="93" t="str">
        <f>HYPERLINK("#'Other Benefits'!G2","Exclusive executive benefits: Company plane")</f>
        <v>Exclusive executive benefits: Company plane</v>
      </c>
      <c r="K7" s="3" t="str">
        <f>HYPERLINK("#'Healthcare'!G1","Q6.1.2_6_1")</f>
        <v>Q6.1.2_6_1</v>
      </c>
      <c r="L7" s="93" t="str">
        <f>HYPERLINK("#'Healthcare'!G2","Full time active eligible employees medical enrollment: PPO with HRA")</f>
        <v>Full time active eligible employees medical enrollment: PPO with HRA</v>
      </c>
      <c r="M7" s="108" t="str">
        <f>HYPERLINK("#'Disease Mgmt &amp; Wellbeing'!G1","Q7.1.2_6")</f>
        <v>Q7.1.2_6</v>
      </c>
      <c r="N7" s="103" t="str">
        <f>HYPERLINK("#'Disease Mgmt &amp; Wellbeing'!G2","Employees offered tools/websites/mobile apps")</f>
        <v>Employees offered tools/websites/mobile apps</v>
      </c>
      <c r="O7" s="3" t="str">
        <f>HYPERLINK("#'Trends &amp; Emerging Practices'!G1","Q8.1.5_4")</f>
        <v>Q8.1.5_4</v>
      </c>
      <c r="P7" s="93" t="str">
        <f>HYPERLINK("#'Trends &amp; Emerging Practices'!G2","On-site health clinic service covered by health care plan with highest enrollment: Biometric screenings")</f>
        <v>On-site health clinic service covered by health care plan with highest enrollment: Biometric screenings</v>
      </c>
      <c r="Q7" s="3" t="str">
        <f>HYPERLINK("#'Income Protection'!G1","Q9.1.2_6")</f>
        <v>Q9.1.2_6</v>
      </c>
      <c r="R7" s="4" t="str">
        <f>HYPERLINK("#'Income Protection'!G2","Income protection plans with actual sales commission included in earnings definition")</f>
        <v>Income protection plans with actual sales commission included in earnings definition</v>
      </c>
      <c r="S7" s="96" t="str">
        <f>HYPERLINK("#'Retirement, NQDC, Finances'!G1","Q10.1.7")</f>
        <v>Q10.1.7</v>
      </c>
      <c r="T7" s="93" t="str">
        <f>HYPERLINK("#'Retirement, NQDC, Finances'!G2","401(k) eligibility: Individuals eligible to participate")</f>
        <v>401(k) eligibility: Individuals eligible to participate</v>
      </c>
      <c r="U7" s="3" t="str">
        <f>HYPERLINK("#'Time Off'!G1","Q11.1.7_1")</f>
        <v>Q11.1.7_1</v>
      </c>
      <c r="V7" s="93" t="str">
        <f>HYPERLINK("#'Time Off'!G2","Bridge of service impact: Accrual - Paid time off (PTO)")</f>
        <v>Bridge of service impact: Accrual - Paid time off (PTO)</v>
      </c>
      <c r="W7" s="3" t="str">
        <f>HYPERLINK("#'Vendors'!G1","Q12.1.2_6")</f>
        <v>Q12.1.2_6</v>
      </c>
      <c r="X7" s="93" t="str">
        <f>HYPERLINK("#'Vendors'!G2","Request for proposal planned for mental/behavioral health in 2022")</f>
        <v>Request for proposal planned for mental/behavioral health in 2022</v>
      </c>
    </row>
    <row r="8" spans="1:132" ht="38.25" x14ac:dyDescent="0.2">
      <c r="A8" s="3" t="str">
        <f>HYPERLINK("#'Company Overview'!H1","Q1.3.5_1_1")</f>
        <v>Q1.3.5_1_1</v>
      </c>
      <c r="B8" s="93" t="str">
        <f>HYPERLINK("#'Company Overview'!H2","Percentage of benefits eligible workforce: Exempt")</f>
        <v>Percentage of benefits eligible workforce: Exempt</v>
      </c>
      <c r="C8" s="96" t="str">
        <f>HYPERLINK("#'Enrollment, Eligib. &amp; Cost'!H1","Q2.1.8")</f>
        <v>Q2.1.8</v>
      </c>
      <c r="D8" s="93" t="str">
        <f>HYPERLINK("#'Enrollment, Eligib. &amp; Cost'!H2","Minimum weekly hour eligibility requirement for full-time employees")</f>
        <v>Minimum weekly hour eligibility requirement for full-time employees</v>
      </c>
      <c r="E8" s="99" t="str">
        <f>HYPERLINK("#'Admin, Tools, Audits, Data'!H1","Q3.2.2_3")</f>
        <v>Q3.2.2_3</v>
      </c>
      <c r="F8" s="103" t="str">
        <f>HYPERLINK("#'Admin, Tools, Audits, Data'!H2","Most recent year programs or offerings were audited: Dental plan")</f>
        <v>Most recent year programs or offerings were audited: Dental plan</v>
      </c>
      <c r="G8" s="3" t="str">
        <f>HYPERLINK("#'Communications &amp; Engagement'!H1","Q4.1.3_6")</f>
        <v>Q4.1.3_6</v>
      </c>
      <c r="H8" s="93" t="str">
        <f>HYPERLINK("#'Communications &amp; Engagement'!H2","Status of communication methods: Benefits enrollment system (mobile phone)")</f>
        <v>Status of communication methods: Benefits enrollment system (mobile phone)</v>
      </c>
      <c r="I8" s="96" t="str">
        <f>HYPERLINK("#'Other Benefits'!H1","Q5.1.3_6")</f>
        <v>Q5.1.3_6</v>
      </c>
      <c r="J8" s="93" t="str">
        <f>HYPERLINK("#'Other Benefits'!H2","Exclusive executive benefits: Country club membership")</f>
        <v>Exclusive executive benefits: Country club membership</v>
      </c>
      <c r="K8" s="3" t="str">
        <f>HYPERLINK("#'Healthcare'!H1","Q6.1.2_7_1")</f>
        <v>Q6.1.2_7_1</v>
      </c>
      <c r="L8" s="93" t="str">
        <f>HYPERLINK("#'Healthcare'!H2","Full time active eligible employees medical enrollment: EPO with HRA")</f>
        <v>Full time active eligible employees medical enrollment: EPO with HRA</v>
      </c>
      <c r="M8" s="108" t="str">
        <f>HYPERLINK("#'Disease Mgmt &amp; Wellbeing'!H1","Q7.2.3")</f>
        <v>Q7.2.3</v>
      </c>
      <c r="N8" s="103" t="str">
        <f>HYPERLINK("#'Disease Mgmt &amp; Wellbeing'!H2","Health risk assessment results used to engage participants in wellness activities/behavior change")</f>
        <v>Health risk assessment results used to engage participants in wellness activities/behavior change</v>
      </c>
      <c r="O8" s="3" t="str">
        <f>HYPERLINK("#'Trends &amp; Emerging Practices'!H1","Q8.1.5_5")</f>
        <v>Q8.1.5_5</v>
      </c>
      <c r="P8" s="93" t="str">
        <f>HYPERLINK("#'Trends &amp; Emerging Practices'!H2","On-site health clinic service covered by health care plan with highest enrollment: Workplace injury services")</f>
        <v>On-site health clinic service covered by health care plan with highest enrollment: Workplace injury services</v>
      </c>
      <c r="Q8" s="3" t="str">
        <f>HYPERLINK("#'Income Protection'!H1","Q9.1.2_7")</f>
        <v>Q9.1.2_7</v>
      </c>
      <c r="R8" s="4" t="str">
        <f>HYPERLINK("#'Income Protection'!H2","Income protection plans with shift differential included in earnings definition")</f>
        <v>Income protection plans with shift differential included in earnings definition</v>
      </c>
      <c r="S8" s="96" t="str">
        <f>HYPERLINK("#'Retirement, NQDC, Finances'!H1","Q10.1.8")</f>
        <v>Q10.1.8</v>
      </c>
      <c r="T8" s="93" t="str">
        <f>HYPERLINK("#'Retirement, NQDC, Finances'!H2","401(k): Plan's maximum pre-tax deferral percentage for catch-up ineligible employees")</f>
        <v>401(k): Plan's maximum pre-tax deferral percentage for catch-up ineligible employees</v>
      </c>
      <c r="U8" s="3" t="str">
        <f>HYPERLINK("#'Time Off'!H1","Q11.1.7_2")</f>
        <v>Q11.1.7_2</v>
      </c>
      <c r="V8" s="93" t="str">
        <f>HYPERLINK("#'Time Off'!H2","Bridge of service impact: Accrual - Sick time")</f>
        <v>Bridge of service impact: Accrual - Sick time</v>
      </c>
      <c r="W8" s="3" t="str">
        <f>HYPERLINK("#'Vendors'!H1","Q12.1.2_7")</f>
        <v>Q12.1.2_7</v>
      </c>
      <c r="X8" s="93" t="str">
        <f>HYPERLINK("#'Vendors'!H2","Request for proposal planned for EAP in 2022")</f>
        <v>Request for proposal planned for EAP in 2022</v>
      </c>
    </row>
    <row r="9" spans="1:132" ht="38.25" x14ac:dyDescent="0.2">
      <c r="A9" s="3" t="str">
        <f>HYPERLINK("#'Company Overview'!I1","Q1.3.5_2_1")</f>
        <v>Q1.3.5_2_1</v>
      </c>
      <c r="B9" s="93" t="str">
        <f>HYPERLINK("#'Company Overview'!I2","Percentage of benefits eligible workforce: Non-exempt (hourly/overtime eligible)")</f>
        <v>Percentage of benefits eligible workforce: Non-exempt (hourly/overtime eligible)</v>
      </c>
      <c r="C9" s="96" t="str">
        <f>HYPERLINK("#'Enrollment, Eligib. &amp; Cost'!I1","Q2.1.9_1")</f>
        <v>Q2.1.9_1</v>
      </c>
      <c r="D9" s="93" t="str">
        <f>HYPERLINK("#'Enrollment, Eligib. &amp; Cost'!I2","Minimum weekly hour eligibility requirement for part-time employees")</f>
        <v>Minimum weekly hour eligibility requirement for part-time employees</v>
      </c>
      <c r="E9" s="99" t="str">
        <f>HYPERLINK("#'Admin, Tools, Audits, Data'!I1","Q3.2.2_4")</f>
        <v>Q3.2.2_4</v>
      </c>
      <c r="F9" s="103" t="str">
        <f>HYPERLINK("#'Admin, Tools, Audits, Data'!I2","Most recent year programs or offerings were audited: Vision plan")</f>
        <v>Most recent year programs or offerings were audited: Vision plan</v>
      </c>
      <c r="G9" s="3" t="str">
        <f>HYPERLINK("#'Communications &amp; Engagement'!I1","Q4.1.3_7")</f>
        <v>Q4.1.3_7</v>
      </c>
      <c r="H9" s="93" t="str">
        <f>HYPERLINK("#'Communications &amp; Engagement'!I2","Status of communication methods: Home mailings")</f>
        <v>Status of communication methods: Home mailings</v>
      </c>
      <c r="I9" s="96" t="str">
        <f>HYPERLINK("#'Other Benefits'!I1","Q5.1.3_7")</f>
        <v>Q5.1.3_7</v>
      </c>
      <c r="J9" s="93" t="str">
        <f>HYPERLINK("#'Other Benefits'!I2","Exclusive executive benefits: Estate planning")</f>
        <v>Exclusive executive benefits: Estate planning</v>
      </c>
      <c r="K9" s="3" t="str">
        <f>HYPERLINK("#'Healthcare'!I1","Q6.1.2_8_1")</f>
        <v>Q6.1.2_8_1</v>
      </c>
      <c r="L9" s="93" t="str">
        <f>HYPERLINK("#'Healthcare'!I2","Full time active eligible employees medical enrollment: POS with HRA")</f>
        <v>Full time active eligible employees medical enrollment: POS with HRA</v>
      </c>
      <c r="M9" s="108" t="str">
        <f>HYPERLINK("#'Disease Mgmt &amp; Wellbeing'!I1","Q7.2.4")</f>
        <v>Q7.2.4</v>
      </c>
      <c r="N9" s="103" t="str">
        <f>HYPERLINK("#'Disease Mgmt &amp; Wellbeing'!I2","Biometric screenings captured in health risk assessment")</f>
        <v>Biometric screenings captured in health risk assessment</v>
      </c>
      <c r="O9" s="3" t="str">
        <f>HYPERLINK("#'Trends &amp; Emerging Practices'!I1","Q8.1.5_6")</f>
        <v>Q8.1.5_6</v>
      </c>
      <c r="P9" s="93" t="str">
        <f>HYPERLINK("#'Trends &amp; Emerging Practices'!I2","On-site health clinic service covered by health care plan with highest enrollment: Laboratory and/or radiology services")</f>
        <v>On-site health clinic service covered by health care plan with highest enrollment: Laboratory and/or radiology services</v>
      </c>
      <c r="Q9" s="3" t="str">
        <f>HYPERLINK("#'Income Protection'!I1","Q9.1.2_8")</f>
        <v>Q9.1.2_8</v>
      </c>
      <c r="R9" s="4" t="str">
        <f>HYPERLINK("#'Income Protection'!I2","Income protection plans with severance pay included in earnings definition")</f>
        <v>Income protection plans with severance pay included in earnings definition</v>
      </c>
      <c r="S9" s="96" t="str">
        <f>HYPERLINK("#'Retirement, NQDC, Finances'!I1","Q10.1.9")</f>
        <v>Q10.1.9</v>
      </c>
      <c r="T9" s="93" t="str">
        <f>HYPERLINK("#'Retirement, NQDC, Finances'!I2","401(k): Plan's maximum pre-tax deferral percentage for catch-up eligible employees")</f>
        <v>401(k): Plan's maximum pre-tax deferral percentage for catch-up eligible employees</v>
      </c>
      <c r="U9" s="3" t="str">
        <f>HYPERLINK("#'Time Off'!I1","Q11.1.7_3")</f>
        <v>Q11.1.7_3</v>
      </c>
      <c r="V9" s="93" t="str">
        <f>HYPERLINK("#'Time Off'!I2","Bridge of service impact: Accrual - Vacation")</f>
        <v>Bridge of service impact: Accrual - Vacation</v>
      </c>
      <c r="W9" s="3" t="str">
        <f>HYPERLINK("#'Vendors'!I1","Q12.1.2_8")</f>
        <v>Q12.1.2_8</v>
      </c>
      <c r="X9" s="93" t="str">
        <f>HYPERLINK("#'Vendors'!I2","Request for proposal planned for retirement in 2022")</f>
        <v>Request for proposal planned for retirement in 2022</v>
      </c>
    </row>
    <row r="10" spans="1:132" ht="38.25" x14ac:dyDescent="0.2">
      <c r="A10" s="3" t="str">
        <f>HYPERLINK("#'Company Overview'!J1","Q1.3.6")</f>
        <v>Q1.3.6</v>
      </c>
      <c r="B10" s="93" t="str">
        <f>HYPERLINK("#'Company Overview'!J2","Percentage of benefits eligible workforce: Millennials")</f>
        <v>Percentage of benefits eligible workforce: Millennials</v>
      </c>
      <c r="C10" s="96" t="str">
        <f>HYPERLINK("#'Enrollment, Eligib. &amp; Cost'!J1","Q2.1.9_2")</f>
        <v>Q2.1.9_2</v>
      </c>
      <c r="D10" s="93" t="str">
        <f>HYPERLINK("#'Enrollment, Eligib. &amp; Cost'!J2","Maximum weekly hour eligibility requirement for part-time employees")</f>
        <v>Maximum weekly hour eligibility requirement for part-time employees</v>
      </c>
      <c r="E10" s="99" t="str">
        <f>HYPERLINK("#'Admin, Tools, Audits, Data'!J1","Q3.2.2_5")</f>
        <v>Q3.2.2_5</v>
      </c>
      <c r="F10" s="103" t="str">
        <f>HYPERLINK("#'Admin, Tools, Audits, Data'!J2","Most recent year programs or offerings were audited: Disease/care management")</f>
        <v>Most recent year programs or offerings were audited: Disease/care management</v>
      </c>
      <c r="G10" s="3" t="str">
        <f>HYPERLINK("#'Communications &amp; Engagement'!J1","Q4.1.3_8")</f>
        <v>Q4.1.3_8</v>
      </c>
      <c r="H10" s="93" t="str">
        <f>HYPERLINK("#'Communications &amp; Engagement'!J2","Status of communication methods: Emails")</f>
        <v>Status of communication methods: Emails</v>
      </c>
      <c r="I10" s="96" t="str">
        <f>HYPERLINK("#'Other Benefits'!J1","Q5.1.3_8")</f>
        <v>Q5.1.3_8</v>
      </c>
      <c r="J10" s="93" t="str">
        <f>HYPERLINK("#'Other Benefits'!J2","Exclusive executive benefits: Financial planning")</f>
        <v>Exclusive executive benefits: Financial planning</v>
      </c>
      <c r="K10" s="3" t="str">
        <f>HYPERLINK("#'Healthcare'!J1","Q6.1.2_9_1")</f>
        <v>Q6.1.2_9_1</v>
      </c>
      <c r="L10" s="93" t="str">
        <f>HYPERLINK("#'Healthcare'!J2","Full time active eligible employees medical enrollment: POS")</f>
        <v>Full time active eligible employees medical enrollment: POS</v>
      </c>
      <c r="M10" s="108" t="str">
        <f>HYPERLINK("#'Disease Mgmt &amp; Wellbeing'!J1","Q7.2.5")</f>
        <v>Q7.2.5</v>
      </c>
      <c r="N10" s="103" t="str">
        <f>HYPERLINK("#'Disease Mgmt &amp; Wellbeing'!J2","Company sponsors biometric screening services")</f>
        <v>Company sponsors biometric screening services</v>
      </c>
      <c r="O10" s="3" t="str">
        <f>HYPERLINK("#'Trends &amp; Emerging Practices'!J1","Q8.1.5_7")</f>
        <v>Q8.1.5_7</v>
      </c>
      <c r="P10" s="93" t="str">
        <f>HYPERLINK("#'Trends &amp; Emerging Practices'!J2","On-site health clinic service covered by health care plan with highest enrollment: Full service pharmacy")</f>
        <v>On-site health clinic service covered by health care plan with highest enrollment: Full service pharmacy</v>
      </c>
      <c r="Q10" s="3" t="str">
        <f>HYPERLINK("#'Income Protection'!J1","Q9.1.2_9")</f>
        <v>Q9.1.2_9</v>
      </c>
      <c r="R10" s="4" t="str">
        <f>HYPERLINK("#'Income Protection'!J2","Income protection plans with tips included in earnings definition")</f>
        <v>Income protection plans with tips included in earnings definition</v>
      </c>
      <c r="S10" s="96" t="str">
        <f>HYPERLINK("#'Retirement, NQDC, Finances'!J1","Q10.1.10_1")</f>
        <v>Q10.1.10_1</v>
      </c>
      <c r="T10" s="93" t="str">
        <f>HYPERLINK("#'Retirement, NQDC, Finances'!J2","401(k): HCE participation percentage")</f>
        <v>401(k): HCE participation percentage</v>
      </c>
      <c r="U10" s="3" t="str">
        <f>HYPERLINK("#'Time Off'!J1","Q11.1.7_4")</f>
        <v>Q11.1.7_4</v>
      </c>
      <c r="V10" s="93" t="str">
        <f>HYPERLINK("#'Time Off'!J2","Bridge of service impact: College loan assistance repayment")</f>
        <v>Bridge of service impact: College loan assistance repayment</v>
      </c>
      <c r="W10" s="3" t="str">
        <f>HYPERLINK("#'Vendors'!J1","Q12.1.2_9")</f>
        <v>Q12.1.2_9</v>
      </c>
      <c r="X10" s="93" t="str">
        <f>HYPERLINK("#'Vendors'!J2","Request for proposal planned for other in 2022")</f>
        <v>Request for proposal planned for other in 2022</v>
      </c>
    </row>
    <row r="11" spans="1:132" ht="38.25" x14ac:dyDescent="0.2">
      <c r="A11" s="3" t="str">
        <f>HYPERLINK("#'Company Overview'!K1","Q1.3.7")</f>
        <v>Q1.3.7</v>
      </c>
      <c r="B11" s="93" t="str">
        <f>HYPERLINK("#'Company Overview'!K2","Percentage of benefits eligible workforce: Engineers")</f>
        <v>Percentage of benefits eligible workforce: Engineers</v>
      </c>
      <c r="C11" s="96" t="str">
        <f>HYPERLINK("#'Enrollment, Eligib. &amp; Cost'!K1","Q2.1.10")</f>
        <v>Q2.1.10</v>
      </c>
      <c r="D11" s="93" t="str">
        <f>HYPERLINK("#'Enrollment, Eligib. &amp; Cost'!K2","Employee automatically enrolled in medical coverage if not waived")</f>
        <v>Employee automatically enrolled in medical coverage if not waived</v>
      </c>
      <c r="E11" s="99" t="str">
        <f>HYPERLINK("#'Admin, Tools, Audits, Data'!K1","Q3.2.2_6")</f>
        <v>Q3.2.2_6</v>
      </c>
      <c r="F11" s="103" t="str">
        <f>HYPERLINK("#'Admin, Tools, Audits, Data'!K2","Most recent year programs or offerings were audited: Benefits administration")</f>
        <v>Most recent year programs or offerings were audited: Benefits administration</v>
      </c>
      <c r="G11" s="3" t="str">
        <f>HYPERLINK("#'Communications &amp; Engagement'!K1","Q4.1.3_9")</f>
        <v>Q4.1.3_9</v>
      </c>
      <c r="H11" s="93" t="str">
        <f>HYPERLINK("#'Communications &amp; Engagement'!K2","Status of communication methods: Newsletters")</f>
        <v>Status of communication methods: Newsletters</v>
      </c>
      <c r="I11" s="96" t="str">
        <f>HYPERLINK("#'Other Benefits'!K1","Q5.1.3_9")</f>
        <v>Q5.1.3_9</v>
      </c>
      <c r="J11" s="93" t="str">
        <f>HYPERLINK("#'Other Benefits'!K2","Exclusive executive benefits: Income tax preparation")</f>
        <v>Exclusive executive benefits: Income tax preparation</v>
      </c>
      <c r="K11" s="3" t="str">
        <f>HYPERLINK("#'Healthcare'!K1","Q6.1.2_10_1")</f>
        <v>Q6.1.2_10_1</v>
      </c>
      <c r="L11" s="93" t="str">
        <f>HYPERLINK("#'Healthcare'!K2","Full time active eligible employees medical enrollment: Indemnity")</f>
        <v>Full time active eligible employees medical enrollment: Indemnity</v>
      </c>
      <c r="M11" s="108" t="str">
        <f>HYPERLINK("#'Disease Mgmt &amp; Wellbeing'!K1","Q7.2.6")</f>
        <v>Q7.2.6</v>
      </c>
      <c r="N11" s="103" t="str">
        <f>HYPERLINK("#'Disease Mgmt &amp; Wellbeing'!K2","Percentage paid by employees for biometric screenings")</f>
        <v>Percentage paid by employees for biometric screenings</v>
      </c>
      <c r="O11" s="3" t="str">
        <f>HYPERLINK("#'Trends &amp; Emerging Practices'!K1","Q8.1.5_8")</f>
        <v>Q8.1.5_8</v>
      </c>
      <c r="P11" s="93" t="str">
        <f>HYPERLINK("#'Trends &amp; Emerging Practices'!K2","On-site health clinic service covered by health care plan with highest enrollment: Alternative access to prescriptions")</f>
        <v>On-site health clinic service covered by health care plan with highest enrollment: Alternative access to prescriptions</v>
      </c>
      <c r="Q11" s="3" t="str">
        <f>HYPERLINK("#'Income Protection'!K1","Q9.1.2_10")</f>
        <v>Q9.1.2_10</v>
      </c>
      <c r="R11" s="4" t="str">
        <f>HYPERLINK("#'Income Protection'!K2","Income protection plans with stock income included in earnings definition")</f>
        <v>Income protection plans with stock income included in earnings definition</v>
      </c>
      <c r="S11" s="96" t="str">
        <f>HYPERLINK("#'Retirement, NQDC, Finances'!K1","Q10.1.10_2")</f>
        <v>Q10.1.10_2</v>
      </c>
      <c r="T11" s="93" t="str">
        <f>HYPERLINK("#'Retirement, NQDC, Finances'!K2","401(k): NHCE participation percentage")</f>
        <v>401(k): NHCE participation percentage</v>
      </c>
      <c r="U11" s="3" t="str">
        <f>HYPERLINK("#'Time Off'!K1","Q11.1.7_5")</f>
        <v>Q11.1.7_5</v>
      </c>
      <c r="V11" s="93" t="str">
        <f>HYPERLINK("#'Time Off'!K2","Bridge of service impact: Leave of absence - Non-FMLA medical")</f>
        <v>Bridge of service impact: Leave of absence - Non-FMLA medical</v>
      </c>
      <c r="W11" s="3" t="str">
        <f>HYPERLINK("#'Vendors'!K1","Q12.1.3")</f>
        <v>Q12.1.3</v>
      </c>
      <c r="X11" s="93" t="str">
        <f>HYPERLINK("#'Vendors'!K2","Other request for proposal planned in 2022")</f>
        <v>Other request for proposal planned in 2022</v>
      </c>
    </row>
    <row r="12" spans="1:132" ht="38.25" x14ac:dyDescent="0.2">
      <c r="A12" s="3" t="str">
        <f>HYPERLINK("#'Company Overview'!L1","Q1.4.2")</f>
        <v>Q1.4.2</v>
      </c>
      <c r="B12" s="93" t="str">
        <f>HYPERLINK("#'Company Overview'!L2","Recognitions or certifications received in 2021")</f>
        <v>Recognitions or certifications received in 2021</v>
      </c>
      <c r="C12" s="96" t="str">
        <f>HYPERLINK("#'Enrollment, Eligib. &amp; Cost'!L1","Q2.1.11_1")</f>
        <v>Q2.1.11_1</v>
      </c>
      <c r="D12" s="93" t="str">
        <f>HYPERLINK("#'Enrollment, Eligib. &amp; Cost'!L2","Default medical plan: Full-time employees")</f>
        <v>Default medical plan: Full-time employees</v>
      </c>
      <c r="E12" s="99" t="str">
        <f>HYPERLINK("#'Admin, Tools, Audits, Data'!L1","Q3.2.2_7")</f>
        <v>Q3.2.2_7</v>
      </c>
      <c r="F12" s="103" t="str">
        <f>HYPERLINK("#'Admin, Tools, Audits, Data'!L2","Most recent year programs or offerings were audited: COBRA")</f>
        <v>Most recent year programs or offerings were audited: COBRA</v>
      </c>
      <c r="G12" s="3" t="str">
        <f>HYPERLINK("#'Communications &amp; Engagement'!L1","Q4.1.3_10")</f>
        <v>Q4.1.3_10</v>
      </c>
      <c r="H12" s="93" t="str">
        <f>HYPERLINK("#'Communications &amp; Engagement'!L2","Status of communication methods: Standard printed collateral (posters, flyers, etc.)")</f>
        <v>Status of communication methods: Standard printed collateral (posters, flyers, etc.)</v>
      </c>
      <c r="I12" s="96" t="str">
        <f>HYPERLINK("#'Other Benefits'!L1","Q5.1.3_10")</f>
        <v>Q5.1.3_10</v>
      </c>
      <c r="J12" s="93" t="str">
        <f>HYPERLINK("#'Other Benefits'!L2","Exclusive executive benefits: First class air travel")</f>
        <v>Exclusive executive benefits: First class air travel</v>
      </c>
      <c r="K12" s="3" t="str">
        <f>HYPERLINK("#'Healthcare'!L1","Q6.1.2_11_1")</f>
        <v>Q6.1.2_11_1</v>
      </c>
      <c r="L12" s="93" t="str">
        <f>HYPERLINK("#'Healthcare'!L2","Full time active eligible employees medical enrollment: Other")</f>
        <v>Full time active eligible employees medical enrollment: Other</v>
      </c>
      <c r="M12" s="108" t="str">
        <f>HYPERLINK("#'Disease Mgmt &amp; Wellbeing'!L1","Q7.2.7")</f>
        <v>Q7.2.7</v>
      </c>
      <c r="N12" s="103" t="str">
        <f>HYPERLINK("#'Disease Mgmt &amp; Wellbeing'!L2","Biometric screening services availability ")</f>
        <v xml:space="preserve">Biometric screening services availability </v>
      </c>
      <c r="O12" s="3" t="str">
        <f>HYPERLINK("#'Trends &amp; Emerging Practices'!L1","Q8.1.5_9")</f>
        <v>Q8.1.5_9</v>
      </c>
      <c r="P12" s="93" t="str">
        <f>HYPERLINK("#'Trends &amp; Emerging Practices'!L2","On-site health clinic service covered by health care plan with highest enrollment: Wellness coaching")</f>
        <v>On-site health clinic service covered by health care plan with highest enrollment: Wellness coaching</v>
      </c>
      <c r="Q12" s="3" t="str">
        <f>HYPERLINK("#'Income Protection'!L1","Q9.1.2_11")</f>
        <v>Q9.1.2_11</v>
      </c>
      <c r="R12" s="4" t="str">
        <f>HYPERLINK("#'Income Protection'!L2","Income protection plans with non-qualified plan distributions included in earnings definition")</f>
        <v>Income protection plans with non-qualified plan distributions included in earnings definition</v>
      </c>
      <c r="S12" s="96" t="str">
        <f>HYPERLINK("#'Retirement, NQDC, Finances'!L1","Q10.1.10_3")</f>
        <v>Q10.1.10_3</v>
      </c>
      <c r="T12" s="93" t="str">
        <f>HYPERLINK("#'Retirement, NQDC, Finances'!L2","401(k): Combined HCE and NHCE participation percentage")</f>
        <v>401(k): Combined HCE and NHCE participation percentage</v>
      </c>
      <c r="U12" s="3" t="str">
        <f>HYPERLINK("#'Time Off'!L1","Q11.1.7_6")</f>
        <v>Q11.1.7_6</v>
      </c>
      <c r="V12" s="93" t="str">
        <f>HYPERLINK("#'Time Off'!L2","Bridge of service impact: Leave of absence - Parental (non-maternity/disability)")</f>
        <v>Bridge of service impact: Leave of absence - Parental (non-maternity/disability)</v>
      </c>
      <c r="W12" s="3" t="str">
        <f>HYPERLINK("#'Vendors'!L1","Q12.2.2")</f>
        <v>Q12.2.2</v>
      </c>
      <c r="X12" s="93" t="str">
        <f>HYPERLINK("#'Vendors'!L2","Consultant vendors employed: Domestic health &amp; welfare consultants")</f>
        <v>Consultant vendors employed: Domestic health &amp; welfare consultants</v>
      </c>
    </row>
    <row r="13" spans="1:132" ht="25.5" x14ac:dyDescent="0.2">
      <c r="A13" s="3" t="str">
        <f>HYPERLINK("#'Company Overview'!M1","Q1.4.3")</f>
        <v>Q1.4.3</v>
      </c>
      <c r="B13" s="93" t="str">
        <f>HYPERLINK("#'Company Overview'!M2","Recognitions or certifications received in 2021: Other")</f>
        <v>Recognitions or certifications received in 2021: Other</v>
      </c>
      <c r="C13" s="96" t="str">
        <f>HYPERLINK("#'Enrollment, Eligib. &amp; Cost'!M1","Q2.1.11_2")</f>
        <v>Q2.1.11_2</v>
      </c>
      <c r="D13" s="93" t="str">
        <f>HYPERLINK("#'Enrollment, Eligib. &amp; Cost'!M2","Default medical plan: Part-time employees")</f>
        <v>Default medical plan: Part-time employees</v>
      </c>
      <c r="E13" s="99" t="str">
        <f>HYPERLINK("#'Admin, Tools, Audits, Data'!M1","Q3.2.2_8")</f>
        <v>Q3.2.2_8</v>
      </c>
      <c r="F13" s="103" t="str">
        <f>HYPERLINK("#'Admin, Tools, Audits, Data'!M2","Most recent year programs or offerings were audited: Dependent coverage")</f>
        <v>Most recent year programs or offerings were audited: Dependent coverage</v>
      </c>
      <c r="G13" s="3" t="str">
        <f>HYPERLINK("#'Communications &amp; Engagement'!M1","Q4.1.3_11")</f>
        <v>Q4.1.3_11</v>
      </c>
      <c r="H13" s="93" t="str">
        <f>HYPERLINK("#'Communications &amp; Engagement'!M2","Status of communication methods: Marquees - display monitors")</f>
        <v>Status of communication methods: Marquees - display monitors</v>
      </c>
      <c r="I13" s="96" t="str">
        <f>HYPERLINK("#'Other Benefits'!M1","Q5.1.3_11")</f>
        <v>Q5.1.3_11</v>
      </c>
      <c r="J13" s="93" t="str">
        <f>HYPERLINK("#'Other Benefits'!M2","Exclusive executive benefits: Health club")</f>
        <v>Exclusive executive benefits: Health club</v>
      </c>
      <c r="K13" s="3" t="str">
        <f>HYPERLINK("#'Healthcare'!M1","Q6.1.2_12_1")</f>
        <v>Q6.1.2_12_1</v>
      </c>
      <c r="L13" s="93" t="str">
        <f>HYPERLINK("#'Healthcare'!M2","Full time active eligible employees medical enrollment: Opt-out")</f>
        <v>Full time active eligible employees medical enrollment: Opt-out</v>
      </c>
      <c r="M13" s="108" t="str">
        <f>HYPERLINK("#'Disease Mgmt &amp; Wellbeing'!M1","Q7.2.8")</f>
        <v>Q7.2.8</v>
      </c>
      <c r="N13" s="103" t="str">
        <f>HYPERLINK("#'Disease Mgmt &amp; Wellbeing'!M2","Other biometric screening services availability")</f>
        <v>Other biometric screening services availability</v>
      </c>
      <c r="O13" s="3" t="str">
        <f>HYPERLINK("#'Trends &amp; Emerging Practices'!M1","Q8.1.5_10")</f>
        <v>Q8.1.5_10</v>
      </c>
      <c r="P13" s="93" t="str">
        <f>HYPERLINK("#'Trends &amp; Emerging Practices'!M2","On-site health clinic service covered by health care plan with highest enrollment: Acupuncture")</f>
        <v>On-site health clinic service covered by health care plan with highest enrollment: Acupuncture</v>
      </c>
      <c r="Q13" s="3" t="str">
        <f>HYPERLINK("#'Income Protection'!M1","Q9.1.2_12")</f>
        <v>Q9.1.2_12</v>
      </c>
      <c r="R13" s="4" t="str">
        <f>HYPERLINK("#'Income Protection'!M2","Income protection plans with patent awards included in earnings definition")</f>
        <v>Income protection plans with patent awards included in earnings definition</v>
      </c>
      <c r="S13" s="96" t="str">
        <f>HYPERLINK("#'Retirement, NQDC, Finances'!M1","Q10.1.10_4")</f>
        <v>Q10.1.10_4</v>
      </c>
      <c r="T13" s="93" t="str">
        <f>HYPERLINK("#'Retirement, NQDC, Finances'!M2","401(k): HCE deferral percentage")</f>
        <v>401(k): HCE deferral percentage</v>
      </c>
      <c r="U13" s="3" t="str">
        <f>HYPERLINK("#'Time Off'!M1","Q11.1.7_7")</f>
        <v>Q11.1.7_7</v>
      </c>
      <c r="V13" s="93" t="str">
        <f>HYPERLINK("#'Time Off'!M2","Bridge of service impact: Leave of absence - Personal")</f>
        <v>Bridge of service impact: Leave of absence - Personal</v>
      </c>
      <c r="W13" s="3" t="str">
        <f>HYPERLINK("#'Vendors'!M1","Q12.2.2_51_TEXT")</f>
        <v>Q12.2.2_51_TEXT</v>
      </c>
      <c r="X13" s="93" t="str">
        <f>HYPERLINK("#'Vendors'!M2","Other consultant vendors employed: Domestic health &amp; welfare consultants")</f>
        <v>Other consultant vendors employed: Domestic health &amp; welfare consultants</v>
      </c>
    </row>
    <row r="14" spans="1:132" ht="25.5" x14ac:dyDescent="0.2">
      <c r="A14" s="5" t="str">
        <f>HYPERLINK("#'Company Overview'!N1","Q1.4.4_1")</f>
        <v>Q1.4.4_1</v>
      </c>
      <c r="B14" s="93" t="str">
        <f>HYPERLINK("#'Company Overview'!N2","Audits: major accomplishments in 2021")</f>
        <v>Audits: major accomplishments in 2021</v>
      </c>
      <c r="C14" s="96" t="str">
        <f>HYPERLINK("#'Enrollment, Eligib. &amp; Cost'!N1","Q2.1.11_3")</f>
        <v>Q2.1.11_3</v>
      </c>
      <c r="D14" s="93" t="str">
        <f>HYPERLINK("#'Enrollment, Eligib. &amp; Cost'!N2","Default medical plan: Interns and students")</f>
        <v>Default medical plan: Interns and students</v>
      </c>
      <c r="E14" s="99" t="str">
        <f>HYPERLINK("#'Admin, Tools, Audits, Data'!N1","Q3.2.2_9")</f>
        <v>Q3.2.2_9</v>
      </c>
      <c r="F14" s="103" t="str">
        <f>HYPERLINK("#'Admin, Tools, Audits, Data'!N2","Most recent year programs or offerings were audited: Eligibility requirements")</f>
        <v>Most recent year programs or offerings were audited: Eligibility requirements</v>
      </c>
      <c r="G14" s="3" t="str">
        <f>HYPERLINK("#'Communications &amp; Engagement'!N1","Q4.1.3_12")</f>
        <v>Q4.1.3_12</v>
      </c>
      <c r="H14" s="93" t="str">
        <f>HYPERLINK("#'Communications &amp; Engagement'!N2","Status of communication methods: Webinars")</f>
        <v>Status of communication methods: Webinars</v>
      </c>
      <c r="I14" s="96" t="str">
        <f>HYPERLINK("#'Other Benefits'!N1","Q5.1.4_1")</f>
        <v>Q5.1.4_1</v>
      </c>
      <c r="J14" s="93" t="str">
        <f>HYPERLINK("#'Other Benefits'!N2","Increased benefit maximum for executives: Life")</f>
        <v>Increased benefit maximum for executives: Life</v>
      </c>
      <c r="K14" s="3" t="str">
        <f>HYPERLINK("#'Healthcare'!N1","Q6.1.3_1_1")</f>
        <v>Q6.1.3_1_1</v>
      </c>
      <c r="L14" s="93" t="str">
        <f>HYPERLINK("#'Healthcare'!N2","Part time active eligible employees medical enrollment: PPO")</f>
        <v>Part time active eligible employees medical enrollment: PPO</v>
      </c>
      <c r="M14" s="108" t="str">
        <f>HYPERLINK("#'Disease Mgmt &amp; Wellbeing'!N1","Q7.2.9_1")</f>
        <v>Q7.2.9_1</v>
      </c>
      <c r="N14" s="103" t="str">
        <f>HYPERLINK("#'Disease Mgmt &amp; Wellbeing'!N2","Company sponsored biometric screening services: Body mass index")</f>
        <v>Company sponsored biometric screening services: Body mass index</v>
      </c>
      <c r="O14" s="3" t="str">
        <f>HYPERLINK("#'Trends &amp; Emerging Practices'!N1","Q8.1.5_11")</f>
        <v>Q8.1.5_11</v>
      </c>
      <c r="P14" s="93" t="str">
        <f>HYPERLINK("#'Trends &amp; Emerging Practices'!N2","On-site health clinic service covered by health care plan with highest enrollment: Chiropractic")</f>
        <v>On-site health clinic service covered by health care plan with highest enrollment: Chiropractic</v>
      </c>
      <c r="Q14" s="3" t="str">
        <f>HYPERLINK("#'Income Protection'!N1","Q9.1.2_13")</f>
        <v>Q9.1.2_13</v>
      </c>
      <c r="R14" s="4" t="str">
        <f>HYPERLINK("#'Income Protection'!N2","Income protection plans with vacation included in earnings definition")</f>
        <v>Income protection plans with vacation included in earnings definition</v>
      </c>
      <c r="S14" s="96" t="str">
        <f>HYPERLINK("#'Retirement, NQDC, Finances'!N1","Q10.1.10_5")</f>
        <v>Q10.1.10_5</v>
      </c>
      <c r="T14" s="93" t="str">
        <f>HYPERLINK("#'Retirement, NQDC, Finances'!N2","401(k): NHCE deferral percentage")</f>
        <v>401(k): NHCE deferral percentage</v>
      </c>
      <c r="U14" s="3" t="str">
        <f>HYPERLINK("#'Time Off'!N1","Q11.1.7_8")</f>
        <v>Q11.1.7_8</v>
      </c>
      <c r="V14" s="93" t="str">
        <f>HYPERLINK("#'Time Off'!N2","Bridge of service impact: Leave of absence - Sabbaticals")</f>
        <v>Bridge of service impact: Leave of absence - Sabbaticals</v>
      </c>
      <c r="W14" s="3" t="str">
        <f>HYPERLINK("#'Vendors'!N1","Q12.2.3")</f>
        <v>Q12.2.3</v>
      </c>
      <c r="X14" s="93" t="str">
        <f>HYPERLINK("#'Vendors'!N2","Consultant vendors employed: U.S. domestic brokers")</f>
        <v>Consultant vendors employed: U.S. domestic brokers</v>
      </c>
    </row>
    <row r="15" spans="1:132" ht="38.25" x14ac:dyDescent="0.2">
      <c r="A15" s="5" t="str">
        <f>HYPERLINK("#'Company Overview'!O1","Q1.4.4_2")</f>
        <v>Q1.4.4_2</v>
      </c>
      <c r="B15" s="93" t="str">
        <f>HYPERLINK("#'Company Overview'!O2","Communications: Major accomplishments in 2021")</f>
        <v>Communications: Major accomplishments in 2021</v>
      </c>
      <c r="C15" s="96" t="str">
        <f>HYPERLINK("#'Enrollment, Eligib. &amp; Cost'!O1","Q2.1.11_4")</f>
        <v>Q2.1.11_4</v>
      </c>
      <c r="D15" s="93" t="str">
        <f>HYPERLINK("#'Enrollment, Eligib. &amp; Cost'!O2","Default medical plan: Contractors")</f>
        <v>Default medical plan: Contractors</v>
      </c>
      <c r="E15" s="99" t="str">
        <f>HYPERLINK("#'Admin, Tools, Audits, Data'!O1","Q3.2.2_10")</f>
        <v>Q3.2.2_10</v>
      </c>
      <c r="F15" s="103" t="str">
        <f>HYPERLINK("#'Admin, Tools, Audits, Data'!O2","Most recent year programs or offerings were audited: Expense/claim recovery (i.e., stop loss, subrogation)")</f>
        <v>Most recent year programs or offerings were audited: Expense/claim recovery (i.e., stop loss, subrogation)</v>
      </c>
      <c r="G15" s="3" t="str">
        <f>HYPERLINK("#'Communications &amp; Engagement'!O1","Q4.1.3_13")</f>
        <v>Q4.1.3_13</v>
      </c>
      <c r="H15" s="93" t="str">
        <f>HYPERLINK("#'Communications &amp; Engagement'!O2","Status of communication methods: Audio only (dial-in) information sessions")</f>
        <v>Status of communication methods: Audio only (dial-in) information sessions</v>
      </c>
      <c r="I15" s="96" t="str">
        <f>HYPERLINK("#'Other Benefits'!O1","Q5.1.4_2")</f>
        <v>Q5.1.4_2</v>
      </c>
      <c r="J15" s="93" t="str">
        <f>HYPERLINK("#'Other Benefits'!O2","Increased benefit maximum for executives: AD&amp;D")</f>
        <v>Increased benefit maximum for executives: AD&amp;D</v>
      </c>
      <c r="K15" s="3" t="str">
        <f>HYPERLINK("#'Healthcare'!O1","Q6.1.3_2_1")</f>
        <v>Q6.1.3_2_1</v>
      </c>
      <c r="L15" s="93" t="str">
        <f>HYPERLINK("#'Healthcare'!O2","Part time active eligible employees medical enrollment: EPO")</f>
        <v>Part time active eligible employees medical enrollment: EPO</v>
      </c>
      <c r="M15" s="108" t="str">
        <f>HYPERLINK("#'Disease Mgmt &amp; Wellbeing'!O1","Q7.2.9_2")</f>
        <v>Q7.2.9_2</v>
      </c>
      <c r="N15" s="103" t="str">
        <f>HYPERLINK("#'Disease Mgmt &amp; Wellbeing'!O2","Company sponsored biometric screening services: Blood pressure")</f>
        <v>Company sponsored biometric screening services: Blood pressure</v>
      </c>
      <c r="O15" s="3" t="str">
        <f>HYPERLINK("#'Trends &amp; Emerging Practices'!O1","Q8.1.5_12")</f>
        <v>Q8.1.5_12</v>
      </c>
      <c r="P15" s="93" t="str">
        <f>HYPERLINK("#'Trends &amp; Emerging Practices'!O2","On-site health clinic service covered by health care plan with highest enrollment: Massage therapy")</f>
        <v>On-site health clinic service covered by health care plan with highest enrollment: Massage therapy</v>
      </c>
      <c r="Q15" s="3" t="str">
        <f>HYPERLINK("#'Income Protection'!O1","Q9.1.2_14")</f>
        <v>Q9.1.2_14</v>
      </c>
      <c r="R15" s="4" t="str">
        <f>HYPERLINK("#'Income Protection'!O2","Income protection plans with other earnings/pay types included in earnings definition")</f>
        <v>Income protection plans with other earnings/pay types included in earnings definition</v>
      </c>
      <c r="S15" s="96" t="str">
        <f>HYPERLINK("#'Retirement, NQDC, Finances'!O1","Q10.1.10_6")</f>
        <v>Q10.1.10_6</v>
      </c>
      <c r="T15" s="93" t="str">
        <f>HYPERLINK("#'Retirement, NQDC, Finances'!O2","401(k): Combined HCE and NHCE deferral percentage")</f>
        <v>401(k): Combined HCE and NHCE deferral percentage</v>
      </c>
      <c r="U15" s="3" t="str">
        <f>HYPERLINK("#'Time Off'!O1","Q11.1.7_9")</f>
        <v>Q11.1.7_9</v>
      </c>
      <c r="V15" s="93" t="str">
        <f>HYPERLINK("#'Time Off'!O2","Bridge of service impact: Service awards")</f>
        <v>Bridge of service impact: Service awards</v>
      </c>
      <c r="W15" s="3" t="str">
        <f>HYPERLINK("#'Vendors'!O1","Q12.2.3_51_TEXT")</f>
        <v>Q12.2.3_51_TEXT</v>
      </c>
      <c r="X15" s="93" t="str">
        <f>HYPERLINK("#'Vendors'!O2","Other consultant vendors employed: U.S. domestic brokers")</f>
        <v>Other consultant vendors employed: U.S. domestic brokers</v>
      </c>
    </row>
    <row r="16" spans="1:132" ht="38.25" x14ac:dyDescent="0.2">
      <c r="A16" s="5" t="str">
        <f>HYPERLINK("#'Company Overview'!P1","Q1.4.4_3")</f>
        <v>Q1.4.4_3</v>
      </c>
      <c r="B16" s="93" t="str">
        <f>HYPERLINK("#'Company Overview'!P2","Compliance: Major accomplishments in 2021")</f>
        <v>Compliance: Major accomplishments in 2021</v>
      </c>
      <c r="C16" s="96" t="str">
        <f>HYPERLINK("#'Enrollment, Eligib. &amp; Cost'!P1","Q2.1.11_5")</f>
        <v>Q2.1.11_5</v>
      </c>
      <c r="D16" s="93" t="str">
        <f>HYPERLINK("#'Enrollment, Eligib. &amp; Cost'!P2","Default medical plan: Agency temporary workers")</f>
        <v>Default medical plan: Agency temporary workers</v>
      </c>
      <c r="E16" s="99" t="str">
        <f>HYPERLINK("#'Admin, Tools, Audits, Data'!P1","Q3.2.3")</f>
        <v>Q3.2.3</v>
      </c>
      <c r="F16" s="103" t="str">
        <f>HYPERLINK("#'Admin, Tools, Audits, Data'!P2","Have audits planned for 2022")</f>
        <v>Have audits planned for 2022</v>
      </c>
      <c r="G16" s="3" t="str">
        <f>HYPERLINK("#'Communications &amp; Engagement'!P1","Q4.1.3_14")</f>
        <v>Q4.1.3_14</v>
      </c>
      <c r="H16" s="93" t="str">
        <f>HYPERLINK("#'Communications &amp; Engagement'!P2","Status of communication methods: Videos - YouTube")</f>
        <v>Status of communication methods: Videos - YouTube</v>
      </c>
      <c r="I16" s="96" t="str">
        <f>HYPERLINK("#'Other Benefits'!P1","Q5.1.4_3")</f>
        <v>Q5.1.4_3</v>
      </c>
      <c r="J16" s="93" t="str">
        <f>HYPERLINK("#'Other Benefits'!P2","Increased benefit maximum for executives: BTA")</f>
        <v>Increased benefit maximum for executives: BTA</v>
      </c>
      <c r="K16" s="3" t="str">
        <f>HYPERLINK("#'Healthcare'!P1","Q6.1.3_3_1")</f>
        <v>Q6.1.3_3_1</v>
      </c>
      <c r="L16" s="93" t="str">
        <f>HYPERLINK("#'Healthcare'!P2","Part time active eligible employees medical enrollment: HMO")</f>
        <v>Part time active eligible employees medical enrollment: HMO</v>
      </c>
      <c r="M16" s="108" t="str">
        <f>HYPERLINK("#'Disease Mgmt &amp; Wellbeing'!P1","Q7.2.9_3")</f>
        <v>Q7.2.9_3</v>
      </c>
      <c r="N16" s="103" t="str">
        <f>HYPERLINK("#'Disease Mgmt &amp; Wellbeing'!P2","Company sponsored biometric screening services: Height, weight, waist circumference")</f>
        <v>Company sponsored biometric screening services: Height, weight, waist circumference</v>
      </c>
      <c r="O16" s="3" t="str">
        <f>HYPERLINK("#'Trends &amp; Emerging Practices'!P1","Q8.1.5_13")</f>
        <v>Q8.1.5_13</v>
      </c>
      <c r="P16" s="93" t="str">
        <f>HYPERLINK("#'Trends &amp; Emerging Practices'!P2","On-site health clinic service covered by health care plan with highest enrollment: Occupational therapy")</f>
        <v>On-site health clinic service covered by health care plan with highest enrollment: Occupational therapy</v>
      </c>
      <c r="Q16" s="3" t="str">
        <f>HYPERLINK("#'Income Protection'!P1","Q9.1.3_1")</f>
        <v>Q9.1.3_1</v>
      </c>
      <c r="R16" s="4" t="str">
        <f>HYPERLINK("#'Income Protection'!P2","Other benefit plans with salary included in earnings definition")</f>
        <v>Other benefit plans with salary included in earnings definition</v>
      </c>
      <c r="S16" s="96" t="str">
        <f>HYPERLINK("#'Retirement, NQDC, Finances'!P1","Q10.1.11")</f>
        <v>Q10.1.11</v>
      </c>
      <c r="T16" s="93" t="str">
        <f>HYPERLINK("#'Retirement, NQDC, Finances'!P2","401(k): Allowance of Roth after-tax deferrals")</f>
        <v>401(k): Allowance of Roth after-tax deferrals</v>
      </c>
      <c r="U16" s="3" t="str">
        <f>HYPERLINK("#'Time Off'!P1","Q11.1.7_10")</f>
        <v>Q11.1.7_10</v>
      </c>
      <c r="V16" s="93" t="str">
        <f>HYPERLINK("#'Time Off'!P2","Bridge of service impact: Severance pay")</f>
        <v>Bridge of service impact: Severance pay</v>
      </c>
      <c r="W16" s="3" t="str">
        <f>HYPERLINK("#'Vendors'!P1","Q12.2.4")</f>
        <v>Q12.2.4</v>
      </c>
      <c r="X16" s="93" t="str">
        <f>HYPERLINK("#'Vendors'!P2","Consultant vendors employed: International consultants/brokers")</f>
        <v>Consultant vendors employed: International consultants/brokers</v>
      </c>
    </row>
    <row r="17" spans="1:24" ht="38.25" x14ac:dyDescent="0.2">
      <c r="A17" s="5" t="str">
        <f>HYPERLINK("#'Company Overview'!Q1","Q1.4.4_4")</f>
        <v>Q1.4.4_4</v>
      </c>
      <c r="B17" s="93" t="str">
        <f>HYPERLINK("#'Company Overview'!Q2","Cost: Major accomplishments in 2021")</f>
        <v>Cost: Major accomplishments in 2021</v>
      </c>
      <c r="C17" s="96" t="str">
        <f>HYPERLINK("#'Enrollment, Eligib. &amp; Cost'!Q1","Q2.1.11_6")</f>
        <v>Q2.1.11_6</v>
      </c>
      <c r="D17" s="93" t="str">
        <f>HYPERLINK("#'Enrollment, Eligib. &amp; Cost'!Q2","Default medical plan: Seasonal workers")</f>
        <v>Default medical plan: Seasonal workers</v>
      </c>
      <c r="E17" s="99" t="str">
        <f>HYPERLINK("#'Admin, Tools, Audits, Data'!Q1","Q3.2.4")</f>
        <v>Q3.2.4</v>
      </c>
      <c r="F17" s="103" t="str">
        <f>HYPERLINK("#'Admin, Tools, Audits, Data'!Q2","Type of audits planned for 2022")</f>
        <v>Type of audits planned for 2022</v>
      </c>
      <c r="G17" s="3" t="str">
        <f>HYPERLINK("#'Communications &amp; Engagement'!Q1","Q4.1.3_15")</f>
        <v>Q4.1.3_15</v>
      </c>
      <c r="H17" s="93" t="str">
        <f>HYPERLINK("#'Communications &amp; Engagement'!Q2","Status of communication methods: In-person meetings")</f>
        <v>Status of communication methods: In-person meetings</v>
      </c>
      <c r="I17" s="96" t="str">
        <f>HYPERLINK("#'Other Benefits'!Q1","Q5.1.4_4")</f>
        <v>Q5.1.4_4</v>
      </c>
      <c r="J17" s="93" t="str">
        <f>HYPERLINK("#'Other Benefits'!Q2","Increased benefit maximum for executives: LTD")</f>
        <v>Increased benefit maximum for executives: LTD</v>
      </c>
      <c r="K17" s="3" t="str">
        <f>HYPERLINK("#'Healthcare'!Q1","Q6.1.3_4_1")</f>
        <v>Q6.1.3_4_1</v>
      </c>
      <c r="L17" s="93" t="str">
        <f>HYPERLINK("#'Healthcare'!Q2","Part time active eligible employees medical enrollment: HDHP with HSA")</f>
        <v>Part time active eligible employees medical enrollment: HDHP with HSA</v>
      </c>
      <c r="M17" s="108" t="str">
        <f>HYPERLINK("#'Disease Mgmt &amp; Wellbeing'!Q1","Q7.2.9_4")</f>
        <v>Q7.2.9_4</v>
      </c>
      <c r="N17" s="103" t="str">
        <f>HYPERLINK("#'Disease Mgmt &amp; Wellbeing'!Q2","Company sponsored biometric screening services: Cholesterol testing")</f>
        <v>Company sponsored biometric screening services: Cholesterol testing</v>
      </c>
      <c r="O17" s="3" t="str">
        <f>HYPERLINK("#'Trends &amp; Emerging Practices'!Q1","Q8.1.5_14")</f>
        <v>Q8.1.5_14</v>
      </c>
      <c r="P17" s="93" t="str">
        <f>HYPERLINK("#'Trends &amp; Emerging Practices'!Q2","On-site health clinic service covered by health care plan with highest enrollment: Physical therapy")</f>
        <v>On-site health clinic service covered by health care plan with highest enrollment: Physical therapy</v>
      </c>
      <c r="Q17" s="3" t="str">
        <f>HYPERLINK("#'Income Protection'!Q1","Q9.1.3_2")</f>
        <v>Q9.1.3_2</v>
      </c>
      <c r="R17" s="4" t="str">
        <f>HYPERLINK("#'Income Protection'!Q2","Other benefit plans with overtime included in earnings definition")</f>
        <v>Other benefit plans with overtime included in earnings definition</v>
      </c>
      <c r="S17" s="96" t="str">
        <f>HYPERLINK("#'Retirement, NQDC, Finances'!Q1","Q10.1.12")</f>
        <v>Q10.1.12</v>
      </c>
      <c r="T17" s="93" t="str">
        <f>HYPERLINK("#'Retirement, NQDC, Finances'!Q2","401(k): Roth after-tax deferrals/participation percentage")</f>
        <v>401(k): Roth after-tax deferrals/participation percentage</v>
      </c>
      <c r="U17" s="3" t="str">
        <f>HYPERLINK("#'Time Off'!Q1","Q11.1.7_11")</f>
        <v>Q11.1.7_11</v>
      </c>
      <c r="V17" s="93" t="str">
        <f>HYPERLINK("#'Time Off'!Q2","Bridge of service impact: Tuition/education reimbursement repayment")</f>
        <v>Bridge of service impact: Tuition/education reimbursement repayment</v>
      </c>
      <c r="W17" s="3" t="str">
        <f>HYPERLINK("#'Vendors'!Q1","Q12.2.4_51_TEXT")</f>
        <v>Q12.2.4_51_TEXT</v>
      </c>
      <c r="X17" s="93" t="str">
        <f>HYPERLINK("#'Vendors'!Q2","Other consultant vendors employed: International consultants/brokers")</f>
        <v>Other consultant vendors employed: International consultants/brokers</v>
      </c>
    </row>
    <row r="18" spans="1:24" ht="38.25" x14ac:dyDescent="0.2">
      <c r="A18" s="5" t="str">
        <f>HYPERLINK("#'Company Overview'!R1","Q1.4.4_5")</f>
        <v>Q1.4.4_5</v>
      </c>
      <c r="B18" s="93" t="str">
        <f>HYPERLINK("#'Company Overview'!R2","Disability: Major accomplishments in 2021")</f>
        <v>Disability: Major accomplishments in 2021</v>
      </c>
      <c r="C18" s="96" t="str">
        <f>HYPERLINK("#'Enrollment, Eligib. &amp; Cost'!R1","Q2.1.12")</f>
        <v>Q2.1.12</v>
      </c>
      <c r="D18" s="93" t="str">
        <f>HYPERLINK("#'Enrollment, Eligib. &amp; Cost'!R2","Medical plan enrollment tiers")</f>
        <v>Medical plan enrollment tiers</v>
      </c>
      <c r="E18" s="99" t="str">
        <f>HYPERLINK("#'Admin, Tools, Audits, Data'!R1","Q3.2.5")</f>
        <v>Q3.2.5</v>
      </c>
      <c r="F18" s="103" t="str">
        <f>HYPERLINK("#'Admin, Tools, Audits, Data'!R2","Other type of audits planned for 2022")</f>
        <v>Other type of audits planned for 2022</v>
      </c>
      <c r="G18" s="3" t="str">
        <f>HYPERLINK("#'Communications &amp; Engagement'!R1","Q4.1.3_16")</f>
        <v>Q4.1.3_16</v>
      </c>
      <c r="H18" s="93" t="str">
        <f>HYPERLINK("#'Communications &amp; Engagement'!R2","Status of communication methods: Campus health fairs or special events")</f>
        <v>Status of communication methods: Campus health fairs or special events</v>
      </c>
      <c r="I18" s="96" t="str">
        <f>HYPERLINK("#'Other Benefits'!R1","Q5.1.5")</f>
        <v>Q5.1.5</v>
      </c>
      <c r="J18" s="93" t="str">
        <f>HYPERLINK("#'Other Benefits'!R2","Cash allowance given in lieu of executive perks")</f>
        <v>Cash allowance given in lieu of executive perks</v>
      </c>
      <c r="K18" s="3" t="str">
        <f>HYPERLINK("#'Healthcare'!R1","Q6.1.3_5_1")</f>
        <v>Q6.1.3_5_1</v>
      </c>
      <c r="L18" s="93" t="str">
        <f>HYPERLINK("#'Healthcare'!R2","Part time active eligible employees medical enrollment: HDHP with HRA")</f>
        <v>Part time active eligible employees medical enrollment: HDHP with HRA</v>
      </c>
      <c r="M18" s="108" t="str">
        <f>HYPERLINK("#'Disease Mgmt &amp; Wellbeing'!R1","Q7.2.9_5")</f>
        <v>Q7.2.9_5</v>
      </c>
      <c r="N18" s="103" t="str">
        <f>HYPERLINK("#'Disease Mgmt &amp; Wellbeing'!R2","Company sponsored biometric screening services: Glucose testing")</f>
        <v>Company sponsored biometric screening services: Glucose testing</v>
      </c>
      <c r="O18" s="3" t="str">
        <f>HYPERLINK("#'Trends &amp; Emerging Practices'!R1","Q8.1.5_15")</f>
        <v>Q8.1.5_15</v>
      </c>
      <c r="P18" s="93" t="str">
        <f>HYPERLINK("#'Trends &amp; Emerging Practices'!R2","On-site health clinic service covered by health care plan with highest enrollment: Speech therapy")</f>
        <v>On-site health clinic service covered by health care plan with highest enrollment: Speech therapy</v>
      </c>
      <c r="Q18" s="3" t="str">
        <f>HYPERLINK("#'Income Protection'!R1","Q9.1.3_3")</f>
        <v>Q9.1.3_3</v>
      </c>
      <c r="R18" s="4" t="str">
        <f>HYPERLINK("#'Income Protection'!R2","Other benefit plans with performance bonus included in earnings definition")</f>
        <v>Other benefit plans with performance bonus included in earnings definition</v>
      </c>
      <c r="S18" s="96" t="str">
        <f>HYPERLINK("#'Retirement, NQDC, Finances'!R1","Q10.1.13_1")</f>
        <v>Q10.1.13_1</v>
      </c>
      <c r="T18" s="93" t="str">
        <f>HYPERLINK("#'Retirement, NQDC, Finances'!R2","401(k): Roth after-tax deferrals/maximum percentage/HCE")</f>
        <v>401(k): Roth after-tax deferrals/maximum percentage/HCE</v>
      </c>
      <c r="U18" s="3" t="str">
        <f>HYPERLINK("#'Time Off'!R1","Q11.1.7_12")</f>
        <v>Q11.1.7_12</v>
      </c>
      <c r="V18" s="93" t="str">
        <f>HYPERLINK("#'Time Off'!R2","Bridge of service impact: Vesting - 401(k) company contribution/match")</f>
        <v>Bridge of service impact: Vesting - 401(k) company contribution/match</v>
      </c>
      <c r="W18" s="3" t="str">
        <f>HYPERLINK("#'Vendors'!R1","Q12.2.5")</f>
        <v>Q12.2.5</v>
      </c>
      <c r="X18" s="93" t="str">
        <f>HYPERLINK("#'Vendors'!R2","Consultant vendors employed: 401(k) investment consultants")</f>
        <v>Consultant vendors employed: 401(k) investment consultants</v>
      </c>
    </row>
    <row r="19" spans="1:24" ht="38.25" x14ac:dyDescent="0.2">
      <c r="A19" s="5" t="str">
        <f>HYPERLINK("#'Company Overview'!S1","Q1.4.4_6")</f>
        <v>Q1.4.4_6</v>
      </c>
      <c r="B19" s="93" t="str">
        <f>HYPERLINK("#'Company Overview'!S2","Employee experience: Major accomplishments in 2021")</f>
        <v>Employee experience: Major accomplishments in 2021</v>
      </c>
      <c r="C19" s="96" t="str">
        <f>HYPERLINK("#'Enrollment, Eligib. &amp; Cost'!S1","Q2.1.13_1_1")</f>
        <v>Q2.1.13_1_1</v>
      </c>
      <c r="D19" s="93" t="str">
        <f>HYPERLINK("#'Enrollment, Eligib. &amp; Cost'!S2","Percentage of total medical plan enrollment: Waive or opt out")</f>
        <v>Percentage of total medical plan enrollment: Waive or opt out</v>
      </c>
      <c r="E19" s="99" t="str">
        <f>HYPERLINK("#'Admin, Tools, Audits, Data'!S1","Q3.2.6")</f>
        <v>Q3.2.6</v>
      </c>
      <c r="F19" s="103" t="str">
        <f>HYPERLINK("#'Admin, Tools, Audits, Data'!S2","Medical or prescription drug administrative services only (ASO) contract includes funding to conduct audits")</f>
        <v>Medical or prescription drug administrative services only (ASO) contract includes funding to conduct audits</v>
      </c>
      <c r="G19" s="3" t="str">
        <f>HYPERLINK("#'Communications &amp; Engagement'!S1","Q4.1.3_17")</f>
        <v>Q4.1.3_17</v>
      </c>
      <c r="H19" s="93" t="str">
        <f>HYPERLINK("#'Communications &amp; Engagement'!S2","Status of communication methods: Push Text Messages")</f>
        <v>Status of communication methods: Push Text Messages</v>
      </c>
      <c r="I19" s="96" t="str">
        <f>HYPERLINK("#'Other Benefits'!S1","Q5.2.2")</f>
        <v>Q5.2.2</v>
      </c>
      <c r="J19" s="93" t="str">
        <f>HYPERLINK("#'Other Benefits'!S2","Family support benefits or services offered")</f>
        <v>Family support benefits or services offered</v>
      </c>
      <c r="K19" s="3" t="str">
        <f>HYPERLINK("#'Healthcare'!S1","Q6.1.3_6_1")</f>
        <v>Q6.1.3_6_1</v>
      </c>
      <c r="L19" s="93" t="str">
        <f>HYPERLINK("#'Healthcare'!S2","Part time active eligible employees medical enrollment: PPO with HRA")</f>
        <v>Part time active eligible employees medical enrollment: PPO with HRA</v>
      </c>
      <c r="M19" s="108" t="str">
        <f>HYPERLINK("#'Disease Mgmt &amp; Wellbeing'!S1","Q7.2.9_6")</f>
        <v>Q7.2.9_6</v>
      </c>
      <c r="N19" s="103" t="str">
        <f>HYPERLINK("#'Disease Mgmt &amp; Wellbeing'!S2","Company sponsored biometric screening services: Body fat percentage")</f>
        <v>Company sponsored biometric screening services: Body fat percentage</v>
      </c>
      <c r="O19" s="3" t="str">
        <f>HYPERLINK("#'Trends &amp; Emerging Practices'!S1","Q8.1.5_16")</f>
        <v>Q8.1.5_16</v>
      </c>
      <c r="P19" s="93" t="str">
        <f>HYPERLINK("#'Trends &amp; Emerging Practices'!S2","On-site health clinic service covered by health care plan with highest enrollment: Homeopathic remedies")</f>
        <v>On-site health clinic service covered by health care plan with highest enrollment: Homeopathic remedies</v>
      </c>
      <c r="Q19" s="3" t="str">
        <f>HYPERLINK("#'Income Protection'!S1","Q9.1.3_4")</f>
        <v>Q9.1.3_4</v>
      </c>
      <c r="R19" s="4" t="str">
        <f>HYPERLINK("#'Income Protection'!S2","Other benefit plans with discretionary bonus included in earnings definition")</f>
        <v>Other benefit plans with discretionary bonus included in earnings definition</v>
      </c>
      <c r="S19" s="96" t="str">
        <f>HYPERLINK("#'Retirement, NQDC, Finances'!S1","Q10.1.13_2")</f>
        <v>Q10.1.13_2</v>
      </c>
      <c r="T19" s="93" t="str">
        <f>HYPERLINK("#'Retirement, NQDC, Finances'!S2","401(k): Roth after-tax deferrals/maximum percentage/non-HCE")</f>
        <v>401(k): Roth after-tax deferrals/maximum percentage/non-HCE</v>
      </c>
      <c r="U19" s="3" t="str">
        <f>HYPERLINK("#'Time Off'!S1","Q11.1.7_13")</f>
        <v>Q11.1.7_13</v>
      </c>
      <c r="V19" s="93" t="str">
        <f>HYPERLINK("#'Time Off'!S2","Bridge of service impact: Vesting - Company stock")</f>
        <v>Bridge of service impact: Vesting - Company stock</v>
      </c>
      <c r="W19" s="3" t="str">
        <f>HYPERLINK("#'Vendors'!S1","Q12.2.5_51_TEXT")</f>
        <v>Q12.2.5_51_TEXT</v>
      </c>
      <c r="X19" s="93" t="str">
        <f>HYPERLINK("#'Vendors'!S2","Other consultant vendors employed: 401(k) investment consultants")</f>
        <v>Other consultant vendors employed: 401(k) investment consultants</v>
      </c>
    </row>
    <row r="20" spans="1:24" ht="25.5" x14ac:dyDescent="0.2">
      <c r="A20" s="5" t="str">
        <f>HYPERLINK("#'Company Overview'!T1","Q1.4.4_7")</f>
        <v>Q1.4.4_7</v>
      </c>
      <c r="B20" s="93" t="str">
        <f>HYPERLINK("#'Company Overview'!T2","Health and welfare plans: Major accomplishments in 2021")</f>
        <v>Health and welfare plans: Major accomplishments in 2021</v>
      </c>
      <c r="C20" s="96" t="str">
        <f>HYPERLINK("#'Enrollment, Eligib. &amp; Cost'!T1","Q2.1.13_2_1")</f>
        <v>Q2.1.13_2_1</v>
      </c>
      <c r="D20" s="93" t="str">
        <f>HYPERLINK("#'Enrollment, Eligib. &amp; Cost'!T2","Percentage of total medical plan enrollment: Employee only")</f>
        <v>Percentage of total medical plan enrollment: Employee only</v>
      </c>
      <c r="E20" s="99" t="str">
        <f>HYPERLINK("#'Admin, Tools, Audits, Data'!T1","Q3.2.7")</f>
        <v>Q3.2.7</v>
      </c>
      <c r="F20" s="103" t="str">
        <f>HYPERLINK("#'Admin, Tools, Audits, Data'!T2","Have and maintain a data warehouse")</f>
        <v>Have and maintain a data warehouse</v>
      </c>
      <c r="G20" s="3" t="str">
        <f>HYPERLINK("#'Communications &amp; Engagement'!T1","Q4.1.3_18")</f>
        <v>Q4.1.3_18</v>
      </c>
      <c r="H20" s="93" t="str">
        <f>HYPERLINK("#'Communications &amp; Engagement'!T2","Status of communication methods: Facebook (or equivalent)")</f>
        <v>Status of communication methods: Facebook (or equivalent)</v>
      </c>
      <c r="I20" s="96" t="str">
        <f>HYPERLINK("#'Other Benefits'!T1","Q5.2.4")</f>
        <v>Q5.2.4</v>
      </c>
      <c r="J20" s="93" t="str">
        <f>HYPERLINK("#'Other Benefits'!T2","Type of adoption assistance provided to employees")</f>
        <v>Type of adoption assistance provided to employees</v>
      </c>
      <c r="K20" s="3" t="str">
        <f>HYPERLINK("#'Healthcare'!T1","Q6.1.3_7_1")</f>
        <v>Q6.1.3_7_1</v>
      </c>
      <c r="L20" s="93" t="str">
        <f>HYPERLINK("#'Healthcare'!T2","Part time active eligible employees medical enrollment: EPO with HRA")</f>
        <v>Part time active eligible employees medical enrollment: EPO with HRA</v>
      </c>
      <c r="M20" s="108" t="str">
        <f>HYPERLINK("#'Disease Mgmt &amp; Wellbeing'!T1","Q7.2.9_7")</f>
        <v>Q7.2.9_7</v>
      </c>
      <c r="N20" s="103" t="str">
        <f>HYPERLINK("#'Disease Mgmt &amp; Wellbeing'!T2","Company sponsored biometric screening services: Skin cancer screening")</f>
        <v>Company sponsored biometric screening services: Skin cancer screening</v>
      </c>
      <c r="O20" s="3" t="str">
        <f>HYPERLINK("#'Trends &amp; Emerging Practices'!T1","Q8.1.5_17")</f>
        <v>Q8.1.5_17</v>
      </c>
      <c r="P20" s="93" t="str">
        <f>HYPERLINK("#'Trends &amp; Emerging Practices'!T2","On-site health clinic service covered by health care plan with highest enrollment: Dentistry")</f>
        <v>On-site health clinic service covered by health care plan with highest enrollment: Dentistry</v>
      </c>
      <c r="Q20" s="3" t="str">
        <f>HYPERLINK("#'Income Protection'!T1","Q9.1.3_5")</f>
        <v>Q9.1.3_5</v>
      </c>
      <c r="R20" s="4" t="str">
        <f>HYPERLINK("#'Income Protection'!T2","Other benefit plans with projected sales commission included in earnings definition")</f>
        <v>Other benefit plans with projected sales commission included in earnings definition</v>
      </c>
      <c r="S20" s="96" t="str">
        <f>HYPERLINK("#'Retirement, NQDC, Finances'!T1","Q10.1.14")</f>
        <v>Q10.1.14</v>
      </c>
      <c r="T20" s="93" t="str">
        <f>HYPERLINK("#'Retirement, NQDC, Finances'!T2","401(k): Allowance of non-Roth after-tax deferrals")</f>
        <v>401(k): Allowance of non-Roth after-tax deferrals</v>
      </c>
      <c r="U20" s="3" t="str">
        <f>HYPERLINK("#'Time Off'!T1","Q11.1.7_14")</f>
        <v>Q11.1.7_14</v>
      </c>
      <c r="V20" s="93" t="str">
        <f>HYPERLINK("#'Time Off'!T2","Bridge of service impact: Vesting - Retiree benefits")</f>
        <v>Bridge of service impact: Vesting - Retiree benefits</v>
      </c>
      <c r="W20" s="3" t="str">
        <f>HYPERLINK("#'Vendors'!T1","Q12.2.6")</f>
        <v>Q12.2.6</v>
      </c>
      <c r="X20" s="93" t="str">
        <f>HYPERLINK("#'Vendors'!T2","Consultant vendors employed: 401(k) design consultants")</f>
        <v>Consultant vendors employed: 401(k) design consultants</v>
      </c>
    </row>
    <row r="21" spans="1:24" ht="25.5" x14ac:dyDescent="0.2">
      <c r="A21" s="5" t="str">
        <f>HYPERLINK("#'Company Overview'!U1","Q1.4.4_9")</f>
        <v>Q1.4.4_9</v>
      </c>
      <c r="B21" s="93" t="str">
        <f>HYPERLINK("#'Company Overview'!U2","Leave of absence: Major accomplishments in 2021")</f>
        <v>Leave of absence: Major accomplishments in 2021</v>
      </c>
      <c r="C21" s="96" t="str">
        <f>HYPERLINK("#'Enrollment, Eligib. &amp; Cost'!U1","Q2.1.13_3_1")</f>
        <v>Q2.1.13_3_1</v>
      </c>
      <c r="D21" s="93" t="str">
        <f>HYPERLINK("#'Enrollment, Eligib. &amp; Cost'!U2","Percentage of total medical plan enrollment: Employee + spouse/DP")</f>
        <v>Percentage of total medical plan enrollment: Employee + spouse/DP</v>
      </c>
      <c r="E21" s="99" t="str">
        <f>HYPERLINK("#'Admin, Tools, Audits, Data'!U1","Q3.2.8")</f>
        <v>Q3.2.8</v>
      </c>
      <c r="F21" s="103" t="str">
        <f>HYPERLINK("#'Admin, Tools, Audits, Data'!U2","Type of data stored in the data warehouse")</f>
        <v>Type of data stored in the data warehouse</v>
      </c>
      <c r="G21" s="3" t="str">
        <f>HYPERLINK("#'Communications &amp; Engagement'!U1","Q4.1.3_19")</f>
        <v>Q4.1.3_19</v>
      </c>
      <c r="H21" s="93" t="str">
        <f>HYPERLINK("#'Communications &amp; Engagement'!U2","Status of communication methods: Twitter (or equivalent)")</f>
        <v>Status of communication methods: Twitter (or equivalent)</v>
      </c>
      <c r="I21" s="96" t="str">
        <f>HYPERLINK("#'Other Benefits'!U1","Q5.2.5")</f>
        <v>Q5.2.5</v>
      </c>
      <c r="J21" s="93" t="str">
        <f>HYPERLINK("#'Other Benefits'!U2","Existence of maximum dollar amount of financial assistance provided per child")</f>
        <v>Existence of maximum dollar amount of financial assistance provided per child</v>
      </c>
      <c r="K21" s="3" t="str">
        <f>HYPERLINK("#'Healthcare'!U1","Q6.1.3_8_1")</f>
        <v>Q6.1.3_8_1</v>
      </c>
      <c r="L21" s="93" t="str">
        <f>HYPERLINK("#'Healthcare'!U2","Part time active eligible employees medical enrollment: POS with HRA")</f>
        <v>Part time active eligible employees medical enrollment: POS with HRA</v>
      </c>
      <c r="M21" s="108" t="str">
        <f>HYPERLINK("#'Disease Mgmt &amp; Wellbeing'!U1","Q7.2.9_8")</f>
        <v>Q7.2.9_8</v>
      </c>
      <c r="N21" s="103" t="str">
        <f>HYPERLINK("#'Disease Mgmt &amp; Wellbeing'!U2","Company sponsored biometric screening services: Bone mass")</f>
        <v>Company sponsored biometric screening services: Bone mass</v>
      </c>
      <c r="O21" s="3" t="str">
        <f>HYPERLINK("#'Trends &amp; Emerging Practices'!U1","Q8.1.5_18")</f>
        <v>Q8.1.5_18</v>
      </c>
      <c r="P21" s="93" t="str">
        <f>HYPERLINK("#'Trends &amp; Emerging Practices'!U2","On-site health clinic service covered by health care plan with highest enrollment: Eye care")</f>
        <v>On-site health clinic service covered by health care plan with highest enrollment: Eye care</v>
      </c>
      <c r="Q21" s="3" t="str">
        <f>HYPERLINK("#'Income Protection'!U1","Q9.1.3_6")</f>
        <v>Q9.1.3_6</v>
      </c>
      <c r="R21" s="4" t="str">
        <f>HYPERLINK("#'Income Protection'!U2","Other benefit plans with actual sales commission included in earnings definition")</f>
        <v>Other benefit plans with actual sales commission included in earnings definition</v>
      </c>
      <c r="S21" s="96" t="str">
        <f>HYPERLINK("#'Retirement, NQDC, Finances'!U1","Q10.1.15")</f>
        <v>Q10.1.15</v>
      </c>
      <c r="T21" s="93" t="str">
        <f>HYPERLINK("#'Retirement, NQDC, Finances'!U2","401(k): Have a Non-Roth after-tax maximum amount")</f>
        <v>401(k): Have a Non-Roth after-tax maximum amount</v>
      </c>
      <c r="U21" s="3" t="str">
        <f>HYPERLINK("#'Time Off'!U1","Q11.1.8")</f>
        <v>Q11.1.8</v>
      </c>
      <c r="V21" s="93" t="str">
        <f>HYPERLINK("#'Time Off'!U2","Service continuity policy in place")</f>
        <v>Service continuity policy in place</v>
      </c>
      <c r="W21" s="3" t="str">
        <f>HYPERLINK("#'Vendors'!U1","Q12.2.6_51_TEXT")</f>
        <v>Q12.2.6_51_TEXT</v>
      </c>
      <c r="X21" s="93" t="str">
        <f>HYPERLINK("#'Vendors'!U2","Other consultant vendors employed: 401(k) design consultants")</f>
        <v>Other consultant vendors employed: 401(k) design consultants</v>
      </c>
    </row>
    <row r="22" spans="1:24" ht="38.25" x14ac:dyDescent="0.2">
      <c r="A22" s="5" t="str">
        <f>HYPERLINK("#'Company Overview'!V1","Q1.4.4_10")</f>
        <v>Q1.4.4_10</v>
      </c>
      <c r="B22" s="93" t="str">
        <f>HYPERLINK("#'Company Overview'!V2","Life insurance and AD&amp;D: Major accomplishments in 2021")</f>
        <v>Life insurance and AD&amp;D: Major accomplishments in 2021</v>
      </c>
      <c r="C22" s="96" t="str">
        <f>HYPERLINK("#'Enrollment, Eligib. &amp; Cost'!V1","Q2.1.13_4_1")</f>
        <v>Q2.1.13_4_1</v>
      </c>
      <c r="D22" s="93" t="str">
        <f>HYPERLINK("#'Enrollment, Eligib. &amp; Cost'!V2","Percentage of total medical plan enrollment: Employee + spouse/DP or child(ren)")</f>
        <v>Percentage of total medical plan enrollment: Employee + spouse/DP or child(ren)</v>
      </c>
      <c r="E22" s="99" t="str">
        <f>HYPERLINK("#'Admin, Tools, Audits, Data'!V1","Q3.2.9")</f>
        <v>Q3.2.9</v>
      </c>
      <c r="F22" s="103" t="str">
        <f>HYPERLINK("#'Admin, Tools, Audits, Data'!V2","Other type of data stored in the data warehouse")</f>
        <v>Other type of data stored in the data warehouse</v>
      </c>
      <c r="G22" s="3" t="str">
        <f>HYPERLINK("#'Communications &amp; Engagement'!V1","Q4.1.3_20")</f>
        <v>Q4.1.3_20</v>
      </c>
      <c r="H22" s="93" t="str">
        <f>HYPERLINK("#'Communications &amp; Engagement'!V2","Status of communication methods: Blogs")</f>
        <v>Status of communication methods: Blogs</v>
      </c>
      <c r="I22" s="96" t="str">
        <f>HYPERLINK("#'Other Benefits'!V1","Q5.2.6")</f>
        <v>Q5.2.6</v>
      </c>
      <c r="J22" s="93" t="str">
        <f>HYPERLINK("#'Other Benefits'!V2","Maximum dollar amount of financial assistance provided per child")</f>
        <v>Maximum dollar amount of financial assistance provided per child</v>
      </c>
      <c r="K22" s="3" t="str">
        <f>HYPERLINK("#'Healthcare'!V1","Q6.1.3_9_1")</f>
        <v>Q6.1.3_9_1</v>
      </c>
      <c r="L22" s="93" t="str">
        <f>HYPERLINK("#'Healthcare'!V2","Part time active eligible employees medical enrollment: POS")</f>
        <v>Part time active eligible employees medical enrollment: POS</v>
      </c>
      <c r="M22" s="108" t="str">
        <f>HYPERLINK("#'Disease Mgmt &amp; Wellbeing'!V1","Q7.2.9_9")</f>
        <v>Q7.2.9_9</v>
      </c>
      <c r="N22" s="103" t="str">
        <f>HYPERLINK("#'Disease Mgmt &amp; Wellbeing'!V2","Company sponsored biometric screening services: Fasting option available")</f>
        <v>Company sponsored biometric screening services: Fasting option available</v>
      </c>
      <c r="O22" s="3" t="str">
        <f>HYPERLINK("#'Trends &amp; Emerging Practices'!V1","Q8.1.5_19")</f>
        <v>Q8.1.5_19</v>
      </c>
      <c r="P22" s="93" t="str">
        <f>HYPERLINK("#'Trends &amp; Emerging Practices'!V2","On-site health clinic service covered by health care plan with highest enrollment: Health and wellness education offerings")</f>
        <v>On-site health clinic service covered by health care plan with highest enrollment: Health and wellness education offerings</v>
      </c>
      <c r="Q22" s="3" t="str">
        <f>HYPERLINK("#'Income Protection'!V1","Q9.1.3_7")</f>
        <v>Q9.1.3_7</v>
      </c>
      <c r="R22" s="4" t="str">
        <f>HYPERLINK("#'Income Protection'!V2","Other benefit plans with shift differential included in earnings definition")</f>
        <v>Other benefit plans with shift differential included in earnings definition</v>
      </c>
      <c r="S22" s="96" t="str">
        <f>HYPERLINK("#'Retirement, NQDC, Finances'!V1","Q10.1.16")</f>
        <v>Q10.1.16</v>
      </c>
      <c r="T22" s="93" t="str">
        <f>HYPERLINK("#'Retirement, NQDC, Finances'!V2","401(k): Non-Roth after-tax maximum contribution")</f>
        <v>401(k): Non-Roth after-tax maximum contribution</v>
      </c>
      <c r="U22" s="3" t="str">
        <f>HYPERLINK("#'Time Off'!V1","Q11.1.9")</f>
        <v>Q11.1.9</v>
      </c>
      <c r="V22" s="93" t="str">
        <f>HYPERLINK("#'Time Off'!V2","Maximum break in service allowing individual to maintain original service date")</f>
        <v>Maximum break in service allowing individual to maintain original service date</v>
      </c>
      <c r="W22" s="3" t="str">
        <f>HYPERLINK("#'Vendors'!V1","Q12.2.7")</f>
        <v>Q12.2.7</v>
      </c>
      <c r="X22" s="93" t="str">
        <f>HYPERLINK("#'Vendors'!V2","Consultant vendors employed: Non-qualified deferred compensation investment")</f>
        <v>Consultant vendors employed: Non-qualified deferred compensation investment</v>
      </c>
    </row>
    <row r="23" spans="1:24" ht="38.25" x14ac:dyDescent="0.2">
      <c r="A23" s="5" t="str">
        <f>HYPERLINK("#'Company Overview'!W1","Q1.4.4_11")</f>
        <v>Q1.4.4_11</v>
      </c>
      <c r="B23" s="93" t="str">
        <f>HYPERLINK("#'Company Overview'!W2","Mental health: Major accomplishments in 2021")</f>
        <v>Mental health: Major accomplishments in 2021</v>
      </c>
      <c r="C23" s="96" t="str">
        <f>HYPERLINK("#'Enrollment, Eligib. &amp; Cost'!W1","Q2.1.13_5_1")</f>
        <v>Q2.1.13_5_1</v>
      </c>
      <c r="D23" s="93" t="str">
        <f>HYPERLINK("#'Enrollment, Eligib. &amp; Cost'!W2","Percentage of total medical plan enrollment: Employee + any child(ren)")</f>
        <v>Percentage of total medical plan enrollment: Employee + any child(ren)</v>
      </c>
      <c r="E23" s="99" t="str">
        <f>HYPERLINK("#'Admin, Tools, Audits, Data'!W1","Q3.2.10")</f>
        <v>Q3.2.10</v>
      </c>
      <c r="F23" s="103" t="str">
        <f>HYPERLINK("#'Admin, Tools, Audits, Data'!W2","Frequency of use for the data in the data warehouse")</f>
        <v>Frequency of use for the data in the data warehouse</v>
      </c>
      <c r="G23" s="3" t="str">
        <f>HYPERLINK("#'Communications &amp; Engagement'!W1","Q4.1.3_21")</f>
        <v>Q4.1.3_21</v>
      </c>
      <c r="H23" s="93" t="str">
        <f>HYPERLINK("#'Communications &amp; Engagement'!W2","Status of communication methods: Wikis")</f>
        <v>Status of communication methods: Wikis</v>
      </c>
      <c r="I23" s="96" t="str">
        <f>HYPERLINK("#'Other Benefits'!W1","Q5.2.7")</f>
        <v>Q5.2.7</v>
      </c>
      <c r="J23" s="93" t="str">
        <f>HYPERLINK("#'Other Benefits'!W2","Tax status of adoption assistance reimbursement")</f>
        <v>Tax status of adoption assistance reimbursement</v>
      </c>
      <c r="K23" s="3" t="str">
        <f>HYPERLINK("#'Healthcare'!W1","Q6.1.3_10_1")</f>
        <v>Q6.1.3_10_1</v>
      </c>
      <c r="L23" s="93" t="str">
        <f>HYPERLINK("#'Healthcare'!W2","Part time active eligible employees medical enrollment: Indemnity")</f>
        <v>Part time active eligible employees medical enrollment: Indemnity</v>
      </c>
      <c r="M23" s="108" t="str">
        <f>HYPERLINK("#'Disease Mgmt &amp; Wellbeing'!W1","Q7.2.9_10")</f>
        <v>Q7.2.9_10</v>
      </c>
      <c r="N23" s="103" t="str">
        <f>HYPERLINK("#'Disease Mgmt &amp; Wellbeing'!W2","Company sponsored biometric screening services: Ergonomic assessment")</f>
        <v>Company sponsored biometric screening services: Ergonomic assessment</v>
      </c>
      <c r="O23" s="3" t="str">
        <f>HYPERLINK("#'Trends &amp; Emerging Practices'!W1","Q8.1.5_20")</f>
        <v>Q8.1.5_20</v>
      </c>
      <c r="P23" s="93" t="str">
        <f>HYPERLINK("#'Trends &amp; Emerging Practices'!W2","On-site health clinic service covered by health care plan with highest enrollment: Virtual medical services")</f>
        <v>On-site health clinic service covered by health care plan with highest enrollment: Virtual medical services</v>
      </c>
      <c r="Q23" s="3" t="str">
        <f>HYPERLINK("#'Income Protection'!W1","Q9.1.3_8")</f>
        <v>Q9.1.3_8</v>
      </c>
      <c r="R23" s="4" t="str">
        <f>HYPERLINK("#'Income Protection'!W2","Other benefit plans with severance pay included in earnings definition")</f>
        <v>Other benefit plans with severance pay included in earnings definition</v>
      </c>
      <c r="S23" s="96" t="str">
        <f>HYPERLINK("#'Retirement, NQDC, Finances'!W1","Q10.1.17")</f>
        <v>Q10.1.17</v>
      </c>
      <c r="T23" s="93" t="str">
        <f>HYPERLINK("#'Retirement, NQDC, Finances'!W2","401(k): Had to return Non-Roth after-tax contributions")</f>
        <v>401(k): Had to return Non-Roth after-tax contributions</v>
      </c>
      <c r="U23" s="3" t="str">
        <f>HYPERLINK("#'Time Off'!W1","Q11.1.9_5_TEXT")</f>
        <v>Q11.1.9_5_TEXT</v>
      </c>
      <c r="V23" s="93" t="str">
        <f>HYPERLINK("#'Time Off'!W2","Maximum break in service allowing individual to maintain original service date: Other")</f>
        <v>Maximum break in service allowing individual to maintain original service date: Other</v>
      </c>
      <c r="W23" s="3" t="str">
        <f>HYPERLINK("#'Vendors'!W1","Q12.2.7_51_TEXT")</f>
        <v>Q12.2.7_51_TEXT</v>
      </c>
      <c r="X23" s="93" t="str">
        <f>HYPERLINK("#'Vendors'!W2","Other consultant vendors employed: Non-qualified deferred compensation investment")</f>
        <v>Other consultant vendors employed: Non-qualified deferred compensation investment</v>
      </c>
    </row>
    <row r="24" spans="1:24" ht="51.75" thickBot="1" x14ac:dyDescent="0.25">
      <c r="A24" s="5" t="str">
        <f>HYPERLINK("#'Company Overview'!X1","Q1.4.4_12")</f>
        <v>Q1.4.4_12</v>
      </c>
      <c r="B24" s="93" t="str">
        <f>HYPERLINK("#'Company Overview'!X2","Mergers and acquisitions: Major accomplishments in 2021")</f>
        <v>Mergers and acquisitions: Major accomplishments in 2021</v>
      </c>
      <c r="C24" s="96" t="str">
        <f>HYPERLINK("#'Enrollment, Eligib. &amp; Cost'!X1","Q2.1.13_6_1")</f>
        <v>Q2.1.13_6_1</v>
      </c>
      <c r="D24" s="93" t="str">
        <f>HYPERLINK("#'Enrollment, Eligib. &amp; Cost'!X2","Percentage of total medical plan enrollment: Employee + 1 child")</f>
        <v>Percentage of total medical plan enrollment: Employee + 1 child</v>
      </c>
      <c r="E24" s="101" t="str">
        <f>HYPERLINK("#'Admin, Tools, Audits, Data'!X1","Q3.2.11")</f>
        <v>Q3.2.11</v>
      </c>
      <c r="F24" s="104" t="str">
        <f>HYPERLINK("#'Admin, Tools, Audits, Data'!X2","Partner with a third-party subrogation claim recovery vendor (separate vendor from subrogation services offered by medical plan administrator)")</f>
        <v>Partner with a third-party subrogation claim recovery vendor (separate vendor from subrogation services offered by medical plan administrator)</v>
      </c>
      <c r="G24" s="3" t="str">
        <f>HYPERLINK("#'Communications &amp; Engagement'!X1","Q4.1.3_22")</f>
        <v>Q4.1.3_22</v>
      </c>
      <c r="H24" s="93" t="str">
        <f>HYPERLINK("#'Communications &amp; Engagement'!X2","Status of communication methods: Slack")</f>
        <v>Status of communication methods: Slack</v>
      </c>
      <c r="I24" s="96" t="str">
        <f>HYPERLINK("#'Other Benefits'!X1","Q5.2.8")</f>
        <v>Q5.2.8</v>
      </c>
      <c r="J24" s="93" t="str">
        <f>HYPERLINK("#'Other Benefits'!X2","Other tax status of adoption assistance reimbursement")</f>
        <v>Other tax status of adoption assistance reimbursement</v>
      </c>
      <c r="K24" s="3" t="str">
        <f>HYPERLINK("#'Healthcare'!X1","Q6.1.3_11_1")</f>
        <v>Q6.1.3_11_1</v>
      </c>
      <c r="L24" s="93" t="str">
        <f>HYPERLINK("#'Healthcare'!X2","Part time active eligible employees medical enrollment: Other")</f>
        <v>Part time active eligible employees medical enrollment: Other</v>
      </c>
      <c r="M24" s="108" t="str">
        <f>HYPERLINK("#'Disease Mgmt &amp; Wellbeing'!X1","Q7.2.9_11")</f>
        <v>Q7.2.9_11</v>
      </c>
      <c r="N24" s="103" t="str">
        <f>HYPERLINK("#'Disease Mgmt &amp; Wellbeing'!X2","Company sponsored biometric screening services: Face to face consultation")</f>
        <v>Company sponsored biometric screening services: Face to face consultation</v>
      </c>
      <c r="O24" s="3" t="str">
        <f>HYPERLINK("#'Trends &amp; Emerging Practices'!X1","Q8.1.5_21")</f>
        <v>Q8.1.5_21</v>
      </c>
      <c r="P24" s="93" t="str">
        <f>HYPERLINK("#'Trends &amp; Emerging Practices'!X2","On-site health clinic service covered by health care plan with highest enrollment: Virtual mental health services")</f>
        <v>On-site health clinic service covered by health care plan with highest enrollment: Virtual mental health services</v>
      </c>
      <c r="Q24" s="3" t="str">
        <f>HYPERLINK("#'Income Protection'!X1","Q9.1.3_9")</f>
        <v>Q9.1.3_9</v>
      </c>
      <c r="R24" s="4" t="str">
        <f>HYPERLINK("#'Income Protection'!X2","Other benefit plans with tips included in earnings definition")</f>
        <v>Other benefit plans with tips included in earnings definition</v>
      </c>
      <c r="S24" s="96" t="str">
        <f>HYPERLINK("#'Retirement, NQDC, Finances'!X1","Q10.1.18")</f>
        <v>Q10.1.18</v>
      </c>
      <c r="T24" s="93" t="str">
        <f>HYPERLINK("#'Retirement, NQDC, Finances'!X2","401(k): Non-Roth after-tax contributions returned")</f>
        <v>401(k): Non-Roth after-tax contributions returned</v>
      </c>
      <c r="U24" s="3" t="str">
        <f>HYPERLINK("#'Time Off'!X1","Q11.1.10")</f>
        <v>Q11.1.10</v>
      </c>
      <c r="V24" s="93" t="str">
        <f>HYPERLINK("#'Time Off'!X2","Time off programs offered")</f>
        <v>Time off programs offered</v>
      </c>
      <c r="W24" s="3" t="str">
        <f>HYPERLINK("#'Vendors'!X1","Q12.2.8")</f>
        <v>Q12.2.8</v>
      </c>
      <c r="X24" s="93" t="str">
        <f>HYPERLINK("#'Vendors'!X2","Consultant vendor(s) terminated in 2021")</f>
        <v>Consultant vendor(s) terminated in 2021</v>
      </c>
    </row>
    <row r="25" spans="1:24" ht="25.5" x14ac:dyDescent="0.2">
      <c r="A25" s="5" t="str">
        <f>HYPERLINK("#'Company Overview'!Y1","Q1.4.4_13")</f>
        <v>Q1.4.4_13</v>
      </c>
      <c r="B25" s="93" t="str">
        <f>HYPERLINK("#'Company Overview'!Y2","Perks and convenience services: Major accomplishments in 2021")</f>
        <v>Perks and convenience services: Major accomplishments in 2021</v>
      </c>
      <c r="C25" s="96" t="str">
        <f>HYPERLINK("#'Enrollment, Eligib. &amp; Cost'!Y1","Q2.1.13_7_1")</f>
        <v>Q2.1.13_7_1</v>
      </c>
      <c r="D25" s="93" t="str">
        <f>HYPERLINK("#'Enrollment, Eligib. &amp; Cost'!Y2","Percentage of total medical plan enrollment: Employee + 2 children")</f>
        <v>Percentage of total medical plan enrollment: Employee + 2 children</v>
      </c>
      <c r="E25" s="6"/>
      <c r="F25" s="7"/>
      <c r="G25" s="96" t="str">
        <f>HYPERLINK("#'Communications &amp; Engagement'!Y1","Q4.1.4_1")</f>
        <v>Q4.1.4_1</v>
      </c>
      <c r="H25" s="93" t="str">
        <f>HYPERLINK("#'Communications &amp; Engagement'!Y2","Frequency of benefit communications: Mobile apps")</f>
        <v>Frequency of benefit communications: Mobile apps</v>
      </c>
      <c r="I25" s="96" t="str">
        <f>HYPERLINK("#'Other Benefits'!Y1","Q5.2.9_1")</f>
        <v>Q5.2.9_1</v>
      </c>
      <c r="J25" s="93" t="str">
        <f>HYPERLINK("#'Other Benefits'!Y2","Maximum reimbursement for adoption related expenses: Dollars per adoption maximum")</f>
        <v>Maximum reimbursement for adoption related expenses: Dollars per adoption maximum</v>
      </c>
      <c r="K25" s="3" t="str">
        <f>HYPERLINK("#'Healthcare'!Y1","Q6.1.3_12_1")</f>
        <v>Q6.1.3_12_1</v>
      </c>
      <c r="L25" s="93" t="str">
        <f>HYPERLINK("#'Healthcare'!Y2","Part time active eligible employees medical enrollment: Opt-out")</f>
        <v>Part time active eligible employees medical enrollment: Opt-out</v>
      </c>
      <c r="M25" s="108" t="str">
        <f>HYPERLINK("#'Disease Mgmt &amp; Wellbeing'!Y1","Q7.2.9_12")</f>
        <v>Q7.2.9_12</v>
      </c>
      <c r="N25" s="103" t="str">
        <f>HYPERLINK("#'Disease Mgmt &amp; Wellbeing'!Y2","Company sponsored biometric screening services: Individual receives results report")</f>
        <v>Company sponsored biometric screening services: Individual receives results report</v>
      </c>
      <c r="O25" s="3" t="str">
        <f>HYPERLINK("#'Trends &amp; Emerging Practices'!Y1","Q8.1.6")</f>
        <v>Q8.1.6</v>
      </c>
      <c r="P25" s="93" t="str">
        <f>HYPERLINK("#'Trends &amp; Emerging Practices'!Y2","Funding for administration of on-site health clinic services")</f>
        <v>Funding for administration of on-site health clinic services</v>
      </c>
      <c r="Q25" s="3" t="str">
        <f>HYPERLINK("#'Income Protection'!Y1","Q9.1.3_10")</f>
        <v>Q9.1.3_10</v>
      </c>
      <c r="R25" s="4" t="str">
        <f>HYPERLINK("#'Income Protection'!Y2","Other benefit plans with stock income included in earnings definition")</f>
        <v>Other benefit plans with stock income included in earnings definition</v>
      </c>
      <c r="S25" s="96" t="str">
        <f>HYPERLINK("#'Retirement, NQDC, Finances'!Y1","Q10.1.19")</f>
        <v>Q10.1.19</v>
      </c>
      <c r="T25" s="93" t="str">
        <f>HYPERLINK("#'Retirement, NQDC, Finances'!Y2","401(k): Non-Roth after-tax deferrals participation percentage")</f>
        <v>401(k): Non-Roth after-tax deferrals participation percentage</v>
      </c>
      <c r="U25" s="3" t="str">
        <f>HYPERLINK("#'Time Off'!Y1","Q11.2.2")</f>
        <v>Q11.2.2</v>
      </c>
      <c r="V25" s="93" t="str">
        <f>HYPERLINK("#'Time Off'!Y2","Minimum scheduled weekly work hours for vacation benefits eligibility")</f>
        <v>Minimum scheduled weekly work hours for vacation benefits eligibility</v>
      </c>
      <c r="W25" s="3" t="str">
        <f>HYPERLINK("#'Vendors'!Y1","Q12.2.9_1")</f>
        <v>Q12.2.9_1</v>
      </c>
      <c r="X25" s="93" t="str">
        <f>HYPERLINK("#'Vendors'!Y2","Terminated consultant vendors: Domestic health &amp; welfare consultants")</f>
        <v>Terminated consultant vendors: Domestic health &amp; welfare consultants</v>
      </c>
    </row>
    <row r="26" spans="1:24" ht="38.25" x14ac:dyDescent="0.2">
      <c r="A26" s="5" t="str">
        <f>HYPERLINK("#'Company Overview'!Z1","Q1.4.4_14")</f>
        <v>Q1.4.4_14</v>
      </c>
      <c r="B26" s="93" t="str">
        <f>HYPERLINK("#'Company Overview'!Z2","Pilots: Major accomplishments in 2021")</f>
        <v>Pilots: Major accomplishments in 2021</v>
      </c>
      <c r="C26" s="96" t="str">
        <f>HYPERLINK("#'Enrollment, Eligib. &amp; Cost'!Z1","Q2.1.13_8_1")</f>
        <v>Q2.1.13_8_1</v>
      </c>
      <c r="D26" s="93" t="str">
        <f>HYPERLINK("#'Enrollment, Eligib. &amp; Cost'!Z2","Percentage of total medical plan enrollment: Employee + 3 children")</f>
        <v>Percentage of total medical plan enrollment: Employee + 3 children</v>
      </c>
      <c r="E26" s="6"/>
      <c r="F26" s="7"/>
      <c r="G26" s="96" t="str">
        <f>HYPERLINK("#'Communications &amp; Engagement'!Z1","Q4.1.4_2")</f>
        <v>Q4.1.4_2</v>
      </c>
      <c r="H26" s="93" t="str">
        <f>HYPERLINK("#'Communications &amp; Engagement'!Z2","Frequency of benefit communications: Benefits enrollment decision tools")</f>
        <v>Frequency of benefit communications: Benefits enrollment decision tools</v>
      </c>
      <c r="I26" s="96" t="str">
        <f>HYPERLINK("#'Other Benefits'!Z1","Q5.2.9_2")</f>
        <v>Q5.2.9_2</v>
      </c>
      <c r="J26" s="93" t="str">
        <f>HYPERLINK("#'Other Benefits'!Z2","Maximum reimbursement for adoption related expenses: Dollars during lifetime maximum")</f>
        <v>Maximum reimbursement for adoption related expenses: Dollars during lifetime maximum</v>
      </c>
      <c r="K26" s="3" t="str">
        <f>HYPERLINK("#'Healthcare'!Z1","Q6.2.2")</f>
        <v>Q6.2.2</v>
      </c>
      <c r="L26" s="93" t="str">
        <f>HYPERLINK("#'Healthcare'!Z2","Total number of preferred provider organization (PPO) medical plans offered")</f>
        <v>Total number of preferred provider organization (PPO) medical plans offered</v>
      </c>
      <c r="M26" s="108" t="str">
        <f>HYPERLINK("#'Disease Mgmt &amp; Wellbeing'!Z1","Q7.2.9_13")</f>
        <v>Q7.2.9_13</v>
      </c>
      <c r="N26" s="103" t="str">
        <f>HYPERLINK("#'Disease Mgmt &amp; Wellbeing'!Z2","Company sponsored biometric screening services: Company receives aggregate summary report")</f>
        <v>Company sponsored biometric screening services: Company receives aggregate summary report</v>
      </c>
      <c r="O26" s="3" t="str">
        <f>HYPERLINK("#'Trends &amp; Emerging Practices'!Z1","Q8.1.7")</f>
        <v>Q8.1.7</v>
      </c>
      <c r="P26" s="93" t="str">
        <f>HYPERLINK("#'Trends &amp; Emerging Practices'!Z2","Groups allowed access to on-site health clinics")</f>
        <v>Groups allowed access to on-site health clinics</v>
      </c>
      <c r="Q26" s="3" t="str">
        <f>HYPERLINK("#'Income Protection'!Z1","Q9.1.3_11")</f>
        <v>Q9.1.3_11</v>
      </c>
      <c r="R26" s="4" t="str">
        <f>HYPERLINK("#'Income Protection'!Z2","Other benefit plans with non-qualified plan distributions included in earnings definition")</f>
        <v>Other benefit plans with non-qualified plan distributions included in earnings definition</v>
      </c>
      <c r="S26" s="96" t="str">
        <f>HYPERLINK("#'Retirement, NQDC, Finances'!Z1","Q10.1.20_1")</f>
        <v>Q10.1.20_1</v>
      </c>
      <c r="T26" s="93" t="str">
        <f>HYPERLINK("#'Retirement, NQDC, Finances'!Z2","401(k): Non-Roth after-tax deferrals/maximum percentage - HCE")</f>
        <v>401(k): Non-Roth after-tax deferrals/maximum percentage - HCE</v>
      </c>
      <c r="U26" s="3" t="str">
        <f>HYPERLINK("#'Time Off'!Z1","Q11.2.3_1")</f>
        <v>Q11.2.3_1</v>
      </c>
      <c r="V26" s="93" t="str">
        <f>HYPERLINK("#'Time Off'!Z2","Vacation hours accrued per calendar year: 1 year of service")</f>
        <v>Vacation hours accrued per calendar year: 1 year of service</v>
      </c>
      <c r="W26" s="3" t="str">
        <f>HYPERLINK("#'Vendors'!Z1","Q12.2.9_4")</f>
        <v>Q12.2.9_4</v>
      </c>
      <c r="X26" s="93" t="str">
        <f>HYPERLINK("#'Vendors'!Z2","Terminated consultant vendors: U.S. domestic brokers")</f>
        <v>Terminated consultant vendors: U.S. domestic brokers</v>
      </c>
    </row>
    <row r="27" spans="1:24" ht="25.5" x14ac:dyDescent="0.2">
      <c r="A27" s="5" t="str">
        <f>HYPERLINK("#'Company Overview'!AA1","Q1.4.4_15")</f>
        <v>Q1.4.4_15</v>
      </c>
      <c r="B27" s="93" t="str">
        <f>HYPERLINK("#'Company Overview'!AA2","Request for proposal and information: Major accomplishments in 2021")</f>
        <v>Request for proposal and information: Major accomplishments in 2021</v>
      </c>
      <c r="C27" s="96" t="str">
        <f>HYPERLINK("#'Enrollment, Eligib. &amp; Cost'!AA1","Q2.1.13_9_1")</f>
        <v>Q2.1.13_9_1</v>
      </c>
      <c r="D27" s="93" t="str">
        <f>HYPERLINK("#'Enrollment, Eligib. &amp; Cost'!AA2","Percentage of total medical plan enrollment: Employee + 4 children")</f>
        <v>Percentage of total medical plan enrollment: Employee + 4 children</v>
      </c>
      <c r="E27" s="6"/>
      <c r="F27" s="7"/>
      <c r="G27" s="96" t="str">
        <f>HYPERLINK("#'Communications &amp; Engagement'!AA1","Q4.1.4_3")</f>
        <v>Q4.1.4_3</v>
      </c>
      <c r="H27" s="93" t="str">
        <f>HYPERLINK("#'Communications &amp; Engagement'!AA2","Frequency of benefit communications: Leave of absence planning tools")</f>
        <v>Frequency of benefit communications: Leave of absence planning tools</v>
      </c>
      <c r="I27" s="96" t="str">
        <f>HYPERLINK("#'Other Benefits'!AA1","Q5.2.9_3")</f>
        <v>Q5.2.9_3</v>
      </c>
      <c r="J27" s="93" t="str">
        <f>HYPERLINK("#'Other Benefits'!AA2","Maximum reimbursement for adoption related expenses: Number during lifetime maximum")</f>
        <v>Maximum reimbursement for adoption related expenses: Number during lifetime maximum</v>
      </c>
      <c r="K27" s="3" t="str">
        <f>HYPERLINK("#'Healthcare'!AA1","Q6.2.5")</f>
        <v>Q6.2.5</v>
      </c>
      <c r="L27" s="93" t="str">
        <f>HYPERLINK("#'Healthcare'!AA2","PPO medical plan with highest enrollment (Primary)")</f>
        <v>PPO medical plan with highest enrollment (Primary)</v>
      </c>
      <c r="M27" s="108" t="str">
        <f>HYPERLINK("#'Disease Mgmt &amp; Wellbeing'!AA1","Q7.2.10")</f>
        <v>Q7.2.10</v>
      </c>
      <c r="N27" s="103" t="str">
        <f>HYPERLINK("#'Disease Mgmt &amp; Wellbeing'!AA2","Company sponsored biometric screening services eligibility")</f>
        <v>Company sponsored biometric screening services eligibility</v>
      </c>
      <c r="O27" s="3" t="str">
        <f>HYPERLINK("#'Trends &amp; Emerging Practices'!AA1","Q8.1.8")</f>
        <v>Q8.1.8</v>
      </c>
      <c r="P27" s="93" t="str">
        <f>HYPERLINK("#'Trends &amp; Emerging Practices'!AA2","Other groups allowed access to on-site health clinics")</f>
        <v>Other groups allowed access to on-site health clinics</v>
      </c>
      <c r="Q27" s="3" t="str">
        <f>HYPERLINK("#'Income Protection'!AA1","Q9.1.3_12")</f>
        <v>Q9.1.3_12</v>
      </c>
      <c r="R27" s="4" t="str">
        <f>HYPERLINK("#'Income Protection'!AA2","Other benefit plans with patent awards included in earnings definition")</f>
        <v>Other benefit plans with patent awards included in earnings definition</v>
      </c>
      <c r="S27" s="96" t="str">
        <f>HYPERLINK("#'Retirement, NQDC, Finances'!AA1","Q10.1.20_2")</f>
        <v>Q10.1.20_2</v>
      </c>
      <c r="T27" s="93" t="str">
        <f>HYPERLINK("#'Retirement, NQDC, Finances'!AA2","401(k): Non-Roth after-tax deferrals/maximum percentage - non-HCE")</f>
        <v>401(k): Non-Roth after-tax deferrals/maximum percentage - non-HCE</v>
      </c>
      <c r="U27" s="3" t="str">
        <f>HYPERLINK("#'Time Off'!AA1","Q11.2.3_2")</f>
        <v>Q11.2.3_2</v>
      </c>
      <c r="V27" s="93" t="str">
        <f>HYPERLINK("#'Time Off'!AA2","Vacation hours accrued per calendar year: 2 years of service")</f>
        <v>Vacation hours accrued per calendar year: 2 years of service</v>
      </c>
      <c r="W27" s="3" t="str">
        <f>HYPERLINK("#'Vendors'!AA1","Q12.2.9_5")</f>
        <v>Q12.2.9_5</v>
      </c>
      <c r="X27" s="93" t="str">
        <f>HYPERLINK("#'Vendors'!AA2","Terminated consultant vendors: International consultants/brokers")</f>
        <v>Terminated consultant vendors: International consultants/brokers</v>
      </c>
    </row>
    <row r="28" spans="1:24" ht="25.5" x14ac:dyDescent="0.2">
      <c r="A28" s="5" t="str">
        <f>HYPERLINK("#'Company Overview'!AB1","Q1.4.4_16")</f>
        <v>Q1.4.4_16</v>
      </c>
      <c r="B28" s="93" t="str">
        <f>HYPERLINK("#'Company Overview'!AB2","Retirement and savings: Major accomplishments in 2021")</f>
        <v>Retirement and savings: Major accomplishments in 2021</v>
      </c>
      <c r="C28" s="96" t="str">
        <f>HYPERLINK("#'Enrollment, Eligib. &amp; Cost'!AB1","Q2.1.13_10_1")</f>
        <v>Q2.1.13_10_1</v>
      </c>
      <c r="D28" s="93" t="str">
        <f>HYPERLINK("#'Enrollment, Eligib. &amp; Cost'!AB2","Percentage of total medical plan enrollment: Employee + 5 children")</f>
        <v>Percentage of total medical plan enrollment: Employee + 5 children</v>
      </c>
      <c r="E28" s="6"/>
      <c r="F28" s="7"/>
      <c r="G28" s="96" t="str">
        <f>HYPERLINK("#'Communications &amp; Engagement'!AB1","Q4.1.4_4")</f>
        <v>Q4.1.4_4</v>
      </c>
      <c r="H28" s="93" t="str">
        <f>HYPERLINK("#'Communications &amp; Engagement'!AB2","Frequency of benefit communications: Benefits website")</f>
        <v>Frequency of benefit communications: Benefits website</v>
      </c>
      <c r="I28" s="96" t="str">
        <f>HYPERLINK("#'Other Benefits'!AB1","Q5.2.10")</f>
        <v>Q5.2.10</v>
      </c>
      <c r="J28" s="93" t="str">
        <f>HYPERLINK("#'Other Benefits'!AB2","Adoption assistance reimbursement eligibility")</f>
        <v>Adoption assistance reimbursement eligibility</v>
      </c>
      <c r="K28" s="3" t="str">
        <f>HYPERLINK("#'Healthcare'!AB1","Q6.2.6")</f>
        <v>Q6.2.6</v>
      </c>
      <c r="L28" s="93" t="str">
        <f>HYPERLINK("#'Healthcare'!AB2","Other PPO plans offered")</f>
        <v>Other PPO plans offered</v>
      </c>
      <c r="M28" s="108" t="str">
        <f>HYPERLINK("#'Disease Mgmt &amp; Wellbeing'!AB1","Q7.3.2")</f>
        <v>Q7.3.2</v>
      </c>
      <c r="N28" s="103" t="str">
        <f>HYPERLINK("#'Disease Mgmt &amp; Wellbeing'!AB2","Weight management program/service company sponsored")</f>
        <v>Weight management program/service company sponsored</v>
      </c>
      <c r="O28" s="3" t="str">
        <f>HYPERLINK("#'Trends &amp; Emerging Practices'!AB1","Q8.1.10")</f>
        <v>Q8.1.10</v>
      </c>
      <c r="P28" s="93" t="str">
        <f>HYPERLINK("#'Trends &amp; Emerging Practices'!AB2","Near-site health clinic service status")</f>
        <v>Near-site health clinic service status</v>
      </c>
      <c r="Q28" s="3" t="str">
        <f>HYPERLINK("#'Income Protection'!AB1","Q9.1.3_13")</f>
        <v>Q9.1.3_13</v>
      </c>
      <c r="R28" s="4" t="str">
        <f>HYPERLINK("#'Income Protection'!AB2","Other benefit plans with vacation included in earnings definition")</f>
        <v>Other benefit plans with vacation included in earnings definition</v>
      </c>
      <c r="S28" s="96" t="str">
        <f>HYPERLINK("#'Retirement, NQDC, Finances'!AB1","Q10.1.21")</f>
        <v>Q10.1.21</v>
      </c>
      <c r="T28" s="93" t="str">
        <f>HYPERLINK("#'Retirement, NQDC, Finances'!AB2","401(k): Auto-enrollment provision in plan")</f>
        <v>401(k): Auto-enrollment provision in plan</v>
      </c>
      <c r="U28" s="3" t="str">
        <f>HYPERLINK("#'Time Off'!AB1","Q11.2.3_3")</f>
        <v>Q11.2.3_3</v>
      </c>
      <c r="V28" s="93" t="str">
        <f>HYPERLINK("#'Time Off'!AB2","Vacation hours accrued per calendar year: 3 years of service")</f>
        <v>Vacation hours accrued per calendar year: 3 years of service</v>
      </c>
      <c r="W28" s="3" t="str">
        <f>HYPERLINK("#'Vendors'!AB1","Q12.2.9_6")</f>
        <v>Q12.2.9_6</v>
      </c>
      <c r="X28" s="93" t="str">
        <f>HYPERLINK("#'Vendors'!AB2","Terminated consultant vendors: 401(k) investment consultants")</f>
        <v>Terminated consultant vendors: 401(k) investment consultants</v>
      </c>
    </row>
    <row r="29" spans="1:24" ht="38.25" x14ac:dyDescent="0.2">
      <c r="A29" s="5" t="str">
        <f>HYPERLINK("#'Company Overview'!AC1","Q1.4.4_17")</f>
        <v>Q1.4.4_17</v>
      </c>
      <c r="B29" s="93" t="str">
        <f>HYPERLINK("#'Company Overview'!AC2","Systems and tools: Major accomplishments in 2021")</f>
        <v>Systems and tools: Major accomplishments in 2021</v>
      </c>
      <c r="C29" s="96" t="str">
        <f>HYPERLINK("#'Enrollment, Eligib. &amp; Cost'!AC1","Q2.1.13_11_1")</f>
        <v>Q2.1.13_11_1</v>
      </c>
      <c r="D29" s="93" t="str">
        <f>HYPERLINK("#'Enrollment, Eligib. &amp; Cost'!AC2","Percentage of total medical plan enrollment: Family (employee + spouse/DP + dependent) with any child(ren)")</f>
        <v>Percentage of total medical plan enrollment: Family (employee + spouse/DP + dependent) with any child(ren)</v>
      </c>
      <c r="E29" s="6"/>
      <c r="F29" s="7"/>
      <c r="G29" s="96" t="str">
        <f>HYPERLINK("#'Communications &amp; Engagement'!AC1","Q4.1.4_5")</f>
        <v>Q4.1.4_5</v>
      </c>
      <c r="H29" s="93" t="str">
        <f>HYPERLINK("#'Communications &amp; Engagement'!AC2","Frequency of benefit communications: Benefits enrollment system (website)")</f>
        <v>Frequency of benefit communications: Benefits enrollment system (website)</v>
      </c>
      <c r="I29" s="96" t="str">
        <f>HYPERLINK("#'Other Benefits'!AC1","Q5.2.11")</f>
        <v>Q5.2.11</v>
      </c>
      <c r="J29" s="93" t="str">
        <f>HYPERLINK("#'Other Benefits'!AC2","Adoption assistance reimbursement eligibility: Other")</f>
        <v>Adoption assistance reimbursement eligibility: Other</v>
      </c>
      <c r="K29" s="3" t="str">
        <f>HYPERLINK("#'Healthcare'!AC1","Q6.2.7_1")</f>
        <v>Q6.2.7_1</v>
      </c>
      <c r="L29" s="93" t="str">
        <f>HYPERLINK("#'Healthcare'!AC2","Primary PPO medical plan: Network out-of-pocket limit per person")</f>
        <v>Primary PPO medical plan: Network out-of-pocket limit per person</v>
      </c>
      <c r="M29" s="108" t="str">
        <f>HYPERLINK("#'Disease Mgmt &amp; Wellbeing'!AC1","Q7.3.3")</f>
        <v>Q7.3.3</v>
      </c>
      <c r="N29" s="103" t="str">
        <f>HYPERLINK("#'Disease Mgmt &amp; Wellbeing'!AC2","Percentage paid by employee for company sponsored weight management program/services")</f>
        <v>Percentage paid by employee for company sponsored weight management program/services</v>
      </c>
      <c r="O29" s="3" t="str">
        <f>HYPERLINK("#'Trends &amp; Emerging Practices'!AC1","Q8.1.11")</f>
        <v>Q8.1.11</v>
      </c>
      <c r="P29" s="93" t="str">
        <f>HYPERLINK("#'Trends &amp; Emerging Practices'!AC2","Near-site health clinic service offerings")</f>
        <v>Near-site health clinic service offerings</v>
      </c>
      <c r="Q29" s="3" t="str">
        <f>HYPERLINK("#'Income Protection'!AC1","Q9.1.3_14")</f>
        <v>Q9.1.3_14</v>
      </c>
      <c r="R29" s="4" t="str">
        <f>HYPERLINK("#'Income Protection'!AC2","Other benefit plans with Other earnings/pay types included in earnings definition")</f>
        <v>Other benefit plans with Other earnings/pay types included in earnings definition</v>
      </c>
      <c r="S29" s="96" t="str">
        <f>HYPERLINK("#'Retirement, NQDC, Finances'!AC1","Q10.1.22")</f>
        <v>Q10.1.22</v>
      </c>
      <c r="T29" s="93" t="str">
        <f>HYPERLINK("#'Retirement, NQDC, Finances'!AC2","401(k): Auto-enrollment provision/contribution percentage")</f>
        <v>401(k): Auto-enrollment provision/contribution percentage</v>
      </c>
      <c r="U29" s="3" t="str">
        <f>HYPERLINK("#'Time Off'!AC1","Q11.2.3_4")</f>
        <v>Q11.2.3_4</v>
      </c>
      <c r="V29" s="93" t="str">
        <f>HYPERLINK("#'Time Off'!AC2","Vacation hours accrued per calendar year: 4 years of service")</f>
        <v>Vacation hours accrued per calendar year: 4 years of service</v>
      </c>
      <c r="W29" s="3" t="str">
        <f>HYPERLINK("#'Vendors'!AC1","Q12.2.9_7")</f>
        <v>Q12.2.9_7</v>
      </c>
      <c r="X29" s="93" t="str">
        <f>HYPERLINK("#'Vendors'!AC2","Terminated consultant vendors: 401(k) design consultants")</f>
        <v>Terminated consultant vendors: 401(k) design consultants</v>
      </c>
    </row>
    <row r="30" spans="1:24" ht="38.25" x14ac:dyDescent="0.2">
      <c r="A30" s="5" t="str">
        <f>HYPERLINK("#'Company Overview'!AD1","Q1.4.4_18")</f>
        <v>Q1.4.4_18</v>
      </c>
      <c r="B30" s="93" t="str">
        <f>HYPERLINK("#'Company Overview'!AD2","Vacation and holidays: Major accomplishments in 2021")</f>
        <v>Vacation and holidays: Major accomplishments in 2021</v>
      </c>
      <c r="C30" s="96" t="str">
        <f>HYPERLINK("#'Enrollment, Eligib. &amp; Cost'!AD1","Q2.1.13_12_1")</f>
        <v>Q2.1.13_12_1</v>
      </c>
      <c r="D30" s="93" t="str">
        <f>HYPERLINK("#'Enrollment, Eligib. &amp; Cost'!AD2","Percentage of total medical plan enrollment: Family (employee + spouse/DP + dependent) with 1 child")</f>
        <v>Percentage of total medical plan enrollment: Family (employee + spouse/DP + dependent) with 1 child</v>
      </c>
      <c r="E30" s="6"/>
      <c r="F30" s="7"/>
      <c r="G30" s="96" t="str">
        <f>HYPERLINK("#'Communications &amp; Engagement'!AD1","Q4.1.4_6")</f>
        <v>Q4.1.4_6</v>
      </c>
      <c r="H30" s="93" t="str">
        <f>HYPERLINK("#'Communications &amp; Engagement'!AD2","Frequency of benefit communications: Benefits enrollment system (mobile phone)")</f>
        <v>Frequency of benefit communications: Benefits enrollment system (mobile phone)</v>
      </c>
      <c r="I30" s="96" t="str">
        <f>HYPERLINK("#'Other Benefits'!AD1","Q5.2.12")</f>
        <v>Q5.2.12</v>
      </c>
      <c r="J30" s="93" t="str">
        <f>HYPERLINK("#'Other Benefits'!AD2","Requirements to be eligible for adoption assistance reimbursement")</f>
        <v>Requirements to be eligible for adoption assistance reimbursement</v>
      </c>
      <c r="K30" s="3" t="str">
        <f>HYPERLINK("#'Healthcare'!AD1","Q6.2.7_2")</f>
        <v>Q6.2.7_2</v>
      </c>
      <c r="L30" s="93" t="str">
        <f>HYPERLINK("#'Healthcare'!AD2","Primary PPO medical plan: Network out-of-pocket limit family")</f>
        <v>Primary PPO medical plan: Network out-of-pocket limit family</v>
      </c>
      <c r="M30" s="108" t="str">
        <f>HYPERLINK("#'Disease Mgmt &amp; Wellbeing'!AD1","Q7.3.4")</f>
        <v>Q7.3.4</v>
      </c>
      <c r="N30" s="103" t="str">
        <f>HYPERLINK("#'Disease Mgmt &amp; Wellbeing'!AD2","Company sponsored weight management program/services availability ")</f>
        <v xml:space="preserve">Company sponsored weight management program/services availability </v>
      </c>
      <c r="O30" s="3" t="str">
        <f>HYPERLINK("#'Trends &amp; Emerging Practices'!AD1","Q8.1.12")</f>
        <v>Q8.1.12</v>
      </c>
      <c r="P30" s="93" t="str">
        <f>HYPERLINK("#'Trends &amp; Emerging Practices'!AD2","Funding for administration of near-site health clinic services")</f>
        <v>Funding for administration of near-site health clinic services</v>
      </c>
      <c r="Q30" s="3" t="str">
        <f>HYPERLINK("#'Income Protection'!AD1","Q9.1.4")</f>
        <v>Q9.1.4</v>
      </c>
      <c r="R30" s="4" t="str">
        <f>HYPERLINK("#'Income Protection'!AD2","Other income protection benefits offered")</f>
        <v>Other income protection benefits offered</v>
      </c>
      <c r="S30" s="96" t="str">
        <f>HYPERLINK("#'Retirement, NQDC, Finances'!AD1","Q10.1.23")</f>
        <v>Q10.1.23</v>
      </c>
      <c r="T30" s="93" t="str">
        <f>HYPERLINK("#'Retirement, NQDC, Finances'!AD2","401(k): Auto-increase provision in plan")</f>
        <v>401(k): Auto-increase provision in plan</v>
      </c>
      <c r="U30" s="3" t="str">
        <f>HYPERLINK("#'Time Off'!AD1","Q11.2.3_5")</f>
        <v>Q11.2.3_5</v>
      </c>
      <c r="V30" s="93" t="str">
        <f>HYPERLINK("#'Time Off'!AD2","Vacation hours accrued per calendar year: 5 years of service")</f>
        <v>Vacation hours accrued per calendar year: 5 years of service</v>
      </c>
      <c r="W30" s="3" t="str">
        <f>HYPERLINK("#'Vendors'!AD1","Q12.2.9_8")</f>
        <v>Q12.2.9_8</v>
      </c>
      <c r="X30" s="93" t="str">
        <f>HYPERLINK("#'Vendors'!AD2","Terminated consultant vendors: Non-qualified deferred compensation investment")</f>
        <v>Terminated consultant vendors: Non-qualified deferred compensation investment</v>
      </c>
    </row>
    <row r="31" spans="1:24" ht="38.25" x14ac:dyDescent="0.2">
      <c r="A31" s="5" t="str">
        <f>HYPERLINK("#'Company Overview'!AE1","Q1.4.4_19")</f>
        <v>Q1.4.4_19</v>
      </c>
      <c r="B31" s="93" t="str">
        <f>HYPERLINK("#'Company Overview'!AE2","Vendors and outsourcing services: Major accomplishments in 2021")</f>
        <v>Vendors and outsourcing services: Major accomplishments in 2021</v>
      </c>
      <c r="C31" s="96" t="str">
        <f>HYPERLINK("#'Enrollment, Eligib. &amp; Cost'!AE1","Q2.1.13_13_1")</f>
        <v>Q2.1.13_13_1</v>
      </c>
      <c r="D31" s="93" t="str">
        <f>HYPERLINK("#'Enrollment, Eligib. &amp; Cost'!AE2","Percentage of total medical plan enrollment: Family (employee + spouse/DP + dependent) with 2 children")</f>
        <v>Percentage of total medical plan enrollment: Family (employee + spouse/DP + dependent) with 2 children</v>
      </c>
      <c r="E31" s="6"/>
      <c r="F31" s="7"/>
      <c r="G31" s="96" t="str">
        <f>HYPERLINK("#'Communications &amp; Engagement'!AE1","Q4.1.4_7")</f>
        <v>Q4.1.4_7</v>
      </c>
      <c r="H31" s="93" t="str">
        <f>HYPERLINK("#'Communications &amp; Engagement'!AE2","Frequency of benefit communications: Home mailings")</f>
        <v>Frequency of benefit communications: Home mailings</v>
      </c>
      <c r="I31" s="96" t="str">
        <f>HYPERLINK("#'Other Benefits'!AE1","Q5.2.13")</f>
        <v>Q5.2.13</v>
      </c>
      <c r="J31" s="93" t="str">
        <f>HYPERLINK("#'Other Benefits'!AE2","Requirements to be eligible for adoption assistance reimbursement: Other")</f>
        <v>Requirements to be eligible for adoption assistance reimbursement: Other</v>
      </c>
      <c r="K31" s="3" t="str">
        <f>HYPERLINK("#'Healthcare'!AE1","Q6.2.7_3")</f>
        <v>Q6.2.7_3</v>
      </c>
      <c r="L31" s="93" t="str">
        <f>HYPERLINK("#'Healthcare'!AE2","Primary PPO medical plan: Out-of-network out-of-pocket limit per person")</f>
        <v>Primary PPO medical plan: Out-of-network out-of-pocket limit per person</v>
      </c>
      <c r="M31" s="108" t="str">
        <f>HYPERLINK("#'Disease Mgmt &amp; Wellbeing'!AE1","Q7.3.5")</f>
        <v>Q7.3.5</v>
      </c>
      <c r="N31" s="103" t="str">
        <f>HYPERLINK("#'Disease Mgmt &amp; Wellbeing'!AE2","Company sponsored weight management program/services eligibility ")</f>
        <v xml:space="preserve">Company sponsored weight management program/services eligibility </v>
      </c>
      <c r="O31" s="3" t="str">
        <f>HYPERLINK("#'Trends &amp; Emerging Practices'!AE1","Q8.1.13")</f>
        <v>Q8.1.13</v>
      </c>
      <c r="P31" s="93" t="str">
        <f>HYPERLINK("#'Trends &amp; Emerging Practices'!AE2","Near-site health clinic services eligibility")</f>
        <v>Near-site health clinic services eligibility</v>
      </c>
      <c r="Q31" s="3" t="str">
        <f>HYPERLINK("#'Income Protection'!AE1","Q9.1.5_1")</f>
        <v>Q9.1.5_1</v>
      </c>
      <c r="R31" s="4" t="str">
        <f>HYPERLINK("#'Income Protection'!AE2","Other income protection plan with salary included in earnings definition")</f>
        <v>Other income protection plan with salary included in earnings definition</v>
      </c>
      <c r="S31" s="96" t="str">
        <f>HYPERLINK("#'Retirement, NQDC, Finances'!AE1","Q10.1.24")</f>
        <v>Q10.1.24</v>
      </c>
      <c r="T31" s="93" t="str">
        <f>HYPERLINK("#'Retirement, NQDC, Finances'!AE2","401(k):  Auto-increase provision/increase percentage")</f>
        <v>401(k):  Auto-increase provision/increase percentage</v>
      </c>
      <c r="U31" s="3" t="str">
        <f>HYPERLINK("#'Time Off'!AE1","Q11.2.3_6")</f>
        <v>Q11.2.3_6</v>
      </c>
      <c r="V31" s="93" t="str">
        <f>HYPERLINK("#'Time Off'!AE2","Vacation hours accrued per calendar year: 6 years of service")</f>
        <v>Vacation hours accrued per calendar year: 6 years of service</v>
      </c>
      <c r="W31" s="3" t="str">
        <f>HYPERLINK("#'Vendors'!AE1","Q12.3.2")</f>
        <v>Q12.3.2</v>
      </c>
      <c r="X31" s="93" t="str">
        <f>HYPERLINK("#'Vendors'!AE2","Communications vendors employed: Benefit portal consultants")</f>
        <v>Communications vendors employed: Benefit portal consultants</v>
      </c>
    </row>
    <row r="32" spans="1:24" ht="38.25" x14ac:dyDescent="0.2">
      <c r="A32" s="5" t="str">
        <f>HYPERLINK("#'Company Overview'!AF1","Q1.4.4_20")</f>
        <v>Q1.4.4_20</v>
      </c>
      <c r="B32" s="93" t="str">
        <f>HYPERLINK("#'Company Overview'!AF2","Voluntary benefits: Major accomplishments in 2021")</f>
        <v>Voluntary benefits: Major accomplishments in 2021</v>
      </c>
      <c r="C32" s="96" t="str">
        <f>HYPERLINK("#'Enrollment, Eligib. &amp; Cost'!AF1","Q2.1.13_14_1")</f>
        <v>Q2.1.13_14_1</v>
      </c>
      <c r="D32" s="93" t="str">
        <f>HYPERLINK("#'Enrollment, Eligib. &amp; Cost'!AF2","Percentage of total medical plan enrollment: Family (employee + spouse/DP + dependent) with 3 child(ren)")</f>
        <v>Percentage of total medical plan enrollment: Family (employee + spouse/DP + dependent) with 3 child(ren)</v>
      </c>
      <c r="E32" s="6"/>
      <c r="F32" s="7"/>
      <c r="G32" s="96" t="str">
        <f>HYPERLINK("#'Communications &amp; Engagement'!AF1","Q4.1.4_8")</f>
        <v>Q4.1.4_8</v>
      </c>
      <c r="H32" s="93" t="str">
        <f>HYPERLINK("#'Communications &amp; Engagement'!AF2","Frequency of benefit communications: Emails")</f>
        <v>Frequency of benefit communications: Emails</v>
      </c>
      <c r="I32" s="96" t="str">
        <f>HYPERLINK("#'Other Benefits'!AF1","Q5.2.14")</f>
        <v>Q5.2.14</v>
      </c>
      <c r="J32" s="93" t="str">
        <f>HYPERLINK("#'Other Benefits'!AF2","Adoption assistance expenses eligible for reimbursement")</f>
        <v>Adoption assistance expenses eligible for reimbursement</v>
      </c>
      <c r="K32" s="3" t="str">
        <f>HYPERLINK("#'Healthcare'!AF1","Q6.2.7_4")</f>
        <v>Q6.2.7_4</v>
      </c>
      <c r="L32" s="93" t="str">
        <f>HYPERLINK("#'Healthcare'!AF2","Primary PPO medical plan: Out-of-network out-of-pocket limit family")</f>
        <v>Primary PPO medical plan: Out-of-network out-of-pocket limit family</v>
      </c>
      <c r="M32" s="108" t="str">
        <f>HYPERLINK("#'Disease Mgmt &amp; Wellbeing'!AF1","Q7.4.2")</f>
        <v>Q7.4.2</v>
      </c>
      <c r="N32" s="103" t="str">
        <f>HYPERLINK("#'Disease Mgmt &amp; Wellbeing'!AF2","Traditional tobacco product policy at primary campus locations")</f>
        <v>Traditional tobacco product policy at primary campus locations</v>
      </c>
      <c r="O32" s="3" t="str">
        <f>HYPERLINK("#'Trends &amp; Emerging Practices'!AF1","Q8.1.14")</f>
        <v>Q8.1.14</v>
      </c>
      <c r="P32" s="93" t="str">
        <f>HYPERLINK("#'Trends &amp; Emerging Practices'!AF2","Other groups eligible for near-site health clinic services")</f>
        <v>Other groups eligible for near-site health clinic services</v>
      </c>
      <c r="Q32" s="3" t="str">
        <f>HYPERLINK("#'Income Protection'!AF1","Q9.1.5_2")</f>
        <v>Q9.1.5_2</v>
      </c>
      <c r="R32" s="4" t="str">
        <f>HYPERLINK("#'Income Protection'!AF2","Other income protection plan with overtime included in earnings definition")</f>
        <v>Other income protection plan with overtime included in earnings definition</v>
      </c>
      <c r="S32" s="96" t="str">
        <f>HYPERLINK("#'Retirement, NQDC, Finances'!AF1","Q10.1.25")</f>
        <v>Q10.1.25</v>
      </c>
      <c r="T32" s="93" t="str">
        <f>HYPERLINK("#'Retirement, NQDC, Finances'!AF2","401(k): Maximum auto-increase percentage")</f>
        <v>401(k): Maximum auto-increase percentage</v>
      </c>
      <c r="U32" s="3" t="str">
        <f>HYPERLINK("#'Time Off'!AF1","Q11.2.3_7")</f>
        <v>Q11.2.3_7</v>
      </c>
      <c r="V32" s="93" t="str">
        <f>HYPERLINK("#'Time Off'!AF2","Vacation hours accrued per calendar year: 7 years of service")</f>
        <v>Vacation hours accrued per calendar year: 7 years of service</v>
      </c>
      <c r="W32" s="3" t="str">
        <f>HYPERLINK("#'Vendors'!AF1","Q12.3.2_52_TEXT")</f>
        <v>Q12.3.2_52_TEXT</v>
      </c>
      <c r="X32" s="93" t="str">
        <f>HYPERLINK("#'Vendors'!AF2","Other communications vendors employed: Benefit portal consultants")</f>
        <v>Other communications vendors employed: Benefit portal consultants</v>
      </c>
    </row>
    <row r="33" spans="1:24" ht="38.25" x14ac:dyDescent="0.2">
      <c r="A33" s="5" t="str">
        <f>HYPERLINK("#'Company Overview'!AG1","Q1.5.2")</f>
        <v>Q1.5.2</v>
      </c>
      <c r="B33" s="93" t="str">
        <f>HYPERLINK("#'Company Overview'!AG2","Global benefits function organizational hierarchy")</f>
        <v>Global benefits function organizational hierarchy</v>
      </c>
      <c r="C33" s="96" t="str">
        <f>HYPERLINK("#'Enrollment, Eligib. &amp; Cost'!AG1","Q2.1.13_15_1")</f>
        <v>Q2.1.13_15_1</v>
      </c>
      <c r="D33" s="93" t="str">
        <f>HYPERLINK("#'Enrollment, Eligib. &amp; Cost'!AG2","Percentage of total medical plan enrollment: Family (employee + spouse/DP + dependent) with 4 child(ren)")</f>
        <v>Percentage of total medical plan enrollment: Family (employee + spouse/DP + dependent) with 4 child(ren)</v>
      </c>
      <c r="E33" s="6"/>
      <c r="F33" s="7"/>
      <c r="G33" s="96" t="str">
        <f>HYPERLINK("#'Communications &amp; Engagement'!AG1","Q4.1.4_9")</f>
        <v>Q4.1.4_9</v>
      </c>
      <c r="H33" s="93" t="str">
        <f>HYPERLINK("#'Communications &amp; Engagement'!AG2","Frequency of benefit communications: Newsletters")</f>
        <v>Frequency of benefit communications: Newsletters</v>
      </c>
      <c r="I33" s="96" t="str">
        <f>HYPERLINK("#'Other Benefits'!AG1","Q5.2.15")</f>
        <v>Q5.2.15</v>
      </c>
      <c r="J33" s="93" t="str">
        <f>HYPERLINK("#'Other Benefits'!AG2","Other expenses eligible for adoption assistance reimbursement")</f>
        <v>Other expenses eligible for adoption assistance reimbursement</v>
      </c>
      <c r="K33" s="3" t="str">
        <f>HYPERLINK("#'Healthcare'!AG1","Q6.2.7_5")</f>
        <v>Q6.2.7_5</v>
      </c>
      <c r="L33" s="93" t="str">
        <f>HYPERLINK("#'Healthcare'!AG2","Primary PPO medical plan: Out-of-pocket limit - Cross apply")</f>
        <v>Primary PPO medical plan: Out-of-pocket limit - Cross apply</v>
      </c>
      <c r="M33" s="108" t="str">
        <f>HYPERLINK("#'Disease Mgmt &amp; Wellbeing'!AG1","Q7.4.3")</f>
        <v>Q7.4.3</v>
      </c>
      <c r="N33" s="103" t="str">
        <f>HYPERLINK("#'Disease Mgmt &amp; Wellbeing'!AG2","Smokeless tobacco product policy at primary campus locations")</f>
        <v>Smokeless tobacco product policy at primary campus locations</v>
      </c>
      <c r="O33" s="3" t="str">
        <f>HYPERLINK("#'Trends &amp; Emerging Practices'!AG1","Q8.2.2")</f>
        <v>Q8.2.2</v>
      </c>
      <c r="P33" s="93" t="str">
        <f>HYPERLINK("#'Trends &amp; Emerging Practices'!AG2","Transgender benefits offered")</f>
        <v>Transgender benefits offered</v>
      </c>
      <c r="Q33" s="3" t="str">
        <f>HYPERLINK("#'Income Protection'!AG1","Q9.1.5_3")</f>
        <v>Q9.1.5_3</v>
      </c>
      <c r="R33" s="4" t="str">
        <f>HYPERLINK("#'Income Protection'!AG2","Other income protection plan with bonus (performance) included in earnings definition")</f>
        <v>Other income protection plan with bonus (performance) included in earnings definition</v>
      </c>
      <c r="S33" s="96" t="str">
        <f>HYPERLINK("#'Retirement, NQDC, Finances'!AG1","Q10.1.26")</f>
        <v>Q10.1.26</v>
      </c>
      <c r="T33" s="93" t="str">
        <f>HYPERLINK("#'Retirement, NQDC, Finances'!AG2","401(k): Company designated default investment")</f>
        <v>401(k): Company designated default investment</v>
      </c>
      <c r="U33" s="3" t="str">
        <f>HYPERLINK("#'Time Off'!AG1","Q11.2.3_8")</f>
        <v>Q11.2.3_8</v>
      </c>
      <c r="V33" s="93" t="str">
        <f>HYPERLINK("#'Time Off'!AG2","Vacation hours accrued per calendar year: 8 years of service")</f>
        <v>Vacation hours accrued per calendar year: 8 years of service</v>
      </c>
      <c r="W33" s="3" t="str">
        <f>HYPERLINK("#'Vendors'!AG1","Q12.3.3")</f>
        <v>Q12.3.3</v>
      </c>
      <c r="X33" s="93" t="str">
        <f>HYPERLINK("#'Vendors'!AG2","Communications vendors employed: Designers")</f>
        <v>Communications vendors employed: Designers</v>
      </c>
    </row>
    <row r="34" spans="1:24" ht="38.25" x14ac:dyDescent="0.2">
      <c r="A34" s="5" t="str">
        <f>HYPERLINK("#'Company Overview'!AH1","Q1.5.3_1")</f>
        <v>Q1.5.3_1</v>
      </c>
      <c r="B34" s="93" t="str">
        <f>HYPERLINK("#'Company Overview'!AH2","401(k) savings: Managed by U.S. benefits department")</f>
        <v>401(k) savings: Managed by U.S. benefits department</v>
      </c>
      <c r="C34" s="96" t="str">
        <f>HYPERLINK("#'Enrollment, Eligib. &amp; Cost'!AH1","Q2.1.13_16_1")</f>
        <v>Q2.1.13_16_1</v>
      </c>
      <c r="D34" s="93" t="str">
        <f>HYPERLINK("#'Enrollment, Eligib. &amp; Cost'!AH2","Percentage of total medical plan enrollment: Family (employee + spouse/DP + dependent) with 5 child(ren)")</f>
        <v>Percentage of total medical plan enrollment: Family (employee + spouse/DP + dependent) with 5 child(ren)</v>
      </c>
      <c r="E34" s="6"/>
      <c r="F34" s="7"/>
      <c r="G34" s="96" t="str">
        <f>HYPERLINK("#'Communications &amp; Engagement'!AH1","Q4.1.4_10")</f>
        <v>Q4.1.4_10</v>
      </c>
      <c r="H34" s="93" t="str">
        <f>HYPERLINK("#'Communications &amp; Engagement'!AH2","Frequency of benefit communications: Standard printed collateral (posters, flyers,  table tents, paycheck stuffers, etc.)")</f>
        <v>Frequency of benefit communications: Standard printed collateral (posters, flyers,  table tents, paycheck stuffers, etc.)</v>
      </c>
      <c r="I34" s="96" t="str">
        <f>HYPERLINK("#'Other Benefits'!AH1","Q5.2.17")</f>
        <v>Q5.2.17</v>
      </c>
      <c r="J34" s="93" t="str">
        <f>HYPERLINK("#'Other Benefits'!AH2","Where company-sponsored childcare is offered")</f>
        <v>Where company-sponsored childcare is offered</v>
      </c>
      <c r="K34" s="3" t="str">
        <f>HYPERLINK("#'Healthcare'!AH1","Q6.2.7_6")</f>
        <v>Q6.2.7_6</v>
      </c>
      <c r="L34" s="93" t="str">
        <f>HYPERLINK("#'Healthcare'!AH2","Primary PPO medical plan: Out-of-pocket limit - Aggregated")</f>
        <v>Primary PPO medical plan: Out-of-pocket limit - Aggregated</v>
      </c>
      <c r="M34" s="108" t="str">
        <f>HYPERLINK("#'Disease Mgmt &amp; Wellbeing'!AH1","Q7.4.4")</f>
        <v>Q7.4.4</v>
      </c>
      <c r="N34" s="103" t="str">
        <f>HYPERLINK("#'Disease Mgmt &amp; Wellbeing'!AH2","Company sponsored smoking cessation program/services eligibility")</f>
        <v>Company sponsored smoking cessation program/services eligibility</v>
      </c>
      <c r="O34" s="3" t="str">
        <f>HYPERLINK("#'Trends &amp; Emerging Practices'!AH1","Q8.2.3")</f>
        <v>Q8.2.3</v>
      </c>
      <c r="P34" s="93" t="str">
        <f>HYPERLINK("#'Trends &amp; Emerging Practices'!AH2","WPATH standards of care followed")</f>
        <v>WPATH standards of care followed</v>
      </c>
      <c r="Q34" s="3" t="str">
        <f>HYPERLINK("#'Income Protection'!AH1","Q9.1.5_4")</f>
        <v>Q9.1.5_4</v>
      </c>
      <c r="R34" s="4" t="str">
        <f>HYPERLINK("#'Income Protection'!AH2","Other income protection plan with bonus (discretionary) included in earnings definition")</f>
        <v>Other income protection plan with bonus (discretionary) included in earnings definition</v>
      </c>
      <c r="S34" s="96" t="str">
        <f>HYPERLINK("#'Retirement, NQDC, Finances'!AH1","Q10.1.27")</f>
        <v>Q10.1.27</v>
      </c>
      <c r="T34" s="93" t="str">
        <f>HYPERLINK("#'Retirement, NQDC, Finances'!AH2","401(k): Other company designated default investment")</f>
        <v>401(k): Other company designated default investment</v>
      </c>
      <c r="U34" s="3" t="str">
        <f>HYPERLINK("#'Time Off'!AH1","Q11.2.3_9")</f>
        <v>Q11.2.3_9</v>
      </c>
      <c r="V34" s="93" t="str">
        <f>HYPERLINK("#'Time Off'!AH2","Vacation hours accrued per calendar year: 9 years of service")</f>
        <v>Vacation hours accrued per calendar year: 9 years of service</v>
      </c>
      <c r="W34" s="3" t="str">
        <f>HYPERLINK("#'Vendors'!AH1","Q12.3.3_52_TEXT")</f>
        <v>Q12.3.3_52_TEXT</v>
      </c>
      <c r="X34" s="93" t="str">
        <f>HYPERLINK("#'Vendors'!AH2","Other communications vendors employed: Designers")</f>
        <v>Other communications vendors employed: Designers</v>
      </c>
    </row>
    <row r="35" spans="1:24" ht="38.25" x14ac:dyDescent="0.2">
      <c r="A35" s="5" t="str">
        <f>HYPERLINK("#'Company Overview'!AI1","Q1.5.3_2")</f>
        <v>Q1.5.3_2</v>
      </c>
      <c r="B35" s="93" t="str">
        <f>HYPERLINK("#'Company Overview'!AI2","Non-qualified deferred compensation: Managed by U.S. benefits department")</f>
        <v>Non-qualified deferred compensation: Managed by U.S. benefits department</v>
      </c>
      <c r="C35" s="96" t="str">
        <f>HYPERLINK("#'Enrollment, Eligib. &amp; Cost'!AI1","Q2.1.14")</f>
        <v>Q2.1.14</v>
      </c>
      <c r="D35" s="93" t="str">
        <f>HYPERLINK("#'Enrollment, Eligib. &amp; Cost'!AI2","Average family size (including employee and dependents) enrolled in medical plans")</f>
        <v>Average family size (including employee and dependents) enrolled in medical plans</v>
      </c>
      <c r="E35" s="6"/>
      <c r="F35" s="7"/>
      <c r="G35" s="96" t="str">
        <f>HYPERLINK("#'Communications &amp; Engagement'!AI1","Q4.1.4_11")</f>
        <v>Q4.1.4_11</v>
      </c>
      <c r="H35" s="93" t="str">
        <f>HYPERLINK("#'Communications &amp; Engagement'!AI2","Frequency of benefit communications: Marquees - display monitors")</f>
        <v>Frequency of benefit communications: Marquees - display monitors</v>
      </c>
      <c r="I35" s="96" t="str">
        <f>HYPERLINK("#'Other Benefits'!AI1","Q5.2.18")</f>
        <v>Q5.2.18</v>
      </c>
      <c r="J35" s="93" t="str">
        <f>HYPERLINK("#'Other Benefits'!AI2","Childcare subsidy or reimbursement offered to employees")</f>
        <v>Childcare subsidy or reimbursement offered to employees</v>
      </c>
      <c r="K35" s="3" t="str">
        <f>HYPERLINK("#'Healthcare'!AI1","Q6.2.8")</f>
        <v>Q6.2.8</v>
      </c>
      <c r="L35" s="93" t="str">
        <f>HYPERLINK("#'Healthcare'!AI2","Primary PPO medical plan: Expenses excluded from out-of-pocket limit")</f>
        <v>Primary PPO medical plan: Expenses excluded from out-of-pocket limit</v>
      </c>
      <c r="M35" s="108" t="str">
        <f>HYPERLINK("#'Disease Mgmt &amp; Wellbeing'!AI1","Q7.5.2")</f>
        <v>Q7.5.2</v>
      </c>
      <c r="N35" s="103" t="str">
        <f>HYPERLINK("#'Disease Mgmt &amp; Wellbeing'!AI2","Where on-site fitness centers are offered")</f>
        <v>Where on-site fitness centers are offered</v>
      </c>
      <c r="O35" s="3" t="str">
        <f>HYPERLINK("#'Trends &amp; Emerging Practices'!AI1","Q8.2.4")</f>
        <v>Q8.2.4</v>
      </c>
      <c r="P35" s="93" t="str">
        <f>HYPERLINK("#'Trends &amp; Emerging Practices'!AI2","Terms used when communicating transgender benefits to employees")</f>
        <v>Terms used when communicating transgender benefits to employees</v>
      </c>
      <c r="Q35" s="3" t="str">
        <f>HYPERLINK("#'Income Protection'!AI1","Q9.1.5_5")</f>
        <v>Q9.1.5_5</v>
      </c>
      <c r="R35" s="4" t="str">
        <f>HYPERLINK("#'Income Protection'!AI2","Other income protection plan with sales commission (projected) included in earnings definition")</f>
        <v>Other income protection plan with sales commission (projected) included in earnings definition</v>
      </c>
      <c r="S35" s="96" t="str">
        <f>HYPERLINK("#'Retirement, NQDC, Finances'!AI1","Q10.1.28")</f>
        <v>Q10.1.28</v>
      </c>
      <c r="T35" s="93" t="str">
        <f>HYPERLINK("#'Retirement, NQDC, Finances'!AI2","401(k): Auto-investment rebalance provision in plan")</f>
        <v>401(k): Auto-investment rebalance provision in plan</v>
      </c>
      <c r="U35" s="3" t="str">
        <f>HYPERLINK("#'Time Off'!AI1","Q11.2.3_10")</f>
        <v>Q11.2.3_10</v>
      </c>
      <c r="V35" s="93" t="str">
        <f>HYPERLINK("#'Time Off'!AI2","Vacation hours accrued per calendar year: 10 years of service")</f>
        <v>Vacation hours accrued per calendar year: 10 years of service</v>
      </c>
      <c r="W35" s="3" t="str">
        <f>HYPERLINK("#'Vendors'!AI1","Q12.3.4")</f>
        <v>Q12.3.4</v>
      </c>
      <c r="X35" s="93" t="str">
        <f>HYPERLINK("#'Vendors'!AI2","Communications vendors employed: Benefit portal development")</f>
        <v>Communications vendors employed: Benefit portal development</v>
      </c>
    </row>
    <row r="36" spans="1:24" ht="38.25" x14ac:dyDescent="0.2">
      <c r="A36" s="5" t="str">
        <f>HYPERLINK("#'Company Overview'!AJ1","Q1.5.3_3")</f>
        <v>Q1.5.3_3</v>
      </c>
      <c r="B36" s="93" t="str">
        <f>HYPERLINK("#'Company Overview'!AJ2","Company stock: Managed by U.S. benefits department")</f>
        <v>Company stock: Managed by U.S. benefits department</v>
      </c>
      <c r="C36" s="96" t="str">
        <f>HYPERLINK("#'Enrollment, Eligib. &amp; Cost'!AJ1","Q2.2.2_1_1")</f>
        <v>Q2.2.2_1_1</v>
      </c>
      <c r="D36" s="93" t="str">
        <f>HYPERLINK("#'Enrollment, Eligib. &amp; Cost'!AJ2","Medical cost trend before planned design changes: Medical (self-insured)")</f>
        <v>Medical cost trend before planned design changes: Medical (self-insured)</v>
      </c>
      <c r="E36" s="6"/>
      <c r="F36" s="7"/>
      <c r="G36" s="96" t="str">
        <f>HYPERLINK("#'Communications &amp; Engagement'!AJ1","Q4.1.4_12")</f>
        <v>Q4.1.4_12</v>
      </c>
      <c r="H36" s="93" t="str">
        <f>HYPERLINK("#'Communications &amp; Engagement'!AJ2","Frequency of benefit communications: Webinars")</f>
        <v>Frequency of benefit communications: Webinars</v>
      </c>
      <c r="I36" s="96" t="str">
        <f>HYPERLINK("#'Other Benefits'!AJ1","Q5.2.19")</f>
        <v>Q5.2.19</v>
      </c>
      <c r="J36" s="93" t="str">
        <f>HYPERLINK("#'Other Benefits'!AJ2","Maximum annual dollar amount of childcare subsidy or reimbursement")</f>
        <v>Maximum annual dollar amount of childcare subsidy or reimbursement</v>
      </c>
      <c r="K36" s="3" t="str">
        <f>HYPERLINK("#'Healthcare'!AJ1","Q6.2.9_1")</f>
        <v>Q6.2.9_1</v>
      </c>
      <c r="L36" s="93" t="str">
        <f>HYPERLINK("#'Healthcare'!AJ2","Primary PPO medical plan: In-network overall deductible per person (preventive care-N/A)")</f>
        <v>Primary PPO medical plan: In-network overall deductible per person (preventive care-N/A)</v>
      </c>
      <c r="M36" s="108" t="str">
        <f>HYPERLINK("#'Disease Mgmt &amp; Wellbeing'!AJ1","Q7.5.3")</f>
        <v>Q7.5.3</v>
      </c>
      <c r="N36" s="103" t="str">
        <f>HYPERLINK("#'Disease Mgmt &amp; Wellbeing'!AJ2","Percentage paid by employees for on-site fitness centers")</f>
        <v>Percentage paid by employees for on-site fitness centers</v>
      </c>
      <c r="O36" s="3" t="str">
        <f>HYPERLINK("#'Trends &amp; Emerging Practices'!AJ1","Q8.2.5")</f>
        <v>Q8.2.5</v>
      </c>
      <c r="P36" s="93" t="str">
        <f>HYPERLINK("#'Trends &amp; Emerging Practices'!AJ2","Other terms used when communicating transgender benefits to employees")</f>
        <v>Other terms used when communicating transgender benefits to employees</v>
      </c>
      <c r="Q36" s="3" t="str">
        <f>HYPERLINK("#'Income Protection'!AJ1","Q9.1.5_6")</f>
        <v>Q9.1.5_6</v>
      </c>
      <c r="R36" s="4" t="str">
        <f>HYPERLINK("#'Income Protection'!AJ2","Other income protection plan with sales commission (actual) included in earnings definition")</f>
        <v>Other income protection plan with sales commission (actual) included in earnings definition</v>
      </c>
      <c r="S36" s="96" t="str">
        <f>HYPERLINK("#'Retirement, NQDC, Finances'!AJ1","Q10.1.29")</f>
        <v>Q10.1.29</v>
      </c>
      <c r="T36" s="93" t="str">
        <f>HYPERLINK("#'Retirement, NQDC, Finances'!AJ2","401(k): In-plan Roth conversions in plan")</f>
        <v>401(k): In-plan Roth conversions in plan</v>
      </c>
      <c r="U36" s="3" t="str">
        <f>HYPERLINK("#'Time Off'!AJ1","Q11.2.3_11")</f>
        <v>Q11.2.3_11</v>
      </c>
      <c r="V36" s="93" t="str">
        <f>HYPERLINK("#'Time Off'!AJ2","Vacation hours accrued per calendar year: 15 years of service")</f>
        <v>Vacation hours accrued per calendar year: 15 years of service</v>
      </c>
      <c r="W36" s="3" t="str">
        <f>HYPERLINK("#'Vendors'!AJ1","Q12.3.4_52_TEXT")</f>
        <v>Q12.3.4_52_TEXT</v>
      </c>
      <c r="X36" s="93" t="str">
        <f>HYPERLINK("#'Vendors'!AJ2","Other communications vendors employed: Benefit portal development")</f>
        <v>Other communications vendors employed: Benefit portal development</v>
      </c>
    </row>
    <row r="37" spans="1:24" ht="25.5" x14ac:dyDescent="0.2">
      <c r="A37" s="5" t="str">
        <f>HYPERLINK("#'Company Overview'!AK1","Q1.5.3_4")</f>
        <v>Q1.5.3_4</v>
      </c>
      <c r="B37" s="93" t="str">
        <f>HYPERLINK("#'Company Overview'!AK2","Student loan debt program: Managed by U.S. benefits department")</f>
        <v>Student loan debt program: Managed by U.S. benefits department</v>
      </c>
      <c r="C37" s="96" t="str">
        <f>HYPERLINK("#'Enrollment, Eligib. &amp; Cost'!AK1","Q2.2.2_2_1")</f>
        <v>Q2.2.2_2_1</v>
      </c>
      <c r="D37" s="93" t="str">
        <f>HYPERLINK("#'Enrollment, Eligib. &amp; Cost'!AK2","Medical cost trend before planned design changes: Pharmacy (includes specialty)")</f>
        <v>Medical cost trend before planned design changes: Pharmacy (includes specialty)</v>
      </c>
      <c r="E37" s="6"/>
      <c r="F37" s="7"/>
      <c r="G37" s="96" t="str">
        <f>HYPERLINK("#'Communications &amp; Engagement'!AK1","Q4.1.4_13")</f>
        <v>Q4.1.4_13</v>
      </c>
      <c r="H37" s="93" t="str">
        <f>HYPERLINK("#'Communications &amp; Engagement'!AK2","Frequency of benefit communications: Audio only (dial-in) information sessions")</f>
        <v>Frequency of benefit communications: Audio only (dial-in) information sessions</v>
      </c>
      <c r="I37" s="96" t="str">
        <f>HYPERLINK("#'Other Benefits'!AK1","Q5.2.20")</f>
        <v>Q5.2.20</v>
      </c>
      <c r="J37" s="93" t="str">
        <f>HYPERLINK("#'Other Benefits'!AK2","Back-up childcare provided")</f>
        <v>Back-up childcare provided</v>
      </c>
      <c r="K37" s="3" t="str">
        <f>HYPERLINK("#'Healthcare'!AK1","Q6.2.9_2")</f>
        <v>Q6.2.9_2</v>
      </c>
      <c r="L37" s="93" t="str">
        <f>HYPERLINK("#'Healthcare'!AK2","Primary PPO medical plan: In-network overall deductible per family (preventive care-N/A)")</f>
        <v>Primary PPO medical plan: In-network overall deductible per family (preventive care-N/A)</v>
      </c>
      <c r="M37" s="108" t="str">
        <f>HYPERLINK("#'Disease Mgmt &amp; Wellbeing'!AK1","Q7.5.4")</f>
        <v>Q7.5.4</v>
      </c>
      <c r="N37" s="103" t="str">
        <f>HYPERLINK("#'Disease Mgmt &amp; Wellbeing'!AK2","Company on-site fitness center eligibility ")</f>
        <v xml:space="preserve">Company on-site fitness center eligibility </v>
      </c>
      <c r="O37" s="3" t="str">
        <f>HYPERLINK("#'Trends &amp; Emerging Practices'!AK1","Q8.2.6")</f>
        <v>Q8.2.6</v>
      </c>
      <c r="P37" s="93" t="str">
        <f>HYPERLINK("#'Trends &amp; Emerging Practices'!AK2","Different deductible, co-pay, or co-insurance amount for transgender benefits")</f>
        <v>Different deductible, co-pay, or co-insurance amount for transgender benefits</v>
      </c>
      <c r="Q37" s="3" t="str">
        <f>HYPERLINK("#'Income Protection'!AK1","Q9.1.5_7")</f>
        <v>Q9.1.5_7</v>
      </c>
      <c r="R37" s="4" t="str">
        <f>HYPERLINK("#'Income Protection'!AK2","Other income protection plan with shift differential included in earnings definition")</f>
        <v>Other income protection plan with shift differential included in earnings definition</v>
      </c>
      <c r="S37" s="96" t="str">
        <f>HYPERLINK("#'Retirement, NQDC, Finances'!AK1","Q10.1.30")</f>
        <v>Q10.1.30</v>
      </c>
      <c r="T37" s="93" t="str">
        <f>HYPERLINK("#'Retirement, NQDC, Finances'!AK2","401(k): Plan offers automated in-plan Roth conversions")</f>
        <v>401(k): Plan offers automated in-plan Roth conversions</v>
      </c>
      <c r="U37" s="3" t="str">
        <f>HYPERLINK("#'Time Off'!AK1","Q11.2.3_12")</f>
        <v>Q11.2.3_12</v>
      </c>
      <c r="V37" s="93" t="str">
        <f>HYPERLINK("#'Time Off'!AK2","Vacation hours accrued per calendar year: 20 years of service")</f>
        <v>Vacation hours accrued per calendar year: 20 years of service</v>
      </c>
      <c r="W37" s="3" t="str">
        <f>HYPERLINK("#'Vendors'!AK1","Q12.3.5")</f>
        <v>Q12.3.5</v>
      </c>
      <c r="X37" s="93" t="str">
        <f>HYPERLINK("#'Vendors'!AK2","Communications vendors employed: Hosting")</f>
        <v>Communications vendors employed: Hosting</v>
      </c>
    </row>
    <row r="38" spans="1:24" ht="38.25" x14ac:dyDescent="0.2">
      <c r="A38" s="5" t="str">
        <f>HYPERLINK("#'Company Overview'!AL1","Q1.5.3_5")</f>
        <v>Q1.5.3_5</v>
      </c>
      <c r="B38" s="93" t="str">
        <f>HYPERLINK("#'Company Overview'!AL2","Tuition assistance: Managed by U.S. benefits department")</f>
        <v>Tuition assistance: Managed by U.S. benefits department</v>
      </c>
      <c r="C38" s="96" t="str">
        <f>HYPERLINK("#'Enrollment, Eligib. &amp; Cost'!AL1","Q2.2.2_3_1")</f>
        <v>Q2.2.2_3_1</v>
      </c>
      <c r="D38" s="93" t="str">
        <f>HYPERLINK("#'Enrollment, Eligib. &amp; Cost'!AL2","Medical cost trend before planned design changes: Pharmacy (specialty only)")</f>
        <v>Medical cost trend before planned design changes: Pharmacy (specialty only)</v>
      </c>
      <c r="E38" s="6"/>
      <c r="F38" s="7"/>
      <c r="G38" s="96" t="str">
        <f>HYPERLINK("#'Communications &amp; Engagement'!AL1","Q4.1.4_14")</f>
        <v>Q4.1.4_14</v>
      </c>
      <c r="H38" s="93" t="str">
        <f>HYPERLINK("#'Communications &amp; Engagement'!AL2","Frequency of benefit communications: Videos - YouTube")</f>
        <v>Frequency of benefit communications: Videos - YouTube</v>
      </c>
      <c r="I38" s="96" t="str">
        <f>HYPERLINK("#'Other Benefits'!AL1","Q5.2.21")</f>
        <v>Q5.2.21</v>
      </c>
      <c r="J38" s="93" t="str">
        <f>HYPERLINK("#'Other Benefits'!AL2","Maximum number of back-up childcare days available annually")</f>
        <v>Maximum number of back-up childcare days available annually</v>
      </c>
      <c r="K38" s="3" t="str">
        <f>HYPERLINK("#'Healthcare'!AL1","Q6.2.9_3")</f>
        <v>Q6.2.9_3</v>
      </c>
      <c r="L38" s="93" t="str">
        <f>HYPERLINK("#'Healthcare'!AL2","Primary PPO medical plan: Out-of-network overall deductible per person (preventive care-N/A)")</f>
        <v>Primary PPO medical plan: Out-of-network overall deductible per person (preventive care-N/A)</v>
      </c>
      <c r="M38" s="108" t="str">
        <f>HYPERLINK("#'Disease Mgmt &amp; Wellbeing'!AL1","Q7.5.5")</f>
        <v>Q7.5.5</v>
      </c>
      <c r="N38" s="103" t="str">
        <f>HYPERLINK("#'Disease Mgmt &amp; Wellbeing'!AL2","Activity/fitness tracking devices company sponsored")</f>
        <v>Activity/fitness tracking devices company sponsored</v>
      </c>
      <c r="O38" s="3" t="str">
        <f>HYPERLINK("#'Trends &amp; Emerging Practices'!AL1","Q8.2.7")</f>
        <v>Q8.2.7</v>
      </c>
      <c r="P38" s="93" t="str">
        <f>HYPERLINK("#'Trends &amp; Emerging Practices'!AL2","Lifetime maximum benefit for transgender benefits")</f>
        <v>Lifetime maximum benefit for transgender benefits</v>
      </c>
      <c r="Q38" s="3" t="str">
        <f>HYPERLINK("#'Income Protection'!AL1","Q9.1.5_8")</f>
        <v>Q9.1.5_8</v>
      </c>
      <c r="R38" s="4" t="str">
        <f>HYPERLINK("#'Income Protection'!AL2","Other income protection plan with severance pay included in earnings definition")</f>
        <v>Other income protection plan with severance pay included in earnings definition</v>
      </c>
      <c r="S38" s="96" t="str">
        <f>HYPERLINK("#'Retirement, NQDC, Finances'!AL1","Q10.1.31")</f>
        <v>Q10.1.31</v>
      </c>
      <c r="T38" s="93" t="str">
        <f>HYPERLINK("#'Retirement, NQDC, Finances'!AL2","401(k): Preferred practice with acquired company's plan")</f>
        <v>401(k): Preferred practice with acquired company's plan</v>
      </c>
      <c r="U38" s="3" t="str">
        <f>HYPERLINK("#'Time Off'!AL1","Q11.2.3_13")</f>
        <v>Q11.2.3_13</v>
      </c>
      <c r="V38" s="93" t="str">
        <f>HYPERLINK("#'Time Off'!AL2","Vacation hours accrued per calendar year: 25+ years of service")</f>
        <v>Vacation hours accrued per calendar year: 25+ years of service</v>
      </c>
      <c r="W38" s="3" t="str">
        <f>HYPERLINK("#'Vendors'!AL1","Q12.3.5_52_TEXT")</f>
        <v>Q12.3.5_52_TEXT</v>
      </c>
      <c r="X38" s="93" t="str">
        <f>HYPERLINK("#'Vendors'!AL2","Other communications vendors employed: Hosting")</f>
        <v>Other communications vendors employed: Hosting</v>
      </c>
    </row>
    <row r="39" spans="1:24" ht="38.25" x14ac:dyDescent="0.2">
      <c r="A39" s="5" t="str">
        <f>HYPERLINK("#'Company Overview'!AM1","Q1.5.3_6")</f>
        <v>Q1.5.3_6</v>
      </c>
      <c r="B39" s="93" t="str">
        <f>HYPERLINK("#'Company Overview'!AM2","Adoption assistance: Managed by U.S. benefits department")</f>
        <v>Adoption assistance: Managed by U.S. benefits department</v>
      </c>
      <c r="C39" s="96" t="str">
        <f>HYPERLINK("#'Enrollment, Eligib. &amp; Cost'!AM1","Q2.2.2_4_1")</f>
        <v>Q2.2.2_4_1</v>
      </c>
      <c r="D39" s="93" t="str">
        <f>HYPERLINK("#'Enrollment, Eligib. &amp; Cost'!AM2","Medical cost trend before planned design changes: Behavioral health")</f>
        <v>Medical cost trend before planned design changes: Behavioral health</v>
      </c>
      <c r="E39" s="6"/>
      <c r="F39" s="7"/>
      <c r="G39" s="96" t="str">
        <f>HYPERLINK("#'Communications &amp; Engagement'!AM1","Q4.1.4_15")</f>
        <v>Q4.1.4_15</v>
      </c>
      <c r="H39" s="93" t="str">
        <f>HYPERLINK("#'Communications &amp; Engagement'!AM2","Frequency of benefit communications: In-person meetings")</f>
        <v>Frequency of benefit communications: In-person meetings</v>
      </c>
      <c r="I39" s="96" t="str">
        <f>HYPERLINK("#'Other Benefits'!AM1","Q5.2.22")</f>
        <v>Q5.2.22</v>
      </c>
      <c r="J39" s="93" t="str">
        <f>HYPERLINK("#'Other Benefits'!AM2","Subsidy or reimbursement offered for back-up childcare")</f>
        <v>Subsidy or reimbursement offered for back-up childcare</v>
      </c>
      <c r="K39" s="3" t="str">
        <f>HYPERLINK("#'Healthcare'!AM1","Q6.2.9_4")</f>
        <v>Q6.2.9_4</v>
      </c>
      <c r="L39" s="93" t="str">
        <f>HYPERLINK("#'Healthcare'!AM2","Primary PPO medical plan: Out-of-network overall deductible per family (preventive care-N/A)")</f>
        <v>Primary PPO medical plan: Out-of-network overall deductible per family (preventive care-N/A)</v>
      </c>
      <c r="M39" s="108" t="str">
        <f>HYPERLINK("#'Disease Mgmt &amp; Wellbeing'!AM1","Q7.5.6")</f>
        <v>Q7.5.6</v>
      </c>
      <c r="N39" s="103" t="str">
        <f>HYPERLINK("#'Disease Mgmt &amp; Wellbeing'!AM2","Activity/fitness tracking device upgrade/replacement frequency after employee receives initial device")</f>
        <v>Activity/fitness tracking device upgrade/replacement frequency after employee receives initial device</v>
      </c>
      <c r="O39" s="3" t="str">
        <f>HYPERLINK("#'Trends &amp; Emerging Practices'!AM1","Q8.2.8")</f>
        <v>Q8.2.8</v>
      </c>
      <c r="P39" s="93" t="str">
        <f>HYPERLINK("#'Trends &amp; Emerging Practices'!AM2","Lifetime maximum benefit amount for transgender benefits")</f>
        <v>Lifetime maximum benefit amount for transgender benefits</v>
      </c>
      <c r="Q39" s="3" t="str">
        <f>HYPERLINK("#'Income Protection'!AM1","Q9.1.5_9")</f>
        <v>Q9.1.5_9</v>
      </c>
      <c r="R39" s="4" t="str">
        <f>HYPERLINK("#'Income Protection'!AM2","Other income protection plan with tips included in earnings definition")</f>
        <v>Other income protection plan with tips included in earnings definition</v>
      </c>
      <c r="S39" s="96" t="str">
        <f>HYPERLINK("#'Retirement, NQDC, Finances'!AM1","Q10.1.32")</f>
        <v>Q10.1.32</v>
      </c>
      <c r="T39" s="93" t="str">
        <f>HYPERLINK("#'Retirement, NQDC, Finances'!AM2","401(k): Termination of acquired company's plan/file form 5310 practice")</f>
        <v>401(k): Termination of acquired company's plan/file form 5310 practice</v>
      </c>
      <c r="U39" s="3" t="str">
        <f>HYPERLINK("#'Time Off'!AM1","Q11.2.4")</f>
        <v>Q11.2.4</v>
      </c>
      <c r="V39" s="93" t="str">
        <f>HYPERLINK("#'Time Off'!AM2","Use it or lose it rule enforced for accrued vacation hours (if allowed by law)")</f>
        <v>Use it or lose it rule enforced for accrued vacation hours (if allowed by law)</v>
      </c>
      <c r="W39" s="3" t="str">
        <f>HYPERLINK("#'Vendors'!AM1","Q12.3.6")</f>
        <v>Q12.3.6</v>
      </c>
      <c r="X39" s="93" t="str">
        <f>HYPERLINK("#'Vendors'!AM2","Communications vendors employed: Materials")</f>
        <v>Communications vendors employed: Materials</v>
      </c>
    </row>
    <row r="40" spans="1:24" ht="25.5" x14ac:dyDescent="0.2">
      <c r="A40" s="5" t="str">
        <f>HYPERLINK("#'Company Overview'!AN1","Q1.5.3_7")</f>
        <v>Q1.5.3_7</v>
      </c>
      <c r="B40" s="93" t="str">
        <f>HYPERLINK("#'Company Overview'!AN2","Surrogacy assistance: Managed by U.S. benefits department")</f>
        <v>Surrogacy assistance: Managed by U.S. benefits department</v>
      </c>
      <c r="C40" s="96" t="str">
        <f>HYPERLINK("#'Enrollment, Eligib. &amp; Cost'!AN1","Q2.2.2_5_1")</f>
        <v>Q2.2.2_5_1</v>
      </c>
      <c r="D40" s="93" t="str">
        <f>HYPERLINK("#'Enrollment, Eligib. &amp; Cost'!AN2","Medical cost trend before planned design changes: Medical (fully insured)")</f>
        <v>Medical cost trend before planned design changes: Medical (fully insured)</v>
      </c>
      <c r="E40" s="6"/>
      <c r="F40" s="7"/>
      <c r="G40" s="96" t="str">
        <f>HYPERLINK("#'Communications &amp; Engagement'!AN1","Q4.1.4_16")</f>
        <v>Q4.1.4_16</v>
      </c>
      <c r="H40" s="93" t="str">
        <f>HYPERLINK("#'Communications &amp; Engagement'!AN2","Frequency of benefit communications: Campus health fairs or special events")</f>
        <v>Frequency of benefit communications: Campus health fairs or special events</v>
      </c>
      <c r="I40" s="96" t="str">
        <f>HYPERLINK("#'Other Benefits'!AN1","Q5.2.23")</f>
        <v>Q5.2.23</v>
      </c>
      <c r="J40" s="93" t="str">
        <f>HYPERLINK("#'Other Benefits'!AN2","Maximum annual dollar amount of back-up childcare subsidy or reimbursement")</f>
        <v>Maximum annual dollar amount of back-up childcare subsidy or reimbursement</v>
      </c>
      <c r="K40" s="3" t="str">
        <f>HYPERLINK("#'Healthcare'!AN1","Q6.2.10")</f>
        <v>Q6.2.10</v>
      </c>
      <c r="L40" s="93" t="str">
        <f>HYPERLINK("#'Healthcare'!AN2","Primary PPO medical plan: Embedded or non-embedded deductible")</f>
        <v>Primary PPO medical plan: Embedded or non-embedded deductible</v>
      </c>
      <c r="M40" s="108" t="str">
        <f>HYPERLINK("#'Disease Mgmt &amp; Wellbeing'!AN1","Q7.5.7")</f>
        <v>Q7.5.7</v>
      </c>
      <c r="N40" s="103" t="str">
        <f>HYPERLINK("#'Disease Mgmt &amp; Wellbeing'!AN2","Company sponsored activity/fitness tracking device eligibility")</f>
        <v>Company sponsored activity/fitness tracking device eligibility</v>
      </c>
      <c r="O40" s="3" t="str">
        <f>HYPERLINK("#'Trends &amp; Emerging Practices'!AN1","Q8.2.9")</f>
        <v>Q8.2.9</v>
      </c>
      <c r="P40" s="93" t="str">
        <f>HYPERLINK("#'Trends &amp; Emerging Practices'!AN2","Transgender benefit offerings")</f>
        <v>Transgender benefit offerings</v>
      </c>
      <c r="Q40" s="3" t="str">
        <f>HYPERLINK("#'Income Protection'!AN1","Q9.1.5_10")</f>
        <v>Q9.1.5_10</v>
      </c>
      <c r="R40" s="4" t="str">
        <f>HYPERLINK("#'Income Protection'!AN2","Other income protection plan with stock income included in earnings definition")</f>
        <v>Other income protection plan with stock income included in earnings definition</v>
      </c>
      <c r="S40" s="96" t="str">
        <f>HYPERLINK("#'Retirement, NQDC, Finances'!AN1","Q10.1.33")</f>
        <v>Q10.1.33</v>
      </c>
      <c r="T40" s="93" t="str">
        <f>HYPERLINK("#'Retirement, NQDC, Finances'!AN2","401(k): Discrimination test refunds or limits on deferrals/company activity")</f>
        <v>401(k): Discrimination test refunds or limits on deferrals/company activity</v>
      </c>
      <c r="U40" s="3" t="str">
        <f>HYPERLINK("#'Time Off'!AN1","Q11.2.5")</f>
        <v>Q11.2.5</v>
      </c>
      <c r="V40" s="93" t="str">
        <f>HYPERLINK("#'Time Off'!AN2","Vacation hour accrual maximum")</f>
        <v>Vacation hour accrual maximum</v>
      </c>
      <c r="W40" s="3" t="str">
        <f>HYPERLINK("#'Vendors'!AN1","Q12.3.6_52_TEXT")</f>
        <v>Q12.3.6_52_TEXT</v>
      </c>
      <c r="X40" s="93" t="str">
        <f>HYPERLINK("#'Vendors'!AN2","Other communications vendors employed: Materials")</f>
        <v>Other communications vendors employed: Materials</v>
      </c>
    </row>
    <row r="41" spans="1:24" ht="38.25" x14ac:dyDescent="0.2">
      <c r="A41" s="5" t="str">
        <f>HYPERLINK("#'Company Overview'!AO1","Q1.5.3_8")</f>
        <v>Q1.5.3_8</v>
      </c>
      <c r="B41" s="93" t="str">
        <f>HYPERLINK("#'Company Overview'!AO2","Flexible savings accounts: Managed by U.S. benefits department")</f>
        <v>Flexible savings accounts: Managed by U.S. benefits department</v>
      </c>
      <c r="C41" s="96" t="str">
        <f>HYPERLINK("#'Enrollment, Eligib. &amp; Cost'!AO1","Q2.2.3_1_1")</f>
        <v>Q2.2.3_1_1</v>
      </c>
      <c r="D41" s="93" t="str">
        <f>HYPERLINK("#'Enrollment, Eligib. &amp; Cost'!AO2","Medical cost trend after planned design changes: Medical (self-insured)")</f>
        <v>Medical cost trend after planned design changes: Medical (self-insured)</v>
      </c>
      <c r="E41" s="6"/>
      <c r="F41" s="7"/>
      <c r="G41" s="96" t="str">
        <f>HYPERLINK("#'Communications &amp; Engagement'!AO1","Q4.1.4_17")</f>
        <v>Q4.1.4_17</v>
      </c>
      <c r="H41" s="93" t="str">
        <f>HYPERLINK("#'Communications &amp; Engagement'!AO2","Frequency of benefit communications: Push Text Messages")</f>
        <v>Frequency of benefit communications: Push Text Messages</v>
      </c>
      <c r="I41" s="96" t="str">
        <f>HYPERLINK("#'Other Benefits'!AO1","Q5.2.25")</f>
        <v>Q5.2.25</v>
      </c>
      <c r="J41" s="93" t="str">
        <f>HYPERLINK("#'Other Benefits'!AO2","Elder care assistance offered")</f>
        <v>Elder care assistance offered</v>
      </c>
      <c r="K41" s="3" t="str">
        <f>HYPERLINK("#'Healthcare'!AO1","Q6.2.11_1")</f>
        <v>Q6.2.11_1</v>
      </c>
      <c r="L41" s="93" t="str">
        <f>HYPERLINK("#'Healthcare'!AO2","Primary PPO medical plan in-network services with separate deductibles: Not applicable - no separate deductibles")</f>
        <v>Primary PPO medical plan in-network services with separate deductibles: Not applicable - no separate deductibles</v>
      </c>
      <c r="M41" s="108" t="str">
        <f>HYPERLINK("#'Disease Mgmt &amp; Wellbeing'!AO1","Q7.5.8")</f>
        <v>Q7.5.8</v>
      </c>
      <c r="N41" s="103" t="str">
        <f>HYPERLINK("#'Disease Mgmt &amp; Wellbeing'!AO2","Non-company off-site fitness center membership cost subsidized by company")</f>
        <v>Non-company off-site fitness center membership cost subsidized by company</v>
      </c>
      <c r="O41" s="3" t="str">
        <f>HYPERLINK("#'Trends &amp; Emerging Practices'!AO1","Q8.2.10")</f>
        <v>Q8.2.10</v>
      </c>
      <c r="P41" s="93" t="str">
        <f>HYPERLINK("#'Trends &amp; Emerging Practices'!AO2","Transgender surgery requirements")</f>
        <v>Transgender surgery requirements</v>
      </c>
      <c r="Q41" s="3" t="str">
        <f>HYPERLINK("#'Income Protection'!AO1","Q9.1.5_11")</f>
        <v>Q9.1.5_11</v>
      </c>
      <c r="R41" s="4" t="str">
        <f>HYPERLINK("#'Income Protection'!AO2","Other income protection plan with non-qualified plan distributions included in earnings definition")</f>
        <v>Other income protection plan with non-qualified plan distributions included in earnings definition</v>
      </c>
      <c r="S41" s="96" t="str">
        <f>HYPERLINK("#'Retirement, NQDC, Finances'!AO1","Q10.1.34")</f>
        <v>Q10.1.34</v>
      </c>
      <c r="T41" s="93" t="str">
        <f>HYPERLINK("#'Retirement, NQDC, Finances'!AO2","401(k): Total market value")</f>
        <v>401(k): Total market value</v>
      </c>
      <c r="U41" s="3" t="str">
        <f>HYPERLINK("#'Time Off'!AO1","Q11.2.6")</f>
        <v>Q11.2.6</v>
      </c>
      <c r="V41" s="93" t="str">
        <f>HYPERLINK("#'Time Off'!AO2","Vacation accrual maximum formula")</f>
        <v>Vacation accrual maximum formula</v>
      </c>
      <c r="W41" s="3" t="str">
        <f>HYPERLINK("#'Vendors'!AO1","Q12.3.7")</f>
        <v>Q12.3.7</v>
      </c>
      <c r="X41" s="93" t="str">
        <f>HYPERLINK("#'Vendors'!AO2","Communications vendors employed: Video developer")</f>
        <v>Communications vendors employed: Video developer</v>
      </c>
    </row>
    <row r="42" spans="1:24" ht="38.25" x14ac:dyDescent="0.2">
      <c r="A42" s="5" t="str">
        <f>HYPERLINK("#'Company Overview'!AP1","Q1.5.3_9")</f>
        <v>Q1.5.3_9</v>
      </c>
      <c r="B42" s="93" t="str">
        <f>HYPERLINK("#'Company Overview'!AP2","Health savings accounts: Managed by U.S. benefits department")</f>
        <v>Health savings accounts: Managed by U.S. benefits department</v>
      </c>
      <c r="C42" s="96" t="str">
        <f>HYPERLINK("#'Enrollment, Eligib. &amp; Cost'!AP1","Q2.2.3_2_1")</f>
        <v>Q2.2.3_2_1</v>
      </c>
      <c r="D42" s="93" t="str">
        <f>HYPERLINK("#'Enrollment, Eligib. &amp; Cost'!AP2","Medical cost trend after planned design changes: Pharmacy (includes specialty)")</f>
        <v>Medical cost trend after planned design changes: Pharmacy (includes specialty)</v>
      </c>
      <c r="E42" s="6"/>
      <c r="F42" s="7"/>
      <c r="G42" s="96" t="str">
        <f>HYPERLINK("#'Communications &amp; Engagement'!AP1","Q4.1.4_18")</f>
        <v>Q4.1.4_18</v>
      </c>
      <c r="H42" s="93" t="str">
        <f>HYPERLINK("#'Communications &amp; Engagement'!AP2","Frequency of benefit communications: Facebook (or equivalent)")</f>
        <v>Frequency of benefit communications: Facebook (or equivalent)</v>
      </c>
      <c r="I42" s="96" t="str">
        <f>HYPERLINK("#'Other Benefits'!AP1","Q5.2.26")</f>
        <v>Q5.2.26</v>
      </c>
      <c r="J42" s="93" t="str">
        <f>HYPERLINK("#'Other Benefits'!AP2","Maximum number of eldercare days available annually")</f>
        <v>Maximum number of eldercare days available annually</v>
      </c>
      <c r="K42" s="3" t="str">
        <f>HYPERLINK("#'Healthcare'!AP1","Q6.2.11_2")</f>
        <v>Q6.2.11_2</v>
      </c>
      <c r="L42" s="93" t="str">
        <f>HYPERLINK("#'Healthcare'!AP2","Primary PPO medical plan in-network services with separate deductibles per person: Acupuncture")</f>
        <v>Primary PPO medical plan in-network services with separate deductibles per person: Acupuncture</v>
      </c>
      <c r="M42" s="108" t="str">
        <f>HYPERLINK("#'Disease Mgmt &amp; Wellbeing'!AP1","Q7.5.9")</f>
        <v>Q7.5.9</v>
      </c>
      <c r="N42" s="103" t="str">
        <f>HYPERLINK("#'Disease Mgmt &amp; Wellbeing'!AP2","Non-company off-site fitness center memberships subsidy eligibility")</f>
        <v>Non-company off-site fitness center memberships subsidy eligibility</v>
      </c>
      <c r="O42" s="3" t="str">
        <f>HYPERLINK("#'Trends &amp; Emerging Practices'!AP1","Q8.2.11_1")</f>
        <v>Q8.2.11_1</v>
      </c>
      <c r="P42" s="93" t="str">
        <f>HYPERLINK("#'Trends &amp; Emerging Practices'!AP2","Status of transgender benefit coverage for most prevalent PPO")</f>
        <v>Status of transgender benefit coverage for most prevalent PPO</v>
      </c>
      <c r="Q42" s="3" t="str">
        <f>HYPERLINK("#'Income Protection'!AP1","Q9.1.5_12")</f>
        <v>Q9.1.5_12</v>
      </c>
      <c r="R42" s="4" t="str">
        <f>HYPERLINK("#'Income Protection'!AP2","Other income protection plan with patent awards included in earnings definition")</f>
        <v>Other income protection plan with patent awards included in earnings definition</v>
      </c>
      <c r="S42" s="96" t="str">
        <f>HYPERLINK("#'Retirement, NQDC, Finances'!AP1","Q10.2.2")</f>
        <v>Q10.2.2</v>
      </c>
      <c r="T42" s="93" t="str">
        <f>HYPERLINK("#'Retirement, NQDC, Finances'!AP2","401(k): Match offered in plan")</f>
        <v>401(k): Match offered in plan</v>
      </c>
      <c r="U42" s="3" t="str">
        <f>HYPERLINK("#'Time Off'!AP1","Q11.2.7")</f>
        <v>Q11.2.7</v>
      </c>
      <c r="V42" s="93" t="str">
        <f>HYPERLINK("#'Time Off'!AP2","Borrow against future vacation accrual allowed")</f>
        <v>Borrow against future vacation accrual allowed</v>
      </c>
      <c r="W42" s="3" t="str">
        <f>HYPERLINK("#'Vendors'!AP1","Q12.3.7_52_TEXT")</f>
        <v>Q12.3.7_52_TEXT</v>
      </c>
      <c r="X42" s="93" t="str">
        <f>HYPERLINK("#'Vendors'!AP2","Other communications vendors employed: Video developer")</f>
        <v>Other communications vendors employed: Video developer</v>
      </c>
    </row>
    <row r="43" spans="1:24" ht="25.5" x14ac:dyDescent="0.2">
      <c r="A43" s="5" t="str">
        <f>HYPERLINK("#'Company Overview'!AQ1","Q1.5.3_10")</f>
        <v>Q1.5.3_10</v>
      </c>
      <c r="B43" s="93" t="str">
        <f>HYPERLINK("#'Company Overview'!AQ2","Health reimbursement accounts: Managed by U.S. benefits department")</f>
        <v>Health reimbursement accounts: Managed by U.S. benefits department</v>
      </c>
      <c r="C43" s="96" t="str">
        <f>HYPERLINK("#'Enrollment, Eligib. &amp; Cost'!AQ1","Q2.2.3_3_1")</f>
        <v>Q2.2.3_3_1</v>
      </c>
      <c r="D43" s="93" t="str">
        <f>HYPERLINK("#'Enrollment, Eligib. &amp; Cost'!AQ2","Medical cost trend after planned design changes: Pharmacy (specialty only)")</f>
        <v>Medical cost trend after planned design changes: Pharmacy (specialty only)</v>
      </c>
      <c r="E43" s="6"/>
      <c r="F43" s="7"/>
      <c r="G43" s="96" t="str">
        <f>HYPERLINK("#'Communications &amp; Engagement'!AQ1","Q4.1.4_19")</f>
        <v>Q4.1.4_19</v>
      </c>
      <c r="H43" s="93" t="str">
        <f>HYPERLINK("#'Communications &amp; Engagement'!AQ2","Frequency of benefit communications: Twitter (or equivalent)")</f>
        <v>Frequency of benefit communications: Twitter (or equivalent)</v>
      </c>
      <c r="I43" s="96" t="str">
        <f>HYPERLINK("#'Other Benefits'!AQ1","Q5.2.27")</f>
        <v>Q5.2.27</v>
      </c>
      <c r="J43" s="93" t="str">
        <f>HYPERLINK("#'Other Benefits'!AQ2","Type of eldercare assistance provided by employee assistance program.")</f>
        <v>Type of eldercare assistance provided by employee assistance program.</v>
      </c>
      <c r="K43" s="3" t="str">
        <f>HYPERLINK("#'Healthcare'!AQ1","Q6.2.11_3")</f>
        <v>Q6.2.11_3</v>
      </c>
      <c r="L43" s="93" t="str">
        <f>HYPERLINK("#'Healthcare'!AQ2","Primary PPO medical plan in-network services with separate deductibles: Chiropractic")</f>
        <v>Primary PPO medical plan in-network services with separate deductibles: Chiropractic</v>
      </c>
      <c r="M43" s="108" t="str">
        <f>HYPERLINK("#'Disease Mgmt &amp; Wellbeing'!AQ1","Q7.5.10")</f>
        <v>Q7.5.10</v>
      </c>
      <c r="N43" s="103" t="str">
        <f>HYPERLINK("#'Disease Mgmt &amp; Wellbeing'!AQ2","Non-company off-site fitness center membership annual subsidy maximum")</f>
        <v>Non-company off-site fitness center membership annual subsidy maximum</v>
      </c>
      <c r="O43" s="3" t="str">
        <f>HYPERLINK("#'Trends &amp; Emerging Practices'!AQ1","Q8.2.11_2")</f>
        <v>Q8.2.11_2</v>
      </c>
      <c r="P43" s="93" t="str">
        <f>HYPERLINK("#'Trends &amp; Emerging Practices'!AQ2","Status of transgender benefit coverage for most prevalent POS")</f>
        <v>Status of transgender benefit coverage for most prevalent POS</v>
      </c>
      <c r="Q43" s="3" t="str">
        <f>HYPERLINK("#'Income Protection'!AQ1","Q9.1.5_13")</f>
        <v>Q9.1.5_13</v>
      </c>
      <c r="R43" s="4" t="str">
        <f>HYPERLINK("#'Income Protection'!AQ2","Other income protection plan with vacation included in earnings definition")</f>
        <v>Other income protection plan with vacation included in earnings definition</v>
      </c>
      <c r="S43" s="96" t="str">
        <f>HYPERLINK("#'Retirement, NQDC, Finances'!AQ1","Q10.2.3")</f>
        <v>Q10.2.3</v>
      </c>
      <c r="T43" s="93" t="str">
        <f>HYPERLINK("#'Retirement, NQDC, Finances'!AQ2","401(k): Changes to company match in 2021")</f>
        <v>401(k): Changes to company match in 2021</v>
      </c>
      <c r="U43" s="3" t="str">
        <f>HYPERLINK("#'Time Off'!AQ1","Q11.2.8")</f>
        <v>Q11.2.8</v>
      </c>
      <c r="V43" s="93" t="str">
        <f>HYPERLINK("#'Time Off'!AQ2","Maximum number of vacation hours employees can borrow")</f>
        <v>Maximum number of vacation hours employees can borrow</v>
      </c>
      <c r="W43" s="3" t="str">
        <f>HYPERLINK("#'Vendors'!AQ1","Q12.3.8")</f>
        <v>Q12.3.8</v>
      </c>
      <c r="X43" s="93" t="str">
        <f>HYPERLINK("#'Vendors'!AQ2","Communications vendors employed: ACA communications")</f>
        <v>Communications vendors employed: ACA communications</v>
      </c>
    </row>
    <row r="44" spans="1:24" ht="38.25" x14ac:dyDescent="0.2">
      <c r="A44" s="5" t="str">
        <f>HYPERLINK("#'Company Overview'!AR1","Q1.5.3_11")</f>
        <v>Q1.5.3_11</v>
      </c>
      <c r="B44" s="93" t="str">
        <f>HYPERLINK("#'Company Overview'!AR2","Pre-tax commuter: Managed by U.S. benefits department")</f>
        <v>Pre-tax commuter: Managed by U.S. benefits department</v>
      </c>
      <c r="C44" s="96" t="str">
        <f>HYPERLINK("#'Enrollment, Eligib. &amp; Cost'!AR1","Q2.2.3_4_1")</f>
        <v>Q2.2.3_4_1</v>
      </c>
      <c r="D44" s="93" t="str">
        <f>HYPERLINK("#'Enrollment, Eligib. &amp; Cost'!AR2","Medical cost trend after planned design changes: Behavioral health")</f>
        <v>Medical cost trend after planned design changes: Behavioral health</v>
      </c>
      <c r="E44" s="6"/>
      <c r="F44" s="7"/>
      <c r="G44" s="96" t="str">
        <f>HYPERLINK("#'Communications &amp; Engagement'!AR1","Q4.1.4_20")</f>
        <v>Q4.1.4_20</v>
      </c>
      <c r="H44" s="93" t="str">
        <f>HYPERLINK("#'Communications &amp; Engagement'!AR2","Frequency of benefit communications: Blogs")</f>
        <v>Frequency of benefit communications: Blogs</v>
      </c>
      <c r="I44" s="96" t="str">
        <f>HYPERLINK("#'Other Benefits'!AR1","Q5.2.28")</f>
        <v>Q5.2.28</v>
      </c>
      <c r="J44" s="93" t="str">
        <f>HYPERLINK("#'Other Benefits'!AR2","Other benefits provided through eldercare benefit")</f>
        <v>Other benefits provided through eldercare benefit</v>
      </c>
      <c r="K44" s="3" t="str">
        <f>HYPERLINK("#'Healthcare'!AR1","Q6.2.11_4")</f>
        <v>Q6.2.11_4</v>
      </c>
      <c r="L44" s="93" t="str">
        <f>HYPERLINK("#'Healthcare'!AR2","Primary PPO medical plan in-network services with separate deductibles: Emergency room (true emergency)")</f>
        <v>Primary PPO medical plan in-network services with separate deductibles: Emergency room (true emergency)</v>
      </c>
      <c r="M44" s="108" t="str">
        <f>HYPERLINK("#'Disease Mgmt &amp; Wellbeing'!AR1","Q7.5.11")</f>
        <v>Q7.5.11</v>
      </c>
      <c r="N44" s="103" t="str">
        <f>HYPERLINK("#'Disease Mgmt &amp; Wellbeing'!AR2","Other well-being reimbursement offered outside of an off-site fitness center subsidy")</f>
        <v>Other well-being reimbursement offered outside of an off-site fitness center subsidy</v>
      </c>
      <c r="O44" s="3" t="str">
        <f>HYPERLINK("#'Trends &amp; Emerging Practices'!AR1","Q8.2.11_3")</f>
        <v>Q8.2.11_3</v>
      </c>
      <c r="P44" s="93" t="str">
        <f>HYPERLINK("#'Trends &amp; Emerging Practices'!AR2","Status of transgender benefit coverage for most prevalent CDHP/HDHP with health reimbursement account")</f>
        <v>Status of transgender benefit coverage for most prevalent CDHP/HDHP with health reimbursement account</v>
      </c>
      <c r="Q44" s="3" t="str">
        <f>HYPERLINK("#'Income Protection'!AR1","Q9.1.5_14")</f>
        <v>Q9.1.5_14</v>
      </c>
      <c r="R44" s="4" t="str">
        <f>HYPERLINK("#'Income Protection'!AR2","Other income protection plan with other included in earnings definition")</f>
        <v>Other income protection plan with other included in earnings definition</v>
      </c>
      <c r="S44" s="96" t="str">
        <f>HYPERLINK("#'Retirement, NQDC, Finances'!AR1","Q10.2.4")</f>
        <v>Q10.2.4</v>
      </c>
      <c r="T44" s="93" t="str">
        <f>HYPERLINK("#'Retirement, NQDC, Finances'!AR2","401(k): Company match changes made")</f>
        <v>401(k): Company match changes made</v>
      </c>
      <c r="U44" s="3" t="str">
        <f>HYPERLINK("#'Time Off'!AR1","Q11.3.2")</f>
        <v>Q11.3.2</v>
      </c>
      <c r="V44" s="93" t="str">
        <f>HYPERLINK("#'Time Off'!AR2","Minimum scheduled weekly work hours for paid time off eligibility")</f>
        <v>Minimum scheduled weekly work hours for paid time off eligibility</v>
      </c>
      <c r="W44" s="3" t="str">
        <f>HYPERLINK("#'Vendors'!AR1","Q12.3.8_52_TEXT")</f>
        <v>Q12.3.8_52_TEXT</v>
      </c>
      <c r="X44" s="93" t="str">
        <f>HYPERLINK("#'Vendors'!AR2","Other communications vendors employed: ACA communications")</f>
        <v>Other communications vendors employed: ACA communications</v>
      </c>
    </row>
    <row r="45" spans="1:24" ht="38.25" x14ac:dyDescent="0.2">
      <c r="A45" s="5" t="str">
        <f>HYPERLINK("#'Company Overview'!AS1","Q1.5.4_1")</f>
        <v>Q1.5.4_1</v>
      </c>
      <c r="B45" s="93" t="str">
        <f>HYPERLINK("#'Company Overview'!AS2","Disability: Managed by U.S. benefits department")</f>
        <v>Disability: Managed by U.S. benefits department</v>
      </c>
      <c r="C45" s="96" t="str">
        <f>HYPERLINK("#'Enrollment, Eligib. &amp; Cost'!AS1","Q2.2.3_5_1")</f>
        <v>Q2.2.3_5_1</v>
      </c>
      <c r="D45" s="93" t="str">
        <f>HYPERLINK("#'Enrollment, Eligib. &amp; Cost'!AS2","Medical cost trend after planned design changes: Medical (fully insured)")</f>
        <v>Medical cost trend after planned design changes: Medical (fully insured)</v>
      </c>
      <c r="E45" s="6"/>
      <c r="F45" s="7"/>
      <c r="G45" s="96" t="str">
        <f>HYPERLINK("#'Communications &amp; Engagement'!AS1","Q4.1.4_21")</f>
        <v>Q4.1.4_21</v>
      </c>
      <c r="H45" s="93" t="str">
        <f>HYPERLINK("#'Communications &amp; Engagement'!AS2","Frequency of benefit communications: Wikis")</f>
        <v>Frequency of benefit communications: Wikis</v>
      </c>
      <c r="I45" s="96" t="str">
        <f>HYPERLINK("#'Other Benefits'!AS1","Q5.2.30")</f>
        <v>Q5.2.30</v>
      </c>
      <c r="J45" s="93" t="str">
        <f>HYPERLINK("#'Other Benefits'!AS2","Embryonic cryopreservation benefits offered")</f>
        <v>Embryonic cryopreservation benefits offered</v>
      </c>
      <c r="K45" s="3" t="str">
        <f>HYPERLINK("#'Healthcare'!AS1","Q6.2.11_5")</f>
        <v>Q6.2.11_5</v>
      </c>
      <c r="L45" s="93" t="str">
        <f>HYPERLINK("#'Healthcare'!AS2","Primary PPO medical plan in-network services with separate deductibles: Emergency room (non-emergency)")</f>
        <v>Primary PPO medical plan in-network services with separate deductibles: Emergency room (non-emergency)</v>
      </c>
      <c r="M45" s="108" t="str">
        <f>HYPERLINK("#'Disease Mgmt &amp; Wellbeing'!AS1","Q7.5.12")</f>
        <v>Q7.5.12</v>
      </c>
      <c r="N45" s="103" t="str">
        <f>HYPERLINK("#'Disease Mgmt &amp; Wellbeing'!AS2","Types of well-being programs or services eligible for reimbursement ")</f>
        <v xml:space="preserve">Types of well-being programs or services eligible for reimbursement </v>
      </c>
      <c r="O45" s="3" t="str">
        <f>HYPERLINK("#'Trends &amp; Emerging Practices'!AS1","Q8.2.11_4")</f>
        <v>Q8.2.11_4</v>
      </c>
      <c r="P45" s="93" t="str">
        <f>HYPERLINK("#'Trends &amp; Emerging Practices'!AS2","Status of transgender benefit coverage for most prevalent CDHP/HDHP with health savings account")</f>
        <v>Status of transgender benefit coverage for most prevalent CDHP/HDHP with health savings account</v>
      </c>
      <c r="Q45" s="3" t="str">
        <f>HYPERLINK("#'Income Protection'!AS1","Q9.1.6")</f>
        <v>Q9.1.6</v>
      </c>
      <c r="R45" s="4" t="str">
        <f>HYPERLINK("#'Income Protection'!AS2","Other income protection benefit plans with a specific salary type definition")</f>
        <v>Other income protection benefit plans with a specific salary type definition</v>
      </c>
      <c r="S45" s="96" t="str">
        <f>HYPERLINK("#'Retirement, NQDC, Finances'!AS1","Q10.2.5")</f>
        <v>Q10.2.5</v>
      </c>
      <c r="T45" s="93" t="str">
        <f>HYPERLINK("#'Retirement, NQDC, Finances'!AS2","401(k): Company match contribution model")</f>
        <v>401(k): Company match contribution model</v>
      </c>
      <c r="U45" s="3" t="str">
        <f>HYPERLINK("#'Time Off'!AS1","Q11.3.3_1")</f>
        <v>Q11.3.3_1</v>
      </c>
      <c r="V45" s="93" t="str">
        <f>HYPERLINK("#'Time Off'!AS2","Number of paid time off hours accrued per year: less than 1 year of service")</f>
        <v>Number of paid time off hours accrued per year: less than 1 year of service</v>
      </c>
      <c r="W45" s="3" t="str">
        <f>HYPERLINK("#'Vendors'!AS1","Q12.3.9")</f>
        <v>Q12.3.9</v>
      </c>
      <c r="X45" s="93" t="str">
        <f>HYPERLINK("#'Vendors'!AS2","Communications vendors employed: Total rewards statements")</f>
        <v>Communications vendors employed: Total rewards statements</v>
      </c>
    </row>
    <row r="46" spans="1:24" ht="38.25" x14ac:dyDescent="0.2">
      <c r="A46" s="5" t="str">
        <f>HYPERLINK("#'Company Overview'!AT1","Q1.5.4_2")</f>
        <v>Q1.5.4_2</v>
      </c>
      <c r="B46" s="93" t="str">
        <f>HYPERLINK("#'Company Overview'!AT2","Worker's compensation: Managed by U.S. benefits department")</f>
        <v>Worker's compensation: Managed by U.S. benefits department</v>
      </c>
      <c r="C46" s="96" t="str">
        <f>HYPERLINK("#'Enrollment, Eligib. &amp; Cost'!AT1","Q2.2.4_1_1")</f>
        <v>Q2.2.4_1_1</v>
      </c>
      <c r="D46" s="93" t="str">
        <f>HYPERLINK("#'Enrollment, Eligib. &amp; Cost'!AT2","Average percentage of overall employee costs paid for full-time employees: Medical plan")</f>
        <v>Average percentage of overall employee costs paid for full-time employees: Medical plan</v>
      </c>
      <c r="E46" s="6"/>
      <c r="F46" s="7"/>
      <c r="G46" s="96" t="str">
        <f>HYPERLINK("#'Communications &amp; Engagement'!AT1","Q4.1.4_22")</f>
        <v>Q4.1.4_22</v>
      </c>
      <c r="H46" s="93" t="str">
        <f>HYPERLINK("#'Communications &amp; Engagement'!AT2","Frequency of benefit communications: Slack")</f>
        <v>Frequency of benefit communications: Slack</v>
      </c>
      <c r="I46" s="96" t="str">
        <f>HYPERLINK("#'Other Benefits'!AT1","Q5.2.31")</f>
        <v>Q5.2.31</v>
      </c>
      <c r="J46" s="93" t="str">
        <f>HYPERLINK("#'Other Benefits'!AT2","Embryonic cryopreservation benefits have different deductible, co-pay, or co-insurance amount")</f>
        <v>Embryonic cryopreservation benefits have different deductible, co-pay, or co-insurance amount</v>
      </c>
      <c r="K46" s="3" t="str">
        <f>HYPERLINK("#'Healthcare'!AT1","Q6.2.11_6")</f>
        <v>Q6.2.11_6</v>
      </c>
      <c r="L46" s="93" t="str">
        <f>HYPERLINK("#'Healthcare'!AT2","Primary PPO medical plan in-network services with separate deductibles: Emergency room (with hospital admittance)")</f>
        <v>Primary PPO medical plan in-network services with separate deductibles: Emergency room (with hospital admittance)</v>
      </c>
      <c r="M46" s="108" t="str">
        <f>HYPERLINK("#'Disease Mgmt &amp; Wellbeing'!AT1","Q7.5.12_5_TEXT")</f>
        <v>Q7.5.12_5_TEXT</v>
      </c>
      <c r="N46" s="103" t="str">
        <f>HYPERLINK("#'Disease Mgmt &amp; Wellbeing'!AT2","Other types of well-being programs or services eligible for reimbursement")</f>
        <v>Other types of well-being programs or services eligible for reimbursement</v>
      </c>
      <c r="O46" s="3" t="str">
        <f>HYPERLINK("#'Trends &amp; Emerging Practices'!AT1","Q8.2.11_5")</f>
        <v>Q8.2.11_5</v>
      </c>
      <c r="P46" s="93" t="str">
        <f>HYPERLINK("#'Trends &amp; Emerging Practices'!AT2","Status of transgender benefit coverage for most prevalent HMO")</f>
        <v>Status of transgender benefit coverage for most prevalent HMO</v>
      </c>
      <c r="Q46" s="3" t="str">
        <f>HYPERLINK("#'Income Protection'!AT1","Q9.1.7")</f>
        <v>Q9.1.7</v>
      </c>
      <c r="R46" s="4" t="str">
        <f>HYPERLINK("#'Income Protection'!AT2","Plan name of other income protection benefit plans with a specific salary type definition")</f>
        <v>Plan name of other income protection benefit plans with a specific salary type definition</v>
      </c>
      <c r="S46" s="96" t="str">
        <f>HYPERLINK("#'Retirement, NQDC, Finances'!AT1","Q10.2.6")</f>
        <v>Q10.2.6</v>
      </c>
      <c r="T46" s="93" t="str">
        <f>HYPERLINK("#'Retirement, NQDC, Finances'!AT2","401(k): Company match offering/contribution model based on years of service")</f>
        <v>401(k): Company match offering/contribution model based on years of service</v>
      </c>
      <c r="U46" s="3" t="str">
        <f>HYPERLINK("#'Time Off'!AT1","Q11.3.3_2")</f>
        <v>Q11.3.3_2</v>
      </c>
      <c r="V46" s="93" t="str">
        <f>HYPERLINK("#'Time Off'!AT2","Number of paid time off hours accrued per year: 1 years of service")</f>
        <v>Number of paid time off hours accrued per year: 1 years of service</v>
      </c>
      <c r="W46" s="3" t="str">
        <f>HYPERLINK("#'Vendors'!AT1","Q12.3.9_52_TEXT")</f>
        <v>Q12.3.9_52_TEXT</v>
      </c>
      <c r="X46" s="93" t="str">
        <f>HYPERLINK("#'Vendors'!AT2","Other communications vendors employed: Total rewards statements")</f>
        <v>Other communications vendors employed: Total rewards statements</v>
      </c>
    </row>
    <row r="47" spans="1:24" ht="38.25" x14ac:dyDescent="0.2">
      <c r="A47" s="5" t="str">
        <f>HYPERLINK("#'Company Overview'!AU1","Q1.5.4_3")</f>
        <v>Q1.5.4_3</v>
      </c>
      <c r="B47" s="93" t="str">
        <f>HYPERLINK("#'Company Overview'!AU2","Return to work and workplace accommodations: Managed by U.S. benefits department")</f>
        <v>Return to work and workplace accommodations: Managed by U.S. benefits department</v>
      </c>
      <c r="C47" s="96" t="str">
        <f>HYPERLINK("#'Enrollment, Eligib. &amp; Cost'!AU1","Q2.2.4_1_2")</f>
        <v>Q2.2.4_1_2</v>
      </c>
      <c r="D47" s="93" t="str">
        <f>HYPERLINK("#'Enrollment, Eligib. &amp; Cost'!AU2","Average percentage of overall employee costs paid for part-time employees: Medical plan")</f>
        <v>Average percentage of overall employee costs paid for part-time employees: Medical plan</v>
      </c>
      <c r="E47" s="6"/>
      <c r="F47" s="7"/>
      <c r="G47" s="96" t="str">
        <f>HYPERLINK("#'Communications &amp; Engagement'!AU1","Q4.2.2_1")</f>
        <v>Q4.2.2_1</v>
      </c>
      <c r="H47" s="93" t="str">
        <f>HYPERLINK("#'Communications &amp; Engagement'!AU2","Send benefits-related messages targeted to specific groups: Multi-generations")</f>
        <v>Send benefits-related messages targeted to specific groups: Multi-generations</v>
      </c>
      <c r="I47" s="96" t="str">
        <f>HYPERLINK("#'Other Benefits'!AU1","Q5.2.32")</f>
        <v>Q5.2.32</v>
      </c>
      <c r="J47" s="93" t="str">
        <f>HYPERLINK("#'Other Benefits'!AU2","Length of company provided medically necessary freezing and storage of embryos")</f>
        <v>Length of company provided medically necessary freezing and storage of embryos</v>
      </c>
      <c r="K47" s="3" t="str">
        <f>HYPERLINK("#'Healthcare'!AU1","Q6.2.11_7")</f>
        <v>Q6.2.11_7</v>
      </c>
      <c r="L47" s="93" t="str">
        <f>HYPERLINK("#'Healthcare'!AU2","Primary PPO medical plan in-network services with separate deductibles: Inpatient hospital")</f>
        <v>Primary PPO medical plan in-network services with separate deductibles: Inpatient hospital</v>
      </c>
      <c r="M47" s="108" t="str">
        <f>HYPERLINK("#'Disease Mgmt &amp; Wellbeing'!AU1","Q7.5.13")</f>
        <v>Q7.5.13</v>
      </c>
      <c r="N47" s="103" t="str">
        <f>HYPERLINK("#'Disease Mgmt &amp; Wellbeing'!AU2","Well-being reimbursement annual maximum")</f>
        <v>Well-being reimbursement annual maximum</v>
      </c>
      <c r="O47" s="3" t="str">
        <f>HYPERLINK("#'Trends &amp; Emerging Practices'!AU1","Q8.2.11_6")</f>
        <v>Q8.2.11_6</v>
      </c>
      <c r="P47" s="93" t="str">
        <f>HYPERLINK("#'Trends &amp; Emerging Practices'!AU2","Status of transgender benefit coverage for most prevalent EPO")</f>
        <v>Status of transgender benefit coverage for most prevalent EPO</v>
      </c>
      <c r="Q47" s="3" t="str">
        <f>HYPERLINK("#'Income Protection'!AU1","Q9.1.8")</f>
        <v>Q9.1.8</v>
      </c>
      <c r="R47" s="4" t="str">
        <f>HYPERLINK("#'Income Protection'!AU2","Earnings/pay types included in earnings definition of other income protection benefit plans")</f>
        <v>Earnings/pay types included in earnings definition of other income protection benefit plans</v>
      </c>
      <c r="S47" s="96" t="str">
        <f>HYPERLINK("#'Retirement, NQDC, Finances'!AU1","Q10.2.7")</f>
        <v>Q10.2.7</v>
      </c>
      <c r="T47" s="93" t="str">
        <f>HYPERLINK("#'Retirement, NQDC, Finances'!AU2","401(k): length of service required for match eligibility")</f>
        <v>401(k): length of service required for match eligibility</v>
      </c>
      <c r="U47" s="3" t="str">
        <f>HYPERLINK("#'Time Off'!AU1","Q11.3.3_3")</f>
        <v>Q11.3.3_3</v>
      </c>
      <c r="V47" s="93" t="str">
        <f>HYPERLINK("#'Time Off'!AU2","Number of paid time off hours accrued per year: 2 years of service")</f>
        <v>Number of paid time off hours accrued per year: 2 years of service</v>
      </c>
      <c r="W47" s="3" t="str">
        <f>HYPERLINK("#'Vendors'!AU1","Q12.3.10")</f>
        <v>Q12.3.10</v>
      </c>
      <c r="X47" s="93" t="str">
        <f>HYPERLINK("#'Vendors'!AU2","Communications vendor(s) terminated in 2021")</f>
        <v>Communications vendor(s) terminated in 2021</v>
      </c>
    </row>
    <row r="48" spans="1:24" ht="38.25" x14ac:dyDescent="0.2">
      <c r="A48" s="5" t="str">
        <f>HYPERLINK("#'Company Overview'!AV1","Q1.5.4_4")</f>
        <v>Q1.5.4_4</v>
      </c>
      <c r="B48" s="93" t="str">
        <f>HYPERLINK("#'Company Overview'!AV2","Parental leaves (maternity, paternity): Managed by U.S. benefits department")</f>
        <v>Parental leaves (maternity, paternity): Managed by U.S. benefits department</v>
      </c>
      <c r="C48" s="96" t="str">
        <f>HYPERLINK("#'Enrollment, Eligib. &amp; Cost'!AV1","Q2.2.4_2_1")</f>
        <v>Q2.2.4_2_1</v>
      </c>
      <c r="D48" s="93" t="str">
        <f>HYPERLINK("#'Enrollment, Eligib. &amp; Cost'!AV2","Average percentage of overall employee costs paid for full-time employees: Dental plan")</f>
        <v>Average percentage of overall employee costs paid for full-time employees: Dental plan</v>
      </c>
      <c r="E48" s="6"/>
      <c r="F48" s="7"/>
      <c r="G48" s="96" t="str">
        <f>HYPERLINK("#'Communications &amp; Engagement'!AV1","Q4.2.2_2")</f>
        <v>Q4.2.2_2</v>
      </c>
      <c r="H48" s="93" t="str">
        <f>HYPERLINK("#'Communications &amp; Engagement'!AV2","Send benefits-related messages targeted to specific groups: Culture")</f>
        <v>Send benefits-related messages targeted to specific groups: Culture</v>
      </c>
      <c r="I48" s="96" t="str">
        <f>HYPERLINK("#'Other Benefits'!AV1","Q5.2.33")</f>
        <v>Q5.2.33</v>
      </c>
      <c r="J48" s="93" t="str">
        <f>HYPERLINK("#'Other Benefits'!AV2","Length of elective freezing and storage of embryos")</f>
        <v>Length of elective freezing and storage of embryos</v>
      </c>
      <c r="K48" s="3" t="str">
        <f>HYPERLINK("#'Healthcare'!AV1","Q6.2.11_8")</f>
        <v>Q6.2.11_8</v>
      </c>
      <c r="L48" s="93" t="str">
        <f>HYPERLINK("#'Healthcare'!AV2","Primary PPO medical plan in-network services with separate deductibles: Mental health/substance abuse")</f>
        <v>Primary PPO medical plan in-network services with separate deductibles: Mental health/substance abuse</v>
      </c>
      <c r="M48" s="108" t="str">
        <f>HYPERLINK("#'Disease Mgmt &amp; Wellbeing'!AV1","Q7.5.15")</f>
        <v>Q7.5.15</v>
      </c>
      <c r="N48" s="103" t="str">
        <f>HYPERLINK("#'Disease Mgmt &amp; Wellbeing'!AV2","Online health and well-being resources location")</f>
        <v>Online health and well-being resources location</v>
      </c>
      <c r="O48" s="3" t="str">
        <f>HYPERLINK("#'Trends &amp; Emerging Practices'!AV1","Q8.3.2")</f>
        <v>Q8.3.2</v>
      </c>
      <c r="P48" s="93" t="str">
        <f>HYPERLINK("#'Trends &amp; Emerging Practices'!AV2","Naturopath benefits offered")</f>
        <v>Naturopath benefits offered</v>
      </c>
      <c r="Q48" s="3" t="str">
        <f>HYPERLINK("#'Income Protection'!AV1","Q9.1.9")</f>
        <v>Q9.1.9</v>
      </c>
      <c r="R48" s="4" t="str">
        <f>HYPERLINK("#'Income Protection'!AV2","Other earnings/pay types included in other income protection benefits offerings")</f>
        <v>Other earnings/pay types included in other income protection benefits offerings</v>
      </c>
      <c r="S48" s="96" t="str">
        <f>HYPERLINK("#'Retirement, NQDC, Finances'!AV1","Q10.2.8_1")</f>
        <v>Q10.2.8_1</v>
      </c>
      <c r="T48" s="93" t="str">
        <f>HYPERLINK("#'Retirement, NQDC, Finances'!AV2","401(k) company match for employees who contribute to plan: Pre-tax")</f>
        <v>401(k) company match for employees who contribute to plan: Pre-tax</v>
      </c>
      <c r="U48" s="3" t="str">
        <f>HYPERLINK("#'Time Off'!AV1","Q11.3.3_4")</f>
        <v>Q11.3.3_4</v>
      </c>
      <c r="V48" s="93" t="str">
        <f>HYPERLINK("#'Time Off'!AV2","Number of paid time off hours accrued per year: 3 years of service")</f>
        <v>Number of paid time off hours accrued per year: 3 years of service</v>
      </c>
      <c r="W48" s="3" t="str">
        <f>HYPERLINK("#'Vendors'!AV1","Q12.3.11_1")</f>
        <v>Q12.3.11_1</v>
      </c>
      <c r="X48" s="93" t="str">
        <f>HYPERLINK("#'Vendors'!AV2","Terminated communications vendors: Benefit portal consultants")</f>
        <v>Terminated communications vendors: Benefit portal consultants</v>
      </c>
    </row>
    <row r="49" spans="1:24" ht="38.25" x14ac:dyDescent="0.2">
      <c r="A49" s="5" t="str">
        <f>HYPERLINK("#'Company Overview'!AW1","Q1.5.4_5")</f>
        <v>Q1.5.4_5</v>
      </c>
      <c r="B49" s="93" t="str">
        <f>HYPERLINK("#'Company Overview'!AW2","State and federal mandates (FMLA, sick leave): Managed by U.S. benefits department")</f>
        <v>State and federal mandates (FMLA, sick leave): Managed by U.S. benefits department</v>
      </c>
      <c r="C49" s="96" t="str">
        <f>HYPERLINK("#'Enrollment, Eligib. &amp; Cost'!AW1","Q2.2.4_2_2")</f>
        <v>Q2.2.4_2_2</v>
      </c>
      <c r="D49" s="93" t="str">
        <f>HYPERLINK("#'Enrollment, Eligib. &amp; Cost'!AW2","Average percentage of overall employee costs paid for part-time employees: Dental plan")</f>
        <v>Average percentage of overall employee costs paid for part-time employees: Dental plan</v>
      </c>
      <c r="E49" s="6"/>
      <c r="F49" s="7"/>
      <c r="G49" s="96" t="str">
        <f>HYPERLINK("#'Communications &amp; Engagement'!AW1","Q4.2.2_3")</f>
        <v>Q4.2.2_3</v>
      </c>
      <c r="H49" s="93" t="str">
        <f>HYPERLINK("#'Communications &amp; Engagement'!AW2","Send benefits-related messages targeted to specific groups: Locations or regions")</f>
        <v>Send benefits-related messages targeted to specific groups: Locations or regions</v>
      </c>
      <c r="I49" s="96" t="str">
        <f>HYPERLINK("#'Other Benefits'!AW1","Q5.2.34")</f>
        <v>Q5.2.34</v>
      </c>
      <c r="J49" s="93" t="str">
        <f>HYPERLINK("#'Other Benefits'!AW2","Lifetime maximum benefit for embryonic cryopreservation benefits in place")</f>
        <v>Lifetime maximum benefit for embryonic cryopreservation benefits in place</v>
      </c>
      <c r="K49" s="3" t="str">
        <f>HYPERLINK("#'Healthcare'!AW1","Q6.2.11_9")</f>
        <v>Q6.2.11_9</v>
      </c>
      <c r="L49" s="93" t="str">
        <f>HYPERLINK("#'Healthcare'!AW2","Primary PPO medical plan in-network services with separate deductibles: Outpatient surgical center")</f>
        <v>Primary PPO medical plan in-network services with separate deductibles: Outpatient surgical center</v>
      </c>
      <c r="M49" s="108" t="str">
        <f>HYPERLINK("#'Disease Mgmt &amp; Wellbeing'!AW1","Q7.5.16")</f>
        <v>Q7.5.16</v>
      </c>
      <c r="N49" s="103" t="str">
        <f>HYPERLINK("#'Disease Mgmt &amp; Wellbeing'!AW2","Social media/gaming tools used to promote and support health and well-being ")</f>
        <v xml:space="preserve">Social media/gaming tools used to promote and support health and well-being </v>
      </c>
      <c r="O49" s="3" t="str">
        <f>HYPERLINK("#'Trends &amp; Emerging Practices'!AW1","Q8.3.3")</f>
        <v>Q8.3.3</v>
      </c>
      <c r="P49" s="93" t="str">
        <f>HYPERLINK("#'Trends &amp; Emerging Practices'!AW2","Different deductible, co-pay, or co-insurance amount for naturopath benefits")</f>
        <v>Different deductible, co-pay, or co-insurance amount for naturopath benefits</v>
      </c>
      <c r="Q49" s="3" t="str">
        <f>HYPERLINK("#'Income Protection'!AW1","Q9.1.10")</f>
        <v>Q9.1.10</v>
      </c>
      <c r="R49" s="4" t="str">
        <f>HYPERLINK("#'Income Protection'!AW2","Process to ensure accuracy between plan definition and operations/administration")</f>
        <v>Process to ensure accuracy between plan definition and operations/administration</v>
      </c>
      <c r="S49" s="96" t="str">
        <f>HYPERLINK("#'Retirement, NQDC, Finances'!AW1","Q10.2.8_2")</f>
        <v>Q10.2.8_2</v>
      </c>
      <c r="T49" s="93" t="str">
        <f>HYPERLINK("#'Retirement, NQDC, Finances'!AW2","401(k) company match for employees who contribute to plan: Pre-tax, catch-up")</f>
        <v>401(k) company match for employees who contribute to plan: Pre-tax, catch-up</v>
      </c>
      <c r="U49" s="3" t="str">
        <f>HYPERLINK("#'Time Off'!AW1","Q11.3.3_5")</f>
        <v>Q11.3.3_5</v>
      </c>
      <c r="V49" s="93" t="str">
        <f>HYPERLINK("#'Time Off'!AW2","Number of paid time off hours accrued per year: 4 years of service")</f>
        <v>Number of paid time off hours accrued per year: 4 years of service</v>
      </c>
      <c r="W49" s="3" t="str">
        <f>HYPERLINK("#'Vendors'!AW1","Q12.3.11_4")</f>
        <v>Q12.3.11_4</v>
      </c>
      <c r="X49" s="93" t="str">
        <f>HYPERLINK("#'Vendors'!AW2","Terminated communications vendors: Designers")</f>
        <v>Terminated communications vendors: Designers</v>
      </c>
    </row>
    <row r="50" spans="1:24" ht="38.25" x14ac:dyDescent="0.2">
      <c r="A50" s="5" t="str">
        <f>HYPERLINK("#'Company Overview'!AX1","Q1.5.4_6")</f>
        <v>Q1.5.4_6</v>
      </c>
      <c r="B50" s="93" t="str">
        <f>HYPERLINK("#'Company Overview'!AX2","Holidays: Managed by U.S. benefits department")</f>
        <v>Holidays: Managed by U.S. benefits department</v>
      </c>
      <c r="C50" s="96" t="str">
        <f>HYPERLINK("#'Enrollment, Eligib. &amp; Cost'!AX1","Q2.2.4_3_1")</f>
        <v>Q2.2.4_3_1</v>
      </c>
      <c r="D50" s="93" t="str">
        <f>HYPERLINK("#'Enrollment, Eligib. &amp; Cost'!AX2","Average percentage of overall employee costs paid for full-time employees: Vision plan")</f>
        <v>Average percentage of overall employee costs paid for full-time employees: Vision plan</v>
      </c>
      <c r="E50" s="6"/>
      <c r="F50" s="7"/>
      <c r="G50" s="96" t="str">
        <f>HYPERLINK("#'Communications &amp; Engagement'!AX1","Q4.2.2_4")</f>
        <v>Q4.2.2_4</v>
      </c>
      <c r="H50" s="93" t="str">
        <f>HYPERLINK("#'Communications &amp; Engagement'!AX2","Send benefits-related messages targeted to specific groups: New hires")</f>
        <v>Send benefits-related messages targeted to specific groups: New hires</v>
      </c>
      <c r="I50" s="96" t="str">
        <f>HYPERLINK("#'Other Benefits'!AX1","Q5.2.35")</f>
        <v>Q5.2.35</v>
      </c>
      <c r="J50" s="93" t="str">
        <f>HYPERLINK("#'Other Benefits'!AX2","Lifetime maximum benefit for embryonic cryopreservation benefits ")</f>
        <v xml:space="preserve">Lifetime maximum benefit for embryonic cryopreservation benefits </v>
      </c>
      <c r="K50" s="3" t="str">
        <f>HYPERLINK("#'Healthcare'!AX1","Q6.2.11_10")</f>
        <v>Q6.2.11_10</v>
      </c>
      <c r="L50" s="93" t="str">
        <f>HYPERLINK("#'Healthcare'!AX2","Primary PPO medical plan in-network services with separate deductibles: Prescription drugs (preventive)")</f>
        <v>Primary PPO medical plan in-network services with separate deductibles: Prescription drugs (preventive)</v>
      </c>
      <c r="M50" s="108" t="str">
        <f>HYPERLINK("#'Disease Mgmt &amp; Wellbeing'!AX1","Q7.5.18")</f>
        <v>Q7.5.18</v>
      </c>
      <c r="N50" s="103" t="str">
        <f>HYPERLINK("#'Disease Mgmt &amp; Wellbeing'!AX2","Incentives offered to promote and encourage healthy behavior and lifestyle changes")</f>
        <v>Incentives offered to promote and encourage healthy behavior and lifestyle changes</v>
      </c>
      <c r="O50" s="3" t="str">
        <f>HYPERLINK("#'Trends &amp; Emerging Practices'!AX1","Q8.3.4")</f>
        <v>Q8.3.4</v>
      </c>
      <c r="P50" s="93" t="str">
        <f>HYPERLINK("#'Trends &amp; Emerging Practices'!AX2","Lifetime maximum benefit for naturopath benefits")</f>
        <v>Lifetime maximum benefit for naturopath benefits</v>
      </c>
      <c r="Q50" s="3" t="str">
        <f>HYPERLINK("#'Income Protection'!AX1","Q9.2.2")</f>
        <v>Q9.2.2</v>
      </c>
      <c r="R50" s="4" t="str">
        <f>HYPERLINK("#'Income Protection'!AX2","Type of basic/employer paid life insurance coverage offered")</f>
        <v>Type of basic/employer paid life insurance coverage offered</v>
      </c>
      <c r="S50" s="96" t="str">
        <f>HYPERLINK("#'Retirement, NQDC, Finances'!AX1","Q10.2.8_3")</f>
        <v>Q10.2.8_3</v>
      </c>
      <c r="T50" s="93" t="str">
        <f>HYPERLINK("#'Retirement, NQDC, Finances'!AX2","401(k) company match for employees who contribute to plan: After-tax Roth, non-catch-up")</f>
        <v>401(k) company match for employees who contribute to plan: After-tax Roth, non-catch-up</v>
      </c>
      <c r="U50" s="3" t="str">
        <f>HYPERLINK("#'Time Off'!AX1","Q11.3.3_6")</f>
        <v>Q11.3.3_6</v>
      </c>
      <c r="V50" s="93" t="str">
        <f>HYPERLINK("#'Time Off'!AX2","Number of paid time off hours accrued per year: 5 years of service")</f>
        <v>Number of paid time off hours accrued per year: 5 years of service</v>
      </c>
      <c r="W50" s="3" t="str">
        <f>HYPERLINK("#'Vendors'!AX1","Q12.3.11_5")</f>
        <v>Q12.3.11_5</v>
      </c>
      <c r="X50" s="93" t="str">
        <f>HYPERLINK("#'Vendors'!AX2","Terminated communications vendors: Benefit portal development")</f>
        <v>Terminated communications vendors: Benefit portal development</v>
      </c>
    </row>
    <row r="51" spans="1:24" ht="38.25" x14ac:dyDescent="0.2">
      <c r="A51" s="5" t="str">
        <f>HYPERLINK("#'Company Overview'!AY1","Q1.5.4_7")</f>
        <v>Q1.5.4_7</v>
      </c>
      <c r="B51" s="93" t="str">
        <f>HYPERLINK("#'Company Overview'!AY2","Vacation: Managed by U.S. benefits department")</f>
        <v>Vacation: Managed by U.S. benefits department</v>
      </c>
      <c r="C51" s="96" t="str">
        <f>HYPERLINK("#'Enrollment, Eligib. &amp; Cost'!AY1","Q2.2.4_3_2")</f>
        <v>Q2.2.4_3_2</v>
      </c>
      <c r="D51" s="93" t="str">
        <f>HYPERLINK("#'Enrollment, Eligib. &amp; Cost'!AY2","Average percentage of overall employee costs paid for part-time employees: Vision plan")</f>
        <v>Average percentage of overall employee costs paid for part-time employees: Vision plan</v>
      </c>
      <c r="E51" s="6"/>
      <c r="F51" s="7"/>
      <c r="G51" s="96" t="str">
        <f>HYPERLINK("#'Communications &amp; Engagement'!AY1","Q4.2.2_5")</f>
        <v>Q4.2.2_5</v>
      </c>
      <c r="H51" s="93" t="str">
        <f>HYPERLINK("#'Communications &amp; Engagement'!AY2","Send benefits-related messages targeted to specific groups: Acquired employees (M&amp;A)")</f>
        <v>Send benefits-related messages targeted to specific groups: Acquired employees (M&amp;A)</v>
      </c>
      <c r="I51" s="96" t="str">
        <f>HYPERLINK("#'Other Benefits'!AY1","Q5.2.36")</f>
        <v>Q5.2.36</v>
      </c>
      <c r="J51" s="93" t="str">
        <f>HYPERLINK("#'Other Benefits'!AY2","Lifetime maximum number of cycles for embryonic cryopreservation benefits")</f>
        <v>Lifetime maximum number of cycles for embryonic cryopreservation benefits</v>
      </c>
      <c r="K51" s="3" t="str">
        <f>HYPERLINK("#'Healthcare'!AY1","Q6.2.11_11")</f>
        <v>Q6.2.11_11</v>
      </c>
      <c r="L51" s="93" t="str">
        <f>HYPERLINK("#'Healthcare'!AY2","Primary PPO medical plan in-network services with separate deductibles: Prescription drugs (non-preventive)")</f>
        <v>Primary PPO medical plan in-network services with separate deductibles: Prescription drugs (non-preventive)</v>
      </c>
      <c r="M51" s="108" t="str">
        <f>HYPERLINK("#'Disease Mgmt &amp; Wellbeing'!AY1","Q7.5.19")</f>
        <v>Q7.5.19</v>
      </c>
      <c r="N51" s="103" t="str">
        <f>HYPERLINK("#'Disease Mgmt &amp; Wellbeing'!AY2","Wellness related activities incentives are offered for")</f>
        <v>Wellness related activities incentives are offered for</v>
      </c>
      <c r="O51" s="3" t="str">
        <f>HYPERLINK("#'Trends &amp; Emerging Practices'!AY1","Q8.3.5")</f>
        <v>Q8.3.5</v>
      </c>
      <c r="P51" s="93" t="str">
        <f>HYPERLINK("#'Trends &amp; Emerging Practices'!AY2","Lifetime maximum benefit amount for naturopath benefits")</f>
        <v>Lifetime maximum benefit amount for naturopath benefits</v>
      </c>
      <c r="Q51" s="3" t="str">
        <f>HYPERLINK("#'Income Protection'!AY1","Q9.2.3")</f>
        <v>Q9.2.3</v>
      </c>
      <c r="R51" s="4" t="str">
        <f>HYPERLINK("#'Income Protection'!AY2","Multiplier used to determine basic/employer paid life insurance coverage")</f>
        <v>Multiplier used to determine basic/employer paid life insurance coverage</v>
      </c>
      <c r="S51" s="96" t="str">
        <f>HYPERLINK("#'Retirement, NQDC, Finances'!AY1","Q10.2.8_4")</f>
        <v>Q10.2.8_4</v>
      </c>
      <c r="T51" s="93" t="str">
        <f>HYPERLINK("#'Retirement, NQDC, Finances'!AY2","401(k) company match for employees who contribute to plan: After-tax Roth, catch-up")</f>
        <v>401(k) company match for employees who contribute to plan: After-tax Roth, catch-up</v>
      </c>
      <c r="U51" s="3" t="str">
        <f>HYPERLINK("#'Time Off'!AY1","Q11.3.3_7")</f>
        <v>Q11.3.3_7</v>
      </c>
      <c r="V51" s="93" t="str">
        <f>HYPERLINK("#'Time Off'!AY2","Number of paid time off hours accrued per year: 6 years of service")</f>
        <v>Number of paid time off hours accrued per year: 6 years of service</v>
      </c>
      <c r="W51" s="3" t="str">
        <f>HYPERLINK("#'Vendors'!AY1","Q12.3.11_6")</f>
        <v>Q12.3.11_6</v>
      </c>
      <c r="X51" s="93" t="str">
        <f>HYPERLINK("#'Vendors'!AY2","Terminated communications vendors: Hosting")</f>
        <v>Terminated communications vendors: Hosting</v>
      </c>
    </row>
    <row r="52" spans="1:24" ht="38.25" x14ac:dyDescent="0.2">
      <c r="A52" s="5" t="str">
        <f>HYPERLINK("#'Company Overview'!AZ1","Q1.5.4_8")</f>
        <v>Q1.5.4_8</v>
      </c>
      <c r="B52" s="93" t="str">
        <f>HYPERLINK("#'Company Overview'!AZ2","Sabbaticals: Managed by U.S. benefits department")</f>
        <v>Sabbaticals: Managed by U.S. benefits department</v>
      </c>
      <c r="C52" s="96" t="str">
        <f>HYPERLINK("#'Enrollment, Eligib. &amp; Cost'!AZ1","Q2.2.5_1_1")</f>
        <v>Q2.2.5_1_1</v>
      </c>
      <c r="D52" s="93" t="str">
        <f>HYPERLINK("#'Enrollment, Eligib. &amp; Cost'!AZ2","Average percentage of overall dependent costs paid for full-time employees: Medical plan")</f>
        <v>Average percentage of overall dependent costs paid for full-time employees: Medical plan</v>
      </c>
      <c r="E52" s="6"/>
      <c r="F52" s="7"/>
      <c r="G52" s="96" t="str">
        <f>HYPERLINK("#'Communications &amp; Engagement'!AZ1","Q4.2.2_6")</f>
        <v>Q4.2.2_6</v>
      </c>
      <c r="H52" s="93" t="str">
        <f>HYPERLINK("#'Communications &amp; Engagement'!AZ2","Send benefits-related messages targeted to specific groups: Employee type (e.g., expats, interns,  contractors, part-time)")</f>
        <v>Send benefits-related messages targeted to specific groups: Employee type (e.g., expats, interns,  contractors, part-time)</v>
      </c>
      <c r="I52" s="96" t="str">
        <f>HYPERLINK("#'Other Benefits'!AZ1","Q5.2.37_1")</f>
        <v>Q5.2.37_1</v>
      </c>
      <c r="J52" s="93" t="str">
        <f>HYPERLINK("#'Other Benefits'!AZ2","Embryonic cryopreservation coverage status by health plan: PPO")</f>
        <v>Embryonic cryopreservation coverage status by health plan: PPO</v>
      </c>
      <c r="K52" s="3" t="str">
        <f>HYPERLINK("#'Healthcare'!AZ1","Q6.2.11_12")</f>
        <v>Q6.2.11_12</v>
      </c>
      <c r="L52" s="93" t="str">
        <f>HYPERLINK("#'Healthcare'!AZ2","Primary PPO medical plan in-network services with separate deductibles: Therapies (e.g., speech, PT, OT)")</f>
        <v>Primary PPO medical plan in-network services with separate deductibles: Therapies (e.g., speech, PT, OT)</v>
      </c>
      <c r="M52" s="108" t="str">
        <f>HYPERLINK("#'Disease Mgmt &amp; Wellbeing'!AZ1","Q7.5.20")</f>
        <v>Q7.5.20</v>
      </c>
      <c r="N52" s="103" t="str">
        <f>HYPERLINK("#'Disease Mgmt &amp; Wellbeing'!AZ2","Wellness incentive offered by company: Health risk assessment")</f>
        <v>Wellness incentive offered by company: Health risk assessment</v>
      </c>
      <c r="O52" s="3" t="str">
        <f>HYPERLINK("#'Trends &amp; Emerging Practices'!AZ1","Q8.3.6_1")</f>
        <v>Q8.3.6_1</v>
      </c>
      <c r="P52" s="93" t="str">
        <f>HYPERLINK("#'Trends &amp; Emerging Practices'!AZ2","Status of naturopath benefit coverage for most prevalent PPO")</f>
        <v>Status of naturopath benefit coverage for most prevalent PPO</v>
      </c>
      <c r="Q52" s="3" t="str">
        <f>HYPERLINK("#'Income Protection'!AZ1","Q9.2.4")</f>
        <v>Q9.2.4</v>
      </c>
      <c r="R52" s="4" t="str">
        <f>HYPERLINK("#'Income Protection'!AZ2","Basic/employer paid life insurance maximum benefit amount")</f>
        <v>Basic/employer paid life insurance maximum benefit amount</v>
      </c>
      <c r="S52" s="96" t="str">
        <f>HYPERLINK("#'Retirement, NQDC, Finances'!AZ1","Q10.2.8_5")</f>
        <v>Q10.2.8_5</v>
      </c>
      <c r="T52" s="93" t="str">
        <f>HYPERLINK("#'Retirement, NQDC, Finances'!AZ2","401(k) company match for employees who contribute to plan: After-tax non-Roth")</f>
        <v>401(k) company match for employees who contribute to plan: After-tax non-Roth</v>
      </c>
      <c r="U52" s="3" t="str">
        <f>HYPERLINK("#'Time Off'!AZ1","Q11.3.3_8")</f>
        <v>Q11.3.3_8</v>
      </c>
      <c r="V52" s="93" t="str">
        <f>HYPERLINK("#'Time Off'!AZ2","Number of paid time off hours accrued per year: 7 years of service")</f>
        <v>Number of paid time off hours accrued per year: 7 years of service</v>
      </c>
      <c r="W52" s="3" t="str">
        <f>HYPERLINK("#'Vendors'!AZ1","Q12.3.11_7")</f>
        <v>Q12.3.11_7</v>
      </c>
      <c r="X52" s="93" t="str">
        <f>HYPERLINK("#'Vendors'!AZ2","Terminated communications vendors: Materials")</f>
        <v>Terminated communications vendors: Materials</v>
      </c>
    </row>
    <row r="53" spans="1:24" ht="25.5" x14ac:dyDescent="0.2">
      <c r="A53" s="5" t="str">
        <f>HYPERLINK("#'Company Overview'!BA1","Q1.5.5_1")</f>
        <v>Q1.5.5_1</v>
      </c>
      <c r="B53" s="93" t="str">
        <f>HYPERLINK("#'Company Overview'!BA2","Medical: Managed by U.S. benefits department")</f>
        <v>Medical: Managed by U.S. benefits department</v>
      </c>
      <c r="C53" s="96" t="str">
        <f>HYPERLINK("#'Enrollment, Eligib. &amp; Cost'!BA1","Q2.2.5_1_2")</f>
        <v>Q2.2.5_1_2</v>
      </c>
      <c r="D53" s="93" t="str">
        <f>HYPERLINK("#'Enrollment, Eligib. &amp; Cost'!BA2","Average percentage of overall dependent costs paid for part-time employees: Medical plan")</f>
        <v>Average percentage of overall dependent costs paid for part-time employees: Medical plan</v>
      </c>
      <c r="E53" s="6"/>
      <c r="F53" s="7"/>
      <c r="G53" s="96" t="str">
        <f>HYPERLINK("#'Communications &amp; Engagement'!BA1","Q4.2.2_7")</f>
        <v>Q4.2.2_7</v>
      </c>
      <c r="H53" s="93" t="str">
        <f>HYPERLINK("#'Communications &amp; Engagement'!BA2","Send benefits-related messages targeted to specific groups: Remote workers")</f>
        <v>Send benefits-related messages targeted to specific groups: Remote workers</v>
      </c>
      <c r="I53" s="96" t="str">
        <f>HYPERLINK("#'Other Benefits'!BA1","Q5.2.37_2")</f>
        <v>Q5.2.37_2</v>
      </c>
      <c r="J53" s="93" t="str">
        <f>HYPERLINK("#'Other Benefits'!BA2","Embryonic cryopreservation coverage status by health plan: POS")</f>
        <v>Embryonic cryopreservation coverage status by health plan: POS</v>
      </c>
      <c r="K53" s="3" t="str">
        <f>HYPERLINK("#'Healthcare'!BA1","Q6.2.11_13")</f>
        <v>Q6.2.11_13</v>
      </c>
      <c r="L53" s="93" t="str">
        <f>HYPERLINK("#'Healthcare'!BA2","Primary PPO medical plan in-network services with separate deductibles: Other")</f>
        <v>Primary PPO medical plan in-network services with separate deductibles: Other</v>
      </c>
      <c r="M53" s="108" t="str">
        <f>HYPERLINK("#'Disease Mgmt &amp; Wellbeing'!BA1","Q7.5.21")</f>
        <v>Q7.5.21</v>
      </c>
      <c r="N53" s="103" t="str">
        <f>HYPERLINK("#'Disease Mgmt &amp; Wellbeing'!BA2","Wellness incentive offered by company: Biometric screening")</f>
        <v>Wellness incentive offered by company: Biometric screening</v>
      </c>
      <c r="O53" s="3" t="str">
        <f>HYPERLINK("#'Trends &amp; Emerging Practices'!BA1","Q8.3.6_2")</f>
        <v>Q8.3.6_2</v>
      </c>
      <c r="P53" s="93" t="str">
        <f>HYPERLINK("#'Trends &amp; Emerging Practices'!BA2","Status of naturopath benefit coverage for most prevalent POS")</f>
        <v>Status of naturopath benefit coverage for most prevalent POS</v>
      </c>
      <c r="Q53" s="3" t="str">
        <f>HYPERLINK("#'Income Protection'!BA1","Q9.2.5")</f>
        <v>Q9.2.5</v>
      </c>
      <c r="R53" s="4" t="str">
        <f>HYPERLINK("#'Income Protection'!BA2","Buy up/supplemental life insurance coverage offered")</f>
        <v>Buy up/supplemental life insurance coverage offered</v>
      </c>
      <c r="S53" s="96" t="str">
        <f>HYPERLINK("#'Retirement, NQDC, Finances'!BA1","Q10.2.9")</f>
        <v>Q10.2.9</v>
      </c>
      <c r="T53" s="93" t="str">
        <f>HYPERLINK("#'Retirement, NQDC, Finances'!BA2","401(k): Company match formula")</f>
        <v>401(k): Company match formula</v>
      </c>
      <c r="U53" s="3" t="str">
        <f>HYPERLINK("#'Time Off'!BA1","Q11.3.3_9")</f>
        <v>Q11.3.3_9</v>
      </c>
      <c r="V53" s="93" t="str">
        <f>HYPERLINK("#'Time Off'!BA2","Number of paid time off hours accrued per year: 8 years of service")</f>
        <v>Number of paid time off hours accrued per year: 8 years of service</v>
      </c>
      <c r="W53" s="3" t="str">
        <f>HYPERLINK("#'Vendors'!BA1","Q12.3.11_8")</f>
        <v>Q12.3.11_8</v>
      </c>
      <c r="X53" s="93" t="str">
        <f>HYPERLINK("#'Vendors'!BA2","Terminated communications vendors: Video developer")</f>
        <v>Terminated communications vendors: Video developer</v>
      </c>
    </row>
    <row r="54" spans="1:24" ht="38.25" x14ac:dyDescent="0.2">
      <c r="A54" s="5" t="str">
        <f>HYPERLINK("#'Company Overview'!BB1","Q1.5.5_2")</f>
        <v>Q1.5.5_2</v>
      </c>
      <c r="B54" s="93" t="str">
        <f>HYPERLINK("#'Company Overview'!BB2","Dental: Managed by U.S. benefits department")</f>
        <v>Dental: Managed by U.S. benefits department</v>
      </c>
      <c r="C54" s="96" t="str">
        <f>HYPERLINK("#'Enrollment, Eligib. &amp; Cost'!BB1","Q2.2.5_2_1")</f>
        <v>Q2.2.5_2_1</v>
      </c>
      <c r="D54" s="93" t="str">
        <f>HYPERLINK("#'Enrollment, Eligib. &amp; Cost'!BB2","Average percentage of overall dependent costs paid for full-time employees: Dental plan")</f>
        <v>Average percentage of overall dependent costs paid for full-time employees: Dental plan</v>
      </c>
      <c r="E54" s="6"/>
      <c r="F54" s="7"/>
      <c r="G54" s="96" t="str">
        <f>HYPERLINK("#'Communications &amp; Engagement'!BB1","Q4.2.2_8")</f>
        <v>Q4.2.2_8</v>
      </c>
      <c r="H54" s="93" t="str">
        <f>HYPERLINK("#'Communications &amp; Engagement'!BB2","Send benefits-related messages targeted to specific groups: Employee resource groups")</f>
        <v>Send benefits-related messages targeted to specific groups: Employee resource groups</v>
      </c>
      <c r="I54" s="96" t="str">
        <f>HYPERLINK("#'Other Benefits'!BB1","Q5.2.37_3")</f>
        <v>Q5.2.37_3</v>
      </c>
      <c r="J54" s="93" t="str">
        <f>HYPERLINK("#'Other Benefits'!BB2","Embryonic cryopreservation coverage status by health plan: HDHP w/HRA")</f>
        <v>Embryonic cryopreservation coverage status by health plan: HDHP w/HRA</v>
      </c>
      <c r="K54" s="3" t="str">
        <f>HYPERLINK("#'Healthcare'!BB1","Q6.2.12_1")</f>
        <v>Q6.2.12_1</v>
      </c>
      <c r="L54" s="93" t="str">
        <f>HYPERLINK("#'Healthcare'!BB2","Primary PPO medical plan out-of-network services with separate deductibles: Not applicable - no separate deductibles")</f>
        <v>Primary PPO medical plan out-of-network services with separate deductibles: Not applicable - no separate deductibles</v>
      </c>
      <c r="M54" s="108" t="str">
        <f>HYPERLINK("#'Disease Mgmt &amp; Wellbeing'!BB1","Q7.5.22")</f>
        <v>Q7.5.22</v>
      </c>
      <c r="N54" s="103" t="str">
        <f>HYPERLINK("#'Disease Mgmt &amp; Wellbeing'!BB2","Wellness incentive offered by company: Health coaching ")</f>
        <v xml:space="preserve">Wellness incentive offered by company: Health coaching </v>
      </c>
      <c r="O54" s="3" t="str">
        <f>HYPERLINK("#'Trends &amp; Emerging Practices'!BB1","Q8.3.6_3")</f>
        <v>Q8.3.6_3</v>
      </c>
      <c r="P54" s="93" t="str">
        <f>HYPERLINK("#'Trends &amp; Emerging Practices'!BB2","Status of naturopath benefit coverage for most prevalent CDHP/HDHP with health reimbursement account")</f>
        <v>Status of naturopath benefit coverage for most prevalent CDHP/HDHP with health reimbursement account</v>
      </c>
      <c r="Q54" s="3" t="str">
        <f>HYPERLINK("#'Income Protection'!BB1","Q9.2.6")</f>
        <v>Q9.2.6</v>
      </c>
      <c r="R54" s="4" t="str">
        <f>HYPERLINK("#'Income Protection'!BB2","Tax basis for employee payment of buy up/supplemental life insurance premiums")</f>
        <v>Tax basis for employee payment of buy up/supplemental life insurance premiums</v>
      </c>
      <c r="S54" s="96" t="str">
        <f>HYPERLINK("#'Retirement, NQDC, Finances'!BB1","Q10.2.10")</f>
        <v>Q10.2.10</v>
      </c>
      <c r="T54" s="93" t="str">
        <f>HYPERLINK("#'Retirement, NQDC, Finances'!BB2","401(k) match: Maximum company contribution")</f>
        <v>401(k) match: Maximum company contribution</v>
      </c>
      <c r="U54" s="3" t="str">
        <f>HYPERLINK("#'Time Off'!BB1","Q11.3.3_10")</f>
        <v>Q11.3.3_10</v>
      </c>
      <c r="V54" s="93" t="str">
        <f>HYPERLINK("#'Time Off'!BB2","Number of paid time off hours accrued per year: 9 years of service")</f>
        <v>Number of paid time off hours accrued per year: 9 years of service</v>
      </c>
      <c r="W54" s="3" t="str">
        <f>HYPERLINK("#'Vendors'!BB1","Q12.3.11_9")</f>
        <v>Q12.3.11_9</v>
      </c>
      <c r="X54" s="93" t="str">
        <f>HYPERLINK("#'Vendors'!BB2","Terminated communications vendors: ACA communications")</f>
        <v>Terminated communications vendors: ACA communications</v>
      </c>
    </row>
    <row r="55" spans="1:24" ht="38.25" x14ac:dyDescent="0.2">
      <c r="A55" s="5" t="str">
        <f>HYPERLINK("#'Company Overview'!BC1","Q1.5.5_3")</f>
        <v>Q1.5.5_3</v>
      </c>
      <c r="B55" s="93" t="str">
        <f>HYPERLINK("#'Company Overview'!BC2","Vision: Managed by U.S. benefits department")</f>
        <v>Vision: Managed by U.S. benefits department</v>
      </c>
      <c r="C55" s="96" t="str">
        <f>HYPERLINK("#'Enrollment, Eligib. &amp; Cost'!BC1","Q2.2.5_2_2")</f>
        <v>Q2.2.5_2_2</v>
      </c>
      <c r="D55" s="93" t="str">
        <f>HYPERLINK("#'Enrollment, Eligib. &amp; Cost'!BC2","Average percentage of overall dependent costs paid for part-time employees: Dental plan")</f>
        <v>Average percentage of overall dependent costs paid for part-time employees: Dental plan</v>
      </c>
      <c r="E55" s="6"/>
      <c r="F55" s="7"/>
      <c r="G55" s="96" t="str">
        <f>HYPERLINK("#'Communications &amp; Engagement'!BC1","Q4.2.2_9")</f>
        <v>Q4.2.2_9</v>
      </c>
      <c r="H55" s="93" t="str">
        <f>HYPERLINK("#'Communications &amp; Engagement'!BC2","Send benefits-related messages targeted to specific groups: Nearing Medicare eligibility")</f>
        <v>Send benefits-related messages targeted to specific groups: Nearing Medicare eligibility</v>
      </c>
      <c r="I55" s="96" t="str">
        <f>HYPERLINK("#'Other Benefits'!BC1","Q5.2.37_4")</f>
        <v>Q5.2.37_4</v>
      </c>
      <c r="J55" s="93" t="str">
        <f>HYPERLINK("#'Other Benefits'!BC2","Embryonic cryopreservation coverage status by health plan: HDHP w/HSA")</f>
        <v>Embryonic cryopreservation coverage status by health plan: HDHP w/HSA</v>
      </c>
      <c r="K55" s="3" t="str">
        <f>HYPERLINK("#'Healthcare'!BC1","Q6.2.12_2")</f>
        <v>Q6.2.12_2</v>
      </c>
      <c r="L55" s="93" t="str">
        <f>HYPERLINK("#'Healthcare'!BC2","Primary PPO medical plan out-of-network services with separate deductibles: Acupuncture")</f>
        <v>Primary PPO medical plan out-of-network services with separate deductibles: Acupuncture</v>
      </c>
      <c r="M55" s="108" t="str">
        <f>HYPERLINK("#'Disease Mgmt &amp; Wellbeing'!BC1","Q7.5.23")</f>
        <v>Q7.5.23</v>
      </c>
      <c r="N55" s="103" t="str">
        <f>HYPERLINK("#'Disease Mgmt &amp; Wellbeing'!BC2","Wellness incentive offered by company: Weight management ")</f>
        <v xml:space="preserve">Wellness incentive offered by company: Weight management </v>
      </c>
      <c r="O55" s="3" t="str">
        <f>HYPERLINK("#'Trends &amp; Emerging Practices'!BC1","Q8.3.6_4")</f>
        <v>Q8.3.6_4</v>
      </c>
      <c r="P55" s="93" t="str">
        <f>HYPERLINK("#'Trends &amp; Emerging Practices'!BC2","Status of naturopath benefit coverage for most prevalent CDHP/HDHP with health savings account")</f>
        <v>Status of naturopath benefit coverage for most prevalent CDHP/HDHP with health savings account</v>
      </c>
      <c r="Q55" s="3" t="str">
        <f>HYPERLINK("#'Income Protection'!BC1","Q9.2.7")</f>
        <v>Q9.2.7</v>
      </c>
      <c r="R55" s="4" t="str">
        <f>HYPERLINK("#'Income Protection'!BC2","Type of buy up/supplemental life insurance coverage offered")</f>
        <v>Type of buy up/supplemental life insurance coverage offered</v>
      </c>
      <c r="S55" s="96" t="str">
        <f>HYPERLINK("#'Retirement, NQDC, Finances'!BC1","Q10.2.11")</f>
        <v>Q10.2.11</v>
      </c>
      <c r="T55" s="93" t="str">
        <f>HYPERLINK("#'Retirement, NQDC, Finances'!BC2","401(k) plan: Eligible employee compensation")</f>
        <v>401(k) plan: Eligible employee compensation</v>
      </c>
      <c r="U55" s="3" t="str">
        <f>HYPERLINK("#'Time Off'!BC1","Q11.3.3_11")</f>
        <v>Q11.3.3_11</v>
      </c>
      <c r="V55" s="93" t="str">
        <f>HYPERLINK("#'Time Off'!BC2","Number of paid time off hours accrued per year: 10 years of service")</f>
        <v>Number of paid time off hours accrued per year: 10 years of service</v>
      </c>
      <c r="W55" s="3" t="str">
        <f>HYPERLINK("#'Vendors'!BC1","Q12.3.11_10")</f>
        <v>Q12.3.11_10</v>
      </c>
      <c r="X55" s="93" t="str">
        <f>HYPERLINK("#'Vendors'!BC2","Terminated communications vendors: Total rewards statements")</f>
        <v>Terminated communications vendors: Total rewards statements</v>
      </c>
    </row>
    <row r="56" spans="1:24" ht="38.25" x14ac:dyDescent="0.2">
      <c r="A56" s="5" t="str">
        <f>HYPERLINK("#'Company Overview'!BD1","Q1.5.5_4")</f>
        <v>Q1.5.5_4</v>
      </c>
      <c r="B56" s="93" t="str">
        <f>HYPERLINK("#'Company Overview'!BD2","Life insurance and AD&amp;D: Managed by U.S. benefits department")</f>
        <v>Life insurance and AD&amp;D: Managed by U.S. benefits department</v>
      </c>
      <c r="C56" s="96" t="str">
        <f>HYPERLINK("#'Enrollment, Eligib. &amp; Cost'!BD1","Q2.2.5_3_1")</f>
        <v>Q2.2.5_3_1</v>
      </c>
      <c r="D56" s="93" t="str">
        <f>HYPERLINK("#'Enrollment, Eligib. &amp; Cost'!BD2","Average percentage of overall dependent costs paid for full-time employees: Vision plan")</f>
        <v>Average percentage of overall dependent costs paid for full-time employees: Vision plan</v>
      </c>
      <c r="E56" s="6"/>
      <c r="F56" s="7"/>
      <c r="G56" s="96" t="str">
        <f>HYPERLINK("#'Communications &amp; Engagement'!BD1","Q4.2.2_10")</f>
        <v>Q4.2.2_10</v>
      </c>
      <c r="H56" s="93" t="str">
        <f>HYPERLINK("#'Communications &amp; Engagement'!BD2","Send benefits-related messages targeted to specific groups: Preparing for retirement")</f>
        <v>Send benefits-related messages targeted to specific groups: Preparing for retirement</v>
      </c>
      <c r="I56" s="96" t="str">
        <f>HYPERLINK("#'Other Benefits'!BD1","Q5.2.37_5")</f>
        <v>Q5.2.37_5</v>
      </c>
      <c r="J56" s="93" t="str">
        <f>HYPERLINK("#'Other Benefits'!BD2","Embryonic cryopreservation coverage status by health plan: HMO")</f>
        <v>Embryonic cryopreservation coverage status by health plan: HMO</v>
      </c>
      <c r="K56" s="3" t="str">
        <f>HYPERLINK("#'Healthcare'!BD1","Q6.2.12_3")</f>
        <v>Q6.2.12_3</v>
      </c>
      <c r="L56" s="93" t="str">
        <f>HYPERLINK("#'Healthcare'!BD2","Primary PPO medical plan out-of-network services with separate deductibles: Chiropractic")</f>
        <v>Primary PPO medical plan out-of-network services with separate deductibles: Chiropractic</v>
      </c>
      <c r="M56" s="108" t="str">
        <f>HYPERLINK("#'Disease Mgmt &amp; Wellbeing'!BD1","Q7.5.24")</f>
        <v>Q7.5.24</v>
      </c>
      <c r="N56" s="103" t="str">
        <f>HYPERLINK("#'Disease Mgmt &amp; Wellbeing'!BD2","Wellness incentive offered by company: Tobacco cessation")</f>
        <v>Wellness incentive offered by company: Tobacco cessation</v>
      </c>
      <c r="O56" s="3" t="str">
        <f>HYPERLINK("#'Trends &amp; Emerging Practices'!BD1","Q8.3.6_5")</f>
        <v>Q8.3.6_5</v>
      </c>
      <c r="P56" s="93" t="str">
        <f>HYPERLINK("#'Trends &amp; Emerging Practices'!BD2","Status of naturopath benefit coverage for most prevalent HMO")</f>
        <v>Status of naturopath benefit coverage for most prevalent HMO</v>
      </c>
      <c r="Q56" s="3" t="str">
        <f>HYPERLINK("#'Income Protection'!BD1","Q9.2.8")</f>
        <v>Q9.2.8</v>
      </c>
      <c r="R56" s="4" t="str">
        <f>HYPERLINK("#'Income Protection'!BD2","Buy up/supplemental life insurance coverage levels offered")</f>
        <v>Buy up/supplemental life insurance coverage levels offered</v>
      </c>
      <c r="S56" s="96" t="str">
        <f>HYPERLINK("#'Retirement, NQDC, Finances'!BD1","Q10.2.12")</f>
        <v>Q10.2.12</v>
      </c>
      <c r="T56" s="93" t="str">
        <f>HYPERLINK("#'Retirement, NQDC, Finances'!BD2","401(k): Company maximizes employee match via true up")</f>
        <v>401(k): Company maximizes employee match via true up</v>
      </c>
      <c r="U56" s="3" t="str">
        <f>HYPERLINK("#'Time Off'!BD1","Q11.3.3_12")</f>
        <v>Q11.3.3_12</v>
      </c>
      <c r="V56" s="93" t="str">
        <f>HYPERLINK("#'Time Off'!BD2","Number of paid time off hours accrued per year: 15 years of service")</f>
        <v>Number of paid time off hours accrued per year: 15 years of service</v>
      </c>
      <c r="W56" s="3" t="str">
        <f>HYPERLINK("#'Vendors'!BD1","Q12.4.2")</f>
        <v>Q12.4.2</v>
      </c>
      <c r="X56" s="93" t="str">
        <f>HYPERLINK("#'Vendors'!BD2","Legal vendors employed: Health &amp; welfare")</f>
        <v>Legal vendors employed: Health &amp; welfare</v>
      </c>
    </row>
    <row r="57" spans="1:24" ht="38.25" x14ac:dyDescent="0.2">
      <c r="A57" s="5" t="str">
        <f>HYPERLINK("#'Company Overview'!BE1","Q1.5.5_5")</f>
        <v>Q1.5.5_5</v>
      </c>
      <c r="B57" s="93" t="str">
        <f>HYPERLINK("#'Company Overview'!BE2","Short and long term disability: Managed by U.S. benefits department")</f>
        <v>Short and long term disability: Managed by U.S. benefits department</v>
      </c>
      <c r="C57" s="96" t="str">
        <f>HYPERLINK("#'Enrollment, Eligib. &amp; Cost'!BE1","Q2.2.5_3_2")</f>
        <v>Q2.2.5_3_2</v>
      </c>
      <c r="D57" s="93" t="str">
        <f>HYPERLINK("#'Enrollment, Eligib. &amp; Cost'!BE2","Average percentage of overall dependent costs paid for part-time employees: Vision plan")</f>
        <v>Average percentage of overall dependent costs paid for part-time employees: Vision plan</v>
      </c>
      <c r="E57" s="6"/>
      <c r="F57" s="7"/>
      <c r="G57" s="96" t="str">
        <f>HYPERLINK("#'Communications &amp; Engagement'!BE1","Q4.2.2_11")</f>
        <v>Q4.2.2_11</v>
      </c>
      <c r="H57" s="93" t="str">
        <f>HYPERLINK("#'Communications &amp; Engagement'!BE2","Send benefits-related messages targeted to specific groups: Life events (e.g., birth, marriage,  change in hours, etc.)")</f>
        <v>Send benefits-related messages targeted to specific groups: Life events (e.g., birth, marriage,  change in hours, etc.)</v>
      </c>
      <c r="I57" s="96" t="str">
        <f>HYPERLINK("#'Other Benefits'!BE1","Q5.2.37_6")</f>
        <v>Q5.2.37_6</v>
      </c>
      <c r="J57" s="93" t="str">
        <f>HYPERLINK("#'Other Benefits'!BE2","Embryonic cryopreservation coverage status by health plan: EPO")</f>
        <v>Embryonic cryopreservation coverage status by health plan: EPO</v>
      </c>
      <c r="K57" s="3" t="str">
        <f>HYPERLINK("#'Healthcare'!BE1","Q6.2.12_4")</f>
        <v>Q6.2.12_4</v>
      </c>
      <c r="L57" s="93" t="str">
        <f>HYPERLINK("#'Healthcare'!BE2","Primary PPO medical plan out-of-network services with separate deductibles: Emergency room (true emergency)")</f>
        <v>Primary PPO medical plan out-of-network services with separate deductibles: Emergency room (true emergency)</v>
      </c>
      <c r="M57" s="108" t="str">
        <f>HYPERLINK("#'Disease Mgmt &amp; Wellbeing'!BE1","Q7.5.25")</f>
        <v>Q7.5.25</v>
      </c>
      <c r="N57" s="103" t="str">
        <f>HYPERLINK("#'Disease Mgmt &amp; Wellbeing'!BE2","Wellness incentive offered by company: Active living ")</f>
        <v xml:space="preserve">Wellness incentive offered by company: Active living </v>
      </c>
      <c r="O57" s="3" t="str">
        <f>HYPERLINK("#'Trends &amp; Emerging Practices'!BE1","Q8.3.6_6")</f>
        <v>Q8.3.6_6</v>
      </c>
      <c r="P57" s="93" t="str">
        <f>HYPERLINK("#'Trends &amp; Emerging Practices'!BE2","Status of naturopath benefit coverage for most prevalent EPO")</f>
        <v>Status of naturopath benefit coverage for most prevalent EPO</v>
      </c>
      <c r="Q57" s="3" t="str">
        <f>HYPERLINK("#'Income Protection'!BE1","Q9.2.9")</f>
        <v>Q9.2.9</v>
      </c>
      <c r="R57" s="4" t="str">
        <f>HYPERLINK("#'Income Protection'!BE2","Other buy up/supplemental life insurance coverage levels offered")</f>
        <v>Other buy up/supplemental life insurance coverage levels offered</v>
      </c>
      <c r="S57" s="96" t="str">
        <f>HYPERLINK("#'Retirement, NQDC, Finances'!BE1","Q10.2.13")</f>
        <v>Q10.2.13</v>
      </c>
      <c r="T57" s="93" t="str">
        <f>HYPERLINK("#'Retirement, NQDC, Finances'!BE2","401(k): Company maximizes employee match via true up/frequency")</f>
        <v>401(k): Company maximizes employee match via true up/frequency</v>
      </c>
      <c r="U57" s="3" t="str">
        <f>HYPERLINK("#'Time Off'!BE1","Q11.3.3_13")</f>
        <v>Q11.3.3_13</v>
      </c>
      <c r="V57" s="93" t="str">
        <f>HYPERLINK("#'Time Off'!BE2","Number of paid time off hours accrued per year: 20 years of service")</f>
        <v>Number of paid time off hours accrued per year: 20 years of service</v>
      </c>
      <c r="W57" s="3" t="str">
        <f>HYPERLINK("#'Vendors'!BE1","Q12.4.2_28_TEXT")</f>
        <v>Q12.4.2_28_TEXT</v>
      </c>
      <c r="X57" s="93" t="str">
        <f>HYPERLINK("#'Vendors'!BE2","Other legal vendors employed: Health &amp; welfare")</f>
        <v>Other legal vendors employed: Health &amp; welfare</v>
      </c>
    </row>
    <row r="58" spans="1:24" ht="38.25" x14ac:dyDescent="0.2">
      <c r="A58" s="5" t="str">
        <f>HYPERLINK("#'Company Overview'!BF1","Q1.5.6_1")</f>
        <v>Q1.5.6_1</v>
      </c>
      <c r="B58" s="93" t="str">
        <f>HYPERLINK("#'Company Overview'!BF2","On-site fitness center: Managed by U.S. benefits department")</f>
        <v>On-site fitness center: Managed by U.S. benefits department</v>
      </c>
      <c r="C58" s="96" t="str">
        <f>HYPERLINK("#'Enrollment, Eligib. &amp; Cost'!BF1","Q2.2.6")</f>
        <v>Q2.2.6</v>
      </c>
      <c r="D58" s="93" t="str">
        <f>HYPERLINK("#'Enrollment, Eligib. &amp; Cost'!BF2","Salary based health plan premium program in place")</f>
        <v>Salary based health plan premium program in place</v>
      </c>
      <c r="E58" s="6"/>
      <c r="F58" s="7"/>
      <c r="G58" s="96" t="str">
        <f>HYPERLINK("#'Communications &amp; Engagement'!BF1","Q4.2.2_12")</f>
        <v>Q4.2.2_12</v>
      </c>
      <c r="H58" s="93" t="str">
        <f>HYPERLINK("#'Communications &amp; Engagement'!BF2","Send benefits-related messages targeted to specific groups: Other")</f>
        <v>Send benefits-related messages targeted to specific groups: Other</v>
      </c>
      <c r="I58" s="96" t="str">
        <f>HYPERLINK("#'Other Benefits'!BF1","Q5.2.38")</f>
        <v>Q5.2.38</v>
      </c>
      <c r="J58" s="93" t="str">
        <f>HYPERLINK("#'Other Benefits'!BF2","Egg freezing and storage benefits offered")</f>
        <v>Egg freezing and storage benefits offered</v>
      </c>
      <c r="K58" s="3" t="str">
        <f>HYPERLINK("#'Healthcare'!BF1","Q6.2.12_5")</f>
        <v>Q6.2.12_5</v>
      </c>
      <c r="L58" s="93" t="str">
        <f>HYPERLINK("#'Healthcare'!BF2","Primary PPO medical plan out-of-network services with separate deductibles: Emergency room (non-emergency)")</f>
        <v>Primary PPO medical plan out-of-network services with separate deductibles: Emergency room (non-emergency)</v>
      </c>
      <c r="M58" s="108" t="str">
        <f>HYPERLINK("#'Disease Mgmt &amp; Wellbeing'!BF1","Q7.5.26")</f>
        <v>Q7.5.26</v>
      </c>
      <c r="N58" s="103" t="str">
        <f>HYPERLINK("#'Disease Mgmt &amp; Wellbeing'!BF2","Wellness incentive offered by company: Company-sponsored activity")</f>
        <v>Wellness incentive offered by company: Company-sponsored activity</v>
      </c>
      <c r="O58" s="3" t="str">
        <f>HYPERLINK("#'Trends &amp; Emerging Practices'!BF1","Q8.4.2")</f>
        <v>Q8.4.2</v>
      </c>
      <c r="P58" s="93" t="str">
        <f>HYPERLINK("#'Trends &amp; Emerging Practices'!BF2","Palliative care benefits offered")</f>
        <v>Palliative care benefits offered</v>
      </c>
      <c r="Q58" s="3" t="str">
        <f>HYPERLINK("#'Income Protection'!BF1","Q9.2.10")</f>
        <v>Q9.2.10</v>
      </c>
      <c r="R58" s="4" t="str">
        <f>HYPERLINK("#'Income Protection'!BF2","Buy up/supplemental life insurance maximum benefit amount")</f>
        <v>Buy up/supplemental life insurance maximum benefit amount</v>
      </c>
      <c r="S58" s="96" t="str">
        <f>HYPERLINK("#'Retirement, NQDC, Finances'!BF1","Q10.2.14")</f>
        <v>Q10.2.14</v>
      </c>
      <c r="T58" s="93" t="str">
        <f>HYPERLINK("#'Retirement, NQDC, Finances'!BF2","401(k): Company match vesting method")</f>
        <v>401(k): Company match vesting method</v>
      </c>
      <c r="U58" s="3" t="str">
        <f>HYPERLINK("#'Time Off'!BF1","Q11.3.3_14")</f>
        <v>Q11.3.3_14</v>
      </c>
      <c r="V58" s="93" t="str">
        <f>HYPERLINK("#'Time Off'!BF2","Number of paid time off hours accrued per year: 25+ years of service")</f>
        <v>Number of paid time off hours accrued per year: 25+ years of service</v>
      </c>
      <c r="W58" s="3" t="str">
        <f>HYPERLINK("#'Vendors'!BF1","Q12.4.3")</f>
        <v>Q12.4.3</v>
      </c>
      <c r="X58" s="93" t="str">
        <f>HYPERLINK("#'Vendors'!BF2","Legal vendors employed: ERISA")</f>
        <v>Legal vendors employed: ERISA</v>
      </c>
    </row>
    <row r="59" spans="1:24" ht="38.25" x14ac:dyDescent="0.2">
      <c r="A59" s="5" t="str">
        <f>HYPERLINK("#'Company Overview'!BG1","Q1.5.6_2")</f>
        <v>Q1.5.6_2</v>
      </c>
      <c r="B59" s="93" t="str">
        <f>HYPERLINK("#'Company Overview'!BG2","On-site health center: Managed by U.S. benefits department")</f>
        <v>On-site health center: Managed by U.S. benefits department</v>
      </c>
      <c r="C59" s="96" t="str">
        <f>HYPERLINK("#'Enrollment, Eligib. &amp; Cost'!BG1","Q2.3.2")</f>
        <v>Q2.3.2</v>
      </c>
      <c r="D59" s="93" t="str">
        <f>HYPERLINK("#'Enrollment, Eligib. &amp; Cost'!BG2","Employees who opt out of medical plan coverage receive cash waive credit")</f>
        <v>Employees who opt out of medical plan coverage receive cash waive credit</v>
      </c>
      <c r="E59" s="6"/>
      <c r="F59" s="7"/>
      <c r="G59" s="96" t="str">
        <f>HYPERLINK("#'Communications &amp; Engagement'!BG1","Q4.2.3")</f>
        <v>Q4.2.3</v>
      </c>
      <c r="H59" s="93" t="str">
        <f>HYPERLINK("#'Communications &amp; Engagement'!BG2","Other targeted group")</f>
        <v>Other targeted group</v>
      </c>
      <c r="I59" s="96" t="str">
        <f>HYPERLINK("#'Other Benefits'!BG1","Q5.2.39")</f>
        <v>Q5.2.39</v>
      </c>
      <c r="J59" s="93" t="str">
        <f>HYPERLINK("#'Other Benefits'!BG2","Egg freezing and storage benefits have different deductible, co-pay, or co-insurance amount")</f>
        <v>Egg freezing and storage benefits have different deductible, co-pay, or co-insurance amount</v>
      </c>
      <c r="K59" s="3" t="str">
        <f>HYPERLINK("#'Healthcare'!BG1","Q6.2.12_6")</f>
        <v>Q6.2.12_6</v>
      </c>
      <c r="L59" s="93" t="str">
        <f>HYPERLINK("#'Healthcare'!BG2","Primary PPO medical plan out-of-network services with separate deductibles: Emergency room (with hospital admittance)")</f>
        <v>Primary PPO medical plan out-of-network services with separate deductibles: Emergency room (with hospital admittance)</v>
      </c>
      <c r="M59" s="108" t="str">
        <f>HYPERLINK("#'Disease Mgmt &amp; Wellbeing'!BG1","Q7.5.27")</f>
        <v>Q7.5.27</v>
      </c>
      <c r="N59" s="103" t="str">
        <f>HYPERLINK("#'Disease Mgmt &amp; Wellbeing'!BG2","Wellness incentive offered by company: Online tools ")</f>
        <v xml:space="preserve">Wellness incentive offered by company: Online tools </v>
      </c>
      <c r="O59" s="3" t="str">
        <f>HYPERLINK("#'Trends &amp; Emerging Practices'!BG1","Q8.4.3")</f>
        <v>Q8.4.3</v>
      </c>
      <c r="P59" s="93" t="str">
        <f>HYPERLINK("#'Trends &amp; Emerging Practices'!BG2","Palliative care plan definition")</f>
        <v>Palliative care plan definition</v>
      </c>
      <c r="Q59" s="3" t="str">
        <f>HYPERLINK("#'Income Protection'!BG1","Q9.2.11")</f>
        <v>Q9.2.11</v>
      </c>
      <c r="R59" s="4" t="str">
        <f>HYPERLINK("#'Income Protection'!BG2","Other buy up/supplemental life insurance coverage maximum benefit amount")</f>
        <v>Other buy up/supplemental life insurance coverage maximum benefit amount</v>
      </c>
      <c r="S59" s="96" t="str">
        <f>HYPERLINK("#'Retirement, NQDC, Finances'!BG1","Q10.2.15_1")</f>
        <v>Q10.2.15_1</v>
      </c>
      <c r="T59" s="93" t="str">
        <f>HYPERLINK("#'Retirement, NQDC, Finances'!BG2","401(k) match cliff vesting schedule: 1 YOS")</f>
        <v>401(k) match cliff vesting schedule: 1 YOS</v>
      </c>
      <c r="U59" s="3" t="str">
        <f>HYPERLINK("#'Time Off'!BG1","Q11.3.4")</f>
        <v>Q11.3.4</v>
      </c>
      <c r="V59" s="93" t="str">
        <f>HYPERLINK("#'Time Off'!BG2","Use it or lose it rule enforced for accrued paid time off hours (if allowed by law)")</f>
        <v>Use it or lose it rule enforced for accrued paid time off hours (if allowed by law)</v>
      </c>
      <c r="W59" s="3" t="str">
        <f>HYPERLINK("#'Vendors'!BG1","Q12.4.3_28_TEXT")</f>
        <v>Q12.4.3_28_TEXT</v>
      </c>
      <c r="X59" s="93" t="str">
        <f>HYPERLINK("#'Vendors'!BG2","Other legal vendors employed: ERISA")</f>
        <v>Other legal vendors employed: ERISA</v>
      </c>
    </row>
    <row r="60" spans="1:24" ht="38.25" x14ac:dyDescent="0.2">
      <c r="A60" s="5" t="str">
        <f>HYPERLINK("#'Company Overview'!BH1","Q1.5.6_3")</f>
        <v>Q1.5.6_3</v>
      </c>
      <c r="B60" s="93" t="str">
        <f>HYPERLINK("#'Company Overview'!BH2","Mobile health vehicles: Managed by U.S. benefits department")</f>
        <v>Mobile health vehicles: Managed by U.S. benefits department</v>
      </c>
      <c r="C60" s="96" t="str">
        <f>HYPERLINK("#'Enrollment, Eligib. &amp; Cost'!BH1","Q2.3.3")</f>
        <v>Q2.3.3</v>
      </c>
      <c r="D60" s="93" t="str">
        <f>HYPERLINK("#'Enrollment, Eligib. &amp; Cost'!BH2","Maximum amount of monthly waive medical plan coverage credit")</f>
        <v>Maximum amount of monthly waive medical plan coverage credit</v>
      </c>
      <c r="E60" s="6"/>
      <c r="F60" s="7"/>
      <c r="G60" s="96" t="str">
        <f>HYPERLINK("#'Communications &amp; Engagement'!BH1","Q4.2.4")</f>
        <v>Q4.2.4</v>
      </c>
      <c r="H60" s="93" t="str">
        <f>HYPERLINK("#'Communications &amp; Engagement'!BH2","Have a single website where employees can find all benefits information")</f>
        <v>Have a single website where employees can find all benefits information</v>
      </c>
      <c r="I60" s="96" t="str">
        <f>HYPERLINK("#'Other Benefits'!BH1","Q5.2.40")</f>
        <v>Q5.2.40</v>
      </c>
      <c r="J60" s="93" t="str">
        <f>HYPERLINK("#'Other Benefits'!BH2","Length of company provided medically necessary freezing and storage of eggs")</f>
        <v>Length of company provided medically necessary freezing and storage of eggs</v>
      </c>
      <c r="K60" s="3" t="str">
        <f>HYPERLINK("#'Healthcare'!BH1","Q6.2.12_7")</f>
        <v>Q6.2.12_7</v>
      </c>
      <c r="L60" s="93" t="str">
        <f>HYPERLINK("#'Healthcare'!BH2","Primary PPO medical plan out-of-network services with separate deductibles: Inpatient hospital")</f>
        <v>Primary PPO medical plan out-of-network services with separate deductibles: Inpatient hospital</v>
      </c>
      <c r="M60" s="108" t="str">
        <f>HYPERLINK("#'Disease Mgmt &amp; Wellbeing'!BH1","Q7.5.28")</f>
        <v>Q7.5.28</v>
      </c>
      <c r="N60" s="103" t="str">
        <f>HYPERLINK("#'Disease Mgmt &amp; Wellbeing'!BH2","Wellness incentive offered by company: Social well-being")</f>
        <v>Wellness incentive offered by company: Social well-being</v>
      </c>
      <c r="O60" s="3" t="str">
        <f>HYPERLINK("#'Trends &amp; Emerging Practices'!BH1","Q8.4.4")</f>
        <v>Q8.4.4</v>
      </c>
      <c r="P60" s="93" t="str">
        <f>HYPERLINK("#'Trends &amp; Emerging Practices'!BH2","Different deductible, co-pay, or co-insurance amount for palliative care benefits")</f>
        <v>Different deductible, co-pay, or co-insurance amount for palliative care benefits</v>
      </c>
      <c r="Q60" s="3" t="str">
        <f>HYPERLINK("#'Income Protection'!BH1","Q9.2.12")</f>
        <v>Q9.2.12</v>
      </c>
      <c r="R60" s="4" t="str">
        <f>HYPERLINK("#'Income Protection'!BH2","Events allowing employees to elect or increase life insurance without medical review (guarantee issue)")</f>
        <v>Events allowing employees to elect or increase life insurance without medical review (guarantee issue)</v>
      </c>
      <c r="S60" s="96" t="str">
        <f>HYPERLINK("#'Retirement, NQDC, Finances'!BH1","Q10.2.15_2")</f>
        <v>Q10.2.15_2</v>
      </c>
      <c r="T60" s="93" t="str">
        <f>HYPERLINK("#'Retirement, NQDC, Finances'!BH2","401(k) match cliff vesting schedule: 2 YOS")</f>
        <v>401(k) match cliff vesting schedule: 2 YOS</v>
      </c>
      <c r="U60" s="3" t="str">
        <f>HYPERLINK("#'Time Off'!BH1","Q11.3.5")</f>
        <v>Q11.3.5</v>
      </c>
      <c r="V60" s="93" t="str">
        <f>HYPERLINK("#'Time Off'!BH2","Paid time off hour accrual maximum")</f>
        <v>Paid time off hour accrual maximum</v>
      </c>
      <c r="W60" s="3" t="str">
        <f>HYPERLINK("#'Vendors'!BH1","Q12.4.4")</f>
        <v>Q12.4.4</v>
      </c>
      <c r="X60" s="93" t="str">
        <f>HYPERLINK("#'Vendors'!BH2","Legal vendors employed: 401(k)")</f>
        <v>Legal vendors employed: 401(k)</v>
      </c>
    </row>
    <row r="61" spans="1:24" ht="38.25" x14ac:dyDescent="0.2">
      <c r="A61" s="5" t="str">
        <f>HYPERLINK("#'Company Overview'!BI1","Q1.5.6_4")</f>
        <v>Q1.5.6_4</v>
      </c>
      <c r="B61" s="93" t="str">
        <f>HYPERLINK("#'Company Overview'!BI2","Near-site health center: Managed by U.S. benefits department")</f>
        <v>Near-site health center: Managed by U.S. benefits department</v>
      </c>
      <c r="C61" s="96" t="str">
        <f>HYPERLINK("#'Enrollment, Eligib. &amp; Cost'!BI1","Q2.3.4")</f>
        <v>Q2.3.4</v>
      </c>
      <c r="D61" s="93" t="str">
        <f>HYPERLINK("#'Enrollment, Eligib. &amp; Cost'!BI2","Employees who opt out of dental plan coverage receive cash waive credit")</f>
        <v>Employees who opt out of dental plan coverage receive cash waive credit</v>
      </c>
      <c r="E61" s="6"/>
      <c r="F61" s="7"/>
      <c r="G61" s="96" t="str">
        <f>HYPERLINK("#'Communications &amp; Engagement'!BI1","Q4.2.5")</f>
        <v>Q4.2.5</v>
      </c>
      <c r="H61" s="93" t="str">
        <f>HYPERLINK("#'Communications &amp; Engagement'!BI2","Benefits website includes links to all benefit vendors")</f>
        <v>Benefits website includes links to all benefit vendors</v>
      </c>
      <c r="I61" s="96" t="str">
        <f>HYPERLINK("#'Other Benefits'!BI1","Q5.2.41")</f>
        <v>Q5.2.41</v>
      </c>
      <c r="J61" s="93" t="str">
        <f>HYPERLINK("#'Other Benefits'!BI2","Length of elective freezing and storage of eggs")</f>
        <v>Length of elective freezing and storage of eggs</v>
      </c>
      <c r="K61" s="3" t="str">
        <f>HYPERLINK("#'Healthcare'!BI1","Q6.2.12_8")</f>
        <v>Q6.2.12_8</v>
      </c>
      <c r="L61" s="93" t="str">
        <f>HYPERLINK("#'Healthcare'!BI2","Primary PPO medical plan out-of-network services with separate deductibles: Mental health/substance abuse")</f>
        <v>Primary PPO medical plan out-of-network services with separate deductibles: Mental health/substance abuse</v>
      </c>
      <c r="M61" s="108" t="str">
        <f>HYPERLINK("#'Disease Mgmt &amp; Wellbeing'!BI1","Q7.5.29")</f>
        <v>Q7.5.29</v>
      </c>
      <c r="N61" s="103" t="str">
        <f>HYPERLINK("#'Disease Mgmt &amp; Wellbeing'!BI2","Wellness incentive offered by company: Environmental well-being")</f>
        <v>Wellness incentive offered by company: Environmental well-being</v>
      </c>
      <c r="O61" s="3" t="str">
        <f>HYPERLINK("#'Trends &amp; Emerging Practices'!BI1","Q8.4.5")</f>
        <v>Q8.4.5</v>
      </c>
      <c r="P61" s="93" t="str">
        <f>HYPERLINK("#'Trends &amp; Emerging Practices'!BI2","Lifetime maximum benefit for palliative care benefits")</f>
        <v>Lifetime maximum benefit for palliative care benefits</v>
      </c>
      <c r="Q61" s="3" t="str">
        <f>HYPERLINK("#'Income Protection'!BI1","Q9.2.13")</f>
        <v>Q9.2.13</v>
      </c>
      <c r="R61" s="4" t="str">
        <f>HYPERLINK("#'Income Protection'!BI2","Child life insurance eligibility rules aligned with other health plan coverage")</f>
        <v>Child life insurance eligibility rules aligned with other health plan coverage</v>
      </c>
      <c r="S61" s="96" t="str">
        <f>HYPERLINK("#'Retirement, NQDC, Finances'!BI1","Q10.2.15_3")</f>
        <v>Q10.2.15_3</v>
      </c>
      <c r="T61" s="93" t="str">
        <f>HYPERLINK("#'Retirement, NQDC, Finances'!BI2","401(k) match cliff vesting schedule: 3 YOS")</f>
        <v>401(k) match cliff vesting schedule: 3 YOS</v>
      </c>
      <c r="U61" s="3" t="str">
        <f>HYPERLINK("#'Time Off'!BI1","Q11.3.6")</f>
        <v>Q11.3.6</v>
      </c>
      <c r="V61" s="93" t="str">
        <f>HYPERLINK("#'Time Off'!BI2","Paid time off accrual maximum formula")</f>
        <v>Paid time off accrual maximum formula</v>
      </c>
      <c r="W61" s="3" t="str">
        <f>HYPERLINK("#'Vendors'!BI1","Q12.4.4_28_TEXT")</f>
        <v>Q12.4.4_28_TEXT</v>
      </c>
      <c r="X61" s="93" t="str">
        <f>HYPERLINK("#'Vendors'!BI2","Other legal vendors employed: 401(k)")</f>
        <v>Other legal vendors employed: 401(k)</v>
      </c>
    </row>
    <row r="62" spans="1:24" ht="38.25" x14ac:dyDescent="0.2">
      <c r="A62" s="5" t="str">
        <f>HYPERLINK("#'Company Overview'!BJ1","Q1.5.7_1")</f>
        <v>Q1.5.7_1</v>
      </c>
      <c r="B62" s="93" t="str">
        <f>HYPERLINK("#'Company Overview'!BJ2","Voluntary plans - legal insurance: Managed by U.S. benefits department")</f>
        <v>Voluntary plans - legal insurance: Managed by U.S. benefits department</v>
      </c>
      <c r="C62" s="96" t="str">
        <f>HYPERLINK("#'Enrollment, Eligib. &amp; Cost'!BJ1","Q2.3.5")</f>
        <v>Q2.3.5</v>
      </c>
      <c r="D62" s="93" t="str">
        <f>HYPERLINK("#'Enrollment, Eligib. &amp; Cost'!BJ2","Maximum amount of monthly waive dental plan coverage credit")</f>
        <v>Maximum amount of monthly waive dental plan coverage credit</v>
      </c>
      <c r="E62" s="6"/>
      <c r="F62" s="7"/>
      <c r="G62" s="96" t="str">
        <f>HYPERLINK("#'Communications &amp; Engagement'!BJ1","Q4.2.6")</f>
        <v>Q4.2.6</v>
      </c>
      <c r="H62" s="93" t="str">
        <f>HYPERLINK("#'Communications &amp; Engagement'!BJ2","Benefits website (intranet) is accessible outside of company firewall")</f>
        <v>Benefits website (intranet) is accessible outside of company firewall</v>
      </c>
      <c r="I62" s="96" t="str">
        <f>HYPERLINK("#'Other Benefits'!BJ1","Q5.2.42")</f>
        <v>Q5.2.42</v>
      </c>
      <c r="J62" s="93" t="str">
        <f>HYPERLINK("#'Other Benefits'!BJ2","Lifetime maximum benefit for egg freezing and storage benefits in place")</f>
        <v>Lifetime maximum benefit for egg freezing and storage benefits in place</v>
      </c>
      <c r="K62" s="3" t="str">
        <f>HYPERLINK("#'Healthcare'!BJ1","Q6.2.12_9")</f>
        <v>Q6.2.12_9</v>
      </c>
      <c r="L62" s="93" t="str">
        <f>HYPERLINK("#'Healthcare'!BJ2","Primary PPO medical plan out-of-network services with separate deductibles: Outpatient surgical center")</f>
        <v>Primary PPO medical plan out-of-network services with separate deductibles: Outpatient surgical center</v>
      </c>
      <c r="M62" s="108" t="str">
        <f>HYPERLINK("#'Disease Mgmt &amp; Wellbeing'!BJ1","Q7.5.30")</f>
        <v>Q7.5.30</v>
      </c>
      <c r="N62" s="103" t="str">
        <f>HYPERLINK("#'Disease Mgmt &amp; Wellbeing'!BJ2","Wellness incentive offered by company: Well-being apps ")</f>
        <v xml:space="preserve">Wellness incentive offered by company: Well-being apps </v>
      </c>
      <c r="O62" s="3" t="str">
        <f>HYPERLINK("#'Trends &amp; Emerging Practices'!BJ1","Q8.4.6")</f>
        <v>Q8.4.6</v>
      </c>
      <c r="P62" s="93" t="str">
        <f>HYPERLINK("#'Trends &amp; Emerging Practices'!BJ2","Lifetime maximum benefit amount for palliative care benefits")</f>
        <v>Lifetime maximum benefit amount for palliative care benefits</v>
      </c>
      <c r="Q62" s="3" t="str">
        <f>HYPERLINK("#'Income Protection'!BJ1","Q9.2.14")</f>
        <v>Q9.2.14</v>
      </c>
      <c r="R62" s="4" t="str">
        <f>HYPERLINK("#'Income Protection'!BJ2","Dependents eligible for life insurance coverage")</f>
        <v>Dependents eligible for life insurance coverage</v>
      </c>
      <c r="S62" s="96" t="str">
        <f>HYPERLINK("#'Retirement, NQDC, Finances'!BJ1","Q10.2.15_4")</f>
        <v>Q10.2.15_4</v>
      </c>
      <c r="T62" s="93" t="str">
        <f>HYPERLINK("#'Retirement, NQDC, Finances'!BJ2","401(k) match cliff vesting schedule: 4 YOS")</f>
        <v>401(k) match cliff vesting schedule: 4 YOS</v>
      </c>
      <c r="U62" s="3" t="str">
        <f>HYPERLINK("#'Time Off'!BJ1","Q11.3.7")</f>
        <v>Q11.3.7</v>
      </c>
      <c r="V62" s="93" t="str">
        <f>HYPERLINK("#'Time Off'!BJ2","Borrow against future paid time off accrual allowed")</f>
        <v>Borrow against future paid time off accrual allowed</v>
      </c>
      <c r="W62" s="3" t="str">
        <f>HYPERLINK("#'Vendors'!BJ1","Q12.4.5")</f>
        <v>Q12.4.5</v>
      </c>
      <c r="X62" s="93" t="str">
        <f>HYPERLINK("#'Vendors'!BJ2","Legal vendors employed: Non-qualified deferred compensation plan")</f>
        <v>Legal vendors employed: Non-qualified deferred compensation plan</v>
      </c>
    </row>
    <row r="63" spans="1:24" ht="38.25" x14ac:dyDescent="0.2">
      <c r="A63" s="5" t="str">
        <f>HYPERLINK("#'Company Overview'!BK1","Q1.5.7_2")</f>
        <v>Q1.5.7_2</v>
      </c>
      <c r="B63" s="93" t="str">
        <f>HYPERLINK("#'Company Overview'!BK2","Voluntary plans - financial planning: Managed by U.S. benefits department")</f>
        <v>Voluntary plans - financial planning: Managed by U.S. benefits department</v>
      </c>
      <c r="C63" s="96" t="str">
        <f>HYPERLINK("#'Enrollment, Eligib. &amp; Cost'!BK1","Q2.3.6")</f>
        <v>Q2.3.6</v>
      </c>
      <c r="D63" s="93" t="str">
        <f>HYPERLINK("#'Enrollment, Eligib. &amp; Cost'!BK2","Employees who opt out of vision plan coverage receive cash waive credit")</f>
        <v>Employees who opt out of vision plan coverage receive cash waive credit</v>
      </c>
      <c r="E63" s="6"/>
      <c r="F63" s="7"/>
      <c r="G63" s="96" t="str">
        <f>HYPERLINK("#'Communications &amp; Engagement'!BK1","Q4.2.7")</f>
        <v>Q4.2.7</v>
      </c>
      <c r="H63" s="93" t="str">
        <f>HYPERLINK("#'Communications &amp; Engagement'!BK2","Have a benefits program brand in place that distinguishes it from other company information")</f>
        <v>Have a benefits program brand in place that distinguishes it from other company information</v>
      </c>
      <c r="I63" s="96" t="str">
        <f>HYPERLINK("#'Other Benefits'!BK1","Q5.2.43")</f>
        <v>Q5.2.43</v>
      </c>
      <c r="J63" s="93" t="str">
        <f>HYPERLINK("#'Other Benefits'!BK2","Lifetime maximum benefit for egg freezing and storage benefits")</f>
        <v>Lifetime maximum benefit for egg freezing and storage benefits</v>
      </c>
      <c r="K63" s="3" t="str">
        <f>HYPERLINK("#'Healthcare'!BK1","Q6.2.12_10")</f>
        <v>Q6.2.12_10</v>
      </c>
      <c r="L63" s="93" t="str">
        <f>HYPERLINK("#'Healthcare'!BK2","Primary PPO medical plan out-of-network services with separate deductibles: Prescription drugs (preventive)")</f>
        <v>Primary PPO medical plan out-of-network services with separate deductibles: Prescription drugs (preventive)</v>
      </c>
      <c r="M63" s="108" t="str">
        <f>HYPERLINK("#'Disease Mgmt &amp; Wellbeing'!BK1","Q7.5.31_1")</f>
        <v>Q7.5.31_1</v>
      </c>
      <c r="N63" s="103" t="str">
        <f>HYPERLINK("#'Disease Mgmt &amp; Wellbeing'!BK2","Company wellness incentive contribution: Health reimbursement account")</f>
        <v>Company wellness incentive contribution: Health reimbursement account</v>
      </c>
      <c r="O63" s="3" t="str">
        <f>HYPERLINK("#'Trends &amp; Emerging Practices'!BK1","Q8.4.7_1")</f>
        <v>Q8.4.7_1</v>
      </c>
      <c r="P63" s="93" t="str">
        <f>HYPERLINK("#'Trends &amp; Emerging Practices'!BK2","Status of palliative care coverage: PPO")</f>
        <v>Status of palliative care coverage: PPO</v>
      </c>
      <c r="Q63" s="3" t="str">
        <f>HYPERLINK("#'Income Protection'!BK1","Q9.2.15")</f>
        <v>Q9.2.15</v>
      </c>
      <c r="R63" s="4" t="str">
        <f>HYPERLINK("#'Income Protection'!BK2","Events allowing employees to elect or increase dependent life insurance (spouse/DP/children) without medical review (guarantee issue)")</f>
        <v>Events allowing employees to elect or increase dependent life insurance (spouse/DP/children) without medical review (guarantee issue)</v>
      </c>
      <c r="S63" s="96" t="str">
        <f>HYPERLINK("#'Retirement, NQDC, Finances'!BK1","Q10.2.15_5")</f>
        <v>Q10.2.15_5</v>
      </c>
      <c r="T63" s="93" t="str">
        <f>HYPERLINK("#'Retirement, NQDC, Finances'!BK2","401(k) match cliff vesting schedule: 5 YOS")</f>
        <v>401(k) match cliff vesting schedule: 5 YOS</v>
      </c>
      <c r="U63" s="3" t="str">
        <f>HYPERLINK("#'Time Off'!BK1","Q11.3.8")</f>
        <v>Q11.3.8</v>
      </c>
      <c r="V63" s="93" t="str">
        <f>HYPERLINK("#'Time Off'!BK2","Maximum number of paid time off hours employees can borrow")</f>
        <v>Maximum number of paid time off hours employees can borrow</v>
      </c>
      <c r="W63" s="3" t="str">
        <f>HYPERLINK("#'Vendors'!BK1","Q12.4.5_28_TEXT")</f>
        <v>Q12.4.5_28_TEXT</v>
      </c>
      <c r="X63" s="93" t="str">
        <f>HYPERLINK("#'Vendors'!BK2","Other legal vendors employed: Non-qualified deferred compensation plan")</f>
        <v>Other legal vendors employed: Non-qualified deferred compensation plan</v>
      </c>
    </row>
    <row r="64" spans="1:24" ht="39" thickBot="1" x14ac:dyDescent="0.25">
      <c r="A64" s="5" t="str">
        <f>HYPERLINK("#'Company Overview'!BL1","Q1.5.7_3")</f>
        <v>Q1.5.7_3</v>
      </c>
      <c r="B64" s="93" t="str">
        <f>HYPERLINK("#'Company Overview'!BL2","Voluntary plans - pet insurance: Managed by U.S. benefits department")</f>
        <v>Voluntary plans - pet insurance: Managed by U.S. benefits department</v>
      </c>
      <c r="C64" s="96" t="str">
        <f>HYPERLINK("#'Enrollment, Eligib. &amp; Cost'!BL1","Q2.3.7")</f>
        <v>Q2.3.7</v>
      </c>
      <c r="D64" s="93" t="str">
        <f>HYPERLINK("#'Enrollment, Eligib. &amp; Cost'!BL2","Maximum amount of monthly waive vision plan coverage credit")</f>
        <v>Maximum amount of monthly waive vision plan coverage credit</v>
      </c>
      <c r="E64" s="6"/>
      <c r="F64" s="7"/>
      <c r="G64" s="97" t="str">
        <f>HYPERLINK("#'Communications &amp; Engagement'!BL1","Q4.2.10")</f>
        <v>Q4.2.10</v>
      </c>
      <c r="H64" s="94" t="str">
        <f>HYPERLINK("#'Communications &amp; Engagement'!BL2","Biggest communication challenge")</f>
        <v>Biggest communication challenge</v>
      </c>
      <c r="I64" s="96" t="str">
        <f>HYPERLINK("#'Other Benefits'!BL1","Q5.2.44_1")</f>
        <v>Q5.2.44_1</v>
      </c>
      <c r="J64" s="93" t="str">
        <f>HYPERLINK("#'Other Benefits'!BL2","Egg freezing and storage coverage status by health plan: PPO")</f>
        <v>Egg freezing and storage coverage status by health plan: PPO</v>
      </c>
      <c r="K64" s="3" t="str">
        <f>HYPERLINK("#'Healthcare'!BL1","Q6.2.12_11")</f>
        <v>Q6.2.12_11</v>
      </c>
      <c r="L64" s="93" t="str">
        <f>HYPERLINK("#'Healthcare'!BL2","Primary PPO medical plan out-of-network services with separate deductibles: Prescription drugs (non-preventive)")</f>
        <v>Primary PPO medical plan out-of-network services with separate deductibles: Prescription drugs (non-preventive)</v>
      </c>
      <c r="M64" s="108" t="str">
        <f>HYPERLINK("#'Disease Mgmt &amp; Wellbeing'!BL1","Q7.5.31_2")</f>
        <v>Q7.5.31_2</v>
      </c>
      <c r="N64" s="103" t="str">
        <f>HYPERLINK("#'Disease Mgmt &amp; Wellbeing'!BL2","Company wellness incentive contribution: Health savings account")</f>
        <v>Company wellness incentive contribution: Health savings account</v>
      </c>
      <c r="O64" s="3" t="str">
        <f>HYPERLINK("#'Trends &amp; Emerging Practices'!BL1","Q8.4.7_2")</f>
        <v>Q8.4.7_2</v>
      </c>
      <c r="P64" s="93" t="str">
        <f>HYPERLINK("#'Trends &amp; Emerging Practices'!BL2","Status of palliative care coverage: POS")</f>
        <v>Status of palliative care coverage: POS</v>
      </c>
      <c r="Q64" s="3" t="str">
        <f>HYPERLINK("#'Income Protection'!BL1","Q9.2.16")</f>
        <v>Q9.2.16</v>
      </c>
      <c r="R64" s="4" t="str">
        <f>HYPERLINK("#'Income Protection'!BL2","Spouse/domestic partner life insurance maximum benefit amount")</f>
        <v>Spouse/domestic partner life insurance maximum benefit amount</v>
      </c>
      <c r="S64" s="96" t="str">
        <f>HYPERLINK("#'Retirement, NQDC, Finances'!BL1","Q10.2.15_6")</f>
        <v>Q10.2.15_6</v>
      </c>
      <c r="T64" s="93" t="str">
        <f>HYPERLINK("#'Retirement, NQDC, Finances'!BL2","401(k) match cliff vesting schedule: 6 YOS")</f>
        <v>401(k) match cliff vesting schedule: 6 YOS</v>
      </c>
      <c r="U64" s="3" t="str">
        <f>HYPERLINK("#'Time Off'!BL1","Q11.4.2")</f>
        <v>Q11.4.2</v>
      </c>
      <c r="V64" s="93" t="str">
        <f>HYPERLINK("#'Time Off'!BL2","Minimum scheduled weekly work hours for sick time benefit eligibility")</f>
        <v>Minimum scheduled weekly work hours for sick time benefit eligibility</v>
      </c>
      <c r="W64" s="3" t="str">
        <f>HYPERLINK("#'Vendors'!BL1","Q12.4.6")</f>
        <v>Q12.4.6</v>
      </c>
      <c r="X64" s="93" t="str">
        <f>HYPERLINK("#'Vendors'!BL2","Legal vendor(s) terminated in 2021")</f>
        <v>Legal vendor(s) terminated in 2021</v>
      </c>
    </row>
    <row r="65" spans="1:24" ht="38.25" x14ac:dyDescent="0.2">
      <c r="A65" s="5" t="str">
        <f>HYPERLINK("#'Company Overview'!BM1","Q1.5.7_4")</f>
        <v>Q1.5.7_4</v>
      </c>
      <c r="B65" s="93" t="str">
        <f>HYPERLINK("#'Company Overview'!BM2","Voluntary plans - long term care: Managed by U.S. benefits department")</f>
        <v>Voluntary plans - long term care: Managed by U.S. benefits department</v>
      </c>
      <c r="C65" s="96" t="str">
        <f>HYPERLINK("#'Enrollment, Eligib. &amp; Cost'!BM1","Q2.3.8")</f>
        <v>Q2.3.8</v>
      </c>
      <c r="D65" s="93" t="str">
        <f>HYPERLINK("#'Enrollment, Eligib. &amp; Cost'!BM2","Employees required to pay medical premium surcharge for unhealthy behaviors (i.e., smoking)")</f>
        <v>Employees required to pay medical premium surcharge for unhealthy behaviors (i.e., smoking)</v>
      </c>
      <c r="E65" s="6"/>
      <c r="F65" s="7"/>
      <c r="G65" s="105"/>
      <c r="H65" s="106"/>
      <c r="I65" s="96" t="str">
        <f>HYPERLINK("#'Other Benefits'!BM1","Q5.2.44_2")</f>
        <v>Q5.2.44_2</v>
      </c>
      <c r="J65" s="93" t="str">
        <f>HYPERLINK("#'Other Benefits'!BM2","Egg freezing and storage coverage status by health plan: POS")</f>
        <v>Egg freezing and storage coverage status by health plan: POS</v>
      </c>
      <c r="K65" s="3" t="str">
        <f>HYPERLINK("#'Healthcare'!BM1","Q6.2.12_12")</f>
        <v>Q6.2.12_12</v>
      </c>
      <c r="L65" s="93" t="str">
        <f>HYPERLINK("#'Healthcare'!BM2","Primary PPO medical plan out-of-network services with separate deductibles: Therapies (e.g., speech, PT, OT)")</f>
        <v>Primary PPO medical plan out-of-network services with separate deductibles: Therapies (e.g., speech, PT, OT)</v>
      </c>
      <c r="M65" s="108" t="str">
        <f>HYPERLINK("#'Disease Mgmt &amp; Wellbeing'!BM1","Q7.5.31_3")</f>
        <v>Q7.5.31_3</v>
      </c>
      <c r="N65" s="103" t="str">
        <f>HYPERLINK("#'Disease Mgmt &amp; Wellbeing'!BM2","Company wellness incentive contribution: Flexible spending account")</f>
        <v>Company wellness incentive contribution: Flexible spending account</v>
      </c>
      <c r="O65" s="3" t="str">
        <f>HYPERLINK("#'Trends &amp; Emerging Practices'!BM1","Q8.4.7_3")</f>
        <v>Q8.4.7_3</v>
      </c>
      <c r="P65" s="93" t="str">
        <f>HYPERLINK("#'Trends &amp; Emerging Practices'!BM2","Status of palliative care coverage: CDHP/HDHP with health reimbursement account")</f>
        <v>Status of palliative care coverage: CDHP/HDHP with health reimbursement account</v>
      </c>
      <c r="Q65" s="3" t="str">
        <f>HYPERLINK("#'Income Protection'!BM1","Q9.2.17")</f>
        <v>Q9.2.17</v>
      </c>
      <c r="R65" s="4" t="str">
        <f>HYPERLINK("#'Income Protection'!BM2","Child life insurance maximum benefit amount")</f>
        <v>Child life insurance maximum benefit amount</v>
      </c>
      <c r="S65" s="96" t="str">
        <f>HYPERLINK("#'Retirement, NQDC, Finances'!BM1","Q10.2.16_1")</f>
        <v>Q10.2.16_1</v>
      </c>
      <c r="T65" s="93" t="str">
        <f>HYPERLINK("#'Retirement, NQDC, Finances'!BM2","401(k) match graded vesting schedule: 1 YOS")</f>
        <v>401(k) match graded vesting schedule: 1 YOS</v>
      </c>
      <c r="U65" s="3" t="str">
        <f>HYPERLINK("#'Time Off'!BM1","Q11.4.3")</f>
        <v>Q11.4.3</v>
      </c>
      <c r="V65" s="93" t="str">
        <f>HYPERLINK("#'Time Off'!BM2","Sick time frontloaded, accrued or unlimited")</f>
        <v>Sick time frontloaded, accrued or unlimited</v>
      </c>
      <c r="W65" s="3" t="str">
        <f>HYPERLINK("#'Vendors'!BM1","Q12.4.7_1")</f>
        <v>Q12.4.7_1</v>
      </c>
      <c r="X65" s="93" t="str">
        <f>HYPERLINK("#'Vendors'!BM2","Terminated legal vendors: Health &amp; welfare")</f>
        <v>Terminated legal vendors: Health &amp; welfare</v>
      </c>
    </row>
    <row r="66" spans="1:24" ht="38.25" x14ac:dyDescent="0.2">
      <c r="A66" s="5" t="str">
        <f>HYPERLINK("#'Company Overview'!BN1","Q1.5.8_1")</f>
        <v>Q1.5.8_1</v>
      </c>
      <c r="B66" s="93" t="str">
        <f>HYPERLINK("#'Company Overview'!BN2","Company perks and discounts: Managed by U.S. benefits department")</f>
        <v>Company perks and discounts: Managed by U.S. benefits department</v>
      </c>
      <c r="C66" s="96" t="str">
        <f>HYPERLINK("#'Enrollment, Eligib. &amp; Cost'!BN1","Q2.3.9")</f>
        <v>Q2.3.9</v>
      </c>
      <c r="D66" s="93" t="str">
        <f>HYPERLINK("#'Enrollment, Eligib. &amp; Cost'!BN2","Amount of annual medical plan premium surcharge for unhealthy behaviors (i.e., smoking)")</f>
        <v>Amount of annual medical plan premium surcharge for unhealthy behaviors (i.e., smoking)</v>
      </c>
      <c r="E66" s="6"/>
      <c r="F66" s="7"/>
      <c r="G66" s="87"/>
      <c r="H66" s="88"/>
      <c r="I66" s="96" t="str">
        <f>HYPERLINK("#'Other Benefits'!BN1","Q5.2.44_3")</f>
        <v>Q5.2.44_3</v>
      </c>
      <c r="J66" s="93" t="str">
        <f>HYPERLINK("#'Other Benefits'!BN2","Egg freezing and storage coverage status by health plan: HDHP w/HRA")</f>
        <v>Egg freezing and storage coverage status by health plan: HDHP w/HRA</v>
      </c>
      <c r="K66" s="3" t="str">
        <f>HYPERLINK("#'Healthcare'!BN1","Q6.2.12_13")</f>
        <v>Q6.2.12_13</v>
      </c>
      <c r="L66" s="93" t="str">
        <f>HYPERLINK("#'Healthcare'!BN2","Primary PPO medical plan out-of-network services with separate deductibles: Other")</f>
        <v>Primary PPO medical plan out-of-network services with separate deductibles: Other</v>
      </c>
      <c r="M66" s="108" t="str">
        <f>HYPERLINK("#'Disease Mgmt &amp; Wellbeing'!BN1","Q7.5.31_4")</f>
        <v>Q7.5.31_4</v>
      </c>
      <c r="N66" s="103" t="str">
        <f>HYPERLINK("#'Disease Mgmt &amp; Wellbeing'!BN2","Company wellness incentive contribution: 401(k)")</f>
        <v>Company wellness incentive contribution: 401(k)</v>
      </c>
      <c r="O66" s="3" t="str">
        <f>HYPERLINK("#'Trends &amp; Emerging Practices'!BN1","Q8.4.7_4")</f>
        <v>Q8.4.7_4</v>
      </c>
      <c r="P66" s="93" t="str">
        <f>HYPERLINK("#'Trends &amp; Emerging Practices'!BN2","Status of palliative care coverage: CDHP/HDHP with health savings account")</f>
        <v>Status of palliative care coverage: CDHP/HDHP with health savings account</v>
      </c>
      <c r="Q66" s="3" t="str">
        <f>HYPERLINK("#'Income Protection'!BN1","Q9.3.2")</f>
        <v>Q9.3.2</v>
      </c>
      <c r="R66" s="4" t="str">
        <f>HYPERLINK("#'Income Protection'!BN2","Type of basic/employer paid accidental death and dismemberment coverage offered")</f>
        <v>Type of basic/employer paid accidental death and dismemberment coverage offered</v>
      </c>
      <c r="S66" s="96" t="str">
        <f>HYPERLINK("#'Retirement, NQDC, Finances'!BN1","Q10.2.16_2")</f>
        <v>Q10.2.16_2</v>
      </c>
      <c r="T66" s="93" t="str">
        <f>HYPERLINK("#'Retirement, NQDC, Finances'!BN2","401(k) match graded vesting schedule: 2 YOS")</f>
        <v>401(k) match graded vesting schedule: 2 YOS</v>
      </c>
      <c r="U66" s="3" t="str">
        <f>HYPERLINK("#'Time Off'!BN1","Q11.4.4_1")</f>
        <v>Q11.4.4_1</v>
      </c>
      <c r="V66" s="93" t="str">
        <f>HYPERLINK("#'Time Off'!BN2","Sick time hours accrual maximum per year")</f>
        <v>Sick time hours accrual maximum per year</v>
      </c>
      <c r="W66" s="3" t="str">
        <f>HYPERLINK("#'Vendors'!BN1","Q12.4.7_2")</f>
        <v>Q12.4.7_2</v>
      </c>
      <c r="X66" s="93" t="str">
        <f>HYPERLINK("#'Vendors'!BN2","Terminated legal vendors: ERISA")</f>
        <v>Terminated legal vendors: ERISA</v>
      </c>
    </row>
    <row r="67" spans="1:24" ht="38.25" x14ac:dyDescent="0.2">
      <c r="A67" s="5" t="str">
        <f>HYPERLINK("#'Company Overview'!BO1","Q1.5.8_2")</f>
        <v>Q1.5.8_2</v>
      </c>
      <c r="B67" s="93" t="str">
        <f>HYPERLINK("#'Company Overview'!BO2","On-site convenience services: Managed by U.S. benefits department")</f>
        <v>On-site convenience services: Managed by U.S. benefits department</v>
      </c>
      <c r="C67" s="96" t="str">
        <f>HYPERLINK("#'Enrollment, Eligib. &amp; Cost'!BO1","Q2.3.10")</f>
        <v>Q2.3.10</v>
      </c>
      <c r="D67" s="93" t="str">
        <f>HYPERLINK("#'Enrollment, Eligib. &amp; Cost'!BO2","Employees required to pay medical premium surcharge for covering dependents who have access to alternate coverage")</f>
        <v>Employees required to pay medical premium surcharge for covering dependents who have access to alternate coverage</v>
      </c>
      <c r="E67" s="6"/>
      <c r="F67" s="7"/>
      <c r="G67" s="6"/>
      <c r="H67" s="7"/>
      <c r="I67" s="96" t="str">
        <f>HYPERLINK("#'Other Benefits'!BO1","Q5.2.44_4")</f>
        <v>Q5.2.44_4</v>
      </c>
      <c r="J67" s="93" t="str">
        <f>HYPERLINK("#'Other Benefits'!BO2","Egg freezing and storage coverage status by health plan: HDHP w/HSA")</f>
        <v>Egg freezing and storage coverage status by health plan: HDHP w/HSA</v>
      </c>
      <c r="K67" s="3" t="str">
        <f>HYPERLINK("#'Healthcare'!BO1","Q6.2.13_1")</f>
        <v>Q6.2.13_1</v>
      </c>
      <c r="L67" s="93" t="str">
        <f>HYPERLINK("#'Healthcare'!BO2","Primary PPO medical plan in-network deductible per person: Not applicable - no separate deductibles")</f>
        <v>Primary PPO medical plan in-network deductible per person: Not applicable - no separate deductibles</v>
      </c>
      <c r="M67" s="108" t="str">
        <f>HYPERLINK("#'Disease Mgmt &amp; Wellbeing'!BO1","Q7.5.31_5")</f>
        <v>Q7.5.31_5</v>
      </c>
      <c r="N67" s="103" t="str">
        <f>HYPERLINK("#'Disease Mgmt &amp; Wellbeing'!BO2","Company wellness incentive contribution: Student loan debt payment")</f>
        <v>Company wellness incentive contribution: Student loan debt payment</v>
      </c>
      <c r="O67" s="3" t="str">
        <f>HYPERLINK("#'Trends &amp; Emerging Practices'!BO1","Q8.4.7_5")</f>
        <v>Q8.4.7_5</v>
      </c>
      <c r="P67" s="93" t="str">
        <f>HYPERLINK("#'Trends &amp; Emerging Practices'!BO2","Status of palliative care coverage: HMO")</f>
        <v>Status of palliative care coverage: HMO</v>
      </c>
      <c r="Q67" s="3" t="str">
        <f>HYPERLINK("#'Income Protection'!BO1","Q9.3.3")</f>
        <v>Q9.3.3</v>
      </c>
      <c r="R67" s="4" t="str">
        <f>HYPERLINK("#'Income Protection'!BO2","Multiplier used to determine basic/employer paid accidental death and dismemberment coverage")</f>
        <v>Multiplier used to determine basic/employer paid accidental death and dismemberment coverage</v>
      </c>
      <c r="S67" s="96" t="str">
        <f>HYPERLINK("#'Retirement, NQDC, Finances'!BO1","Q10.2.16_3")</f>
        <v>Q10.2.16_3</v>
      </c>
      <c r="T67" s="93" t="str">
        <f>HYPERLINK("#'Retirement, NQDC, Finances'!BO2","401(k) match graded vesting schedule: 3 YOS")</f>
        <v>401(k) match graded vesting schedule: 3 YOS</v>
      </c>
      <c r="U67" s="3" t="str">
        <f>HYPERLINK("#'Time Off'!BO1","Q11.4.4_2")</f>
        <v>Q11.4.4_2</v>
      </c>
      <c r="V67" s="93" t="str">
        <f>HYPERLINK("#'Time Off'!BO2","Sick time hours accrual maximum total")</f>
        <v>Sick time hours accrual maximum total</v>
      </c>
      <c r="W67" s="3" t="str">
        <f>HYPERLINK("#'Vendors'!BO1","Q12.4.7_3")</f>
        <v>Q12.4.7_3</v>
      </c>
      <c r="X67" s="93" t="str">
        <f>HYPERLINK("#'Vendors'!BO2","Terminated legal vendors: 401(k)")</f>
        <v>Terminated legal vendors: 401(k)</v>
      </c>
    </row>
    <row r="68" spans="1:24" ht="38.25" x14ac:dyDescent="0.2">
      <c r="A68" s="5" t="str">
        <f>HYPERLINK("#'Company Overview'!BP1","Q1.5.8_3")</f>
        <v>Q1.5.8_3</v>
      </c>
      <c r="B68" s="93" t="str">
        <f>HYPERLINK("#'Company Overview'!BP2","Caregiving resources (childcare centers, back-up care): Managed by U.S. benefits department")</f>
        <v>Caregiving resources (childcare centers, back-up care): Managed by U.S. benefits department</v>
      </c>
      <c r="C68" s="96" t="str">
        <f>HYPERLINK("#'Enrollment, Eligib. &amp; Cost'!BP1","Q2.3.11")</f>
        <v>Q2.3.11</v>
      </c>
      <c r="D68" s="93" t="str">
        <f>HYPERLINK("#'Enrollment, Eligib. &amp; Cost'!BP2","Amount of annual medical plan premium surcharge for covering dependents who have access to alternate coverage")</f>
        <v>Amount of annual medical plan premium surcharge for covering dependents who have access to alternate coverage</v>
      </c>
      <c r="E68" s="6"/>
      <c r="F68" s="7"/>
      <c r="G68" s="6"/>
      <c r="H68" s="7"/>
      <c r="I68" s="96" t="str">
        <f>HYPERLINK("#'Other Benefits'!BP1","Q5.2.44_5")</f>
        <v>Q5.2.44_5</v>
      </c>
      <c r="J68" s="93" t="str">
        <f>HYPERLINK("#'Other Benefits'!BP2","Egg freezing and storage coverage status by health plan: HMO")</f>
        <v>Egg freezing and storage coverage status by health plan: HMO</v>
      </c>
      <c r="K68" s="3" t="str">
        <f>HYPERLINK("#'Healthcare'!BP1","Q6.2.13_5")</f>
        <v>Q6.2.13_5</v>
      </c>
      <c r="L68" s="93" t="str">
        <f>HYPERLINK("#'Healthcare'!BP2","Primary PPO medical plan in-network deductible per person: Acupuncture")</f>
        <v>Primary PPO medical plan in-network deductible per person: Acupuncture</v>
      </c>
      <c r="M68" s="108" t="str">
        <f>HYPERLINK("#'Disease Mgmt &amp; Wellbeing'!BP1","Q7.5.32_1")</f>
        <v>Q7.5.32_1</v>
      </c>
      <c r="N68" s="103" t="str">
        <f>HYPERLINK("#'Disease Mgmt &amp; Wellbeing'!BP2","Annual maximum incentive contribution: Health reimbursement accounts")</f>
        <v>Annual maximum incentive contribution: Health reimbursement accounts</v>
      </c>
      <c r="O68" s="3" t="str">
        <f>HYPERLINK("#'Trends &amp; Emerging Practices'!BP1","Q8.4.7_6")</f>
        <v>Q8.4.7_6</v>
      </c>
      <c r="P68" s="93" t="str">
        <f>HYPERLINK("#'Trends &amp; Emerging Practices'!BP2","Status of palliative care coverage: EPO")</f>
        <v>Status of palliative care coverage: EPO</v>
      </c>
      <c r="Q68" s="3" t="str">
        <f>HYPERLINK("#'Income Protection'!BP1","Q9.3.4")</f>
        <v>Q9.3.4</v>
      </c>
      <c r="R68" s="4" t="str">
        <f>HYPERLINK("#'Income Protection'!BP2","Basic/employer paid accidental death and dismemberment maximum benefit amount")</f>
        <v>Basic/employer paid accidental death and dismemberment maximum benefit amount</v>
      </c>
      <c r="S68" s="96" t="str">
        <f>HYPERLINK("#'Retirement, NQDC, Finances'!BP1","Q10.2.16_4")</f>
        <v>Q10.2.16_4</v>
      </c>
      <c r="T68" s="93" t="str">
        <f>HYPERLINK("#'Retirement, NQDC, Finances'!BP2","401(k) match graded vesting schedule: 4 YOS")</f>
        <v>401(k) match graded vesting schedule: 4 YOS</v>
      </c>
      <c r="U68" s="3" t="str">
        <f>HYPERLINK("#'Time Off'!BP1","Q11.5.2_1")</f>
        <v>Q11.5.2_1</v>
      </c>
      <c r="V68" s="93" t="str">
        <f>HYPERLINK("#'Time Off'!BP2","Accrued, unused vacation or paid time off hours can be cashed out for compensation")</f>
        <v>Accrued, unused vacation or paid time off hours can be cashed out for compensation</v>
      </c>
      <c r="W68" s="3" t="str">
        <f>HYPERLINK("#'Vendors'!BP1","Q12.4.7_4")</f>
        <v>Q12.4.7_4</v>
      </c>
      <c r="X68" s="93" t="str">
        <f>HYPERLINK("#'Vendors'!BP2","Terminated legal vendors: Non-qualified deferred compensation plan")</f>
        <v>Terminated legal vendors: Non-qualified deferred compensation plan</v>
      </c>
    </row>
    <row r="69" spans="1:24" ht="38.25" x14ac:dyDescent="0.2">
      <c r="A69" s="5" t="str">
        <f>HYPERLINK("#'Company Overview'!BQ1","Q1.5.8_4")</f>
        <v>Q1.5.8_4</v>
      </c>
      <c r="B69" s="93" t="str">
        <f>HYPERLINK("#'Company Overview'!BQ2","Mobility relocation immigration: Managed by U.S. benefits department")</f>
        <v>Mobility relocation immigration: Managed by U.S. benefits department</v>
      </c>
      <c r="C69" s="96" t="str">
        <f>HYPERLINK("#'Enrollment, Eligib. &amp; Cost'!BQ1","Q2.4.2")</f>
        <v>Q2.4.2</v>
      </c>
      <c r="D69" s="93" t="str">
        <f>HYPERLINK("#'Enrollment, Eligib. &amp; Cost'!BQ2","Type of medical plans offered")</f>
        <v>Type of medical plans offered</v>
      </c>
      <c r="E69" s="6"/>
      <c r="F69" s="7"/>
      <c r="G69" s="6"/>
      <c r="H69" s="7"/>
      <c r="I69" s="96" t="str">
        <f>HYPERLINK("#'Other Benefits'!BQ1","Q5.2.44_6")</f>
        <v>Q5.2.44_6</v>
      </c>
      <c r="J69" s="93" t="str">
        <f>HYPERLINK("#'Other Benefits'!BQ2","Egg freezing and storage coverage status by health plan: EPO")</f>
        <v>Egg freezing and storage coverage status by health plan: EPO</v>
      </c>
      <c r="K69" s="3" t="str">
        <f>HYPERLINK("#'Healthcare'!BQ1","Q6.2.13_6")</f>
        <v>Q6.2.13_6</v>
      </c>
      <c r="L69" s="93" t="str">
        <f>HYPERLINK("#'Healthcare'!BQ2","Primary PPO medical plan in-network deductible per person: Chiropractic")</f>
        <v>Primary PPO medical plan in-network deductible per person: Chiropractic</v>
      </c>
      <c r="M69" s="108" t="str">
        <f>HYPERLINK("#'Disease Mgmt &amp; Wellbeing'!BQ1","Q7.5.32_2")</f>
        <v>Q7.5.32_2</v>
      </c>
      <c r="N69" s="103" t="str">
        <f>HYPERLINK("#'Disease Mgmt &amp; Wellbeing'!BQ2","Annual maximum incentive contribution: Health savings account")</f>
        <v>Annual maximum incentive contribution: Health savings account</v>
      </c>
      <c r="O69" s="3" t="str">
        <f>HYPERLINK("#'Trends &amp; Emerging Practices'!BQ1","Q8.5.2")</f>
        <v>Q8.5.2</v>
      </c>
      <c r="P69" s="93" t="str">
        <f>HYPERLINK("#'Trends &amp; Emerging Practices'!BQ2","Medical marijuana benefits offered")</f>
        <v>Medical marijuana benefits offered</v>
      </c>
      <c r="Q69" s="3" t="str">
        <f>HYPERLINK("#'Income Protection'!BQ1","Q9.3.5")</f>
        <v>Q9.3.5</v>
      </c>
      <c r="R69" s="4" t="str">
        <f>HYPERLINK("#'Income Protection'!BQ2","Buy up/supplemental accidental death and dismemberment coverage offered")</f>
        <v>Buy up/supplemental accidental death and dismemberment coverage offered</v>
      </c>
      <c r="S69" s="96" t="str">
        <f>HYPERLINK("#'Retirement, NQDC, Finances'!BQ1","Q10.2.16_5")</f>
        <v>Q10.2.16_5</v>
      </c>
      <c r="T69" s="93" t="str">
        <f>HYPERLINK("#'Retirement, NQDC, Finances'!BQ2","401(k) match graded vesting schedule: 5 YOS")</f>
        <v>401(k) match graded vesting schedule: 5 YOS</v>
      </c>
      <c r="U69" s="3" t="str">
        <f>HYPERLINK("#'Time Off'!BQ1","Q11.5.2_2")</f>
        <v>Q11.5.2_2</v>
      </c>
      <c r="V69" s="93" t="str">
        <f>HYPERLINK("#'Time Off'!BQ2","Accrued, unused vacation or paid time off hours can be donated to another employee in need")</f>
        <v>Accrued, unused vacation or paid time off hours can be donated to another employee in need</v>
      </c>
      <c r="W69" s="3" t="str">
        <f>HYPERLINK("#'Vendors'!BQ1","Q12.5.2")</f>
        <v>Q12.5.2</v>
      </c>
      <c r="X69" s="93" t="str">
        <f>HYPERLINK("#'Vendors'!BQ2","Data/HRIS administration vendors employed: HRIS software (systems)")</f>
        <v>Data/HRIS administration vendors employed: HRIS software (systems)</v>
      </c>
    </row>
    <row r="70" spans="1:24" ht="38.25" x14ac:dyDescent="0.2">
      <c r="A70" s="5" t="str">
        <f>HYPERLINK("#'Company Overview'!BR1","Q1.5.8_5")</f>
        <v>Q1.5.8_5</v>
      </c>
      <c r="B70" s="93" t="str">
        <f>HYPERLINK("#'Company Overview'!BR2","Expat and inpat: Managed by U.S. benefits department")</f>
        <v>Expat and inpat: Managed by U.S. benefits department</v>
      </c>
      <c r="C70" s="96" t="str">
        <f>HYPERLINK("#'Enrollment, Eligib. &amp; Cost'!BR1","Q2.4.3_1")</f>
        <v>Q2.4.3_1</v>
      </c>
      <c r="D70" s="93" t="str">
        <f>HYPERLINK("#'Enrollment, Eligib. &amp; Cost'!BR2","Total monthly premium for PPO medical plan with highest enrollment: Waive or opt out")</f>
        <v>Total monthly premium for PPO medical plan with highest enrollment: Waive or opt out</v>
      </c>
      <c r="E70" s="6"/>
      <c r="F70" s="7"/>
      <c r="G70" s="6"/>
      <c r="H70" s="7"/>
      <c r="I70" s="96" t="str">
        <f>HYPERLINK("#'Other Benefits'!BR1","Q5.2.45")</f>
        <v>Q5.2.45</v>
      </c>
      <c r="J70" s="93" t="str">
        <f>HYPERLINK("#'Other Benefits'!BR2","Offer umbilical cord blood storage/banking")</f>
        <v>Offer umbilical cord blood storage/banking</v>
      </c>
      <c r="K70" s="3" t="str">
        <f>HYPERLINK("#'Healthcare'!BR1","Q6.2.13_7")</f>
        <v>Q6.2.13_7</v>
      </c>
      <c r="L70" s="93" t="str">
        <f>HYPERLINK("#'Healthcare'!BR2","Primary PPO medical plan in-network deductible per person: Emergency room (true emergency)")</f>
        <v>Primary PPO medical plan in-network deductible per person: Emergency room (true emergency)</v>
      </c>
      <c r="M70" s="108" t="str">
        <f>HYPERLINK("#'Disease Mgmt &amp; Wellbeing'!BR1","Q7.5.32_3")</f>
        <v>Q7.5.32_3</v>
      </c>
      <c r="N70" s="103" t="str">
        <f>HYPERLINK("#'Disease Mgmt &amp; Wellbeing'!BR2","Annual maximum incentive contribution: Flexible spending account")</f>
        <v>Annual maximum incentive contribution: Flexible spending account</v>
      </c>
      <c r="O70" s="3" t="str">
        <f>HYPERLINK("#'Trends &amp; Emerging Practices'!BR1","Q8.5.3")</f>
        <v>Q8.5.3</v>
      </c>
      <c r="P70" s="93" t="str">
        <f>HYPERLINK("#'Trends &amp; Emerging Practices'!BR2","Different deductible, co-pay, or co-insurance amount for medical marijuana benefits")</f>
        <v>Different deductible, co-pay, or co-insurance amount for medical marijuana benefits</v>
      </c>
      <c r="Q70" s="3" t="str">
        <f>HYPERLINK("#'Income Protection'!BR1","Q9.3.6")</f>
        <v>Q9.3.6</v>
      </c>
      <c r="R70" s="4" t="str">
        <f>HYPERLINK("#'Income Protection'!BR2","Tax basis for employee payment of buy up/supplemental accidental death and dismemberment premiums")</f>
        <v>Tax basis for employee payment of buy up/supplemental accidental death and dismemberment premiums</v>
      </c>
      <c r="S70" s="96" t="str">
        <f>HYPERLINK("#'Retirement, NQDC, Finances'!BR1","Q10.2.16_6")</f>
        <v>Q10.2.16_6</v>
      </c>
      <c r="T70" s="93" t="str">
        <f>HYPERLINK("#'Retirement, NQDC, Finances'!BR2","401(k) match graded vesting schedule: 6 YOS")</f>
        <v>401(k) match graded vesting schedule: 6 YOS</v>
      </c>
      <c r="U70" s="3" t="str">
        <f>HYPERLINK("#'Time Off'!BR1","Q11.5.2_3")</f>
        <v>Q11.5.2_3</v>
      </c>
      <c r="V70" s="93" t="str">
        <f>HYPERLINK("#'Time Off'!BR2","Accrued, unused vacation or paid time off hours can be cashed out and donated to another employee in need")</f>
        <v>Accrued, unused vacation or paid time off hours can be cashed out and donated to another employee in need</v>
      </c>
      <c r="W70" s="3" t="str">
        <f>HYPERLINK("#'Vendors'!BR1","Q12.5.2_37_TEXT")</f>
        <v>Q12.5.2_37_TEXT</v>
      </c>
      <c r="X70" s="93" t="str">
        <f>HYPERLINK("#'Vendors'!BR2","Other data/HRIS administration vendors employed: HRIS software (systems)")</f>
        <v>Other data/HRIS administration vendors employed: HRIS software (systems)</v>
      </c>
    </row>
    <row r="71" spans="1:24" ht="38.25" x14ac:dyDescent="0.2">
      <c r="A71" s="5" t="str">
        <f>HYPERLINK("#'Company Overview'!BS1","Q1.5.8_6")</f>
        <v>Q1.5.8_6</v>
      </c>
      <c r="B71" s="93" t="str">
        <f>HYPERLINK("#'Company Overview'!BS2","Mergers and acquisitions: Managed by U.S. benefits department")</f>
        <v>Mergers and acquisitions: Managed by U.S. benefits department</v>
      </c>
      <c r="C71" s="96" t="str">
        <f>HYPERLINK("#'Enrollment, Eligib. &amp; Cost'!BS1","Q2.4.3_2")</f>
        <v>Q2.4.3_2</v>
      </c>
      <c r="D71" s="93" t="str">
        <f>HYPERLINK("#'Enrollment, Eligib. &amp; Cost'!BS2","Total monthly premium for PPO medical plan with highest enrollment: Employee only")</f>
        <v>Total monthly premium for PPO medical plan with highest enrollment: Employee only</v>
      </c>
      <c r="E71" s="6"/>
      <c r="F71" s="7"/>
      <c r="G71" s="6"/>
      <c r="H71" s="7"/>
      <c r="I71" s="96" t="str">
        <f>HYPERLINK("#'Other Benefits'!BS1","Q5.2.47")</f>
        <v>Q5.2.47</v>
      </c>
      <c r="J71" s="93" t="str">
        <f>HYPERLINK("#'Other Benefits'!BS2","Gifts/benefits provided to new parents")</f>
        <v>Gifts/benefits provided to new parents</v>
      </c>
      <c r="K71" s="3" t="str">
        <f>HYPERLINK("#'Healthcare'!BS1","Q6.2.13_8")</f>
        <v>Q6.2.13_8</v>
      </c>
      <c r="L71" s="93" t="str">
        <f>HYPERLINK("#'Healthcare'!BS2","Primary PPO medical plan in-network deductible per person: Emergency room (non-emergency)")</f>
        <v>Primary PPO medical plan in-network deductible per person: Emergency room (non-emergency)</v>
      </c>
      <c r="M71" s="108" t="str">
        <f>HYPERLINK("#'Disease Mgmt &amp; Wellbeing'!BS1","Q7.5.32_4")</f>
        <v>Q7.5.32_4</v>
      </c>
      <c r="N71" s="103" t="str">
        <f>HYPERLINK("#'Disease Mgmt &amp; Wellbeing'!BS2","Annual maximum incentive contribution: 401(k)")</f>
        <v>Annual maximum incentive contribution: 401(k)</v>
      </c>
      <c r="O71" s="3" t="str">
        <f>HYPERLINK("#'Trends &amp; Emerging Practices'!BS1","Q8.5.4")</f>
        <v>Q8.5.4</v>
      </c>
      <c r="P71" s="93" t="str">
        <f>HYPERLINK("#'Trends &amp; Emerging Practices'!BS2","Lifetime maximum benefit for medical marijuana benefits")</f>
        <v>Lifetime maximum benefit for medical marijuana benefits</v>
      </c>
      <c r="Q71" s="3" t="str">
        <f>HYPERLINK("#'Income Protection'!BS1","Q9.3.7")</f>
        <v>Q9.3.7</v>
      </c>
      <c r="R71" s="4" t="str">
        <f>HYPERLINK("#'Income Protection'!BS2","Type of buy up/supplemental accidental death and dismemberment coverage offered")</f>
        <v>Type of buy up/supplemental accidental death and dismemberment coverage offered</v>
      </c>
      <c r="S71" s="96" t="str">
        <f>HYPERLINK("#'Retirement, NQDC, Finances'!BS1","Q10.2.17")</f>
        <v>Q10.2.17</v>
      </c>
      <c r="T71" s="93" t="str">
        <f>HYPERLINK("#'Retirement, NQDC, Finances'!BS2","401(k) plan: Performance based profit sharing contributions")</f>
        <v>401(k) plan: Performance based profit sharing contributions</v>
      </c>
      <c r="U71" s="3" t="str">
        <f>HYPERLINK("#'Time Off'!BS1","Q11.5.2_4")</f>
        <v>Q11.5.2_4</v>
      </c>
      <c r="V71" s="93" t="str">
        <f>HYPERLINK("#'Time Off'!BS2","Accrued, unused vacation or paid time off hours can be cashed out and donated to charity")</f>
        <v>Accrued, unused vacation or paid time off hours can be cashed out and donated to charity</v>
      </c>
      <c r="W71" s="3" t="str">
        <f>HYPERLINK("#'Vendors'!BS1","Q12.5.3")</f>
        <v>Q12.5.3</v>
      </c>
      <c r="X71" s="93" t="str">
        <f>HYPERLINK("#'Vendors'!BS2","Data/HRIS administration vendors employed: Payroll administration")</f>
        <v>Data/HRIS administration vendors employed: Payroll administration</v>
      </c>
    </row>
    <row r="72" spans="1:24" ht="38.25" x14ac:dyDescent="0.2">
      <c r="A72" s="5" t="str">
        <f>HYPERLINK("#'Company Overview'!BT1","Q1.5.8_7")</f>
        <v>Q1.5.8_7</v>
      </c>
      <c r="B72" s="93" t="str">
        <f>HYPERLINK("#'Company Overview'!BT2","Service awards: Managed by U.S. benefits department")</f>
        <v>Service awards: Managed by U.S. benefits department</v>
      </c>
      <c r="C72" s="96" t="str">
        <f>HYPERLINK("#'Enrollment, Eligib. &amp; Cost'!BT1","Q2.4.3_3")</f>
        <v>Q2.4.3_3</v>
      </c>
      <c r="D72" s="93" t="str">
        <f>HYPERLINK("#'Enrollment, Eligib. &amp; Cost'!BT2","Total monthly premium for PPO medical plan with highest enrollment: Employee + spouse/DP")</f>
        <v>Total monthly premium for PPO medical plan with highest enrollment: Employee + spouse/DP</v>
      </c>
      <c r="E72" s="6"/>
      <c r="F72" s="7"/>
      <c r="G72" s="6"/>
      <c r="H72" s="7"/>
      <c r="I72" s="96" t="str">
        <f>HYPERLINK("#'Other Benefits'!BT1","Q5.2.49")</f>
        <v>Q5.2.49</v>
      </c>
      <c r="J72" s="93" t="str">
        <f>HYPERLINK("#'Other Benefits'!BT2","Pet benefits offered")</f>
        <v>Pet benefits offered</v>
      </c>
      <c r="K72" s="3" t="str">
        <f>HYPERLINK("#'Healthcare'!BT1","Q6.2.13_9")</f>
        <v>Q6.2.13_9</v>
      </c>
      <c r="L72" s="93" t="str">
        <f>HYPERLINK("#'Healthcare'!BT2","Primary PPO medical plan in-network deductible per person: Emergency room (with hospital admittance)")</f>
        <v>Primary PPO medical plan in-network deductible per person: Emergency room (with hospital admittance)</v>
      </c>
      <c r="M72" s="108" t="str">
        <f>HYPERLINK("#'Disease Mgmt &amp; Wellbeing'!BT1","Q7.5.32_5")</f>
        <v>Q7.5.32_5</v>
      </c>
      <c r="N72" s="103" t="str">
        <f>HYPERLINK("#'Disease Mgmt &amp; Wellbeing'!BT2","Annual maximum incentive contribution: Student loan debt payment")</f>
        <v>Annual maximum incentive contribution: Student loan debt payment</v>
      </c>
      <c r="O72" s="3" t="str">
        <f>HYPERLINK("#'Trends &amp; Emerging Practices'!BT1","Q8.5.5")</f>
        <v>Q8.5.5</v>
      </c>
      <c r="P72" s="93" t="str">
        <f>HYPERLINK("#'Trends &amp; Emerging Practices'!BT2","Lifetime maximum benefit amount for medical marijuana benefits")</f>
        <v>Lifetime maximum benefit amount for medical marijuana benefits</v>
      </c>
      <c r="Q72" s="3" t="str">
        <f>HYPERLINK("#'Income Protection'!BT1","Q9.3.8")</f>
        <v>Q9.3.8</v>
      </c>
      <c r="R72" s="4" t="str">
        <f>HYPERLINK("#'Income Protection'!BT2","Multiplier used to determine buy up/supplemental accidental death and dismemberment coverage")</f>
        <v>Multiplier used to determine buy up/supplemental accidental death and dismemberment coverage</v>
      </c>
      <c r="S72" s="96" t="str">
        <f>HYPERLINK("#'Retirement, NQDC, Finances'!BT1","Q10.2.18")</f>
        <v>Q10.2.18</v>
      </c>
      <c r="T72" s="93" t="str">
        <f>HYPERLINK("#'Retirement, NQDC, Finances'!BT2","401(k) plan: Revenue share captured")</f>
        <v>401(k) plan: Revenue share captured</v>
      </c>
      <c r="U72" s="3" t="str">
        <f>HYPERLINK("#'Time Off'!BT1","Q11.5.3")</f>
        <v>Q11.5.3</v>
      </c>
      <c r="V72" s="93" t="str">
        <f>HYPERLINK("#'Time Off'!BT2","Workforce levels eligible to cash out accrued vacation or paid time off")</f>
        <v>Workforce levels eligible to cash out accrued vacation or paid time off</v>
      </c>
      <c r="W72" s="3" t="str">
        <f>HYPERLINK("#'Vendors'!BT1","Q12.5.3_37_TEXT")</f>
        <v>Q12.5.3_37_TEXT</v>
      </c>
      <c r="X72" s="93" t="str">
        <f>HYPERLINK("#'Vendors'!BT2","Other data/HRIS administration vendors employed: Payroll administration")</f>
        <v>Other data/HRIS administration vendors employed: Payroll administration</v>
      </c>
    </row>
    <row r="73" spans="1:24" ht="38.25" x14ac:dyDescent="0.2">
      <c r="A73" s="5" t="str">
        <f>HYPERLINK("#'Company Overview'!BU1","Q1.5.8_8")</f>
        <v>Q1.5.8_8</v>
      </c>
      <c r="B73" s="93" t="str">
        <f>HYPERLINK("#'Company Overview'!BU2","Executive benefits: Managed by U.S. benefits department")</f>
        <v>Executive benefits: Managed by U.S. benefits department</v>
      </c>
      <c r="C73" s="96" t="str">
        <f>HYPERLINK("#'Enrollment, Eligib. &amp; Cost'!BU1","Q2.4.3_4")</f>
        <v>Q2.4.3_4</v>
      </c>
      <c r="D73" s="93" t="str">
        <f>HYPERLINK("#'Enrollment, Eligib. &amp; Cost'!BU2","Total monthly premium for PPO medical plan with highest enrollment: Employee + spouse/DP or child(ren)")</f>
        <v>Total monthly premium for PPO medical plan with highest enrollment: Employee + spouse/DP or child(ren)</v>
      </c>
      <c r="E73" s="6"/>
      <c r="F73" s="7"/>
      <c r="G73" s="6"/>
      <c r="H73" s="7"/>
      <c r="I73" s="96" t="str">
        <f>HYPERLINK("#'Other Benefits'!BU1","Q5.2.50")</f>
        <v>Q5.2.50</v>
      </c>
      <c r="J73" s="93" t="str">
        <f>HYPERLINK("#'Other Benefits'!BU2","Payer of pet insurance")</f>
        <v>Payer of pet insurance</v>
      </c>
      <c r="K73" s="3" t="str">
        <f>HYPERLINK("#'Healthcare'!BU1","Q6.2.13_10")</f>
        <v>Q6.2.13_10</v>
      </c>
      <c r="L73" s="93" t="str">
        <f>HYPERLINK("#'Healthcare'!BU2","Primary PPO medical plan in-network deductible per person: In-patient hospital")</f>
        <v>Primary PPO medical plan in-network deductible per person: In-patient hospital</v>
      </c>
      <c r="M73" s="108" t="str">
        <f>HYPERLINK("#'Disease Mgmt &amp; Wellbeing'!BU1","Q7.5.34")</f>
        <v>Q7.5.34</v>
      </c>
      <c r="N73" s="103" t="str">
        <f>HYPERLINK("#'Disease Mgmt &amp; Wellbeing'!BU2","Supplemental well-being services offered by company")</f>
        <v>Supplemental well-being services offered by company</v>
      </c>
      <c r="O73" s="3" t="str">
        <f>HYPERLINK("#'Trends &amp; Emerging Practices'!BU1","Q8.5.6_1")</f>
        <v>Q8.5.6_1</v>
      </c>
      <c r="P73" s="93" t="str">
        <f>HYPERLINK("#'Trends &amp; Emerging Practices'!BU2","Status of medical marijuana coverage: PPO")</f>
        <v>Status of medical marijuana coverage: PPO</v>
      </c>
      <c r="Q73" s="3" t="str">
        <f>HYPERLINK("#'Income Protection'!BU1","Q9.3.9")</f>
        <v>Q9.3.9</v>
      </c>
      <c r="R73" s="4" t="str">
        <f>HYPERLINK("#'Income Protection'!BU2","Buy up/supplemental accidental death and dismemberment maximum benefit amount")</f>
        <v>Buy up/supplemental accidental death and dismemberment maximum benefit amount</v>
      </c>
      <c r="S73" s="96" t="str">
        <f>HYPERLINK("#'Retirement, NQDC, Finances'!BU1","Q10.2.19")</f>
        <v>Q10.2.19</v>
      </c>
      <c r="T73" s="93" t="str">
        <f>HYPERLINK("#'Retirement, NQDC, Finances'!BU2","401(k) plan: Captured revenue share/utilization by company")</f>
        <v>401(k) plan: Captured revenue share/utilization by company</v>
      </c>
      <c r="U73" s="3" t="str">
        <f>HYPERLINK("#'Time Off'!BU1","Q11.5.4")</f>
        <v>Q11.5.4</v>
      </c>
      <c r="V73" s="93" t="str">
        <f>HYPERLINK("#'Time Off'!BU2","Company covers taxes (if any) associated with vacation of paid time off given to employees and/or charities")</f>
        <v>Company covers taxes (if any) associated with vacation of paid time off given to employees and/or charities</v>
      </c>
      <c r="W73" s="3" t="str">
        <f>HYPERLINK("#'Vendors'!BU1","Q12.5.4")</f>
        <v>Q12.5.4</v>
      </c>
      <c r="X73" s="93" t="str">
        <f>HYPERLINK("#'Vendors'!BU2","Data/HRIS administration vendors employed: Data warehouse")</f>
        <v>Data/HRIS administration vendors employed: Data warehouse</v>
      </c>
    </row>
    <row r="74" spans="1:24" ht="51" x14ac:dyDescent="0.2">
      <c r="A74" s="5" t="str">
        <f>HYPERLINK("#'Company Overview'!BV1","Q1.5.8_9")</f>
        <v>Q1.5.8_9</v>
      </c>
      <c r="B74" s="93" t="str">
        <f>HYPERLINK("#'Company Overview'!BV2","Corporate matching gifts and philanthropy: Managed by U.S. benefits department")</f>
        <v>Corporate matching gifts and philanthropy: Managed by U.S. benefits department</v>
      </c>
      <c r="C74" s="96" t="str">
        <f>HYPERLINK("#'Enrollment, Eligib. &amp; Cost'!BV1","Q2.4.3_5")</f>
        <v>Q2.4.3_5</v>
      </c>
      <c r="D74" s="93" t="str">
        <f>HYPERLINK("#'Enrollment, Eligib. &amp; Cost'!BV2","Total monthly premium for PPO medical plan with highest enrollment: Employee + any child(ren)")</f>
        <v>Total monthly premium for PPO medical plan with highest enrollment: Employee + any child(ren)</v>
      </c>
      <c r="E74" s="6"/>
      <c r="F74" s="7"/>
      <c r="G74" s="6"/>
      <c r="H74" s="7"/>
      <c r="I74" s="96" t="str">
        <f>HYPERLINK("#'Other Benefits'!BV1","Q5.2.51")</f>
        <v>Q5.2.51</v>
      </c>
      <c r="J74" s="93" t="str">
        <f>HYPERLINK("#'Other Benefits'!BV2","Other pet benefits offered")</f>
        <v>Other pet benefits offered</v>
      </c>
      <c r="K74" s="3" t="str">
        <f>HYPERLINK("#'Healthcare'!BV1","Q6.2.13_11")</f>
        <v>Q6.2.13_11</v>
      </c>
      <c r="L74" s="93" t="str">
        <f>HYPERLINK("#'Healthcare'!BV2","Primary PPO medical plan in-network deductible per person: Mental health/substance abuse")</f>
        <v>Primary PPO medical plan in-network deductible per person: Mental health/substance abuse</v>
      </c>
      <c r="M74" s="108" t="str">
        <f>HYPERLINK("#'Disease Mgmt &amp; Wellbeing'!BV1","Q7.5.35")</f>
        <v>Q7.5.35</v>
      </c>
      <c r="N74" s="103" t="str">
        <f>HYPERLINK("#'Disease Mgmt &amp; Wellbeing'!BV2","Supplemental well-being program delivery channel")</f>
        <v>Supplemental well-being program delivery channel</v>
      </c>
      <c r="O74" s="3" t="str">
        <f>HYPERLINK("#'Trends &amp; Emerging Practices'!BV1","Q8.5.6_2")</f>
        <v>Q8.5.6_2</v>
      </c>
      <c r="P74" s="93" t="str">
        <f>HYPERLINK("#'Trends &amp; Emerging Practices'!BV2","Status of medical marijuana coverage: POS")</f>
        <v>Status of medical marijuana coverage: POS</v>
      </c>
      <c r="Q74" s="3" t="str">
        <f>HYPERLINK("#'Income Protection'!BV1","Q9.3.10")</f>
        <v>Q9.3.10</v>
      </c>
      <c r="R74" s="4" t="str">
        <f>HYPERLINK("#'Income Protection'!BV2","Events allowing employees to elect or increase accidental death and dismemberment coverage without medical review (guarantee issue)")</f>
        <v>Events allowing employees to elect or increase accidental death and dismemberment coverage without medical review (guarantee issue)</v>
      </c>
      <c r="S74" s="96" t="str">
        <f>HYPERLINK("#'Retirement, NQDC, Finances'!BV1","Q10.3.2")</f>
        <v>Q10.3.2</v>
      </c>
      <c r="T74" s="93" t="str">
        <f>HYPERLINK("#'Retirement, NQDC, Finances'!BV2","401(k) plan: Company's average expense ratio")</f>
        <v>401(k) plan: Company's average expense ratio</v>
      </c>
      <c r="U74" s="3" t="str">
        <f>HYPERLINK("#'Time Off'!BV1","Q11.5.5")</f>
        <v>Q11.5.5</v>
      </c>
      <c r="V74" s="93" t="str">
        <f>HYPERLINK("#'Time Off'!BV2","Employee vacation of paid time off donations are eligible for company's charitable giving program")</f>
        <v>Employee vacation of paid time off donations are eligible for company's charitable giving program</v>
      </c>
      <c r="W74" s="3" t="str">
        <f>HYPERLINK("#'Vendors'!BV1","Q12.5.4_37_TEXT")</f>
        <v>Q12.5.4_37_TEXT</v>
      </c>
      <c r="X74" s="93" t="str">
        <f>HYPERLINK("#'Vendors'!BV2","Other data/HRIS administration vendors employed: Data warehouse")</f>
        <v>Other data/HRIS administration vendors employed: Data warehouse</v>
      </c>
    </row>
    <row r="75" spans="1:24" ht="38.25" x14ac:dyDescent="0.2">
      <c r="A75" s="5" t="str">
        <f>HYPERLINK("#'Company Overview'!BW1","Q1.6.2")</f>
        <v>Q1.6.2</v>
      </c>
      <c r="B75" s="93" t="str">
        <f>HYPERLINK("#'Company Overview'!BW2","Medical conditions with highest claims prevalence")</f>
        <v>Medical conditions with highest claims prevalence</v>
      </c>
      <c r="C75" s="96" t="str">
        <f>HYPERLINK("#'Enrollment, Eligib. &amp; Cost'!BW1","Q2.4.3_6")</f>
        <v>Q2.4.3_6</v>
      </c>
      <c r="D75" s="93" t="str">
        <f>HYPERLINK("#'Enrollment, Eligib. &amp; Cost'!BW2","Total monthly premium for PPO medical plan with highest enrollment: Employee + 1 child")</f>
        <v>Total monthly premium for PPO medical plan with highest enrollment: Employee + 1 child</v>
      </c>
      <c r="E75" s="6"/>
      <c r="F75" s="7"/>
      <c r="G75" s="6"/>
      <c r="H75" s="7"/>
      <c r="I75" s="96" t="str">
        <f>HYPERLINK("#'Other Benefits'!BW1","Q5.2.53")</f>
        <v>Q5.2.53</v>
      </c>
      <c r="J75" s="93" t="str">
        <f>HYPERLINK("#'Other Benefits'!BW2","Support provided to parents with disabled children")</f>
        <v>Support provided to parents with disabled children</v>
      </c>
      <c r="K75" s="3" t="str">
        <f>HYPERLINK("#'Healthcare'!BW1","Q6.2.13_12")</f>
        <v>Q6.2.13_12</v>
      </c>
      <c r="L75" s="93" t="str">
        <f>HYPERLINK("#'Healthcare'!BW2","Primary PPO medical plan in-network deductible per person: Out-patient surgical center")</f>
        <v>Primary PPO medical plan in-network deductible per person: Out-patient surgical center</v>
      </c>
      <c r="M75" s="108" t="str">
        <f>HYPERLINK("#'Disease Mgmt &amp; Wellbeing'!BW1","Q7.5.36")</f>
        <v>Q7.5.36</v>
      </c>
      <c r="N75" s="103" t="str">
        <f>HYPERLINK("#'Disease Mgmt &amp; Wellbeing'!BW2","Supplemental well-being programs integrated with employee assistance program services")</f>
        <v>Supplemental well-being programs integrated with employee assistance program services</v>
      </c>
      <c r="O75" s="3" t="str">
        <f>HYPERLINK("#'Trends &amp; Emerging Practices'!BW1","Q8.5.6_3")</f>
        <v>Q8.5.6_3</v>
      </c>
      <c r="P75" s="93" t="str">
        <f>HYPERLINK("#'Trends &amp; Emerging Practices'!BW2","Status of medical marijuana coverage: CDHP/HDHP with health reimbursement account")</f>
        <v>Status of medical marijuana coverage: CDHP/HDHP with health reimbursement account</v>
      </c>
      <c r="Q75" s="3" t="str">
        <f>HYPERLINK("#'Income Protection'!BW1","Q9.3.11")</f>
        <v>Q9.3.11</v>
      </c>
      <c r="R75" s="4" t="str">
        <f>HYPERLINK("#'Income Protection'!BW2","Dependents eligible for accidental death and dismemberment coverage")</f>
        <v>Dependents eligible for accidental death and dismemberment coverage</v>
      </c>
      <c r="S75" s="96" t="str">
        <f>HYPERLINK("#'Retirement, NQDC, Finances'!BW1","Q10.3.3_1")</f>
        <v>Q10.3.3_1</v>
      </c>
      <c r="T75" s="93" t="str">
        <f>HYPERLINK("#'Retirement, NQDC, Finances'!BW2","401(k) plan fees payment responsibility: Plan admin - active employees")</f>
        <v>401(k) plan fees payment responsibility: Plan admin - active employees</v>
      </c>
      <c r="U75" s="3" t="str">
        <f>HYPERLINK("#'Time Off'!BW1","Q11.5.6_1")</f>
        <v>Q11.5.6_1</v>
      </c>
      <c r="V75" s="93" t="str">
        <f>HYPERLINK("#'Time Off'!BW2","Paid time off/vacation time accrued and reported: Executives (C-suite)")</f>
        <v>Paid time off/vacation time accrued and reported: Executives (C-suite)</v>
      </c>
      <c r="W75" s="3" t="str">
        <f>HYPERLINK("#'Vendors'!BW1","Q12.5.5")</f>
        <v>Q12.5.5</v>
      </c>
      <c r="X75" s="93" t="str">
        <f>HYPERLINK("#'Vendors'!BW2","Data/HRIS administration vendors employed: ACA reporting")</f>
        <v>Data/HRIS administration vendors employed: ACA reporting</v>
      </c>
    </row>
    <row r="76" spans="1:24" ht="38.25" x14ac:dyDescent="0.2">
      <c r="A76" s="5" t="str">
        <f>HYPERLINK("#'Company Overview'!BX1","Q1.6.3")</f>
        <v>Q1.6.3</v>
      </c>
      <c r="B76" s="93" t="str">
        <f>HYPERLINK("#'Company Overview'!BX2","Other medical conditions with highest claims prevalence")</f>
        <v>Other medical conditions with highest claims prevalence</v>
      </c>
      <c r="C76" s="96" t="str">
        <f>HYPERLINK("#'Enrollment, Eligib. &amp; Cost'!BX1","Q2.4.3_7")</f>
        <v>Q2.4.3_7</v>
      </c>
      <c r="D76" s="93" t="str">
        <f>HYPERLINK("#'Enrollment, Eligib. &amp; Cost'!BX2","Total monthly premium for PPO medical plan with highest enrollment: Employee + 2 children")</f>
        <v>Total monthly premium for PPO medical plan with highest enrollment: Employee + 2 children</v>
      </c>
      <c r="E76" s="6"/>
      <c r="F76" s="7"/>
      <c r="G76" s="6"/>
      <c r="H76" s="7"/>
      <c r="I76" s="96" t="str">
        <f>HYPERLINK("#'Other Benefits'!BX1","Q5.2.55")</f>
        <v>Q5.2.55</v>
      </c>
      <c r="J76" s="93" t="str">
        <f>HYPERLINK("#'Other Benefits'!BX2","Surrogacy related expenses are reimbursed to employees by company")</f>
        <v>Surrogacy related expenses are reimbursed to employees by company</v>
      </c>
      <c r="K76" s="3" t="str">
        <f>HYPERLINK("#'Healthcare'!BX1","Q6.2.13_13")</f>
        <v>Q6.2.13_13</v>
      </c>
      <c r="L76" s="93" t="str">
        <f>HYPERLINK("#'Healthcare'!BX2","Primary PPO medical plan in-network deductible per person: Prescription drugs (preventive)")</f>
        <v>Primary PPO medical plan in-network deductible per person: Prescription drugs (preventive)</v>
      </c>
      <c r="M76" s="108" t="str">
        <f>HYPERLINK("#'Disease Mgmt &amp; Wellbeing'!BX1","Q7.6.2")</f>
        <v>Q7.6.2</v>
      </c>
      <c r="N76" s="103" t="str">
        <f>HYPERLINK("#'Disease Mgmt &amp; Wellbeing'!BX2","Financial well-being program delivery channel ")</f>
        <v xml:space="preserve">Financial well-being program delivery channel </v>
      </c>
      <c r="O76" s="3" t="str">
        <f>HYPERLINK("#'Trends &amp; Emerging Practices'!BX1","Q8.5.6_4")</f>
        <v>Q8.5.6_4</v>
      </c>
      <c r="P76" s="93" t="str">
        <f>HYPERLINK("#'Trends &amp; Emerging Practices'!BX2","Status of medical marijuana coverage: CDHP/HDHP with health savings account")</f>
        <v>Status of medical marijuana coverage: CDHP/HDHP with health savings account</v>
      </c>
      <c r="Q76" s="3" t="str">
        <f>HYPERLINK("#'Income Protection'!BX1","Q9.3.12")</f>
        <v>Q9.3.12</v>
      </c>
      <c r="R76" s="4" t="str">
        <f>HYPERLINK("#'Income Protection'!BX2","Spouse/domestic partner accidental death and dismemberment maximum benefit amount")</f>
        <v>Spouse/domestic partner accidental death and dismemberment maximum benefit amount</v>
      </c>
      <c r="S76" s="96" t="str">
        <f>HYPERLINK("#'Retirement, NQDC, Finances'!BX1","Q10.3.3_2")</f>
        <v>Q10.3.3_2</v>
      </c>
      <c r="T76" s="93" t="str">
        <f>HYPERLINK("#'Retirement, NQDC, Finances'!BX2","401(k) plan fees payment responsibility: Plan admin - terminated employees")</f>
        <v>401(k) plan fees payment responsibility: Plan admin - terminated employees</v>
      </c>
      <c r="U76" s="3" t="str">
        <f>HYPERLINK("#'Time Off'!BX1","Q11.5.6_2")</f>
        <v>Q11.5.6_2</v>
      </c>
      <c r="V76" s="93" t="str">
        <f>HYPERLINK("#'Time Off'!BX2","Paid time off/vacation time accrued and reported: Presidents and vice presidents")</f>
        <v>Paid time off/vacation time accrued and reported: Presidents and vice presidents</v>
      </c>
      <c r="W76" s="3" t="str">
        <f>HYPERLINK("#'Vendors'!BX1","Q12.5.5_37_TEXT")</f>
        <v>Q12.5.5_37_TEXT</v>
      </c>
      <c r="X76" s="93" t="str">
        <f>HYPERLINK("#'Vendors'!BX2","Other data/HRIS administration vendors employed: ACA reporting")</f>
        <v>Other data/HRIS administration vendors employed: ACA reporting</v>
      </c>
    </row>
    <row r="77" spans="1:24" ht="38.25" x14ac:dyDescent="0.2">
      <c r="A77" s="5" t="str">
        <f>HYPERLINK("#'Company Overview'!BY1","Q1.6.4")</f>
        <v>Q1.6.4</v>
      </c>
      <c r="B77" s="93" t="str">
        <f>HYPERLINK("#'Company Overview'!BY2","Medical conditions with highest claims cost")</f>
        <v>Medical conditions with highest claims cost</v>
      </c>
      <c r="C77" s="96" t="str">
        <f>HYPERLINK("#'Enrollment, Eligib. &amp; Cost'!BY1","Q2.4.3_8")</f>
        <v>Q2.4.3_8</v>
      </c>
      <c r="D77" s="93" t="str">
        <f>HYPERLINK("#'Enrollment, Eligib. &amp; Cost'!BY2","Total monthly premium for PPO medical plan with highest enrollment: Employee + 3 children")</f>
        <v>Total monthly premium for PPO medical plan with highest enrollment: Employee + 3 children</v>
      </c>
      <c r="E77" s="6"/>
      <c r="F77" s="7"/>
      <c r="G77" s="6"/>
      <c r="H77" s="7"/>
      <c r="I77" s="96" t="str">
        <f>HYPERLINK("#'Other Benefits'!BY1","Q5.2.56")</f>
        <v>Q5.2.56</v>
      </c>
      <c r="J77" s="93" t="str">
        <f>HYPERLINK("#'Other Benefits'!BY2","Tax status of surrogacy assistance reimbursement")</f>
        <v>Tax status of surrogacy assistance reimbursement</v>
      </c>
      <c r="K77" s="3" t="str">
        <f>HYPERLINK("#'Healthcare'!BY1","Q6.2.13_14")</f>
        <v>Q6.2.13_14</v>
      </c>
      <c r="L77" s="93" t="str">
        <f>HYPERLINK("#'Healthcare'!BY2","Primary PPO medical plan in-network deductible per person: Prescription drugs (non-preventive)")</f>
        <v>Primary PPO medical plan in-network deductible per person: Prescription drugs (non-preventive)</v>
      </c>
      <c r="M77" s="108" t="str">
        <f>HYPERLINK("#'Disease Mgmt &amp; Wellbeing'!BY1","Q7.6.3")</f>
        <v>Q7.6.3</v>
      </c>
      <c r="N77" s="103" t="str">
        <f>HYPERLINK("#'Disease Mgmt &amp; Wellbeing'!BY2","Financial well-being program integrated with employee assistance program services")</f>
        <v>Financial well-being program integrated with employee assistance program services</v>
      </c>
      <c r="O77" s="3" t="str">
        <f>HYPERLINK("#'Trends &amp; Emerging Practices'!BY1","Q8.5.6_5")</f>
        <v>Q8.5.6_5</v>
      </c>
      <c r="P77" s="93" t="str">
        <f>HYPERLINK("#'Trends &amp; Emerging Practices'!BY2","Status of medical marijuana coverage: HMO")</f>
        <v>Status of medical marijuana coverage: HMO</v>
      </c>
      <c r="Q77" s="3" t="str">
        <f>HYPERLINK("#'Income Protection'!BY1","Q9.3.13")</f>
        <v>Q9.3.13</v>
      </c>
      <c r="R77" s="4" t="str">
        <f>HYPERLINK("#'Income Protection'!BY2","Child accidental death and dismemberment maximum benefit amount")</f>
        <v>Child accidental death and dismemberment maximum benefit amount</v>
      </c>
      <c r="S77" s="96" t="str">
        <f>HYPERLINK("#'Retirement, NQDC, Finances'!BY1","Q10.3.3_3")</f>
        <v>Q10.3.3_3</v>
      </c>
      <c r="T77" s="93" t="str">
        <f>HYPERLINK("#'Retirement, NQDC, Finances'!BY2","401(k) plan fees payment responsibility: Support costs (legal, audit, consulting)")</f>
        <v>401(k) plan fees payment responsibility: Support costs (legal, audit, consulting)</v>
      </c>
      <c r="U77" s="3" t="str">
        <f>HYPERLINK("#'Time Off'!BY1","Q11.5.6_3")</f>
        <v>Q11.5.6_3</v>
      </c>
      <c r="V77" s="93" t="str">
        <f>HYPERLINK("#'Time Off'!BY2","Paid time off/vacation time accrued and reported: Directors")</f>
        <v>Paid time off/vacation time accrued and reported: Directors</v>
      </c>
      <c r="W77" s="3" t="str">
        <f>HYPERLINK("#'Vendors'!BY1","Q12.5.6")</f>
        <v>Q12.5.6</v>
      </c>
      <c r="X77" s="93" t="str">
        <f>HYPERLINK("#'Vendors'!BY2","Data/HRIS administration vendor(s) terminated in 2021")</f>
        <v>Data/HRIS administration vendor(s) terminated in 2021</v>
      </c>
    </row>
    <row r="78" spans="1:24" ht="38.25" x14ac:dyDescent="0.2">
      <c r="A78" s="5" t="str">
        <f>HYPERLINK("#'Company Overview'!BZ1","Q1.6.5")</f>
        <v>Q1.6.5</v>
      </c>
      <c r="B78" s="93" t="str">
        <f>HYPERLINK("#'Company Overview'!BZ2","Other medical conditions with highest claims cost")</f>
        <v>Other medical conditions with highest claims cost</v>
      </c>
      <c r="C78" s="96" t="str">
        <f>HYPERLINK("#'Enrollment, Eligib. &amp; Cost'!BZ1","Q2.4.3_9")</f>
        <v>Q2.4.3_9</v>
      </c>
      <c r="D78" s="93" t="str">
        <f>HYPERLINK("#'Enrollment, Eligib. &amp; Cost'!BZ2","Total monthly premium for PPO medical plan with highest enrollment: Employee + 4 children")</f>
        <v>Total monthly premium for PPO medical plan with highest enrollment: Employee + 4 children</v>
      </c>
      <c r="E78" s="6"/>
      <c r="F78" s="7"/>
      <c r="G78" s="6"/>
      <c r="H78" s="7"/>
      <c r="I78" s="96" t="str">
        <f>HYPERLINK("#'Other Benefits'!BZ1","Q5.2.57")</f>
        <v>Q5.2.57</v>
      </c>
      <c r="J78" s="93" t="str">
        <f>HYPERLINK("#'Other Benefits'!BZ2","Tax status of surrogacy assistance reimbursement: Other")</f>
        <v>Tax status of surrogacy assistance reimbursement: Other</v>
      </c>
      <c r="K78" s="3" t="str">
        <f>HYPERLINK("#'Healthcare'!BZ1","Q6.2.13_15")</f>
        <v>Q6.2.13_15</v>
      </c>
      <c r="L78" s="93" t="str">
        <f>HYPERLINK("#'Healthcare'!BZ2","Primary PPO medical plan in-network deductible per person: Therapies (speech, PT, OT)")</f>
        <v>Primary PPO medical plan in-network deductible per person: Therapies (speech, PT, OT)</v>
      </c>
      <c r="M78" s="108" t="str">
        <f>HYPERLINK("#'Disease Mgmt &amp; Wellbeing'!BZ1","Q7.6.4")</f>
        <v>Q7.6.4</v>
      </c>
      <c r="N78" s="103" t="str">
        <f>HYPERLINK("#'Disease Mgmt &amp; Wellbeing'!BZ2","Ability to correlate employee financial well-being to their physical and/or emotional well-being")</f>
        <v>Ability to correlate employee financial well-being to their physical and/or emotional well-being</v>
      </c>
      <c r="O78" s="3" t="str">
        <f>HYPERLINK("#'Trends &amp; Emerging Practices'!BZ1","Q8.5.6_6")</f>
        <v>Q8.5.6_6</v>
      </c>
      <c r="P78" s="93" t="str">
        <f>HYPERLINK("#'Trends &amp; Emerging Practices'!BZ2","Status of medical marijuana coverage: EPO")</f>
        <v>Status of medical marijuana coverage: EPO</v>
      </c>
      <c r="Q78" s="3" t="str">
        <f>HYPERLINK("#'Income Protection'!BZ1","Q9.4.2")</f>
        <v>Q9.4.2</v>
      </c>
      <c r="R78" s="4" t="str">
        <f>HYPERLINK("#'Income Protection'!BZ2","Type of basic/employer paid business travel accident coverage offered")</f>
        <v>Type of basic/employer paid business travel accident coverage offered</v>
      </c>
      <c r="S78" s="96" t="str">
        <f>HYPERLINK("#'Retirement, NQDC, Finances'!BZ1","Q10.3.3_4")</f>
        <v>Q10.3.3_4</v>
      </c>
      <c r="T78" s="93" t="str">
        <f>HYPERLINK("#'Retirement, NQDC, Finances'!BZ2","401(k) plan fees payment responsibility: Loans")</f>
        <v>401(k) plan fees payment responsibility: Loans</v>
      </c>
      <c r="U78" s="3" t="str">
        <f>HYPERLINK("#'Time Off'!BZ1","Q11.5.6_4")</f>
        <v>Q11.5.6_4</v>
      </c>
      <c r="V78" s="93" t="str">
        <f>HYPERLINK("#'Time Off'!BZ2","Paid time off/vacation time accrued and reported: Managers")</f>
        <v>Paid time off/vacation time accrued and reported: Managers</v>
      </c>
      <c r="W78" s="3" t="str">
        <f>HYPERLINK("#'Vendors'!BZ1","Q12.5.7_1")</f>
        <v>Q12.5.7_1</v>
      </c>
      <c r="X78" s="93" t="str">
        <f>HYPERLINK("#'Vendors'!BZ2","Terminated data/HRIS administration vendors: HRIS software (systems)")</f>
        <v>Terminated data/HRIS administration vendors: HRIS software (systems)</v>
      </c>
    </row>
    <row r="79" spans="1:24" ht="25.5" x14ac:dyDescent="0.2">
      <c r="A79" s="5" t="str">
        <f>HYPERLINK("#'Company Overview'!CA1","Q1.6.6")</f>
        <v>Q1.6.6</v>
      </c>
      <c r="B79" s="93" t="str">
        <f>HYPERLINK("#'Company Overview'!CA2","Mental health conditions with highest claims prevalence")</f>
        <v>Mental health conditions with highest claims prevalence</v>
      </c>
      <c r="C79" s="96" t="str">
        <f>HYPERLINK("#'Enrollment, Eligib. &amp; Cost'!CA1","Q2.4.3_10")</f>
        <v>Q2.4.3_10</v>
      </c>
      <c r="D79" s="93" t="str">
        <f>HYPERLINK("#'Enrollment, Eligib. &amp; Cost'!CA2","Total monthly premium for PPO medical plan with highest enrollment: Employee + 5 children")</f>
        <v>Total monthly premium for PPO medical plan with highest enrollment: Employee + 5 children</v>
      </c>
      <c r="E79" s="6"/>
      <c r="F79" s="7"/>
      <c r="G79" s="6"/>
      <c r="H79" s="7"/>
      <c r="I79" s="96" t="str">
        <f>HYPERLINK("#'Other Benefits'!CA1","Q5.2.58_1")</f>
        <v>Q5.2.58_1</v>
      </c>
      <c r="J79" s="93" t="str">
        <f>HYPERLINK("#'Other Benefits'!CA2","Maximum reimbursement for surrogacy related expenses: Dollars per surrogacy maximum")</f>
        <v>Maximum reimbursement for surrogacy related expenses: Dollars per surrogacy maximum</v>
      </c>
      <c r="K79" s="3" t="str">
        <f>HYPERLINK("#'Healthcare'!CA1","Q6.2.13_16")</f>
        <v>Q6.2.13_16</v>
      </c>
      <c r="L79" s="93" t="str">
        <f>HYPERLINK("#'Healthcare'!CA2","Primary PPO medical plan in-network deductible per person: Other")</f>
        <v>Primary PPO medical plan in-network deductible per person: Other</v>
      </c>
      <c r="M79" s="108" t="str">
        <f>HYPERLINK("#'Disease Mgmt &amp; Wellbeing'!CA1","Q7.7.2")</f>
        <v>Q7.7.2</v>
      </c>
      <c r="N79" s="103" t="str">
        <f>HYPERLINK("#'Disease Mgmt &amp; Wellbeing'!CA2","Environmental well-being programs or services offered by company")</f>
        <v>Environmental well-being programs or services offered by company</v>
      </c>
      <c r="O79" s="3" t="str">
        <f>HYPERLINK("#'Trends &amp; Emerging Practices'!CA1","Q8.5.7")</f>
        <v>Q8.5.7</v>
      </c>
      <c r="P79" s="93" t="str">
        <f>HYPERLINK("#'Trends &amp; Emerging Practices'!CA2","Changing medical marijuana benefits/coverage where recreational use has been legalized")</f>
        <v>Changing medical marijuana benefits/coverage where recreational use has been legalized</v>
      </c>
      <c r="Q79" s="3" t="str">
        <f>HYPERLINK("#'Income Protection'!CA1","Q9.4.3")</f>
        <v>Q9.4.3</v>
      </c>
      <c r="R79" s="4" t="str">
        <f>HYPERLINK("#'Income Protection'!CA2","Multiplier used to determine basic/employer paid business travel accident coverage")</f>
        <v>Multiplier used to determine basic/employer paid business travel accident coverage</v>
      </c>
      <c r="S79" s="96" t="str">
        <f>HYPERLINK("#'Retirement, NQDC, Finances'!CA1","Q10.3.3_5")</f>
        <v>Q10.3.3_5</v>
      </c>
      <c r="T79" s="93" t="str">
        <f>HYPERLINK("#'Retirement, NQDC, Finances'!CA2","401(k) plan fees payment responsibility: Hardship withdrawals")</f>
        <v>401(k) plan fees payment responsibility: Hardship withdrawals</v>
      </c>
      <c r="U79" s="3" t="str">
        <f>HYPERLINK("#'Time Off'!CA1","Q11.5.6_5")</f>
        <v>Q11.5.6_5</v>
      </c>
      <c r="V79" s="93" t="str">
        <f>HYPERLINK("#'Time Off'!CA2","Paid time off/vacation time accrued and reported: Supervisors")</f>
        <v>Paid time off/vacation time accrued and reported: Supervisors</v>
      </c>
      <c r="W79" s="3" t="str">
        <f>HYPERLINK("#'Vendors'!CA1","Q12.5.7_2")</f>
        <v>Q12.5.7_2</v>
      </c>
      <c r="X79" s="93" t="str">
        <f>HYPERLINK("#'Vendors'!CA2","Terminated data/HRIS administration vendors: Payroll administration")</f>
        <v>Terminated data/HRIS administration vendors: Payroll administration</v>
      </c>
    </row>
    <row r="80" spans="1:24" ht="38.25" x14ac:dyDescent="0.2">
      <c r="A80" s="5" t="str">
        <f>HYPERLINK("#'Company Overview'!CB1","Q1.6.7")</f>
        <v>Q1.6.7</v>
      </c>
      <c r="B80" s="93" t="str">
        <f>HYPERLINK("#'Company Overview'!CB2","Other mental health conditions with highest claims prevalence")</f>
        <v>Other mental health conditions with highest claims prevalence</v>
      </c>
      <c r="C80" s="96" t="str">
        <f>HYPERLINK("#'Enrollment, Eligib. &amp; Cost'!CB1","Q2.4.3_11")</f>
        <v>Q2.4.3_11</v>
      </c>
      <c r="D80" s="93" t="str">
        <f>HYPERLINK("#'Enrollment, Eligib. &amp; Cost'!CB2","Total monthly premium for PPO medical plan with highest enrollment: Family (employee + spouse/DP + dependent) with any child(ren)")</f>
        <v>Total monthly premium for PPO medical plan with highest enrollment: Family (employee + spouse/DP + dependent) with any child(ren)</v>
      </c>
      <c r="E80" s="6"/>
      <c r="F80" s="7"/>
      <c r="G80" s="6"/>
      <c r="H80" s="7"/>
      <c r="I80" s="96" t="str">
        <f>HYPERLINK("#'Other Benefits'!CB1","Q5.2.58_2")</f>
        <v>Q5.2.58_2</v>
      </c>
      <c r="J80" s="93" t="str">
        <f>HYPERLINK("#'Other Benefits'!CB2","Maximum reimbursement for surrogacy related expenses: Dollars during lifetime maximum")</f>
        <v>Maximum reimbursement for surrogacy related expenses: Dollars during lifetime maximum</v>
      </c>
      <c r="K80" s="3" t="str">
        <f>HYPERLINK("#'Healthcare'!CB1","Q6.2.14_1")</f>
        <v>Q6.2.14_1</v>
      </c>
      <c r="L80" s="93" t="str">
        <f>HYPERLINK("#'Healthcare'!CB2","Primary PPO medical plan in-network deductible per family: Not applicable - no separate deductibles")</f>
        <v>Primary PPO medical plan in-network deductible per family: Not applicable - no separate deductibles</v>
      </c>
      <c r="M80" s="108" t="str">
        <f>HYPERLINK("#'Disease Mgmt &amp; Wellbeing'!CB1","Q7.7.3")</f>
        <v>Q7.7.3</v>
      </c>
      <c r="N80" s="103" t="str">
        <f>HYPERLINK("#'Disease Mgmt &amp; Wellbeing'!CB2","Social well-being programs/services offered by company - athletic leagues")</f>
        <v>Social well-being programs/services offered by company - athletic leagues</v>
      </c>
      <c r="O80" s="3" t="str">
        <f>HYPERLINK("#'Trends &amp; Emerging Practices'!CB1","Q8.5.8")</f>
        <v>Q8.5.8</v>
      </c>
      <c r="P80" s="93" t="str">
        <f>HYPERLINK("#'Trends &amp; Emerging Practices'!CB2","Recreational marijuana use policies established at campus locations in states that have legalized usage")</f>
        <v>Recreational marijuana use policies established at campus locations in states that have legalized usage</v>
      </c>
      <c r="Q80" s="3" t="str">
        <f>HYPERLINK("#'Income Protection'!CB1","Q9.4.4")</f>
        <v>Q9.4.4</v>
      </c>
      <c r="R80" s="4" t="str">
        <f>HYPERLINK("#'Income Protection'!CB2","Basic/employer paid business travel accident maximum benefit amount")</f>
        <v>Basic/employer paid business travel accident maximum benefit amount</v>
      </c>
      <c r="S80" s="96" t="str">
        <f>HYPERLINK("#'Retirement, NQDC, Finances'!CB1","Q10.3.3_6")</f>
        <v>Q10.3.3_6</v>
      </c>
      <c r="T80" s="93" t="str">
        <f>HYPERLINK("#'Retirement, NQDC, Finances'!CB2","401(k) plan fees payment responsibility: QRDO fees")</f>
        <v>401(k) plan fees payment responsibility: QRDO fees</v>
      </c>
      <c r="U80" s="3" t="str">
        <f>HYPERLINK("#'Time Off'!CB1","Q11.5.6_6")</f>
        <v>Q11.5.6_6</v>
      </c>
      <c r="V80" s="93" t="str">
        <f>HYPERLINK("#'Time Off'!CB2","Paid time off/vacation time accrued and reported: Salaried (non-overtime eligible employees)")</f>
        <v>Paid time off/vacation time accrued and reported: Salaried (non-overtime eligible employees)</v>
      </c>
      <c r="W80" s="3" t="str">
        <f>HYPERLINK("#'Vendors'!CB1","Q12.5.7_3")</f>
        <v>Q12.5.7_3</v>
      </c>
      <c r="X80" s="93" t="str">
        <f>HYPERLINK("#'Vendors'!CB2","Terminated data/HRIS administration vendors: Data warehouse")</f>
        <v>Terminated data/HRIS administration vendors: Data warehouse</v>
      </c>
    </row>
    <row r="81" spans="1:24" ht="38.25" x14ac:dyDescent="0.2">
      <c r="A81" s="5" t="str">
        <f>HYPERLINK("#'Company Overview'!CC1","Q1.6.8")</f>
        <v>Q1.6.8</v>
      </c>
      <c r="B81" s="93" t="str">
        <f>HYPERLINK("#'Company Overview'!CC2","Mental health conditions with highest claims cost")</f>
        <v>Mental health conditions with highest claims cost</v>
      </c>
      <c r="C81" s="96" t="str">
        <f>HYPERLINK("#'Enrollment, Eligib. &amp; Cost'!CC1","Q2.4.3_12")</f>
        <v>Q2.4.3_12</v>
      </c>
      <c r="D81" s="93" t="str">
        <f>HYPERLINK("#'Enrollment, Eligib. &amp; Cost'!CC2","Total monthly premium for PPO medical plan with highest enrollment: Family (employee + spouse/DP + dependent) with 1 child")</f>
        <v>Total monthly premium for PPO medical plan with highest enrollment: Family (employee + spouse/DP + dependent) with 1 child</v>
      </c>
      <c r="E81" s="6"/>
      <c r="F81" s="7"/>
      <c r="G81" s="6"/>
      <c r="H81" s="7"/>
      <c r="I81" s="96" t="str">
        <f>HYPERLINK("#'Other Benefits'!CC1","Q5.2.58_3")</f>
        <v>Q5.2.58_3</v>
      </c>
      <c r="J81" s="93" t="str">
        <f>HYPERLINK("#'Other Benefits'!CC2","Maximum reimbursement for surrogacy related expenses: Number during lifetime maximum")</f>
        <v>Maximum reimbursement for surrogacy related expenses: Number during lifetime maximum</v>
      </c>
      <c r="K81" s="3" t="str">
        <f>HYPERLINK("#'Healthcare'!CC1","Q6.2.14_5")</f>
        <v>Q6.2.14_5</v>
      </c>
      <c r="L81" s="93" t="str">
        <f>HYPERLINK("#'Healthcare'!CC2","Primary PPO medical plan in-network deductible per family: Acupuncture")</f>
        <v>Primary PPO medical plan in-network deductible per family: Acupuncture</v>
      </c>
      <c r="M81" s="108" t="str">
        <f>HYPERLINK("#'Disease Mgmt &amp; Wellbeing'!CC1","Q7.8.2")</f>
        <v>Q7.8.2</v>
      </c>
      <c r="N81" s="103" t="str">
        <f>HYPERLINK("#'Disease Mgmt &amp; Wellbeing'!CC2","Non-buy up disease management programs included in medical plan's standard service offerings")</f>
        <v>Non-buy up disease management programs included in medical plan's standard service offerings</v>
      </c>
      <c r="O81" s="3" t="str">
        <f>HYPERLINK("#'Trends &amp; Emerging Practices'!CC1","Q8.6.2")</f>
        <v>Q8.6.2</v>
      </c>
      <c r="P81" s="93" t="str">
        <f>HYPERLINK("#'Trends &amp; Emerging Practices'!CC2","Autism treatments covered as benefits")</f>
        <v>Autism treatments covered as benefits</v>
      </c>
      <c r="Q81" s="3" t="str">
        <f>HYPERLINK("#'Income Protection'!CC1","Q9.4.5")</f>
        <v>Q9.4.5</v>
      </c>
      <c r="R81" s="4" t="str">
        <f>HYPERLINK("#'Income Protection'!CC2","Business travel accident policy includes aggregate limit provision")</f>
        <v>Business travel accident policy includes aggregate limit provision</v>
      </c>
      <c r="S81" s="96" t="str">
        <f>HYPERLINK("#'Retirement, NQDC, Finances'!CC1","Q10.3.3_7")</f>
        <v>Q10.3.3_7</v>
      </c>
      <c r="T81" s="93" t="str">
        <f>HYPERLINK("#'Retirement, NQDC, Finances'!CC2","401(k) plan fees payment responsibility: Managed accounts")</f>
        <v>401(k) plan fees payment responsibility: Managed accounts</v>
      </c>
      <c r="U81" s="3" t="str">
        <f>HYPERLINK("#'Time Off'!CC1","Q11.5.6_7")</f>
        <v>Q11.5.6_7</v>
      </c>
      <c r="V81" s="93" t="str">
        <f>HYPERLINK("#'Time Off'!CC2","Paid time off/vacation time accrued and reported: Hourly (overtime eligible employees)")</f>
        <v>Paid time off/vacation time accrued and reported: Hourly (overtime eligible employees)</v>
      </c>
      <c r="W81" s="3" t="str">
        <f>HYPERLINK("#'Vendors'!CC1","Q12.5.7_4")</f>
        <v>Q12.5.7_4</v>
      </c>
      <c r="X81" s="93" t="str">
        <f>HYPERLINK("#'Vendors'!CC2","Terminated data/HRIS administration vendors: ACA reporting")</f>
        <v>Terminated data/HRIS administration vendors: ACA reporting</v>
      </c>
    </row>
    <row r="82" spans="1:24" ht="38.25" x14ac:dyDescent="0.2">
      <c r="A82" s="5" t="str">
        <f>HYPERLINK("#'Company Overview'!CD1","Q1.6.9")</f>
        <v>Q1.6.9</v>
      </c>
      <c r="B82" s="93" t="str">
        <f>HYPERLINK("#'Company Overview'!CD2","Other mental health conditions with highest claims cost")</f>
        <v>Other mental health conditions with highest claims cost</v>
      </c>
      <c r="C82" s="96" t="str">
        <f>HYPERLINK("#'Enrollment, Eligib. &amp; Cost'!CD1","Q2.4.3_13")</f>
        <v>Q2.4.3_13</v>
      </c>
      <c r="D82" s="93" t="str">
        <f>HYPERLINK("#'Enrollment, Eligib. &amp; Cost'!CD2","Total monthly premium for PPO medical plan with highest enrollment: Family (employee + spouse/DP + dependent) with 2 child(ren)")</f>
        <v>Total monthly premium for PPO medical plan with highest enrollment: Family (employee + spouse/DP + dependent) with 2 child(ren)</v>
      </c>
      <c r="E82" s="6"/>
      <c r="F82" s="7"/>
      <c r="G82" s="6"/>
      <c r="H82" s="7"/>
      <c r="I82" s="96" t="str">
        <f>HYPERLINK("#'Other Benefits'!CD1","Q5.2.59")</f>
        <v>Q5.2.59</v>
      </c>
      <c r="J82" s="93" t="str">
        <f>HYPERLINK("#'Other Benefits'!CD2","Surrogacy assistance reimbursement eligibility")</f>
        <v>Surrogacy assistance reimbursement eligibility</v>
      </c>
      <c r="K82" s="3" t="str">
        <f>HYPERLINK("#'Healthcare'!CD1","Q6.2.14_6")</f>
        <v>Q6.2.14_6</v>
      </c>
      <c r="L82" s="93" t="str">
        <f>HYPERLINK("#'Healthcare'!CD2","Primary PPO medical plan in-network deductible per family: Chiropractic")</f>
        <v>Primary PPO medical plan in-network deductible per family: Chiropractic</v>
      </c>
      <c r="M82" s="108" t="str">
        <f>HYPERLINK("#'Disease Mgmt &amp; Wellbeing'!CD1","Q7.8.3")</f>
        <v>Q7.8.3</v>
      </c>
      <c r="N82" s="103" t="str">
        <f>HYPERLINK("#'Disease Mgmt &amp; Wellbeing'!CD2","Non-buy up disease management programs offered ")</f>
        <v xml:space="preserve">Non-buy up disease management programs offered </v>
      </c>
      <c r="O82" s="3" t="str">
        <f>HYPERLINK("#'Trends &amp; Emerging Practices'!CD1","Q8.6.3")</f>
        <v>Q8.6.3</v>
      </c>
      <c r="P82" s="93" t="str">
        <f>HYPERLINK("#'Trends &amp; Emerging Practices'!CD2","Health plan covered services/support for autism supplemented with other ancillary services")</f>
        <v>Health plan covered services/support for autism supplemented with other ancillary services</v>
      </c>
      <c r="Q82" s="3" t="str">
        <f>HYPERLINK("#'Income Protection'!CD1","Q9.4.6")</f>
        <v>Q9.4.6</v>
      </c>
      <c r="R82" s="4" t="str">
        <f>HYPERLINK("#'Income Protection'!CD2","Business travel accident aggregate maximum/limit")</f>
        <v>Business travel accident aggregate maximum/limit</v>
      </c>
      <c r="S82" s="96" t="str">
        <f>HYPERLINK("#'Retirement, NQDC, Finances'!CD1","Q10.3.3_8")</f>
        <v>Q10.3.3_8</v>
      </c>
      <c r="T82" s="93" t="str">
        <f>HYPERLINK("#'Retirement, NQDC, Finances'!CD2","401(k) plan fees payment responsibility: Personal financial advice")</f>
        <v>401(k) plan fees payment responsibility: Personal financial advice</v>
      </c>
      <c r="U82" s="3" t="str">
        <f>HYPERLINK("#'Time Off'!CD1","Q11.5.7_1")</f>
        <v>Q11.5.7_1</v>
      </c>
      <c r="V82" s="93" t="str">
        <f>HYPERLINK("#'Time Off'!CD2","Considering non-accrued (unlimited) paid time off/vacation policy: Executives (C-suite)")</f>
        <v>Considering non-accrued (unlimited) paid time off/vacation policy: Executives (C-suite)</v>
      </c>
      <c r="W82" s="3" t="str">
        <f>HYPERLINK("#'Vendors'!CD1","Q12.6.2")</f>
        <v>Q12.6.2</v>
      </c>
      <c r="X82" s="93" t="str">
        <f>HYPERLINK("#'Vendors'!CD2","Health care vendors employed: Medical")</f>
        <v>Health care vendors employed: Medical</v>
      </c>
    </row>
    <row r="83" spans="1:24" ht="38.25" x14ac:dyDescent="0.2">
      <c r="A83" s="5" t="str">
        <f>HYPERLINK("#'Company Overview'!CE1","Q1.7.2")</f>
        <v>Q1.7.2</v>
      </c>
      <c r="B83" s="93" t="str">
        <f>HYPERLINK("#'Company Overview'!CE2","Key priorities and goals for current year")</f>
        <v>Key priorities and goals for current year</v>
      </c>
      <c r="C83" s="96" t="str">
        <f>HYPERLINK("#'Enrollment, Eligib. &amp; Cost'!CE1","Q2.4.3_14")</f>
        <v>Q2.4.3_14</v>
      </c>
      <c r="D83" s="93" t="str">
        <f>HYPERLINK("#'Enrollment, Eligib. &amp; Cost'!CE2","Total monthly premium for PPO medical plan with highest enrollment: Family (employee + spouse/DP + dependent) with 3 child(ren)")</f>
        <v>Total monthly premium for PPO medical plan with highest enrollment: Family (employee + spouse/DP + dependent) with 3 child(ren)</v>
      </c>
      <c r="E83" s="6"/>
      <c r="F83" s="7"/>
      <c r="G83" s="6"/>
      <c r="H83" s="7"/>
      <c r="I83" s="96" t="str">
        <f>HYPERLINK("#'Other Benefits'!CE1","Q5.2.60")</f>
        <v>Q5.2.60</v>
      </c>
      <c r="J83" s="93" t="str">
        <f>HYPERLINK("#'Other Benefits'!CE2","Surrogacy assistance reimbursement eligibility: Other")</f>
        <v>Surrogacy assistance reimbursement eligibility: Other</v>
      </c>
      <c r="K83" s="3" t="str">
        <f>HYPERLINK("#'Healthcare'!CE1","Q6.2.14_7")</f>
        <v>Q6.2.14_7</v>
      </c>
      <c r="L83" s="93" t="str">
        <f>HYPERLINK("#'Healthcare'!CE2","Primary PPO medical plan in-network deductible per family: Emergency room (true emergency)")</f>
        <v>Primary PPO medical plan in-network deductible per family: Emergency room (true emergency)</v>
      </c>
      <c r="M83" s="108" t="str">
        <f>HYPERLINK("#'Disease Mgmt &amp; Wellbeing'!CE1","Q7.8.4")</f>
        <v>Q7.8.4</v>
      </c>
      <c r="N83" s="103" t="str">
        <f>HYPERLINK("#'Disease Mgmt &amp; Wellbeing'!CE2","Buy-up disease management programs available")</f>
        <v>Buy-up disease management programs available</v>
      </c>
      <c r="O83" s="3" t="str">
        <f>HYPERLINK("#'Trends &amp; Emerging Practices'!CE1","Q8.6.4")</f>
        <v>Q8.6.4</v>
      </c>
      <c r="P83" s="93" t="str">
        <f>HYPERLINK("#'Trends &amp; Emerging Practices'!CE2","Implementation of training for managers or recruitment/hiring initiatives for those with autism")</f>
        <v>Implementation of training for managers or recruitment/hiring initiatives for those with autism</v>
      </c>
      <c r="Q83" s="3" t="str">
        <f>HYPERLINK("#'Income Protection'!CE1","Q9.4.7")</f>
        <v>Q9.4.7</v>
      </c>
      <c r="R83" s="4" t="str">
        <f>HYPERLINK("#'Income Protection'!CE2","Number of sojourn/personal deviation days included and eligible for business travel accident benefits")</f>
        <v>Number of sojourn/personal deviation days included and eligible for business travel accident benefits</v>
      </c>
      <c r="S83" s="96" t="str">
        <f>HYPERLINK("#'Retirement, NQDC, Finances'!CE1","Q10.3.4")</f>
        <v>Q10.3.4</v>
      </c>
      <c r="T83" s="93" t="str">
        <f>HYPERLINK("#'Retirement, NQDC, Finances'!CE2","401(k) plan: Loan provision")</f>
        <v>401(k) plan: Loan provision</v>
      </c>
      <c r="U83" s="3" t="str">
        <f>HYPERLINK("#'Time Off'!CE1","Q11.5.7_2")</f>
        <v>Q11.5.7_2</v>
      </c>
      <c r="V83" s="93" t="str">
        <f>HYPERLINK("#'Time Off'!CE2","Considering non-accrued (unlimited) paid time off/vacation policy: Presidents and vice presidents")</f>
        <v>Considering non-accrued (unlimited) paid time off/vacation policy: Presidents and vice presidents</v>
      </c>
      <c r="W83" s="3" t="str">
        <f>HYPERLINK("#'Vendors'!CE1","Q12.6.2_45_TEXT")</f>
        <v>Q12.6.2_45_TEXT</v>
      </c>
      <c r="X83" s="93" t="str">
        <f>HYPERLINK("#'Vendors'!CE2","Other health care vendors employed: Medical")</f>
        <v>Other health care vendors employed: Medical</v>
      </c>
    </row>
    <row r="84" spans="1:24" ht="51" x14ac:dyDescent="0.2">
      <c r="A84" s="5" t="str">
        <f>HYPERLINK("#'Company Overview'!CF1","Q1.7.3_1")</f>
        <v>Q1.7.3_1</v>
      </c>
      <c r="B84" s="93" t="str">
        <f>HYPERLINK("#'Company Overview'!CF2","Communication goal for current year: First")</f>
        <v>Communication goal for current year: First</v>
      </c>
      <c r="C84" s="96" t="str">
        <f>HYPERLINK("#'Enrollment, Eligib. &amp; Cost'!CF1","Q2.4.3_15")</f>
        <v>Q2.4.3_15</v>
      </c>
      <c r="D84" s="93" t="str">
        <f>HYPERLINK("#'Enrollment, Eligib. &amp; Cost'!CF2","Total monthly premium for PPO medical plan with highest enrollment: Family (employee + spouse/DP + dependent) with 4 child(ren)")</f>
        <v>Total monthly premium for PPO medical plan with highest enrollment: Family (employee + spouse/DP + dependent) with 4 child(ren)</v>
      </c>
      <c r="E84" s="6"/>
      <c r="F84" s="7"/>
      <c r="G84" s="6"/>
      <c r="H84" s="7"/>
      <c r="I84" s="96" t="str">
        <f>HYPERLINK("#'Other Benefits'!CF1","Q5.2.61")</f>
        <v>Q5.2.61</v>
      </c>
      <c r="J84" s="93" t="str">
        <f>HYPERLINK("#'Other Benefits'!CF2","Requirements to be eligible for surrogacy assistance reimbursement")</f>
        <v>Requirements to be eligible for surrogacy assistance reimbursement</v>
      </c>
      <c r="K84" s="3" t="str">
        <f>HYPERLINK("#'Healthcare'!CF1","Q6.2.14_8")</f>
        <v>Q6.2.14_8</v>
      </c>
      <c r="L84" s="93" t="str">
        <f>HYPERLINK("#'Healthcare'!CF2","Primary PPO medical plan in-network deductible per family: Emergency room (non-emergency)")</f>
        <v>Primary PPO medical plan in-network deductible per family: Emergency room (non-emergency)</v>
      </c>
      <c r="M84" s="108" t="str">
        <f>HYPERLINK("#'Disease Mgmt &amp; Wellbeing'!CF1","Q7.8.5")</f>
        <v>Q7.8.5</v>
      </c>
      <c r="N84" s="103" t="str">
        <f>HYPERLINK("#'Disease Mgmt &amp; Wellbeing'!CF2","Number of buy-up disease management programs offered")</f>
        <v>Number of buy-up disease management programs offered</v>
      </c>
      <c r="O84" s="3" t="str">
        <f>HYPERLINK("#'Trends &amp; Emerging Practices'!CF1","Q8.6.5_1")</f>
        <v>Q8.6.5_1</v>
      </c>
      <c r="P84" s="93" t="str">
        <f>HYPERLINK("#'Trends &amp; Emerging Practices'!CF2","Status of autism benefit coverage: PPO")</f>
        <v>Status of autism benefit coverage: PPO</v>
      </c>
      <c r="Q84" s="3" t="str">
        <f>HYPERLINK("#'Income Protection'!CF1","Q9.4.8")</f>
        <v>Q9.4.8</v>
      </c>
      <c r="R84" s="4" t="str">
        <f>HYPERLINK("#'Income Protection'!CF2","Spouse or domestic partner dependents eligible for business travel accident coverage if they accompany employee on an approved business travel trip")</f>
        <v>Spouse or domestic partner dependents eligible for business travel accident coverage if they accompany employee on an approved business travel trip</v>
      </c>
      <c r="S84" s="96" t="str">
        <f>HYPERLINK("#'Retirement, NQDC, Finances'!CF1","Q10.3.5")</f>
        <v>Q10.3.5</v>
      </c>
      <c r="T84" s="93" t="str">
        <f>HYPERLINK("#'Retirement, NQDC, Finances'!CF2","401(k) plan: Loan provision/number of outstanding loans allowed")</f>
        <v>401(k) plan: Loan provision/number of outstanding loans allowed</v>
      </c>
      <c r="U84" s="3" t="str">
        <f>HYPERLINK("#'Time Off'!CF1","Q11.5.7_3")</f>
        <v>Q11.5.7_3</v>
      </c>
      <c r="V84" s="93" t="str">
        <f>HYPERLINK("#'Time Off'!CF2","Considering non-accrued (unlimited) paid time off/vacation policy: Directors")</f>
        <v>Considering non-accrued (unlimited) paid time off/vacation policy: Directors</v>
      </c>
      <c r="W84" s="3" t="str">
        <f>HYPERLINK("#'Vendors'!CF1","Q12.6.3")</f>
        <v>Q12.6.3</v>
      </c>
      <c r="X84" s="93" t="str">
        <f>HYPERLINK("#'Vendors'!CF2","Health care vendors employed: Pharmacy")</f>
        <v>Health care vendors employed: Pharmacy</v>
      </c>
    </row>
    <row r="85" spans="1:24" ht="63.75" x14ac:dyDescent="0.2">
      <c r="A85" s="5" t="str">
        <f>HYPERLINK("#'Company Overview'!CG1","Q1.7.3_2")</f>
        <v>Q1.7.3_2</v>
      </c>
      <c r="B85" s="93" t="str">
        <f>HYPERLINK("#'Company Overview'!CG2","Communication goal for current year: Second")</f>
        <v>Communication goal for current year: Second</v>
      </c>
      <c r="C85" s="96" t="str">
        <f>HYPERLINK("#'Enrollment, Eligib. &amp; Cost'!CG1","Q2.4.3_16")</f>
        <v>Q2.4.3_16</v>
      </c>
      <c r="D85" s="93" t="str">
        <f>HYPERLINK("#'Enrollment, Eligib. &amp; Cost'!CG2","Total monthly premium for PPO medical plan with highest enrollment: Family (employee + spouse/DP + dependent) with 5 child(ren)")</f>
        <v>Total monthly premium for PPO medical plan with highest enrollment: Family (employee + spouse/DP + dependent) with 5 child(ren)</v>
      </c>
      <c r="E85" s="6"/>
      <c r="F85" s="7"/>
      <c r="G85" s="6"/>
      <c r="H85" s="7"/>
      <c r="I85" s="96" t="str">
        <f>HYPERLINK("#'Other Benefits'!CG1","Q5.2.62")</f>
        <v>Q5.2.62</v>
      </c>
      <c r="J85" s="93" t="str">
        <f>HYPERLINK("#'Other Benefits'!CG2","Requirements to be eligible for surrogacy assistance reimbursement: Other")</f>
        <v>Requirements to be eligible for surrogacy assistance reimbursement: Other</v>
      </c>
      <c r="K85" s="3" t="str">
        <f>HYPERLINK("#'Healthcare'!CG1","Q6.2.14_9")</f>
        <v>Q6.2.14_9</v>
      </c>
      <c r="L85" s="93" t="str">
        <f>HYPERLINK("#'Healthcare'!CG2","Primary PPO medical plan in-network deductible per family: Emergency room (with hospital admittance)")</f>
        <v>Primary PPO medical plan in-network deductible per family: Emergency room (with hospital admittance)</v>
      </c>
      <c r="M85" s="108" t="str">
        <f>HYPERLINK("#'Disease Mgmt &amp; Wellbeing'!CG1","Q7.8.6")</f>
        <v>Q7.8.6</v>
      </c>
      <c r="N85" s="103" t="str">
        <f>HYPERLINK("#'Disease Mgmt &amp; Wellbeing'!CG2","Buy-up disease management programs offered to employees")</f>
        <v>Buy-up disease management programs offered to employees</v>
      </c>
      <c r="O85" s="3" t="str">
        <f>HYPERLINK("#'Trends &amp; Emerging Practices'!CG1","Q8.6.5_2")</f>
        <v>Q8.6.5_2</v>
      </c>
      <c r="P85" s="93" t="str">
        <f>HYPERLINK("#'Trends &amp; Emerging Practices'!CG2","Status of autism benefit coverage: POS")</f>
        <v>Status of autism benefit coverage: POS</v>
      </c>
      <c r="Q85" s="3" t="str">
        <f>HYPERLINK("#'Income Protection'!CG1","Q9.4.9")</f>
        <v>Q9.4.9</v>
      </c>
      <c r="R85" s="4" t="str">
        <f>HYPERLINK("#'Income Protection'!CG2","Maximum number of days a spouse or domestic partner dependent can travel with employee outside of his/her home country and be covered by company's business travel accident policy")</f>
        <v>Maximum number of days a spouse or domestic partner dependent can travel with employee outside of his/her home country and be covered by company's business travel accident policy</v>
      </c>
      <c r="S85" s="96" t="str">
        <f>HYPERLINK("#'Retirement, NQDC, Finances'!CG1","Q10.3.6")</f>
        <v>Q10.3.6</v>
      </c>
      <c r="T85" s="93" t="str">
        <f>HYPERLINK("#'Retirement, NQDC, Finances'!CG2","401(k) plan: Loan provision/loan payment continuation upon employment termination")</f>
        <v>401(k) plan: Loan provision/loan payment continuation upon employment termination</v>
      </c>
      <c r="U85" s="3" t="str">
        <f>HYPERLINK("#'Time Off'!CG1","Q11.5.7_4")</f>
        <v>Q11.5.7_4</v>
      </c>
      <c r="V85" s="93" t="str">
        <f>HYPERLINK("#'Time Off'!CG2","Considering non-accrued (unlimited) paid time off/vacation policy: Managers")</f>
        <v>Considering non-accrued (unlimited) paid time off/vacation policy: Managers</v>
      </c>
      <c r="W85" s="3" t="str">
        <f>HYPERLINK("#'Vendors'!CG1","Q12.6.3_45_TEXT")</f>
        <v>Q12.6.3_45_TEXT</v>
      </c>
      <c r="X85" s="93" t="str">
        <f>HYPERLINK("#'Vendors'!CG2","Other health care vendors employed: Pharmacy")</f>
        <v>Other health care vendors employed: Pharmacy</v>
      </c>
    </row>
    <row r="86" spans="1:24" ht="38.25" x14ac:dyDescent="0.2">
      <c r="A86" s="5" t="str">
        <f>HYPERLINK("#'Company Overview'!CH1","Q1.7.3_3")</f>
        <v>Q1.7.3_3</v>
      </c>
      <c r="B86" s="93" t="str">
        <f>HYPERLINK("#'Company Overview'!CH2","Communication goal for current year: Third")</f>
        <v>Communication goal for current year: Third</v>
      </c>
      <c r="C86" s="96" t="str">
        <f>HYPERLINK("#'Enrollment, Eligib. &amp; Cost'!CH1","Q2.4.4")</f>
        <v>Q2.4.4</v>
      </c>
      <c r="D86" s="93" t="str">
        <f>HYPERLINK("#'Enrollment, Eligib. &amp; Cost'!CH2","Percentage of PPO medical plan premium paid by company")</f>
        <v>Percentage of PPO medical plan premium paid by company</v>
      </c>
      <c r="E86" s="6"/>
      <c r="F86" s="7"/>
      <c r="G86" s="6"/>
      <c r="H86" s="7"/>
      <c r="I86" s="96" t="str">
        <f>HYPERLINK("#'Other Benefits'!CH1","Q5.2.63")</f>
        <v>Q5.2.63</v>
      </c>
      <c r="J86" s="93" t="str">
        <f>HYPERLINK("#'Other Benefits'!CH2","Surrogacy non-medical related expenses eligible for reimbursement ")</f>
        <v xml:space="preserve">Surrogacy non-medical related expenses eligible for reimbursement </v>
      </c>
      <c r="K86" s="3" t="str">
        <f>HYPERLINK("#'Healthcare'!CH1","Q6.2.14_10")</f>
        <v>Q6.2.14_10</v>
      </c>
      <c r="L86" s="93" t="str">
        <f>HYPERLINK("#'Healthcare'!CH2","Primary PPO medical plan in-network deductible per family: In-patient hospital")</f>
        <v>Primary PPO medical plan in-network deductible per family: In-patient hospital</v>
      </c>
      <c r="M86" s="108" t="str">
        <f>HYPERLINK("#'Disease Mgmt &amp; Wellbeing'!CH1","Q7.8.7")</f>
        <v>Q7.8.7</v>
      </c>
      <c r="N86" s="103" t="str">
        <f>HYPERLINK("#'Disease Mgmt &amp; Wellbeing'!CH2","Company negotiated outcome based service level agreements in place")</f>
        <v>Company negotiated outcome based service level agreements in place</v>
      </c>
      <c r="O86" s="3" t="str">
        <f>HYPERLINK("#'Trends &amp; Emerging Practices'!CH1","Q8.6.5_3")</f>
        <v>Q8.6.5_3</v>
      </c>
      <c r="P86" s="93" t="str">
        <f>HYPERLINK("#'Trends &amp; Emerging Practices'!CH2","Status of autism benefit coverage: CDHP/HDHP with health reimbursement account")</f>
        <v>Status of autism benefit coverage: CDHP/HDHP with health reimbursement account</v>
      </c>
      <c r="Q86" s="3" t="str">
        <f>HYPERLINK("#'Income Protection'!CH1","Q9.4.10")</f>
        <v>Q9.4.10</v>
      </c>
      <c r="R86" s="4" t="str">
        <f>HYPERLINK("#'Income Protection'!CH2","Child dependents eligible for business travel accident coverage if they accompany employee on an approved business travel trip")</f>
        <v>Child dependents eligible for business travel accident coverage if they accompany employee on an approved business travel trip</v>
      </c>
      <c r="S86" s="96" t="str">
        <f>HYPERLINK("#'Retirement, NQDC, Finances'!CH1","Q10.4.2")</f>
        <v>Q10.4.2</v>
      </c>
      <c r="T86" s="93" t="str">
        <f>HYPERLINK("#'Retirement, NQDC, Finances'!CH2","401(k) plan: Investment fund types available in plan")</f>
        <v>401(k) plan: Investment fund types available in plan</v>
      </c>
      <c r="U86" s="3" t="str">
        <f>HYPERLINK("#'Time Off'!CH1","Q11.5.7_5")</f>
        <v>Q11.5.7_5</v>
      </c>
      <c r="V86" s="93" t="str">
        <f>HYPERLINK("#'Time Off'!CH2","Considering non-accrued (unlimited) paid time off/vacation policy: Supervisors")</f>
        <v>Considering non-accrued (unlimited) paid time off/vacation policy: Supervisors</v>
      </c>
      <c r="W86" s="3" t="str">
        <f>HYPERLINK("#'Vendors'!CH1","Q12.6.4")</f>
        <v>Q12.6.4</v>
      </c>
      <c r="X86" s="93" t="str">
        <f>HYPERLINK("#'Vendors'!CH2","Health care vendors employed: Mental/behavioral Health")</f>
        <v>Health care vendors employed: Mental/behavioral Health</v>
      </c>
    </row>
    <row r="87" spans="1:24" ht="51" x14ac:dyDescent="0.2">
      <c r="A87" s="5" t="str">
        <f>HYPERLINK("#'Company Overview'!CI1","Q1.7.4_1")</f>
        <v>Q1.7.4_1</v>
      </c>
      <c r="B87" s="93" t="str">
        <f>HYPERLINK("#'Company Overview'!CI2","Compliance goal for current year: First")</f>
        <v>Compliance goal for current year: First</v>
      </c>
      <c r="C87" s="96" t="str">
        <f>HYPERLINK("#'Enrollment, Eligib. &amp; Cost'!CI1","Q2.4.5_1")</f>
        <v>Q2.4.5_1</v>
      </c>
      <c r="D87" s="93" t="str">
        <f>HYPERLINK("#'Enrollment, Eligib. &amp; Cost'!CI2","Total monthly premium for EPO medical plan with highest enrollment: Waive or opt out")</f>
        <v>Total monthly premium for EPO medical plan with highest enrollment: Waive or opt out</v>
      </c>
      <c r="E87" s="6"/>
      <c r="F87" s="7"/>
      <c r="G87" s="6"/>
      <c r="H87" s="7"/>
      <c r="I87" s="96" t="str">
        <f>HYPERLINK("#'Other Benefits'!CI1","Q5.2.64")</f>
        <v>Q5.2.64</v>
      </c>
      <c r="J87" s="93" t="str">
        <f>HYPERLINK("#'Other Benefits'!CI2","Surrogacy non-medical related expenses eligible for reimbursement: Other")</f>
        <v>Surrogacy non-medical related expenses eligible for reimbursement: Other</v>
      </c>
      <c r="K87" s="3" t="str">
        <f>HYPERLINK("#'Healthcare'!CI1","Q6.2.14_11")</f>
        <v>Q6.2.14_11</v>
      </c>
      <c r="L87" s="93" t="str">
        <f>HYPERLINK("#'Healthcare'!CI2","Primary PPO medical plan in-network deductible per family: Mental health/substance abuse")</f>
        <v>Primary PPO medical plan in-network deductible per family: Mental health/substance abuse</v>
      </c>
      <c r="M87" s="108" t="str">
        <f>HYPERLINK("#'Disease Mgmt &amp; Wellbeing'!CI1","Q7.8.8")</f>
        <v>Q7.8.8</v>
      </c>
      <c r="N87" s="103" t="str">
        <f>HYPERLINK("#'Disease Mgmt &amp; Wellbeing'!CI2","Disease management Centers of Excellence offered")</f>
        <v>Disease management Centers of Excellence offered</v>
      </c>
      <c r="O87" s="3" t="str">
        <f>HYPERLINK("#'Trends &amp; Emerging Practices'!CI1","Q8.6.5_4")</f>
        <v>Q8.6.5_4</v>
      </c>
      <c r="P87" s="93" t="str">
        <f>HYPERLINK("#'Trends &amp; Emerging Practices'!CI2","Status of autism benefit coverage: CDHP/HDHP with health savings account")</f>
        <v>Status of autism benefit coverage: CDHP/HDHP with health savings account</v>
      </c>
      <c r="Q87" s="3" t="str">
        <f>HYPERLINK("#'Income Protection'!CI1","Q9.4.11")</f>
        <v>Q9.4.11</v>
      </c>
      <c r="R87" s="4" t="str">
        <f>HYPERLINK("#'Income Protection'!CI2","Maximum number of days a child dependent can travel with employee outside of his/her home country and be covered by company's business travel accident policy")</f>
        <v>Maximum number of days a child dependent can travel with employee outside of his/her home country and be covered by company's business travel accident policy</v>
      </c>
      <c r="S87" s="96" t="str">
        <f>HYPERLINK("#'Retirement, NQDC, Finances'!CI1","Q10.4.3")</f>
        <v>Q10.4.3</v>
      </c>
      <c r="T87" s="93" t="str">
        <f>HYPERLINK("#'Retirement, NQDC, Finances'!CI2","401(k) plan: Additional investment fund types offered")</f>
        <v>401(k) plan: Additional investment fund types offered</v>
      </c>
      <c r="U87" s="3" t="str">
        <f>HYPERLINK("#'Time Off'!CI1","Q11.5.7_6")</f>
        <v>Q11.5.7_6</v>
      </c>
      <c r="V87" s="93" t="str">
        <f>HYPERLINK("#'Time Off'!CI2","Considering non-accrued (unlimited) paid time off/vacation policy: Salaried (non-overtime eligible employees)")</f>
        <v>Considering non-accrued (unlimited) paid time off/vacation policy: Salaried (non-overtime eligible employees)</v>
      </c>
      <c r="W87" s="3" t="str">
        <f>HYPERLINK("#'Vendors'!CI1","Q12.6.4_45_TEXT")</f>
        <v>Q12.6.4_45_TEXT</v>
      </c>
      <c r="X87" s="93" t="str">
        <f>HYPERLINK("#'Vendors'!CI2","Other health care vendors employed: Mental/behavioral Health")</f>
        <v>Other health care vendors employed: Mental/behavioral Health</v>
      </c>
    </row>
    <row r="88" spans="1:24" ht="39" thickBot="1" x14ac:dyDescent="0.25">
      <c r="A88" s="5" t="str">
        <f>HYPERLINK("#'Company Overview'!CJ1","Q1.7.4_2")</f>
        <v>Q1.7.4_2</v>
      </c>
      <c r="B88" s="93" t="str">
        <f>HYPERLINK("#'Company Overview'!CJ2","Compliance goal for current year: Second")</f>
        <v>Compliance goal for current year: Second</v>
      </c>
      <c r="C88" s="96" t="str">
        <f>HYPERLINK("#'Enrollment, Eligib. &amp; Cost'!CJ1","Q2.4.5_2")</f>
        <v>Q2.4.5_2</v>
      </c>
      <c r="D88" s="93" t="str">
        <f>HYPERLINK("#'Enrollment, Eligib. &amp; Cost'!CJ2","Total monthly premium for EPO medical plan with highest enrollment: Employee only")</f>
        <v>Total monthly premium for EPO medical plan with highest enrollment: Employee only</v>
      </c>
      <c r="E88" s="6"/>
      <c r="F88" s="7"/>
      <c r="G88" s="6"/>
      <c r="H88" s="7"/>
      <c r="I88" s="96" t="str">
        <f>HYPERLINK("#'Other Benefits'!CJ1","Q5.2.65")</f>
        <v>Q5.2.65</v>
      </c>
      <c r="J88" s="93" t="str">
        <f>HYPERLINK("#'Other Benefits'!CJ2","Surrogacy-related medical expenses part of fertility/medical plan eligible for reimbursement")</f>
        <v>Surrogacy-related medical expenses part of fertility/medical plan eligible for reimbursement</v>
      </c>
      <c r="K88" s="3" t="str">
        <f>HYPERLINK("#'Healthcare'!CJ1","Q6.2.14_12")</f>
        <v>Q6.2.14_12</v>
      </c>
      <c r="L88" s="93" t="str">
        <f>HYPERLINK("#'Healthcare'!CJ2","Primary PPO medical plan in-network deductible per family: Out-patient surgical center")</f>
        <v>Primary PPO medical plan in-network deductible per family: Out-patient surgical center</v>
      </c>
      <c r="M88" s="101" t="str">
        <f>HYPERLINK("#'Disease Mgmt &amp; Wellbeing'!CJ1","Q7.8.9")</f>
        <v>Q7.8.9</v>
      </c>
      <c r="N88" s="104" t="str">
        <f>HYPERLINK("#'Disease Mgmt &amp; Wellbeing'!CJ2","Other disease management Centers of Excellence offered")</f>
        <v>Other disease management Centers of Excellence offered</v>
      </c>
      <c r="O88" s="3" t="str">
        <f>HYPERLINK("#'Trends &amp; Emerging Practices'!CJ1","Q8.6.5_5")</f>
        <v>Q8.6.5_5</v>
      </c>
      <c r="P88" s="93" t="str">
        <f>HYPERLINK("#'Trends &amp; Emerging Practices'!CJ2","Status of autism benefit coverage: HMO")</f>
        <v>Status of autism benefit coverage: HMO</v>
      </c>
      <c r="Q88" s="3" t="str">
        <f>HYPERLINK("#'Income Protection'!CJ1","Q9.4.12")</f>
        <v>Q9.4.12</v>
      </c>
      <c r="R88" s="4" t="str">
        <f>HYPERLINK("#'Income Protection'!CJ2","Other individuals eligible for business travel accident coverage if they accompany employee on an approved business travel trip")</f>
        <v>Other individuals eligible for business travel accident coverage if they accompany employee on an approved business travel trip</v>
      </c>
      <c r="S88" s="96" t="str">
        <f>HYPERLINK("#'Retirement, NQDC, Finances'!CJ1","Q10.4.4_1")</f>
        <v>Q10.4.4_1</v>
      </c>
      <c r="T88" s="93" t="str">
        <f>HYPERLINK("#'Retirement, NQDC, Finances'!CJ2","401(k) plan: Investments/number per fund type: Commingled")</f>
        <v>401(k) plan: Investments/number per fund type: Commingled</v>
      </c>
      <c r="U88" s="3" t="str">
        <f>HYPERLINK("#'Time Off'!CJ1","Q11.5.7_7")</f>
        <v>Q11.5.7_7</v>
      </c>
      <c r="V88" s="93" t="str">
        <f>HYPERLINK("#'Time Off'!CJ2","Considering non-accrued (unlimited) paid time off/vacation policy: Hourly (overtime eligible employees)")</f>
        <v>Considering non-accrued (unlimited) paid time off/vacation policy: Hourly (overtime eligible employees)</v>
      </c>
      <c r="W88" s="3" t="str">
        <f>HYPERLINK("#'Vendors'!CJ1","Q12.6.5")</f>
        <v>Q12.6.5</v>
      </c>
      <c r="X88" s="93" t="str">
        <f>HYPERLINK("#'Vendors'!CJ2","Health care vendors employed: Dental")</f>
        <v>Health care vendors employed: Dental</v>
      </c>
    </row>
    <row r="89" spans="1:24" ht="51" x14ac:dyDescent="0.2">
      <c r="A89" s="5" t="str">
        <f>HYPERLINK("#'Company Overview'!CK1","Q1.7.4_3")</f>
        <v>Q1.7.4_3</v>
      </c>
      <c r="B89" s="93" t="str">
        <f>HYPERLINK("#'Company Overview'!CK2","Compliance goal for current year: Third")</f>
        <v>Compliance goal for current year: Third</v>
      </c>
      <c r="C89" s="96" t="str">
        <f>HYPERLINK("#'Enrollment, Eligib. &amp; Cost'!CK1","Q2.4.5_3")</f>
        <v>Q2.4.5_3</v>
      </c>
      <c r="D89" s="93" t="str">
        <f>HYPERLINK("#'Enrollment, Eligib. &amp; Cost'!CK2","Total monthly premium for EPO medical plan with highest enrollment: Employee + spouse/DP")</f>
        <v>Total monthly premium for EPO medical plan with highest enrollment: Employee + spouse/DP</v>
      </c>
      <c r="E89" s="6"/>
      <c r="F89" s="7"/>
      <c r="G89" s="6"/>
      <c r="H89" s="7"/>
      <c r="I89" s="96" t="str">
        <f>HYPERLINK("#'Other Benefits'!CK1","Q5.2.66")</f>
        <v>Q5.2.66</v>
      </c>
      <c r="J89" s="93" t="str">
        <f>HYPERLINK("#'Other Benefits'!CK2","Surrogacy-related medical expenses part of fertility/medical plan eligible for reimbursement: Other")</f>
        <v>Surrogacy-related medical expenses part of fertility/medical plan eligible for reimbursement: Other</v>
      </c>
      <c r="K89" s="3" t="str">
        <f>HYPERLINK("#'Healthcare'!CK1","Q6.2.14_13")</f>
        <v>Q6.2.14_13</v>
      </c>
      <c r="L89" s="93" t="str">
        <f>HYPERLINK("#'Healthcare'!CK2","Primary PPO medical plan in-network deductible per family: Prescription drugs (preventive)")</f>
        <v>Primary PPO medical plan in-network deductible per family: Prescription drugs (preventive)</v>
      </c>
      <c r="M89" s="6"/>
      <c r="N89" s="7"/>
      <c r="O89" s="96" t="str">
        <f>HYPERLINK("#'Trends &amp; Emerging Practices'!CK1","Q8.6.5_6")</f>
        <v>Q8.6.5_6</v>
      </c>
      <c r="P89" s="93" t="str">
        <f>HYPERLINK("#'Trends &amp; Emerging Practices'!CK2","Status of autism benefit coverage: EPO")</f>
        <v>Status of autism benefit coverage: EPO</v>
      </c>
      <c r="Q89" s="3" t="str">
        <f>HYPERLINK("#'Income Protection'!CK1","Q9.5.2_1")</f>
        <v>Q9.5.2_1</v>
      </c>
      <c r="R89" s="4" t="str">
        <f>HYPERLINK("#'Income Protection'!CK2","Full-time employee minimum weekly hour eligibility requirement for life insurance/accidental death and dismemberment")</f>
        <v>Full-time employee minimum weekly hour eligibility requirement for life insurance/accidental death and dismemberment</v>
      </c>
      <c r="S89" s="96" t="str">
        <f>HYPERLINK("#'Retirement, NQDC, Finances'!CK1","Q10.4.4_2")</f>
        <v>Q10.4.4_2</v>
      </c>
      <c r="T89" s="93" t="str">
        <f>HYPERLINK("#'Retirement, NQDC, Finances'!CK2","401(k) plan: Investments/number per fund type: Separate accounts")</f>
        <v>401(k) plan: Investments/number per fund type: Separate accounts</v>
      </c>
      <c r="U89" s="3" t="str">
        <f>HYPERLINK("#'Time Off'!CK1","Q11.5.8_1")</f>
        <v>Q11.5.8_1</v>
      </c>
      <c r="V89" s="93" t="str">
        <f>HYPERLINK("#'Time Off'!CK2","Sick time accrued and reported: Executives (C-suite)")</f>
        <v>Sick time accrued and reported: Executives (C-suite)</v>
      </c>
      <c r="W89" s="3" t="str">
        <f>HYPERLINK("#'Vendors'!CK1","Q12.6.5_45_TEXT")</f>
        <v>Q12.6.5_45_TEXT</v>
      </c>
      <c r="X89" s="93" t="str">
        <f>HYPERLINK("#'Vendors'!CK2","Other health care vendors employed: Dental")</f>
        <v>Other health care vendors employed: Dental</v>
      </c>
    </row>
    <row r="90" spans="1:24" ht="38.25" x14ac:dyDescent="0.2">
      <c r="A90" s="5" t="str">
        <f>HYPERLINK("#'Company Overview'!CL1","Q1.7.5_1")</f>
        <v>Q1.7.5_1</v>
      </c>
      <c r="B90" s="93" t="str">
        <f>HYPERLINK("#'Company Overview'!CL2","Cost containment goal for current year: First")</f>
        <v>Cost containment goal for current year: First</v>
      </c>
      <c r="C90" s="96" t="str">
        <f>HYPERLINK("#'Enrollment, Eligib. &amp; Cost'!CL1","Q2.4.5_4")</f>
        <v>Q2.4.5_4</v>
      </c>
      <c r="D90" s="93" t="str">
        <f>HYPERLINK("#'Enrollment, Eligib. &amp; Cost'!CL2","Total monthly premium for EPO medical plan with highest enrollment: Employee + spouse/DP or child(ren)")</f>
        <v>Total monthly premium for EPO medical plan with highest enrollment: Employee + spouse/DP or child(ren)</v>
      </c>
      <c r="E90" s="6"/>
      <c r="F90" s="7"/>
      <c r="G90" s="6"/>
      <c r="H90" s="7"/>
      <c r="I90" s="96" t="str">
        <f>HYPERLINK("#'Other Benefits'!CL1","Q5.2.67")</f>
        <v>Q5.2.67</v>
      </c>
      <c r="J90" s="93" t="str">
        <f>HYPERLINK("#'Other Benefits'!CL2","Tax treatment of surrogacy-related medical expenses")</f>
        <v>Tax treatment of surrogacy-related medical expenses</v>
      </c>
      <c r="K90" s="3" t="str">
        <f>HYPERLINK("#'Healthcare'!CL1","Q6.2.14_14")</f>
        <v>Q6.2.14_14</v>
      </c>
      <c r="L90" s="93" t="str">
        <f>HYPERLINK("#'Healthcare'!CL2","Primary PPO medical plan in-network deductible per family: Prescription drugs (non-preventive)")</f>
        <v>Primary PPO medical plan in-network deductible per family: Prescription drugs (non-preventive)</v>
      </c>
      <c r="M90" s="6"/>
      <c r="N90" s="7"/>
      <c r="O90" s="96" t="str">
        <f>HYPERLINK("#'Trends &amp; Emerging Practices'!CL1","Q8.7.2")</f>
        <v>Q8.7.2</v>
      </c>
      <c r="P90" s="93" t="str">
        <f>HYPERLINK("#'Trends &amp; Emerging Practices'!CL2","Midwife services covered by health plan")</f>
        <v>Midwife services covered by health plan</v>
      </c>
      <c r="Q90" s="3" t="str">
        <f>HYPERLINK("#'Income Protection'!CL1","Q9.5.2_2")</f>
        <v>Q9.5.2_2</v>
      </c>
      <c r="R90" s="4" t="str">
        <f>HYPERLINK("#'Income Protection'!CL2","Full-time employee minimum weekly hour eligibility requirement for Short-term disability")</f>
        <v>Full-time employee minimum weekly hour eligibility requirement for Short-term disability</v>
      </c>
      <c r="S90" s="96" t="str">
        <f>HYPERLINK("#'Retirement, NQDC, Finances'!CL1","Q10.4.4_3")</f>
        <v>Q10.4.4_3</v>
      </c>
      <c r="T90" s="93" t="str">
        <f>HYPERLINK("#'Retirement, NQDC, Finances'!CL2","401(k) plan: Investments/number per fund type: Money market")</f>
        <v>401(k) plan: Investments/number per fund type: Money market</v>
      </c>
      <c r="U90" s="3" t="str">
        <f>HYPERLINK("#'Time Off'!CL1","Q11.5.8_2")</f>
        <v>Q11.5.8_2</v>
      </c>
      <c r="V90" s="93" t="str">
        <f>HYPERLINK("#'Time Off'!CL2","Sick time accrued and reported: Presidents and vice presidents")</f>
        <v>Sick time accrued and reported: Presidents and vice presidents</v>
      </c>
      <c r="W90" s="3" t="str">
        <f>HYPERLINK("#'Vendors'!CL1","Q12.6.6")</f>
        <v>Q12.6.6</v>
      </c>
      <c r="X90" s="93" t="str">
        <f>HYPERLINK("#'Vendors'!CL2","Health care vendors employed: Vision")</f>
        <v>Health care vendors employed: Vision</v>
      </c>
    </row>
    <row r="91" spans="1:24" ht="38.25" x14ac:dyDescent="0.2">
      <c r="A91" s="5" t="str">
        <f>HYPERLINK("#'Company Overview'!CM1","Q1.7.5_2")</f>
        <v>Q1.7.5_2</v>
      </c>
      <c r="B91" s="93" t="str">
        <f>HYPERLINK("#'Company Overview'!CM2","Cost containment goal for current year: Second")</f>
        <v>Cost containment goal for current year: Second</v>
      </c>
      <c r="C91" s="96" t="str">
        <f>HYPERLINK("#'Enrollment, Eligib. &amp; Cost'!CM1","Q2.4.5_5")</f>
        <v>Q2.4.5_5</v>
      </c>
      <c r="D91" s="93" t="str">
        <f>HYPERLINK("#'Enrollment, Eligib. &amp; Cost'!CM2","Total monthly premium for EPO medical plan with highest enrollment: Employee + any child(ren)")</f>
        <v>Total monthly premium for EPO medical plan with highest enrollment: Employee + any child(ren)</v>
      </c>
      <c r="E91" s="6"/>
      <c r="F91" s="7"/>
      <c r="G91" s="6"/>
      <c r="H91" s="7"/>
      <c r="I91" s="96" t="str">
        <f>HYPERLINK("#'Other Benefits'!CM1","Q5.2.69")</f>
        <v>Q5.2.69</v>
      </c>
      <c r="J91" s="93" t="str">
        <f>HYPERLINK("#'Other Benefits'!CM2","Types of survivor support provided")</f>
        <v>Types of survivor support provided</v>
      </c>
      <c r="K91" s="3" t="str">
        <f>HYPERLINK("#'Healthcare'!CM1","Q6.2.14_15")</f>
        <v>Q6.2.14_15</v>
      </c>
      <c r="L91" s="93" t="str">
        <f>HYPERLINK("#'Healthcare'!CM2","Primary PPO medical plan in-network deductible per family: Therapies (speech, PT, OT)")</f>
        <v>Primary PPO medical plan in-network deductible per family: Therapies (speech, PT, OT)</v>
      </c>
      <c r="M91" s="6"/>
      <c r="N91" s="7"/>
      <c r="O91" s="96" t="str">
        <f>HYPERLINK("#'Trends &amp; Emerging Practices'!CM1","Q8.7.3")</f>
        <v>Q8.7.3</v>
      </c>
      <c r="P91" s="93" t="str">
        <f>HYPERLINK("#'Trends &amp; Emerging Practices'!CM2","Types of midwife services covered")</f>
        <v>Types of midwife services covered</v>
      </c>
      <c r="Q91" s="3" t="str">
        <f>HYPERLINK("#'Income Protection'!CM1","Q9.5.2_3")</f>
        <v>Q9.5.2_3</v>
      </c>
      <c r="R91" s="4" t="str">
        <f>HYPERLINK("#'Income Protection'!CM2","Full-time employee minimum weekly hour eligibility requirement for long term disability")</f>
        <v>Full-time employee minimum weekly hour eligibility requirement for long term disability</v>
      </c>
      <c r="S91" s="96" t="str">
        <f>HYPERLINK("#'Retirement, NQDC, Finances'!CM1","Q10.4.4_4")</f>
        <v>Q10.4.4_4</v>
      </c>
      <c r="T91" s="93" t="str">
        <f>HYPERLINK("#'Retirement, NQDC, Finances'!CM2","401(k) plan: Investments/number per fund type: Stable value")</f>
        <v>401(k) plan: Investments/number per fund type: Stable value</v>
      </c>
      <c r="U91" s="3" t="str">
        <f>HYPERLINK("#'Time Off'!CM1","Q11.5.8_3")</f>
        <v>Q11.5.8_3</v>
      </c>
      <c r="V91" s="93" t="str">
        <f>HYPERLINK("#'Time Off'!CM2","Sick time accrued and reported: Directors")</f>
        <v>Sick time accrued and reported: Directors</v>
      </c>
      <c r="W91" s="3" t="str">
        <f>HYPERLINK("#'Vendors'!CM1","Q12.6.6_45_TEXT")</f>
        <v>Q12.6.6_45_TEXT</v>
      </c>
      <c r="X91" s="93" t="str">
        <f>HYPERLINK("#'Vendors'!CM2","Other health care vendors employed: Vision")</f>
        <v>Other health care vendors employed: Vision</v>
      </c>
    </row>
    <row r="92" spans="1:24" ht="38.25" x14ac:dyDescent="0.2">
      <c r="A92" s="5" t="str">
        <f>HYPERLINK("#'Company Overview'!CN1","Q1.7.5_3")</f>
        <v>Q1.7.5_3</v>
      </c>
      <c r="B92" s="93" t="str">
        <f>HYPERLINK("#'Company Overview'!CN2","Cost containment goal for current year: Third")</f>
        <v>Cost containment goal for current year: Third</v>
      </c>
      <c r="C92" s="96" t="str">
        <f>HYPERLINK("#'Enrollment, Eligib. &amp; Cost'!CN1","Q2.4.5_6")</f>
        <v>Q2.4.5_6</v>
      </c>
      <c r="D92" s="93" t="str">
        <f>HYPERLINK("#'Enrollment, Eligib. &amp; Cost'!CN2","Total monthly premium for EPO medical plan with highest enrollment: Employee + 1 child")</f>
        <v>Total monthly premium for EPO medical plan with highest enrollment: Employee + 1 child</v>
      </c>
      <c r="E92" s="6"/>
      <c r="F92" s="7"/>
      <c r="G92" s="6"/>
      <c r="H92" s="7"/>
      <c r="I92" s="96" t="str">
        <f>HYPERLINK("#'Other Benefits'!CN1","Q5.2.69_10_TEXT")</f>
        <v>Q5.2.69_10_TEXT</v>
      </c>
      <c r="J92" s="93" t="str">
        <f>HYPERLINK("#'Other Benefits'!CN2","Other types of survivor support provided")</f>
        <v>Other types of survivor support provided</v>
      </c>
      <c r="K92" s="3" t="str">
        <f>HYPERLINK("#'Healthcare'!CN1","Q6.2.14_16")</f>
        <v>Q6.2.14_16</v>
      </c>
      <c r="L92" s="93" t="str">
        <f>HYPERLINK("#'Healthcare'!CN2","Primary PPO medical plan in-network deductible per family: Other")</f>
        <v>Primary PPO medical plan in-network deductible per family: Other</v>
      </c>
      <c r="M92" s="6"/>
      <c r="N92" s="7"/>
      <c r="O92" s="96" t="str">
        <f>HYPERLINK("#'Trends &amp; Emerging Practices'!CN1","Q8.7.4")</f>
        <v>Q8.7.4</v>
      </c>
      <c r="P92" s="93" t="str">
        <f>HYPERLINK("#'Trends &amp; Emerging Practices'!CN2","Doulas covered by health plan")</f>
        <v>Doulas covered by health plan</v>
      </c>
      <c r="Q92" s="3" t="str">
        <f>HYPERLINK("#'Income Protection'!CN1","Q9.5.2_4")</f>
        <v>Q9.5.2_4</v>
      </c>
      <c r="R92" s="4" t="str">
        <f>HYPERLINK("#'Income Protection'!CN2","Full-time employee minimum weekly hour eligibility requirement for business travel accident")</f>
        <v>Full-time employee minimum weekly hour eligibility requirement for business travel accident</v>
      </c>
      <c r="S92" s="96" t="str">
        <f>HYPERLINK("#'Retirement, NQDC, Finances'!CN1","Q10.4.4_5")</f>
        <v>Q10.4.4_5</v>
      </c>
      <c r="T92" s="93" t="str">
        <f>HYPERLINK("#'Retirement, NQDC, Finances'!CN2","401(k) plan: Investments/number per fund type: Fixed income: low duration")</f>
        <v>401(k) plan: Investments/number per fund type: Fixed income: low duration</v>
      </c>
      <c r="U92" s="3" t="str">
        <f>HYPERLINK("#'Time Off'!CN1","Q11.5.8_4")</f>
        <v>Q11.5.8_4</v>
      </c>
      <c r="V92" s="93" t="str">
        <f>HYPERLINK("#'Time Off'!CN2","Sick time accrued and reported: Managers")</f>
        <v>Sick time accrued and reported: Managers</v>
      </c>
      <c r="W92" s="3" t="str">
        <f>HYPERLINK("#'Vendors'!CN1","Q12.6.7")</f>
        <v>Q12.6.7</v>
      </c>
      <c r="X92" s="93" t="str">
        <f>HYPERLINK("#'Vendors'!CN2","Health care vendors employed: Stop loss")</f>
        <v>Health care vendors employed: Stop loss</v>
      </c>
    </row>
    <row r="93" spans="1:24" ht="51" x14ac:dyDescent="0.2">
      <c r="A93" s="5" t="str">
        <f>HYPERLINK("#'Company Overview'!CO1","Q1.7.6_1")</f>
        <v>Q1.7.6_1</v>
      </c>
      <c r="B93" s="93" t="str">
        <f>HYPERLINK("#'Company Overview'!CO2","Wellness goal for current year: First")</f>
        <v>Wellness goal for current year: First</v>
      </c>
      <c r="C93" s="96" t="str">
        <f>HYPERLINK("#'Enrollment, Eligib. &amp; Cost'!CO1","Q2.4.5_7")</f>
        <v>Q2.4.5_7</v>
      </c>
      <c r="D93" s="93" t="str">
        <f>HYPERLINK("#'Enrollment, Eligib. &amp; Cost'!CO2","Total monthly premium for EPO medical plan with highest enrollment: Employee + 2 children")</f>
        <v>Total monthly premium for EPO medical plan with highest enrollment: Employee + 2 children</v>
      </c>
      <c r="E93" s="6"/>
      <c r="F93" s="7"/>
      <c r="G93" s="6"/>
      <c r="H93" s="7"/>
      <c r="I93" s="96" t="str">
        <f>HYPERLINK("#'Other Benefits'!CO1","Q5.2.70")</f>
        <v>Q5.2.70</v>
      </c>
      <c r="J93" s="93" t="str">
        <f>HYPERLINK("#'Other Benefits'!CO2","Types of lump-sum payments provided")</f>
        <v>Types of lump-sum payments provided</v>
      </c>
      <c r="K93" s="3" t="str">
        <f>HYPERLINK("#'Healthcare'!CO1","Q6.2.15_1")</f>
        <v>Q6.2.15_1</v>
      </c>
      <c r="L93" s="93" t="str">
        <f>HYPERLINK("#'Healthcare'!CO2","Primary PPO medical plan out-of-network deductible per person: Not applicable - no separate deductibles")</f>
        <v>Primary PPO medical plan out-of-network deductible per person: Not applicable - no separate deductibles</v>
      </c>
      <c r="M93" s="6"/>
      <c r="N93" s="7"/>
      <c r="O93" s="96" t="str">
        <f>HYPERLINK("#'Trends &amp; Emerging Practices'!CO1","Q8.7.5")</f>
        <v>Q8.7.5</v>
      </c>
      <c r="P93" s="93" t="str">
        <f>HYPERLINK("#'Trends &amp; Emerging Practices'!CO2","Stand alone birth centers covered by health plan")</f>
        <v>Stand alone birth centers covered by health plan</v>
      </c>
      <c r="Q93" s="3" t="str">
        <f>HYPERLINK("#'Income Protection'!CO1","Q9.5.3_1")</f>
        <v>Q9.5.3_1</v>
      </c>
      <c r="R93" s="4" t="str">
        <f>HYPERLINK("#'Income Protection'!CO2","Part-time employee minimum weekly hour eligibility requirement for life insurance/accidental death and dismemberment")</f>
        <v>Part-time employee minimum weekly hour eligibility requirement for life insurance/accidental death and dismemberment</v>
      </c>
      <c r="S93" s="96" t="str">
        <f>HYPERLINK("#'Retirement, NQDC, Finances'!CO1","Q10.4.4_6")</f>
        <v>Q10.4.4_6</v>
      </c>
      <c r="T93" s="93" t="str">
        <f>HYPERLINK("#'Retirement, NQDC, Finances'!CO2","401(k) plan: Investments/number per fund type: Fixed income: bond index")</f>
        <v>401(k) plan: Investments/number per fund type: Fixed income: bond index</v>
      </c>
      <c r="U93" s="3" t="str">
        <f>HYPERLINK("#'Time Off'!CO1","Q11.5.8_5")</f>
        <v>Q11.5.8_5</v>
      </c>
      <c r="V93" s="93" t="str">
        <f>HYPERLINK("#'Time Off'!CO2","Sick time accrued and reported: Supervisors")</f>
        <v>Sick time accrued and reported: Supervisors</v>
      </c>
      <c r="W93" s="3" t="str">
        <f>HYPERLINK("#'Vendors'!CO1","Q12.6.7_45_TEXT")</f>
        <v>Q12.6.7_45_TEXT</v>
      </c>
      <c r="X93" s="93" t="str">
        <f>HYPERLINK("#'Vendors'!CO2","Other health care vendors employed: Stop loss")</f>
        <v>Other health care vendors employed: Stop loss</v>
      </c>
    </row>
    <row r="94" spans="1:24" ht="25.5" x14ac:dyDescent="0.2">
      <c r="A94" s="5" t="str">
        <f>HYPERLINK("#'Company Overview'!CP1","Q1.7.6_2")</f>
        <v>Q1.7.6_2</v>
      </c>
      <c r="B94" s="93" t="str">
        <f>HYPERLINK("#'Company Overview'!CP2","Wellness goal for current year: Second")</f>
        <v>Wellness goal for current year: Second</v>
      </c>
      <c r="C94" s="96" t="str">
        <f>HYPERLINK("#'Enrollment, Eligib. &amp; Cost'!CP1","Q2.4.5_8")</f>
        <v>Q2.4.5_8</v>
      </c>
      <c r="D94" s="93" t="str">
        <f>HYPERLINK("#'Enrollment, Eligib. &amp; Cost'!CP2","Total monthly premium for EPO medical plan with highest enrollment: Employee + 3 children")</f>
        <v>Total monthly premium for EPO medical plan with highest enrollment: Employee + 3 children</v>
      </c>
      <c r="E94" s="6"/>
      <c r="F94" s="7"/>
      <c r="G94" s="6"/>
      <c r="H94" s="7"/>
      <c r="I94" s="96" t="str">
        <f>HYPERLINK("#'Other Benefits'!CP1","Q5.2.71")</f>
        <v>Q5.2.71</v>
      </c>
      <c r="J94" s="93" t="str">
        <f>HYPERLINK("#'Other Benefits'!CP2","Method for determining the flat amount of lump-sum payments")</f>
        <v>Method for determining the flat amount of lump-sum payments</v>
      </c>
      <c r="K94" s="3" t="str">
        <f>HYPERLINK("#'Healthcare'!CP1","Q6.2.15_5")</f>
        <v>Q6.2.15_5</v>
      </c>
      <c r="L94" s="93" t="str">
        <f>HYPERLINK("#'Healthcare'!CP2","Primary PPO medical plan out-of-network deductible per person: Acupuncture")</f>
        <v>Primary PPO medical plan out-of-network deductible per person: Acupuncture</v>
      </c>
      <c r="M94" s="6"/>
      <c r="N94" s="7"/>
      <c r="O94" s="96" t="str">
        <f>HYPERLINK("#'Trends &amp; Emerging Practices'!CP1","Q8.7.6")</f>
        <v>Q8.7.6</v>
      </c>
      <c r="P94" s="93" t="str">
        <f>HYPERLINK("#'Trends &amp; Emerging Practices'!CP2","Stand alone birth centers accreditation requirement")</f>
        <v>Stand alone birth centers accreditation requirement</v>
      </c>
      <c r="Q94" s="3" t="str">
        <f>HYPERLINK("#'Income Protection'!CP1","Q9.5.3_2")</f>
        <v>Q9.5.3_2</v>
      </c>
      <c r="R94" s="4" t="str">
        <f>HYPERLINK("#'Income Protection'!CP2","Part-time employee minimum weekly hour eligibility requirement for Short-term disability")</f>
        <v>Part-time employee minimum weekly hour eligibility requirement for Short-term disability</v>
      </c>
      <c r="S94" s="96" t="str">
        <f>HYPERLINK("#'Retirement, NQDC, Finances'!CP1","Q10.4.4_7")</f>
        <v>Q10.4.4_7</v>
      </c>
      <c r="T94" s="93" t="str">
        <f>HYPERLINK("#'Retirement, NQDC, Finances'!CP2","401(k) plan: Investments/number per fund type: Fixed income: total return")</f>
        <v>401(k) plan: Investments/number per fund type: Fixed income: total return</v>
      </c>
      <c r="U94" s="3" t="str">
        <f>HYPERLINK("#'Time Off'!CP1","Q11.5.8_6")</f>
        <v>Q11.5.8_6</v>
      </c>
      <c r="V94" s="93" t="str">
        <f>HYPERLINK("#'Time Off'!CP2","Sick time accrued and reported: Salaried (non-overtime eligible employees)")</f>
        <v>Sick time accrued and reported: Salaried (non-overtime eligible employees)</v>
      </c>
      <c r="W94" s="3" t="str">
        <f>HYPERLINK("#'Vendors'!CP1","Q12.6.8")</f>
        <v>Q12.6.8</v>
      </c>
      <c r="X94" s="93" t="str">
        <f>HYPERLINK("#'Vendors'!CP2","Health care vendors employed: Cancer/genetic/genomic testing")</f>
        <v>Health care vendors employed: Cancer/genetic/genomic testing</v>
      </c>
    </row>
    <row r="95" spans="1:24" ht="25.5" x14ac:dyDescent="0.2">
      <c r="A95" s="5" t="str">
        <f>HYPERLINK("#'Company Overview'!CQ1","Q1.7.6_3")</f>
        <v>Q1.7.6_3</v>
      </c>
      <c r="B95" s="93" t="str">
        <f>HYPERLINK("#'Company Overview'!CQ2","Wellness goal for current year: Third")</f>
        <v>Wellness goal for current year: Third</v>
      </c>
      <c r="C95" s="96" t="str">
        <f>HYPERLINK("#'Enrollment, Eligib. &amp; Cost'!CQ1","Q2.4.5_9")</f>
        <v>Q2.4.5_9</v>
      </c>
      <c r="D95" s="93" t="str">
        <f>HYPERLINK("#'Enrollment, Eligib. &amp; Cost'!CQ2","Total monthly premium for EPO medical plan with highest enrollment: Employee + 4 children")</f>
        <v>Total monthly premium for EPO medical plan with highest enrollment: Employee + 4 children</v>
      </c>
      <c r="E95" s="6"/>
      <c r="F95" s="7"/>
      <c r="G95" s="6"/>
      <c r="H95" s="7"/>
      <c r="I95" s="96" t="str">
        <f>HYPERLINK("#'Other Benefits'!CQ1","Q5.2.72")</f>
        <v>Q5.2.72</v>
      </c>
      <c r="J95" s="93" t="str">
        <f>HYPERLINK("#'Other Benefits'!CQ2","Other criteria used to determine flat amount")</f>
        <v>Other criteria used to determine flat amount</v>
      </c>
      <c r="K95" s="3" t="str">
        <f>HYPERLINK("#'Healthcare'!CQ1","Q6.2.15_6")</f>
        <v>Q6.2.15_6</v>
      </c>
      <c r="L95" s="93" t="str">
        <f>HYPERLINK("#'Healthcare'!CQ2","Primary PPO medical plan out-of-network deductible per person: Chiropractic")</f>
        <v>Primary PPO medical plan out-of-network deductible per person: Chiropractic</v>
      </c>
      <c r="M95" s="6"/>
      <c r="N95" s="7"/>
      <c r="O95" s="96" t="str">
        <f>HYPERLINK("#'Trends &amp; Emerging Practices'!CQ1","Q8.7.7")</f>
        <v>Q8.7.7</v>
      </c>
      <c r="P95" s="93" t="str">
        <f>HYPERLINK("#'Trends &amp; Emerging Practices'!CQ2","Changes and/or enhancements considered for midwife, doula, or birth center coverage")</f>
        <v>Changes and/or enhancements considered for midwife, doula, or birth center coverage</v>
      </c>
      <c r="Q95" s="3" t="str">
        <f>HYPERLINK("#'Income Protection'!CQ1","Q9.5.3_3")</f>
        <v>Q9.5.3_3</v>
      </c>
      <c r="R95" s="4" t="str">
        <f>HYPERLINK("#'Income Protection'!CQ2","Part-time employee minimum weekly hour eligibility requirement for long term disability")</f>
        <v>Part-time employee minimum weekly hour eligibility requirement for long term disability</v>
      </c>
      <c r="S95" s="96" t="str">
        <f>HYPERLINK("#'Retirement, NQDC, Finances'!CQ1","Q10.4.4_8")</f>
        <v>Q10.4.4_8</v>
      </c>
      <c r="T95" s="93" t="str">
        <f>HYPERLINK("#'Retirement, NQDC, Finances'!CQ2","401(k) plan: Investments/number per fund type: Fixed income: high yield")</f>
        <v>401(k) plan: Investments/number per fund type: Fixed income: high yield</v>
      </c>
      <c r="U95" s="3" t="str">
        <f>HYPERLINK("#'Time Off'!CQ1","Q11.5.8_7")</f>
        <v>Q11.5.8_7</v>
      </c>
      <c r="V95" s="93" t="str">
        <f>HYPERLINK("#'Time Off'!CQ2","Sick time accrued and reported: Hourly (overtime eligible employees)")</f>
        <v>Sick time accrued and reported: Hourly (overtime eligible employees)</v>
      </c>
      <c r="W95" s="3" t="str">
        <f>HYPERLINK("#'Vendors'!CQ1","Q12.6.8_9_TEXT")</f>
        <v>Q12.6.8_9_TEXT</v>
      </c>
      <c r="X95" s="93" t="str">
        <f>HYPERLINK("#'Vendors'!CQ2","Other health care vendors employed: Cancer/genetic/genomic testing")</f>
        <v>Other health care vendors employed: Cancer/genetic/genomic testing</v>
      </c>
    </row>
    <row r="96" spans="1:24" ht="39" thickBot="1" x14ac:dyDescent="0.25">
      <c r="A96" s="5" t="str">
        <f>HYPERLINK("#'Company Overview'!CR1","Q1.7.7_1")</f>
        <v>Q1.7.7_1</v>
      </c>
      <c r="B96" s="93" t="str">
        <f>HYPERLINK("#'Company Overview'!CR2","Other goal for current year: First")</f>
        <v>Other goal for current year: First</v>
      </c>
      <c r="C96" s="96" t="str">
        <f>HYPERLINK("#'Enrollment, Eligib. &amp; Cost'!CR1","Q2.4.5_10")</f>
        <v>Q2.4.5_10</v>
      </c>
      <c r="D96" s="93" t="str">
        <f>HYPERLINK("#'Enrollment, Eligib. &amp; Cost'!CR2","Total monthly premium for EPO medical plan with highest enrollment: Employee + 5 children")</f>
        <v>Total monthly premium for EPO medical plan with highest enrollment: Employee + 5 children</v>
      </c>
      <c r="E96" s="6"/>
      <c r="F96" s="7"/>
      <c r="G96" s="6"/>
      <c r="H96" s="7"/>
      <c r="I96" s="96" t="str">
        <f>HYPERLINK("#'Other Benefits'!CR1","Q5.2.73")</f>
        <v>Q5.2.73</v>
      </c>
      <c r="J96" s="93" t="str">
        <f>HYPERLINK("#'Other Benefits'!CR2","Other type of lump-sum payment ")</f>
        <v xml:space="preserve">Other type of lump-sum payment </v>
      </c>
      <c r="K96" s="3" t="str">
        <f>HYPERLINK("#'Healthcare'!CR1","Q6.2.15_7")</f>
        <v>Q6.2.15_7</v>
      </c>
      <c r="L96" s="93" t="str">
        <f>HYPERLINK("#'Healthcare'!CR2","Primary PPO medical plan out-of-network deductible per person: Emergency room (true emergency)")</f>
        <v>Primary PPO medical plan out-of-network deductible per person: Emergency room (true emergency)</v>
      </c>
      <c r="M96" s="6"/>
      <c r="N96" s="7"/>
      <c r="O96" s="97" t="str">
        <f>HYPERLINK("#'Trends &amp; Emerging Practices'!CR1","Q8.8.2")</f>
        <v>Q8.8.2</v>
      </c>
      <c r="P96" s="94" t="str">
        <f>HYPERLINK("#'Trends &amp; Emerging Practices'!CR2","New emerging coverages or services being considered as offerings")</f>
        <v>New emerging coverages or services being considered as offerings</v>
      </c>
      <c r="Q96" s="3" t="str">
        <f>HYPERLINK("#'Income Protection'!CR1","Q9.5.3_4")</f>
        <v>Q9.5.3_4</v>
      </c>
      <c r="R96" s="4" t="str">
        <f>HYPERLINK("#'Income Protection'!CR2","Part-time employee minimum weekly hour eligibility requirement for business travel accident")</f>
        <v>Part-time employee minimum weekly hour eligibility requirement for business travel accident</v>
      </c>
      <c r="S96" s="96" t="str">
        <f>HYPERLINK("#'Retirement, NQDC, Finances'!CR1","Q10.4.4_9")</f>
        <v>Q10.4.4_9</v>
      </c>
      <c r="T96" s="93" t="str">
        <f>HYPERLINK("#'Retirement, NQDC, Finances'!CR2","401(k) plan: Investments/number per fund type: Company stock")</f>
        <v>401(k) plan: Investments/number per fund type: Company stock</v>
      </c>
      <c r="U96" s="3" t="str">
        <f>HYPERLINK("#'Time Off'!CR1","Q11.5.9_1")</f>
        <v>Q11.5.9_1</v>
      </c>
      <c r="V96" s="93" t="str">
        <f>HYPERLINK("#'Time Off'!CR2","Executives (C-suite): Required to report paid time off/vacation")</f>
        <v>Executives (C-suite): Required to report paid time off/vacation</v>
      </c>
      <c r="W96" s="3" t="str">
        <f>HYPERLINK("#'Vendors'!CR1","Q12.6.9")</f>
        <v>Q12.6.9</v>
      </c>
      <c r="X96" s="93" t="str">
        <f>HYPERLINK("#'Vendors'!CR2","Health care vendor(s) terminated in 2021")</f>
        <v>Health care vendor(s) terminated in 2021</v>
      </c>
    </row>
    <row r="97" spans="1:24" ht="38.25" x14ac:dyDescent="0.2">
      <c r="A97" s="5" t="str">
        <f>HYPERLINK("#'Company Overview'!CS1","Q1.7.7_2")</f>
        <v>Q1.7.7_2</v>
      </c>
      <c r="B97" s="93" t="str">
        <f>HYPERLINK("#'Company Overview'!CS2","Other goal for current year: Second")</f>
        <v>Other goal for current year: Second</v>
      </c>
      <c r="C97" s="96" t="str">
        <f>HYPERLINK("#'Enrollment, Eligib. &amp; Cost'!CS1","Q2.4.5_11")</f>
        <v>Q2.4.5_11</v>
      </c>
      <c r="D97" s="93" t="str">
        <f>HYPERLINK("#'Enrollment, Eligib. &amp; Cost'!CS2","Total monthly premium for EPO medical plan with highest enrollment: Family (employee + spouse/DP + dependent) with any child(ren)")</f>
        <v>Total monthly premium for EPO medical plan with highest enrollment: Family (employee + spouse/DP + dependent) with any child(ren)</v>
      </c>
      <c r="E97" s="6"/>
      <c r="F97" s="7"/>
      <c r="G97" s="6"/>
      <c r="H97" s="7"/>
      <c r="I97" s="96" t="str">
        <f>HYPERLINK("#'Other Benefits'!CS1","Q5.2.74")</f>
        <v>Q5.2.74</v>
      </c>
      <c r="J97" s="93" t="str">
        <f>HYPERLINK("#'Other Benefits'!CS2","Additional details regarding the flat amount payout")</f>
        <v>Additional details regarding the flat amount payout</v>
      </c>
      <c r="K97" s="3" t="str">
        <f>HYPERLINK("#'Healthcare'!CS1","Q6.2.15_8")</f>
        <v>Q6.2.15_8</v>
      </c>
      <c r="L97" s="93" t="str">
        <f>HYPERLINK("#'Healthcare'!CS2","Primary PPO medical plan out-of-network deductible per person: Emergency room (non-emergency)")</f>
        <v>Primary PPO medical plan out-of-network deductible per person: Emergency room (non-emergency)</v>
      </c>
      <c r="M97" s="6"/>
      <c r="N97" s="7"/>
      <c r="O97" s="87"/>
      <c r="P97" s="88"/>
      <c r="Q97" s="96" t="str">
        <f>HYPERLINK("#'Income Protection'!CS1","Q9.5.4_1")</f>
        <v>Q9.5.4_1</v>
      </c>
      <c r="R97" s="4" t="str">
        <f>HYPERLINK("#'Income Protection'!CS2","Percentage of salary paid to employees for Short-term disability elimination period (sick pay)")</f>
        <v>Percentage of salary paid to employees for Short-term disability elimination period (sick pay)</v>
      </c>
      <c r="S97" s="96" t="str">
        <f>HYPERLINK("#'Retirement, NQDC, Finances'!CS1","Q10.4.4_10")</f>
        <v>Q10.4.4_10</v>
      </c>
      <c r="T97" s="93" t="str">
        <f>HYPERLINK("#'Retirement, NQDC, Finances'!CS2","401(k) plan: Investments/number per fund type: Inflation protected security")</f>
        <v>401(k) plan: Investments/number per fund type: Inflation protected security</v>
      </c>
      <c r="U97" s="3" t="str">
        <f>HYPERLINK("#'Time Off'!CS1","Q11.5.9_2")</f>
        <v>Q11.5.9_2</v>
      </c>
      <c r="V97" s="93" t="str">
        <f>HYPERLINK("#'Time Off'!CS2","Presidents and vice-presidents: Required to report paid time off/vacation")</f>
        <v>Presidents and vice-presidents: Required to report paid time off/vacation</v>
      </c>
      <c r="W97" s="3" t="str">
        <f>HYPERLINK("#'Vendors'!CS1","Q12.6.10_1")</f>
        <v>Q12.6.10_1</v>
      </c>
      <c r="X97" s="93" t="str">
        <f>HYPERLINK("#'Vendors'!CS2","Terminated health care vendors: Medical")</f>
        <v>Terminated health care vendors: Medical</v>
      </c>
    </row>
    <row r="98" spans="1:24" ht="39" thickBot="1" x14ac:dyDescent="0.25">
      <c r="A98" s="95" t="str">
        <f>HYPERLINK("#'Company Overview'!CT1","Q1.7.7_3")</f>
        <v>Q1.7.7_3</v>
      </c>
      <c r="B98" s="94" t="str">
        <f>HYPERLINK("#'Company Overview'!CT2","Other goal for current year: Third")</f>
        <v>Other goal for current year: Third</v>
      </c>
      <c r="C98" s="96" t="str">
        <f>HYPERLINK("#'Enrollment, Eligib. &amp; Cost'!CT1","Q2.4.5_12")</f>
        <v>Q2.4.5_12</v>
      </c>
      <c r="D98" s="93" t="str">
        <f>HYPERLINK("#'Enrollment, Eligib. &amp; Cost'!CT2","Total monthly premium for EPO medical plan with highest enrollment: Family (employee + spouse/DP + dependent) with 1 child")</f>
        <v>Total monthly premium for EPO medical plan with highest enrollment: Family (employee + spouse/DP + dependent) with 1 child</v>
      </c>
      <c r="E98" s="6"/>
      <c r="F98" s="7"/>
      <c r="G98" s="6"/>
      <c r="H98" s="7"/>
      <c r="I98" s="96" t="str">
        <f>HYPERLINK("#'Other Benefits'!CT1","Q5.2.75")</f>
        <v>Q5.2.75</v>
      </c>
      <c r="J98" s="93" t="str">
        <f>HYPERLINK("#'Other Benefits'!CT2","Amount of employee's bonus paid to survivors")</f>
        <v>Amount of employee's bonus paid to survivors</v>
      </c>
      <c r="K98" s="3" t="str">
        <f>HYPERLINK("#'Healthcare'!CT1","Q6.2.15_9")</f>
        <v>Q6.2.15_9</v>
      </c>
      <c r="L98" s="93" t="str">
        <f>HYPERLINK("#'Healthcare'!CT2","Primary PPO medical plan out-of-network deductible per person: Emergency room (with hospital admittance)")</f>
        <v>Primary PPO medical plan out-of-network deductible per person: Emergency room (with hospital admittance)</v>
      </c>
      <c r="M98" s="6"/>
      <c r="N98" s="7"/>
      <c r="O98" s="6"/>
      <c r="P98" s="7"/>
      <c r="Q98" s="96" t="str">
        <f>HYPERLINK("#'Income Protection'!CT1","Q9.5.4_2")</f>
        <v>Q9.5.4_2</v>
      </c>
      <c r="R98" s="4" t="str">
        <f>HYPERLINK("#'Income Protection'!CT2","Percentage of salary paid to employees for Short-term disability")</f>
        <v>Percentage of salary paid to employees for Short-term disability</v>
      </c>
      <c r="S98" s="96" t="str">
        <f>HYPERLINK("#'Retirement, NQDC, Finances'!CT1","Q10.4.4_11")</f>
        <v>Q10.4.4_11</v>
      </c>
      <c r="T98" s="93" t="str">
        <f>HYPERLINK("#'Retirement, NQDC, Finances'!CT2","401(k) plan: Investments/number per fund type: Commodities")</f>
        <v>401(k) plan: Investments/number per fund type: Commodities</v>
      </c>
      <c r="U98" s="3" t="str">
        <f>HYPERLINK("#'Time Off'!CT1","Q11.5.9_3")</f>
        <v>Q11.5.9_3</v>
      </c>
      <c r="V98" s="93" t="str">
        <f>HYPERLINK("#'Time Off'!CT2","Directors: Required to report paid time off/vacation")</f>
        <v>Directors: Required to report paid time off/vacation</v>
      </c>
      <c r="W98" s="3" t="str">
        <f>HYPERLINK("#'Vendors'!CT1","Q12.6.10_2")</f>
        <v>Q12.6.10_2</v>
      </c>
      <c r="X98" s="93" t="str">
        <f>HYPERLINK("#'Vendors'!CT2","Terminated health care vendors: Pharmacy")</f>
        <v>Terminated health care vendors: Pharmacy</v>
      </c>
    </row>
    <row r="99" spans="1:24" ht="38.25" x14ac:dyDescent="0.2">
      <c r="A99" s="87"/>
      <c r="B99" s="88"/>
      <c r="C99" s="96" t="str">
        <f>HYPERLINK("#'Enrollment, Eligib. &amp; Cost'!CU1","Q2.4.5_13")</f>
        <v>Q2.4.5_13</v>
      </c>
      <c r="D99" s="93" t="str">
        <f>HYPERLINK("#'Enrollment, Eligib. &amp; Cost'!CU2","Total monthly premium for EPO medical plan with highest enrollment: Family (employee + spouse/DP + dependent) with 2 child(ren)")</f>
        <v>Total monthly premium for EPO medical plan with highest enrollment: Family (employee + spouse/DP + dependent) with 2 child(ren)</v>
      </c>
      <c r="E99" s="6"/>
      <c r="F99" s="7"/>
      <c r="G99" s="6"/>
      <c r="H99" s="7"/>
      <c r="I99" s="96" t="str">
        <f>HYPERLINK("#'Other Benefits'!CU1","Q5.2.76")</f>
        <v>Q5.2.76</v>
      </c>
      <c r="J99" s="93" t="str">
        <f>HYPERLINK("#'Other Benefits'!CU2","Other amount of employee's bonus paid to survivors")</f>
        <v>Other amount of employee's bonus paid to survivors</v>
      </c>
      <c r="K99" s="3" t="str">
        <f>HYPERLINK("#'Healthcare'!CU1","Q6.2.15_10")</f>
        <v>Q6.2.15_10</v>
      </c>
      <c r="L99" s="93" t="str">
        <f>HYPERLINK("#'Healthcare'!CU2","Primary PPO medical plan out-of-network deductible per person: In-patient hospital")</f>
        <v>Primary PPO medical plan out-of-network deductible per person: In-patient hospital</v>
      </c>
      <c r="M99" s="6"/>
      <c r="N99" s="7"/>
      <c r="O99" s="6"/>
      <c r="P99" s="7"/>
      <c r="Q99" s="96" t="str">
        <f>HYPERLINK("#'Income Protection'!CU1","Q9.5.4_3")</f>
        <v>Q9.5.4_3</v>
      </c>
      <c r="R99" s="4" t="str">
        <f>HYPERLINK("#'Income Protection'!CU2","Percentage of salary paid to employees for long term disability - basic/employer paid")</f>
        <v>Percentage of salary paid to employees for long term disability - basic/employer paid</v>
      </c>
      <c r="S99" s="96" t="str">
        <f>HYPERLINK("#'Retirement, NQDC, Finances'!CU1","Q10.4.4_12")</f>
        <v>Q10.4.4_12</v>
      </c>
      <c r="T99" s="93" t="str">
        <f>HYPERLINK("#'Retirement, NQDC, Finances'!CU2","401(k) plan: Investments/number per fund type: Real estate")</f>
        <v>401(k) plan: Investments/number per fund type: Real estate</v>
      </c>
      <c r="U99" s="3" t="str">
        <f>HYPERLINK("#'Time Off'!CU1","Q11.5.9_4")</f>
        <v>Q11.5.9_4</v>
      </c>
      <c r="V99" s="93" t="str">
        <f>HYPERLINK("#'Time Off'!CU2","Managers: Required to report paid time off/vacation")</f>
        <v>Managers: Required to report paid time off/vacation</v>
      </c>
      <c r="W99" s="3" t="str">
        <f>HYPERLINK("#'Vendors'!CU1","Q12.6.10_3")</f>
        <v>Q12.6.10_3</v>
      </c>
      <c r="X99" s="93" t="str">
        <f>HYPERLINK("#'Vendors'!CU2","Terminated health care vendors: Mental/behavioral Health")</f>
        <v>Terminated health care vendors: Mental/behavioral Health</v>
      </c>
    </row>
    <row r="100" spans="1:24" ht="38.25" x14ac:dyDescent="0.2">
      <c r="A100" s="87"/>
      <c r="B100" s="88"/>
      <c r="C100" s="96" t="str">
        <f>HYPERLINK("#'Enrollment, Eligib. &amp; Cost'!CV1","Q2.4.5_14")</f>
        <v>Q2.4.5_14</v>
      </c>
      <c r="D100" s="93" t="str">
        <f>HYPERLINK("#'Enrollment, Eligib. &amp; Cost'!CV2","Total monthly premium for EPO medical plan with highest enrollment: Family (employee + spouse/DP + dependent) with 3 child(ren)")</f>
        <v>Total monthly premium for EPO medical plan with highest enrollment: Family (employee + spouse/DP + dependent) with 3 child(ren)</v>
      </c>
      <c r="E100" s="6"/>
      <c r="F100" s="7"/>
      <c r="G100" s="6"/>
      <c r="H100" s="7"/>
      <c r="I100" s="96" t="str">
        <f>HYPERLINK("#'Other Benefits'!CV1","Q5.2.77")</f>
        <v>Q5.2.77</v>
      </c>
      <c r="J100" s="93" t="str">
        <f>HYPERLINK("#'Other Benefits'!CV2","Amount of additional salary paid to survivors")</f>
        <v>Amount of additional salary paid to survivors</v>
      </c>
      <c r="K100" s="3" t="str">
        <f>HYPERLINK("#'Healthcare'!CV1","Q6.2.15_11")</f>
        <v>Q6.2.15_11</v>
      </c>
      <c r="L100" s="93" t="str">
        <f>HYPERLINK("#'Healthcare'!CV2","Primary PPO medical plan out-of-network deductible per person: Mental health/substance abuse")</f>
        <v>Primary PPO medical plan out-of-network deductible per person: Mental health/substance abuse</v>
      </c>
      <c r="M100" s="6"/>
      <c r="N100" s="7"/>
      <c r="O100" s="6"/>
      <c r="P100" s="7"/>
      <c r="Q100" s="96" t="str">
        <f>HYPERLINK("#'Income Protection'!CV1","Q9.5.5")</f>
        <v>Q9.5.5</v>
      </c>
      <c r="R100" s="4" t="str">
        <f>HYPERLINK("#'Income Protection'!CV2","Disability benefit payments clarification")</f>
        <v>Disability benefit payments clarification</v>
      </c>
      <c r="S100" s="96" t="str">
        <f>HYPERLINK("#'Retirement, NQDC, Finances'!CV1","Q10.4.4_13")</f>
        <v>Q10.4.4_13</v>
      </c>
      <c r="T100" s="93" t="str">
        <f>HYPERLINK("#'Retirement, NQDC, Finances'!CV2","401(k) plan: Investments/number per fund type: Energy")</f>
        <v>401(k) plan: Investments/number per fund type: Energy</v>
      </c>
      <c r="U100" s="3" t="str">
        <f>HYPERLINK("#'Time Off'!CV1","Q11.5.9_5")</f>
        <v>Q11.5.9_5</v>
      </c>
      <c r="V100" s="93" t="str">
        <f>HYPERLINK("#'Time Off'!CV2","Supervisors: Required to report paid time off/vacation")</f>
        <v>Supervisors: Required to report paid time off/vacation</v>
      </c>
      <c r="W100" s="3" t="str">
        <f>HYPERLINK("#'Vendors'!CV1","Q12.6.10_4")</f>
        <v>Q12.6.10_4</v>
      </c>
      <c r="X100" s="93" t="str">
        <f>HYPERLINK("#'Vendors'!CV2","Terminated health care vendors: Dental")</f>
        <v>Terminated health care vendors: Dental</v>
      </c>
    </row>
    <row r="101" spans="1:24" ht="38.25" x14ac:dyDescent="0.2">
      <c r="A101" s="87"/>
      <c r="B101" s="88"/>
      <c r="C101" s="96" t="str">
        <f>HYPERLINK("#'Enrollment, Eligib. &amp; Cost'!CW1","Q2.4.5_15")</f>
        <v>Q2.4.5_15</v>
      </c>
      <c r="D101" s="93" t="str">
        <f>HYPERLINK("#'Enrollment, Eligib. &amp; Cost'!CW2","Total monthly premium for EPO medical plan with highest enrollment: Family (employee + spouse/DP + dependent) with 4 child(ren)")</f>
        <v>Total monthly premium for EPO medical plan with highest enrollment: Family (employee + spouse/DP + dependent) with 4 child(ren)</v>
      </c>
      <c r="E101" s="6"/>
      <c r="F101" s="7"/>
      <c r="G101" s="6"/>
      <c r="H101" s="7"/>
      <c r="I101" s="96" t="str">
        <f>HYPERLINK("#'Other Benefits'!CW1","Q5.2.78")</f>
        <v>Q5.2.78</v>
      </c>
      <c r="J101" s="93" t="str">
        <f>HYPERLINK("#'Other Benefits'!CW2","Length of time financial advisory services are provided")</f>
        <v>Length of time financial advisory services are provided</v>
      </c>
      <c r="K101" s="3" t="str">
        <f>HYPERLINK("#'Healthcare'!CW1","Q6.2.15_12")</f>
        <v>Q6.2.15_12</v>
      </c>
      <c r="L101" s="93" t="str">
        <f>HYPERLINK("#'Healthcare'!CW2","Primary PPO medical plan out-of-network deductible per person: Out-patient surgical center")</f>
        <v>Primary PPO medical plan out-of-network deductible per person: Out-patient surgical center</v>
      </c>
      <c r="M101" s="6"/>
      <c r="N101" s="7"/>
      <c r="O101" s="6"/>
      <c r="P101" s="7"/>
      <c r="Q101" s="96" t="str">
        <f>HYPERLINK("#'Income Protection'!CW1","Q9.5.6_1")</f>
        <v>Q9.5.6_1</v>
      </c>
      <c r="R101" s="4" t="str">
        <f>HYPERLINK("#'Income Protection'!CW2","Short-term disability elimination period (sick pay) duration (number of days)")</f>
        <v>Short-term disability elimination period (sick pay) duration (number of days)</v>
      </c>
      <c r="S101" s="96" t="str">
        <f>HYPERLINK("#'Retirement, NQDC, Finances'!CW1","Q10.4.4_14")</f>
        <v>Q10.4.4_14</v>
      </c>
      <c r="T101" s="93" t="str">
        <f>HYPERLINK("#'Retirement, NQDC, Finances'!CW2","401(k) plan: Investments/number per fund type: Hedge fund")</f>
        <v>401(k) plan: Investments/number per fund type: Hedge fund</v>
      </c>
      <c r="U101" s="3" t="str">
        <f>HYPERLINK("#'Time Off'!CW1","Q11.5.9_6")</f>
        <v>Q11.5.9_6</v>
      </c>
      <c r="V101" s="93" t="str">
        <f>HYPERLINK("#'Time Off'!CW2","Salaried (non-overtime eligible employees): Required to report paid time off/vacation")</f>
        <v>Salaried (non-overtime eligible employees): Required to report paid time off/vacation</v>
      </c>
      <c r="W101" s="3" t="str">
        <f>HYPERLINK("#'Vendors'!CW1","Q12.6.10_5")</f>
        <v>Q12.6.10_5</v>
      </c>
      <c r="X101" s="93" t="str">
        <f>HYPERLINK("#'Vendors'!CW2","Terminated health care vendors: Vision")</f>
        <v>Terminated health care vendors: Vision</v>
      </c>
    </row>
    <row r="102" spans="1:24" ht="38.25" x14ac:dyDescent="0.2">
      <c r="A102" s="87"/>
      <c r="B102" s="88"/>
      <c r="C102" s="96" t="str">
        <f>HYPERLINK("#'Enrollment, Eligib. &amp; Cost'!CX1","Q2.4.5_16")</f>
        <v>Q2.4.5_16</v>
      </c>
      <c r="D102" s="93" t="str">
        <f>HYPERLINK("#'Enrollment, Eligib. &amp; Cost'!CX2","Total monthly premium for EPO medical plan with highest enrollment: Family (employee + spouse/DP + dependent) with 5 child(ren)")</f>
        <v>Total monthly premium for EPO medical plan with highest enrollment: Family (employee + spouse/DP + dependent) with 5 child(ren)</v>
      </c>
      <c r="E102" s="6"/>
      <c r="F102" s="7"/>
      <c r="G102" s="6"/>
      <c r="H102" s="7"/>
      <c r="I102" s="96" t="str">
        <f>HYPERLINK("#'Other Benefits'!CX1","Q5.2.79")</f>
        <v>Q5.2.79</v>
      </c>
      <c r="J102" s="93" t="str">
        <f>HYPERLINK("#'Other Benefits'!CX2","Types of financial advisory support provided")</f>
        <v>Types of financial advisory support provided</v>
      </c>
      <c r="K102" s="3" t="str">
        <f>HYPERLINK("#'Healthcare'!CX1","Q6.2.15_13")</f>
        <v>Q6.2.15_13</v>
      </c>
      <c r="L102" s="93" t="str">
        <f>HYPERLINK("#'Healthcare'!CX2","Primary PPO medical plan out-of-network deductible per person: Prescription drugs (preventive)")</f>
        <v>Primary PPO medical plan out-of-network deductible per person: Prescription drugs (preventive)</v>
      </c>
      <c r="M102" s="6"/>
      <c r="N102" s="7"/>
      <c r="O102" s="6"/>
      <c r="P102" s="7"/>
      <c r="Q102" s="96" t="str">
        <f>HYPERLINK("#'Income Protection'!CX1","Q9.5.6_2")</f>
        <v>Q9.5.6_2</v>
      </c>
      <c r="R102" s="4" t="str">
        <f>HYPERLINK("#'Income Protection'!CX2","Short-term disability duration (number of days)")</f>
        <v>Short-term disability duration (number of days)</v>
      </c>
      <c r="S102" s="96" t="str">
        <f>HYPERLINK("#'Retirement, NQDC, Finances'!CX1","Q10.4.4_15")</f>
        <v>Q10.4.4_15</v>
      </c>
      <c r="T102" s="93" t="str">
        <f>HYPERLINK("#'Retirement, NQDC, Finances'!CX2","401(k) plan: Investments/number per fund type: Private equity")</f>
        <v>401(k) plan: Investments/number per fund type: Private equity</v>
      </c>
      <c r="U102" s="3" t="str">
        <f>HYPERLINK("#'Time Off'!CX1","Q11.5.9_7")</f>
        <v>Q11.5.9_7</v>
      </c>
      <c r="V102" s="93" t="str">
        <f>HYPERLINK("#'Time Off'!CX2","Hourly (overtime eligible employees): Required to report paid time off/vacation")</f>
        <v>Hourly (overtime eligible employees): Required to report paid time off/vacation</v>
      </c>
      <c r="W102" s="3" t="str">
        <f>HYPERLINK("#'Vendors'!CX1","Q12.6.10_6")</f>
        <v>Q12.6.10_6</v>
      </c>
      <c r="X102" s="93" t="str">
        <f>HYPERLINK("#'Vendors'!CX2","Terminated health care vendors: Stop loss")</f>
        <v>Terminated health care vendors: Stop loss</v>
      </c>
    </row>
    <row r="103" spans="1:24" ht="38.25" x14ac:dyDescent="0.2">
      <c r="A103" s="87"/>
      <c r="B103" s="88"/>
      <c r="C103" s="96" t="str">
        <f>HYPERLINK("#'Enrollment, Eligib. &amp; Cost'!CY1","Q2.4.6")</f>
        <v>Q2.4.6</v>
      </c>
      <c r="D103" s="93" t="str">
        <f>HYPERLINK("#'Enrollment, Eligib. &amp; Cost'!CY2","Percentage of EPO medical plan premium paid by company")</f>
        <v>Percentage of EPO medical plan premium paid by company</v>
      </c>
      <c r="E103" s="6"/>
      <c r="F103" s="7"/>
      <c r="G103" s="6"/>
      <c r="H103" s="7"/>
      <c r="I103" s="96" t="str">
        <f>HYPERLINK("#'Other Benefits'!CY1","Q5.2.80")</f>
        <v>Q5.2.80</v>
      </c>
      <c r="J103" s="93" t="str">
        <f>HYPERLINK("#'Other Benefits'!CY2","Other types of financial advisory support provided")</f>
        <v>Other types of financial advisory support provided</v>
      </c>
      <c r="K103" s="3" t="str">
        <f>HYPERLINK("#'Healthcare'!CY1","Q6.2.15_14")</f>
        <v>Q6.2.15_14</v>
      </c>
      <c r="L103" s="93" t="str">
        <f>HYPERLINK("#'Healthcare'!CY2","Primary PPO medical plan out-of-network deductible per person: Prescription drugs (non-preventive)")</f>
        <v>Primary PPO medical plan out-of-network deductible per person: Prescription drugs (non-preventive)</v>
      </c>
      <c r="M103" s="6"/>
      <c r="N103" s="7"/>
      <c r="O103" s="6"/>
      <c r="P103" s="7"/>
      <c r="Q103" s="96" t="str">
        <f>HYPERLINK("#'Income Protection'!CY1","Q9.5.6_3")</f>
        <v>Q9.5.6_3</v>
      </c>
      <c r="R103" s="4" t="str">
        <f>HYPERLINK("#'Income Protection'!CY2","Long-term disability elimination period duration (number of days)")</f>
        <v>Long-term disability elimination period duration (number of days)</v>
      </c>
      <c r="S103" s="96" t="str">
        <f>HYPERLINK("#'Retirement, NQDC, Finances'!CY1","Q10.4.4_16")</f>
        <v>Q10.4.4_16</v>
      </c>
      <c r="T103" s="93" t="str">
        <f>HYPERLINK("#'Retirement, NQDC, Finances'!CY2","401(k) plan: Investments/number per fund type: Large cap blend")</f>
        <v>401(k) plan: Investments/number per fund type: Large cap blend</v>
      </c>
      <c r="U103" s="3" t="str">
        <f>HYPERLINK("#'Time Off'!CY1","Q11.6.3")</f>
        <v>Q11.6.3</v>
      </c>
      <c r="V103" s="93" t="str">
        <f>HYPERLINK("#'Time Off'!CY2","Parental leave policy in place")</f>
        <v>Parental leave policy in place</v>
      </c>
      <c r="W103" s="3" t="str">
        <f>HYPERLINK("#'Vendors'!CY1","Q12.7.2")</f>
        <v>Q12.7.2</v>
      </c>
      <c r="X103" s="93" t="str">
        <f>HYPERLINK("#'Vendors'!CY2","Miscellaneous health care vendors employed: Expert medical second opinion")</f>
        <v>Miscellaneous health care vendors employed: Expert medical second opinion</v>
      </c>
    </row>
    <row r="104" spans="1:24" ht="38.25" x14ac:dyDescent="0.2">
      <c r="A104" s="87"/>
      <c r="B104" s="88"/>
      <c r="C104" s="96" t="str">
        <f>HYPERLINK("#'Enrollment, Eligib. &amp; Cost'!CZ1","Q2.4.7_1")</f>
        <v>Q2.4.7_1</v>
      </c>
      <c r="D104" s="93" t="str">
        <f>HYPERLINK("#'Enrollment, Eligib. &amp; Cost'!CZ2","Total monthly premium for HDHP/HSA medical plan with highest enrollment: Waive or opt out")</f>
        <v>Total monthly premium for HDHP/HSA medical plan with highest enrollment: Waive or opt out</v>
      </c>
      <c r="E104" s="6"/>
      <c r="F104" s="7"/>
      <c r="G104" s="6"/>
      <c r="H104" s="7"/>
      <c r="I104" s="96" t="str">
        <f>HYPERLINK("#'Other Benefits'!CZ1","Q5.2.81")</f>
        <v>Q5.2.81</v>
      </c>
      <c r="J104" s="93" t="str">
        <f>HYPERLINK("#'Other Benefits'!CZ2","Payer of the financial advisory services")</f>
        <v>Payer of the financial advisory services</v>
      </c>
      <c r="K104" s="3" t="str">
        <f>HYPERLINK("#'Healthcare'!CZ1","Q6.2.15_15")</f>
        <v>Q6.2.15_15</v>
      </c>
      <c r="L104" s="93" t="str">
        <f>HYPERLINK("#'Healthcare'!CZ2","Primary PPO medical plan out-of-network deductible per person: Therapies (speech, PT, OT)")</f>
        <v>Primary PPO medical plan out-of-network deductible per person: Therapies (speech, PT, OT)</v>
      </c>
      <c r="M104" s="6"/>
      <c r="N104" s="7"/>
      <c r="O104" s="6"/>
      <c r="P104" s="7"/>
      <c r="Q104" s="96" t="str">
        <f>HYPERLINK("#'Income Protection'!CZ1","Q9.5.7_1")</f>
        <v>Q9.5.7_1</v>
      </c>
      <c r="R104" s="4" t="str">
        <f>HYPERLINK("#'Income Protection'!CZ2","Short-term disability elimination period (sick pay) monthly benefit maximum")</f>
        <v>Short-term disability elimination period (sick pay) monthly benefit maximum</v>
      </c>
      <c r="S104" s="96" t="str">
        <f>HYPERLINK("#'Retirement, NQDC, Finances'!CZ1","Q10.4.4_17")</f>
        <v>Q10.4.4_17</v>
      </c>
      <c r="T104" s="93" t="str">
        <f>HYPERLINK("#'Retirement, NQDC, Finances'!CZ2","401(k) plan: Investments/number per fund type: Large cap index")</f>
        <v>401(k) plan: Investments/number per fund type: Large cap index</v>
      </c>
      <c r="U104" s="3" t="str">
        <f>HYPERLINK("#'Time Off'!CZ1","Q11.6.4")</f>
        <v>Q11.6.4</v>
      </c>
      <c r="V104" s="93" t="str">
        <f>HYPERLINK("#'Time Off'!CZ2","Parental leave paid or unpaid")</f>
        <v>Parental leave paid or unpaid</v>
      </c>
      <c r="W104" s="3" t="str">
        <f>HYPERLINK("#'Vendors'!CZ1","Q12.7.2_25_TEXT")</f>
        <v>Q12.7.2_25_TEXT</v>
      </c>
      <c r="X104" s="93" t="str">
        <f>HYPERLINK("#'Vendors'!CZ2","Other miscellaneous health care vendors employed: Expert medical second opinion")</f>
        <v>Other miscellaneous health care vendors employed: Expert medical second opinion</v>
      </c>
    </row>
    <row r="105" spans="1:24" ht="25.5" x14ac:dyDescent="0.2">
      <c r="A105" s="87"/>
      <c r="B105" s="88"/>
      <c r="C105" s="96" t="str">
        <f>HYPERLINK("#'Enrollment, Eligib. &amp; Cost'!DA1","Q2.4.7_2")</f>
        <v>Q2.4.7_2</v>
      </c>
      <c r="D105" s="93" t="str">
        <f>HYPERLINK("#'Enrollment, Eligib. &amp; Cost'!DA2","Total monthly premium for HDHP/HSA medical plan with highest enrollment: Employee only")</f>
        <v>Total monthly premium for HDHP/HSA medical plan with highest enrollment: Employee only</v>
      </c>
      <c r="E105" s="6"/>
      <c r="F105" s="7"/>
      <c r="G105" s="6"/>
      <c r="H105" s="7"/>
      <c r="I105" s="96" t="str">
        <f>HYPERLINK("#'Other Benefits'!DA1","Q5.2.82")</f>
        <v>Q5.2.82</v>
      </c>
      <c r="J105" s="93" t="str">
        <f>HYPERLINK("#'Other Benefits'!DA2","Types of services beyond EAP provided")</f>
        <v>Types of services beyond EAP provided</v>
      </c>
      <c r="K105" s="3" t="str">
        <f>HYPERLINK("#'Healthcare'!DA1","Q6.2.15_16")</f>
        <v>Q6.2.15_16</v>
      </c>
      <c r="L105" s="93" t="str">
        <f>HYPERLINK("#'Healthcare'!DA2","Primary PPO medical plan out-of-network deductible per person: Other")</f>
        <v>Primary PPO medical plan out-of-network deductible per person: Other</v>
      </c>
      <c r="M105" s="6"/>
      <c r="N105" s="7"/>
      <c r="O105" s="6"/>
      <c r="P105" s="7"/>
      <c r="Q105" s="96" t="str">
        <f>HYPERLINK("#'Income Protection'!DA1","Q9.5.7_2")</f>
        <v>Q9.5.7_2</v>
      </c>
      <c r="R105" s="4" t="str">
        <f>HYPERLINK("#'Income Protection'!DA2","Short-term disability monthly benefit maximum")</f>
        <v>Short-term disability monthly benefit maximum</v>
      </c>
      <c r="S105" s="96" t="str">
        <f>HYPERLINK("#'Retirement, NQDC, Finances'!DA1","Q10.4.4_18")</f>
        <v>Q10.4.4_18</v>
      </c>
      <c r="T105" s="93" t="str">
        <f>HYPERLINK("#'Retirement, NQDC, Finances'!DA2","401(k) plan: Investments/number per fund type: Large cap value")</f>
        <v>401(k) plan: Investments/number per fund type: Large cap value</v>
      </c>
      <c r="U105" s="3" t="str">
        <f>HYPERLINK("#'Time Off'!DA1","Q11.6.5")</f>
        <v>Q11.6.5</v>
      </c>
      <c r="V105" s="93" t="str">
        <f>HYPERLINK("#'Time Off'!DA2","Care types covered by company's parental leave policy")</f>
        <v>Care types covered by company's parental leave policy</v>
      </c>
      <c r="W105" s="3" t="str">
        <f>HYPERLINK("#'Vendors'!DA1","Q12.7.3")</f>
        <v>Q12.7.3</v>
      </c>
      <c r="X105" s="93" t="str">
        <f>HYPERLINK("#'Vendors'!DA2","Miscellaneous health care vendors employed: Employee advocate")</f>
        <v>Miscellaneous health care vendors employed: Employee advocate</v>
      </c>
    </row>
    <row r="106" spans="1:24" ht="38.25" x14ac:dyDescent="0.2">
      <c r="A106" s="87"/>
      <c r="B106" s="88"/>
      <c r="C106" s="96" t="str">
        <f>HYPERLINK("#'Enrollment, Eligib. &amp; Cost'!DB1","Q2.4.7_3")</f>
        <v>Q2.4.7_3</v>
      </c>
      <c r="D106" s="93" t="str">
        <f>HYPERLINK("#'Enrollment, Eligib. &amp; Cost'!DB2","Total monthly premium for HDHP/HSA medical plan with highest enrollment: Employee + spouse/DP")</f>
        <v>Total monthly premium for HDHP/HSA medical plan with highest enrollment: Employee + spouse/DP</v>
      </c>
      <c r="E106" s="6"/>
      <c r="F106" s="7"/>
      <c r="G106" s="6"/>
      <c r="H106" s="7"/>
      <c r="I106" s="96" t="str">
        <f>HYPERLINK("#'Other Benefits'!DB1","Q5.2.83")</f>
        <v>Q5.2.83</v>
      </c>
      <c r="J106" s="93" t="str">
        <f>HYPERLINK("#'Other Benefits'!DB2","Other services provided")</f>
        <v>Other services provided</v>
      </c>
      <c r="K106" s="3" t="str">
        <f>HYPERLINK("#'Healthcare'!DB1","Q6.2.16_1")</f>
        <v>Q6.2.16_1</v>
      </c>
      <c r="L106" s="93" t="str">
        <f>HYPERLINK("#'Healthcare'!DB2","Primary PPO medical plan out-of-network deductible per family: Not applicable - no separate deductibles")</f>
        <v>Primary PPO medical plan out-of-network deductible per family: Not applicable - no separate deductibles</v>
      </c>
      <c r="M106" s="6"/>
      <c r="N106" s="7"/>
      <c r="O106" s="6"/>
      <c r="P106" s="7"/>
      <c r="Q106" s="96" t="str">
        <f>HYPERLINK("#'Income Protection'!DB1","Q9.5.7_3")</f>
        <v>Q9.5.7_3</v>
      </c>
      <c r="R106" s="4" t="str">
        <f>HYPERLINK("#'Income Protection'!DB2","Basic/employer paid long term disability monthly benefit maximum")</f>
        <v>Basic/employer paid long term disability monthly benefit maximum</v>
      </c>
      <c r="S106" s="96" t="str">
        <f>HYPERLINK("#'Retirement, NQDC, Finances'!DB1","Q10.4.4_19")</f>
        <v>Q10.4.4_19</v>
      </c>
      <c r="T106" s="93" t="str">
        <f>HYPERLINK("#'Retirement, NQDC, Finances'!DB2","401(k) plan: Investments/number per fund type: Large cap growth")</f>
        <v>401(k) plan: Investments/number per fund type: Large cap growth</v>
      </c>
      <c r="U106" s="3" t="str">
        <f>HYPERLINK("#'Time Off'!DB1","Q11.6.6_1")</f>
        <v>Q11.6.6_1</v>
      </c>
      <c r="V106" s="93" t="str">
        <f>HYPERLINK("#'Time Off'!DB2","Weeks offered for parental leave (primary caretaker) following any maternity disability related time off: Newborn")</f>
        <v>Weeks offered for parental leave (primary caretaker) following any maternity disability related time off: Newborn</v>
      </c>
      <c r="W106" s="3" t="str">
        <f>HYPERLINK("#'Vendors'!DB1","Q12.7.3_25_TEXT")</f>
        <v>Q12.7.3_25_TEXT</v>
      </c>
      <c r="X106" s="93" t="str">
        <f>HYPERLINK("#'Vendors'!DB2","Other miscellaneous health care vendors employed: Employee advocate")</f>
        <v>Other miscellaneous health care vendors employed: Employee advocate</v>
      </c>
    </row>
    <row r="107" spans="1:24" ht="38.25" x14ac:dyDescent="0.2">
      <c r="A107" s="87"/>
      <c r="B107" s="88"/>
      <c r="C107" s="96" t="str">
        <f>HYPERLINK("#'Enrollment, Eligib. &amp; Cost'!DC1","Q2.4.7_4")</f>
        <v>Q2.4.7_4</v>
      </c>
      <c r="D107" s="93" t="str">
        <f>HYPERLINK("#'Enrollment, Eligib. &amp; Cost'!DC2","Total monthly premium for HDHP/HSA medical plan with highest enrollment: Employee + spouse/DP or child(ren)")</f>
        <v>Total monthly premium for HDHP/HSA medical plan with highest enrollment: Employee + spouse/DP or child(ren)</v>
      </c>
      <c r="E107" s="6"/>
      <c r="F107" s="7"/>
      <c r="G107" s="6"/>
      <c r="H107" s="7"/>
      <c r="I107" s="96" t="str">
        <f>HYPERLINK("#'Other Benefits'!DC1","Q5.2.84")</f>
        <v>Q5.2.84</v>
      </c>
      <c r="J107" s="93" t="str">
        <f>HYPERLINK("#'Other Benefits'!DC2","Length additional services provided")</f>
        <v>Length additional services provided</v>
      </c>
      <c r="K107" s="3" t="str">
        <f>HYPERLINK("#'Healthcare'!DC1","Q6.2.16_5")</f>
        <v>Q6.2.16_5</v>
      </c>
      <c r="L107" s="93" t="str">
        <f>HYPERLINK("#'Healthcare'!DC2","Primary PPO medical plan out-of-network deductible per family: Acupuncture")</f>
        <v>Primary PPO medical plan out-of-network deductible per family: Acupuncture</v>
      </c>
      <c r="M107" s="6"/>
      <c r="N107" s="7"/>
      <c r="O107" s="6"/>
      <c r="P107" s="7"/>
      <c r="Q107" s="96" t="str">
        <f>HYPERLINK("#'Income Protection'!DC1","Q9.5.7_4")</f>
        <v>Q9.5.7_4</v>
      </c>
      <c r="R107" s="4" t="str">
        <f>HYPERLINK("#'Income Protection'!DC2","Buy up/supplemental long term disability monthly benefit maximum")</f>
        <v>Buy up/supplemental long term disability monthly benefit maximum</v>
      </c>
      <c r="S107" s="96" t="str">
        <f>HYPERLINK("#'Retirement, NQDC, Finances'!DC1","Q10.4.4_20")</f>
        <v>Q10.4.4_20</v>
      </c>
      <c r="T107" s="93" t="str">
        <f>HYPERLINK("#'Retirement, NQDC, Finances'!DC2","401(k) plan: Investments/number per fund type: Mid cap blend")</f>
        <v>401(k) plan: Investments/number per fund type: Mid cap blend</v>
      </c>
      <c r="U107" s="3" t="str">
        <f>HYPERLINK("#'Time Off'!DC1","Q11.6.6_2")</f>
        <v>Q11.6.6_2</v>
      </c>
      <c r="V107" s="93" t="str">
        <f>HYPERLINK("#'Time Off'!DC2","Weeks offered for parental leave (primary caretaker) following any maternity disability related time off: Adoption")</f>
        <v>Weeks offered for parental leave (primary caretaker) following any maternity disability related time off: Adoption</v>
      </c>
      <c r="W107" s="3" t="str">
        <f>HYPERLINK("#'Vendors'!DC1","Q12.7.4")</f>
        <v>Q12.7.4</v>
      </c>
      <c r="X107" s="93" t="str">
        <f>HYPERLINK("#'Vendors'!DC2","Miscellaneous health care vendors employed: Disease management")</f>
        <v>Miscellaneous health care vendors employed: Disease management</v>
      </c>
    </row>
    <row r="108" spans="1:24" ht="38.25" x14ac:dyDescent="0.2">
      <c r="A108" s="87"/>
      <c r="B108" s="88"/>
      <c r="C108" s="96" t="str">
        <f>HYPERLINK("#'Enrollment, Eligib. &amp; Cost'!DD1","Q2.4.7_5")</f>
        <v>Q2.4.7_5</v>
      </c>
      <c r="D108" s="93" t="str">
        <f>HYPERLINK("#'Enrollment, Eligib. &amp; Cost'!DD2","Total monthly premium for HDHP/HSA medical plan with highest enrollment: Employee + any child(ren)")</f>
        <v>Total monthly premium for HDHP/HSA medical plan with highest enrollment: Employee + any child(ren)</v>
      </c>
      <c r="E108" s="6"/>
      <c r="F108" s="7"/>
      <c r="G108" s="6"/>
      <c r="H108" s="7"/>
      <c r="I108" s="96" t="str">
        <f>HYPERLINK("#'Other Benefits'!DD1","Q5.2.85")</f>
        <v>Q5.2.85</v>
      </c>
      <c r="J108" s="93" t="str">
        <f>HYPERLINK("#'Other Benefits'!DD2","Other duration additional services provided")</f>
        <v>Other duration additional services provided</v>
      </c>
      <c r="K108" s="3" t="str">
        <f>HYPERLINK("#'Healthcare'!DD1","Q6.2.16_6")</f>
        <v>Q6.2.16_6</v>
      </c>
      <c r="L108" s="93" t="str">
        <f>HYPERLINK("#'Healthcare'!DD2","Primary PPO medical plan out-of-network deductible per family: Chiropractic")</f>
        <v>Primary PPO medical plan out-of-network deductible per family: Chiropractic</v>
      </c>
      <c r="M108" s="6"/>
      <c r="N108" s="7"/>
      <c r="O108" s="6"/>
      <c r="P108" s="7"/>
      <c r="Q108" s="96" t="str">
        <f>HYPERLINK("#'Income Protection'!DD1","Q9.5.7_5")</f>
        <v>Q9.5.7_5</v>
      </c>
      <c r="R108" s="4" t="str">
        <f>HYPERLINK("#'Income Protection'!DD2","Additional buy up/supplemental long term disability (if more than one applies) monthly benefit maximum")</f>
        <v>Additional buy up/supplemental long term disability (if more than one applies) monthly benefit maximum</v>
      </c>
      <c r="S108" s="96" t="str">
        <f>HYPERLINK("#'Retirement, NQDC, Finances'!DD1","Q10.4.4_21")</f>
        <v>Q10.4.4_21</v>
      </c>
      <c r="T108" s="93" t="str">
        <f>HYPERLINK("#'Retirement, NQDC, Finances'!DD2","401(k) plan: Investments/number per fund type: Mid cap index")</f>
        <v>401(k) plan: Investments/number per fund type: Mid cap index</v>
      </c>
      <c r="U108" s="3" t="str">
        <f>HYPERLINK("#'Time Off'!DD1","Q11.6.6_3")</f>
        <v>Q11.6.6_3</v>
      </c>
      <c r="V108" s="93" t="str">
        <f>HYPERLINK("#'Time Off'!DD2","Weeks offered for parental leave (primary caretaker) following any maternity disability related time off: Foster child")</f>
        <v>Weeks offered for parental leave (primary caretaker) following any maternity disability related time off: Foster child</v>
      </c>
      <c r="W108" s="3" t="str">
        <f>HYPERLINK("#'Vendors'!DD1","Q12.7.4_25_TEXT")</f>
        <v>Q12.7.4_25_TEXT</v>
      </c>
      <c r="X108" s="93" t="str">
        <f>HYPERLINK("#'Vendors'!DD2","Other miscellaneous health care vendors employed: Disease management")</f>
        <v>Other miscellaneous health care vendors employed: Disease management</v>
      </c>
    </row>
    <row r="109" spans="1:24" ht="38.25" x14ac:dyDescent="0.2">
      <c r="A109" s="87"/>
      <c r="B109" s="88"/>
      <c r="C109" s="96" t="str">
        <f>HYPERLINK("#'Enrollment, Eligib. &amp; Cost'!DE1","Q2.4.7_6")</f>
        <v>Q2.4.7_6</v>
      </c>
      <c r="D109" s="93" t="str">
        <f>HYPERLINK("#'Enrollment, Eligib. &amp; Cost'!DE2","Total monthly premium for HDHP/HSA medical plan with highest enrollment: Employee + 1 child")</f>
        <v>Total monthly premium for HDHP/HSA medical plan with highest enrollment: Employee + 1 child</v>
      </c>
      <c r="E109" s="6"/>
      <c r="F109" s="7"/>
      <c r="G109" s="6"/>
      <c r="H109" s="7"/>
      <c r="I109" s="96" t="str">
        <f>HYPERLINK("#'Other Benefits'!DE1","Q5.2.86")</f>
        <v>Q5.2.86</v>
      </c>
      <c r="J109" s="93" t="str">
        <f>HYPERLINK("#'Other Benefits'!DE2","Services provided at no cost")</f>
        <v>Services provided at no cost</v>
      </c>
      <c r="K109" s="3" t="str">
        <f>HYPERLINK("#'Healthcare'!DE1","Q6.2.16_7")</f>
        <v>Q6.2.16_7</v>
      </c>
      <c r="L109" s="93" t="str">
        <f>HYPERLINK("#'Healthcare'!DE2","Primary PPO medical plan out-of-network deductible per family: Emergency room (true emergency)")</f>
        <v>Primary PPO medical plan out-of-network deductible per family: Emergency room (true emergency)</v>
      </c>
      <c r="M109" s="6"/>
      <c r="N109" s="7"/>
      <c r="O109" s="6"/>
      <c r="P109" s="7"/>
      <c r="Q109" s="96" t="str">
        <f>HYPERLINK("#'Income Protection'!DE1","Q9.5.8_1")</f>
        <v>Q9.5.8_1</v>
      </c>
      <c r="R109" s="4" t="str">
        <f>HYPERLINK("#'Income Protection'!DE2","Short-term disability elimination period (sick pay) monthly benefit maximum")</f>
        <v>Short-term disability elimination period (sick pay) monthly benefit maximum</v>
      </c>
      <c r="S109" s="96" t="str">
        <f>HYPERLINK("#'Retirement, NQDC, Finances'!DE1","Q10.4.4_22")</f>
        <v>Q10.4.4_22</v>
      </c>
      <c r="T109" s="93" t="str">
        <f>HYPERLINK("#'Retirement, NQDC, Finances'!DE2","401(k) plan: Investments/number per fund type: Mid cap value")</f>
        <v>401(k) plan: Investments/number per fund type: Mid cap value</v>
      </c>
      <c r="U109" s="3" t="str">
        <f>HYPERLINK("#'Time Off'!DE1","Q11.6.6_4")</f>
        <v>Q11.6.6_4</v>
      </c>
      <c r="V109" s="93" t="str">
        <f>HYPERLINK("#'Time Off'!DE2","Weeks offered for parental leave (primary caretaker) following any maternity disability related time off: Surrogacy")</f>
        <v>Weeks offered for parental leave (primary caretaker) following any maternity disability related time off: Surrogacy</v>
      </c>
      <c r="W109" s="3" t="str">
        <f>HYPERLINK("#'Vendors'!DE1","Q12.7.5")</f>
        <v>Q12.7.5</v>
      </c>
      <c r="X109" s="93" t="str">
        <f>HYPERLINK("#'Vendors'!DE2","Miscellaneous health care vendors employed: Centers of Excellence")</f>
        <v>Miscellaneous health care vendors employed: Centers of Excellence</v>
      </c>
    </row>
    <row r="110" spans="1:24" ht="38.25" x14ac:dyDescent="0.2">
      <c r="A110" s="87"/>
      <c r="B110" s="88"/>
      <c r="C110" s="96" t="str">
        <f>HYPERLINK("#'Enrollment, Eligib. &amp; Cost'!DF1","Q2.4.7_7")</f>
        <v>Q2.4.7_7</v>
      </c>
      <c r="D110" s="93" t="str">
        <f>HYPERLINK("#'Enrollment, Eligib. &amp; Cost'!DF2","Total monthly premium for HDHP/HSA medical plan with highest enrollment: Employee + 2 children")</f>
        <v>Total monthly premium for HDHP/HSA medical plan with highest enrollment: Employee + 2 children</v>
      </c>
      <c r="E110" s="6"/>
      <c r="F110" s="7"/>
      <c r="G110" s="6"/>
      <c r="H110" s="7"/>
      <c r="I110" s="96" t="str">
        <f>HYPERLINK("#'Other Benefits'!DF1","Q5.2.87")</f>
        <v>Q5.2.87</v>
      </c>
      <c r="J110" s="93" t="str">
        <f>HYPERLINK("#'Other Benefits'!DF2","Type of funeral/burial payment provided")</f>
        <v>Type of funeral/burial payment provided</v>
      </c>
      <c r="K110" s="3" t="str">
        <f>HYPERLINK("#'Healthcare'!DF1","Q6.2.16_8")</f>
        <v>Q6.2.16_8</v>
      </c>
      <c r="L110" s="93" t="str">
        <f>HYPERLINK("#'Healthcare'!DF2","Primary PPO medical plan out-of-network deductible per family: Emergency room (non-emergency)")</f>
        <v>Primary PPO medical plan out-of-network deductible per family: Emergency room (non-emergency)</v>
      </c>
      <c r="M110" s="6"/>
      <c r="N110" s="7"/>
      <c r="O110" s="6"/>
      <c r="P110" s="7"/>
      <c r="Q110" s="96" t="str">
        <f>HYPERLINK("#'Income Protection'!DF1","Q9.5.8_2")</f>
        <v>Q9.5.8_2</v>
      </c>
      <c r="R110" s="4" t="str">
        <f>HYPERLINK("#'Income Protection'!DF2","Short-term disability monthly benefit maximum")</f>
        <v>Short-term disability monthly benefit maximum</v>
      </c>
      <c r="S110" s="96" t="str">
        <f>HYPERLINK("#'Retirement, NQDC, Finances'!DF1","Q10.4.4_23")</f>
        <v>Q10.4.4_23</v>
      </c>
      <c r="T110" s="93" t="str">
        <f>HYPERLINK("#'Retirement, NQDC, Finances'!DF2","401(k) plan: Investments/number per fund type: Mid cap growth")</f>
        <v>401(k) plan: Investments/number per fund type: Mid cap growth</v>
      </c>
      <c r="U110" s="3" t="str">
        <f>HYPERLINK("#'Time Off'!DF1","Q11.6.6_5")</f>
        <v>Q11.6.6_5</v>
      </c>
      <c r="V110" s="93" t="str">
        <f>HYPERLINK("#'Time Off'!DF2","Weeks offered for parental leave (primary caretaker) following any maternity disability related time off: New pets")</f>
        <v>Weeks offered for parental leave (primary caretaker) following any maternity disability related time off: New pets</v>
      </c>
      <c r="W110" s="3" t="str">
        <f>HYPERLINK("#'Vendors'!DF1","Q12.7.5_25_TEXT")</f>
        <v>Q12.7.5_25_TEXT</v>
      </c>
      <c r="X110" s="93" t="str">
        <f>HYPERLINK("#'Vendors'!DF2","Other miscellaneous health care vendors employed: Centers of Excellence")</f>
        <v>Other miscellaneous health care vendors employed: Centers of Excellence</v>
      </c>
    </row>
    <row r="111" spans="1:24" ht="38.25" x14ac:dyDescent="0.2">
      <c r="A111" s="87"/>
      <c r="B111" s="88"/>
      <c r="C111" s="96" t="str">
        <f>HYPERLINK("#'Enrollment, Eligib. &amp; Cost'!DG1","Q2.4.7_8")</f>
        <v>Q2.4.7_8</v>
      </c>
      <c r="D111" s="93" t="str">
        <f>HYPERLINK("#'Enrollment, Eligib. &amp; Cost'!DG2","Total monthly premium for HDHP/HSA medical plan with highest enrollment: Employee + 3 children")</f>
        <v>Total monthly premium for HDHP/HSA medical plan with highest enrollment: Employee + 3 children</v>
      </c>
      <c r="E111" s="6"/>
      <c r="F111" s="7"/>
      <c r="G111" s="6"/>
      <c r="H111" s="7"/>
      <c r="I111" s="96" t="str">
        <f>HYPERLINK("#'Other Benefits'!DG1","Q5.2.88")</f>
        <v>Q5.2.88</v>
      </c>
      <c r="J111" s="93" t="str">
        <f>HYPERLINK("#'Other Benefits'!DG2","Other type of funeral/burial payment provided")</f>
        <v>Other type of funeral/burial payment provided</v>
      </c>
      <c r="K111" s="3" t="str">
        <f>HYPERLINK("#'Healthcare'!DG1","Q6.2.16_9")</f>
        <v>Q6.2.16_9</v>
      </c>
      <c r="L111" s="93" t="str">
        <f>HYPERLINK("#'Healthcare'!DG2","Primary PPO medical plan out-of-network deductible per family: Emergency room (with hospital admittance)")</f>
        <v>Primary PPO medical plan out-of-network deductible per family: Emergency room (with hospital admittance)</v>
      </c>
      <c r="M111" s="6"/>
      <c r="N111" s="7"/>
      <c r="O111" s="6"/>
      <c r="P111" s="7"/>
      <c r="Q111" s="96" t="str">
        <f>HYPERLINK("#'Income Protection'!DG1","Q9.5.8_3")</f>
        <v>Q9.5.8_3</v>
      </c>
      <c r="R111" s="4" t="str">
        <f>HYPERLINK("#'Income Protection'!DG2","Basic/employer paid long term disability monthly benefit maximum")</f>
        <v>Basic/employer paid long term disability monthly benefit maximum</v>
      </c>
      <c r="S111" s="96" t="str">
        <f>HYPERLINK("#'Retirement, NQDC, Finances'!DG1","Q10.4.4_24")</f>
        <v>Q10.4.4_24</v>
      </c>
      <c r="T111" s="93" t="str">
        <f>HYPERLINK("#'Retirement, NQDC, Finances'!DG2","401(k) plan: Investments/number per fund type: Small cap blend")</f>
        <v>401(k) plan: Investments/number per fund type: Small cap blend</v>
      </c>
      <c r="U111" s="3" t="str">
        <f>HYPERLINK("#'Time Off'!DG1","Q11.6.7_1")</f>
        <v>Q11.6.7_1</v>
      </c>
      <c r="V111" s="93" t="str">
        <f>HYPERLINK("#'Time Off'!DG2","Weeks offered for parental leave (secondary caretaker): Newborn")</f>
        <v>Weeks offered for parental leave (secondary caretaker): Newborn</v>
      </c>
      <c r="W111" s="3" t="str">
        <f>HYPERLINK("#'Vendors'!DG1","Q12.7.6")</f>
        <v>Q12.7.6</v>
      </c>
      <c r="X111" s="93" t="str">
        <f>HYPERLINK("#'Vendors'!DG2","Miscellaneous health care vendors employed: On-site mobile medical/health vehicles")</f>
        <v>Miscellaneous health care vendors employed: On-site mobile medical/health vehicles</v>
      </c>
    </row>
    <row r="112" spans="1:24" ht="38.25" x14ac:dyDescent="0.2">
      <c r="A112" s="87"/>
      <c r="B112" s="88"/>
      <c r="C112" s="96" t="str">
        <f>HYPERLINK("#'Enrollment, Eligib. &amp; Cost'!DH1","Q2.4.7_9")</f>
        <v>Q2.4.7_9</v>
      </c>
      <c r="D112" s="93" t="str">
        <f>HYPERLINK("#'Enrollment, Eligib. &amp; Cost'!DH2","Total monthly premium for HDHP/HSA medical plan with highest enrollment: Employee + 4 children")</f>
        <v>Total monthly premium for HDHP/HSA medical plan with highest enrollment: Employee + 4 children</v>
      </c>
      <c r="E112" s="6"/>
      <c r="F112" s="7"/>
      <c r="G112" s="6"/>
      <c r="H112" s="7"/>
      <c r="I112" s="96" t="str">
        <f>HYPERLINK("#'Other Benefits'!DH1","Q5.2.89")</f>
        <v>Q5.2.89</v>
      </c>
      <c r="J112" s="93" t="str">
        <f>HYPERLINK("#'Other Benefits'!DH2","Amount of lump-sum payment")</f>
        <v>Amount of lump-sum payment</v>
      </c>
      <c r="K112" s="3" t="str">
        <f>HYPERLINK("#'Healthcare'!DH1","Q6.2.16_10")</f>
        <v>Q6.2.16_10</v>
      </c>
      <c r="L112" s="93" t="str">
        <f>HYPERLINK("#'Healthcare'!DH2","Primary PPO medical plan out-of-network deductible per family: In-patient hospital")</f>
        <v>Primary PPO medical plan out-of-network deductible per family: In-patient hospital</v>
      </c>
      <c r="M112" s="6"/>
      <c r="N112" s="7"/>
      <c r="O112" s="6"/>
      <c r="P112" s="7"/>
      <c r="Q112" s="96" t="str">
        <f>HYPERLINK("#'Income Protection'!DH1","Q9.5.8_4")</f>
        <v>Q9.5.8_4</v>
      </c>
      <c r="R112" s="4" t="str">
        <f>HYPERLINK("#'Income Protection'!DH2","Buy up/supplemental long term disability monthly benefit maximum")</f>
        <v>Buy up/supplemental long term disability monthly benefit maximum</v>
      </c>
      <c r="S112" s="96" t="str">
        <f>HYPERLINK("#'Retirement, NQDC, Finances'!DH1","Q10.4.4_25")</f>
        <v>Q10.4.4_25</v>
      </c>
      <c r="T112" s="93" t="str">
        <f>HYPERLINK("#'Retirement, NQDC, Finances'!DH2","401(k) plan: Investments/number per fund type: Small cap index")</f>
        <v>401(k) plan: Investments/number per fund type: Small cap index</v>
      </c>
      <c r="U112" s="3" t="str">
        <f>HYPERLINK("#'Time Off'!DH1","Q11.6.7_2")</f>
        <v>Q11.6.7_2</v>
      </c>
      <c r="V112" s="93" t="str">
        <f>HYPERLINK("#'Time Off'!DH2","Weeks offered for parental leave (secondary caretaker): Adoption")</f>
        <v>Weeks offered for parental leave (secondary caretaker): Adoption</v>
      </c>
      <c r="W112" s="3" t="str">
        <f>HYPERLINK("#'Vendors'!DH1","Q12.7.6_25_TEXT")</f>
        <v>Q12.7.6_25_TEXT</v>
      </c>
      <c r="X112" s="93" t="str">
        <f>HYPERLINK("#'Vendors'!DH2","Other miscellaneous health care vendors employed: On-site mobile medical/health vehicles")</f>
        <v>Other miscellaneous health care vendors employed: On-site mobile medical/health vehicles</v>
      </c>
    </row>
    <row r="113" spans="1:24" ht="38.25" x14ac:dyDescent="0.2">
      <c r="A113" s="87"/>
      <c r="B113" s="88"/>
      <c r="C113" s="96" t="str">
        <f>HYPERLINK("#'Enrollment, Eligib. &amp; Cost'!DI1","Q2.4.7_10")</f>
        <v>Q2.4.7_10</v>
      </c>
      <c r="D113" s="93" t="str">
        <f>HYPERLINK("#'Enrollment, Eligib. &amp; Cost'!DI2","Total monthly premium for HDHP/HSA medical plan with highest enrollment: Employee + 5 children")</f>
        <v>Total monthly premium for HDHP/HSA medical plan with highest enrollment: Employee + 5 children</v>
      </c>
      <c r="E113" s="6"/>
      <c r="F113" s="7"/>
      <c r="G113" s="6"/>
      <c r="H113" s="7"/>
      <c r="I113" s="96" t="str">
        <f>HYPERLINK("#'Other Benefits'!DI1","Q5.2.90")</f>
        <v>Q5.2.90</v>
      </c>
      <c r="J113" s="93" t="str">
        <f>HYPERLINK("#'Other Benefits'!DI2","Period of time on which the benefit is based")</f>
        <v>Period of time on which the benefit is based</v>
      </c>
      <c r="K113" s="3" t="str">
        <f>HYPERLINK("#'Healthcare'!DI1","Q6.2.16_11")</f>
        <v>Q6.2.16_11</v>
      </c>
      <c r="L113" s="93" t="str">
        <f>HYPERLINK("#'Healthcare'!DI2","Primary PPO medical plan out-of-network deductible per family: Mental health/substance abuse")</f>
        <v>Primary PPO medical plan out-of-network deductible per family: Mental health/substance abuse</v>
      </c>
      <c r="M113" s="6"/>
      <c r="N113" s="7"/>
      <c r="O113" s="6"/>
      <c r="P113" s="7"/>
      <c r="Q113" s="96" t="str">
        <f>HYPERLINK("#'Income Protection'!DI1","Q9.5.8_5")</f>
        <v>Q9.5.8_5</v>
      </c>
      <c r="R113" s="4" t="str">
        <f>HYPERLINK("#'Income Protection'!DI2","Additional buy up/supplemental long term disability (if more than one applies) monthly benefit maximum")</f>
        <v>Additional buy up/supplemental long term disability (if more than one applies) monthly benefit maximum</v>
      </c>
      <c r="S113" s="96" t="str">
        <f>HYPERLINK("#'Retirement, NQDC, Finances'!DI1","Q10.4.4_26")</f>
        <v>Q10.4.4_26</v>
      </c>
      <c r="T113" s="93" t="str">
        <f>HYPERLINK("#'Retirement, NQDC, Finances'!DI2","401(k) plan: Investments/number per fund type: Small cap value")</f>
        <v>401(k) plan: Investments/number per fund type: Small cap value</v>
      </c>
      <c r="U113" s="3" t="str">
        <f>HYPERLINK("#'Time Off'!DI1","Q11.6.7_3")</f>
        <v>Q11.6.7_3</v>
      </c>
      <c r="V113" s="93" t="str">
        <f>HYPERLINK("#'Time Off'!DI2","Weeks offered for parental leave (secondary caretaker): Foster child")</f>
        <v>Weeks offered for parental leave (secondary caretaker): Foster child</v>
      </c>
      <c r="W113" s="3" t="str">
        <f>HYPERLINK("#'Vendors'!DI1","Q12.7.7")</f>
        <v>Q12.7.7</v>
      </c>
      <c r="X113" s="93" t="str">
        <f>HYPERLINK("#'Vendors'!DI2","Miscellaneous health care vendors employed: On-site mobile dental vehicles")</f>
        <v>Miscellaneous health care vendors employed: On-site mobile dental vehicles</v>
      </c>
    </row>
    <row r="114" spans="1:24" ht="51" x14ac:dyDescent="0.2">
      <c r="A114" s="87"/>
      <c r="B114" s="88"/>
      <c r="C114" s="96" t="str">
        <f>HYPERLINK("#'Enrollment, Eligib. &amp; Cost'!DJ1","Q2.4.7_11")</f>
        <v>Q2.4.7_11</v>
      </c>
      <c r="D114" s="93" t="str">
        <f>HYPERLINK("#'Enrollment, Eligib. &amp; Cost'!DJ2","Total monthly premium for HDHP/HSA medical plan with highest enrollment: Family (employee + spouse/DP + dependent) with any child(ren)")</f>
        <v>Total monthly premium for HDHP/HSA medical plan with highest enrollment: Family (employee + spouse/DP + dependent) with any child(ren)</v>
      </c>
      <c r="E114" s="6"/>
      <c r="F114" s="7"/>
      <c r="G114" s="6"/>
      <c r="H114" s="7"/>
      <c r="I114" s="96" t="str">
        <f>HYPERLINK("#'Other Benefits'!DJ1","Q5.2.91")</f>
        <v>Q5.2.91</v>
      </c>
      <c r="J114" s="93" t="str">
        <f>HYPERLINK("#'Other Benefits'!DJ2","Percentage of pay provided")</f>
        <v>Percentage of pay provided</v>
      </c>
      <c r="K114" s="3" t="str">
        <f>HYPERLINK("#'Healthcare'!DJ1","Q6.2.16_12")</f>
        <v>Q6.2.16_12</v>
      </c>
      <c r="L114" s="93" t="str">
        <f>HYPERLINK("#'Healthcare'!DJ2","Primary PPO medical plan out-of-network deductible per family: Out-patient surgical center")</f>
        <v>Primary PPO medical plan out-of-network deductible per family: Out-patient surgical center</v>
      </c>
      <c r="M114" s="6"/>
      <c r="N114" s="7"/>
      <c r="O114" s="6"/>
      <c r="P114" s="7"/>
      <c r="Q114" s="96" t="str">
        <f>HYPERLINK("#'Income Protection'!DJ1","Q9.5.9_1")</f>
        <v>Q9.5.9_1</v>
      </c>
      <c r="R114" s="4" t="str">
        <f>HYPERLINK("#'Income Protection'!DJ2","Short-term disability premium payment structure")</f>
        <v>Short-term disability premium payment structure</v>
      </c>
      <c r="S114" s="96" t="str">
        <f>HYPERLINK("#'Retirement, NQDC, Finances'!DJ1","Q10.4.4_27")</f>
        <v>Q10.4.4_27</v>
      </c>
      <c r="T114" s="93" t="str">
        <f>HYPERLINK("#'Retirement, NQDC, Finances'!DJ2","401(k) plan: Investments/number per fund type: Small cap growth")</f>
        <v>401(k) plan: Investments/number per fund type: Small cap growth</v>
      </c>
      <c r="U114" s="3" t="str">
        <f>HYPERLINK("#'Time Off'!DJ1","Q11.6.7_4")</f>
        <v>Q11.6.7_4</v>
      </c>
      <c r="V114" s="93" t="str">
        <f>HYPERLINK("#'Time Off'!DJ2","Weeks offered for parental leave (secondary caretaker): Surrogacy")</f>
        <v>Weeks offered for parental leave (secondary caretaker): Surrogacy</v>
      </c>
      <c r="W114" s="3" t="str">
        <f>HYPERLINK("#'Vendors'!DJ1","Q12.7.7_25_TEXT")</f>
        <v>Q12.7.7_25_TEXT</v>
      </c>
      <c r="X114" s="93" t="str">
        <f>HYPERLINK("#'Vendors'!DJ2","Other miscellaneous health care vendors employed: On-site mobile dental vehicles")</f>
        <v>Other miscellaneous health care vendors employed: On-site mobile dental vehicles</v>
      </c>
    </row>
    <row r="115" spans="1:24" ht="51" x14ac:dyDescent="0.2">
      <c r="A115" s="87"/>
      <c r="B115" s="88"/>
      <c r="C115" s="96" t="str">
        <f>HYPERLINK("#'Enrollment, Eligib. &amp; Cost'!DK1","Q2.4.7_12")</f>
        <v>Q2.4.7_12</v>
      </c>
      <c r="D115" s="93" t="str">
        <f>HYPERLINK("#'Enrollment, Eligib. &amp; Cost'!DK2","Total monthly premium for HDHP/HSA medical plan with highest enrollment: Family (employee + spouse/DP + dependent) with 1 child")</f>
        <v>Total monthly premium for HDHP/HSA medical plan with highest enrollment: Family (employee + spouse/DP + dependent) with 1 child</v>
      </c>
      <c r="E115" s="6"/>
      <c r="F115" s="7"/>
      <c r="G115" s="6"/>
      <c r="H115" s="7"/>
      <c r="I115" s="96" t="str">
        <f>HYPERLINK("#'Other Benefits'!DK1","Q5.2.92")</f>
        <v>Q5.2.92</v>
      </c>
      <c r="J115" s="93" t="str">
        <f>HYPERLINK("#'Other Benefits'!DK2","Family can choose the non-profit or charity that receives the donation")</f>
        <v>Family can choose the non-profit or charity that receives the donation</v>
      </c>
      <c r="K115" s="3" t="str">
        <f>HYPERLINK("#'Healthcare'!DK1","Q6.2.16_13")</f>
        <v>Q6.2.16_13</v>
      </c>
      <c r="L115" s="93" t="str">
        <f>HYPERLINK("#'Healthcare'!DK2","Primary PPO medical plan out-of-network deductible per family: Prescription drugs (preventive)")</f>
        <v>Primary PPO medical plan out-of-network deductible per family: Prescription drugs (preventive)</v>
      </c>
      <c r="M115" s="6"/>
      <c r="N115" s="7"/>
      <c r="O115" s="6"/>
      <c r="P115" s="7"/>
      <c r="Q115" s="96" t="str">
        <f>HYPERLINK("#'Income Protection'!DK1","Q9.5.9_2")</f>
        <v>Q9.5.9_2</v>
      </c>
      <c r="R115" s="4" t="str">
        <f>HYPERLINK("#'Income Protection'!DK2","Long-term disability - basic/employer paid premium payment structure")</f>
        <v>Long-term disability - basic/employer paid premium payment structure</v>
      </c>
      <c r="S115" s="96" t="str">
        <f>HYPERLINK("#'Retirement, NQDC, Finances'!DK1","Q10.4.4_28")</f>
        <v>Q10.4.4_28</v>
      </c>
      <c r="T115" s="93" t="str">
        <f>HYPERLINK("#'Retirement, NQDC, Finances'!DK2","401(k) plan: Investments/number per fund type: International cap blend")</f>
        <v>401(k) plan: Investments/number per fund type: International cap blend</v>
      </c>
      <c r="U115" s="3" t="str">
        <f>HYPERLINK("#'Time Off'!DK1","Q11.6.7_5")</f>
        <v>Q11.6.7_5</v>
      </c>
      <c r="V115" s="93" t="str">
        <f>HYPERLINK("#'Time Off'!DK2","Weeks offered for parental leave (secondary caretaker): New pets")</f>
        <v>Weeks offered for parental leave (secondary caretaker): New pets</v>
      </c>
      <c r="W115" s="3" t="str">
        <f>HYPERLINK("#'Vendors'!DK1","Q12.7.8")</f>
        <v>Q12.7.8</v>
      </c>
      <c r="X115" s="93" t="str">
        <f>HYPERLINK("#'Vendors'!DK2","Miscellaneous health care vendors employed: On-site medical/health clinic")</f>
        <v>Miscellaneous health care vendors employed: On-site medical/health clinic</v>
      </c>
    </row>
    <row r="116" spans="1:24" ht="51" x14ac:dyDescent="0.2">
      <c r="A116" s="87"/>
      <c r="B116" s="88"/>
      <c r="C116" s="96" t="str">
        <f>HYPERLINK("#'Enrollment, Eligib. &amp; Cost'!DL1","Q2.4.7_13")</f>
        <v>Q2.4.7_13</v>
      </c>
      <c r="D116" s="93" t="str">
        <f>HYPERLINK("#'Enrollment, Eligib. &amp; Cost'!DL2","Total monthly premium for HDHP/HSA medical plan with highest enrollment: Family (employee + spouse/DP + dependent) with 2 child(ren)")</f>
        <v>Total monthly premium for HDHP/HSA medical plan with highest enrollment: Family (employee + spouse/DP + dependent) with 2 child(ren)</v>
      </c>
      <c r="E116" s="6"/>
      <c r="F116" s="7"/>
      <c r="G116" s="6"/>
      <c r="H116" s="7"/>
      <c r="I116" s="96" t="str">
        <f>HYPERLINK("#'Other Benefits'!DL1","Q5.2.93")</f>
        <v>Q5.2.93</v>
      </c>
      <c r="J116" s="93" t="str">
        <f>HYPERLINK("#'Other Benefits'!DL2","Amount of donation payment")</f>
        <v>Amount of donation payment</v>
      </c>
      <c r="K116" s="3" t="str">
        <f>HYPERLINK("#'Healthcare'!DL1","Q6.2.16_14")</f>
        <v>Q6.2.16_14</v>
      </c>
      <c r="L116" s="93" t="str">
        <f>HYPERLINK("#'Healthcare'!DL2","Primary PPO medical plan out-of-network deductible per family: Prescription drugs (non-preventive)")</f>
        <v>Primary PPO medical plan out-of-network deductible per family: Prescription drugs (non-preventive)</v>
      </c>
      <c r="M116" s="6"/>
      <c r="N116" s="7"/>
      <c r="O116" s="6"/>
      <c r="P116" s="7"/>
      <c r="Q116" s="96" t="str">
        <f>HYPERLINK("#'Income Protection'!DL1","Q9.5.9_3")</f>
        <v>Q9.5.9_3</v>
      </c>
      <c r="R116" s="4" t="str">
        <f>HYPERLINK("#'Income Protection'!DL2","Long-term disability - buy up/supplemental premium payment structure")</f>
        <v>Long-term disability - buy up/supplemental premium payment structure</v>
      </c>
      <c r="S116" s="96" t="str">
        <f>HYPERLINK("#'Retirement, NQDC, Finances'!DL1","Q10.4.4_29")</f>
        <v>Q10.4.4_29</v>
      </c>
      <c r="T116" s="93" t="str">
        <f>HYPERLINK("#'Retirement, NQDC, Finances'!DL2","401(k) plan: Investments/number per fund type: International cap index")</f>
        <v>401(k) plan: Investments/number per fund type: International cap index</v>
      </c>
      <c r="U116" s="3" t="str">
        <f>HYPERLINK("#'Time Off'!DL1","Q11.6.8")</f>
        <v>Q11.6.8</v>
      </c>
      <c r="V116" s="93" t="str">
        <f>HYPERLINK("#'Time Off'!DL2","Number of weeks of fully paid time off provided after birth moms are cleared to return to work")</f>
        <v>Number of weeks of fully paid time off provided after birth moms are cleared to return to work</v>
      </c>
      <c r="W116" s="3" t="str">
        <f>HYPERLINK("#'Vendors'!DL1","Q12.7.8_25_TEXT")</f>
        <v>Q12.7.8_25_TEXT</v>
      </c>
      <c r="X116" s="93" t="str">
        <f>HYPERLINK("#'Vendors'!DL2","Other miscellaneous health care vendors employed: On-site medical/health clinic")</f>
        <v>Other miscellaneous health care vendors employed: On-site medical/health clinic</v>
      </c>
    </row>
    <row r="117" spans="1:24" ht="51" x14ac:dyDescent="0.2">
      <c r="A117" s="87"/>
      <c r="B117" s="88"/>
      <c r="C117" s="96" t="str">
        <f>HYPERLINK("#'Enrollment, Eligib. &amp; Cost'!DM1","Q2.4.7_14")</f>
        <v>Q2.4.7_14</v>
      </c>
      <c r="D117" s="93" t="str">
        <f>HYPERLINK("#'Enrollment, Eligib. &amp; Cost'!DM2","Total monthly premium for HDHP/HSA medical plan with highest enrollment: Family (employee + spouse/DP + dependent) with 3 child(ren)")</f>
        <v>Total monthly premium for HDHP/HSA medical plan with highest enrollment: Family (employee + spouse/DP + dependent) with 3 child(ren)</v>
      </c>
      <c r="E117" s="6"/>
      <c r="F117" s="7"/>
      <c r="G117" s="6"/>
      <c r="H117" s="7"/>
      <c r="I117" s="96" t="str">
        <f>HYPERLINK("#'Other Benefits'!DM1","Q5.2.94")</f>
        <v>Q5.2.94</v>
      </c>
      <c r="J117" s="93" t="str">
        <f>HYPERLINK("#'Other Benefits'!DM2","Non-profit/charity must meet eligibility requirements")</f>
        <v>Non-profit/charity must meet eligibility requirements</v>
      </c>
      <c r="K117" s="3" t="str">
        <f>HYPERLINK("#'Healthcare'!DM1","Q6.2.16_15")</f>
        <v>Q6.2.16_15</v>
      </c>
      <c r="L117" s="93" t="str">
        <f>HYPERLINK("#'Healthcare'!DM2","Primary PPO medical plan out-of-network deductible per family: Therapies (speech, PT, OT)")</f>
        <v>Primary PPO medical plan out-of-network deductible per family: Therapies (speech, PT, OT)</v>
      </c>
      <c r="M117" s="6"/>
      <c r="N117" s="7"/>
      <c r="O117" s="6"/>
      <c r="P117" s="7"/>
      <c r="Q117" s="96" t="str">
        <f>HYPERLINK("#'Income Protection'!DM1","Q9.5.10")</f>
        <v>Q9.5.10</v>
      </c>
      <c r="R117" s="4" t="str">
        <f>HYPERLINK("#'Income Protection'!DM2","State disability insurance (SDI) replaced with authorized California state VDI plan")</f>
        <v>State disability insurance (SDI) replaced with authorized California state VDI plan</v>
      </c>
      <c r="S117" s="96" t="str">
        <f>HYPERLINK("#'Retirement, NQDC, Finances'!DM1","Q10.4.4_30")</f>
        <v>Q10.4.4_30</v>
      </c>
      <c r="T117" s="93" t="str">
        <f>HYPERLINK("#'Retirement, NQDC, Finances'!DM2","401(k) plan: Investments/number per fund type: International cap value")</f>
        <v>401(k) plan: Investments/number per fund type: International cap value</v>
      </c>
      <c r="U117" s="3" t="str">
        <f>HYPERLINK("#'Time Off'!DM1","Q11.6.9")</f>
        <v>Q11.6.9</v>
      </c>
      <c r="V117" s="93" t="str">
        <f>HYPERLINK("#'Time Off'!DM2","Description of fully paid time off provided to birth moms.")</f>
        <v>Description of fully paid time off provided to birth moms.</v>
      </c>
      <c r="W117" s="3" t="str">
        <f>HYPERLINK("#'Vendors'!DM1","Q12.7.9")</f>
        <v>Q12.7.9</v>
      </c>
      <c r="X117" s="93" t="str">
        <f>HYPERLINK("#'Vendors'!DM2","Miscellaneous health care vendors employed: Near-site medical/health clinic")</f>
        <v>Miscellaneous health care vendors employed: Near-site medical/health clinic</v>
      </c>
    </row>
    <row r="118" spans="1:24" ht="51" x14ac:dyDescent="0.2">
      <c r="A118" s="87"/>
      <c r="B118" s="88"/>
      <c r="C118" s="96" t="str">
        <f>HYPERLINK("#'Enrollment, Eligib. &amp; Cost'!DN1","Q2.4.7_15")</f>
        <v>Q2.4.7_15</v>
      </c>
      <c r="D118" s="93" t="str">
        <f>HYPERLINK("#'Enrollment, Eligib. &amp; Cost'!DN2","Total monthly premium for HDHP/HSA medical plan with highest enrollment: Family (employee + spouse/DP + dependent) with 4 child(ren)")</f>
        <v>Total monthly premium for HDHP/HSA medical plan with highest enrollment: Family (employee + spouse/DP + dependent) with 4 child(ren)</v>
      </c>
      <c r="E118" s="6"/>
      <c r="F118" s="7"/>
      <c r="G118" s="6"/>
      <c r="H118" s="7"/>
      <c r="I118" s="96" t="str">
        <f>HYPERLINK("#'Other Benefits'!DN1","Q5.2.95")</f>
        <v>Q5.2.95</v>
      </c>
      <c r="J118" s="93" t="str">
        <f>HYPERLINK("#'Other Benefits'!DN2","Family can choose the scholarship or college fund")</f>
        <v>Family can choose the scholarship or college fund</v>
      </c>
      <c r="K118" s="3" t="str">
        <f>HYPERLINK("#'Healthcare'!DN1","Q6.2.16_16")</f>
        <v>Q6.2.16_16</v>
      </c>
      <c r="L118" s="93" t="str">
        <f>HYPERLINK("#'Healthcare'!DN2","Primary PPO medical plan out-of-network deductible per family: Other")</f>
        <v>Primary PPO medical plan out-of-network deductible per family: Other</v>
      </c>
      <c r="M118" s="6"/>
      <c r="N118" s="7"/>
      <c r="O118" s="6"/>
      <c r="P118" s="7"/>
      <c r="Q118" s="96" t="str">
        <f>HYPERLINK("#'Income Protection'!DN1","Q9.5.11_1")</f>
        <v>Q9.5.11_1</v>
      </c>
      <c r="R118" s="4" t="str">
        <f>HYPERLINK("#'Income Protection'!DN2","Under your California state VDI plan, contributions are equal to state disability insurance (SDI)")</f>
        <v>Under your California state VDI plan, contributions are equal to state disability insurance (SDI)</v>
      </c>
      <c r="S118" s="96" t="str">
        <f>HYPERLINK("#'Retirement, NQDC, Finances'!DN1","Q10.4.4_31")</f>
        <v>Q10.4.4_31</v>
      </c>
      <c r="T118" s="93" t="str">
        <f>HYPERLINK("#'Retirement, NQDC, Finances'!DN2","401(k) plan: Investments/number per fund type: International cap growth")</f>
        <v>401(k) plan: Investments/number per fund type: International cap growth</v>
      </c>
      <c r="U118" s="3" t="str">
        <f>HYPERLINK("#'Time Off'!DN1","Q11.6.10")</f>
        <v>Q11.6.10</v>
      </c>
      <c r="V118" s="93" t="str">
        <f>HYPERLINK("#'Time Off'!DN2","Number of weeks of fully paid time off provided to non-birth moms")</f>
        <v>Number of weeks of fully paid time off provided to non-birth moms</v>
      </c>
      <c r="W118" s="3" t="str">
        <f>HYPERLINK("#'Vendors'!DN1","Q12.7.9_25_TEXT")</f>
        <v>Q12.7.9_25_TEXT</v>
      </c>
      <c r="X118" s="93" t="str">
        <f>HYPERLINK("#'Vendors'!DN2","Other miscellaneous health care vendors employed: Near-site medical/health clinic")</f>
        <v>Other miscellaneous health care vendors employed: Near-site medical/health clinic</v>
      </c>
    </row>
    <row r="119" spans="1:24" ht="51" x14ac:dyDescent="0.2">
      <c r="A119" s="87"/>
      <c r="B119" s="88"/>
      <c r="C119" s="96" t="str">
        <f>HYPERLINK("#'Enrollment, Eligib. &amp; Cost'!DO1","Q2.4.7_16")</f>
        <v>Q2.4.7_16</v>
      </c>
      <c r="D119" s="93" t="str">
        <f>HYPERLINK("#'Enrollment, Eligib. &amp; Cost'!DO2","Total monthly premium for HDHP/HSA medical plan with highest enrollment: Family (employee + spouse/DP + dependent) with 5 child(ren)")</f>
        <v>Total monthly premium for HDHP/HSA medical plan with highest enrollment: Family (employee + spouse/DP + dependent) with 5 child(ren)</v>
      </c>
      <c r="E119" s="6"/>
      <c r="F119" s="7"/>
      <c r="G119" s="6"/>
      <c r="H119" s="7"/>
      <c r="I119" s="96" t="str">
        <f>HYPERLINK("#'Other Benefits'!DO1","Q5.2.96")</f>
        <v>Q5.2.96</v>
      </c>
      <c r="J119" s="93" t="str">
        <f>HYPERLINK("#'Other Benefits'!DO2","Scholarship/college fund payment amount")</f>
        <v>Scholarship/college fund payment amount</v>
      </c>
      <c r="K119" s="3" t="str">
        <f>HYPERLINK("#'Healthcare'!DO1","Q6.2.17")</f>
        <v>Q6.2.17</v>
      </c>
      <c r="L119" s="93" t="str">
        <f>HYPERLINK("#'Healthcare'!DO2","Primary PPO  medical plan: Annual plan limit")</f>
        <v>Primary PPO  medical plan: Annual plan limit</v>
      </c>
      <c r="M119" s="6"/>
      <c r="N119" s="7"/>
      <c r="O119" s="6"/>
      <c r="P119" s="7"/>
      <c r="Q119" s="96" t="str">
        <f>HYPERLINK("#'Income Protection'!DO1","Q9.5.11_2")</f>
        <v>Q9.5.11_2</v>
      </c>
      <c r="R119" s="4" t="str">
        <f>HYPERLINK("#'Income Protection'!DO2","Under your California state VDI plan, contributions are less than state disability insurance (SDI)")</f>
        <v>Under your California state VDI plan, contributions are less than state disability insurance (SDI)</v>
      </c>
      <c r="S119" s="96" t="str">
        <f>HYPERLINK("#'Retirement, NQDC, Finances'!DO1","Q10.4.4_32")</f>
        <v>Q10.4.4_32</v>
      </c>
      <c r="T119" s="93" t="str">
        <f>HYPERLINK("#'Retirement, NQDC, Finances'!DO2","401(k) plan: Investments/number per fund type: International small cap")</f>
        <v>401(k) plan: Investments/number per fund type: International small cap</v>
      </c>
      <c r="U119" s="3" t="str">
        <f>HYPERLINK("#'Time Off'!DO1","Q11.6.11")</f>
        <v>Q11.6.11</v>
      </c>
      <c r="V119" s="93" t="str">
        <f>HYPERLINK("#'Time Off'!DO2","Employee's job is protected while on approved parental leave beyond what is required by law")</f>
        <v>Employee's job is protected while on approved parental leave beyond what is required by law</v>
      </c>
      <c r="W119" s="3" t="str">
        <f>HYPERLINK("#'Vendors'!DO1","Q12.7.10")</f>
        <v>Q12.7.10</v>
      </c>
      <c r="X119" s="93" t="str">
        <f>HYPERLINK("#'Vendors'!DO2","Miscellaneous health care vendors employed: On-site pharmacy, dental or vision health clinic")</f>
        <v>Miscellaneous health care vendors employed: On-site pharmacy, dental or vision health clinic</v>
      </c>
    </row>
    <row r="120" spans="1:24" ht="38.25" x14ac:dyDescent="0.2">
      <c r="A120" s="87"/>
      <c r="B120" s="88"/>
      <c r="C120" s="96" t="str">
        <f>HYPERLINK("#'Enrollment, Eligib. &amp; Cost'!DP1","Q2.4.8")</f>
        <v>Q2.4.8</v>
      </c>
      <c r="D120" s="93" t="str">
        <f>HYPERLINK("#'Enrollment, Eligib. &amp; Cost'!DP2","Percentage of HDHP/HSA medical plan premium paid by company")</f>
        <v>Percentage of HDHP/HSA medical plan premium paid by company</v>
      </c>
      <c r="E120" s="6"/>
      <c r="F120" s="7"/>
      <c r="G120" s="6"/>
      <c r="H120" s="7"/>
      <c r="I120" s="96" t="str">
        <f>HYPERLINK("#'Other Benefits'!DP1","Q5.2.97")</f>
        <v>Q5.2.97</v>
      </c>
      <c r="J120" s="93" t="str">
        <f>HYPERLINK("#'Other Benefits'!DP2","Scholarship/college fund must meet eligibility requirements")</f>
        <v>Scholarship/college fund must meet eligibility requirements</v>
      </c>
      <c r="K120" s="3" t="str">
        <f>HYPERLINK("#'Healthcare'!DP1","Q6.2.19")</f>
        <v>Q6.2.19</v>
      </c>
      <c r="L120" s="93" t="str">
        <f>HYPERLINK("#'Healthcare'!DP2","Primary PPO medical plan: Covers emergency services for non-emergencies")</f>
        <v>Primary PPO medical plan: Covers emergency services for non-emergencies</v>
      </c>
      <c r="M120" s="6"/>
      <c r="N120" s="7"/>
      <c r="O120" s="6"/>
      <c r="P120" s="7"/>
      <c r="Q120" s="96" t="str">
        <f>HYPERLINK("#'Income Protection'!DP1","Q9.5.11_3")</f>
        <v>Q9.5.11_3</v>
      </c>
      <c r="R120" s="4" t="str">
        <f>HYPERLINK("#'Income Protection'!DP2","Under your California state VDI plan, benefits are paid at higher percentage than state disability insurance (SDI)")</f>
        <v>Under your California state VDI plan, benefits are paid at higher percentage than state disability insurance (SDI)</v>
      </c>
      <c r="S120" s="96" t="str">
        <f>HYPERLINK("#'Retirement, NQDC, Finances'!DP1","Q10.4.4_33")</f>
        <v>Q10.4.4_33</v>
      </c>
      <c r="T120" s="93" t="str">
        <f>HYPERLINK("#'Retirement, NQDC, Finances'!DP2","401(k) plan: Investments/number per fund type: Emerging markets")</f>
        <v>401(k) plan: Investments/number per fund type: Emerging markets</v>
      </c>
      <c r="U120" s="3" t="str">
        <f>HYPERLINK("#'Time Off'!DP1","Q11.6.12")</f>
        <v>Q11.6.12</v>
      </c>
      <c r="V120" s="93" t="str">
        <f>HYPERLINK("#'Time Off'!DP2","Number of weeks until employee loses job protection while on parental leave")</f>
        <v>Number of weeks until employee loses job protection while on parental leave</v>
      </c>
      <c r="W120" s="3" t="str">
        <f>HYPERLINK("#'Vendors'!DP1","Q12.7.10_25_TEXT")</f>
        <v>Q12.7.10_25_TEXT</v>
      </c>
      <c r="X120" s="93" t="str">
        <f>HYPERLINK("#'Vendors'!DP2","Other miscellaneous health care vendors employed: On-site pharmacy, dental or vision health clinic")</f>
        <v>Other miscellaneous health care vendors employed: On-site pharmacy, dental or vision health clinic</v>
      </c>
    </row>
    <row r="121" spans="1:24" ht="38.25" x14ac:dyDescent="0.2">
      <c r="A121" s="87"/>
      <c r="B121" s="88"/>
      <c r="C121" s="96" t="str">
        <f>HYPERLINK("#'Enrollment, Eligib. &amp; Cost'!DQ1","Q2.4.9_1")</f>
        <v>Q2.4.9_1</v>
      </c>
      <c r="D121" s="93" t="str">
        <f>HYPERLINK("#'Enrollment, Eligib. &amp; Cost'!DQ2","Total monthly premium for HMO medical plan with highest enrollment: Waive or opt out")</f>
        <v>Total monthly premium for HMO medical plan with highest enrollment: Waive or opt out</v>
      </c>
      <c r="E121" s="6"/>
      <c r="F121" s="7"/>
      <c r="G121" s="6"/>
      <c r="H121" s="7"/>
      <c r="I121" s="96" t="str">
        <f>HYPERLINK("#'Other Benefits'!DQ1","Q5.2.98")</f>
        <v>Q5.2.98</v>
      </c>
      <c r="J121" s="93" t="str">
        <f>HYPERLINK("#'Other Benefits'!DQ2","Benefits accelerated")</f>
        <v>Benefits accelerated</v>
      </c>
      <c r="K121" s="3" t="str">
        <f>HYPERLINK("#'Healthcare'!DQ1","Q6.2.20")</f>
        <v>Q6.2.20</v>
      </c>
      <c r="L121" s="93" t="str">
        <f>HYPERLINK("#'Healthcare'!DQ2","Primary PPO medical plan: Covers emergency services for non-emergencies at reduced amount")</f>
        <v>Primary PPO medical plan: Covers emergency services for non-emergencies at reduced amount</v>
      </c>
      <c r="M121" s="6"/>
      <c r="N121" s="7"/>
      <c r="O121" s="6"/>
      <c r="P121" s="7"/>
      <c r="Q121" s="96" t="str">
        <f>HYPERLINK("#'Income Protection'!DQ1","Q9.5.11_4")</f>
        <v>Q9.5.11_4</v>
      </c>
      <c r="R121" s="4" t="str">
        <f>HYPERLINK("#'Income Protection'!DQ2","Under your California state VDI plan, weekly payment maximum is higher than state disability insurance (SDI)")</f>
        <v>Under your California state VDI plan, weekly payment maximum is higher than state disability insurance (SDI)</v>
      </c>
      <c r="S121" s="96" t="str">
        <f>HYPERLINK("#'Retirement, NQDC, Finances'!DQ1","Q10.4.4_34")</f>
        <v>Q10.4.4_34</v>
      </c>
      <c r="T121" s="93" t="str">
        <f>HYPERLINK("#'Retirement, NQDC, Finances'!DQ2","401(k) plan: Investments/number per fund type: Global")</f>
        <v>401(k) plan: Investments/number per fund type: Global</v>
      </c>
      <c r="U121" s="3" t="str">
        <f>HYPERLINK("#'Time Off'!DQ1","Q11.6.14")</f>
        <v>Q11.6.14</v>
      </c>
      <c r="V121" s="93" t="str">
        <f>HYPERLINK("#'Time Off'!DQ2","Non-birth parent leave policy in place, separate from parental leave policy")</f>
        <v>Non-birth parent leave policy in place, separate from parental leave policy</v>
      </c>
      <c r="W121" s="3" t="str">
        <f>HYPERLINK("#'Vendors'!DQ1","Q12.7.11")</f>
        <v>Q12.7.11</v>
      </c>
      <c r="X121" s="93" t="str">
        <f>HYPERLINK("#'Vendors'!DQ2","Miscellaneous health care vendors employed: Near-site pharmacy, dental or vision health clinic")</f>
        <v>Miscellaneous health care vendors employed: Near-site pharmacy, dental or vision health clinic</v>
      </c>
    </row>
    <row r="122" spans="1:24" ht="38.25" x14ac:dyDescent="0.2">
      <c r="A122" s="87"/>
      <c r="B122" s="88"/>
      <c r="C122" s="96" t="str">
        <f>HYPERLINK("#'Enrollment, Eligib. &amp; Cost'!DR1","Q2.4.9_2")</f>
        <v>Q2.4.9_2</v>
      </c>
      <c r="D122" s="93" t="str">
        <f>HYPERLINK("#'Enrollment, Eligib. &amp; Cost'!DR2","Total monthly premium for HMO medical plan with highest enrollment: Employee only")</f>
        <v>Total monthly premium for HMO medical plan with highest enrollment: Employee only</v>
      </c>
      <c r="E122" s="6"/>
      <c r="F122" s="7"/>
      <c r="G122" s="6"/>
      <c r="H122" s="7"/>
      <c r="I122" s="96" t="str">
        <f>HYPERLINK("#'Other Benefits'!DR1","Q5.2.99")</f>
        <v>Q5.2.99</v>
      </c>
      <c r="J122" s="93" t="str">
        <f>HYPERLINK("#'Other Benefits'!DR2","Other benefits accelerated")</f>
        <v>Other benefits accelerated</v>
      </c>
      <c r="K122" s="3" t="str">
        <f>HYPERLINK("#'Healthcare'!DR1","Q6.2.21")</f>
        <v>Q6.2.21</v>
      </c>
      <c r="L122" s="93" t="str">
        <f>HYPERLINK("#'Healthcare'!DR2","Primary PPO medical plan: Covers mental health and substance abuse emergencies differently")</f>
        <v>Primary PPO medical plan: Covers mental health and substance abuse emergencies differently</v>
      </c>
      <c r="M122" s="6"/>
      <c r="N122" s="7"/>
      <c r="O122" s="6"/>
      <c r="P122" s="7"/>
      <c r="Q122" s="96" t="str">
        <f>HYPERLINK("#'Income Protection'!DR1","Q9.5.11_5")</f>
        <v>Q9.5.11_5</v>
      </c>
      <c r="R122" s="4" t="str">
        <f>HYPERLINK("#'Income Protection'!DR2","Under your California state VDI plan, duration of benefits payments is longer than state disability insurance (SDI)")</f>
        <v>Under your California state VDI plan, duration of benefits payments is longer than state disability insurance (SDI)</v>
      </c>
      <c r="S122" s="96" t="str">
        <f>HYPERLINK("#'Retirement, NQDC, Finances'!DR1","Q10.4.4_35")</f>
        <v>Q10.4.4_35</v>
      </c>
      <c r="T122" s="93" t="str">
        <f>HYPERLINK("#'Retirement, NQDC, Finances'!DR2","401(k) plan: Investments/number per fund type: Balanced")</f>
        <v>401(k) plan: Investments/number per fund type: Balanced</v>
      </c>
      <c r="U122" s="3" t="str">
        <f>HYPERLINK("#'Time Off'!DR1","Q11.6.15")</f>
        <v>Q11.6.15</v>
      </c>
      <c r="V122" s="93" t="str">
        <f>HYPERLINK("#'Time Off'!DR2","Non-birth parent leave paid or unpaid")</f>
        <v>Non-birth parent leave paid or unpaid</v>
      </c>
      <c r="W122" s="3" t="str">
        <f>HYPERLINK("#'Vendors'!DR1","Q12.7.11_25_TEXT")</f>
        <v>Q12.7.11_25_TEXT</v>
      </c>
      <c r="X122" s="93" t="str">
        <f>HYPERLINK("#'Vendors'!DR2","Other miscellaneous health care vendors employed: Near-site pharmacy, dental or vision health clinic")</f>
        <v>Other miscellaneous health care vendors employed: Near-site pharmacy, dental or vision health clinic</v>
      </c>
    </row>
    <row r="123" spans="1:24" ht="38.25" x14ac:dyDescent="0.2">
      <c r="A123" s="87"/>
      <c r="B123" s="88"/>
      <c r="C123" s="96" t="str">
        <f>HYPERLINK("#'Enrollment, Eligib. &amp; Cost'!DS1","Q2.4.9_3")</f>
        <v>Q2.4.9_3</v>
      </c>
      <c r="D123" s="93" t="str">
        <f>HYPERLINK("#'Enrollment, Eligib. &amp; Cost'!DS2","Total monthly premium for HMO medical plan with highest enrollment: Employee + spouse/DP")</f>
        <v>Total monthly premium for HMO medical plan with highest enrollment: Employee + spouse/DP</v>
      </c>
      <c r="E123" s="6"/>
      <c r="F123" s="7"/>
      <c r="G123" s="6"/>
      <c r="H123" s="7"/>
      <c r="I123" s="96" t="str">
        <f>HYPERLINK("#'Other Benefits'!DS1","Q5.2.100")</f>
        <v>Q5.2.100</v>
      </c>
      <c r="J123" s="93" t="str">
        <f>HYPERLINK("#'Other Benefits'!DS2","Subsidize COBRA coverage for surviving dependents")</f>
        <v>Subsidize COBRA coverage for surviving dependents</v>
      </c>
      <c r="K123" s="3" t="str">
        <f>HYPERLINK("#'Healthcare'!DS1","Q6.2.22")</f>
        <v>Q6.2.22</v>
      </c>
      <c r="L123" s="93" t="str">
        <f>HYPERLINK("#'Healthcare'!DS2","Primary PPO medical plan: Coverage for mental health and substance abuse emergencies")</f>
        <v>Primary PPO medical plan: Coverage for mental health and substance abuse emergencies</v>
      </c>
      <c r="M123" s="6"/>
      <c r="N123" s="7"/>
      <c r="O123" s="6"/>
      <c r="P123" s="7"/>
      <c r="Q123" s="96" t="str">
        <f>HYPERLINK("#'Income Protection'!DS1","Q9.5.12")</f>
        <v>Q9.5.12</v>
      </c>
      <c r="R123" s="4" t="str">
        <f>HYPERLINK("#'Income Protection'!DS2","Excess California state VDI contributions usage")</f>
        <v>Excess California state VDI contributions usage</v>
      </c>
      <c r="S123" s="96" t="str">
        <f>HYPERLINK("#'Retirement, NQDC, Finances'!DS1","Q10.4.4_36")</f>
        <v>Q10.4.4_36</v>
      </c>
      <c r="T123" s="93" t="str">
        <f>HYPERLINK("#'Retirement, NQDC, Finances'!DS2","401(k) plan: Investments/number per fund type: Age based retirement funds")</f>
        <v>401(k) plan: Investments/number per fund type: Age based retirement funds</v>
      </c>
      <c r="U123" s="3" t="str">
        <f>HYPERLINK("#'Time Off'!DS1","Q11.6.16")</f>
        <v>Q11.6.16</v>
      </c>
      <c r="V123" s="93" t="str">
        <f>HYPERLINK("#'Time Off'!DS2","Weeks offered for non-birth parent leave")</f>
        <v>Weeks offered for non-birth parent leave</v>
      </c>
      <c r="W123" s="3" t="str">
        <f>HYPERLINK("#'Vendors'!DS1","Q12.7.12")</f>
        <v>Q12.7.12</v>
      </c>
      <c r="X123" s="93" t="str">
        <f>HYPERLINK("#'Vendors'!DS2","Miscellaneous health care vendors employed: Telehealth/telemedicine")</f>
        <v>Miscellaneous health care vendors employed: Telehealth/telemedicine</v>
      </c>
    </row>
    <row r="124" spans="1:24" ht="38.25" x14ac:dyDescent="0.2">
      <c r="A124" s="87"/>
      <c r="B124" s="88"/>
      <c r="C124" s="96" t="str">
        <f>HYPERLINK("#'Enrollment, Eligib. &amp; Cost'!DT1","Q2.4.9_4")</f>
        <v>Q2.4.9_4</v>
      </c>
      <c r="D124" s="93" t="str">
        <f>HYPERLINK("#'Enrollment, Eligib. &amp; Cost'!DT2","Total monthly premium for HMO medical plan with highest enrollment: Employee + spouse/DP or child(ren)")</f>
        <v>Total monthly premium for HMO medical plan with highest enrollment: Employee + spouse/DP or child(ren)</v>
      </c>
      <c r="E124" s="6"/>
      <c r="F124" s="7"/>
      <c r="G124" s="6"/>
      <c r="H124" s="7"/>
      <c r="I124" s="96" t="str">
        <f>HYPERLINK("#'Other Benefits'!DT1","Q5.2.101")</f>
        <v>Q5.2.101</v>
      </c>
      <c r="J124" s="93" t="str">
        <f>HYPERLINK("#'Other Benefits'!DT2","Amount contributed towards COBRA coverage for surviving dependents")</f>
        <v>Amount contributed towards COBRA coverage for surviving dependents</v>
      </c>
      <c r="K124" s="3" t="str">
        <f>HYPERLINK("#'Healthcare'!DT1","Q6.2.23")</f>
        <v>Q6.2.23</v>
      </c>
      <c r="L124" s="93" t="str">
        <f>HYPERLINK("#'Healthcare'!DT2","Primary PPO medical plan non-acute care services in-network coverage")</f>
        <v>Primary PPO medical plan non-acute care services in-network coverage</v>
      </c>
      <c r="M124" s="6"/>
      <c r="N124" s="7"/>
      <c r="O124" s="6"/>
      <c r="P124" s="7"/>
      <c r="Q124" s="96" t="str">
        <f>HYPERLINK("#'Income Protection'!DT1","Q9.5.12_5_TEXT")</f>
        <v>Q9.5.12_5_TEXT</v>
      </c>
      <c r="R124" s="4" t="str">
        <f>HYPERLINK("#'Income Protection'!DT2","Excess California state VDI contributions usage: other")</f>
        <v>Excess California state VDI contributions usage: other</v>
      </c>
      <c r="S124" s="96" t="str">
        <f>HYPERLINK("#'Retirement, NQDC, Finances'!DT1","Q10.4.4_37")</f>
        <v>Q10.4.4_37</v>
      </c>
      <c r="T124" s="93" t="str">
        <f>HYPERLINK("#'Retirement, NQDC, Finances'!DT2","401(k) plan: Investments/number per fund type: Target date retirement funds")</f>
        <v>401(k) plan: Investments/number per fund type: Target date retirement funds</v>
      </c>
      <c r="U124" s="3" t="str">
        <f>HYPERLINK("#'Time Off'!DT1","Q11.6.17")</f>
        <v>Q11.6.17</v>
      </c>
      <c r="V124" s="93" t="str">
        <f>HYPERLINK("#'Time Off'!DT2","Non-birth parent leave runs concurrently with FMLA leave")</f>
        <v>Non-birth parent leave runs concurrently with FMLA leave</v>
      </c>
      <c r="W124" s="3" t="str">
        <f>HYPERLINK("#'Vendors'!DT1","Q12.7.12_25_TEXT")</f>
        <v>Q12.7.12_25_TEXT</v>
      </c>
      <c r="X124" s="93" t="str">
        <f>HYPERLINK("#'Vendors'!DT2","Other miscellaneous health care vendors employed: Telehealth/telemedicine")</f>
        <v>Other miscellaneous health care vendors employed: Telehealth/telemedicine</v>
      </c>
    </row>
    <row r="125" spans="1:24" ht="38.25" x14ac:dyDescent="0.2">
      <c r="A125" s="87"/>
      <c r="B125" s="88"/>
      <c r="C125" s="96" t="str">
        <f>HYPERLINK("#'Enrollment, Eligib. &amp; Cost'!DU1","Q2.4.9_5")</f>
        <v>Q2.4.9_5</v>
      </c>
      <c r="D125" s="93" t="str">
        <f>HYPERLINK("#'Enrollment, Eligib. &amp; Cost'!DU2","Total monthly premium for HMO medical plan with highest enrollment: Employee + any child(ren)")</f>
        <v>Total monthly premium for HMO medical plan with highest enrollment: Employee + any child(ren)</v>
      </c>
      <c r="E125" s="6"/>
      <c r="F125" s="7"/>
      <c r="G125" s="6"/>
      <c r="H125" s="7"/>
      <c r="I125" s="96" t="str">
        <f>HYPERLINK("#'Other Benefits'!DU1","Q5.2.102")</f>
        <v>Q5.2.102</v>
      </c>
      <c r="J125" s="93" t="str">
        <f>HYPERLINK("#'Other Benefits'!DU2","Length of time COBRA coverage is subsidized for surviving dependents")</f>
        <v>Length of time COBRA coverage is subsidized for surviving dependents</v>
      </c>
      <c r="K125" s="3" t="str">
        <f>HYPERLINK("#'Healthcare'!DU1","Q6.2.24")</f>
        <v>Q6.2.24</v>
      </c>
      <c r="L125" s="93" t="str">
        <f>HYPERLINK("#'Healthcare'!DU2","Primary PPO medical plan non-acute care services out-of-network coverage")</f>
        <v>Primary PPO medical plan non-acute care services out-of-network coverage</v>
      </c>
      <c r="M125" s="6"/>
      <c r="N125" s="7"/>
      <c r="O125" s="6"/>
      <c r="P125" s="7"/>
      <c r="Q125" s="96" t="str">
        <f>HYPERLINK("#'Income Protection'!DU1","Q9.6.2")</f>
        <v>Q9.6.2</v>
      </c>
      <c r="R125" s="4" t="str">
        <f>HYPERLINK("#'Income Protection'!DU2","Long-term disability plan insurance type")</f>
        <v>Long-term disability plan insurance type</v>
      </c>
      <c r="S125" s="96" t="str">
        <f>HYPERLINK("#'Retirement, NQDC, Finances'!DU1","Q10.4.4_38")</f>
        <v>Q10.4.4_38</v>
      </c>
      <c r="T125" s="93" t="str">
        <f>HYPERLINK("#'Retirement, NQDC, Finances'!DU2","401(k) plan: Investments/number per fund type: Risk based asset allocation funds")</f>
        <v>401(k) plan: Investments/number per fund type: Risk based asset allocation funds</v>
      </c>
      <c r="U125" s="3" t="str">
        <f>HYPERLINK("#'Time Off'!DU1","Q11.6.18")</f>
        <v>Q11.6.18</v>
      </c>
      <c r="V125" s="93" t="str">
        <f>HYPERLINK("#'Time Off'!DU2","Care types covered by company's non-birth parent leave policy")</f>
        <v>Care types covered by company's non-birth parent leave policy</v>
      </c>
      <c r="W125" s="3" t="str">
        <f>HYPERLINK("#'Vendors'!DU1","Q12.7.13")</f>
        <v>Q12.7.13</v>
      </c>
      <c r="X125" s="93" t="str">
        <f>HYPERLINK("#'Vendors'!DU2","Miscellaneous health care vendors employed: Employee assistance program")</f>
        <v>Miscellaneous health care vendors employed: Employee assistance program</v>
      </c>
    </row>
    <row r="126" spans="1:24" ht="38.25" x14ac:dyDescent="0.2">
      <c r="A126" s="87"/>
      <c r="B126" s="88"/>
      <c r="C126" s="96" t="str">
        <f>HYPERLINK("#'Enrollment, Eligib. &amp; Cost'!DV1","Q2.4.9_6")</f>
        <v>Q2.4.9_6</v>
      </c>
      <c r="D126" s="93" t="str">
        <f>HYPERLINK("#'Enrollment, Eligib. &amp; Cost'!DV2","Total monthly premium for HMO medical plan with highest enrollment: Employee + 1 child")</f>
        <v>Total monthly premium for HMO medical plan with highest enrollment: Employee + 1 child</v>
      </c>
      <c r="E126" s="6"/>
      <c r="F126" s="7"/>
      <c r="G126" s="6"/>
      <c r="H126" s="7"/>
      <c r="I126" s="96" t="str">
        <f>HYPERLINK("#'Other Benefits'!DV1","Q5.2.103")</f>
        <v>Q5.2.103</v>
      </c>
      <c r="J126" s="93" t="str">
        <f>HYPERLINK("#'Other Benefits'!DV2","Other duration COBRA coverage subsidized")</f>
        <v>Other duration COBRA coverage subsidized</v>
      </c>
      <c r="K126" s="3" t="str">
        <f>HYPERLINK("#'Healthcare'!DV1","Q6.2.25_1")</f>
        <v>Q6.2.25_1</v>
      </c>
      <c r="L126" s="93" t="str">
        <f>HYPERLINK("#'Healthcare'!DV2","Primary PPO medical plan in-network copayment: General/Primary care office visit")</f>
        <v>Primary PPO medical plan in-network copayment: General/Primary care office visit</v>
      </c>
      <c r="M126" s="6"/>
      <c r="N126" s="7"/>
      <c r="O126" s="6"/>
      <c r="P126" s="7"/>
      <c r="Q126" s="96" t="str">
        <f>HYPERLINK("#'Income Protection'!DV1","Q9.6.3")</f>
        <v>Q9.6.3</v>
      </c>
      <c r="R126" s="4" t="str">
        <f>HYPERLINK("#'Income Protection'!DV2","Long-term disability plan elimination period")</f>
        <v>Long-term disability plan elimination period</v>
      </c>
      <c r="S126" s="96" t="str">
        <f>HYPERLINK("#'Retirement, NQDC, Finances'!DV1","Q10.4.4_39")</f>
        <v>Q10.4.4_39</v>
      </c>
      <c r="T126" s="93" t="str">
        <f>HYPERLINK("#'Retirement, NQDC, Finances'!DV2","401(k) plan: Investments/number per fund type: Socially responsible")</f>
        <v>401(k) plan: Investments/number per fund type: Socially responsible</v>
      </c>
      <c r="U126" s="3" t="str">
        <f>HYPERLINK("#'Time Off'!DV1","Q11.6.19")</f>
        <v>Q11.6.19</v>
      </c>
      <c r="V126" s="93" t="str">
        <f>HYPERLINK("#'Time Off'!DV2","Employee's job is protected while on approved non-birth parent leave beyond what is required by law")</f>
        <v>Employee's job is protected while on approved non-birth parent leave beyond what is required by law</v>
      </c>
      <c r="W126" s="3" t="str">
        <f>HYPERLINK("#'Vendors'!DV1","Q12.7.13_42_TEXT")</f>
        <v>Q12.7.13_42_TEXT</v>
      </c>
      <c r="X126" s="93" t="str">
        <f>HYPERLINK("#'Vendors'!DV2","Other miscellaneous health care vendors employed: Employee assistance program")</f>
        <v>Other miscellaneous health care vendors employed: Employee assistance program</v>
      </c>
    </row>
    <row r="127" spans="1:24" ht="25.5" x14ac:dyDescent="0.2">
      <c r="A127" s="87"/>
      <c r="B127" s="88"/>
      <c r="C127" s="96" t="str">
        <f>HYPERLINK("#'Enrollment, Eligib. &amp; Cost'!DW1","Q2.4.9_7")</f>
        <v>Q2.4.9_7</v>
      </c>
      <c r="D127" s="93" t="str">
        <f>HYPERLINK("#'Enrollment, Eligib. &amp; Cost'!DW2","Total monthly premium for HMO medical plan with highest enrollment: Employee + 2 children")</f>
        <v>Total monthly premium for HMO medical plan with highest enrollment: Employee + 2 children</v>
      </c>
      <c r="E127" s="6"/>
      <c r="F127" s="7"/>
      <c r="G127" s="6"/>
      <c r="H127" s="7"/>
      <c r="I127" s="96" t="str">
        <f>HYPERLINK("#'Other Benefits'!DW1","Q5.2.104")</f>
        <v>Q5.2.104</v>
      </c>
      <c r="J127" s="93" t="str">
        <f>HYPERLINK("#'Other Benefits'!DW2","Have a third-party vendor coordinate and communicate the survivor support provided")</f>
        <v>Have a third-party vendor coordinate and communicate the survivor support provided</v>
      </c>
      <c r="K127" s="3" t="str">
        <f>HYPERLINK("#'Healthcare'!DW1","Q6.2.25_2")</f>
        <v>Q6.2.25_2</v>
      </c>
      <c r="L127" s="93" t="str">
        <f>HYPERLINK("#'Healthcare'!DW2","Primary PPO medical plan in-network copayment: Specialist office visit")</f>
        <v>Primary PPO medical plan in-network copayment: Specialist office visit</v>
      </c>
      <c r="M127" s="6"/>
      <c r="N127" s="7"/>
      <c r="O127" s="6"/>
      <c r="P127" s="7"/>
      <c r="Q127" s="96" t="str">
        <f>HYPERLINK("#'Income Protection'!DW1","Q9.6.4")</f>
        <v>Q9.6.4</v>
      </c>
      <c r="R127" s="4" t="str">
        <f>HYPERLINK("#'Income Protection'!DW2","Basic/employer paid long term disability coverage percentage")</f>
        <v>Basic/employer paid long term disability coverage percentage</v>
      </c>
      <c r="S127" s="96" t="str">
        <f>HYPERLINK("#'Retirement, NQDC, Finances'!DW1","Q10.4.4_41")</f>
        <v>Q10.4.4_41</v>
      </c>
      <c r="T127" s="93" t="str">
        <f>HYPERLINK("#'Retirement, NQDC, Finances'!DW2","401(k) plan: Investments/number per fund type: ETFs")</f>
        <v>401(k) plan: Investments/number per fund type: ETFs</v>
      </c>
      <c r="U127" s="3" t="str">
        <f>HYPERLINK("#'Time Off'!DW1","Q11.6.20")</f>
        <v>Q11.6.20</v>
      </c>
      <c r="V127" s="93" t="str">
        <f>HYPERLINK("#'Time Off'!DW2","Number of weeks until employee loses job protection while on non-birth parent leave")</f>
        <v>Number of weeks until employee loses job protection while on non-birth parent leave</v>
      </c>
      <c r="W127" s="3" t="str">
        <f>HYPERLINK("#'Vendors'!DW1","Q12.7.14")</f>
        <v>Q12.7.14</v>
      </c>
      <c r="X127" s="93" t="str">
        <f>HYPERLINK("#'Vendors'!DW2","Miscellaneous health care vendors employed: Stress, resiliency, mindfulness")</f>
        <v>Miscellaneous health care vendors employed: Stress, resiliency, mindfulness</v>
      </c>
    </row>
    <row r="128" spans="1:24" ht="38.25" x14ac:dyDescent="0.2">
      <c r="A128" s="87"/>
      <c r="B128" s="88"/>
      <c r="C128" s="96" t="str">
        <f>HYPERLINK("#'Enrollment, Eligib. &amp; Cost'!DX1","Q2.4.9_8")</f>
        <v>Q2.4.9_8</v>
      </c>
      <c r="D128" s="93" t="str">
        <f>HYPERLINK("#'Enrollment, Eligib. &amp; Cost'!DX2","Total monthly premium for HMO medical plan with highest enrollment: Employee + 3 children")</f>
        <v>Total monthly premium for HMO medical plan with highest enrollment: Employee + 3 children</v>
      </c>
      <c r="E128" s="6"/>
      <c r="F128" s="7"/>
      <c r="G128" s="6"/>
      <c r="H128" s="7"/>
      <c r="I128" s="96" t="str">
        <f>HYPERLINK("#'Other Benefits'!DX1","Q5.2.105")</f>
        <v>Q5.2.105</v>
      </c>
      <c r="J128" s="93" t="str">
        <f>HYPERLINK("#'Other Benefits'!DX2","Benefits vendor coordinates and/or communicates")</f>
        <v>Benefits vendor coordinates and/or communicates</v>
      </c>
      <c r="K128" s="3" t="str">
        <f>HYPERLINK("#'Healthcare'!DX1","Q6.2.25_3")</f>
        <v>Q6.2.25_3</v>
      </c>
      <c r="L128" s="93" t="str">
        <f>HYPERLINK("#'Healthcare'!DX2","Primary PPO medical plan in-network copayment: Autism/applied behavioral analysis (ABA)")</f>
        <v>Primary PPO medical plan in-network copayment: Autism/applied behavioral analysis (ABA)</v>
      </c>
      <c r="M128" s="6"/>
      <c r="N128" s="7"/>
      <c r="O128" s="6"/>
      <c r="P128" s="7"/>
      <c r="Q128" s="96" t="str">
        <f>HYPERLINK("#'Income Protection'!DX1","Q9.6.5_1")</f>
        <v>Q9.6.5_1</v>
      </c>
      <c r="R128" s="4" t="str">
        <f>HYPERLINK("#'Income Protection'!DX2","Supplemental/buy up long term disability coverage percentage: Option 1")</f>
        <v>Supplemental/buy up long term disability coverage percentage: Option 1</v>
      </c>
      <c r="S128" s="96" t="str">
        <f>HYPERLINK("#'Retirement, NQDC, Finances'!DX1","Q10.4.4_42")</f>
        <v>Q10.4.4_42</v>
      </c>
      <c r="T128" s="93" t="str">
        <f>HYPERLINK("#'Retirement, NQDC, Finances'!DX2","401(k) plan: Investments/number per fund type: Cryptocurrencies")</f>
        <v>401(k) plan: Investments/number per fund type: Cryptocurrencies</v>
      </c>
      <c r="U128" s="3" t="str">
        <f>HYPERLINK("#'Time Off'!DX1","Q11.6.22")</f>
        <v>Q11.6.22</v>
      </c>
      <c r="V128" s="93" t="str">
        <f>HYPERLINK("#'Time Off'!DX2","Caregiver leave policy in place")</f>
        <v>Caregiver leave policy in place</v>
      </c>
      <c r="W128" s="3" t="str">
        <f>HYPERLINK("#'Vendors'!DX1","Q12.7.14_42_TEXT")</f>
        <v>Q12.7.14_42_TEXT</v>
      </c>
      <c r="X128" s="93" t="str">
        <f>HYPERLINK("#'Vendors'!DX2","Other miscellaneous health care vendors employed: Stress, resiliency, mindfulness")</f>
        <v>Other miscellaneous health care vendors employed: Stress, resiliency, mindfulness</v>
      </c>
    </row>
    <row r="129" spans="1:24" ht="25.5" x14ac:dyDescent="0.2">
      <c r="A129" s="87"/>
      <c r="B129" s="88"/>
      <c r="C129" s="96" t="str">
        <f>HYPERLINK("#'Enrollment, Eligib. &amp; Cost'!DY1","Q2.4.9_9")</f>
        <v>Q2.4.9_9</v>
      </c>
      <c r="D129" s="93" t="str">
        <f>HYPERLINK("#'Enrollment, Eligib. &amp; Cost'!DY2","Total monthly premium for HMO medical plan with highest enrollment: Employee + 4 children")</f>
        <v>Total monthly premium for HMO medical plan with highest enrollment: Employee + 4 children</v>
      </c>
      <c r="E129" s="6"/>
      <c r="F129" s="7"/>
      <c r="G129" s="6"/>
      <c r="H129" s="7"/>
      <c r="I129" s="96" t="str">
        <f>HYPERLINK("#'Other Benefits'!DY1","Q5.2.106")</f>
        <v>Q5.2.106</v>
      </c>
      <c r="J129" s="93" t="str">
        <f>HYPERLINK("#'Other Benefits'!DY2","Provide funds to grassroots efforts (e.g., GoFundMe or family fundraisers)")</f>
        <v>Provide funds to grassroots efforts (e.g., GoFundMe or family fundraisers)</v>
      </c>
      <c r="K129" s="3" t="str">
        <f>HYPERLINK("#'Healthcare'!DY1","Q6.2.25_4")</f>
        <v>Q6.2.25_4</v>
      </c>
      <c r="L129" s="93" t="str">
        <f>HYPERLINK("#'Healthcare'!DY2","Primary PPO medical plan in-network copayment: Emergency room")</f>
        <v>Primary PPO medical plan in-network copayment: Emergency room</v>
      </c>
      <c r="M129" s="6"/>
      <c r="N129" s="7"/>
      <c r="O129" s="6"/>
      <c r="P129" s="7"/>
      <c r="Q129" s="96" t="str">
        <f>HYPERLINK("#'Income Protection'!DY1","Q9.6.5_2")</f>
        <v>Q9.6.5_2</v>
      </c>
      <c r="R129" s="4" t="str">
        <f>HYPERLINK("#'Income Protection'!DY2","Supplemental/buy up long term disability coverage percentage: Option 2")</f>
        <v>Supplemental/buy up long term disability coverage percentage: Option 2</v>
      </c>
      <c r="S129" s="96" t="str">
        <f>HYPERLINK("#'Retirement, NQDC, Finances'!DY1","Q10.4.4_40")</f>
        <v>Q10.4.4_40</v>
      </c>
      <c r="T129" s="93" t="str">
        <f>HYPERLINK("#'Retirement, NQDC, Finances'!DY2","401(k) plan: Investments/number per fund type: Other")</f>
        <v>401(k) plan: Investments/number per fund type: Other</v>
      </c>
      <c r="U129" s="3" t="str">
        <f>HYPERLINK("#'Time Off'!DY1","Q11.6.23")</f>
        <v>Q11.6.23</v>
      </c>
      <c r="V129" s="93" t="str">
        <f>HYPERLINK("#'Time Off'!DY2","Caregiver leave paid or unpaid")</f>
        <v>Caregiver leave paid or unpaid</v>
      </c>
      <c r="W129" s="3" t="str">
        <f>HYPERLINK("#'Vendors'!DY1","Q12.7.15")</f>
        <v>Q12.7.15</v>
      </c>
      <c r="X129" s="93" t="str">
        <f>HYPERLINK("#'Vendors'!DY2","Miscellaneous health care vendors employed: Smoking cessation")</f>
        <v>Miscellaneous health care vendors employed: Smoking cessation</v>
      </c>
    </row>
    <row r="130" spans="1:24" ht="25.5" x14ac:dyDescent="0.2">
      <c r="A130" s="87"/>
      <c r="B130" s="88"/>
      <c r="C130" s="96" t="str">
        <f>HYPERLINK("#'Enrollment, Eligib. &amp; Cost'!DZ1","Q2.4.9_10")</f>
        <v>Q2.4.9_10</v>
      </c>
      <c r="D130" s="93" t="str">
        <f>HYPERLINK("#'Enrollment, Eligib. &amp; Cost'!DZ2","Total monthly premium for HMO medical plan with highest enrollment: Employee + 5 children")</f>
        <v>Total monthly premium for HMO medical plan with highest enrollment: Employee + 5 children</v>
      </c>
      <c r="E130" s="6"/>
      <c r="F130" s="7"/>
      <c r="G130" s="6"/>
      <c r="H130" s="7"/>
      <c r="I130" s="96" t="str">
        <f>HYPERLINK("#'Other Benefits'!DZ1","Q5.2.107")</f>
        <v>Q5.2.107</v>
      </c>
      <c r="J130" s="93" t="str">
        <f>HYPERLINK("#'Other Benefits'!DZ2","Grassroots efforts company provides funds for")</f>
        <v>Grassroots efforts company provides funds for</v>
      </c>
      <c r="K130" s="3" t="str">
        <f>HYPERLINK("#'Healthcare'!DZ1","Q6.2.25_5")</f>
        <v>Q6.2.25_5</v>
      </c>
      <c r="L130" s="93" t="str">
        <f>HYPERLINK("#'Healthcare'!DZ2","Primary PPO medical plan in-network copayment: Urgent office visit")</f>
        <v>Primary PPO medical plan in-network copayment: Urgent office visit</v>
      </c>
      <c r="M130" s="6"/>
      <c r="N130" s="7"/>
      <c r="O130" s="6"/>
      <c r="P130" s="7"/>
      <c r="Q130" s="96" t="str">
        <f>HYPERLINK("#'Income Protection'!DZ1","Q9.6.5_3")</f>
        <v>Q9.6.5_3</v>
      </c>
      <c r="R130" s="4" t="str">
        <f>HYPERLINK("#'Income Protection'!DZ2","Supplemental/buy up long term disability coverage percentage: Option 3")</f>
        <v>Supplemental/buy up long term disability coverage percentage: Option 3</v>
      </c>
      <c r="S130" s="96" t="str">
        <f>HYPERLINK("#'Retirement, NQDC, Finances'!DZ1","Q10.4.5")</f>
        <v>Q10.4.5</v>
      </c>
      <c r="T130" s="93" t="str">
        <f>HYPERLINK("#'Retirement, NQDC, Finances'!DZ2","401(k) plan investment fund types: Separate accounts offering")</f>
        <v>401(k) plan investment fund types: Separate accounts offering</v>
      </c>
      <c r="U130" s="3" t="str">
        <f>HYPERLINK("#'Time Off'!DZ1","Q11.6.24")</f>
        <v>Q11.6.24</v>
      </c>
      <c r="V130" s="93" t="str">
        <f>HYPERLINK("#'Time Off'!DZ2","Weeks offered for caregiver leave")</f>
        <v>Weeks offered for caregiver leave</v>
      </c>
      <c r="W130" s="3" t="str">
        <f>HYPERLINK("#'Vendors'!DZ1","Q12.7.15_42_TEXT")</f>
        <v>Q12.7.15_42_TEXT</v>
      </c>
      <c r="X130" s="93" t="str">
        <f>HYPERLINK("#'Vendors'!DZ2","Other miscellaneous health care vendors employed: Smoking cessation")</f>
        <v>Other miscellaneous health care vendors employed: Smoking cessation</v>
      </c>
    </row>
    <row r="131" spans="1:24" ht="38.25" x14ac:dyDescent="0.2">
      <c r="A131" s="87"/>
      <c r="B131" s="88"/>
      <c r="C131" s="96" t="str">
        <f>HYPERLINK("#'Enrollment, Eligib. &amp; Cost'!EA1","Q2.4.9_11")</f>
        <v>Q2.4.9_11</v>
      </c>
      <c r="D131" s="93" t="str">
        <f>HYPERLINK("#'Enrollment, Eligib. &amp; Cost'!EA2","Total monthly premium for HMO medical plan with highest enrollment: Family (employee + spouse/DP + dependent) with any child(ren)")</f>
        <v>Total monthly premium for HMO medical plan with highest enrollment: Family (employee + spouse/DP + dependent) with any child(ren)</v>
      </c>
      <c r="E131" s="6"/>
      <c r="F131" s="7"/>
      <c r="G131" s="6"/>
      <c r="H131" s="7"/>
      <c r="I131" s="96" t="str">
        <f>HYPERLINK("#'Other Benefits'!EA1","Q5.2.108")</f>
        <v>Q5.2.108</v>
      </c>
      <c r="J131" s="93" t="str">
        <f>HYPERLINK("#'Other Benefits'!EA2","Additional survivor support provided")</f>
        <v>Additional survivor support provided</v>
      </c>
      <c r="K131" s="3" t="str">
        <f>HYPERLINK("#'Healthcare'!EA1","Q6.2.25_7")</f>
        <v>Q6.2.25_7</v>
      </c>
      <c r="L131" s="93" t="str">
        <f>HYPERLINK("#'Healthcare'!EA2","Primary PPO medical plan in-network copayment: Telehealth")</f>
        <v>Primary PPO medical plan in-network copayment: Telehealth</v>
      </c>
      <c r="M131" s="6"/>
      <c r="N131" s="7"/>
      <c r="O131" s="6"/>
      <c r="P131" s="7"/>
      <c r="Q131" s="96" t="str">
        <f>HYPERLINK("#'Income Protection'!EA1","Q9.6.5_4")</f>
        <v>Q9.6.5_4</v>
      </c>
      <c r="R131" s="4" t="str">
        <f>HYPERLINK("#'Income Protection'!EA2","Supplemental/buy up long term disability coverage percentage: Option 4")</f>
        <v>Supplemental/buy up long term disability coverage percentage: Option 4</v>
      </c>
      <c r="S131" s="96" t="str">
        <f>HYPERLINK("#'Retirement, NQDC, Finances'!EA1","Q10.4.6")</f>
        <v>Q10.4.6</v>
      </c>
      <c r="T131" s="93" t="str">
        <f>HYPERLINK("#'Retirement, NQDC, Finances'!EA2","401(k) plan investment fund types: Self-directed account offering")</f>
        <v>401(k) plan investment fund types: Self-directed account offering</v>
      </c>
      <c r="U131" s="3" t="str">
        <f>HYPERLINK("#'Time Off'!EA1","Q11.6.25")</f>
        <v>Q11.6.25</v>
      </c>
      <c r="V131" s="93" t="str">
        <f>HYPERLINK("#'Time Off'!EA2","Relationships covered by company's caregiver leave policy")</f>
        <v>Relationships covered by company's caregiver leave policy</v>
      </c>
      <c r="W131" s="3" t="str">
        <f>HYPERLINK("#'Vendors'!EA1","Q12.7.16")</f>
        <v>Q12.7.16</v>
      </c>
      <c r="X131" s="93" t="str">
        <f>HYPERLINK("#'Vendors'!EA2","Miscellaneous health care vendors employed: Weight management")</f>
        <v>Miscellaneous health care vendors employed: Weight management</v>
      </c>
    </row>
    <row r="132" spans="1:24" ht="38.25" x14ac:dyDescent="0.2">
      <c r="A132" s="87"/>
      <c r="B132" s="88"/>
      <c r="C132" s="96" t="str">
        <f>HYPERLINK("#'Enrollment, Eligib. &amp; Cost'!EB1","Q2.4.9_12")</f>
        <v>Q2.4.9_12</v>
      </c>
      <c r="D132" s="93" t="str">
        <f>HYPERLINK("#'Enrollment, Eligib. &amp; Cost'!EB2","Total monthly premium for HMO medical plan with highest enrollment: Family (employee + spouse/DP + dependent) with 1 child")</f>
        <v>Total monthly premium for HMO medical plan with highest enrollment: Family (employee + spouse/DP + dependent) with 1 child</v>
      </c>
      <c r="E132" s="6"/>
      <c r="F132" s="7"/>
      <c r="G132" s="6"/>
      <c r="H132" s="7"/>
      <c r="I132" s="96" t="str">
        <f>HYPERLINK("#'Other Benefits'!EB1","Q5.2.109")</f>
        <v>Q5.2.109</v>
      </c>
      <c r="J132" s="93" t="str">
        <f>HYPERLINK("#'Other Benefits'!EB2","Made any changes to survivor support as a result of COVID-19")</f>
        <v>Made any changes to survivor support as a result of COVID-19</v>
      </c>
      <c r="K132" s="3" t="str">
        <f>HYPERLINK("#'Healthcare'!EB1","Q6.2.25_6")</f>
        <v>Q6.2.25_6</v>
      </c>
      <c r="L132" s="93" t="str">
        <f>HYPERLINK("#'Healthcare'!EB2","Primary PPO medical plan in-network copayment: Other")</f>
        <v>Primary PPO medical plan in-network copayment: Other</v>
      </c>
      <c r="M132" s="6"/>
      <c r="N132" s="7"/>
      <c r="O132" s="6"/>
      <c r="P132" s="7"/>
      <c r="Q132" s="96" t="str">
        <f>HYPERLINK("#'Income Protection'!EB1","Q9.6.5_5")</f>
        <v>Q9.6.5_5</v>
      </c>
      <c r="R132" s="4" t="str">
        <f>HYPERLINK("#'Income Protection'!EB2","Supplemental/buy up long term disability coverage percentage: Option 5")</f>
        <v>Supplemental/buy up long term disability coverage percentage: Option 5</v>
      </c>
      <c r="S132" s="96" t="str">
        <f>HYPERLINK("#'Retirement, NQDC, Finances'!EB1","Q10.4.7_1")</f>
        <v>Q10.4.7_1</v>
      </c>
      <c r="T132" s="93" t="str">
        <f>HYPERLINK("#'Retirement, NQDC, Finances'!EB2","401(k) plan: Self-directed account investment restrictions: Commodities")</f>
        <v>401(k) plan: Self-directed account investment restrictions: Commodities</v>
      </c>
      <c r="U132" s="3" t="str">
        <f>HYPERLINK("#'Time Off'!EB1","Q11.6.26")</f>
        <v>Q11.6.26</v>
      </c>
      <c r="V132" s="93" t="str">
        <f>HYPERLINK("#'Time Off'!EB2","Employee's job is protected while on approved caregiver leave beyond what is required by law")</f>
        <v>Employee's job is protected while on approved caregiver leave beyond what is required by law</v>
      </c>
      <c r="W132" s="3" t="str">
        <f>HYPERLINK("#'Vendors'!EB1","Q12.7.16_42_TEXT")</f>
        <v>Q12.7.16_42_TEXT</v>
      </c>
      <c r="X132" s="93" t="str">
        <f>HYPERLINK("#'Vendors'!EB2","Other miscellaneous health care vendors employed: Weight management")</f>
        <v>Other miscellaneous health care vendors employed: Weight management</v>
      </c>
    </row>
    <row r="133" spans="1:24" ht="38.25" x14ac:dyDescent="0.2">
      <c r="A133" s="87"/>
      <c r="B133" s="88"/>
      <c r="C133" s="96" t="str">
        <f>HYPERLINK("#'Enrollment, Eligib. &amp; Cost'!EC1","Q2.4.9_13")</f>
        <v>Q2.4.9_13</v>
      </c>
      <c r="D133" s="93" t="str">
        <f>HYPERLINK("#'Enrollment, Eligib. &amp; Cost'!EC2","Total monthly premium for HMO medical plan with highest enrollment: Family (employee + spouse/DP + dependent) with 2 child(ren)")</f>
        <v>Total monthly premium for HMO medical plan with highest enrollment: Family (employee + spouse/DP + dependent) with 2 child(ren)</v>
      </c>
      <c r="E133" s="6"/>
      <c r="F133" s="7"/>
      <c r="G133" s="6"/>
      <c r="H133" s="7"/>
      <c r="I133" s="96" t="str">
        <f>HYPERLINK("#'Other Benefits'!EC1","Q5.2.110")</f>
        <v>Q5.2.110</v>
      </c>
      <c r="J133" s="93" t="str">
        <f>HYPERLINK("#'Other Benefits'!EC2","Changes made to survivor support")</f>
        <v>Changes made to survivor support</v>
      </c>
      <c r="K133" s="3" t="str">
        <f>HYPERLINK("#'Healthcare'!EC1","Q6.2.26_1")</f>
        <v>Q6.2.26_1</v>
      </c>
      <c r="L133" s="93" t="str">
        <f>HYPERLINK("#'Healthcare'!EC2","Primary PPO medical plan in-network coinsurance: General/Primary care office visit")</f>
        <v>Primary PPO medical plan in-network coinsurance: General/Primary care office visit</v>
      </c>
      <c r="M133" s="6"/>
      <c r="N133" s="7"/>
      <c r="O133" s="6"/>
      <c r="P133" s="7"/>
      <c r="Q133" s="96" t="str">
        <f>HYPERLINK("#'Income Protection'!EC1","Q9.6.6")</f>
        <v>Q9.6.6</v>
      </c>
      <c r="R133" s="4" t="str">
        <f>HYPERLINK("#'Income Protection'!EC2","Events allowing employees to elect or increase long term disability coverage without medical review (guarantee issue)")</f>
        <v>Events allowing employees to elect or increase long term disability coverage without medical review (guarantee issue)</v>
      </c>
      <c r="S133" s="96" t="str">
        <f>HYPERLINK("#'Retirement, NQDC, Finances'!EC1","Q10.4.7_2")</f>
        <v>Q10.4.7_2</v>
      </c>
      <c r="T133" s="93" t="str">
        <f>HYPERLINK("#'Retirement, NQDC, Finances'!EC2","401(k) plan: Self-directed account investment restrictions: Company stock")</f>
        <v>401(k) plan: Self-directed account investment restrictions: Company stock</v>
      </c>
      <c r="U133" s="3" t="str">
        <f>HYPERLINK("#'Time Off'!EC1","Q11.6.27")</f>
        <v>Q11.6.27</v>
      </c>
      <c r="V133" s="93" t="str">
        <f>HYPERLINK("#'Time Off'!EC2","Number of weeks until employee loses job protection while on caregiver leave")</f>
        <v>Number of weeks until employee loses job protection while on caregiver leave</v>
      </c>
      <c r="W133" s="3" t="str">
        <f>HYPERLINK("#'Vendors'!EC1","Q12.7.17")</f>
        <v>Q12.7.17</v>
      </c>
      <c r="X133" s="93" t="str">
        <f>HYPERLINK("#'Vendors'!EC2","Miscellaneous health care vendors employed: Budget, debt and financial wellness services")</f>
        <v>Miscellaneous health care vendors employed: Budget, debt and financial wellness services</v>
      </c>
    </row>
    <row r="134" spans="1:24" ht="38.25" x14ac:dyDescent="0.2">
      <c r="A134" s="87"/>
      <c r="B134" s="88"/>
      <c r="C134" s="96" t="str">
        <f>HYPERLINK("#'Enrollment, Eligib. &amp; Cost'!ED1","Q2.4.9_14")</f>
        <v>Q2.4.9_14</v>
      </c>
      <c r="D134" s="93" t="str">
        <f>HYPERLINK("#'Enrollment, Eligib. &amp; Cost'!ED2","Total monthly premium for HMO medical plan with highest enrollment: Family (employee + spouse/DP + dependent) with 3 child(ren)")</f>
        <v>Total monthly premium for HMO medical plan with highest enrollment: Family (employee + spouse/DP + dependent) with 3 child(ren)</v>
      </c>
      <c r="E134" s="6"/>
      <c r="F134" s="7"/>
      <c r="G134" s="6"/>
      <c r="H134" s="7"/>
      <c r="I134" s="96" t="str">
        <f>HYPERLINK("#'Other Benefits'!ED1","Q5.3.2")</f>
        <v>Q5.3.2</v>
      </c>
      <c r="J134" s="93" t="str">
        <f>HYPERLINK("#'Other Benefits'!ED2","Financial benefits offered")</f>
        <v>Financial benefits offered</v>
      </c>
      <c r="K134" s="3" t="str">
        <f>HYPERLINK("#'Healthcare'!ED1","Q6.2.26_2")</f>
        <v>Q6.2.26_2</v>
      </c>
      <c r="L134" s="93" t="str">
        <f>HYPERLINK("#'Healthcare'!ED2","Primary PPO medical plan in-network coinsurance: Specialist office visit")</f>
        <v>Primary PPO medical plan in-network coinsurance: Specialist office visit</v>
      </c>
      <c r="M134" s="6"/>
      <c r="N134" s="7"/>
      <c r="O134" s="6"/>
      <c r="P134" s="7"/>
      <c r="Q134" s="96" t="str">
        <f>HYPERLINK("#'Income Protection'!ED1","Q9.6.7_1")</f>
        <v>Q9.6.7_1</v>
      </c>
      <c r="R134" s="4" t="str">
        <f>HYPERLINK("#'Income Protection'!ED2","Maximum duration of long term disability benefits if benefits begin under age 60")</f>
        <v>Maximum duration of long term disability benefits if benefits begin under age 60</v>
      </c>
      <c r="S134" s="96" t="str">
        <f>HYPERLINK("#'Retirement, NQDC, Finances'!ED1","Q10.4.7_3")</f>
        <v>Q10.4.7_3</v>
      </c>
      <c r="T134" s="93" t="str">
        <f>HYPERLINK("#'Retirement, NQDC, Finances'!ED2","401(k) plan: Self-directed account investment restrictions: Futures")</f>
        <v>401(k) plan: Self-directed account investment restrictions: Futures</v>
      </c>
      <c r="U134" s="3" t="str">
        <f>HYPERLINK("#'Time Off'!ED1","Q11.6.28")</f>
        <v>Q11.6.28</v>
      </c>
      <c r="V134" s="93" t="str">
        <f>HYPERLINK("#'Time Off'!ED2","Caregiving benefits offered by your company")</f>
        <v>Caregiving benefits offered by your company</v>
      </c>
      <c r="W134" s="3" t="str">
        <f>HYPERLINK("#'Vendors'!ED1","Q12.7.17_16_TEXT")</f>
        <v>Q12.7.17_16_TEXT</v>
      </c>
      <c r="X134" s="93" t="str">
        <f>HYPERLINK("#'Vendors'!ED2","Other miscellaneous health care vendors employed: Budget, debt and financial wellness services")</f>
        <v>Other miscellaneous health care vendors employed: Budget, debt and financial wellness services</v>
      </c>
    </row>
    <row r="135" spans="1:24" ht="38.25" x14ac:dyDescent="0.2">
      <c r="A135" s="87"/>
      <c r="B135" s="88"/>
      <c r="C135" s="96" t="str">
        <f>HYPERLINK("#'Enrollment, Eligib. &amp; Cost'!EE1","Q2.4.9_15")</f>
        <v>Q2.4.9_15</v>
      </c>
      <c r="D135" s="93" t="str">
        <f>HYPERLINK("#'Enrollment, Eligib. &amp; Cost'!EE2","Total monthly premium for HMO medical plan with highest enrollment: Family (employee + spouse/DP + dependent) with 4 child(ren)")</f>
        <v>Total monthly premium for HMO medical plan with highest enrollment: Family (employee + spouse/DP + dependent) with 4 child(ren)</v>
      </c>
      <c r="E135" s="6"/>
      <c r="F135" s="7"/>
      <c r="G135" s="6"/>
      <c r="H135" s="7"/>
      <c r="I135" s="96" t="str">
        <f>HYPERLINK("#'Other Benefits'!EE1","Q5.3.4")</f>
        <v>Q5.3.4</v>
      </c>
      <c r="J135" s="93" t="str">
        <f>HYPERLINK("#'Other Benefits'!EE2","Type of health care flexible spending account offered: Traditional FSA")</f>
        <v>Type of health care flexible spending account offered: Traditional FSA</v>
      </c>
      <c r="K135" s="3" t="str">
        <f>HYPERLINK("#'Healthcare'!EE1","Q6.2.26_3")</f>
        <v>Q6.2.26_3</v>
      </c>
      <c r="L135" s="93" t="str">
        <f>HYPERLINK("#'Healthcare'!EE2","Primary PPO medical plan in-network coinsurance: Autism/applied behavioral analysis (ABA)")</f>
        <v>Primary PPO medical plan in-network coinsurance: Autism/applied behavioral analysis (ABA)</v>
      </c>
      <c r="M135" s="6"/>
      <c r="N135" s="7"/>
      <c r="O135" s="6"/>
      <c r="P135" s="7"/>
      <c r="Q135" s="96" t="str">
        <f>HYPERLINK("#'Income Protection'!EE1","Q9.6.7_2")</f>
        <v>Q9.6.7_2</v>
      </c>
      <c r="R135" s="4" t="str">
        <f>HYPERLINK("#'Income Protection'!EE2","Maximum duration of long term disability benefits if benefits begin at age 60")</f>
        <v>Maximum duration of long term disability benefits if benefits begin at age 60</v>
      </c>
      <c r="S135" s="96" t="str">
        <f>HYPERLINK("#'Retirement, NQDC, Finances'!EE1","Q10.4.7_4")</f>
        <v>Q10.4.7_4</v>
      </c>
      <c r="T135" s="93" t="str">
        <f>HYPERLINK("#'Retirement, NQDC, Finances'!EE2","401(k) plan: Self-directed account investment restrictions: Options")</f>
        <v>401(k) plan: Self-directed account investment restrictions: Options</v>
      </c>
      <c r="U135" s="3" t="str">
        <f>HYPERLINK("#'Time Off'!EE1","Q11.6.29")</f>
        <v>Q11.6.29</v>
      </c>
      <c r="V135" s="93" t="str">
        <f>HYPERLINK("#'Time Off'!EE2","Other caregiving benefits offered by your company")</f>
        <v>Other caregiving benefits offered by your company</v>
      </c>
      <c r="W135" s="3" t="str">
        <f>HYPERLINK("#'Vendors'!EE1","Q12.7.18")</f>
        <v>Q12.7.18</v>
      </c>
      <c r="X135" s="93" t="str">
        <f>HYPERLINK("#'Vendors'!EE2","Miscellaneous health care vendors employed: Flu shots")</f>
        <v>Miscellaneous health care vendors employed: Flu shots</v>
      </c>
    </row>
    <row r="136" spans="1:24" ht="38.25" x14ac:dyDescent="0.2">
      <c r="A136" s="87"/>
      <c r="B136" s="88"/>
      <c r="C136" s="96" t="str">
        <f>HYPERLINK("#'Enrollment, Eligib. &amp; Cost'!EF1","Q2.4.9_16")</f>
        <v>Q2.4.9_16</v>
      </c>
      <c r="D136" s="93" t="str">
        <f>HYPERLINK("#'Enrollment, Eligib. &amp; Cost'!EF2","Total monthly premium for HMO medical plan with highest enrollment: Family (employee + spouse/DP + dependent) with 5 child(ren)")</f>
        <v>Total monthly premium for HMO medical plan with highest enrollment: Family (employee + spouse/DP + dependent) with 5 child(ren)</v>
      </c>
      <c r="E136" s="6"/>
      <c r="F136" s="7"/>
      <c r="G136" s="6"/>
      <c r="H136" s="7"/>
      <c r="I136" s="96" t="str">
        <f>HYPERLINK("#'Other Benefits'!EF1","Q5.3.5_1")</f>
        <v>Q5.3.5_1</v>
      </c>
      <c r="J136" s="93" t="str">
        <f>HYPERLINK("#'Other Benefits'!EF2","Employer contributions offered: Traditional FSA")</f>
        <v>Employer contributions offered: Traditional FSA</v>
      </c>
      <c r="K136" s="3" t="str">
        <f>HYPERLINK("#'Healthcare'!EF1","Q6.2.26_4")</f>
        <v>Q6.2.26_4</v>
      </c>
      <c r="L136" s="93" t="str">
        <f>HYPERLINK("#'Healthcare'!EF2","Primary PPO medical plan in-network coinsurance: Emergency room")</f>
        <v>Primary PPO medical plan in-network coinsurance: Emergency room</v>
      </c>
      <c r="M136" s="6"/>
      <c r="N136" s="7"/>
      <c r="O136" s="6"/>
      <c r="P136" s="7"/>
      <c r="Q136" s="96" t="str">
        <f>HYPERLINK("#'Income Protection'!EF1","Q9.6.7_3")</f>
        <v>Q9.6.7_3</v>
      </c>
      <c r="R136" s="4" t="str">
        <f>HYPERLINK("#'Income Protection'!EF2","Maximum duration of long term disability benefits if benefits begin at age 61")</f>
        <v>Maximum duration of long term disability benefits if benefits begin at age 61</v>
      </c>
      <c r="S136" s="96" t="str">
        <f>HYPERLINK("#'Retirement, NQDC, Finances'!EF1","Q10.4.7_5")</f>
        <v>Q10.4.7_5</v>
      </c>
      <c r="T136" s="93" t="str">
        <f>HYPERLINK("#'Retirement, NQDC, Finances'!EF2","401(k) plan: Self-directed account investment restrictions: Tax exempt securities")</f>
        <v>401(k) plan: Self-directed account investment restrictions: Tax exempt securities</v>
      </c>
      <c r="U136" s="3" t="str">
        <f>HYPERLINK("#'Time Off'!EF1","Q11.6.30")</f>
        <v>Q11.6.30</v>
      </c>
      <c r="V136" s="93" t="str">
        <f>HYPERLINK("#'Time Off'!EF2","Workplace accommodations offered to caregivers")</f>
        <v>Workplace accommodations offered to caregivers</v>
      </c>
      <c r="W136" s="3" t="str">
        <f>HYPERLINK("#'Vendors'!EF1","Q12.7.18_23_TEXT")</f>
        <v>Q12.7.18_23_TEXT</v>
      </c>
      <c r="X136" s="93" t="str">
        <f>HYPERLINK("#'Vendors'!EF2","Other miscellaneous health care vendors employed: Flu shots")</f>
        <v>Other miscellaneous health care vendors employed: Flu shots</v>
      </c>
    </row>
    <row r="137" spans="1:24" ht="25.5" x14ac:dyDescent="0.2">
      <c r="A137" s="87"/>
      <c r="B137" s="88"/>
      <c r="C137" s="96" t="str">
        <f>HYPERLINK("#'Enrollment, Eligib. &amp; Cost'!EG1","Q2.4.10")</f>
        <v>Q2.4.10</v>
      </c>
      <c r="D137" s="93" t="str">
        <f>HYPERLINK("#'Enrollment, Eligib. &amp; Cost'!EG2","Percentage of HMO medical plan premium paid by company")</f>
        <v>Percentage of HMO medical plan premium paid by company</v>
      </c>
      <c r="E137" s="6"/>
      <c r="F137" s="7"/>
      <c r="G137" s="6"/>
      <c r="H137" s="7"/>
      <c r="I137" s="96" t="str">
        <f>HYPERLINK("#'Other Benefits'!EG1","Q5.3.5_2")</f>
        <v>Q5.3.5_2</v>
      </c>
      <c r="J137" s="93" t="str">
        <f>HYPERLINK("#'Other Benefits'!EG2","Employer contributions offered: Limited purpose FSA")</f>
        <v>Employer contributions offered: Limited purpose FSA</v>
      </c>
      <c r="K137" s="3" t="str">
        <f>HYPERLINK("#'Healthcare'!EG1","Q6.2.26_5")</f>
        <v>Q6.2.26_5</v>
      </c>
      <c r="L137" s="93" t="str">
        <f>HYPERLINK("#'Healthcare'!EG2","Primary PPO medical plan in-network coinsurance: Urgent office visit")</f>
        <v>Primary PPO medical plan in-network coinsurance: Urgent office visit</v>
      </c>
      <c r="M137" s="6"/>
      <c r="N137" s="7"/>
      <c r="O137" s="6"/>
      <c r="P137" s="7"/>
      <c r="Q137" s="96" t="str">
        <f>HYPERLINK("#'Income Protection'!EG1","Q9.6.7_4")</f>
        <v>Q9.6.7_4</v>
      </c>
      <c r="R137" s="4" t="str">
        <f>HYPERLINK("#'Income Protection'!EG2","Maximum duration of long term disability benefits if benefits begin at age 62")</f>
        <v>Maximum duration of long term disability benefits if benefits begin at age 62</v>
      </c>
      <c r="S137" s="96" t="str">
        <f>HYPERLINK("#'Retirement, NQDC, Finances'!EG1","Q10.4.7_6")</f>
        <v>Q10.4.7_6</v>
      </c>
      <c r="T137" s="93" t="str">
        <f>HYPERLINK("#'Retirement, NQDC, Finances'!EG2","401(k) plan: Self-directed account investment restrictions: Precious metals")</f>
        <v>401(k) plan: Self-directed account investment restrictions: Precious metals</v>
      </c>
      <c r="U137" s="3" t="str">
        <f>HYPERLINK("#'Time Off'!EG1","Q11.6.31")</f>
        <v>Q11.6.31</v>
      </c>
      <c r="V137" s="93" t="str">
        <f>HYPERLINK("#'Time Off'!EG2","Other workplace accommodations offered to caregivers")</f>
        <v>Other workplace accommodations offered to caregivers</v>
      </c>
      <c r="W137" s="3" t="str">
        <f>HYPERLINK("#'Vendors'!EG1","Q12.7.19")</f>
        <v>Q12.7.19</v>
      </c>
      <c r="X137" s="93" t="str">
        <f>HYPERLINK("#'Vendors'!EG2","Miscellaneous health care vendor(s) terminated in 2021")</f>
        <v>Miscellaneous health care vendor(s) terminated in 2021</v>
      </c>
    </row>
    <row r="138" spans="1:24" ht="38.25" x14ac:dyDescent="0.2">
      <c r="A138" s="87"/>
      <c r="B138" s="88"/>
      <c r="C138" s="96" t="str">
        <f>HYPERLINK("#'Enrollment, Eligib. &amp; Cost'!EH1","Q2.4.11_1")</f>
        <v>Q2.4.11_1</v>
      </c>
      <c r="D138" s="93" t="str">
        <f>HYPERLINK("#'Enrollment, Eligib. &amp; Cost'!EH2","Total monthly premium for POS medical plan with highest enrollment: Waive or opt out")</f>
        <v>Total monthly premium for POS medical plan with highest enrollment: Waive or opt out</v>
      </c>
      <c r="E138" s="6"/>
      <c r="F138" s="7"/>
      <c r="G138" s="6"/>
      <c r="H138" s="7"/>
      <c r="I138" s="96" t="str">
        <f>HYPERLINK("#'Other Benefits'!EH1","Q5.3.5_3")</f>
        <v>Q5.3.5_3</v>
      </c>
      <c r="J138" s="93" t="str">
        <f>HYPERLINK("#'Other Benefits'!EH2","Employer contributions offered: Dependent care FSA")</f>
        <v>Employer contributions offered: Dependent care FSA</v>
      </c>
      <c r="K138" s="3" t="str">
        <f>HYPERLINK("#'Healthcare'!EH1","Q6.2.26_7")</f>
        <v>Q6.2.26_7</v>
      </c>
      <c r="L138" s="93" t="str">
        <f>HYPERLINK("#'Healthcare'!EH2","Primary PPO medical plan in-network coinsurance: Telehealth")</f>
        <v>Primary PPO medical plan in-network coinsurance: Telehealth</v>
      </c>
      <c r="M138" s="6"/>
      <c r="N138" s="7"/>
      <c r="O138" s="6"/>
      <c r="P138" s="7"/>
      <c r="Q138" s="96" t="str">
        <f>HYPERLINK("#'Income Protection'!EH1","Q9.6.7_5")</f>
        <v>Q9.6.7_5</v>
      </c>
      <c r="R138" s="4" t="str">
        <f>HYPERLINK("#'Income Protection'!EH2","Maximum duration of long term disability benefits if benefits begin at age 63")</f>
        <v>Maximum duration of long term disability benefits if benefits begin at age 63</v>
      </c>
      <c r="S138" s="96" t="str">
        <f>HYPERLINK("#'Retirement, NQDC, Finances'!EH1","Q10.4.7_7")</f>
        <v>Q10.4.7_7</v>
      </c>
      <c r="T138" s="93" t="str">
        <f>HYPERLINK("#'Retirement, NQDC, Finances'!EH2","401(k) plan: Self-directed account investment restrictions: Limited partnerships")</f>
        <v>401(k) plan: Self-directed account investment restrictions: Limited partnerships</v>
      </c>
      <c r="U138" s="3" t="str">
        <f>HYPERLINK("#'Time Off'!EH1","Q11.6.32")</f>
        <v>Q11.6.32</v>
      </c>
      <c r="V138" s="93" t="str">
        <f>HYPERLINK("#'Time Off'!EH2","Caregiving support provided through a vendor/concierge service implemented or under consideration")</f>
        <v>Caregiving support provided through a vendor/concierge service implemented or under consideration</v>
      </c>
      <c r="W138" s="3" t="str">
        <f>HYPERLINK("#'Vendors'!EH1","Q12.7.20_1")</f>
        <v>Q12.7.20_1</v>
      </c>
      <c r="X138" s="93" t="str">
        <f>HYPERLINK("#'Vendors'!EH2","Terminated miscellaneous health care vendors: Expert medical second opinion")</f>
        <v>Terminated miscellaneous health care vendors: Expert medical second opinion</v>
      </c>
    </row>
    <row r="139" spans="1:24" ht="25.5" x14ac:dyDescent="0.2">
      <c r="A139" s="87"/>
      <c r="B139" s="88"/>
      <c r="C139" s="96" t="str">
        <f>HYPERLINK("#'Enrollment, Eligib. &amp; Cost'!EI1","Q2.4.11_2")</f>
        <v>Q2.4.11_2</v>
      </c>
      <c r="D139" s="93" t="str">
        <f>HYPERLINK("#'Enrollment, Eligib. &amp; Cost'!EI2","Total monthly premium for POS medical plan with highest enrollment: Employee only")</f>
        <v>Total monthly premium for POS medical plan with highest enrollment: Employee only</v>
      </c>
      <c r="E139" s="6"/>
      <c r="F139" s="7"/>
      <c r="G139" s="6"/>
      <c r="H139" s="7"/>
      <c r="I139" s="96" t="str">
        <f>HYPERLINK("#'Other Benefits'!EI1","Q5.3.6_1_1")</f>
        <v>Q5.3.6_1_1</v>
      </c>
      <c r="J139" s="93" t="str">
        <f>HYPERLINK("#'Other Benefits'!EI2","Employer contribution limit: Traditional FSA")</f>
        <v>Employer contribution limit: Traditional FSA</v>
      </c>
      <c r="K139" s="3" t="str">
        <f>HYPERLINK("#'Healthcare'!EI1","Q6.2.26_6")</f>
        <v>Q6.2.26_6</v>
      </c>
      <c r="L139" s="93" t="str">
        <f>HYPERLINK("#'Healthcare'!EI2","Primary PPO medical plan in-network coinsurance: Other")</f>
        <v>Primary PPO medical plan in-network coinsurance: Other</v>
      </c>
      <c r="M139" s="6"/>
      <c r="N139" s="7"/>
      <c r="O139" s="6"/>
      <c r="P139" s="7"/>
      <c r="Q139" s="96" t="str">
        <f>HYPERLINK("#'Income Protection'!EI1","Q9.6.7_6")</f>
        <v>Q9.6.7_6</v>
      </c>
      <c r="R139" s="4" t="str">
        <f>HYPERLINK("#'Income Protection'!EI2","Maximum duration of long term disability benefits if benefits begin at age 64")</f>
        <v>Maximum duration of long term disability benefits if benefits begin at age 64</v>
      </c>
      <c r="S139" s="96" t="str">
        <f>HYPERLINK("#'Retirement, NQDC, Finances'!EI1","Q10.4.7_8")</f>
        <v>Q10.4.7_8</v>
      </c>
      <c r="T139" s="93" t="str">
        <f>HYPERLINK("#'Retirement, NQDC, Finances'!EI2","401(k) plan: Self-directed account investment restrictions: Currency")</f>
        <v>401(k) plan: Self-directed account investment restrictions: Currency</v>
      </c>
      <c r="U139" s="3" t="str">
        <f>HYPERLINK("#'Time Off'!EI1","Q11.6.33")</f>
        <v>Q11.6.33</v>
      </c>
      <c r="V139" s="93" t="str">
        <f>HYPERLINK("#'Time Off'!EI2","Percentage of the caregiving support premium paid by employee")</f>
        <v>Percentage of the caregiving support premium paid by employee</v>
      </c>
      <c r="W139" s="3" t="str">
        <f>HYPERLINK("#'Vendors'!EI1","Q12.7.20_2")</f>
        <v>Q12.7.20_2</v>
      </c>
      <c r="X139" s="93" t="str">
        <f>HYPERLINK("#'Vendors'!EI2","Terminated miscellaneous health care vendors: Employee advocate")</f>
        <v>Terminated miscellaneous health care vendors: Employee advocate</v>
      </c>
    </row>
    <row r="140" spans="1:24" ht="38.25" x14ac:dyDescent="0.2">
      <c r="A140" s="87"/>
      <c r="B140" s="88"/>
      <c r="C140" s="96" t="str">
        <f>HYPERLINK("#'Enrollment, Eligib. &amp; Cost'!EJ1","Q2.4.11_3")</f>
        <v>Q2.4.11_3</v>
      </c>
      <c r="D140" s="93" t="str">
        <f>HYPERLINK("#'Enrollment, Eligib. &amp; Cost'!EJ2","Total monthly premium for POS medical plan with highest enrollment: Employee + spouse/DP")</f>
        <v>Total monthly premium for POS medical plan with highest enrollment: Employee + spouse/DP</v>
      </c>
      <c r="E140" s="6"/>
      <c r="F140" s="7"/>
      <c r="G140" s="6"/>
      <c r="H140" s="7"/>
      <c r="I140" s="96" t="str">
        <f>HYPERLINK("#'Other Benefits'!EJ1","Q5.3.6_2_1")</f>
        <v>Q5.3.6_2_1</v>
      </c>
      <c r="J140" s="93" t="str">
        <f>HYPERLINK("#'Other Benefits'!EJ2","Employer contribution limit: Limited purpose FSA")</f>
        <v>Employer contribution limit: Limited purpose FSA</v>
      </c>
      <c r="K140" s="3" t="str">
        <f>HYPERLINK("#'Healthcare'!EJ1","Q6.2.27_1")</f>
        <v>Q6.2.27_1</v>
      </c>
      <c r="L140" s="93" t="str">
        <f>HYPERLINK("#'Healthcare'!EJ2","Primary PPO medical plan out-of-network copayment: General/Primary care office visit")</f>
        <v>Primary PPO medical plan out-of-network copayment: General/Primary care office visit</v>
      </c>
      <c r="M140" s="6"/>
      <c r="N140" s="7"/>
      <c r="O140" s="6"/>
      <c r="P140" s="7"/>
      <c r="Q140" s="96" t="str">
        <f>HYPERLINK("#'Income Protection'!EJ1","Q9.6.7_7")</f>
        <v>Q9.6.7_7</v>
      </c>
      <c r="R140" s="4" t="str">
        <f>HYPERLINK("#'Income Protection'!EJ2","Maximum duration of long term disability benefits if benefits begin at age 65")</f>
        <v>Maximum duration of long term disability benefits if benefits begin at age 65</v>
      </c>
      <c r="S140" s="96" t="str">
        <f>HYPERLINK("#'Retirement, NQDC, Finances'!EJ1","Q10.4.7_9")</f>
        <v>Q10.4.7_9</v>
      </c>
      <c r="T140" s="93" t="str">
        <f>HYPERLINK("#'Retirement, NQDC, Finances'!EJ2","401(k) plan: Self-directed account investment restrictions: Caps")</f>
        <v>401(k) plan: Self-directed account investment restrictions: Caps</v>
      </c>
      <c r="U140" s="3" t="str">
        <f>HYPERLINK("#'Time Off'!EJ1","Q11.7.2")</f>
        <v>Q11.7.2</v>
      </c>
      <c r="V140" s="93" t="str">
        <f>HYPERLINK("#'Time Off'!EJ2","Pandemic leave policy in place")</f>
        <v>Pandemic leave policy in place</v>
      </c>
      <c r="W140" s="3" t="str">
        <f>HYPERLINK("#'Vendors'!EJ1","Q12.7.20_3")</f>
        <v>Q12.7.20_3</v>
      </c>
      <c r="X140" s="93" t="str">
        <f>HYPERLINK("#'Vendors'!EJ2","Terminated miscellaneous health care vendors: Disease management")</f>
        <v>Terminated miscellaneous health care vendors: Disease management</v>
      </c>
    </row>
    <row r="141" spans="1:24" ht="38.25" x14ac:dyDescent="0.2">
      <c r="A141" s="87"/>
      <c r="B141" s="88"/>
      <c r="C141" s="96" t="str">
        <f>HYPERLINK("#'Enrollment, Eligib. &amp; Cost'!EK1","Q2.4.11_4")</f>
        <v>Q2.4.11_4</v>
      </c>
      <c r="D141" s="93" t="str">
        <f>HYPERLINK("#'Enrollment, Eligib. &amp; Cost'!EK2","Total monthly premium for POS medical plan with highest enrollment: Employee + spouse/DP or child(ren)")</f>
        <v>Total monthly premium for POS medical plan with highest enrollment: Employee + spouse/DP or child(ren)</v>
      </c>
      <c r="E141" s="6"/>
      <c r="F141" s="7"/>
      <c r="G141" s="6"/>
      <c r="H141" s="7"/>
      <c r="I141" s="96" t="str">
        <f>HYPERLINK("#'Other Benefits'!EK1","Q5.3.6_3_1")</f>
        <v>Q5.3.6_3_1</v>
      </c>
      <c r="J141" s="93" t="str">
        <f>HYPERLINK("#'Other Benefits'!EK2","Employer contribution limit: Dependent care FSA")</f>
        <v>Employer contribution limit: Dependent care FSA</v>
      </c>
      <c r="K141" s="3" t="str">
        <f>HYPERLINK("#'Healthcare'!EK1","Q6.2.27_2")</f>
        <v>Q6.2.27_2</v>
      </c>
      <c r="L141" s="93" t="str">
        <f>HYPERLINK("#'Healthcare'!EK2","Primary PPO medical plan out-of-network copayment: Specialist office visit")</f>
        <v>Primary PPO medical plan out-of-network copayment: Specialist office visit</v>
      </c>
      <c r="M141" s="6"/>
      <c r="N141" s="7"/>
      <c r="O141" s="6"/>
      <c r="P141" s="7"/>
      <c r="Q141" s="96" t="str">
        <f>HYPERLINK("#'Income Protection'!EK1","Q9.6.7_8")</f>
        <v>Q9.6.7_8</v>
      </c>
      <c r="R141" s="4" t="str">
        <f>HYPERLINK("#'Income Protection'!EK2","Maximum duration of long term disability benefits if benefits begin at age 66")</f>
        <v>Maximum duration of long term disability benefits if benefits begin at age 66</v>
      </c>
      <c r="S141" s="96" t="str">
        <f>HYPERLINK("#'Retirement, NQDC, Finances'!EK1","Q10.4.7_10")</f>
        <v>Q10.4.7_10</v>
      </c>
      <c r="T141" s="93" t="str">
        <f>HYPERLINK("#'Retirement, NQDC, Finances'!EK2","401(k) plan: Self-directed account investment restrictions: Competitors stock")</f>
        <v>401(k) plan: Self-directed account investment restrictions: Competitors stock</v>
      </c>
      <c r="U141" s="3" t="str">
        <f>HYPERLINK("#'Time Off'!EK1","Q11.7.3")</f>
        <v>Q11.7.3</v>
      </c>
      <c r="V141" s="93" t="str">
        <f>HYPERLINK("#'Time Off'!EK2","Pandemic leave paid or unpaid")</f>
        <v>Pandemic leave paid or unpaid</v>
      </c>
      <c r="W141" s="3" t="str">
        <f>HYPERLINK("#'Vendors'!EK1","Q12.7.20_17")</f>
        <v>Q12.7.20_17</v>
      </c>
      <c r="X141" s="93" t="str">
        <f>HYPERLINK("#'Vendors'!EK2","Terminated miscellaneous health care vendors: Centers of Excellence")</f>
        <v>Terminated miscellaneous health care vendors: Centers of Excellence</v>
      </c>
    </row>
    <row r="142" spans="1:24" ht="38.25" x14ac:dyDescent="0.2">
      <c r="A142" s="87"/>
      <c r="B142" s="88"/>
      <c r="C142" s="96" t="str">
        <f>HYPERLINK("#'Enrollment, Eligib. &amp; Cost'!EL1","Q2.4.11_5")</f>
        <v>Q2.4.11_5</v>
      </c>
      <c r="D142" s="93" t="str">
        <f>HYPERLINK("#'Enrollment, Eligib. &amp; Cost'!EL2","Total monthly premium for POS medical plan with highest enrollment: Employee + any child(ren)")</f>
        <v>Total monthly premium for POS medical plan with highest enrollment: Employee + any child(ren)</v>
      </c>
      <c r="E142" s="6"/>
      <c r="F142" s="7"/>
      <c r="G142" s="6"/>
      <c r="H142" s="7"/>
      <c r="I142" s="96" t="str">
        <f>HYPERLINK("#'Other Benefits'!EL1","Q5.3.7")</f>
        <v>Q5.3.7</v>
      </c>
      <c r="J142" s="93" t="str">
        <f>HYPERLINK("#'Other Benefits'!EL2","FSA plan offers two and a half month grace period")</f>
        <v>FSA plan offers two and a half month grace period</v>
      </c>
      <c r="K142" s="3" t="str">
        <f>HYPERLINK("#'Healthcare'!EL1","Q6.2.27_3")</f>
        <v>Q6.2.27_3</v>
      </c>
      <c r="L142" s="93" t="str">
        <f>HYPERLINK("#'Healthcare'!EL2","Primary PPO medical plan out-of-network copayment: Autism/applied behavioral analysis (ABA)")</f>
        <v>Primary PPO medical plan out-of-network copayment: Autism/applied behavioral analysis (ABA)</v>
      </c>
      <c r="M142" s="6"/>
      <c r="N142" s="7"/>
      <c r="O142" s="6"/>
      <c r="P142" s="7"/>
      <c r="Q142" s="96" t="str">
        <f>HYPERLINK("#'Income Protection'!EL1","Q9.6.7_9")</f>
        <v>Q9.6.7_9</v>
      </c>
      <c r="R142" s="4" t="str">
        <f>HYPERLINK("#'Income Protection'!EL2","Maximum duration of long term disability benefits if benefits begin at age 67")</f>
        <v>Maximum duration of long term disability benefits if benefits begin at age 67</v>
      </c>
      <c r="S142" s="96" t="str">
        <f>HYPERLINK("#'Retirement, NQDC, Finances'!EL1","Q10.4.7_11")</f>
        <v>Q10.4.7_11</v>
      </c>
      <c r="T142" s="93" t="str">
        <f>HYPERLINK("#'Retirement, NQDC, Finances'!EL2","401(k) plan: Self-directed account investment restrictions: Only mutual funds")</f>
        <v>401(k) plan: Self-directed account investment restrictions: Only mutual funds</v>
      </c>
      <c r="U142" s="3" t="str">
        <f>HYPERLINK("#'Time Off'!EL1","Q11.7.4")</f>
        <v>Q11.7.4</v>
      </c>
      <c r="V142" s="93" t="str">
        <f>HYPERLINK("#'Time Off'!EL2","Pandemic leave wage replacement")</f>
        <v>Pandemic leave wage replacement</v>
      </c>
      <c r="W142" s="3" t="str">
        <f>HYPERLINK("#'Vendors'!EL1","Q12.7.20_4")</f>
        <v>Q12.7.20_4</v>
      </c>
      <c r="X142" s="93" t="str">
        <f>HYPERLINK("#'Vendors'!EL2","Terminated miscellaneous health care vendors: On-site mobile medical/health vehicles")</f>
        <v>Terminated miscellaneous health care vendors: On-site mobile medical/health vehicles</v>
      </c>
    </row>
    <row r="143" spans="1:24" ht="25.5" x14ac:dyDescent="0.2">
      <c r="A143" s="87"/>
      <c r="B143" s="88"/>
      <c r="C143" s="96" t="str">
        <f>HYPERLINK("#'Enrollment, Eligib. &amp; Cost'!EM1","Q2.4.11_6")</f>
        <v>Q2.4.11_6</v>
      </c>
      <c r="D143" s="93" t="str">
        <f>HYPERLINK("#'Enrollment, Eligib. &amp; Cost'!EM2","Total monthly premium for POS medical plan with highest enrollment: Employee + 1 child")</f>
        <v>Total monthly premium for POS medical plan with highest enrollment: Employee + 1 child</v>
      </c>
      <c r="E143" s="6"/>
      <c r="F143" s="7"/>
      <c r="G143" s="6"/>
      <c r="H143" s="7"/>
      <c r="I143" s="96" t="str">
        <f>HYPERLINK("#'Other Benefits'!EM1","Q5.3.8")</f>
        <v>Q5.3.8</v>
      </c>
      <c r="J143" s="93" t="str">
        <f>HYPERLINK("#'Other Benefits'!EM2","FSA plan offers carry over provision")</f>
        <v>FSA plan offers carry over provision</v>
      </c>
      <c r="K143" s="3" t="str">
        <f>HYPERLINK("#'Healthcare'!EM1","Q6.2.27_4")</f>
        <v>Q6.2.27_4</v>
      </c>
      <c r="L143" s="93" t="str">
        <f>HYPERLINK("#'Healthcare'!EM2","Primary PPO medical plan out-of-network copayment: Emergency room")</f>
        <v>Primary PPO medical plan out-of-network copayment: Emergency room</v>
      </c>
      <c r="M143" s="6"/>
      <c r="N143" s="7"/>
      <c r="O143" s="6"/>
      <c r="P143" s="7"/>
      <c r="Q143" s="96" t="str">
        <f>HYPERLINK("#'Income Protection'!EM1","Q9.6.7_10")</f>
        <v>Q9.6.7_10</v>
      </c>
      <c r="R143" s="4" t="str">
        <f>HYPERLINK("#'Income Protection'!EM2","Maximum duration of long term disability benefits if benefits begin at age 68")</f>
        <v>Maximum duration of long term disability benefits if benefits begin at age 68</v>
      </c>
      <c r="S143" s="96" t="str">
        <f>HYPERLINK("#'Retirement, NQDC, Finances'!EM1","Q10.4.7_12")</f>
        <v>Q10.4.7_12</v>
      </c>
      <c r="T143" s="93" t="str">
        <f>HYPERLINK("#'Retirement, NQDC, Finances'!EM2","401(k) plan: Self-directed account investment restrictions: ETFs")</f>
        <v>401(k) plan: Self-directed account investment restrictions: ETFs</v>
      </c>
      <c r="U143" s="3" t="str">
        <f>HYPERLINK("#'Time Off'!EM1","Q11.7.5")</f>
        <v>Q11.7.5</v>
      </c>
      <c r="V143" s="93" t="str">
        <f>HYPERLINK("#'Time Off'!EM2","Other pandemic leave wage replacement")</f>
        <v>Other pandemic leave wage replacement</v>
      </c>
      <c r="W143" s="3" t="str">
        <f>HYPERLINK("#'Vendors'!EM1","Q12.7.20_5")</f>
        <v>Q12.7.20_5</v>
      </c>
      <c r="X143" s="93" t="str">
        <f>HYPERLINK("#'Vendors'!EM2","Terminated miscellaneous health care vendors: On-site mobile dental vehicles")</f>
        <v>Terminated miscellaneous health care vendors: On-site mobile dental vehicles</v>
      </c>
    </row>
    <row r="144" spans="1:24" ht="25.5" x14ac:dyDescent="0.2">
      <c r="A144" s="87"/>
      <c r="B144" s="88"/>
      <c r="C144" s="96" t="str">
        <f>HYPERLINK("#'Enrollment, Eligib. &amp; Cost'!EN1","Q2.4.11_7")</f>
        <v>Q2.4.11_7</v>
      </c>
      <c r="D144" s="93" t="str">
        <f>HYPERLINK("#'Enrollment, Eligib. &amp; Cost'!EN2","Total monthly premium for POS medical plan with highest enrollment: Employee + 2 children")</f>
        <v>Total monthly premium for POS medical plan with highest enrollment: Employee + 2 children</v>
      </c>
      <c r="E144" s="6"/>
      <c r="F144" s="7"/>
      <c r="G144" s="6"/>
      <c r="H144" s="7"/>
      <c r="I144" s="96" t="str">
        <f>HYPERLINK("#'Other Benefits'!EN1","Q5.3.10")</f>
        <v>Q5.3.10</v>
      </c>
      <c r="J144" s="93" t="str">
        <f>HYPERLINK("#'Other Benefits'!EN2","Course and approval requirements for tuition assistance ")</f>
        <v xml:space="preserve">Course and approval requirements for tuition assistance </v>
      </c>
      <c r="K144" s="3" t="str">
        <f>HYPERLINK("#'Healthcare'!EN1","Q6.2.27_5")</f>
        <v>Q6.2.27_5</v>
      </c>
      <c r="L144" s="93" t="str">
        <f>HYPERLINK("#'Healthcare'!EN2","Primary PPO medical plan out-of-network copayment: Urgent office visit")</f>
        <v>Primary PPO medical plan out-of-network copayment: Urgent office visit</v>
      </c>
      <c r="M144" s="6"/>
      <c r="N144" s="7"/>
      <c r="O144" s="6"/>
      <c r="P144" s="7"/>
      <c r="Q144" s="96" t="str">
        <f>HYPERLINK("#'Income Protection'!EN1","Q9.6.7_11")</f>
        <v>Q9.6.7_11</v>
      </c>
      <c r="R144" s="4" t="str">
        <f>HYPERLINK("#'Income Protection'!EN2","Maximum duration of long term disability benefits if benefits begin at age 69")</f>
        <v>Maximum duration of long term disability benefits if benefits begin at age 69</v>
      </c>
      <c r="S144" s="96" t="str">
        <f>HYPERLINK("#'Retirement, NQDC, Finances'!EN1","Q10.4.7_13")</f>
        <v>Q10.4.7_13</v>
      </c>
      <c r="T144" s="93" t="str">
        <f>HYPERLINK("#'Retirement, NQDC, Finances'!EN2","401(k) plan: Self-directed account investment restrictions: Cryptocurrencies")</f>
        <v>401(k) plan: Self-directed account investment restrictions: Cryptocurrencies</v>
      </c>
      <c r="U144" s="3" t="str">
        <f>HYPERLINK("#'Time Off'!EN1","Q11.7.6")</f>
        <v>Q11.7.6</v>
      </c>
      <c r="V144" s="93" t="str">
        <f>HYPERLINK("#'Time Off'!EN2","Weeks offered for pandemic leave")</f>
        <v>Weeks offered for pandemic leave</v>
      </c>
      <c r="W144" s="3" t="str">
        <f>HYPERLINK("#'Vendors'!EN1","Q12.7.20_6")</f>
        <v>Q12.7.20_6</v>
      </c>
      <c r="X144" s="93" t="str">
        <f>HYPERLINK("#'Vendors'!EN2","Terminated miscellaneous health care vendors: On-site medical/health clinic")</f>
        <v>Terminated miscellaneous health care vendors: On-site medical/health clinic</v>
      </c>
    </row>
    <row r="145" spans="1:24" ht="25.5" x14ac:dyDescent="0.2">
      <c r="A145" s="87"/>
      <c r="B145" s="88"/>
      <c r="C145" s="96" t="str">
        <f>HYPERLINK("#'Enrollment, Eligib. &amp; Cost'!EO1","Q2.4.11_8")</f>
        <v>Q2.4.11_8</v>
      </c>
      <c r="D145" s="93" t="str">
        <f>HYPERLINK("#'Enrollment, Eligib. &amp; Cost'!EO2","Total monthly premium for POS medical plan with highest enrollment: Employee + 3 children")</f>
        <v>Total monthly premium for POS medical plan with highest enrollment: Employee + 3 children</v>
      </c>
      <c r="E145" s="6"/>
      <c r="F145" s="7"/>
      <c r="G145" s="6"/>
      <c r="H145" s="7"/>
      <c r="I145" s="96" t="str">
        <f>HYPERLINK("#'Other Benefits'!EO1","Q5.3.10_8_TEXT")</f>
        <v>Q5.3.10_8_TEXT</v>
      </c>
      <c r="J145" s="93" t="str">
        <f>HYPERLINK("#'Other Benefits'!EO2","Other course and approval requirements for tuition assistance")</f>
        <v>Other course and approval requirements for tuition assistance</v>
      </c>
      <c r="K145" s="3" t="str">
        <f>HYPERLINK("#'Healthcare'!EO1","Q6.2.27_7")</f>
        <v>Q6.2.27_7</v>
      </c>
      <c r="L145" s="93" t="str">
        <f>HYPERLINK("#'Healthcare'!EO2","Primary PPO medical plan out-of-network copayment: Telehealth")</f>
        <v>Primary PPO medical plan out-of-network copayment: Telehealth</v>
      </c>
      <c r="M145" s="6"/>
      <c r="N145" s="7"/>
      <c r="O145" s="6"/>
      <c r="P145" s="7"/>
      <c r="Q145" s="96" t="str">
        <f>HYPERLINK("#'Income Protection'!EO1","Q9.6.7_12")</f>
        <v>Q9.6.7_12</v>
      </c>
      <c r="R145" s="4" t="str">
        <f>HYPERLINK("#'Income Protection'!EO2","Maximum duration of long term disability benefits if benefits begin at age 70 or older")</f>
        <v>Maximum duration of long term disability benefits if benefits begin at age 70 or older</v>
      </c>
      <c r="S145" s="96" t="str">
        <f>HYPERLINK("#'Retirement, NQDC, Finances'!EO1","Q10.4.7_14")</f>
        <v>Q10.4.7_14</v>
      </c>
      <c r="T145" s="93" t="str">
        <f>HYPERLINK("#'Retirement, NQDC, Finances'!EO2","401(k) plan: Self-directed account investment restrictions: Other")</f>
        <v>401(k) plan: Self-directed account investment restrictions: Other</v>
      </c>
      <c r="U145" s="3" t="str">
        <f>HYPERLINK("#'Time Off'!EO1","Q11.7.7")</f>
        <v>Q11.7.7</v>
      </c>
      <c r="V145" s="93" t="str">
        <f>HYPERLINK("#'Time Off'!EO2","Time period when employees are provided a new bank of pandemic leave days")</f>
        <v>Time period when employees are provided a new bank of pandemic leave days</v>
      </c>
      <c r="W145" s="3" t="str">
        <f>HYPERLINK("#'Vendors'!EO1","Q12.7.20_14")</f>
        <v>Q12.7.20_14</v>
      </c>
      <c r="X145" s="93" t="str">
        <f>HYPERLINK("#'Vendors'!EO2","Terminated miscellaneous health care vendors: Near-site medical/health clinic")</f>
        <v>Terminated miscellaneous health care vendors: Near-site medical/health clinic</v>
      </c>
    </row>
    <row r="146" spans="1:24" ht="38.25" x14ac:dyDescent="0.2">
      <c r="A146" s="87"/>
      <c r="B146" s="88"/>
      <c r="C146" s="96" t="str">
        <f>HYPERLINK("#'Enrollment, Eligib. &amp; Cost'!EP1","Q2.4.11_9")</f>
        <v>Q2.4.11_9</v>
      </c>
      <c r="D146" s="93" t="str">
        <f>HYPERLINK("#'Enrollment, Eligib. &amp; Cost'!EP2","Total monthly premium for POS medical plan with highest enrollment: Employee + 4 children")</f>
        <v>Total monthly premium for POS medical plan with highest enrollment: Employee + 4 children</v>
      </c>
      <c r="E146" s="6"/>
      <c r="F146" s="7"/>
      <c r="G146" s="6"/>
      <c r="H146" s="7"/>
      <c r="I146" s="96" t="str">
        <f>HYPERLINK("#'Other Benefits'!EP1","Q5.3.11")</f>
        <v>Q5.3.11</v>
      </c>
      <c r="J146" s="93" t="str">
        <f>HYPERLINK("#'Other Benefits'!EP2","Tuition assistance offer for part-time employees")</f>
        <v>Tuition assistance offer for part-time employees</v>
      </c>
      <c r="K146" s="3" t="str">
        <f>HYPERLINK("#'Healthcare'!EP1","Q6.2.27_6")</f>
        <v>Q6.2.27_6</v>
      </c>
      <c r="L146" s="93" t="str">
        <f>HYPERLINK("#'Healthcare'!EP2","Primary PPO medical plan out-of-network copayment: Other")</f>
        <v>Primary PPO medical plan out-of-network copayment: Other</v>
      </c>
      <c r="M146" s="6"/>
      <c r="N146" s="7"/>
      <c r="O146" s="6"/>
      <c r="P146" s="7"/>
      <c r="Q146" s="96" t="str">
        <f>HYPERLINK("#'Income Protection'!EP1","Q9.6.8")</f>
        <v>Q9.6.8</v>
      </c>
      <c r="R146" s="4" t="str">
        <f>HYPERLINK("#'Income Protection'!EP2","Months until basic any occupation definition applies")</f>
        <v>Months until basic any occupation definition applies</v>
      </c>
      <c r="S146" s="96" t="str">
        <f>HYPERLINK("#'Retirement, NQDC, Finances'!EP1","Q10.4.8")</f>
        <v>Q10.4.8</v>
      </c>
      <c r="T146" s="93" t="str">
        <f>HYPERLINK("#'Retirement, NQDC, Finances'!EP2","401(k) plan: Investment fund types/self-directed account/additional investment offerings")</f>
        <v>401(k) plan: Investment fund types/self-directed account/additional investment offerings</v>
      </c>
      <c r="U146" s="3" t="str">
        <f>HYPERLINK("#'Time Off'!EP1","Q11.7.8")</f>
        <v>Q11.7.8</v>
      </c>
      <c r="V146" s="93" t="str">
        <f>HYPERLINK("#'Time Off'!EP2","Other time period when employees are provided a new bank of pandemic leave days")</f>
        <v>Other time period when employees are provided a new bank of pandemic leave days</v>
      </c>
      <c r="W146" s="3" t="str">
        <f>HYPERLINK("#'Vendors'!EP1","Q12.7.20_7")</f>
        <v>Q12.7.20_7</v>
      </c>
      <c r="X146" s="93" t="str">
        <f>HYPERLINK("#'Vendors'!EP2","Terminated miscellaneous health care vendors: On-site pharmacy, dental or vision health clinic")</f>
        <v>Terminated miscellaneous health care vendors: On-site pharmacy, dental or vision health clinic</v>
      </c>
    </row>
    <row r="147" spans="1:24" ht="38.25" x14ac:dyDescent="0.2">
      <c r="A147" s="87"/>
      <c r="B147" s="88"/>
      <c r="C147" s="96" t="str">
        <f>HYPERLINK("#'Enrollment, Eligib. &amp; Cost'!EQ1","Q2.4.11_10")</f>
        <v>Q2.4.11_10</v>
      </c>
      <c r="D147" s="93" t="str">
        <f>HYPERLINK("#'Enrollment, Eligib. &amp; Cost'!EQ2","Total monthly premium for POS medical plan with highest enrollment: Employee + 5 children")</f>
        <v>Total monthly premium for POS medical plan with highest enrollment: Employee + 5 children</v>
      </c>
      <c r="E147" s="6"/>
      <c r="F147" s="7"/>
      <c r="G147" s="6"/>
      <c r="H147" s="7"/>
      <c r="I147" s="96" t="str">
        <f>HYPERLINK("#'Other Benefits'!EQ1","Q5.3.12")</f>
        <v>Q5.3.12</v>
      </c>
      <c r="J147" s="93" t="str">
        <f>HYPERLINK("#'Other Benefits'!EQ2","Tuition assistance: Minimum hours of work required for part-time employees")</f>
        <v>Tuition assistance: Minimum hours of work required for part-time employees</v>
      </c>
      <c r="K147" s="3" t="str">
        <f>HYPERLINK("#'Healthcare'!EQ1","Q6.2.28_1")</f>
        <v>Q6.2.28_1</v>
      </c>
      <c r="L147" s="93" t="str">
        <f>HYPERLINK("#'Healthcare'!EQ2","Primary PPO medical plan out-of-network coinsurance: General/Primary care office visit")</f>
        <v>Primary PPO medical plan out-of-network coinsurance: General/Primary care office visit</v>
      </c>
      <c r="M147" s="6"/>
      <c r="N147" s="7"/>
      <c r="O147" s="6"/>
      <c r="P147" s="7"/>
      <c r="Q147" s="96" t="str">
        <f>HYPERLINK("#'Income Protection'!EQ1","Q9.6.9")</f>
        <v>Q9.6.9</v>
      </c>
      <c r="R147" s="4" t="str">
        <f>HYPERLINK("#'Income Protection'!EQ2","Months until basic own occupation definition applies")</f>
        <v>Months until basic own occupation definition applies</v>
      </c>
      <c r="S147" s="96" t="str">
        <f>HYPERLINK("#'Retirement, NQDC, Finances'!EQ1","Q10.4.9")</f>
        <v>Q10.4.9</v>
      </c>
      <c r="T147" s="93" t="str">
        <f>HYPERLINK("#'Retirement, NQDC, Finances'!EQ2","401(k) plan: Investment fund types/managed accounts offering")</f>
        <v>401(k) plan: Investment fund types/managed accounts offering</v>
      </c>
      <c r="U147" s="3" t="str">
        <f>HYPERLINK("#'Time Off'!EQ1","Q11.7.9")</f>
        <v>Q11.7.9</v>
      </c>
      <c r="V147" s="93" t="str">
        <f>HYPERLINK("#'Time Off'!EQ2","Pandemic leave eligibility")</f>
        <v>Pandemic leave eligibility</v>
      </c>
      <c r="W147" s="3" t="str">
        <f>HYPERLINK("#'Vendors'!EQ1","Q12.7.20_16")</f>
        <v>Q12.7.20_16</v>
      </c>
      <c r="X147" s="93" t="str">
        <f>HYPERLINK("#'Vendors'!EQ2","Terminated miscellaneous health care vendors: Near-site pharmacy, dental or vision health clinic")</f>
        <v>Terminated miscellaneous health care vendors: Near-site pharmacy, dental or vision health clinic</v>
      </c>
    </row>
    <row r="148" spans="1:24" ht="38.25" x14ac:dyDescent="0.2">
      <c r="A148" s="87"/>
      <c r="B148" s="88"/>
      <c r="C148" s="96" t="str">
        <f>HYPERLINK("#'Enrollment, Eligib. &amp; Cost'!ER1","Q2.4.11_11")</f>
        <v>Q2.4.11_11</v>
      </c>
      <c r="D148" s="93" t="str">
        <f>HYPERLINK("#'Enrollment, Eligib. &amp; Cost'!ER2","Total monthly premium for POS medical plan with highest enrollment: Family (employee + spouse/DP + dependent) with any child(ren)")</f>
        <v>Total monthly premium for POS medical plan with highest enrollment: Family (employee + spouse/DP + dependent) with any child(ren)</v>
      </c>
      <c r="E148" s="6"/>
      <c r="F148" s="7"/>
      <c r="G148" s="6"/>
      <c r="H148" s="7"/>
      <c r="I148" s="96" t="str">
        <f>HYPERLINK("#'Other Benefits'!ER1","Q5.3.13")</f>
        <v>Q5.3.13</v>
      </c>
      <c r="J148" s="93" t="str">
        <f>HYPERLINK("#'Other Benefits'!ER2","Tuition assistance eligibility wait period")</f>
        <v>Tuition assistance eligibility wait period</v>
      </c>
      <c r="K148" s="3" t="str">
        <f>HYPERLINK("#'Healthcare'!ER1","Q6.2.28_2")</f>
        <v>Q6.2.28_2</v>
      </c>
      <c r="L148" s="93" t="str">
        <f>HYPERLINK("#'Healthcare'!ER2","Primary PPO medical plan out-of-network coinsurance: Specialist office visit")</f>
        <v>Primary PPO medical plan out-of-network coinsurance: Specialist office visit</v>
      </c>
      <c r="M148" s="6"/>
      <c r="N148" s="7"/>
      <c r="O148" s="6"/>
      <c r="P148" s="7"/>
      <c r="Q148" s="96" t="str">
        <f>HYPERLINK("#'Income Protection'!ER1","Q9.6.10")</f>
        <v>Q9.6.10</v>
      </c>
      <c r="R148" s="4" t="str">
        <f>HYPERLINK("#'Income Protection'!ER2","Length of time employee can be on long term disability before employment termination")</f>
        <v>Length of time employee can be on long term disability before employment termination</v>
      </c>
      <c r="S148" s="96" t="str">
        <f>HYPERLINK("#'Retirement, NQDC, Finances'!ER1","Q10.4.10")</f>
        <v>Q10.4.10</v>
      </c>
      <c r="T148" s="93" t="str">
        <f>HYPERLINK("#'Retirement, NQDC, Finances'!ER2","401(k) plan: Personalized financial advice offering")</f>
        <v>401(k) plan: Personalized financial advice offering</v>
      </c>
      <c r="U148" s="3" t="str">
        <f>HYPERLINK("#'Time Off'!ER1","Q11.7.9_6_TEXT")</f>
        <v>Q11.7.9_6_TEXT</v>
      </c>
      <c r="V148" s="93" t="str">
        <f>HYPERLINK("#'Time Off'!ER2","Pandemic leave eligibility: Other")</f>
        <v>Pandemic leave eligibility: Other</v>
      </c>
      <c r="W148" s="3" t="str">
        <f>HYPERLINK("#'Vendors'!ER1","Q12.7.20_8")</f>
        <v>Q12.7.20_8</v>
      </c>
      <c r="X148" s="93" t="str">
        <f>HYPERLINK("#'Vendors'!ER2","Terminated miscellaneous health care vendors: Telehealth/telemedicine")</f>
        <v>Terminated miscellaneous health care vendors: Telehealth/telemedicine</v>
      </c>
    </row>
    <row r="149" spans="1:24" ht="38.25" x14ac:dyDescent="0.2">
      <c r="A149" s="87"/>
      <c r="B149" s="88"/>
      <c r="C149" s="96" t="str">
        <f>HYPERLINK("#'Enrollment, Eligib. &amp; Cost'!ES1","Q2.4.11_12")</f>
        <v>Q2.4.11_12</v>
      </c>
      <c r="D149" s="93" t="str">
        <f>HYPERLINK("#'Enrollment, Eligib. &amp; Cost'!ES2","Total monthly premium for POS medical plan with highest enrollment: Family (employee + spouse/DP + dependent) with 1 child")</f>
        <v>Total monthly premium for POS medical plan with highest enrollment: Family (employee + spouse/DP + dependent) with 1 child</v>
      </c>
      <c r="E149" s="6"/>
      <c r="F149" s="7"/>
      <c r="G149" s="6"/>
      <c r="H149" s="7"/>
      <c r="I149" s="96" t="str">
        <f>HYPERLINK("#'Other Benefits'!ES1","Q5.3.14")</f>
        <v>Q5.3.14</v>
      </c>
      <c r="J149" s="93" t="str">
        <f>HYPERLINK("#'Other Benefits'!ES2","Tuition assistance wait period duration")</f>
        <v>Tuition assistance wait period duration</v>
      </c>
      <c r="K149" s="3" t="str">
        <f>HYPERLINK("#'Healthcare'!ES1","Q6.2.28_3")</f>
        <v>Q6.2.28_3</v>
      </c>
      <c r="L149" s="93" t="str">
        <f>HYPERLINK("#'Healthcare'!ES2","Primary PPO medical plan out-of-network coinsurance: Autism/applied behavioral analysis (ABA)")</f>
        <v>Primary PPO medical plan out-of-network coinsurance: Autism/applied behavioral analysis (ABA)</v>
      </c>
      <c r="M149" s="6"/>
      <c r="N149" s="7"/>
      <c r="O149" s="6"/>
      <c r="P149" s="7"/>
      <c r="Q149" s="96" t="str">
        <f>HYPERLINK("#'Income Protection'!ES1","Q9.6.11")</f>
        <v>Q9.6.11</v>
      </c>
      <c r="R149" s="4" t="str">
        <f>HYPERLINK("#'Income Protection'!ES2","Long-term disability plan cost of living adjustment offered")</f>
        <v>Long-term disability plan cost of living adjustment offered</v>
      </c>
      <c r="S149" s="96" t="str">
        <f>HYPERLINK("#'Retirement, NQDC, Finances'!ES1","Q10.5.2_1")</f>
        <v>Q10.5.2_1</v>
      </c>
      <c r="T149" s="93" t="str">
        <f>HYPERLINK("#'Retirement, NQDC, Finances'!ES2","401(k) plan: Personalized retirement planning services: One on one counseling")</f>
        <v>401(k) plan: Personalized retirement planning services: One on one counseling</v>
      </c>
      <c r="U149" s="3" t="str">
        <f>HYPERLINK("#'Time Off'!ES1","Q11.7.10")</f>
        <v>Q11.7.10</v>
      </c>
      <c r="V149" s="93" t="str">
        <f>HYPERLINK("#'Time Off'!ES2","Employee's job is protected while on approved pandemic leave beyond what is required by law")</f>
        <v>Employee's job is protected while on approved pandemic leave beyond what is required by law</v>
      </c>
      <c r="W149" s="3" t="str">
        <f>HYPERLINK("#'Vendors'!ES1","Q12.7.20_9")</f>
        <v>Q12.7.20_9</v>
      </c>
      <c r="X149" s="93" t="str">
        <f>HYPERLINK("#'Vendors'!ES2","Terminated miscellaneous health care vendors: Employee assistance program")</f>
        <v>Terminated miscellaneous health care vendors: Employee assistance program</v>
      </c>
    </row>
    <row r="150" spans="1:24" ht="38.25" x14ac:dyDescent="0.2">
      <c r="A150" s="87"/>
      <c r="B150" s="88"/>
      <c r="C150" s="96" t="str">
        <f>HYPERLINK("#'Enrollment, Eligib. &amp; Cost'!ET1","Q2.4.11_13")</f>
        <v>Q2.4.11_13</v>
      </c>
      <c r="D150" s="93" t="str">
        <f>HYPERLINK("#'Enrollment, Eligib. &amp; Cost'!ET2","Total monthly premium for POS medical plan with highest enrollment: Family (employee + spouse/DP + dependent) with 2 child(ren)")</f>
        <v>Total monthly premium for POS medical plan with highest enrollment: Family (employee + spouse/DP + dependent) with 2 child(ren)</v>
      </c>
      <c r="E150" s="6"/>
      <c r="F150" s="7"/>
      <c r="G150" s="6"/>
      <c r="H150" s="7"/>
      <c r="I150" s="96" t="str">
        <f>HYPERLINK("#'Other Benefits'!ET1","Q5.3.15")</f>
        <v>Q5.3.15</v>
      </c>
      <c r="J150" s="93" t="str">
        <f>HYPERLINK("#'Other Benefits'!ET2","Tuition assistance: Reimbursement based on course grade")</f>
        <v>Tuition assistance: Reimbursement based on course grade</v>
      </c>
      <c r="K150" s="3" t="str">
        <f>HYPERLINK("#'Healthcare'!ET1","Q6.2.28_4")</f>
        <v>Q6.2.28_4</v>
      </c>
      <c r="L150" s="93" t="str">
        <f>HYPERLINK("#'Healthcare'!ET2","Primary PPO medical plan out-of-network coinsurance: Emergency room")</f>
        <v>Primary PPO medical plan out-of-network coinsurance: Emergency room</v>
      </c>
      <c r="M150" s="6"/>
      <c r="N150" s="7"/>
      <c r="O150" s="6"/>
      <c r="P150" s="7"/>
      <c r="Q150" s="96" t="str">
        <f>HYPERLINK("#'Income Protection'!ET1","Q9.7.2")</f>
        <v>Q9.7.2</v>
      </c>
      <c r="R150" s="4" t="str">
        <f>HYPERLINK("#'Income Protection'!ET2","Long-term care benefits offered")</f>
        <v>Long-term care benefits offered</v>
      </c>
      <c r="S150" s="96" t="str">
        <f>HYPERLINK("#'Retirement, NQDC, Finances'!ET1","Q10.5.2_2")</f>
        <v>Q10.5.2_2</v>
      </c>
      <c r="T150" s="93" t="str">
        <f>HYPERLINK("#'Retirement, NQDC, Finances'!ET2","401(k) plan: Personalized retirement planning services: Group sessions")</f>
        <v>401(k) plan: Personalized retirement planning services: Group sessions</v>
      </c>
      <c r="U150" s="3" t="str">
        <f>HYPERLINK("#'Time Off'!ET1","Q11.7.11")</f>
        <v>Q11.7.11</v>
      </c>
      <c r="V150" s="93" t="str">
        <f>HYPERLINK("#'Time Off'!ET2","Number of weeks until employee loses job protection while on pandemic leave")</f>
        <v>Number of weeks until employee loses job protection while on pandemic leave</v>
      </c>
      <c r="W150" s="3" t="str">
        <f>HYPERLINK("#'Vendors'!ET1","Q12.7.20_10")</f>
        <v>Q12.7.20_10</v>
      </c>
      <c r="X150" s="93" t="str">
        <f>HYPERLINK("#'Vendors'!ET2","Terminated miscellaneous health care vendors: Stress, resiliency, mindfulness")</f>
        <v>Terminated miscellaneous health care vendors: Stress, resiliency, mindfulness</v>
      </c>
    </row>
    <row r="151" spans="1:24" ht="38.25" x14ac:dyDescent="0.2">
      <c r="A151" s="87"/>
      <c r="B151" s="88"/>
      <c r="C151" s="96" t="str">
        <f>HYPERLINK("#'Enrollment, Eligib. &amp; Cost'!EU1","Q2.4.11_14")</f>
        <v>Q2.4.11_14</v>
      </c>
      <c r="D151" s="93" t="str">
        <f>HYPERLINK("#'Enrollment, Eligib. &amp; Cost'!EU2","Total monthly premium for POS medical plan with highest enrollment: Family (employee + spouse/DP + dependent) with 3 child(ren)")</f>
        <v>Total monthly premium for POS medical plan with highest enrollment: Family (employee + spouse/DP + dependent) with 3 child(ren)</v>
      </c>
      <c r="E151" s="6"/>
      <c r="F151" s="7"/>
      <c r="G151" s="6"/>
      <c r="H151" s="7"/>
      <c r="I151" s="96" t="str">
        <f>HYPERLINK("#'Other Benefits'!EU1","Q5.3.16")</f>
        <v>Q5.3.16</v>
      </c>
      <c r="J151" s="93" t="str">
        <f>HYPERLINK("#'Other Benefits'!EU2","Tuition assistance: Minimum grade required for reimbursement")</f>
        <v>Tuition assistance: Minimum grade required for reimbursement</v>
      </c>
      <c r="K151" s="3" t="str">
        <f>HYPERLINK("#'Healthcare'!EU1","Q6.2.28_5")</f>
        <v>Q6.2.28_5</v>
      </c>
      <c r="L151" s="93" t="str">
        <f>HYPERLINK("#'Healthcare'!EU2","Primary PPO medical plan out-of-network coinsurance: Urgent office visit")</f>
        <v>Primary PPO medical plan out-of-network coinsurance: Urgent office visit</v>
      </c>
      <c r="M151" s="6"/>
      <c r="N151" s="7"/>
      <c r="O151" s="6"/>
      <c r="P151" s="7"/>
      <c r="Q151" s="96" t="str">
        <f>HYPERLINK("#'Income Protection'!EU1","Q9.7.3")</f>
        <v>Q9.7.3</v>
      </c>
      <c r="R151" s="4" t="str">
        <f>HYPERLINK("#'Income Protection'!EU2","Long-term care eligibility")</f>
        <v>Long-term care eligibility</v>
      </c>
      <c r="S151" s="96" t="str">
        <f>HYPERLINK("#'Retirement, NQDC, Finances'!EU1","Q10.5.2_3")</f>
        <v>Q10.5.2_3</v>
      </c>
      <c r="T151" s="93" t="str">
        <f>HYPERLINK("#'Retirement, NQDC, Finances'!EU2","401(k) plan: Personalized retirement planning services: Self-service/online education")</f>
        <v>401(k) plan: Personalized retirement planning services: Self-service/online education</v>
      </c>
      <c r="U151" s="3" t="str">
        <f>HYPERLINK("#'Time Off'!EU1","Q11.7.13")</f>
        <v>Q11.7.13</v>
      </c>
      <c r="V151" s="93" t="str">
        <f>HYPERLINK("#'Time Off'!EU2","Bereavement leave policy in place, separate from vacation/paid time off policy")</f>
        <v>Bereavement leave policy in place, separate from vacation/paid time off policy</v>
      </c>
      <c r="W151" s="3" t="str">
        <f>HYPERLINK("#'Vendors'!EU1","Q12.7.20_11")</f>
        <v>Q12.7.20_11</v>
      </c>
      <c r="X151" s="93" t="str">
        <f>HYPERLINK("#'Vendors'!EU2","Terminated miscellaneous health care vendors: Smoking cessation")</f>
        <v>Terminated miscellaneous health care vendors: Smoking cessation</v>
      </c>
    </row>
    <row r="152" spans="1:24" ht="38.25" x14ac:dyDescent="0.2">
      <c r="A152" s="87"/>
      <c r="B152" s="88"/>
      <c r="C152" s="96" t="str">
        <f>HYPERLINK("#'Enrollment, Eligib. &amp; Cost'!EV1","Q2.4.11_15")</f>
        <v>Q2.4.11_15</v>
      </c>
      <c r="D152" s="93" t="str">
        <f>HYPERLINK("#'Enrollment, Eligib. &amp; Cost'!EV2","Total monthly premium for POS medical plan with highest enrollment: Family (employee + spouse/DP + dependent) with 4 child(ren)")</f>
        <v>Total monthly premium for POS medical plan with highest enrollment: Family (employee + spouse/DP + dependent) with 4 child(ren)</v>
      </c>
      <c r="E152" s="6"/>
      <c r="F152" s="7"/>
      <c r="G152" s="6"/>
      <c r="H152" s="7"/>
      <c r="I152" s="96" t="str">
        <f>HYPERLINK("#'Other Benefits'!EV1","Q5.3.17_1")</f>
        <v>Q5.3.17_1</v>
      </c>
      <c r="J152" s="93" t="str">
        <f>HYPERLINK("#'Other Benefits'!EV2","Tuition assistance reimbursement maximum: Undergraduate annual")</f>
        <v>Tuition assistance reimbursement maximum: Undergraduate annual</v>
      </c>
      <c r="K152" s="3" t="str">
        <f>HYPERLINK("#'Healthcare'!EV1","Q6.2.28_7")</f>
        <v>Q6.2.28_7</v>
      </c>
      <c r="L152" s="93" t="str">
        <f>HYPERLINK("#'Healthcare'!EV2","Primary PPO medical plan out-of-network coinsurance: Telehealth")</f>
        <v>Primary PPO medical plan out-of-network coinsurance: Telehealth</v>
      </c>
      <c r="M152" s="6"/>
      <c r="N152" s="7"/>
      <c r="O152" s="6"/>
      <c r="P152" s="7"/>
      <c r="Q152" s="96" t="str">
        <f>HYPERLINK("#'Income Protection'!EV1","Q9.7.4")</f>
        <v>Q9.7.4</v>
      </c>
      <c r="R152" s="4" t="str">
        <f>HYPERLINK("#'Income Protection'!EV2","Long-term care offerings")</f>
        <v>Long-term care offerings</v>
      </c>
      <c r="S152" s="96" t="str">
        <f>HYPERLINK("#'Retirement, NQDC, Finances'!EV1","Q10.5.2_4")</f>
        <v>Q10.5.2_4</v>
      </c>
      <c r="T152" s="93" t="str">
        <f>HYPERLINK("#'Retirement, NQDC, Finances'!EV2","401(k) plan: Personalized retirement planning services: Online tools/calculators")</f>
        <v>401(k) plan: Personalized retirement planning services: Online tools/calculators</v>
      </c>
      <c r="U152" s="3" t="str">
        <f>HYPERLINK("#'Time Off'!EV1","Q11.7.14")</f>
        <v>Q11.7.14</v>
      </c>
      <c r="V152" s="93" t="str">
        <f>HYPERLINK("#'Time Off'!EV2","Relationship types that qualify for bereavement leave")</f>
        <v>Relationship types that qualify for bereavement leave</v>
      </c>
      <c r="W152" s="3" t="str">
        <f>HYPERLINK("#'Vendors'!EV1","Q12.7.20_12")</f>
        <v>Q12.7.20_12</v>
      </c>
      <c r="X152" s="93" t="str">
        <f>HYPERLINK("#'Vendors'!EV2","Terminated miscellaneous health care vendors: Weight management")</f>
        <v>Terminated miscellaneous health care vendors: Weight management</v>
      </c>
    </row>
    <row r="153" spans="1:24" ht="38.25" x14ac:dyDescent="0.2">
      <c r="A153" s="87"/>
      <c r="B153" s="88"/>
      <c r="C153" s="96" t="str">
        <f>HYPERLINK("#'Enrollment, Eligib. &amp; Cost'!EW1","Q2.4.11_16")</f>
        <v>Q2.4.11_16</v>
      </c>
      <c r="D153" s="93" t="str">
        <f>HYPERLINK("#'Enrollment, Eligib. &amp; Cost'!EW2","Total monthly premium for POS medical plan with highest enrollment: Family (employee + spouse/DP + dependent) with 5 child(ren)")</f>
        <v>Total monthly premium for POS medical plan with highest enrollment: Family (employee + spouse/DP + dependent) with 5 child(ren)</v>
      </c>
      <c r="E153" s="6"/>
      <c r="F153" s="7"/>
      <c r="G153" s="6"/>
      <c r="H153" s="7"/>
      <c r="I153" s="96" t="str">
        <f>HYPERLINK("#'Other Benefits'!EW1","Q5.3.17_2")</f>
        <v>Q5.3.17_2</v>
      </c>
      <c r="J153" s="93" t="str">
        <f>HYPERLINK("#'Other Benefits'!EW2","Tuition assistance reimbursement maximum: Undergraduate total")</f>
        <v>Tuition assistance reimbursement maximum: Undergraduate total</v>
      </c>
      <c r="K153" s="3" t="str">
        <f>HYPERLINK("#'Healthcare'!EW1","Q6.2.28_6")</f>
        <v>Q6.2.28_6</v>
      </c>
      <c r="L153" s="93" t="str">
        <f>HYPERLINK("#'Healthcare'!EW2","Primary PPO medical plan out-of-network coinsurance: Other")</f>
        <v>Primary PPO medical plan out-of-network coinsurance: Other</v>
      </c>
      <c r="M153" s="6"/>
      <c r="N153" s="7"/>
      <c r="O153" s="6"/>
      <c r="P153" s="7"/>
      <c r="Q153" s="96" t="str">
        <f>HYPERLINK("#'Income Protection'!EW1","Q9.7.5_1")</f>
        <v>Q9.7.5_1</v>
      </c>
      <c r="R153" s="4" t="str">
        <f>HYPERLINK("#'Income Protection'!EW2","Long-term care monthly benefit maximum: nursing home care")</f>
        <v>Long-term care monthly benefit maximum: nursing home care</v>
      </c>
      <c r="S153" s="96" t="str">
        <f>HYPERLINK("#'Retirement, NQDC, Finances'!EW1","Q10.5.2_5")</f>
        <v>Q10.5.2_5</v>
      </c>
      <c r="T153" s="93" t="str">
        <f>HYPERLINK("#'Retirement, NQDC, Finances'!EW2","401(k) plan: Personalized retirement planning services: 401(k) plan deferral amount and investment advice")</f>
        <v>401(k) plan: Personalized retirement planning services: 401(k) plan deferral amount and investment advice</v>
      </c>
      <c r="U153" s="3" t="str">
        <f>HYPERLINK("#'Time Off'!EW1","Q11.7.15")</f>
        <v>Q11.7.15</v>
      </c>
      <c r="V153" s="93" t="str">
        <f>HYPERLINK("#'Time Off'!EW2","Other relationship types that qualify for bereavement leave")</f>
        <v>Other relationship types that qualify for bereavement leave</v>
      </c>
      <c r="W153" s="3" t="str">
        <f>HYPERLINK("#'Vendors'!EW1","Q12.7.20_13")</f>
        <v>Q12.7.20_13</v>
      </c>
      <c r="X153" s="93" t="str">
        <f>HYPERLINK("#'Vendors'!EW2","Terminated miscellaneous health care vendors: Budget, debt and financial wellness services")</f>
        <v>Terminated miscellaneous health care vendors: Budget, debt and financial wellness services</v>
      </c>
    </row>
    <row r="154" spans="1:24" ht="38.25" x14ac:dyDescent="0.2">
      <c r="A154" s="87"/>
      <c r="B154" s="88"/>
      <c r="C154" s="96" t="str">
        <f>HYPERLINK("#'Enrollment, Eligib. &amp; Cost'!EX1","Q2.4.12")</f>
        <v>Q2.4.12</v>
      </c>
      <c r="D154" s="93" t="str">
        <f>HYPERLINK("#'Enrollment, Eligib. &amp; Cost'!EX2","Percentage of POS medical plan premium paid by company")</f>
        <v>Percentage of POS medical plan premium paid by company</v>
      </c>
      <c r="E154" s="6"/>
      <c r="F154" s="7"/>
      <c r="G154" s="6"/>
      <c r="H154" s="7"/>
      <c r="I154" s="96" t="str">
        <f>HYPERLINK("#'Other Benefits'!EX1","Q5.3.17_3")</f>
        <v>Q5.3.17_3</v>
      </c>
      <c r="J154" s="93" t="str">
        <f>HYPERLINK("#'Other Benefits'!EX2","Tuition assistance reimbursement maximum: Graduate annual")</f>
        <v>Tuition assistance reimbursement maximum: Graduate annual</v>
      </c>
      <c r="K154" s="3" t="str">
        <f>HYPERLINK("#'Healthcare'!EX1","Q6.2.29_1")</f>
        <v>Q6.2.29_1</v>
      </c>
      <c r="L154" s="93" t="str">
        <f>HYPERLINK("#'Healthcare'!EX2","Primary PPO medical plan out-of-pocket cost share waived or reduced: General/Primary care office visit")</f>
        <v>Primary PPO medical plan out-of-pocket cost share waived or reduced: General/Primary care office visit</v>
      </c>
      <c r="M154" s="6"/>
      <c r="N154" s="7"/>
      <c r="O154" s="6"/>
      <c r="P154" s="7"/>
      <c r="Q154" s="96" t="str">
        <f>HYPERLINK("#'Income Protection'!EX1","Q9.7.5_2")</f>
        <v>Q9.7.5_2</v>
      </c>
      <c r="R154" s="4" t="str">
        <f>HYPERLINK("#'Income Protection'!EX2","Long-term care monthly benefit maximum: home health care")</f>
        <v>Long-term care monthly benefit maximum: home health care</v>
      </c>
      <c r="S154" s="96" t="str">
        <f>HYPERLINK("#'Retirement, NQDC, Finances'!EX1","Q10.5.2_6")</f>
        <v>Q10.5.2_6</v>
      </c>
      <c r="T154" s="93" t="str">
        <f>HYPERLINK("#'Retirement, NQDC, Finances'!EX2","401(k) plan: Personalized retirement planning services: Retirement/medical care options")</f>
        <v>401(k) plan: Personalized retirement planning services: Retirement/medical care options</v>
      </c>
      <c r="U154" s="3" t="str">
        <f>HYPERLINK("#'Time Off'!EX1","Q11.7.16")</f>
        <v>Q11.7.16</v>
      </c>
      <c r="V154" s="93" t="str">
        <f>HYPERLINK("#'Time Off'!EX2","Maximum paid bereavement period is the same for all relationship types")</f>
        <v>Maximum paid bereavement period is the same for all relationship types</v>
      </c>
      <c r="W154" s="3" t="str">
        <f>HYPERLINK("#'Vendors'!EX1","Q12.7.20_18")</f>
        <v>Q12.7.20_18</v>
      </c>
      <c r="X154" s="93" t="str">
        <f>HYPERLINK("#'Vendors'!EX2","Terminated miscellaneous health care vendors: Flu shots")</f>
        <v>Terminated miscellaneous health care vendors: Flu shots</v>
      </c>
    </row>
    <row r="155" spans="1:24" ht="25.5" x14ac:dyDescent="0.2">
      <c r="A155" s="87"/>
      <c r="B155" s="88"/>
      <c r="C155" s="96" t="str">
        <f>HYPERLINK("#'Enrollment, Eligib. &amp; Cost'!EY1","Q2.4.13_1")</f>
        <v>Q2.4.13_1</v>
      </c>
      <c r="D155" s="93" t="str">
        <f>HYPERLINK("#'Enrollment, Eligib. &amp; Cost'!EY2","Total monthly premium for CDHP/HRA medical plan with highest enrollment: Waive or opt out")</f>
        <v>Total monthly premium for CDHP/HRA medical plan with highest enrollment: Waive or opt out</v>
      </c>
      <c r="E155" s="6"/>
      <c r="F155" s="7"/>
      <c r="G155" s="6"/>
      <c r="H155" s="7"/>
      <c r="I155" s="96" t="str">
        <f>HYPERLINK("#'Other Benefits'!EY1","Q5.3.17_4")</f>
        <v>Q5.3.17_4</v>
      </c>
      <c r="J155" s="93" t="str">
        <f>HYPERLINK("#'Other Benefits'!EY2","Tuition assistance reimbursement maximum: Graduate total")</f>
        <v>Tuition assistance reimbursement maximum: Graduate total</v>
      </c>
      <c r="K155" s="3" t="str">
        <f>HYPERLINK("#'Healthcare'!EY1","Q6.2.29_2")</f>
        <v>Q6.2.29_2</v>
      </c>
      <c r="L155" s="93" t="str">
        <f>HYPERLINK("#'Healthcare'!EY2","Primary PPO medical plan out-of-pocket cost share waived or reduced: Specialist office visit")</f>
        <v>Primary PPO medical plan out-of-pocket cost share waived or reduced: Specialist office visit</v>
      </c>
      <c r="M155" s="6"/>
      <c r="N155" s="7"/>
      <c r="O155" s="6"/>
      <c r="P155" s="7"/>
      <c r="Q155" s="96" t="str">
        <f>HYPERLINK("#'Income Protection'!EY1","Q9.7.5_3")</f>
        <v>Q9.7.5_3</v>
      </c>
      <c r="R155" s="4" t="str">
        <f>HYPERLINK("#'Income Protection'!EY2","Long-term care monthly benefit maximum: assisted-living care")</f>
        <v>Long-term care monthly benefit maximum: assisted-living care</v>
      </c>
      <c r="S155" s="96" t="str">
        <f>HYPERLINK("#'Retirement, NQDC, Finances'!EY1","Q10.6.2")</f>
        <v>Q10.6.2</v>
      </c>
      <c r="T155" s="93" t="str">
        <f>HYPERLINK("#'Retirement, NQDC, Finances'!EY2","Offer non-qualified deferred compensation (NQDC) plan")</f>
        <v>Offer non-qualified deferred compensation (NQDC) plan</v>
      </c>
      <c r="U155" s="3" t="str">
        <f>HYPERLINK("#'Time Off'!EY1","Q11.7.17")</f>
        <v>Q11.7.17</v>
      </c>
      <c r="V155" s="93" t="str">
        <f>HYPERLINK("#'Time Off'!EY2","Maximum number of paid bereavement leave days available to employees")</f>
        <v>Maximum number of paid bereavement leave days available to employees</v>
      </c>
      <c r="W155" s="3" t="str">
        <f>HYPERLINK("#'Vendors'!EY1","Q12.8.2")</f>
        <v>Q12.8.2</v>
      </c>
      <c r="X155" s="93" t="str">
        <f>HYPERLINK("#'Vendors'!EY2","Wellness management vendors employed: Wellness portal")</f>
        <v>Wellness management vendors employed: Wellness portal</v>
      </c>
    </row>
    <row r="156" spans="1:24" ht="38.25" x14ac:dyDescent="0.2">
      <c r="A156" s="87"/>
      <c r="B156" s="88"/>
      <c r="C156" s="96" t="str">
        <f>HYPERLINK("#'Enrollment, Eligib. &amp; Cost'!EZ1","Q2.4.13_2")</f>
        <v>Q2.4.13_2</v>
      </c>
      <c r="D156" s="93" t="str">
        <f>HYPERLINK("#'Enrollment, Eligib. &amp; Cost'!EZ2","Total monthly premium for CDHP/HRA medical plan with highest enrollment: Employee only")</f>
        <v>Total monthly premium for CDHP/HRA medical plan with highest enrollment: Employee only</v>
      </c>
      <c r="E156" s="6"/>
      <c r="F156" s="7"/>
      <c r="G156" s="6"/>
      <c r="H156" s="7"/>
      <c r="I156" s="96" t="str">
        <f>HYPERLINK("#'Other Benefits'!EZ1","Q5.3.18")</f>
        <v>Q5.3.18</v>
      </c>
      <c r="J156" s="93" t="str">
        <f>HYPERLINK("#'Other Benefits'!EZ2","Tuition assistance program covers professional certifications")</f>
        <v>Tuition assistance program covers professional certifications</v>
      </c>
      <c r="K156" s="3" t="str">
        <f>HYPERLINK("#'Healthcare'!EZ1","Q6.2.29_3")</f>
        <v>Q6.2.29_3</v>
      </c>
      <c r="L156" s="93" t="str">
        <f>HYPERLINK("#'Healthcare'!EZ2","Primary PPO medical plan out-of-pocket cost share waived or reduced: Autism/applied behavioral analysis (ABA)")</f>
        <v>Primary PPO medical plan out-of-pocket cost share waived or reduced: Autism/applied behavioral analysis (ABA)</v>
      </c>
      <c r="M156" s="6"/>
      <c r="N156" s="7"/>
      <c r="O156" s="6"/>
      <c r="P156" s="7"/>
      <c r="Q156" s="96" t="str">
        <f>HYPERLINK("#'Income Protection'!EZ1","Q9.7.5_4")</f>
        <v>Q9.7.5_4</v>
      </c>
      <c r="R156" s="4" t="str">
        <f>HYPERLINK("#'Income Protection'!EZ2","Long-term care monthly benefit maximum: adult day care")</f>
        <v>Long-term care monthly benefit maximum: adult day care</v>
      </c>
      <c r="S156" s="96" t="str">
        <f>HYPERLINK("#'Retirement, NQDC, Finances'!EZ1","Q10.6.3")</f>
        <v>Q10.6.3</v>
      </c>
      <c r="T156" s="93" t="str">
        <f>HYPERLINK("#'Retirement, NQDC, Finances'!EZ2","NQDC: Plan type")</f>
        <v>NQDC: Plan type</v>
      </c>
      <c r="U156" s="3" t="str">
        <f>HYPERLINK("#'Time Off'!EZ1","Q11.7.18_1")</f>
        <v>Q11.7.18_1</v>
      </c>
      <c r="V156" s="93" t="str">
        <f>HYPERLINK("#'Time Off'!EZ2","Maximum bereavement period: Spouse")</f>
        <v>Maximum bereavement period: Spouse</v>
      </c>
      <c r="W156" s="3" t="str">
        <f>HYPERLINK("#'Vendors'!EZ1","Q12.8.2_60_TEXT")</f>
        <v>Q12.8.2_60_TEXT</v>
      </c>
      <c r="X156" s="93" t="str">
        <f>HYPERLINK("#'Vendors'!EZ2","Other wellness management vendors employed: Wellness portal")</f>
        <v>Other wellness management vendors employed: Wellness portal</v>
      </c>
    </row>
    <row r="157" spans="1:24" ht="38.25" x14ac:dyDescent="0.2">
      <c r="A157" s="87"/>
      <c r="B157" s="88"/>
      <c r="C157" s="96" t="str">
        <f>HYPERLINK("#'Enrollment, Eligib. &amp; Cost'!FA1","Q2.4.13_3")</f>
        <v>Q2.4.13_3</v>
      </c>
      <c r="D157" s="93" t="str">
        <f>HYPERLINK("#'Enrollment, Eligib. &amp; Cost'!FA2","Total monthly premium for CDHP/HRA medical plan with highest enrollment: Employee + spouse/DP")</f>
        <v>Total monthly premium for CDHP/HRA medical plan with highest enrollment: Employee + spouse/DP</v>
      </c>
      <c r="E157" s="6"/>
      <c r="F157" s="7"/>
      <c r="G157" s="6"/>
      <c r="H157" s="7"/>
      <c r="I157" s="96" t="str">
        <f>HYPERLINK("#'Other Benefits'!FA1","Q5.3.19")</f>
        <v>Q5.3.19</v>
      </c>
      <c r="J157" s="93" t="str">
        <f>HYPERLINK("#'Other Benefits'!FA2","Requirements for tuition assistance program to cover professional certifications")</f>
        <v>Requirements for tuition assistance program to cover professional certifications</v>
      </c>
      <c r="K157" s="3" t="str">
        <f>HYPERLINK("#'Healthcare'!FA1","Q6.2.29_4")</f>
        <v>Q6.2.29_4</v>
      </c>
      <c r="L157" s="93" t="str">
        <f>HYPERLINK("#'Healthcare'!FA2","Primary PPO medical plan out-of-pocket cost share waived or reduced: Emergency room")</f>
        <v>Primary PPO medical plan out-of-pocket cost share waived or reduced: Emergency room</v>
      </c>
      <c r="M157" s="6"/>
      <c r="N157" s="7"/>
      <c r="O157" s="6"/>
      <c r="P157" s="7"/>
      <c r="Q157" s="96" t="str">
        <f>HYPERLINK("#'Income Protection'!FA1","Q9.7.5_5")</f>
        <v>Q9.7.5_5</v>
      </c>
      <c r="R157" s="4" t="str">
        <f>HYPERLINK("#'Income Protection'!FA2","Long-term care monthly benefit maximum: respite care")</f>
        <v>Long-term care monthly benefit maximum: respite care</v>
      </c>
      <c r="S157" s="96" t="str">
        <f>HYPERLINK("#'Retirement, NQDC, Finances'!FA1","Q10.6.4")</f>
        <v>Q10.6.4</v>
      </c>
      <c r="T157" s="93" t="str">
        <f>HYPERLINK("#'Retirement, NQDC, Finances'!FA2","NQDC: Additional offerings")</f>
        <v>NQDC: Additional offerings</v>
      </c>
      <c r="U157" s="3" t="str">
        <f>HYPERLINK("#'Time Off'!FA1","Q11.7.18_2")</f>
        <v>Q11.7.18_2</v>
      </c>
      <c r="V157" s="93" t="str">
        <f>HYPERLINK("#'Time Off'!FA2","Maximum bereavement period: Domestic partner")</f>
        <v>Maximum bereavement period: Domestic partner</v>
      </c>
      <c r="W157" s="3" t="str">
        <f>HYPERLINK("#'Vendors'!FA1","Q12.8.3")</f>
        <v>Q12.8.3</v>
      </c>
      <c r="X157" s="93" t="str">
        <f>HYPERLINK("#'Vendors'!FA2","Wellness management vendors employed: Wellness organized events or competitions")</f>
        <v>Wellness management vendors employed: Wellness organized events or competitions</v>
      </c>
    </row>
    <row r="158" spans="1:24" ht="38.25" x14ac:dyDescent="0.2">
      <c r="A158" s="87"/>
      <c r="B158" s="88"/>
      <c r="C158" s="96" t="str">
        <f>HYPERLINK("#'Enrollment, Eligib. &amp; Cost'!FB1","Q2.4.13_4")</f>
        <v>Q2.4.13_4</v>
      </c>
      <c r="D158" s="93" t="str">
        <f>HYPERLINK("#'Enrollment, Eligib. &amp; Cost'!FB2","Total monthly premium for CDHP/HRA medical plan with highest enrollment: Employee + spouse/DP or child(ren)")</f>
        <v>Total monthly premium for CDHP/HRA medical plan with highest enrollment: Employee + spouse/DP or child(ren)</v>
      </c>
      <c r="E158" s="6"/>
      <c r="F158" s="7"/>
      <c r="G158" s="6"/>
      <c r="H158" s="7"/>
      <c r="I158" s="96" t="str">
        <f>HYPERLINK("#'Other Benefits'!FB1","Q5.3.20")</f>
        <v>Q5.3.20</v>
      </c>
      <c r="J158" s="93" t="str">
        <f>HYPERLINK("#'Other Benefits'!FB2","Tuition assistance plan: U.S. law compliance")</f>
        <v>Tuition assistance plan: U.S. law compliance</v>
      </c>
      <c r="K158" s="3" t="str">
        <f>HYPERLINK("#'Healthcare'!FB1","Q6.2.29_5")</f>
        <v>Q6.2.29_5</v>
      </c>
      <c r="L158" s="93" t="str">
        <f>HYPERLINK("#'Healthcare'!FB2","Primary PPO medical plan out-of-pocket cost share waived or reduced: Urgent office visit")</f>
        <v>Primary PPO medical plan out-of-pocket cost share waived or reduced: Urgent office visit</v>
      </c>
      <c r="M158" s="6"/>
      <c r="N158" s="7"/>
      <c r="O158" s="6"/>
      <c r="P158" s="7"/>
      <c r="Q158" s="96" t="str">
        <f>HYPERLINK("#'Income Protection'!FB1","Q9.7.5_6")</f>
        <v>Q9.7.5_6</v>
      </c>
      <c r="R158" s="4" t="str">
        <f>HYPERLINK("#'Income Protection'!FB2","Long-term care monthly benefit maximum: hospice care")</f>
        <v>Long-term care monthly benefit maximum: hospice care</v>
      </c>
      <c r="S158" s="96" t="str">
        <f>HYPERLINK("#'Retirement, NQDC, Finances'!FB1","Q10.6.5")</f>
        <v>Q10.6.5</v>
      </c>
      <c r="T158" s="93" t="str">
        <f>HYPERLINK("#'Retirement, NQDC, Finances'!FB2","NQDC: Eligibility criteria")</f>
        <v>NQDC: Eligibility criteria</v>
      </c>
      <c r="U158" s="3" t="str">
        <f>HYPERLINK("#'Time Off'!FB1","Q11.7.18_3")</f>
        <v>Q11.7.18_3</v>
      </c>
      <c r="V158" s="93" t="str">
        <f>HYPERLINK("#'Time Off'!FB2","Maximum bereavement period: Child(ren)")</f>
        <v>Maximum bereavement period: Child(ren)</v>
      </c>
      <c r="W158" s="3" t="str">
        <f>HYPERLINK("#'Vendors'!FB1","Q12.8.3_60_TEXT")</f>
        <v>Q12.8.3_60_TEXT</v>
      </c>
      <c r="X158" s="93" t="str">
        <f>HYPERLINK("#'Vendors'!FB2","Other wellness management vendors employed: Wellness organized events or competitions")</f>
        <v>Other wellness management vendors employed: Wellness organized events or competitions</v>
      </c>
    </row>
    <row r="159" spans="1:24" ht="38.25" x14ac:dyDescent="0.2">
      <c r="A159" s="87"/>
      <c r="B159" s="88"/>
      <c r="C159" s="96" t="str">
        <f>HYPERLINK("#'Enrollment, Eligib. &amp; Cost'!FC1","Q2.4.13_5")</f>
        <v>Q2.4.13_5</v>
      </c>
      <c r="D159" s="93" t="str">
        <f>HYPERLINK("#'Enrollment, Eligib. &amp; Cost'!FC2","Total monthly premium for CDHP/HRA medical plan with highest enrollment: Employee + any child(ren)")</f>
        <v>Total monthly premium for CDHP/HRA medical plan with highest enrollment: Employee + any child(ren)</v>
      </c>
      <c r="E159" s="6"/>
      <c r="F159" s="7"/>
      <c r="G159" s="6"/>
      <c r="H159" s="7"/>
      <c r="I159" s="96" t="str">
        <f>HYPERLINK("#'Other Benefits'!FC1","Q5.3.22")</f>
        <v>Q5.3.22</v>
      </c>
      <c r="J159" s="93" t="str">
        <f>HYPERLINK("#'Other Benefits'!FC2","Annual maximum working remotely stipend/reimbursement amount")</f>
        <v>Annual maximum working remotely stipend/reimbursement amount</v>
      </c>
      <c r="K159" s="3" t="str">
        <f>HYPERLINK("#'Healthcare'!FC1","Q6.2.29_6")</f>
        <v>Q6.2.29_6</v>
      </c>
      <c r="L159" s="93" t="str">
        <f>HYPERLINK("#'Healthcare'!FC2","Primary PPO medical plan out-of-pocket cost share waived or reduced: Telehealth")</f>
        <v>Primary PPO medical plan out-of-pocket cost share waived or reduced: Telehealth</v>
      </c>
      <c r="M159" s="6"/>
      <c r="N159" s="7"/>
      <c r="O159" s="6"/>
      <c r="P159" s="7"/>
      <c r="Q159" s="96" t="str">
        <f>HYPERLINK("#'Income Protection'!FC1","Q9.7.5_7")</f>
        <v>Q9.7.5_7</v>
      </c>
      <c r="R159" s="4" t="str">
        <f>HYPERLINK("#'Income Protection'!FC2","Long-term care monthly benefit maximum: other")</f>
        <v>Long-term care monthly benefit maximum: other</v>
      </c>
      <c r="S159" s="96" t="str">
        <f>HYPERLINK("#'Retirement, NQDC, Finances'!FC1","Q10.6.6")</f>
        <v>Q10.6.6</v>
      </c>
      <c r="T159" s="93" t="str">
        <f>HYPERLINK("#'Retirement, NQDC, Finances'!FC2","NQDC: Eligibility criteria/minimum salary requirement")</f>
        <v>NQDC: Eligibility criteria/minimum salary requirement</v>
      </c>
      <c r="U159" s="3" t="str">
        <f>HYPERLINK("#'Time Off'!FC1","Q11.7.18_4")</f>
        <v>Q11.7.18_4</v>
      </c>
      <c r="V159" s="93" t="str">
        <f>HYPERLINK("#'Time Off'!FC2","Maximum bereavement period: Step children")</f>
        <v>Maximum bereavement period: Step children</v>
      </c>
      <c r="W159" s="3" t="str">
        <f>HYPERLINK("#'Vendors'!FC1","Q12.8.4")</f>
        <v>Q12.8.4</v>
      </c>
      <c r="X159" s="93" t="str">
        <f>HYPERLINK("#'Vendors'!FC2","Wellness management vendors employed: Wellness incentive manager")</f>
        <v>Wellness management vendors employed: Wellness incentive manager</v>
      </c>
    </row>
    <row r="160" spans="1:24" ht="38.25" x14ac:dyDescent="0.2">
      <c r="A160" s="87"/>
      <c r="B160" s="88"/>
      <c r="C160" s="96" t="str">
        <f>HYPERLINK("#'Enrollment, Eligib. &amp; Cost'!FD1","Q2.4.13_6")</f>
        <v>Q2.4.13_6</v>
      </c>
      <c r="D160" s="93" t="str">
        <f>HYPERLINK("#'Enrollment, Eligib. &amp; Cost'!FD2","Total monthly premium for CDHP/HRA medical plan with highest enrollment: Employee + 1 child")</f>
        <v>Total monthly premium for CDHP/HRA medical plan with highest enrollment: Employee + 1 child</v>
      </c>
      <c r="E160" s="6"/>
      <c r="F160" s="7"/>
      <c r="G160" s="6"/>
      <c r="H160" s="7"/>
      <c r="I160" s="96" t="str">
        <f>HYPERLINK("#'Other Benefits'!FD1","Q5.3.23")</f>
        <v>Q5.3.23</v>
      </c>
      <c r="J160" s="93" t="str">
        <f>HYPERLINK("#'Other Benefits'!FD2","Costs eligible for remote work stipend/reimbursement ")</f>
        <v xml:space="preserve">Costs eligible for remote work stipend/reimbursement </v>
      </c>
      <c r="K160" s="3" t="str">
        <f>HYPERLINK("#'Healthcare'!FD1","Q6.2.29_7")</f>
        <v>Q6.2.29_7</v>
      </c>
      <c r="L160" s="93" t="str">
        <f>HYPERLINK("#'Healthcare'!FD2","Primary PPO medical plan out-of-pocket cost share waived or reduced: Other")</f>
        <v>Primary PPO medical plan out-of-pocket cost share waived or reduced: Other</v>
      </c>
      <c r="M160" s="6"/>
      <c r="N160" s="7"/>
      <c r="O160" s="6"/>
      <c r="P160" s="7"/>
      <c r="Q160" s="96" t="str">
        <f>HYPERLINK("#'Income Protection'!FD1","Q9.7.6")</f>
        <v>Q9.7.6</v>
      </c>
      <c r="R160" s="4" t="str">
        <f>HYPERLINK("#'Income Protection'!FD2","Long-term care policy covers Alzheimer's disease, Parkinson's disease, and senility")</f>
        <v>Long-term care policy covers Alzheimer's disease, Parkinson's disease, and senility</v>
      </c>
      <c r="S160" s="96" t="str">
        <f>HYPERLINK("#'Retirement, NQDC, Finances'!FD1","Q10.6.7")</f>
        <v>Q10.6.7</v>
      </c>
      <c r="T160" s="93" t="str">
        <f>HYPERLINK("#'Retirement, NQDC, Finances'!FD2","NQDC: Eligibility criteria/board of directors offering")</f>
        <v>NQDC: Eligibility criteria/board of directors offering</v>
      </c>
      <c r="U160" s="3" t="str">
        <f>HYPERLINK("#'Time Off'!FD1","Q11.7.18_5")</f>
        <v>Q11.7.18_5</v>
      </c>
      <c r="V160" s="93" t="str">
        <f>HYPERLINK("#'Time Off'!FD2","Maximum bereavement period: Foster children")</f>
        <v>Maximum bereavement period: Foster children</v>
      </c>
      <c r="W160" s="3" t="str">
        <f>HYPERLINK("#'Vendors'!FD1","Q12.8.4_60_TEXT")</f>
        <v>Q12.8.4_60_TEXT</v>
      </c>
      <c r="X160" s="93" t="str">
        <f>HYPERLINK("#'Vendors'!FD2","Other wellness management vendors employed: Wellness incentive manager")</f>
        <v>Other wellness management vendors employed: Wellness incentive manager</v>
      </c>
    </row>
    <row r="161" spans="1:24" ht="51" x14ac:dyDescent="0.2">
      <c r="A161" s="87"/>
      <c r="B161" s="88"/>
      <c r="C161" s="96" t="str">
        <f>HYPERLINK("#'Enrollment, Eligib. &amp; Cost'!FE1","Q2.4.13_7")</f>
        <v>Q2.4.13_7</v>
      </c>
      <c r="D161" s="93" t="str">
        <f>HYPERLINK("#'Enrollment, Eligib. &amp; Cost'!FE2","Total monthly premium for CDHP/HRA medical plan with highest enrollment: Employee + 2 children")</f>
        <v>Total monthly premium for CDHP/HRA medical plan with highest enrollment: Employee + 2 children</v>
      </c>
      <c r="E161" s="6"/>
      <c r="F161" s="7"/>
      <c r="G161" s="6"/>
      <c r="H161" s="7"/>
      <c r="I161" s="96" t="str">
        <f>HYPERLINK("#'Other Benefits'!FE1","Q5.3.23_10_TEXT")</f>
        <v>Q5.3.23_10_TEXT</v>
      </c>
      <c r="J161" s="93" t="str">
        <f>HYPERLINK("#'Other Benefits'!FE2","Other costs eligible for remote work stipend/reimbursement ")</f>
        <v xml:space="preserve">Other costs eligible for remote work stipend/reimbursement </v>
      </c>
      <c r="K161" s="3" t="str">
        <f>HYPERLINK("#'Healthcare'!FE1","Q6.2.30_1")</f>
        <v>Q6.2.30_1</v>
      </c>
      <c r="L161" s="93" t="str">
        <f>HYPERLINK("#'Healthcare'!FE2","Primary PPO medical plan non-authorization/notification/not qualified services penalties applied: General/Primary care office visit")</f>
        <v>Primary PPO medical plan non-authorization/notification/not qualified services penalties applied: General/Primary care office visit</v>
      </c>
      <c r="M161" s="6"/>
      <c r="N161" s="7"/>
      <c r="O161" s="6"/>
      <c r="P161" s="7"/>
      <c r="Q161" s="96" t="str">
        <f>HYPERLINK("#'Income Protection'!FE1","Q9.7.7")</f>
        <v>Q9.7.7</v>
      </c>
      <c r="R161" s="4" t="str">
        <f>HYPERLINK("#'Income Protection'!FE2","Long-term care elimination period")</f>
        <v>Long-term care elimination period</v>
      </c>
      <c r="S161" s="96" t="str">
        <f>HYPERLINK("#'Retirement, NQDC, Finances'!FE1","Q10.6.8")</f>
        <v>Q10.6.8</v>
      </c>
      <c r="T161" s="93" t="str">
        <f>HYPERLINK("#'Retirement, NQDC, Finances'!FE2","NQDC: Eligibility criteria/job titles")</f>
        <v>NQDC: Eligibility criteria/job titles</v>
      </c>
      <c r="U161" s="3" t="str">
        <f>HYPERLINK("#'Time Off'!FE1","Q11.7.18_6")</f>
        <v>Q11.7.18_6</v>
      </c>
      <c r="V161" s="93" t="str">
        <f>HYPERLINK("#'Time Off'!FE2","Maximum bereavement period: Miscarriage")</f>
        <v>Maximum bereavement period: Miscarriage</v>
      </c>
      <c r="W161" s="3" t="str">
        <f>HYPERLINK("#'Vendors'!FE1","Q12.8.5")</f>
        <v>Q12.8.5</v>
      </c>
      <c r="X161" s="93" t="str">
        <f>HYPERLINK("#'Vendors'!FE2","Wellness management vendors employed: Fitness center")</f>
        <v>Wellness management vendors employed: Fitness center</v>
      </c>
    </row>
    <row r="162" spans="1:24" ht="38.25" x14ac:dyDescent="0.2">
      <c r="A162" s="87"/>
      <c r="B162" s="88"/>
      <c r="C162" s="96" t="str">
        <f>HYPERLINK("#'Enrollment, Eligib. &amp; Cost'!FF1","Q2.4.13_8")</f>
        <v>Q2.4.13_8</v>
      </c>
      <c r="D162" s="93" t="str">
        <f>HYPERLINK("#'Enrollment, Eligib. &amp; Cost'!FF2","Total monthly premium for CDHP/HRA medical plan with highest enrollment: Employee + 3 children")</f>
        <v>Total monthly premium for CDHP/HRA medical plan with highest enrollment: Employee + 3 children</v>
      </c>
      <c r="E162" s="6"/>
      <c r="F162" s="7"/>
      <c r="G162" s="6"/>
      <c r="H162" s="7"/>
      <c r="I162" s="96" t="str">
        <f>HYPERLINK("#'Other Benefits'!FF1","Q5.4.2")</f>
        <v>Q5.4.2</v>
      </c>
      <c r="J162" s="93" t="str">
        <f>HYPERLINK("#'Other Benefits'!FF2","Perks offered")</f>
        <v>Perks offered</v>
      </c>
      <c r="K162" s="3" t="str">
        <f>HYPERLINK("#'Healthcare'!FF1","Q6.2.30_2")</f>
        <v>Q6.2.30_2</v>
      </c>
      <c r="L162" s="93" t="str">
        <f>HYPERLINK("#'Healthcare'!FF2","Primary PPO medical plan non-authorization/notification/not qualified services penalties applied: Specialist office visit")</f>
        <v>Primary PPO medical plan non-authorization/notification/not qualified services penalties applied: Specialist office visit</v>
      </c>
      <c r="M162" s="6"/>
      <c r="N162" s="7"/>
      <c r="O162" s="6"/>
      <c r="P162" s="7"/>
      <c r="Q162" s="96" t="str">
        <f>HYPERLINK("#'Income Protection'!FF1","Q9.7.8")</f>
        <v>Q9.7.8</v>
      </c>
      <c r="R162" s="4" t="str">
        <f>HYPERLINK("#'Income Protection'!FF2","Long-term care maximum duration of benefit payments")</f>
        <v>Long-term care maximum duration of benefit payments</v>
      </c>
      <c r="S162" s="96" t="str">
        <f>HYPERLINK("#'Retirement, NQDC, Finances'!FF1","Q10.6.9")</f>
        <v>Q10.6.9</v>
      </c>
      <c r="T162" s="93" t="str">
        <f>HYPERLINK("#'Retirement, NQDC, Finances'!FF2","NQDC: Considering/planning/changes to existing plan/status")</f>
        <v>NQDC: Considering/planning/changes to existing plan/status</v>
      </c>
      <c r="U162" s="3" t="str">
        <f>HYPERLINK("#'Time Off'!FF1","Q11.7.18_7")</f>
        <v>Q11.7.18_7</v>
      </c>
      <c r="V162" s="93" t="str">
        <f>HYPERLINK("#'Time Off'!FF2","Maximum bereavement period: Grandchildren")</f>
        <v>Maximum bereavement period: Grandchildren</v>
      </c>
      <c r="W162" s="3" t="str">
        <f>HYPERLINK("#'Vendors'!FF1","Q12.8.5_60_TEXT")</f>
        <v>Q12.8.5_60_TEXT</v>
      </c>
      <c r="X162" s="93" t="str">
        <f>HYPERLINK("#'Vendors'!FF2","Other wellness management vendors employed: Fitness center")</f>
        <v>Other wellness management vendors employed: Fitness center</v>
      </c>
    </row>
    <row r="163" spans="1:24" ht="51.75" thickBot="1" x14ac:dyDescent="0.25">
      <c r="A163" s="87"/>
      <c r="B163" s="88"/>
      <c r="C163" s="96" t="str">
        <f>HYPERLINK("#'Enrollment, Eligib. &amp; Cost'!FG1","Q2.4.13_9")</f>
        <v>Q2.4.13_9</v>
      </c>
      <c r="D163" s="93" t="str">
        <f>HYPERLINK("#'Enrollment, Eligib. &amp; Cost'!FG2","Total monthly premium for CDHP/HRA medical plan with highest enrollment: Employee + 4 children")</f>
        <v>Total monthly premium for CDHP/HRA medical plan with highest enrollment: Employee + 4 children</v>
      </c>
      <c r="E163" s="6"/>
      <c r="F163" s="7"/>
      <c r="G163" s="6"/>
      <c r="H163" s="7"/>
      <c r="I163" s="96" t="str">
        <f>HYPERLINK("#'Other Benefits'!FG1","Q5.4.4")</f>
        <v>Q5.4.4</v>
      </c>
      <c r="J163" s="93" t="str">
        <f>HYPERLINK("#'Other Benefits'!FG2","Charitable match eligibility for part-time employees")</f>
        <v>Charitable match eligibility for part-time employees</v>
      </c>
      <c r="K163" s="3" t="str">
        <f>HYPERLINK("#'Healthcare'!FG1","Q6.2.30_3")</f>
        <v>Q6.2.30_3</v>
      </c>
      <c r="L163" s="93" t="str">
        <f>HYPERLINK("#'Healthcare'!FG2","Primary PPO medical plan non-authorization/notification/not qualified services penalties applied: Autism/applied behavioral analysis (ABA)")</f>
        <v>Primary PPO medical plan non-authorization/notification/not qualified services penalties applied: Autism/applied behavioral analysis (ABA)</v>
      </c>
      <c r="M163" s="6"/>
      <c r="N163" s="7"/>
      <c r="O163" s="6"/>
      <c r="P163" s="7"/>
      <c r="Q163" s="97" t="str">
        <f>HYPERLINK("#'Income Protection'!FG1","Q9.7.9")</f>
        <v>Q9.7.9</v>
      </c>
      <c r="R163" s="110" t="str">
        <f>HYPERLINK("#'Income Protection'!FG2","Long-term care cost of living adjustment offered")</f>
        <v>Long-term care cost of living adjustment offered</v>
      </c>
      <c r="S163" s="96" t="str">
        <f>HYPERLINK("#'Retirement, NQDC, Finances'!FG1","Q10.6.10")</f>
        <v>Q10.6.10</v>
      </c>
      <c r="T163" s="93" t="str">
        <f>HYPERLINK("#'Retirement, NQDC, Finances'!FG2","NQDC: Plan change types")</f>
        <v>NQDC: Plan change types</v>
      </c>
      <c r="U163" s="3" t="str">
        <f>HYPERLINK("#'Time Off'!FG1","Q11.7.18_8")</f>
        <v>Q11.7.18_8</v>
      </c>
      <c r="V163" s="93" t="str">
        <f>HYPERLINK("#'Time Off'!FG2","Maximum bereavement period: Parent")</f>
        <v>Maximum bereavement period: Parent</v>
      </c>
      <c r="W163" s="3" t="str">
        <f>HYPERLINK("#'Vendors'!FG1","Q12.8.6")</f>
        <v>Q12.8.6</v>
      </c>
      <c r="X163" s="93" t="str">
        <f>HYPERLINK("#'Vendors'!FG2","Wellness management vendors employed: Wellness coaching &amp; high risk coaching")</f>
        <v>Wellness management vendors employed: Wellness coaching &amp; high risk coaching</v>
      </c>
    </row>
    <row r="164" spans="1:24" ht="38.25" x14ac:dyDescent="0.2">
      <c r="A164" s="87"/>
      <c r="B164" s="88"/>
      <c r="C164" s="96" t="str">
        <f>HYPERLINK("#'Enrollment, Eligib. &amp; Cost'!FH1","Q2.4.13_10")</f>
        <v>Q2.4.13_10</v>
      </c>
      <c r="D164" s="93" t="str">
        <f>HYPERLINK("#'Enrollment, Eligib. &amp; Cost'!FH2","Total monthly premium for CDHP/HRA medical plan with highest enrollment: Employee + 5 children")</f>
        <v>Total monthly premium for CDHP/HRA medical plan with highest enrollment: Employee + 5 children</v>
      </c>
      <c r="E164" s="6"/>
      <c r="F164" s="7"/>
      <c r="G164" s="6"/>
      <c r="H164" s="7"/>
      <c r="I164" s="96" t="str">
        <f>HYPERLINK("#'Other Benefits'!FH1","Q5.4.5")</f>
        <v>Q5.4.5</v>
      </c>
      <c r="J164" s="93" t="str">
        <f>HYPERLINK("#'Other Benefits'!FH2","Charitable match: Hours worked requirements for part-time employees")</f>
        <v>Charitable match: Hours worked requirements for part-time employees</v>
      </c>
      <c r="K164" s="3" t="str">
        <f>HYPERLINK("#'Healthcare'!FH1","Q6.2.30_4")</f>
        <v>Q6.2.30_4</v>
      </c>
      <c r="L164" s="93" t="str">
        <f>HYPERLINK("#'Healthcare'!FH2","Primary PPO medical plan non-authorization/notification/not qualified services penalties applied: Emergency room")</f>
        <v>Primary PPO medical plan non-authorization/notification/not qualified services penalties applied: Emergency room</v>
      </c>
      <c r="M164" s="6"/>
      <c r="N164" s="7"/>
      <c r="O164" s="6"/>
      <c r="P164" s="7"/>
      <c r="Q164" s="6"/>
      <c r="R164" s="7"/>
      <c r="S164" s="96" t="str">
        <f>HYPERLINK("#'Retirement, NQDC, Finances'!FH1","Q10.6.11")</f>
        <v>Q10.6.11</v>
      </c>
      <c r="T164" s="93" t="str">
        <f>HYPERLINK("#'Retirement, NQDC, Finances'!FH2","NQDC: Distribution election changes available")</f>
        <v>NQDC: Distribution election changes available</v>
      </c>
      <c r="U164" s="3" t="str">
        <f>HYPERLINK("#'Time Off'!FH1","Q11.7.18_9")</f>
        <v>Q11.7.18_9</v>
      </c>
      <c r="V164" s="93" t="str">
        <f>HYPERLINK("#'Time Off'!FH2","Maximum bereavement period: Parent in-law")</f>
        <v>Maximum bereavement period: Parent in-law</v>
      </c>
      <c r="W164" s="3" t="str">
        <f>HYPERLINK("#'Vendors'!FH1","Q12.8.6_60_TEXT")</f>
        <v>Q12.8.6_60_TEXT</v>
      </c>
      <c r="X164" s="93" t="str">
        <f>HYPERLINK("#'Vendors'!FH2","Other wellness management vendors employed: Wellness coaching &amp; high risk coaching")</f>
        <v>Other wellness management vendors employed: Wellness coaching &amp; high risk coaching</v>
      </c>
    </row>
    <row r="165" spans="1:24" ht="51" x14ac:dyDescent="0.2">
      <c r="A165" s="87"/>
      <c r="B165" s="88"/>
      <c r="C165" s="96" t="str">
        <f>HYPERLINK("#'Enrollment, Eligib. &amp; Cost'!FI1","Q2.4.13_11")</f>
        <v>Q2.4.13_11</v>
      </c>
      <c r="D165" s="93" t="str">
        <f>HYPERLINK("#'Enrollment, Eligib. &amp; Cost'!FI2","Total monthly premium for CDHP/HRA medical plan with highest enrollment: Family (employee + spouse/DP + dependent) with any child(ren)")</f>
        <v>Total monthly premium for CDHP/HRA medical plan with highest enrollment: Family (employee + spouse/DP + dependent) with any child(ren)</v>
      </c>
      <c r="E165" s="6"/>
      <c r="F165" s="7"/>
      <c r="G165" s="6"/>
      <c r="H165" s="7"/>
      <c r="I165" s="96" t="str">
        <f>HYPERLINK("#'Other Benefits'!FI1","Q5.4.6")</f>
        <v>Q5.4.6</v>
      </c>
      <c r="J165" s="93" t="str">
        <f>HYPERLINK("#'Other Benefits'!FI2","Charitable match: Annual maximum")</f>
        <v>Charitable match: Annual maximum</v>
      </c>
      <c r="K165" s="3" t="str">
        <f>HYPERLINK("#'Healthcare'!FI1","Q6.2.30_5")</f>
        <v>Q6.2.30_5</v>
      </c>
      <c r="L165" s="93" t="str">
        <f>HYPERLINK("#'Healthcare'!FI2","Primary PPO medical plan non-authorization/notification/not qualified services penalties applied: Urgent office visit")</f>
        <v>Primary PPO medical plan non-authorization/notification/not qualified services penalties applied: Urgent office visit</v>
      </c>
      <c r="M165" s="6"/>
      <c r="N165" s="7"/>
      <c r="O165" s="6"/>
      <c r="P165" s="7"/>
      <c r="Q165" s="6"/>
      <c r="R165" s="7"/>
      <c r="S165" s="96" t="str">
        <f>HYPERLINK("#'Retirement, NQDC, Finances'!FI1","Q10.6.12")</f>
        <v>Q10.6.12</v>
      </c>
      <c r="T165" s="93" t="str">
        <f>HYPERLINK("#'Retirement, NQDC, Finances'!FI2","NQDC: Eligibility criteria/initial eligibility period")</f>
        <v>NQDC: Eligibility criteria/initial eligibility period</v>
      </c>
      <c r="U165" s="3" t="str">
        <f>HYPERLINK("#'Time Off'!FI1","Q11.7.18_10")</f>
        <v>Q11.7.18_10</v>
      </c>
      <c r="V165" s="93" t="str">
        <f>HYPERLINK("#'Time Off'!FI2","Maximum bereavement period: Grandparent")</f>
        <v>Maximum bereavement period: Grandparent</v>
      </c>
      <c r="W165" s="3" t="str">
        <f>HYPERLINK("#'Vendors'!FI1","Q12.8.7")</f>
        <v>Q12.8.7</v>
      </c>
      <c r="X165" s="93" t="str">
        <f>HYPERLINK("#'Vendors'!FI2","Wellness management vendors employed: Biometric screening")</f>
        <v>Wellness management vendors employed: Biometric screening</v>
      </c>
    </row>
    <row r="166" spans="1:24" ht="51" x14ac:dyDescent="0.2">
      <c r="A166" s="87"/>
      <c r="B166" s="88"/>
      <c r="C166" s="96" t="str">
        <f>HYPERLINK("#'Enrollment, Eligib. &amp; Cost'!FJ1","Q2.4.13_12")</f>
        <v>Q2.4.13_12</v>
      </c>
      <c r="D166" s="93" t="str">
        <f>HYPERLINK("#'Enrollment, Eligib. &amp; Cost'!FJ2","Total monthly premium for CDHP/HRA medical plan with highest enrollment: Family (employee + spouse/DP + dependent) with 1 child")</f>
        <v>Total monthly premium for CDHP/HRA medical plan with highest enrollment: Family (employee + spouse/DP + dependent) with 1 child</v>
      </c>
      <c r="E166" s="6"/>
      <c r="F166" s="7"/>
      <c r="G166" s="6"/>
      <c r="H166" s="7"/>
      <c r="I166" s="96" t="str">
        <f>HYPERLINK("#'Other Benefits'!FJ1","Q5.4.7")</f>
        <v>Q5.4.7</v>
      </c>
      <c r="J166" s="93" t="str">
        <f>HYPERLINK("#'Other Benefits'!FJ2","Formal volunteer work program offer")</f>
        <v>Formal volunteer work program offer</v>
      </c>
      <c r="K166" s="3" t="str">
        <f>HYPERLINK("#'Healthcare'!FJ1","Q6.2.30_6")</f>
        <v>Q6.2.30_6</v>
      </c>
      <c r="L166" s="93" t="str">
        <f>HYPERLINK("#'Healthcare'!FJ2","Primary PPO medical plan non-authorization/notification/not qualified services penalties applied: Telehealth")</f>
        <v>Primary PPO medical plan non-authorization/notification/not qualified services penalties applied: Telehealth</v>
      </c>
      <c r="M166" s="6"/>
      <c r="N166" s="7"/>
      <c r="O166" s="6"/>
      <c r="P166" s="7"/>
      <c r="Q166" s="6"/>
      <c r="R166" s="7"/>
      <c r="S166" s="96" t="str">
        <f>HYPERLINK("#'Retirement, NQDC, Finances'!FJ1","Q10.6.13_1")</f>
        <v>Q10.6.13_1</v>
      </c>
      <c r="T166" s="93" t="str">
        <f>HYPERLINK("#'Retirement, NQDC, Finances'!FJ2","NQDC maximum contribution amount: Salary")</f>
        <v>NQDC maximum contribution amount: Salary</v>
      </c>
      <c r="U166" s="3" t="str">
        <f>HYPERLINK("#'Time Off'!FJ1","Q11.7.18_11")</f>
        <v>Q11.7.18_11</v>
      </c>
      <c r="V166" s="93" t="str">
        <f>HYPERLINK("#'Time Off'!FJ2","Maximum bereavement period: Grandparent-in-law")</f>
        <v>Maximum bereavement period: Grandparent-in-law</v>
      </c>
      <c r="W166" s="3" t="str">
        <f>HYPERLINK("#'Vendors'!FJ1","Q12.8.7_60_TEXT")</f>
        <v>Q12.8.7_60_TEXT</v>
      </c>
      <c r="X166" s="93" t="str">
        <f>HYPERLINK("#'Vendors'!FJ2","Other wellness management vendors employed: Biometric screening")</f>
        <v>Other wellness management vendors employed: Biometric screening</v>
      </c>
    </row>
    <row r="167" spans="1:24" ht="51" x14ac:dyDescent="0.2">
      <c r="A167" s="6"/>
      <c r="B167" s="7"/>
      <c r="C167" s="96" t="str">
        <f>HYPERLINK("#'Enrollment, Eligib. &amp; Cost'!FK1","Q2.4.13_13")</f>
        <v>Q2.4.13_13</v>
      </c>
      <c r="D167" s="93" t="str">
        <f>HYPERLINK("#'Enrollment, Eligib. &amp; Cost'!FK2","Total monthly premium for CDHP/HRA medical plan with highest enrollment: Family (employee + spouse/DP + dependent) with 2 child(ren)")</f>
        <v>Total monthly premium for CDHP/HRA medical plan with highest enrollment: Family (employee + spouse/DP + dependent) with 2 child(ren)</v>
      </c>
      <c r="E167" s="6"/>
      <c r="F167" s="7"/>
      <c r="G167" s="6"/>
      <c r="H167" s="7"/>
      <c r="I167" s="96" t="str">
        <f>HYPERLINK("#'Other Benefits'!FK1","Q5.4.8")</f>
        <v>Q5.4.8</v>
      </c>
      <c r="J167" s="93" t="str">
        <f>HYPERLINK("#'Other Benefits'!FK2","Number of volunteer days subsidized per year")</f>
        <v>Number of volunteer days subsidized per year</v>
      </c>
      <c r="K167" s="3" t="str">
        <f>HYPERLINK("#'Healthcare'!FK1","Q6.2.30_7")</f>
        <v>Q6.2.30_7</v>
      </c>
      <c r="L167" s="93" t="str">
        <f>HYPERLINK("#'Healthcare'!FK2","Primary PPO medical plan non-authorization/notification/not qualified services penalties applied: Other")</f>
        <v>Primary PPO medical plan non-authorization/notification/not qualified services penalties applied: Other</v>
      </c>
      <c r="M167" s="6"/>
      <c r="N167" s="7"/>
      <c r="O167" s="6"/>
      <c r="P167" s="7"/>
      <c r="Q167" s="6"/>
      <c r="R167" s="7"/>
      <c r="S167" s="96" t="str">
        <f>HYPERLINK("#'Retirement, NQDC, Finances'!FK1","Q10.6.13_2")</f>
        <v>Q10.6.13_2</v>
      </c>
      <c r="T167" s="93" t="str">
        <f>HYPERLINK("#'Retirement, NQDC, Finances'!FK2","NQDC maximum contribution amount: Bonus (performance)")</f>
        <v>NQDC maximum contribution amount: Bonus (performance)</v>
      </c>
      <c r="U167" s="3" t="str">
        <f>HYPERLINK("#'Time Off'!FK1","Q11.7.18_12")</f>
        <v>Q11.7.18_12</v>
      </c>
      <c r="V167" s="93" t="str">
        <f>HYPERLINK("#'Time Off'!FK2","Maximum bereavement period: Brother/sister")</f>
        <v>Maximum bereavement period: Brother/sister</v>
      </c>
      <c r="W167" s="3" t="str">
        <f>HYPERLINK("#'Vendors'!FK1","Q12.8.8")</f>
        <v>Q12.8.8</v>
      </c>
      <c r="X167" s="93" t="str">
        <f>HYPERLINK("#'Vendors'!FK2","Wellness management vendors employed: Health risk assessment")</f>
        <v>Wellness management vendors employed: Health risk assessment</v>
      </c>
    </row>
    <row r="168" spans="1:24" ht="51" x14ac:dyDescent="0.2">
      <c r="A168" s="6"/>
      <c r="B168" s="7"/>
      <c r="C168" s="96" t="str">
        <f>HYPERLINK("#'Enrollment, Eligib. &amp; Cost'!FL1","Q2.4.13_14")</f>
        <v>Q2.4.13_14</v>
      </c>
      <c r="D168" s="93" t="str">
        <f>HYPERLINK("#'Enrollment, Eligib. &amp; Cost'!FL2","Total monthly premium for CDHP/HRA medical plan with highest enrollment: Family (employee + spouse/DP + dependent) with 3 child(ren)")</f>
        <v>Total monthly premium for CDHP/HRA medical plan with highest enrollment: Family (employee + spouse/DP + dependent) with 3 child(ren)</v>
      </c>
      <c r="E168" s="6"/>
      <c r="F168" s="7"/>
      <c r="G168" s="6"/>
      <c r="H168" s="7"/>
      <c r="I168" s="96" t="str">
        <f>HYPERLINK("#'Other Benefits'!FL1","Q5.4.10")</f>
        <v>Q5.4.10</v>
      </c>
      <c r="J168" s="93" t="str">
        <f>HYPERLINK("#'Other Benefits'!FL2","Commuter benefits: offering locations")</f>
        <v>Commuter benefits: offering locations</v>
      </c>
      <c r="K168" s="3" t="str">
        <f>HYPERLINK("#'Healthcare'!FL1","Q6.2.32_1")</f>
        <v>Q6.2.32_1</v>
      </c>
      <c r="L168" s="93" t="str">
        <f>HYPERLINK("#'Healthcare'!FL2","Primary PPO medical plan covered drug type: Preventive")</f>
        <v>Primary PPO medical plan covered drug type: Preventive</v>
      </c>
      <c r="M168" s="6"/>
      <c r="N168" s="7"/>
      <c r="O168" s="6"/>
      <c r="P168" s="7"/>
      <c r="Q168" s="6"/>
      <c r="R168" s="7"/>
      <c r="S168" s="96" t="str">
        <f>HYPERLINK("#'Retirement, NQDC, Finances'!FL1","Q10.6.13_3")</f>
        <v>Q10.6.13_3</v>
      </c>
      <c r="T168" s="93" t="str">
        <f>HYPERLINK("#'Retirement, NQDC, Finances'!FL2","NQDC maximum contribution amount: Bonus (discretionary)")</f>
        <v>NQDC maximum contribution amount: Bonus (discretionary)</v>
      </c>
      <c r="U168" s="3" t="str">
        <f>HYPERLINK("#'Time Off'!FL1","Q11.7.18_13")</f>
        <v>Q11.7.18_13</v>
      </c>
      <c r="V168" s="93" t="str">
        <f>HYPERLINK("#'Time Off'!FL2","Maximum bereavement period: Brother/sister in-law")</f>
        <v>Maximum bereavement period: Brother/sister in-law</v>
      </c>
      <c r="W168" s="3" t="str">
        <f>HYPERLINK("#'Vendors'!FL1","Q12.8.8_60_TEXT")</f>
        <v>Q12.8.8_60_TEXT</v>
      </c>
      <c r="X168" s="93" t="str">
        <f>HYPERLINK("#'Vendors'!FL2","Other wellness management vendors employed: Health risk assessment")</f>
        <v>Other wellness management vendors employed: Health risk assessment</v>
      </c>
    </row>
    <row r="169" spans="1:24" ht="51" x14ac:dyDescent="0.2">
      <c r="A169" s="6"/>
      <c r="B169" s="7"/>
      <c r="C169" s="96" t="str">
        <f>HYPERLINK("#'Enrollment, Eligib. &amp; Cost'!FM1","Q2.4.13_15")</f>
        <v>Q2.4.13_15</v>
      </c>
      <c r="D169" s="93" t="str">
        <f>HYPERLINK("#'Enrollment, Eligib. &amp; Cost'!FM2","Total monthly premium for CDHP/HRA medical plan with highest enrollment: Family (employee + spouse/DP + dependent) with 4 child(ren)")</f>
        <v>Total monthly premium for CDHP/HRA medical plan with highest enrollment: Family (employee + spouse/DP + dependent) with 4 child(ren)</v>
      </c>
      <c r="E169" s="6"/>
      <c r="F169" s="7"/>
      <c r="G169" s="6"/>
      <c r="H169" s="7"/>
      <c r="I169" s="96" t="str">
        <f>HYPERLINK("#'Other Benefits'!FM1","Q5.4.11")</f>
        <v>Q5.4.11</v>
      </c>
      <c r="J169" s="93" t="str">
        <f>HYPERLINK("#'Other Benefits'!FM2","Commuter benefits features/perks")</f>
        <v>Commuter benefits features/perks</v>
      </c>
      <c r="K169" s="3" t="str">
        <f>HYPERLINK("#'Healthcare'!FM1","Q6.2.32_2")</f>
        <v>Q6.2.32_2</v>
      </c>
      <c r="L169" s="93" t="str">
        <f>HYPERLINK("#'Healthcare'!FM2","Primary PPO medical plan covered drug type: Maintenance")</f>
        <v>Primary PPO medical plan covered drug type: Maintenance</v>
      </c>
      <c r="M169" s="6"/>
      <c r="N169" s="7"/>
      <c r="O169" s="6"/>
      <c r="P169" s="7"/>
      <c r="Q169" s="6"/>
      <c r="R169" s="7"/>
      <c r="S169" s="96" t="str">
        <f>HYPERLINK("#'Retirement, NQDC, Finances'!FM1","Q10.6.13_13")</f>
        <v>Q10.6.13_13</v>
      </c>
      <c r="T169" s="93" t="str">
        <f>HYPERLINK("#'Retirement, NQDC, Finances'!FM2","NQDC maximum contribution amount: Bonus (sign-on)")</f>
        <v>NQDC maximum contribution amount: Bonus (sign-on)</v>
      </c>
      <c r="U169" s="3" t="str">
        <f>HYPERLINK("#'Time Off'!FM1","Q11.7.18_14")</f>
        <v>Q11.7.18_14</v>
      </c>
      <c r="V169" s="93" t="str">
        <f>HYPERLINK("#'Time Off'!FM2","Maximum bereavement period: Niece/nephew")</f>
        <v>Maximum bereavement period: Niece/nephew</v>
      </c>
      <c r="W169" s="3" t="str">
        <f>HYPERLINK("#'Vendors'!FM1","Q12.8.9")</f>
        <v>Q12.8.9</v>
      </c>
      <c r="X169" s="93" t="str">
        <f>HYPERLINK("#'Vendors'!FM2","Wellness management vendor(s) terminated in 2021")</f>
        <v>Wellness management vendor(s) terminated in 2021</v>
      </c>
    </row>
    <row r="170" spans="1:24" ht="51" x14ac:dyDescent="0.2">
      <c r="A170" s="6"/>
      <c r="B170" s="7"/>
      <c r="C170" s="96" t="str">
        <f>HYPERLINK("#'Enrollment, Eligib. &amp; Cost'!FN1","Q2.4.13_16")</f>
        <v>Q2.4.13_16</v>
      </c>
      <c r="D170" s="93" t="str">
        <f>HYPERLINK("#'Enrollment, Eligib. &amp; Cost'!FN2","Total monthly premium for CDHP/HRA medical plan with highest enrollment: Family (employee + spouse/DP + dependent) with 5 child(ren)")</f>
        <v>Total monthly premium for CDHP/HRA medical plan with highest enrollment: Family (employee + spouse/DP + dependent) with 5 child(ren)</v>
      </c>
      <c r="E170" s="6"/>
      <c r="F170" s="7"/>
      <c r="G170" s="6"/>
      <c r="H170" s="7"/>
      <c r="I170" s="96" t="str">
        <f>HYPERLINK("#'Other Benefits'!FN1","Q5.4.12_1")</f>
        <v>Q5.4.12_1</v>
      </c>
      <c r="J170" s="93" t="str">
        <f>HYPERLINK("#'Other Benefits'!FN2","Commuter benefits cost share model: Parking benefit or allowance")</f>
        <v>Commuter benefits cost share model: Parking benefit or allowance</v>
      </c>
      <c r="K170" s="3" t="str">
        <f>HYPERLINK("#'Healthcare'!FN1","Q6.2.32_3")</f>
        <v>Q6.2.32_3</v>
      </c>
      <c r="L170" s="93" t="str">
        <f>HYPERLINK("#'Healthcare'!FN2","Primary PPO medical plan covered drug type: Generic")</f>
        <v>Primary PPO medical plan covered drug type: Generic</v>
      </c>
      <c r="M170" s="6"/>
      <c r="N170" s="7"/>
      <c r="O170" s="6"/>
      <c r="P170" s="7"/>
      <c r="Q170" s="6"/>
      <c r="R170" s="7"/>
      <c r="S170" s="96" t="str">
        <f>HYPERLINK("#'Retirement, NQDC, Finances'!FN1","Q10.6.13_4")</f>
        <v>Q10.6.13_4</v>
      </c>
      <c r="T170" s="93" t="str">
        <f>HYPERLINK("#'Retirement, NQDC, Finances'!FN2","NQDC maximum contribution amount: Sales commission (projected)")</f>
        <v>NQDC maximum contribution amount: Sales commission (projected)</v>
      </c>
      <c r="U170" s="3" t="str">
        <f>HYPERLINK("#'Time Off'!FN1","Q11.7.18_15")</f>
        <v>Q11.7.18_15</v>
      </c>
      <c r="V170" s="93" t="str">
        <f>HYPERLINK("#'Time Off'!FN2","Maximum bereavement period: Uncle/aunt")</f>
        <v>Maximum bereavement period: Uncle/aunt</v>
      </c>
      <c r="W170" s="3" t="str">
        <f>HYPERLINK("#'Vendors'!FN1","Q12.8.10_1")</f>
        <v>Q12.8.10_1</v>
      </c>
      <c r="X170" s="93" t="str">
        <f>HYPERLINK("#'Vendors'!FN2","Terminated wellness management vendors: Wellness portal")</f>
        <v>Terminated wellness management vendors: Wellness portal</v>
      </c>
    </row>
    <row r="171" spans="1:24" ht="25.5" x14ac:dyDescent="0.2">
      <c r="A171" s="6"/>
      <c r="B171" s="7"/>
      <c r="C171" s="96" t="str">
        <f>HYPERLINK("#'Enrollment, Eligib. &amp; Cost'!FO1","Q2.4.14")</f>
        <v>Q2.4.14</v>
      </c>
      <c r="D171" s="93" t="str">
        <f>HYPERLINK("#'Enrollment, Eligib. &amp; Cost'!FO2","Percentage of CDHP/HRA medical plan premium paid by company")</f>
        <v>Percentage of CDHP/HRA medical plan premium paid by company</v>
      </c>
      <c r="E171" s="6"/>
      <c r="F171" s="7"/>
      <c r="G171" s="6"/>
      <c r="H171" s="7"/>
      <c r="I171" s="96" t="str">
        <f>HYPERLINK("#'Other Benefits'!FO1","Q5.4.12_2")</f>
        <v>Q5.4.12_2</v>
      </c>
      <c r="J171" s="93" t="str">
        <f>HYPERLINK("#'Other Benefits'!FO2","Commuter benefits cost share model: Public transportation benefit or allowance")</f>
        <v>Commuter benefits cost share model: Public transportation benefit or allowance</v>
      </c>
      <c r="K171" s="3" t="str">
        <f>HYPERLINK("#'Healthcare'!FO1","Q6.2.32_4")</f>
        <v>Q6.2.32_4</v>
      </c>
      <c r="L171" s="93" t="str">
        <f>HYPERLINK("#'Healthcare'!FO2","Primary PPO medical plan covered drug type: Specialty (includes injectables)")</f>
        <v>Primary PPO medical plan covered drug type: Specialty (includes injectables)</v>
      </c>
      <c r="M171" s="6"/>
      <c r="N171" s="7"/>
      <c r="O171" s="6"/>
      <c r="P171" s="7"/>
      <c r="Q171" s="6"/>
      <c r="R171" s="7"/>
      <c r="S171" s="96" t="str">
        <f>HYPERLINK("#'Retirement, NQDC, Finances'!FO1","Q10.6.13_5")</f>
        <v>Q10.6.13_5</v>
      </c>
      <c r="T171" s="93" t="str">
        <f>HYPERLINK("#'Retirement, NQDC, Finances'!FO2","NQDC maximum contribution amount: Sales commission (actual)")</f>
        <v>NQDC maximum contribution amount: Sales commission (actual)</v>
      </c>
      <c r="U171" s="3" t="str">
        <f>HYPERLINK("#'Time Off'!FO1","Q11.7.18_16")</f>
        <v>Q11.7.18_16</v>
      </c>
      <c r="V171" s="93" t="str">
        <f>HYPERLINK("#'Time Off'!FO2","Maximum bereavement period: Cousin")</f>
        <v>Maximum bereavement period: Cousin</v>
      </c>
      <c r="W171" s="3" t="str">
        <f>HYPERLINK("#'Vendors'!FO1","Q12.8.10_2")</f>
        <v>Q12.8.10_2</v>
      </c>
      <c r="X171" s="93" t="str">
        <f>HYPERLINK("#'Vendors'!FO2","Terminated wellness management vendors: Wellness organized events or competitions")</f>
        <v>Terminated wellness management vendors: Wellness organized events or competitions</v>
      </c>
    </row>
    <row r="172" spans="1:24" ht="38.25" x14ac:dyDescent="0.2">
      <c r="A172" s="6"/>
      <c r="B172" s="7"/>
      <c r="C172" s="96" t="str">
        <f>HYPERLINK("#'Enrollment, Eligib. &amp; Cost'!FP1","Q2.4.15_1")</f>
        <v>Q2.4.15_1</v>
      </c>
      <c r="D172" s="93" t="str">
        <f>HYPERLINK("#'Enrollment, Eligib. &amp; Cost'!FP2","Total monthly premium for indemnity - out of area medical plan with highest enrollment: Waive or opt out")</f>
        <v>Total monthly premium for indemnity - out of area medical plan with highest enrollment: Waive or opt out</v>
      </c>
      <c r="E172" s="6"/>
      <c r="F172" s="7"/>
      <c r="G172" s="6"/>
      <c r="H172" s="7"/>
      <c r="I172" s="96" t="str">
        <f>HYPERLINK("#'Other Benefits'!FP1","Q5.4.12_3")</f>
        <v>Q5.4.12_3</v>
      </c>
      <c r="J172" s="93" t="str">
        <f>HYPERLINK("#'Other Benefits'!FP2","Commuter benefits cost share model: Transit")</f>
        <v>Commuter benefits cost share model: Transit</v>
      </c>
      <c r="K172" s="3" t="str">
        <f>HYPERLINK("#'Healthcare'!FP1","Q6.2.32_5")</f>
        <v>Q6.2.32_5</v>
      </c>
      <c r="L172" s="93" t="str">
        <f>HYPERLINK("#'Healthcare'!FP2","Primary PPO medical plan covered drug type: Lifestyle")</f>
        <v>Primary PPO medical plan covered drug type: Lifestyle</v>
      </c>
      <c r="M172" s="6"/>
      <c r="N172" s="7"/>
      <c r="O172" s="6"/>
      <c r="P172" s="7"/>
      <c r="Q172" s="6"/>
      <c r="R172" s="7"/>
      <c r="S172" s="96" t="str">
        <f>HYPERLINK("#'Retirement, NQDC, Finances'!FP1","Q10.6.13_6")</f>
        <v>Q10.6.13_6</v>
      </c>
      <c r="T172" s="93" t="str">
        <f>HYPERLINK("#'Retirement, NQDC, Finances'!FP2","NQDC maximum contribution amount: Restricted stock units (RSUs)")</f>
        <v>NQDC maximum contribution amount: Restricted stock units (RSUs)</v>
      </c>
      <c r="U172" s="3" t="str">
        <f>HYPERLINK("#'Time Off'!FP1","Q11.7.18_17")</f>
        <v>Q11.7.18_17</v>
      </c>
      <c r="V172" s="93" t="str">
        <f>HYPERLINK("#'Time Off'!FP2","Maximum bereavement period: Non-relative (other member of employee's household)")</f>
        <v>Maximum bereavement period: Non-relative (other member of employee's household)</v>
      </c>
      <c r="W172" s="3" t="str">
        <f>HYPERLINK("#'Vendors'!FP1","Q12.8.10_3")</f>
        <v>Q12.8.10_3</v>
      </c>
      <c r="X172" s="93" t="str">
        <f>HYPERLINK("#'Vendors'!FP2","Terminated wellness management vendors: Wellness incentive manager")</f>
        <v>Terminated wellness management vendors: Wellness incentive manager</v>
      </c>
    </row>
    <row r="173" spans="1:24" ht="38.25" x14ac:dyDescent="0.2">
      <c r="A173" s="6"/>
      <c r="B173" s="7"/>
      <c r="C173" s="96" t="str">
        <f>HYPERLINK("#'Enrollment, Eligib. &amp; Cost'!FQ1","Q2.4.15_2")</f>
        <v>Q2.4.15_2</v>
      </c>
      <c r="D173" s="93" t="str">
        <f>HYPERLINK("#'Enrollment, Eligib. &amp; Cost'!FQ2","Total monthly premium for indemnity - out of area medical plan with highest enrollment: Employee only")</f>
        <v>Total monthly premium for indemnity - out of area medical plan with highest enrollment: Employee only</v>
      </c>
      <c r="E173" s="6"/>
      <c r="F173" s="7"/>
      <c r="G173" s="6"/>
      <c r="H173" s="7"/>
      <c r="I173" s="96" t="str">
        <f>HYPERLINK("#'Other Benefits'!FQ1","Q5.4.12_4")</f>
        <v>Q5.4.12_4</v>
      </c>
      <c r="J173" s="93" t="str">
        <f>HYPERLINK("#'Other Benefits'!FQ2","Commuter benefits cost share model: Shuttles to/from office")</f>
        <v>Commuter benefits cost share model: Shuttles to/from office</v>
      </c>
      <c r="K173" s="3" t="str">
        <f>HYPERLINK("#'Healthcare'!FQ1","Q6.2.32_6")</f>
        <v>Q6.2.32_6</v>
      </c>
      <c r="L173" s="93" t="str">
        <f>HYPERLINK("#'Healthcare'!FQ2","Primary PPO medical plan covered drug type: Compounds")</f>
        <v>Primary PPO medical plan covered drug type: Compounds</v>
      </c>
      <c r="M173" s="6"/>
      <c r="N173" s="7"/>
      <c r="O173" s="6"/>
      <c r="P173" s="7"/>
      <c r="Q173" s="6"/>
      <c r="R173" s="7"/>
      <c r="S173" s="96" t="str">
        <f>HYPERLINK("#'Retirement, NQDC, Finances'!FQ1","Q10.6.13_7")</f>
        <v>Q10.6.13_7</v>
      </c>
      <c r="T173" s="93" t="str">
        <f>HYPERLINK("#'Retirement, NQDC, Finances'!FQ2","NQDC maximum contribution amount: Stock income")</f>
        <v>NQDC maximum contribution amount: Stock income</v>
      </c>
      <c r="U173" s="3" t="str">
        <f>HYPERLINK("#'Time Off'!FQ1","Q11.7.18_18")</f>
        <v>Q11.7.18_18</v>
      </c>
      <c r="V173" s="93" t="str">
        <f>HYPERLINK("#'Time Off'!FQ2","Maximum bereavement period: Pet")</f>
        <v>Maximum bereavement period: Pet</v>
      </c>
      <c r="W173" s="3" t="str">
        <f>HYPERLINK("#'Vendors'!FQ1","Q12.8.10_4")</f>
        <v>Q12.8.10_4</v>
      </c>
      <c r="X173" s="93" t="str">
        <f>HYPERLINK("#'Vendors'!FQ2","Terminated wellness management vendors: Fitness center")</f>
        <v>Terminated wellness management vendors: Fitness center</v>
      </c>
    </row>
    <row r="174" spans="1:24" ht="38.25" x14ac:dyDescent="0.2">
      <c r="A174" s="6"/>
      <c r="B174" s="7"/>
      <c r="C174" s="96" t="str">
        <f>HYPERLINK("#'Enrollment, Eligib. &amp; Cost'!FR1","Q2.4.15_3")</f>
        <v>Q2.4.15_3</v>
      </c>
      <c r="D174" s="93" t="str">
        <f>HYPERLINK("#'Enrollment, Eligib. &amp; Cost'!FR2","Total monthly premium for indemnity - out of area medical plan with highest enrollment: Employee + spouse/DP")</f>
        <v>Total monthly premium for indemnity - out of area medical plan with highest enrollment: Employee + spouse/DP</v>
      </c>
      <c r="E174" s="6"/>
      <c r="F174" s="7"/>
      <c r="G174" s="6"/>
      <c r="H174" s="7"/>
      <c r="I174" s="96" t="str">
        <f>HYPERLINK("#'Other Benefits'!FR1","Q5.4.12_5")</f>
        <v>Q5.4.12_5</v>
      </c>
      <c r="J174" s="93" t="str">
        <f>HYPERLINK("#'Other Benefits'!FR2","Commuter benefits cost share model: Shuttles between campus locations")</f>
        <v>Commuter benefits cost share model: Shuttles between campus locations</v>
      </c>
      <c r="K174" s="3" t="str">
        <f>HYPERLINK("#'Healthcare'!FR1","Q6.2.32_7")</f>
        <v>Q6.2.32_7</v>
      </c>
      <c r="L174" s="93" t="str">
        <f>HYPERLINK("#'Healthcare'!FR2","Primary PPO medical plan covered drug type: Biosimilars")</f>
        <v>Primary PPO medical plan covered drug type: Biosimilars</v>
      </c>
      <c r="M174" s="6"/>
      <c r="N174" s="7"/>
      <c r="O174" s="6"/>
      <c r="P174" s="7"/>
      <c r="Q174" s="6"/>
      <c r="R174" s="7"/>
      <c r="S174" s="96" t="str">
        <f>HYPERLINK("#'Retirement, NQDC, Finances'!FR1","Q10.6.13_8")</f>
        <v>Q10.6.13_8</v>
      </c>
      <c r="T174" s="93" t="str">
        <f>HYPERLINK("#'Retirement, NQDC, Finances'!FR2","NQDC maximum contribution amount: Severance pay")</f>
        <v>NQDC maximum contribution amount: Severance pay</v>
      </c>
      <c r="U174" s="3" t="str">
        <f>HYPERLINK("#'Time Off'!FR1","Q11.7.18_19")</f>
        <v>Q11.7.18_19</v>
      </c>
      <c r="V174" s="93" t="str">
        <f>HYPERLINK("#'Time Off'!FR2","Maximum bereavement period: Other")</f>
        <v>Maximum bereavement period: Other</v>
      </c>
      <c r="W174" s="3" t="str">
        <f>HYPERLINK("#'Vendors'!FR1","Q12.8.10_5")</f>
        <v>Q12.8.10_5</v>
      </c>
      <c r="X174" s="93" t="str">
        <f>HYPERLINK("#'Vendors'!FR2","Terminated wellness management vendors: Wellness coaching &amp; high risk coaching")</f>
        <v>Terminated wellness management vendors: Wellness coaching &amp; high risk coaching</v>
      </c>
    </row>
    <row r="175" spans="1:24" ht="38.25" x14ac:dyDescent="0.2">
      <c r="A175" s="6"/>
      <c r="B175" s="7"/>
      <c r="C175" s="96" t="str">
        <f>HYPERLINK("#'Enrollment, Eligib. &amp; Cost'!FS1","Q2.4.15_4")</f>
        <v>Q2.4.15_4</v>
      </c>
      <c r="D175" s="93" t="str">
        <f>HYPERLINK("#'Enrollment, Eligib. &amp; Cost'!FS2","Total monthly premium for indemnity - out of area medical plan with highest enrollment: Employee + spouse/DP or child(ren)")</f>
        <v>Total monthly premium for indemnity - out of area medical plan with highest enrollment: Employee + spouse/DP or child(ren)</v>
      </c>
      <c r="E175" s="6"/>
      <c r="F175" s="7"/>
      <c r="G175" s="6"/>
      <c r="H175" s="7"/>
      <c r="I175" s="96" t="str">
        <f>HYPERLINK("#'Other Benefits'!FS1","Q5.4.12_6")</f>
        <v>Q5.4.12_6</v>
      </c>
      <c r="J175" s="93" t="str">
        <f>HYPERLINK("#'Other Benefits'!FS2","Commuter benefits cost share model: Bicycling support")</f>
        <v>Commuter benefits cost share model: Bicycling support</v>
      </c>
      <c r="K175" s="3" t="str">
        <f>HYPERLINK("#'Healthcare'!FS1","Q6.2.32_8")</f>
        <v>Q6.2.32_8</v>
      </c>
      <c r="L175" s="93" t="str">
        <f>HYPERLINK("#'Healthcare'!FS2","Primary PPO medical plan covered drug type: Over the counter (OTC) - prescribed")</f>
        <v>Primary PPO medical plan covered drug type: Over the counter (OTC) - prescribed</v>
      </c>
      <c r="M175" s="6"/>
      <c r="N175" s="7"/>
      <c r="O175" s="6"/>
      <c r="P175" s="7"/>
      <c r="Q175" s="6"/>
      <c r="R175" s="7"/>
      <c r="S175" s="96" t="str">
        <f>HYPERLINK("#'Retirement, NQDC, Finances'!FS1","Q10.6.13_9")</f>
        <v>Q10.6.13_9</v>
      </c>
      <c r="T175" s="93" t="str">
        <f>HYPERLINK("#'Retirement, NQDC, Finances'!FS2","NQDC maximum contribution amount: NQDC distributions")</f>
        <v>NQDC maximum contribution amount: NQDC distributions</v>
      </c>
      <c r="U175" s="3" t="str">
        <f>HYPERLINK("#'Time Off'!FS1","Q11.7.19")</f>
        <v>Q11.7.19</v>
      </c>
      <c r="V175" s="93" t="str">
        <f>HYPERLINK("#'Time Off'!FS2","Additional time off offered if extensive travel is required")</f>
        <v>Additional time off offered if extensive travel is required</v>
      </c>
      <c r="W175" s="3" t="str">
        <f>HYPERLINK("#'Vendors'!FS1","Q12.8.10_6")</f>
        <v>Q12.8.10_6</v>
      </c>
      <c r="X175" s="93" t="str">
        <f>HYPERLINK("#'Vendors'!FS2","Terminated wellness management vendors: Biometric screening")</f>
        <v>Terminated wellness management vendors: Biometric screening</v>
      </c>
    </row>
    <row r="176" spans="1:24" ht="38.25" x14ac:dyDescent="0.2">
      <c r="A176" s="6"/>
      <c r="B176" s="7"/>
      <c r="C176" s="96" t="str">
        <f>HYPERLINK("#'Enrollment, Eligib. &amp; Cost'!FT1","Q2.4.15_5")</f>
        <v>Q2.4.15_5</v>
      </c>
      <c r="D176" s="93" t="str">
        <f>HYPERLINK("#'Enrollment, Eligib. &amp; Cost'!FT2","Total monthly premium for indemnity - out of area medical plan with highest enrollment: Employee + any child(ren)")</f>
        <v>Total monthly premium for indemnity - out of area medical plan with highest enrollment: Employee + any child(ren)</v>
      </c>
      <c r="E176" s="6"/>
      <c r="F176" s="7"/>
      <c r="G176" s="6"/>
      <c r="H176" s="7"/>
      <c r="I176" s="96" t="str">
        <f>HYPERLINK("#'Other Benefits'!FT1","Q5.4.12_7")</f>
        <v>Q5.4.12_7</v>
      </c>
      <c r="J176" s="93" t="str">
        <f>HYPERLINK("#'Other Benefits'!FT2","Commuter benefits cost share model: EV charging capabilities")</f>
        <v>Commuter benefits cost share model: EV charging capabilities</v>
      </c>
      <c r="K176" s="3" t="str">
        <f>HYPERLINK("#'Healthcare'!FT1","Q6.2.32_9")</f>
        <v>Q6.2.32_9</v>
      </c>
      <c r="L176" s="93" t="str">
        <f>HYPERLINK("#'Healthcare'!FT2","Primary PPO medical plan covered drug type: Over the counter (OTC) - non-prescribed ")</f>
        <v xml:space="preserve">Primary PPO medical plan covered drug type: Over the counter (OTC) - non-prescribed </v>
      </c>
      <c r="M176" s="6"/>
      <c r="N176" s="7"/>
      <c r="O176" s="6"/>
      <c r="P176" s="7"/>
      <c r="Q176" s="6"/>
      <c r="R176" s="7"/>
      <c r="S176" s="96" t="str">
        <f>HYPERLINK("#'Retirement, NQDC, Finances'!FT1","Q10.6.13_10")</f>
        <v>Q10.6.13_10</v>
      </c>
      <c r="T176" s="93" t="str">
        <f>HYPERLINK("#'Retirement, NQDC, Finances'!FT2","NQDC maximum contribution amount: Patent awards")</f>
        <v>NQDC maximum contribution amount: Patent awards</v>
      </c>
      <c r="U176" s="3" t="str">
        <f>HYPERLINK("#'Time Off'!FT1","Q11.7.20")</f>
        <v>Q11.7.20</v>
      </c>
      <c r="V176" s="93" t="str">
        <f>HYPERLINK("#'Time Off'!FT2","Number of additional days offered if extensive travel is required")</f>
        <v>Number of additional days offered if extensive travel is required</v>
      </c>
      <c r="W176" s="3" t="str">
        <f>HYPERLINK("#'Vendors'!FT1","Q12.8.10_7")</f>
        <v>Q12.8.10_7</v>
      </c>
      <c r="X176" s="93" t="str">
        <f>HYPERLINK("#'Vendors'!FT2","Terminated wellness management vendors: Health risk assessment")</f>
        <v>Terminated wellness management vendors: Health risk assessment</v>
      </c>
    </row>
    <row r="177" spans="1:24" ht="38.25" x14ac:dyDescent="0.2">
      <c r="A177" s="6"/>
      <c r="B177" s="7"/>
      <c r="C177" s="96" t="str">
        <f>HYPERLINK("#'Enrollment, Eligib. &amp; Cost'!FU1","Q2.4.15_6")</f>
        <v>Q2.4.15_6</v>
      </c>
      <c r="D177" s="93" t="str">
        <f>HYPERLINK("#'Enrollment, Eligib. &amp; Cost'!FU2","Total monthly premium for indemnity - out of area medical plan with highest enrollment: Employee + 1 child")</f>
        <v>Total monthly premium for indemnity - out of area medical plan with highest enrollment: Employee + 1 child</v>
      </c>
      <c r="E177" s="6"/>
      <c r="F177" s="7"/>
      <c r="G177" s="6"/>
      <c r="H177" s="7"/>
      <c r="I177" s="96" t="str">
        <f>HYPERLINK("#'Other Benefits'!FU1","Q5.4.12_8")</f>
        <v>Q5.4.12_8</v>
      </c>
      <c r="J177" s="93" t="str">
        <f>HYPERLINK("#'Other Benefits'!FU2","Commuter benefits cost share model: Carpooling/vanpooling")</f>
        <v>Commuter benefits cost share model: Carpooling/vanpooling</v>
      </c>
      <c r="K177" s="3" t="str">
        <f>HYPERLINK("#'Healthcare'!FU1","Q6.2.32_10")</f>
        <v>Q6.2.32_10</v>
      </c>
      <c r="L177" s="93" t="str">
        <f>HYPERLINK("#'Healthcare'!FU2","Primary PPO medical plan covered drug type: Other ")</f>
        <v xml:space="preserve">Primary PPO medical plan covered drug type: Other </v>
      </c>
      <c r="M177" s="6"/>
      <c r="N177" s="7"/>
      <c r="O177" s="6"/>
      <c r="P177" s="7"/>
      <c r="Q177" s="6"/>
      <c r="R177" s="7"/>
      <c r="S177" s="96" t="str">
        <f>HYPERLINK("#'Retirement, NQDC, Finances'!FU1","Q10.6.13_11")</f>
        <v>Q10.6.13_11</v>
      </c>
      <c r="T177" s="93" t="str">
        <f>HYPERLINK("#'Retirement, NQDC, Finances'!FU2","NQDC maximum contribution amount: Vacation")</f>
        <v>NQDC maximum contribution amount: Vacation</v>
      </c>
      <c r="U177" s="3" t="str">
        <f>HYPERLINK("#'Time Off'!FU1","Q11.7.22")</f>
        <v>Q11.7.22</v>
      </c>
      <c r="V177" s="93" t="str">
        <f>HYPERLINK("#'Time Off'!FU2","Jury duty policy description")</f>
        <v>Jury duty policy description</v>
      </c>
      <c r="W177" s="3" t="str">
        <f>HYPERLINK("#'Vendors'!FU1","Q12.8.11")</f>
        <v>Q12.8.11</v>
      </c>
      <c r="X177" s="93" t="str">
        <f>HYPERLINK("#'Vendors'!FU2","Have a tool/work with vendor to link financial and physical/emotional wellbeing")</f>
        <v>Have a tool/work with vendor to link financial and physical/emotional wellbeing</v>
      </c>
    </row>
    <row r="178" spans="1:24" ht="38.25" x14ac:dyDescent="0.2">
      <c r="A178" s="6"/>
      <c r="B178" s="7"/>
      <c r="C178" s="96" t="str">
        <f>HYPERLINK("#'Enrollment, Eligib. &amp; Cost'!FV1","Q2.4.15_7")</f>
        <v>Q2.4.15_7</v>
      </c>
      <c r="D178" s="93" t="str">
        <f>HYPERLINK("#'Enrollment, Eligib. &amp; Cost'!FV2","Total monthly premium for indemnity - out of area medical plan with highest enrollment: Employee + 2 children")</f>
        <v>Total monthly premium for indemnity - out of area medical plan with highest enrollment: Employee + 2 children</v>
      </c>
      <c r="E178" s="6"/>
      <c r="F178" s="7"/>
      <c r="G178" s="6"/>
      <c r="H178" s="7"/>
      <c r="I178" s="96" t="str">
        <f>HYPERLINK("#'Other Benefits'!FV1","Q5.4.13")</f>
        <v>Q5.4.13</v>
      </c>
      <c r="J178" s="93" t="str">
        <f>HYPERLINK("#'Other Benefits'!FV2","Commuter benefits: Managing group/ownership")</f>
        <v>Commuter benefits: Managing group/ownership</v>
      </c>
      <c r="K178" s="3" t="str">
        <f>HYPERLINK("#'Healthcare'!FV1","Q6.2.33")</f>
        <v>Q6.2.33</v>
      </c>
      <c r="L178" s="93" t="str">
        <f>HYPERLINK("#'Healthcare'!FV2","Primary PPO medical plan drug limits, exclusions, or required care management features: Preventive")</f>
        <v>Primary PPO medical plan drug limits, exclusions, or required care management features: Preventive</v>
      </c>
      <c r="M178" s="6"/>
      <c r="N178" s="7"/>
      <c r="O178" s="6"/>
      <c r="P178" s="7"/>
      <c r="Q178" s="6"/>
      <c r="R178" s="7"/>
      <c r="S178" s="96" t="str">
        <f>HYPERLINK("#'Retirement, NQDC, Finances'!FV1","Q10.6.13_12")</f>
        <v>Q10.6.13_12</v>
      </c>
      <c r="T178" s="93" t="str">
        <f>HYPERLINK("#'Retirement, NQDC, Finances'!FV2","NQDC maximum contribution amount: Other")</f>
        <v>NQDC maximum contribution amount: Other</v>
      </c>
      <c r="U178" s="3" t="str">
        <f>HYPERLINK("#'Time Off'!FV1","Q11.7.23")</f>
        <v>Q11.7.23</v>
      </c>
      <c r="V178" s="93" t="str">
        <f>HYPERLINK("#'Time Off'!FV2","Number of paid days for jury duty")</f>
        <v>Number of paid days for jury duty</v>
      </c>
      <c r="W178" s="3" t="str">
        <f>HYPERLINK("#'Vendors'!FV1","Q12.8.12")</f>
        <v>Q12.8.12</v>
      </c>
      <c r="X178" s="93" t="str">
        <f>HYPERLINK("#'Vendors'!FV2","Vendor used to link financial and physical/emotional wellbeing")</f>
        <v>Vendor used to link financial and physical/emotional wellbeing</v>
      </c>
    </row>
    <row r="179" spans="1:24" ht="38.25" x14ac:dyDescent="0.2">
      <c r="A179" s="6"/>
      <c r="B179" s="7"/>
      <c r="C179" s="96" t="str">
        <f>HYPERLINK("#'Enrollment, Eligib. &amp; Cost'!FW1","Q2.4.15_8")</f>
        <v>Q2.4.15_8</v>
      </c>
      <c r="D179" s="93" t="str">
        <f>HYPERLINK("#'Enrollment, Eligib. &amp; Cost'!FW2","Total monthly premium for indemnity - out of area medical plan with highest enrollment: Employee + 3 children")</f>
        <v>Total monthly premium for indemnity - out of area medical plan with highest enrollment: Employee + 3 children</v>
      </c>
      <c r="E179" s="6"/>
      <c r="F179" s="7"/>
      <c r="G179" s="6"/>
      <c r="H179" s="7"/>
      <c r="I179" s="96" t="str">
        <f>HYPERLINK("#'Other Benefits'!FW1","Q5.4.14")</f>
        <v>Q5.4.14</v>
      </c>
      <c r="J179" s="93" t="str">
        <f>HYPERLINK("#'Other Benefits'!FW2","Commuter benefits: Maximum monthly amount")</f>
        <v>Commuter benefits: Maximum monthly amount</v>
      </c>
      <c r="K179" s="3" t="str">
        <f>HYPERLINK("#'Healthcare'!FW1","Q6.2.34")</f>
        <v>Q6.2.34</v>
      </c>
      <c r="L179" s="93" t="str">
        <f>HYPERLINK("#'Healthcare'!FW2","Primary PPO medical plan drug limits, exclusions, or required care management features: Maintenance")</f>
        <v>Primary PPO medical plan drug limits, exclusions, or required care management features: Maintenance</v>
      </c>
      <c r="M179" s="6"/>
      <c r="N179" s="7"/>
      <c r="O179" s="6"/>
      <c r="P179" s="7"/>
      <c r="Q179" s="6"/>
      <c r="R179" s="7"/>
      <c r="S179" s="96" t="str">
        <f>HYPERLINK("#'Retirement, NQDC, Finances'!FW1","Q10.6.14")</f>
        <v>Q10.6.14</v>
      </c>
      <c r="T179" s="93" t="str">
        <f>HYPERLINK("#'Retirement, NQDC, Finances'!FW2","NQDC: Company contribution made to employee plan account")</f>
        <v>NQDC: Company contribution made to employee plan account</v>
      </c>
      <c r="U179" s="3" t="str">
        <f>HYPERLINK("#'Time Off'!FW1","Q11.7.24")</f>
        <v>Q11.7.24</v>
      </c>
      <c r="V179" s="93" t="str">
        <f>HYPERLINK("#'Time Off'!FW2","Other number of paid days for jury duty")</f>
        <v>Other number of paid days for jury duty</v>
      </c>
      <c r="W179" s="3" t="str">
        <f>HYPERLINK("#'Vendors'!FW1","Q12.9.2")</f>
        <v>Q12.9.2</v>
      </c>
      <c r="X179" s="93" t="str">
        <f>HYPERLINK("#'Vendors'!FW2","Care management vendors employed: Survivor support")</f>
        <v>Care management vendors employed: Survivor support</v>
      </c>
    </row>
    <row r="180" spans="1:24" ht="38.25" x14ac:dyDescent="0.2">
      <c r="A180" s="6"/>
      <c r="B180" s="7"/>
      <c r="C180" s="96" t="str">
        <f>HYPERLINK("#'Enrollment, Eligib. &amp; Cost'!FX1","Q2.4.15_9")</f>
        <v>Q2.4.15_9</v>
      </c>
      <c r="D180" s="93" t="str">
        <f>HYPERLINK("#'Enrollment, Eligib. &amp; Cost'!FX2","Total monthly premium for indemnity - out of area medical plan with highest enrollment: Employee + 4 children")</f>
        <v>Total monthly premium for indemnity - out of area medical plan with highest enrollment: Employee + 4 children</v>
      </c>
      <c r="E180" s="6"/>
      <c r="F180" s="7"/>
      <c r="G180" s="6"/>
      <c r="H180" s="7"/>
      <c r="I180" s="96" t="str">
        <f>HYPERLINK("#'Other Benefits'!FX1","Q5.4.16")</f>
        <v>Q5.4.16</v>
      </c>
      <c r="J180" s="93" t="str">
        <f>HYPERLINK("#'Other Benefits'!FX2","Company issued devices: Standard policy")</f>
        <v>Company issued devices: Standard policy</v>
      </c>
      <c r="K180" s="3" t="str">
        <f>HYPERLINK("#'Healthcare'!FX1","Q6.2.35")</f>
        <v>Q6.2.35</v>
      </c>
      <c r="L180" s="93" t="str">
        <f>HYPERLINK("#'Healthcare'!FX2","Primary PPO medical plan drug limits, exclusions, or required care management features: Generic")</f>
        <v>Primary PPO medical plan drug limits, exclusions, or required care management features: Generic</v>
      </c>
      <c r="M180" s="6"/>
      <c r="N180" s="7"/>
      <c r="O180" s="6"/>
      <c r="P180" s="7"/>
      <c r="Q180" s="6"/>
      <c r="R180" s="7"/>
      <c r="S180" s="96" t="str">
        <f>HYPERLINK("#'Retirement, NQDC, Finances'!FX1","Q10.6.15")</f>
        <v>Q10.6.15</v>
      </c>
      <c r="T180" s="93" t="str">
        <f>HYPERLINK("#'Retirement, NQDC, Finances'!FX2","NQDC: How company contributions are made to plan")</f>
        <v>NQDC: How company contributions are made to plan</v>
      </c>
      <c r="U180" s="3" t="str">
        <f>HYPERLINK("#'Time Off'!FX1","Q11.7.26")</f>
        <v>Q11.7.26</v>
      </c>
      <c r="V180" s="93" t="str">
        <f>HYPERLINK("#'Time Off'!FX2","Organ/bone marrow donor leave policy in place (separate from existing leave types)")</f>
        <v>Organ/bone marrow donor leave policy in place (separate from existing leave types)</v>
      </c>
      <c r="W180" s="3" t="str">
        <f>HYPERLINK("#'Vendors'!FX1","Q12.9.2_50_TEXT")</f>
        <v>Q12.9.2_50_TEXT</v>
      </c>
      <c r="X180" s="93" t="str">
        <f>HYPERLINK("#'Vendors'!FX2","Other care management vendors employed: Survivor support")</f>
        <v>Other care management vendors employed: Survivor support</v>
      </c>
    </row>
    <row r="181" spans="1:24" ht="38.25" x14ac:dyDescent="0.2">
      <c r="A181" s="6"/>
      <c r="B181" s="7"/>
      <c r="C181" s="96" t="str">
        <f>HYPERLINK("#'Enrollment, Eligib. &amp; Cost'!FY1","Q2.4.15_10")</f>
        <v>Q2.4.15_10</v>
      </c>
      <c r="D181" s="93" t="str">
        <f>HYPERLINK("#'Enrollment, Eligib. &amp; Cost'!FY2","Total monthly premium for indemnity - out of area medical plan with highest enrollment: Employee + 5 children")</f>
        <v>Total monthly premium for indemnity - out of area medical plan with highest enrollment: Employee + 5 children</v>
      </c>
      <c r="E181" s="6"/>
      <c r="F181" s="7"/>
      <c r="G181" s="6"/>
      <c r="H181" s="7"/>
      <c r="I181" s="96" t="str">
        <f>HYPERLINK("#'Other Benefits'!FY1","Q5.4.17")</f>
        <v>Q5.4.17</v>
      </c>
      <c r="J181" s="93" t="str">
        <f>HYPERLINK("#'Other Benefits'!FY2","Company issued devices: Eligibility criteria")</f>
        <v>Company issued devices: Eligibility criteria</v>
      </c>
      <c r="K181" s="3" t="str">
        <f>HYPERLINK("#'Healthcare'!FY1","Q6.2.36")</f>
        <v>Q6.2.36</v>
      </c>
      <c r="L181" s="93" t="str">
        <f>HYPERLINK("#'Healthcare'!FY2","Primary PPO medical plan drug limits, exclusions, or required care management features: Specialty and injectables")</f>
        <v>Primary PPO medical plan drug limits, exclusions, or required care management features: Specialty and injectables</v>
      </c>
      <c r="M181" s="6"/>
      <c r="N181" s="7"/>
      <c r="O181" s="6"/>
      <c r="P181" s="7"/>
      <c r="Q181" s="6"/>
      <c r="R181" s="7"/>
      <c r="S181" s="96" t="str">
        <f>HYPERLINK("#'Retirement, NQDC, Finances'!FY1","Q10.6.16")</f>
        <v>Q10.6.16</v>
      </c>
      <c r="T181" s="93" t="str">
        <f>HYPERLINK("#'Retirement, NQDC, Finances'!FY2","NQDC: Additional ways company contributions are made to plan")</f>
        <v>NQDC: Additional ways company contributions are made to plan</v>
      </c>
      <c r="U181" s="3" t="str">
        <f>HYPERLINK("#'Time Off'!FY1","Q11.7.27")</f>
        <v>Q11.7.27</v>
      </c>
      <c r="V181" s="93" t="str">
        <f>HYPERLINK("#'Time Off'!FY2","Number of days offered for organ or bone marrow leave")</f>
        <v>Number of days offered for organ or bone marrow leave</v>
      </c>
      <c r="W181" s="3" t="str">
        <f>HYPERLINK("#'Vendors'!FY1","Q12.9.3")</f>
        <v>Q12.9.3</v>
      </c>
      <c r="X181" s="93" t="str">
        <f>HYPERLINK("#'Vendors'!FY2","Care management vendors employed: Long-term care")</f>
        <v>Care management vendors employed: Long-term care</v>
      </c>
    </row>
    <row r="182" spans="1:24" ht="51" x14ac:dyDescent="0.2">
      <c r="A182" s="6"/>
      <c r="B182" s="7"/>
      <c r="C182" s="96" t="str">
        <f>HYPERLINK("#'Enrollment, Eligib. &amp; Cost'!FZ1","Q2.4.15_11")</f>
        <v>Q2.4.15_11</v>
      </c>
      <c r="D182" s="93" t="str">
        <f>HYPERLINK("#'Enrollment, Eligib. &amp; Cost'!FZ2","Total monthly premium for indemnity - out of area medical plan with highest enrollment: Family (employee + spouse/DP + dependent) with any child(ren)")</f>
        <v>Total monthly premium for indemnity - out of area medical plan with highest enrollment: Family (employee + spouse/DP + dependent) with any child(ren)</v>
      </c>
      <c r="E182" s="6"/>
      <c r="F182" s="7"/>
      <c r="G182" s="6"/>
      <c r="H182" s="7"/>
      <c r="I182" s="96" t="str">
        <f>HYPERLINK("#'Other Benefits'!FZ1","Q5.4.18")</f>
        <v>Q5.4.18</v>
      </c>
      <c r="J182" s="93" t="str">
        <f>HYPERLINK("#'Other Benefits'!FZ2","Company issued devices:  Company cost share/subsidy")</f>
        <v>Company issued devices:  Company cost share/subsidy</v>
      </c>
      <c r="K182" s="3" t="str">
        <f>HYPERLINK("#'Healthcare'!FZ1","Q6.2.37")</f>
        <v>Q6.2.37</v>
      </c>
      <c r="L182" s="93" t="str">
        <f>HYPERLINK("#'Healthcare'!FZ2","Primary PPO medical plan drug limits, exclusions, or required care management features: Lifestyle")</f>
        <v>Primary PPO medical plan drug limits, exclusions, or required care management features: Lifestyle</v>
      </c>
      <c r="M182" s="6"/>
      <c r="N182" s="7"/>
      <c r="O182" s="6"/>
      <c r="P182" s="7"/>
      <c r="Q182" s="6"/>
      <c r="R182" s="7"/>
      <c r="S182" s="96" t="str">
        <f>HYPERLINK("#'Retirement, NQDC, Finances'!FZ1","Q10.6.17")</f>
        <v>Q10.6.17</v>
      </c>
      <c r="T182" s="93" t="str">
        <f>HYPERLINK("#'Retirement, NQDC, Finances'!FZ2","NQDC: Company contribution/calculation formula")</f>
        <v>NQDC: Company contribution/calculation formula</v>
      </c>
      <c r="U182" s="3" t="str">
        <f>HYPERLINK("#'Time Off'!FZ1","Q11.7.29")</f>
        <v>Q11.7.29</v>
      </c>
      <c r="V182" s="93" t="str">
        <f>HYPERLINK("#'Time Off'!FZ2","Community service and/or volunteer leave policy in place (separate from existing leave types)")</f>
        <v>Community service and/or volunteer leave policy in place (separate from existing leave types)</v>
      </c>
      <c r="W182" s="3" t="str">
        <f>HYPERLINK("#'Vendors'!FZ1","Q12.9.3_50_TEXT")</f>
        <v>Q12.9.3_50_TEXT</v>
      </c>
      <c r="X182" s="93" t="str">
        <f>HYPERLINK("#'Vendors'!FZ2","Other care management vendors employed: Long-term care")</f>
        <v>Other care management vendors employed: Long-term care</v>
      </c>
    </row>
    <row r="183" spans="1:24" ht="51" x14ac:dyDescent="0.2">
      <c r="A183" s="6"/>
      <c r="B183" s="7"/>
      <c r="C183" s="96" t="str">
        <f>HYPERLINK("#'Enrollment, Eligib. &amp; Cost'!GA1","Q2.4.15_12")</f>
        <v>Q2.4.15_12</v>
      </c>
      <c r="D183" s="93" t="str">
        <f>HYPERLINK("#'Enrollment, Eligib. &amp; Cost'!GA2","Total monthly premium for indemnity - out of area medical plan with highest enrollment: Family (employee + spouse/DP + dependent) with 1 child")</f>
        <v>Total monthly premium for indemnity - out of area medical plan with highest enrollment: Family (employee + spouse/DP + dependent) with 1 child</v>
      </c>
      <c r="E183" s="6"/>
      <c r="F183" s="7"/>
      <c r="G183" s="6"/>
      <c r="H183" s="7"/>
      <c r="I183" s="96" t="str">
        <f>HYPERLINK("#'Other Benefits'!GA1","Q5.4.19")</f>
        <v>Q5.4.19</v>
      </c>
      <c r="J183" s="93" t="str">
        <f>HYPERLINK("#'Other Benefits'!GA2","Company issued devices: Plan to continue subsidy")</f>
        <v>Company issued devices: Plan to continue subsidy</v>
      </c>
      <c r="K183" s="3" t="str">
        <f>HYPERLINK("#'Healthcare'!GA1","Q6.2.38")</f>
        <v>Q6.2.38</v>
      </c>
      <c r="L183" s="93" t="str">
        <f>HYPERLINK("#'Healthcare'!GA2","Primary PPO medical plan drug limits, exclusions, or required care management features: Compounds")</f>
        <v>Primary PPO medical plan drug limits, exclusions, or required care management features: Compounds</v>
      </c>
      <c r="M183" s="6"/>
      <c r="N183" s="7"/>
      <c r="O183" s="6"/>
      <c r="P183" s="7"/>
      <c r="Q183" s="6"/>
      <c r="R183" s="7"/>
      <c r="S183" s="96" t="str">
        <f>HYPERLINK("#'Retirement, NQDC, Finances'!GA1","Q10.6.18")</f>
        <v>Q10.6.18</v>
      </c>
      <c r="T183" s="93" t="str">
        <f>HYPERLINK("#'Retirement, NQDC, Finances'!GA2","NQDC: Company contribution/frequency")</f>
        <v>NQDC: Company contribution/frequency</v>
      </c>
      <c r="U183" s="3" t="str">
        <f>HYPERLINK("#'Time Off'!GA1","Q11.7.30")</f>
        <v>Q11.7.30</v>
      </c>
      <c r="V183" s="93" t="str">
        <f>HYPERLINK("#'Time Off'!GA2","Number of days offered for community service and/or volunteer leave")</f>
        <v>Number of days offered for community service and/or volunteer leave</v>
      </c>
      <c r="W183" s="3" t="str">
        <f>HYPERLINK("#'Vendors'!GA1","Q12.9.4")</f>
        <v>Q12.9.4</v>
      </c>
      <c r="X183" s="93" t="str">
        <f>HYPERLINK("#'Vendors'!GA2","Care management vendors employed: Family support")</f>
        <v>Care management vendors employed: Family support</v>
      </c>
    </row>
    <row r="184" spans="1:24" ht="51" x14ac:dyDescent="0.2">
      <c r="A184" s="6"/>
      <c r="B184" s="7"/>
      <c r="C184" s="96" t="str">
        <f>HYPERLINK("#'Enrollment, Eligib. &amp; Cost'!GB1","Q2.4.15_13")</f>
        <v>Q2.4.15_13</v>
      </c>
      <c r="D184" s="93" t="str">
        <f>HYPERLINK("#'Enrollment, Eligib. &amp; Cost'!GB2","Total monthly premium for indemnity - out of area medical plan with highest enrollment: Family (employee + spouse/DP + dependent) with 2 child(ren)")</f>
        <v>Total monthly premium for indemnity - out of area medical plan with highest enrollment: Family (employee + spouse/DP + dependent) with 2 child(ren)</v>
      </c>
      <c r="E184" s="6"/>
      <c r="F184" s="7"/>
      <c r="G184" s="6"/>
      <c r="H184" s="7"/>
      <c r="I184" s="96" t="str">
        <f>HYPERLINK("#'Other Benefits'!GB1","Q5.4.21")</f>
        <v>Q5.4.21</v>
      </c>
      <c r="J184" s="93" t="str">
        <f>HYPERLINK("#'Other Benefits'!GB2","Standard company issued sit/stand desks")</f>
        <v>Standard company issued sit/stand desks</v>
      </c>
      <c r="K184" s="3" t="str">
        <f>HYPERLINK("#'Healthcare'!GB1","Q6.2.39")</f>
        <v>Q6.2.39</v>
      </c>
      <c r="L184" s="93" t="str">
        <f>HYPERLINK("#'Healthcare'!GB2","Primary PPO medical plan drug limits, exclusions, or required care management features: Biosimilars")</f>
        <v>Primary PPO medical plan drug limits, exclusions, or required care management features: Biosimilars</v>
      </c>
      <c r="M184" s="6"/>
      <c r="N184" s="7"/>
      <c r="O184" s="6"/>
      <c r="P184" s="7"/>
      <c r="Q184" s="6"/>
      <c r="R184" s="7"/>
      <c r="S184" s="96" t="str">
        <f>HYPERLINK("#'Retirement, NQDC, Finances'!GB1","Q10.6.19")</f>
        <v>Q10.6.19</v>
      </c>
      <c r="T184" s="93" t="str">
        <f>HYPERLINK("#'Retirement, NQDC, Finances'!GB2","NQDC: Plan funding mechanism(s)")</f>
        <v>NQDC: Plan funding mechanism(s)</v>
      </c>
      <c r="U184" s="3" t="str">
        <f>HYPERLINK("#'Time Off'!GB1","Q11.7.32")</f>
        <v>Q11.7.32</v>
      </c>
      <c r="V184" s="93" t="str">
        <f>HYPERLINK("#'Time Off'!GB2","Number of months provided under paid military leave for active duty servicemen/servicewomen")</f>
        <v>Number of months provided under paid military leave for active duty servicemen/servicewomen</v>
      </c>
      <c r="W184" s="3" t="str">
        <f>HYPERLINK("#'Vendors'!GB1","Q12.9.4_50_TEXT")</f>
        <v>Q12.9.4_50_TEXT</v>
      </c>
      <c r="X184" s="93" t="str">
        <f>HYPERLINK("#'Vendors'!GB2","Other care management vendors employed: Family support")</f>
        <v>Other care management vendors employed: Family support</v>
      </c>
    </row>
    <row r="185" spans="1:24" ht="51" x14ac:dyDescent="0.2">
      <c r="A185" s="6"/>
      <c r="B185" s="7"/>
      <c r="C185" s="96" t="str">
        <f>HYPERLINK("#'Enrollment, Eligib. &amp; Cost'!GC1","Q2.4.15_14")</f>
        <v>Q2.4.15_14</v>
      </c>
      <c r="D185" s="93" t="str">
        <f>HYPERLINK("#'Enrollment, Eligib. &amp; Cost'!GC2","Total monthly premium for indemnity - out of area medical plan with highest enrollment: Family (employee + spouse/DP + dependent) with 3 child(ren)")</f>
        <v>Total monthly premium for indemnity - out of area medical plan with highest enrollment: Family (employee + spouse/DP + dependent) with 3 child(ren)</v>
      </c>
      <c r="E185" s="6"/>
      <c r="F185" s="7"/>
      <c r="G185" s="6"/>
      <c r="H185" s="7"/>
      <c r="I185" s="96" t="str">
        <f>HYPERLINK("#'Other Benefits'!GC1","Q5.4.23_1")</f>
        <v>Q5.4.23_1</v>
      </c>
      <c r="J185" s="93" t="str">
        <f>HYPERLINK("#'Other Benefits'!GC2","Company endorsed/encouraged: Mugs or glasses to reduce paper waste")</f>
        <v>Company endorsed/encouraged: Mugs or glasses to reduce paper waste</v>
      </c>
      <c r="K185" s="3" t="str">
        <f>HYPERLINK("#'Healthcare'!GC1","Q6.2.40")</f>
        <v>Q6.2.40</v>
      </c>
      <c r="L185" s="93" t="str">
        <f>HYPERLINK("#'Healthcare'!GC2","Primary PPO medical plan drug limits, exclusions, or required care management features: Over the counter - prescribed")</f>
        <v>Primary PPO medical plan drug limits, exclusions, or required care management features: Over the counter - prescribed</v>
      </c>
      <c r="M185" s="6"/>
      <c r="N185" s="7"/>
      <c r="O185" s="6"/>
      <c r="P185" s="7"/>
      <c r="Q185" s="6"/>
      <c r="R185" s="7"/>
      <c r="S185" s="96" t="str">
        <f>HYPERLINK("#'Retirement, NQDC, Finances'!GC1","Q10.6.20")</f>
        <v>Q10.6.20</v>
      </c>
      <c r="T185" s="93" t="str">
        <f>HYPERLINK("#'Retirement, NQDC, Finances'!GC2","NQDC: Assets held in rabbi trust")</f>
        <v>NQDC: Assets held in rabbi trust</v>
      </c>
      <c r="U185" s="3" t="str">
        <f>HYPERLINK("#'Time Off'!GC1","Q11.7.32_5_TEXT")</f>
        <v>Q11.7.32_5_TEXT</v>
      </c>
      <c r="V185" s="93" t="str">
        <f>HYPERLINK("#'Time Off'!GC2","Number of months provided under paid military leave for active duty servicemen/servicewomen: Other")</f>
        <v>Number of months provided under paid military leave for active duty servicemen/servicewomen: Other</v>
      </c>
      <c r="W185" s="3" t="str">
        <f>HYPERLINK("#'Vendors'!GC1","Q12.9.5")</f>
        <v>Q12.9.5</v>
      </c>
      <c r="X185" s="93" t="str">
        <f>HYPERLINK("#'Vendors'!GC2","Care management vendors employed: Eldercare")</f>
        <v>Care management vendors employed: Eldercare</v>
      </c>
    </row>
    <row r="186" spans="1:24" ht="51" x14ac:dyDescent="0.2">
      <c r="A186" s="6"/>
      <c r="B186" s="7"/>
      <c r="C186" s="96" t="str">
        <f>HYPERLINK("#'Enrollment, Eligib. &amp; Cost'!GD1","Q2.4.15_15")</f>
        <v>Q2.4.15_15</v>
      </c>
      <c r="D186" s="93" t="str">
        <f>HYPERLINK("#'Enrollment, Eligib. &amp; Cost'!GD2","Total monthly premium for indemnity - out of area medical plan with highest enrollment: Family (employee + spouse/DP + dependent) with 4 child(ren)")</f>
        <v>Total monthly premium for indemnity - out of area medical plan with highest enrollment: Family (employee + spouse/DP + dependent) with 4 child(ren)</v>
      </c>
      <c r="E186" s="6"/>
      <c r="F186" s="7"/>
      <c r="G186" s="6"/>
      <c r="H186" s="7"/>
      <c r="I186" s="96" t="str">
        <f>HYPERLINK("#'Other Benefits'!GD1","Q5.4.23_2")</f>
        <v>Q5.4.23_2</v>
      </c>
      <c r="J186" s="93" t="str">
        <f>HYPERLINK("#'Other Benefits'!GD2","Company endorsed/encouraged: Carpooling")</f>
        <v>Company endorsed/encouraged: Carpooling</v>
      </c>
      <c r="K186" s="3" t="str">
        <f>HYPERLINK("#'Healthcare'!GD1","Q6.2.41")</f>
        <v>Q6.2.41</v>
      </c>
      <c r="L186" s="93" t="str">
        <f>HYPERLINK("#'Healthcare'!GD2","Primary PPO medical plan drug limits, exclusions, or required care management features: Over the counter - non-prescribed")</f>
        <v>Primary PPO medical plan drug limits, exclusions, or required care management features: Over the counter - non-prescribed</v>
      </c>
      <c r="M186" s="6"/>
      <c r="N186" s="7"/>
      <c r="O186" s="6"/>
      <c r="P186" s="7"/>
      <c r="Q186" s="6"/>
      <c r="R186" s="7"/>
      <c r="S186" s="96" t="str">
        <f>HYPERLINK("#'Retirement, NQDC, Finances'!GD1","Q10.6.21")</f>
        <v>Q10.6.21</v>
      </c>
      <c r="T186" s="93" t="str">
        <f>HYPERLINK("#'Retirement, NQDC, Finances'!GD2","NQDC: Pre-death distributions/COLI tax liability funding")</f>
        <v>NQDC: Pre-death distributions/COLI tax liability funding</v>
      </c>
      <c r="U186" s="3" t="str">
        <f>HYPERLINK("#'Time Off'!GD1","Q11.7.33")</f>
        <v>Q11.7.33</v>
      </c>
      <c r="V186" s="93" t="str">
        <f>HYPERLINK("#'Time Off'!GD2","Paid military leave benefits are integrated with government military leave earnings")</f>
        <v>Paid military leave benefits are integrated with government military leave earnings</v>
      </c>
      <c r="W186" s="3" t="str">
        <f>HYPERLINK("#'Vendors'!GD1","Q12.9.5_50_TEXT")</f>
        <v>Q12.9.5_50_TEXT</v>
      </c>
      <c r="X186" s="93" t="str">
        <f>HYPERLINK("#'Vendors'!GD2","Other care management vendors employed: Eldercare")</f>
        <v>Other care management vendors employed: Eldercare</v>
      </c>
    </row>
    <row r="187" spans="1:24" ht="51" x14ac:dyDescent="0.2">
      <c r="A187" s="6"/>
      <c r="B187" s="7"/>
      <c r="C187" s="96" t="str">
        <f>HYPERLINK("#'Enrollment, Eligib. &amp; Cost'!GE1","Q2.4.15_16")</f>
        <v>Q2.4.15_16</v>
      </c>
      <c r="D187" s="93" t="str">
        <f>HYPERLINK("#'Enrollment, Eligib. &amp; Cost'!GE2","Total monthly premium for indemnity - out of area medical plan with highest enrollment: Family (employee + spouse/DP + dependent) with 5 child(ren)")</f>
        <v>Total monthly premium for indemnity - out of area medical plan with highest enrollment: Family (employee + spouse/DP + dependent) with 5 child(ren)</v>
      </c>
      <c r="E187" s="6"/>
      <c r="F187" s="7"/>
      <c r="G187" s="6"/>
      <c r="H187" s="7"/>
      <c r="I187" s="96" t="str">
        <f>HYPERLINK("#'Other Benefits'!GE1","Q5.4.23_3")</f>
        <v>Q5.4.23_3</v>
      </c>
      <c r="J187" s="93" t="str">
        <f>HYPERLINK("#'Other Benefits'!GE2","Company endorsed/encouraged: Electric car charging stations")</f>
        <v>Company endorsed/encouraged: Electric car charging stations</v>
      </c>
      <c r="K187" s="3" t="str">
        <f>HYPERLINK("#'Healthcare'!GE1","Q6.2.42_1_1")</f>
        <v>Q6.2.42_1_1</v>
      </c>
      <c r="L187" s="93" t="str">
        <f>HYPERLINK("#'Healthcare'!GE2","Primary PPO medical plan - tier #1 copayment: Retail/pharmacy in-network")</f>
        <v>Primary PPO medical plan - tier #1 copayment: Retail/pharmacy in-network</v>
      </c>
      <c r="M187" s="6"/>
      <c r="N187" s="7"/>
      <c r="O187" s="6"/>
      <c r="P187" s="7"/>
      <c r="Q187" s="6"/>
      <c r="R187" s="7"/>
      <c r="S187" s="96" t="str">
        <f>HYPERLINK("#'Retirement, NQDC, Finances'!GE1","Q10.6.22")</f>
        <v>Q10.6.22</v>
      </c>
      <c r="T187" s="93" t="str">
        <f>HYPERLINK("#'Retirement, NQDC, Finances'!GE2","NQDC: Number of mutual fund investments available")</f>
        <v>NQDC: Number of mutual fund investments available</v>
      </c>
      <c r="U187" s="3" t="str">
        <f>HYPERLINK("#'Time Off'!GE1","Q11.7.34")</f>
        <v>Q11.7.34</v>
      </c>
      <c r="V187" s="93" t="str">
        <f>HYPERLINK("#'Time Off'!GE2","Military leave reserve training policy")</f>
        <v>Military leave reserve training policy</v>
      </c>
      <c r="W187" s="3" t="str">
        <f>HYPERLINK("#'Vendors'!GE1","Q12.9.6")</f>
        <v>Q12.9.6</v>
      </c>
      <c r="X187" s="93" t="str">
        <f>HYPERLINK("#'Vendors'!GE2","Care management vendors employed: Childcare")</f>
        <v>Care management vendors employed: Childcare</v>
      </c>
    </row>
    <row r="188" spans="1:24" ht="25.5" x14ac:dyDescent="0.2">
      <c r="A188" s="6"/>
      <c r="B188" s="7"/>
      <c r="C188" s="96" t="str">
        <f>HYPERLINK("#'Enrollment, Eligib. &amp; Cost'!GF1","Q2.4.16")</f>
        <v>Q2.4.16</v>
      </c>
      <c r="D188" s="93" t="str">
        <f>HYPERLINK("#'Enrollment, Eligib. &amp; Cost'!GF2","Percentage of indemnity - out of area medical plan premium paid by company")</f>
        <v>Percentage of indemnity - out of area medical plan premium paid by company</v>
      </c>
      <c r="E188" s="6"/>
      <c r="F188" s="7"/>
      <c r="G188" s="6"/>
      <c r="H188" s="7"/>
      <c r="I188" s="96" t="str">
        <f>HYPERLINK("#'Other Benefits'!GF1","Q5.4.23_4")</f>
        <v>Q5.4.23_4</v>
      </c>
      <c r="J188" s="93" t="str">
        <f>HYPERLINK("#'Other Benefits'!GF2","Company endorsed/encouraged: Preferred parking for hybrid/electric cars")</f>
        <v>Company endorsed/encouraged: Preferred parking for hybrid/electric cars</v>
      </c>
      <c r="K188" s="3" t="str">
        <f>HYPERLINK("#'Healthcare'!GF1","Q6.2.42_1_2")</f>
        <v>Q6.2.42_1_2</v>
      </c>
      <c r="L188" s="93" t="str">
        <f>HYPERLINK("#'Healthcare'!GF2","Primary PPO medical plan - tier #1 copayment: Retail/pharmacy out-of-network")</f>
        <v>Primary PPO medical plan - tier #1 copayment: Retail/pharmacy out-of-network</v>
      </c>
      <c r="M188" s="6"/>
      <c r="N188" s="7"/>
      <c r="O188" s="6"/>
      <c r="P188" s="7"/>
      <c r="Q188" s="6"/>
      <c r="R188" s="7"/>
      <c r="S188" s="96" t="str">
        <f>HYPERLINK("#'Retirement, NQDC, Finances'!GF1","Q10.6.23")</f>
        <v>Q10.6.23</v>
      </c>
      <c r="T188" s="93" t="str">
        <f>HYPERLINK("#'Retirement, NQDC, Finances'!GF2","NQDC: Participant investment fund election changes/frequency")</f>
        <v>NQDC: Participant investment fund election changes/frequency</v>
      </c>
      <c r="U188" s="3" t="str">
        <f>HYPERLINK("#'Time Off'!GF1","Q11.7.36")</f>
        <v>Q11.7.36</v>
      </c>
      <c r="V188" s="93" t="str">
        <f>HYPERLINK("#'Time Off'!GF2","Personal leave of absence allowed")</f>
        <v>Personal leave of absence allowed</v>
      </c>
      <c r="W188" s="3" t="str">
        <f>HYPERLINK("#'Vendors'!GF1","Q12.9.6_50_TEXT")</f>
        <v>Q12.9.6_50_TEXT</v>
      </c>
      <c r="X188" s="93" t="str">
        <f>HYPERLINK("#'Vendors'!GF2","Other care management vendors employed: Childcare")</f>
        <v>Other care management vendors employed: Childcare</v>
      </c>
    </row>
    <row r="189" spans="1:24" ht="25.5" x14ac:dyDescent="0.2">
      <c r="A189" s="6"/>
      <c r="B189" s="7"/>
      <c r="C189" s="96" t="str">
        <f>HYPERLINK("#'Enrollment, Eligib. &amp; Cost'!GG1","Q2.5.2")</f>
        <v>Q2.5.2</v>
      </c>
      <c r="D189" s="93" t="str">
        <f>HYPERLINK("#'Enrollment, Eligib. &amp; Cost'!GG2","Number of dental plans offered")</f>
        <v>Number of dental plans offered</v>
      </c>
      <c r="E189" s="6"/>
      <c r="F189" s="7"/>
      <c r="G189" s="6"/>
      <c r="H189" s="7"/>
      <c r="I189" s="96" t="str">
        <f>HYPERLINK("#'Other Benefits'!GG1","Q5.4.23_5")</f>
        <v>Q5.4.23_5</v>
      </c>
      <c r="J189" s="93" t="str">
        <f>HYPERLINK("#'Other Benefits'!GG2","Company endorsed/encouraged: Hybrid/electric company shuttles")</f>
        <v>Company endorsed/encouraged: Hybrid/electric company shuttles</v>
      </c>
      <c r="K189" s="3" t="str">
        <f>HYPERLINK("#'Healthcare'!GG1","Q6.2.42_1_3")</f>
        <v>Q6.2.42_1_3</v>
      </c>
      <c r="L189" s="93" t="str">
        <f>HYPERLINK("#'Healthcare'!GG2","Primary PPO medical plan - tier #1 copayment: Mail order  in-network")</f>
        <v>Primary PPO medical plan - tier #1 copayment: Mail order  in-network</v>
      </c>
      <c r="M189" s="6"/>
      <c r="N189" s="7"/>
      <c r="O189" s="6"/>
      <c r="P189" s="7"/>
      <c r="Q189" s="6"/>
      <c r="R189" s="7"/>
      <c r="S189" s="96" t="str">
        <f>HYPERLINK("#'Retirement, NQDC, Finances'!GG1","Q10.6.24_1")</f>
        <v>Q10.6.24_1</v>
      </c>
      <c r="T189" s="93" t="str">
        <f>HYPERLINK("#'Retirement, NQDC, Finances'!GG2","NQDC distribution options for life events: Disability")</f>
        <v>NQDC distribution options for life events: Disability</v>
      </c>
      <c r="U189" s="3" t="str">
        <f>HYPERLINK("#'Time Off'!GG1","Q11.7.37")</f>
        <v>Q11.7.37</v>
      </c>
      <c r="V189" s="93" t="str">
        <f>HYPERLINK("#'Time Off'!GG2","Personal leave of absence is paid")</f>
        <v>Personal leave of absence is paid</v>
      </c>
      <c r="W189" s="3" t="str">
        <f>HYPERLINK("#'Vendors'!GG1","Q12.9.7")</f>
        <v>Q12.9.7</v>
      </c>
      <c r="X189" s="93" t="str">
        <f>HYPERLINK("#'Vendors'!GG2","Care management vendors employed: Back-up care")</f>
        <v>Care management vendors employed: Back-up care</v>
      </c>
    </row>
    <row r="190" spans="1:24" ht="25.5" x14ac:dyDescent="0.2">
      <c r="A190" s="6"/>
      <c r="B190" s="7"/>
      <c r="C190" s="96" t="str">
        <f>HYPERLINK("#'Enrollment, Eligib. &amp; Cost'!GH1","Q2.5.3")</f>
        <v>Q2.5.3</v>
      </c>
      <c r="D190" s="93" t="str">
        <f>HYPERLINK("#'Enrollment, Eligib. &amp; Cost'!GH2","Dental plan with highest enrollment")</f>
        <v>Dental plan with highest enrollment</v>
      </c>
      <c r="E190" s="6"/>
      <c r="F190" s="7"/>
      <c r="G190" s="6"/>
      <c r="H190" s="7"/>
      <c r="I190" s="96" t="str">
        <f>HYPERLINK("#'Other Benefits'!GH1","Q5.4.23_6")</f>
        <v>Q5.4.23_6</v>
      </c>
      <c r="J190" s="93" t="str">
        <f>HYPERLINK("#'Other Benefits'!GH2","Company endorsed/encouraged: Green communication campaigns")</f>
        <v>Company endorsed/encouraged: Green communication campaigns</v>
      </c>
      <c r="K190" s="3" t="str">
        <f>HYPERLINK("#'Healthcare'!GH1","Q6.2.42_1_4")</f>
        <v>Q6.2.42_1_4</v>
      </c>
      <c r="L190" s="93" t="str">
        <f>HYPERLINK("#'Healthcare'!GH2","Primary PPO medical plan - tier #1 copayment: Mail order out-of-network")</f>
        <v>Primary PPO medical plan - tier #1 copayment: Mail order out-of-network</v>
      </c>
      <c r="M190" s="6"/>
      <c r="N190" s="7"/>
      <c r="O190" s="6"/>
      <c r="P190" s="7"/>
      <c r="Q190" s="6"/>
      <c r="R190" s="7"/>
      <c r="S190" s="96" t="str">
        <f>HYPERLINK("#'Retirement, NQDC, Finances'!GH1","Q10.6.24_2")</f>
        <v>Q10.6.24_2</v>
      </c>
      <c r="T190" s="93" t="str">
        <f>HYPERLINK("#'Retirement, NQDC, Finances'!GH2","NQDC distribution options for life events: Change in control")</f>
        <v>NQDC distribution options for life events: Change in control</v>
      </c>
      <c r="U190" s="3" t="str">
        <f>HYPERLINK("#'Time Off'!GH1","Q11.7.38")</f>
        <v>Q11.7.38</v>
      </c>
      <c r="V190" s="93" t="str">
        <f>HYPERLINK("#'Time Off'!GH2","Personal leave of absence maximum allowable time without pay")</f>
        <v>Personal leave of absence maximum allowable time without pay</v>
      </c>
      <c r="W190" s="3" t="str">
        <f>HYPERLINK("#'Vendors'!GH1","Q12.9.7_50_TEXT")</f>
        <v>Q12.9.7_50_TEXT</v>
      </c>
      <c r="X190" s="93" t="str">
        <f>HYPERLINK("#'Vendors'!GH2","Other care management vendors employed: Back-up care")</f>
        <v>Other care management vendors employed: Back-up care</v>
      </c>
    </row>
    <row r="191" spans="1:24" ht="25.5" x14ac:dyDescent="0.2">
      <c r="A191" s="6"/>
      <c r="B191" s="7"/>
      <c r="C191" s="96" t="str">
        <f>HYPERLINK("#'Enrollment, Eligib. &amp; Cost'!GI1","Q2.5.4_1")</f>
        <v>Q2.5.4_1</v>
      </c>
      <c r="D191" s="93" t="str">
        <f>HYPERLINK("#'Enrollment, Eligib. &amp; Cost'!GI2","Total monthly premium for dental plan with highest enrollment: Waive or opt out")</f>
        <v>Total monthly premium for dental plan with highest enrollment: Waive or opt out</v>
      </c>
      <c r="E191" s="6"/>
      <c r="F191" s="7"/>
      <c r="G191" s="6"/>
      <c r="H191" s="7"/>
      <c r="I191" s="96" t="str">
        <f>HYPERLINK("#'Other Benefits'!GI1","Q5.4.23_7")</f>
        <v>Q5.4.23_7</v>
      </c>
      <c r="J191" s="93" t="str">
        <f>HYPERLINK("#'Other Benefits'!GI2","Company endorsed/encouraged: Employment of a green officer")</f>
        <v>Company endorsed/encouraged: Employment of a green officer</v>
      </c>
      <c r="K191" s="3" t="str">
        <f>HYPERLINK("#'Healthcare'!GI1","Q6.2.42_2_1")</f>
        <v>Q6.2.42_2_1</v>
      </c>
      <c r="L191" s="93" t="str">
        <f>HYPERLINK("#'Healthcare'!GI2","Primary PPO medical plan - tier #2 copayment: Retail/pharmacy in-network")</f>
        <v>Primary PPO medical plan - tier #2 copayment: Retail/pharmacy in-network</v>
      </c>
      <c r="M191" s="6"/>
      <c r="N191" s="7"/>
      <c r="O191" s="6"/>
      <c r="P191" s="7"/>
      <c r="Q191" s="6"/>
      <c r="R191" s="7"/>
      <c r="S191" s="96" t="str">
        <f>HYPERLINK("#'Retirement, NQDC, Finances'!GI1","Q10.6.24_3")</f>
        <v>Q10.6.24_3</v>
      </c>
      <c r="T191" s="93" t="str">
        <f>HYPERLINK("#'Retirement, NQDC, Finances'!GI2","NQDC distribution options for life events: Termination")</f>
        <v>NQDC distribution options for life events: Termination</v>
      </c>
      <c r="U191" s="3" t="str">
        <f>HYPERLINK("#'Time Off'!GI1","Q11.7.39")</f>
        <v>Q11.7.39</v>
      </c>
      <c r="V191" s="93" t="str">
        <f>HYPERLINK("#'Time Off'!GI2","Employee's job is protected while on approved personal leave of absence")</f>
        <v>Employee's job is protected while on approved personal leave of absence</v>
      </c>
      <c r="W191" s="3" t="str">
        <f>HYPERLINK("#'Vendors'!GI1","Q12.9.8")</f>
        <v>Q12.9.8</v>
      </c>
      <c r="X191" s="93" t="str">
        <f>HYPERLINK("#'Vendors'!GI2","Care management vendors employed: Critical illness")</f>
        <v>Care management vendors employed: Critical illness</v>
      </c>
    </row>
    <row r="192" spans="1:24" ht="25.5" x14ac:dyDescent="0.2">
      <c r="A192" s="6"/>
      <c r="B192" s="7"/>
      <c r="C192" s="96" t="str">
        <f>HYPERLINK("#'Enrollment, Eligib. &amp; Cost'!GJ1","Q2.5.4_2")</f>
        <v>Q2.5.4_2</v>
      </c>
      <c r="D192" s="93" t="str">
        <f>HYPERLINK("#'Enrollment, Eligib. &amp; Cost'!GJ2","Total monthly premium for dental plan with highest enrollment: Employee only")</f>
        <v>Total monthly premium for dental plan with highest enrollment: Employee only</v>
      </c>
      <c r="E192" s="6"/>
      <c r="F192" s="7"/>
      <c r="G192" s="6"/>
      <c r="H192" s="7"/>
      <c r="I192" s="96" t="str">
        <f>HYPERLINK("#'Other Benefits'!GJ1","Q5.4.23_8")</f>
        <v>Q5.4.23_8</v>
      </c>
      <c r="J192" s="93" t="str">
        <f>HYPERLINK("#'Other Benefits'!GJ2","Company endorsed/encouraged: Maintenance of executive sustainability or green committee")</f>
        <v>Company endorsed/encouraged: Maintenance of executive sustainability or green committee</v>
      </c>
      <c r="K192" s="3" t="str">
        <f>HYPERLINK("#'Healthcare'!GJ1","Q6.2.42_2_2")</f>
        <v>Q6.2.42_2_2</v>
      </c>
      <c r="L192" s="93" t="str">
        <f>HYPERLINK("#'Healthcare'!GJ2","Primary PPO medical plan - tier #2 copayment: Retail/pharmacy out-of-network")</f>
        <v>Primary PPO medical plan - tier #2 copayment: Retail/pharmacy out-of-network</v>
      </c>
      <c r="M192" s="6"/>
      <c r="N192" s="7"/>
      <c r="O192" s="6"/>
      <c r="P192" s="7"/>
      <c r="Q192" s="6"/>
      <c r="R192" s="7"/>
      <c r="S192" s="96" t="str">
        <f>HYPERLINK("#'Retirement, NQDC, Finances'!GJ1","Q10.6.24_4")</f>
        <v>Q10.6.24_4</v>
      </c>
      <c r="T192" s="93" t="str">
        <f>HYPERLINK("#'Retirement, NQDC, Finances'!GJ2","NQDC distribution options for life events: Retirement")</f>
        <v>NQDC distribution options for life events: Retirement</v>
      </c>
      <c r="U192" s="3" t="str">
        <f>HYPERLINK("#'Time Off'!GJ1","Q11.7.40")</f>
        <v>Q11.7.40</v>
      </c>
      <c r="V192" s="93" t="str">
        <f>HYPERLINK("#'Time Off'!GJ2","Number of weeks until employee loses job protection while on personal leave of absence")</f>
        <v>Number of weeks until employee loses job protection while on personal leave of absence</v>
      </c>
      <c r="W192" s="3" t="str">
        <f>HYPERLINK("#'Vendors'!GJ1","Q12.9.8_50_TEXT")</f>
        <v>Q12.9.8_50_TEXT</v>
      </c>
      <c r="X192" s="93" t="str">
        <f>HYPERLINK("#'Vendors'!GJ2","Other care management vendors employed: Critical illness")</f>
        <v>Other care management vendors employed: Critical illness</v>
      </c>
    </row>
    <row r="193" spans="1:24" ht="25.5" x14ac:dyDescent="0.2">
      <c r="A193" s="6"/>
      <c r="B193" s="7"/>
      <c r="C193" s="96" t="str">
        <f>HYPERLINK("#'Enrollment, Eligib. &amp; Cost'!GK1","Q2.5.4_3")</f>
        <v>Q2.5.4_3</v>
      </c>
      <c r="D193" s="93" t="str">
        <f>HYPERLINK("#'Enrollment, Eligib. &amp; Cost'!GK2","Total monthly premium for dental plan with highest enrollment: Employee + spouse/DP")</f>
        <v>Total monthly premium for dental plan with highest enrollment: Employee + spouse/DP</v>
      </c>
      <c r="E193" s="6"/>
      <c r="F193" s="7"/>
      <c r="G193" s="6"/>
      <c r="H193" s="7"/>
      <c r="I193" s="96" t="str">
        <f>HYPERLINK("#'Other Benefits'!GK1","Q5.4.23_9")</f>
        <v>Q5.4.23_9</v>
      </c>
      <c r="J193" s="93" t="str">
        <f>HYPERLINK("#'Other Benefits'!GK2","Company endorsed/encouraged: Employee discounts for solar energy")</f>
        <v>Company endorsed/encouraged: Employee discounts for solar energy</v>
      </c>
      <c r="K193" s="3" t="str">
        <f>HYPERLINK("#'Healthcare'!GK1","Q6.2.42_2_3")</f>
        <v>Q6.2.42_2_3</v>
      </c>
      <c r="L193" s="93" t="str">
        <f>HYPERLINK("#'Healthcare'!GK2","Primary PPO medical plan - tier #2 copayment: Mail order  in-network")</f>
        <v>Primary PPO medical plan - tier #2 copayment: Mail order  in-network</v>
      </c>
      <c r="M193" s="6"/>
      <c r="N193" s="7"/>
      <c r="O193" s="6"/>
      <c r="P193" s="7"/>
      <c r="Q193" s="6"/>
      <c r="R193" s="7"/>
      <c r="S193" s="96" t="str">
        <f>HYPERLINK("#'Retirement, NQDC, Finances'!GK1","Q10.6.25")</f>
        <v>Q10.6.25</v>
      </c>
      <c r="T193" s="93" t="str">
        <f>HYPERLINK("#'Retirement, NQDC, Finances'!GK2","NQDC distributions: Maximum installment payments (years)")</f>
        <v>NQDC distributions: Maximum installment payments (years)</v>
      </c>
      <c r="U193" s="3" t="str">
        <f>HYPERLINK("#'Time Off'!GK1","Q11.7.42")</f>
        <v>Q11.7.42</v>
      </c>
      <c r="V193" s="93" t="str">
        <f>HYPERLINK("#'Time Off'!GK2","Twelve month period calculation for FMLA leave allowance")</f>
        <v>Twelve month period calculation for FMLA leave allowance</v>
      </c>
      <c r="W193" s="3" t="str">
        <f>HYPERLINK("#'Vendors'!GK1","Q12.9.9")</f>
        <v>Q12.9.9</v>
      </c>
      <c r="X193" s="93" t="str">
        <f>HYPERLINK("#'Vendors'!GK2","Care management vendor(s) terminated in 2021")</f>
        <v>Care management vendor(s) terminated in 2021</v>
      </c>
    </row>
    <row r="194" spans="1:24" ht="38.25" x14ac:dyDescent="0.2">
      <c r="A194" s="6"/>
      <c r="B194" s="7"/>
      <c r="C194" s="96" t="str">
        <f>HYPERLINK("#'Enrollment, Eligib. &amp; Cost'!GL1","Q2.5.4_4")</f>
        <v>Q2.5.4_4</v>
      </c>
      <c r="D194" s="93" t="str">
        <f>HYPERLINK("#'Enrollment, Eligib. &amp; Cost'!GL2","Total monthly premium for dental plan with highest enrollment: Employee + spouse/DP or child(ren)")</f>
        <v>Total monthly premium for dental plan with highest enrollment: Employee + spouse/DP or child(ren)</v>
      </c>
      <c r="E194" s="6"/>
      <c r="F194" s="7"/>
      <c r="G194" s="6"/>
      <c r="H194" s="7"/>
      <c r="I194" s="96" t="str">
        <f>HYPERLINK("#'Other Benefits'!GL1","Q5.4.25_1")</f>
        <v>Q5.4.25_1</v>
      </c>
      <c r="J194" s="93" t="str">
        <f>HYPERLINK("#'Other Benefits'!GL2","Convenience benefits offered:  Beverage (e.g., standard coffee, tea, juice, soft drink, etc.)")</f>
        <v>Convenience benefits offered:  Beverage (e.g., standard coffee, tea, juice, soft drink, etc.)</v>
      </c>
      <c r="K194" s="3" t="str">
        <f>HYPERLINK("#'Healthcare'!GL1","Q6.2.42_2_4")</f>
        <v>Q6.2.42_2_4</v>
      </c>
      <c r="L194" s="93" t="str">
        <f>HYPERLINK("#'Healthcare'!GL2","Primary PPO medical plan - tier #2 copayment: Mail order out-of-network")</f>
        <v>Primary PPO medical plan - tier #2 copayment: Mail order out-of-network</v>
      </c>
      <c r="M194" s="6"/>
      <c r="N194" s="7"/>
      <c r="O194" s="6"/>
      <c r="P194" s="7"/>
      <c r="Q194" s="6"/>
      <c r="R194" s="7"/>
      <c r="S194" s="96" t="str">
        <f>HYPERLINK("#'Retirement, NQDC, Finances'!GL1","Q10.6.26")</f>
        <v>Q10.6.26</v>
      </c>
      <c r="T194" s="93" t="str">
        <f>HYPERLINK("#'Retirement, NQDC, Finances'!GL2","NQDC distribution: Minimum age")</f>
        <v>NQDC distribution: Minimum age</v>
      </c>
      <c r="U194" s="3" t="str">
        <f>HYPERLINK("#'Time Off'!GL1","Q11.7.43")</f>
        <v>Q11.7.43</v>
      </c>
      <c r="V194" s="93" t="str">
        <f>HYPERLINK("#'Time Off'!GL2","Other types of leave offerings")</f>
        <v>Other types of leave offerings</v>
      </c>
      <c r="W194" s="3" t="str">
        <f>HYPERLINK("#'Vendors'!GL1","Q12.9.10_1")</f>
        <v>Q12.9.10_1</v>
      </c>
      <c r="X194" s="93" t="str">
        <f>HYPERLINK("#'Vendors'!GL2","Terminated care management vendors: Survivor support")</f>
        <v>Terminated care management vendors: Survivor support</v>
      </c>
    </row>
    <row r="195" spans="1:24" ht="25.5" x14ac:dyDescent="0.2">
      <c r="A195" s="6"/>
      <c r="B195" s="7"/>
      <c r="C195" s="96" t="str">
        <f>HYPERLINK("#'Enrollment, Eligib. &amp; Cost'!GM1","Q2.5.4_5")</f>
        <v>Q2.5.4_5</v>
      </c>
      <c r="D195" s="93" t="str">
        <f>HYPERLINK("#'Enrollment, Eligib. &amp; Cost'!GM2","Total monthly premium for dental plan with highest enrollment: Employee + any child(ren)")</f>
        <v>Total monthly premium for dental plan with highest enrollment: Employee + any child(ren)</v>
      </c>
      <c r="E195" s="6"/>
      <c r="F195" s="7"/>
      <c r="G195" s="6"/>
      <c r="H195" s="7"/>
      <c r="I195" s="96" t="str">
        <f>HYPERLINK("#'Other Benefits'!GM1","Q5.4.25_2")</f>
        <v>Q5.4.25_2</v>
      </c>
      <c r="J195" s="93" t="str">
        <f>HYPERLINK("#'Other Benefits'!GM2","Convenience benefits offered:  Gourmet coffee")</f>
        <v>Convenience benefits offered:  Gourmet coffee</v>
      </c>
      <c r="K195" s="3" t="str">
        <f>HYPERLINK("#'Healthcare'!GM1","Q6.2.42_3_1")</f>
        <v>Q6.2.42_3_1</v>
      </c>
      <c r="L195" s="93" t="str">
        <f>HYPERLINK("#'Healthcare'!GM2","Primary PPO medical plan - tier #3 copayment: Retail/pharmacy in-network")</f>
        <v>Primary PPO medical plan - tier #3 copayment: Retail/pharmacy in-network</v>
      </c>
      <c r="M195" s="6"/>
      <c r="N195" s="7"/>
      <c r="O195" s="6"/>
      <c r="P195" s="7"/>
      <c r="Q195" s="6"/>
      <c r="R195" s="7"/>
      <c r="S195" s="96" t="str">
        <f>HYPERLINK("#'Retirement, NQDC, Finances'!GM1","Q10.6.27")</f>
        <v>Q10.6.27</v>
      </c>
      <c r="T195" s="93" t="str">
        <f>HYPERLINK("#'Retirement, NQDC, Finances'!GM2","NQDC distribution: Normal retirement age")</f>
        <v>NQDC distribution: Normal retirement age</v>
      </c>
      <c r="U195" s="3" t="str">
        <f>HYPERLINK("#'Time Off'!GM1","Q11.8.2")</f>
        <v>Q11.8.2</v>
      </c>
      <c r="V195" s="93" t="str">
        <f>HYPERLINK("#'Time Off'!GM2","Holidays provided to employees as paid days off")</f>
        <v>Holidays provided to employees as paid days off</v>
      </c>
      <c r="W195" s="3" t="str">
        <f>HYPERLINK("#'Vendors'!GM1","Q12.9.10_2")</f>
        <v>Q12.9.10_2</v>
      </c>
      <c r="X195" s="93" t="str">
        <f>HYPERLINK("#'Vendors'!GM2","Terminated care management vendors: Long-term care")</f>
        <v>Terminated care management vendors: Long-term care</v>
      </c>
    </row>
    <row r="196" spans="1:24" ht="25.5" x14ac:dyDescent="0.2">
      <c r="A196" s="6"/>
      <c r="B196" s="7"/>
      <c r="C196" s="96" t="str">
        <f>HYPERLINK("#'Enrollment, Eligib. &amp; Cost'!GN1","Q2.5.4_6")</f>
        <v>Q2.5.4_6</v>
      </c>
      <c r="D196" s="93" t="str">
        <f>HYPERLINK("#'Enrollment, Eligib. &amp; Cost'!GN2","Total monthly premium for dental plan with highest enrollment: Employee + 1 child")</f>
        <v>Total monthly premium for dental plan with highest enrollment: Employee + 1 child</v>
      </c>
      <c r="E196" s="6"/>
      <c r="F196" s="7"/>
      <c r="G196" s="6"/>
      <c r="H196" s="7"/>
      <c r="I196" s="96" t="str">
        <f>HYPERLINK("#'Other Benefits'!GN1","Q5.4.25_3")</f>
        <v>Q5.4.25_3</v>
      </c>
      <c r="J196" s="93" t="str">
        <f>HYPERLINK("#'Other Benefits'!GN2","Convenience benefits offered:  Breakfast")</f>
        <v>Convenience benefits offered:  Breakfast</v>
      </c>
      <c r="K196" s="3" t="str">
        <f>HYPERLINK("#'Healthcare'!GN1","Q6.2.42_3_2")</f>
        <v>Q6.2.42_3_2</v>
      </c>
      <c r="L196" s="93" t="str">
        <f>HYPERLINK("#'Healthcare'!GN2","Primary PPO medical plan - tier #3 copayment: Retail/pharmacy out-of-network")</f>
        <v>Primary PPO medical plan - tier #3 copayment: Retail/pharmacy out-of-network</v>
      </c>
      <c r="M196" s="6"/>
      <c r="N196" s="7"/>
      <c r="O196" s="6"/>
      <c r="P196" s="7"/>
      <c r="Q196" s="6"/>
      <c r="R196" s="7"/>
      <c r="S196" s="96" t="str">
        <f>HYPERLINK("#'Retirement, NQDC, Finances'!GN1","Q10.6.28")</f>
        <v>Q10.6.28</v>
      </c>
      <c r="T196" s="93" t="str">
        <f>HYPERLINK("#'Retirement, NQDC, Finances'!GN2","NQDC plan: Other milestones that define normal retirement age")</f>
        <v>NQDC plan: Other milestones that define normal retirement age</v>
      </c>
      <c r="U196" s="3" t="str">
        <f>HYPERLINK("#'Time Off'!GN1","Q11.8.3")</f>
        <v>Q11.8.3</v>
      </c>
      <c r="V196" s="93" t="str">
        <f>HYPERLINK("#'Time Off'!GN2","Number of floating holidays offered")</f>
        <v>Number of floating holidays offered</v>
      </c>
      <c r="W196" s="3" t="str">
        <f>HYPERLINK("#'Vendors'!GN1","Q12.9.10_3")</f>
        <v>Q12.9.10_3</v>
      </c>
      <c r="X196" s="93" t="str">
        <f>HYPERLINK("#'Vendors'!GN2","Terminated care management vendors: Family support")</f>
        <v>Terminated care management vendors: Family support</v>
      </c>
    </row>
    <row r="197" spans="1:24" ht="25.5" x14ac:dyDescent="0.2">
      <c r="A197" s="6"/>
      <c r="B197" s="7"/>
      <c r="C197" s="96" t="str">
        <f>HYPERLINK("#'Enrollment, Eligib. &amp; Cost'!GO1","Q2.5.4_7")</f>
        <v>Q2.5.4_7</v>
      </c>
      <c r="D197" s="93" t="str">
        <f>HYPERLINK("#'Enrollment, Eligib. &amp; Cost'!GO2","Total monthly premium for dental plan with highest enrollment: Employee + 2 children")</f>
        <v>Total monthly premium for dental plan with highest enrollment: Employee + 2 children</v>
      </c>
      <c r="E197" s="6"/>
      <c r="F197" s="7"/>
      <c r="G197" s="6"/>
      <c r="H197" s="7"/>
      <c r="I197" s="96" t="str">
        <f>HYPERLINK("#'Other Benefits'!GO1","Q5.4.25_4")</f>
        <v>Q5.4.25_4</v>
      </c>
      <c r="J197" s="93" t="str">
        <f>HYPERLINK("#'Other Benefits'!GO2","Convenience benefits offered:  Lunch")</f>
        <v>Convenience benefits offered:  Lunch</v>
      </c>
      <c r="K197" s="3" t="str">
        <f>HYPERLINK("#'Healthcare'!GO1","Q6.2.42_3_3")</f>
        <v>Q6.2.42_3_3</v>
      </c>
      <c r="L197" s="93" t="str">
        <f>HYPERLINK("#'Healthcare'!GO2","Primary PPO medical plan - tier #3 copayment: Mail order  in-network")</f>
        <v>Primary PPO medical plan - tier #3 copayment: Mail order  in-network</v>
      </c>
      <c r="M197" s="6"/>
      <c r="N197" s="7"/>
      <c r="O197" s="6"/>
      <c r="P197" s="7"/>
      <c r="Q197" s="6"/>
      <c r="R197" s="7"/>
      <c r="S197" s="96" t="str">
        <f>HYPERLINK("#'Retirement, NQDC, Finances'!GO1","Q10.6.29")</f>
        <v>Q10.6.29</v>
      </c>
      <c r="T197" s="93" t="str">
        <f>HYPERLINK("#'Retirement, NQDC, Finances'!GO2","NQDC plan: Normal retirement age")</f>
        <v>NQDC plan: Normal retirement age</v>
      </c>
      <c r="U197" s="3" t="str">
        <f>HYPERLINK("#'Time Off'!GO1","Q11.9.2")</f>
        <v>Q11.9.2</v>
      </c>
      <c r="V197" s="93" t="str">
        <f>HYPERLINK("#'Time Off'!GO2","Annual unpaid shutdown in place")</f>
        <v>Annual unpaid shutdown in place</v>
      </c>
      <c r="W197" s="3" t="str">
        <f>HYPERLINK("#'Vendors'!GO1","Q12.9.10_4")</f>
        <v>Q12.9.10_4</v>
      </c>
      <c r="X197" s="93" t="str">
        <f>HYPERLINK("#'Vendors'!GO2","Terminated care management vendors: Eldercare")</f>
        <v>Terminated care management vendors: Eldercare</v>
      </c>
    </row>
    <row r="198" spans="1:24" ht="25.5" x14ac:dyDescent="0.2">
      <c r="A198" s="6"/>
      <c r="B198" s="7"/>
      <c r="C198" s="96" t="str">
        <f>HYPERLINK("#'Enrollment, Eligib. &amp; Cost'!GP1","Q2.5.4_8")</f>
        <v>Q2.5.4_8</v>
      </c>
      <c r="D198" s="93" t="str">
        <f>HYPERLINK("#'Enrollment, Eligib. &amp; Cost'!GP2","Total monthly premium for dental plan with highest enrollment: Employee + 3 children")</f>
        <v>Total monthly premium for dental plan with highest enrollment: Employee + 3 children</v>
      </c>
      <c r="E198" s="6"/>
      <c r="F198" s="7"/>
      <c r="G198" s="6"/>
      <c r="H198" s="7"/>
      <c r="I198" s="96" t="str">
        <f>HYPERLINK("#'Other Benefits'!GP1","Q5.4.25_5")</f>
        <v>Q5.4.25_5</v>
      </c>
      <c r="J198" s="93" t="str">
        <f>HYPERLINK("#'Other Benefits'!GP2","Convenience benefits offered:  Dinner")</f>
        <v>Convenience benefits offered:  Dinner</v>
      </c>
      <c r="K198" s="3" t="str">
        <f>HYPERLINK("#'Healthcare'!GP1","Q6.2.42_3_4")</f>
        <v>Q6.2.42_3_4</v>
      </c>
      <c r="L198" s="93" t="str">
        <f>HYPERLINK("#'Healthcare'!GP2","Primary PPO medical plan - tier #3 copayment: Mail order out-of-network")</f>
        <v>Primary PPO medical plan - tier #3 copayment: Mail order out-of-network</v>
      </c>
      <c r="M198" s="6"/>
      <c r="N198" s="7"/>
      <c r="O198" s="6"/>
      <c r="P198" s="7"/>
      <c r="Q198" s="6"/>
      <c r="R198" s="7"/>
      <c r="S198" s="96" t="str">
        <f>HYPERLINK("#'Retirement, NQDC, Finances'!GP1","Q10.6.30")</f>
        <v>Q10.6.30</v>
      </c>
      <c r="T198" s="93" t="str">
        <f>HYPERLINK("#'Retirement, NQDC, Finances'!GP2","NQDC plan: Years of service that define normal retirement")</f>
        <v>NQDC plan: Years of service that define normal retirement</v>
      </c>
      <c r="U198" s="3" t="str">
        <f>HYPERLINK("#'Time Off'!GP1","Q11.9.3")</f>
        <v>Q11.9.3</v>
      </c>
      <c r="V198" s="93" t="str">
        <f>HYPERLINK("#'Time Off'!GP2","Company had shutdown in 2021")</f>
        <v>Company had shutdown in 2021</v>
      </c>
      <c r="W198" s="3" t="str">
        <f>HYPERLINK("#'Vendors'!GP1","Q12.9.10_5")</f>
        <v>Q12.9.10_5</v>
      </c>
      <c r="X198" s="93" t="str">
        <f>HYPERLINK("#'Vendors'!GP2","Terminated care management vendors: Childcare")</f>
        <v>Terminated care management vendors: Childcare</v>
      </c>
    </row>
    <row r="199" spans="1:24" ht="25.5" x14ac:dyDescent="0.2">
      <c r="A199" s="6"/>
      <c r="B199" s="7"/>
      <c r="C199" s="96" t="str">
        <f>HYPERLINK("#'Enrollment, Eligib. &amp; Cost'!GQ1","Q2.5.4_9")</f>
        <v>Q2.5.4_9</v>
      </c>
      <c r="D199" s="93" t="str">
        <f>HYPERLINK("#'Enrollment, Eligib. &amp; Cost'!GQ2","Total monthly premium for dental plan with highest enrollment: Employee + 4 children")</f>
        <v>Total monthly premium for dental plan with highest enrollment: Employee + 4 children</v>
      </c>
      <c r="E199" s="6"/>
      <c r="F199" s="7"/>
      <c r="G199" s="6"/>
      <c r="H199" s="7"/>
      <c r="I199" s="96" t="str">
        <f>HYPERLINK("#'Other Benefits'!GQ1","Q5.4.25_6")</f>
        <v>Q5.4.25_6</v>
      </c>
      <c r="J199" s="93" t="str">
        <f>HYPERLINK("#'Other Benefits'!GQ2","Convenience benefits offered:  Take home meals")</f>
        <v>Convenience benefits offered:  Take home meals</v>
      </c>
      <c r="K199" s="3" t="str">
        <f>HYPERLINK("#'Healthcare'!GQ1","Q6.2.42_4_1")</f>
        <v>Q6.2.42_4_1</v>
      </c>
      <c r="L199" s="93" t="str">
        <f>HYPERLINK("#'Healthcare'!GQ2","Primary PPO medical plan - tier #4 copayment: Retail/pharmacy in-network")</f>
        <v>Primary PPO medical plan - tier #4 copayment: Retail/pharmacy in-network</v>
      </c>
      <c r="M199" s="6"/>
      <c r="N199" s="7"/>
      <c r="O199" s="6"/>
      <c r="P199" s="7"/>
      <c r="Q199" s="6"/>
      <c r="R199" s="7"/>
      <c r="S199" s="96" t="str">
        <f>HYPERLINK("#'Retirement, NQDC, Finances'!GQ1","Q10.6.31")</f>
        <v>Q10.6.31</v>
      </c>
      <c r="T199" s="93" t="str">
        <f>HYPERLINK("#'Retirement, NQDC, Finances'!GQ2","NQDC plan: Preferred practice with acquired company's plan")</f>
        <v>NQDC plan: Preferred practice with acquired company's plan</v>
      </c>
      <c r="U199" s="3" t="str">
        <f>HYPERLINK("#'Time Off'!GQ1","Q11.9.4")</f>
        <v>Q11.9.4</v>
      </c>
      <c r="V199" s="93" t="str">
        <f>HYPERLINK("#'Time Off'!GQ2","Company planned shutdown in 2022")</f>
        <v>Company planned shutdown in 2022</v>
      </c>
      <c r="W199" s="3" t="str">
        <f>HYPERLINK("#'Vendors'!GQ1","Q12.9.10_6")</f>
        <v>Q12.9.10_6</v>
      </c>
      <c r="X199" s="93" t="str">
        <f>HYPERLINK("#'Vendors'!GQ2","Terminated care management vendors: Back-up care")</f>
        <v>Terminated care management vendors: Back-up care</v>
      </c>
    </row>
    <row r="200" spans="1:24" ht="25.5" x14ac:dyDescent="0.2">
      <c r="A200" s="6"/>
      <c r="B200" s="7"/>
      <c r="C200" s="96" t="str">
        <f>HYPERLINK("#'Enrollment, Eligib. &amp; Cost'!GR1","Q2.5.4_10")</f>
        <v>Q2.5.4_10</v>
      </c>
      <c r="D200" s="93" t="str">
        <f>HYPERLINK("#'Enrollment, Eligib. &amp; Cost'!GR2","Total monthly premium for dental plan with highest enrollment: Employee + 5 children")</f>
        <v>Total monthly premium for dental plan with highest enrollment: Employee + 5 children</v>
      </c>
      <c r="E200" s="6"/>
      <c r="F200" s="7"/>
      <c r="G200" s="6"/>
      <c r="H200" s="7"/>
      <c r="I200" s="96" t="str">
        <f>HYPERLINK("#'Other Benefits'!GR1","Q5.4.25_7")</f>
        <v>Q5.4.25_7</v>
      </c>
      <c r="J200" s="93" t="str">
        <f>HYPERLINK("#'Other Benefits'!GR2","Convenience benefits offered:  Fresh produce delivery")</f>
        <v>Convenience benefits offered:  Fresh produce delivery</v>
      </c>
      <c r="K200" s="3" t="str">
        <f>HYPERLINK("#'Healthcare'!GR1","Q6.2.42_4_2")</f>
        <v>Q6.2.42_4_2</v>
      </c>
      <c r="L200" s="93" t="str">
        <f>HYPERLINK("#'Healthcare'!GR2","Primary PPO medical plan - tier #4 copayment: Retail/pharmacy out-of-network")</f>
        <v>Primary PPO medical plan - tier #4 copayment: Retail/pharmacy out-of-network</v>
      </c>
      <c r="M200" s="6"/>
      <c r="N200" s="7"/>
      <c r="O200" s="6"/>
      <c r="P200" s="7"/>
      <c r="Q200" s="6"/>
      <c r="R200" s="7"/>
      <c r="S200" s="96" t="str">
        <f>HYPERLINK("#'Retirement, NQDC, Finances'!GR1","Q10.7.2")</f>
        <v>Q10.7.2</v>
      </c>
      <c r="T200" s="93" t="str">
        <f>HYPERLINK("#'Retirement, NQDC, Finances'!GR2","Student loan assistance offered for outstanding college loan debt")</f>
        <v>Student loan assistance offered for outstanding college loan debt</v>
      </c>
      <c r="U200" s="3" t="str">
        <f>HYPERLINK("#'Time Off'!GR1","Q11.9.5")</f>
        <v>Q11.9.5</v>
      </c>
      <c r="V200" s="93" t="str">
        <f>HYPERLINK("#'Time Off'!GR2","Number of company shutdown days in 2021")</f>
        <v>Number of company shutdown days in 2021</v>
      </c>
      <c r="W200" s="3" t="str">
        <f>HYPERLINK("#'Vendors'!GR1","Q12.9.10_7")</f>
        <v>Q12.9.10_7</v>
      </c>
      <c r="X200" s="93" t="str">
        <f>HYPERLINK("#'Vendors'!GR2","Terminated care management vendors: Critical illness")</f>
        <v>Terminated care management vendors: Critical illness</v>
      </c>
    </row>
    <row r="201" spans="1:24" ht="38.25" x14ac:dyDescent="0.2">
      <c r="A201" s="6"/>
      <c r="B201" s="7"/>
      <c r="C201" s="96" t="str">
        <f>HYPERLINK("#'Enrollment, Eligib. &amp; Cost'!GS1","Q2.5.4_11")</f>
        <v>Q2.5.4_11</v>
      </c>
      <c r="D201" s="93" t="str">
        <f>HYPERLINK("#'Enrollment, Eligib. &amp; Cost'!GS2","Total monthly premium for dental plan with highest enrollment: Family (employee + spouse/DP + dependent) with any child(ren)")</f>
        <v>Total monthly premium for dental plan with highest enrollment: Family (employee + spouse/DP + dependent) with any child(ren)</v>
      </c>
      <c r="E201" s="6"/>
      <c r="F201" s="7"/>
      <c r="G201" s="6"/>
      <c r="H201" s="7"/>
      <c r="I201" s="96" t="str">
        <f>HYPERLINK("#'Other Benefits'!GS1","Q5.4.25_8")</f>
        <v>Q5.4.25_8</v>
      </c>
      <c r="J201" s="93" t="str">
        <f>HYPERLINK("#'Other Benefits'!GS2","Convenience benefits offered:  Car wash")</f>
        <v>Convenience benefits offered:  Car wash</v>
      </c>
      <c r="K201" s="3" t="str">
        <f>HYPERLINK("#'Healthcare'!GS1","Q6.2.42_4_3")</f>
        <v>Q6.2.42_4_3</v>
      </c>
      <c r="L201" s="93" t="str">
        <f>HYPERLINK("#'Healthcare'!GS2","Primary PPO medical plan - tier #4 copayment: Mail order  in-network")</f>
        <v>Primary PPO medical plan - tier #4 copayment: Mail order  in-network</v>
      </c>
      <c r="M201" s="6"/>
      <c r="N201" s="7"/>
      <c r="O201" s="6"/>
      <c r="P201" s="7"/>
      <c r="Q201" s="6"/>
      <c r="R201" s="7"/>
      <c r="S201" s="96" t="str">
        <f>HYPERLINK("#'Retirement, NQDC, Finances'!GS1","Q10.7.3")</f>
        <v>Q10.7.3</v>
      </c>
      <c r="T201" s="93" t="str">
        <f>HYPERLINK("#'Retirement, NQDC, Finances'!GS2","Student loan assistance for outstanding college loan debt - company funded/subsidized loan payments")</f>
        <v>Student loan assistance for outstanding college loan debt - company funded/subsidized loan payments</v>
      </c>
      <c r="U201" s="3" t="str">
        <f>HYPERLINK("#'Time Off'!GS1","Q11.9.6")</f>
        <v>Q11.9.6</v>
      </c>
      <c r="V201" s="93" t="str">
        <f>HYPERLINK("#'Time Off'!GS2","Number of company shutdown days in 2022")</f>
        <v>Number of company shutdown days in 2022</v>
      </c>
      <c r="W201" s="3" t="str">
        <f>HYPERLINK("#'Vendors'!GS1","Q12.10.2")</f>
        <v>Q12.10.2</v>
      </c>
      <c r="X201" s="93" t="str">
        <f>HYPERLINK("#'Vendors'!GS2","Medical administration/support vendors employed: Enrollment administration")</f>
        <v>Medical administration/support vendors employed: Enrollment administration</v>
      </c>
    </row>
    <row r="202" spans="1:24" ht="38.25" x14ac:dyDescent="0.2">
      <c r="A202" s="6"/>
      <c r="B202" s="7"/>
      <c r="C202" s="96" t="str">
        <f>HYPERLINK("#'Enrollment, Eligib. &amp; Cost'!GT1","Q2.5.4_12")</f>
        <v>Q2.5.4_12</v>
      </c>
      <c r="D202" s="93" t="str">
        <f>HYPERLINK("#'Enrollment, Eligib. &amp; Cost'!GT2","Total monthly premium for dental plan with highest enrollment: Family (employee + spouse/DP + dependent) with 1 child")</f>
        <v>Total monthly premium for dental plan with highest enrollment: Family (employee + spouse/DP + dependent) with 1 child</v>
      </c>
      <c r="E202" s="6"/>
      <c r="F202" s="7"/>
      <c r="G202" s="6"/>
      <c r="H202" s="7"/>
      <c r="I202" s="96" t="str">
        <f>HYPERLINK("#'Other Benefits'!GT1","Q5.4.25_9")</f>
        <v>Q5.4.25_9</v>
      </c>
      <c r="J202" s="93" t="str">
        <f>HYPERLINK("#'Other Benefits'!GT2","Convenience benefits offered:  Oil changes")</f>
        <v>Convenience benefits offered:  Oil changes</v>
      </c>
      <c r="K202" s="3" t="str">
        <f>HYPERLINK("#'Healthcare'!GT1","Q6.2.42_4_4")</f>
        <v>Q6.2.42_4_4</v>
      </c>
      <c r="L202" s="93" t="str">
        <f>HYPERLINK("#'Healthcare'!GT2","Primary PPO medical plan - tier #4 copayment: Mail order out-of-network")</f>
        <v>Primary PPO medical plan - tier #4 copayment: Mail order out-of-network</v>
      </c>
      <c r="M202" s="6"/>
      <c r="N202" s="7"/>
      <c r="O202" s="6"/>
      <c r="P202" s="7"/>
      <c r="Q202" s="6"/>
      <c r="R202" s="7"/>
      <c r="S202" s="96" t="str">
        <f>HYPERLINK("#'Retirement, NQDC, Finances'!GT1","Q10.7.4")</f>
        <v>Q10.7.4</v>
      </c>
      <c r="T202" s="93" t="str">
        <f>HYPERLINK("#'Retirement, NQDC, Finances'!GT2","Student loan assistance for outstanding college loan debt - connection with future employment")</f>
        <v>Student loan assistance for outstanding college loan debt - connection with future employment</v>
      </c>
      <c r="U202" s="3" t="str">
        <f>HYPERLINK("#'Time Off'!GT1","Q11.9.7")</f>
        <v>Q11.9.7</v>
      </c>
      <c r="V202" s="93" t="str">
        <f>HYPERLINK("#'Time Off'!GT2","Company shutdown type")</f>
        <v>Company shutdown type</v>
      </c>
      <c r="W202" s="3" t="str">
        <f>HYPERLINK("#'Vendors'!GT1","Q12.10.2_28_TEXT")</f>
        <v>Q12.10.2_28_TEXT</v>
      </c>
      <c r="X202" s="93" t="str">
        <f>HYPERLINK("#'Vendors'!GT2","Other medical administration/support vendors employed: Enrollment administration")</f>
        <v>Other medical administration/support vendors employed: Enrollment administration</v>
      </c>
    </row>
    <row r="203" spans="1:24" ht="38.25" x14ac:dyDescent="0.2">
      <c r="A203" s="6"/>
      <c r="B203" s="7"/>
      <c r="C203" s="96" t="str">
        <f>HYPERLINK("#'Enrollment, Eligib. &amp; Cost'!GU1","Q2.5.4_13")</f>
        <v>Q2.5.4_13</v>
      </c>
      <c r="D203" s="93" t="str">
        <f>HYPERLINK("#'Enrollment, Eligib. &amp; Cost'!GU2","Total monthly premium for dental plan with highest enrollment: Family (employee + spouse/DP + dependent) with 2 child(ren)")</f>
        <v>Total monthly premium for dental plan with highest enrollment: Family (employee + spouse/DP + dependent) with 2 child(ren)</v>
      </c>
      <c r="E203" s="6"/>
      <c r="F203" s="7"/>
      <c r="G203" s="6"/>
      <c r="H203" s="7"/>
      <c r="I203" s="96" t="str">
        <f>HYPERLINK("#'Other Benefits'!GU1","Q5.4.25_10")</f>
        <v>Q5.4.25_10</v>
      </c>
      <c r="J203" s="93" t="str">
        <f>HYPERLINK("#'Other Benefits'!GU2","Convenience benefits offered:  Bike repair")</f>
        <v>Convenience benefits offered:  Bike repair</v>
      </c>
      <c r="K203" s="3" t="str">
        <f>HYPERLINK("#'Healthcare'!GU1","Q6.2.42_5_1")</f>
        <v>Q6.2.42_5_1</v>
      </c>
      <c r="L203" s="93" t="str">
        <f>HYPERLINK("#'Healthcare'!GU2","Primary PPO medical plan - tier #5 copayment: Retail/pharmacy in-network")</f>
        <v>Primary PPO medical plan - tier #5 copayment: Retail/pharmacy in-network</v>
      </c>
      <c r="M203" s="6"/>
      <c r="N203" s="7"/>
      <c r="O203" s="6"/>
      <c r="P203" s="7"/>
      <c r="Q203" s="6"/>
      <c r="R203" s="7"/>
      <c r="S203" s="96" t="str">
        <f>HYPERLINK("#'Retirement, NQDC, Finances'!GU1","Q10.7.5")</f>
        <v>Q10.7.5</v>
      </c>
      <c r="T203" s="93" t="str">
        <f>HYPERLINK("#'Retirement, NQDC, Finances'!GU2","Student loan assistance includes refinancing opportunities")</f>
        <v>Student loan assistance includes refinancing opportunities</v>
      </c>
      <c r="U203" s="3" t="str">
        <f>HYPERLINK("#'Time Off'!GU1","Q11.9.8")</f>
        <v>Q11.9.8</v>
      </c>
      <c r="V203" s="93" t="str">
        <f>HYPERLINK("#'Time Off'!GU2","Employees allowed to borrow against vacation/paid time off accrual during company shutdown")</f>
        <v>Employees allowed to borrow against vacation/paid time off accrual during company shutdown</v>
      </c>
      <c r="W203" s="3" t="str">
        <f>HYPERLINK("#'Vendors'!GU1","Q12.10.3")</f>
        <v>Q12.10.3</v>
      </c>
      <c r="X203" s="93" t="str">
        <f>HYPERLINK("#'Vendors'!GU2","Medical administration/support vendors employed: Eligibility administration")</f>
        <v>Medical administration/support vendors employed: Eligibility administration</v>
      </c>
    </row>
    <row r="204" spans="1:24" ht="38.25" x14ac:dyDescent="0.2">
      <c r="A204" s="6"/>
      <c r="B204" s="7"/>
      <c r="C204" s="96" t="str">
        <f>HYPERLINK("#'Enrollment, Eligib. &amp; Cost'!GV1","Q2.5.4_14")</f>
        <v>Q2.5.4_14</v>
      </c>
      <c r="D204" s="93" t="str">
        <f>HYPERLINK("#'Enrollment, Eligib. &amp; Cost'!GV2","Total monthly premium for dental plan with highest enrollment: Family (employee + spouse/DP + dependent) with 3 child(ren)")</f>
        <v>Total monthly premium for dental plan with highest enrollment: Family (employee + spouse/DP + dependent) with 3 child(ren)</v>
      </c>
      <c r="E204" s="6"/>
      <c r="F204" s="7"/>
      <c r="G204" s="6"/>
      <c r="H204" s="7"/>
      <c r="I204" s="96" t="str">
        <f>HYPERLINK("#'Other Benefits'!GV1","Q5.4.25_11")</f>
        <v>Q5.4.25_11</v>
      </c>
      <c r="J204" s="93" t="str">
        <f>HYPERLINK("#'Other Benefits'!GV2","Convenience benefits offered:  Dry cleaning")</f>
        <v>Convenience benefits offered:  Dry cleaning</v>
      </c>
      <c r="K204" s="3" t="str">
        <f>HYPERLINK("#'Healthcare'!GV1","Q6.2.42_5_2")</f>
        <v>Q6.2.42_5_2</v>
      </c>
      <c r="L204" s="93" t="str">
        <f>HYPERLINK("#'Healthcare'!GV2","Primary PPO medical plan - tier #5 copayment: Retail/pharmacy out-of-network")</f>
        <v>Primary PPO medical plan - tier #5 copayment: Retail/pharmacy out-of-network</v>
      </c>
      <c r="M204" s="6"/>
      <c r="N204" s="7"/>
      <c r="O204" s="6"/>
      <c r="P204" s="7"/>
      <c r="Q204" s="6"/>
      <c r="R204" s="7"/>
      <c r="S204" s="96" t="str">
        <f>HYPERLINK("#'Retirement, NQDC, Finances'!GV1","Q10.7.6")</f>
        <v>Q10.7.6</v>
      </c>
      <c r="T204" s="93" t="str">
        <f>HYPERLINK("#'Retirement, NQDC, Finances'!GV2","Offer student loan assistance payments in lieu of company 401(k) matching contributions")</f>
        <v>Offer student loan assistance payments in lieu of company 401(k) matching contributions</v>
      </c>
      <c r="U204" s="3" t="str">
        <f>HYPERLINK("#'Time Off'!GV1","Q11.10.2")</f>
        <v>Q11.10.2</v>
      </c>
      <c r="V204" s="93" t="str">
        <f>HYPERLINK("#'Time Off'!GV2","Paid sabbatical benefit in place")</f>
        <v>Paid sabbatical benefit in place</v>
      </c>
      <c r="W204" s="3" t="str">
        <f>HYPERLINK("#'Vendors'!GV1","Q12.10.3_28_TEXT")</f>
        <v>Q12.10.3_28_TEXT</v>
      </c>
      <c r="X204" s="93" t="str">
        <f>HYPERLINK("#'Vendors'!GV2","Other medical administration/support vendors employed: Eligibility administration")</f>
        <v>Other medical administration/support vendors employed: Eligibility administration</v>
      </c>
    </row>
    <row r="205" spans="1:24" ht="38.25" x14ac:dyDescent="0.2">
      <c r="A205" s="6"/>
      <c r="B205" s="7"/>
      <c r="C205" s="96" t="str">
        <f>HYPERLINK("#'Enrollment, Eligib. &amp; Cost'!GW1","Q2.5.4_15")</f>
        <v>Q2.5.4_15</v>
      </c>
      <c r="D205" s="93" t="str">
        <f>HYPERLINK("#'Enrollment, Eligib. &amp; Cost'!GW2","Total monthly premium for dental plan with highest enrollment: Family (employee + spouse/DP + dependent) with 4 child(ren)")</f>
        <v>Total monthly premium for dental plan with highest enrollment: Family (employee + spouse/DP + dependent) with 4 child(ren)</v>
      </c>
      <c r="E205" s="6"/>
      <c r="F205" s="7"/>
      <c r="G205" s="6"/>
      <c r="H205" s="7"/>
      <c r="I205" s="96" t="str">
        <f>HYPERLINK("#'Other Benefits'!GW1","Q5.4.25_12")</f>
        <v>Q5.4.25_12</v>
      </c>
      <c r="J205" s="93" t="str">
        <f>HYPERLINK("#'Other Benefits'!GW2","Convenience benefits offered:  Banking services/credit union")</f>
        <v>Convenience benefits offered:  Banking services/credit union</v>
      </c>
      <c r="K205" s="3" t="str">
        <f>HYPERLINK("#'Healthcare'!GW1","Q6.2.42_5_3")</f>
        <v>Q6.2.42_5_3</v>
      </c>
      <c r="L205" s="93" t="str">
        <f>HYPERLINK("#'Healthcare'!GW2","Primary PPO medical plan - tier #5 copayment: Mail order  in-network")</f>
        <v>Primary PPO medical plan - tier #5 copayment: Mail order  in-network</v>
      </c>
      <c r="M205" s="6"/>
      <c r="N205" s="7"/>
      <c r="O205" s="6"/>
      <c r="P205" s="7"/>
      <c r="Q205" s="6"/>
      <c r="R205" s="7"/>
      <c r="S205" s="96" t="str">
        <f>HYPERLINK("#'Retirement, NQDC, Finances'!GW1","Q10.7.7_1")</f>
        <v>Q10.7.7_1</v>
      </c>
      <c r="T205" s="93" t="str">
        <f>HYPERLINK("#'Retirement, NQDC, Finances'!GW2","Financial subsidies for non-employment/relocation services: Credit card debt")</f>
        <v>Financial subsidies for non-employment/relocation services: Credit card debt</v>
      </c>
      <c r="U205" s="3" t="str">
        <f>HYPERLINK("#'Time Off'!GW1","Q11.10.3")</f>
        <v>Q11.10.3</v>
      </c>
      <c r="V205" s="93" t="str">
        <f>HYPERLINK("#'Time Off'!GW2","Length of service requirement for employee's first sabbatical")</f>
        <v>Length of service requirement for employee's first sabbatical</v>
      </c>
      <c r="W205" s="3" t="str">
        <f>HYPERLINK("#'Vendors'!GW1","Q12.10.4")</f>
        <v>Q12.10.4</v>
      </c>
      <c r="X205" s="93" t="str">
        <f>HYPERLINK("#'Vendors'!GW2","Medical administration/support vendors employed: Premium payment reconciliation")</f>
        <v>Medical administration/support vendors employed: Premium payment reconciliation</v>
      </c>
    </row>
    <row r="206" spans="1:24" ht="38.25" x14ac:dyDescent="0.2">
      <c r="A206" s="6"/>
      <c r="B206" s="7"/>
      <c r="C206" s="96" t="str">
        <f>HYPERLINK("#'Enrollment, Eligib. &amp; Cost'!GX1","Q2.5.4_16")</f>
        <v>Q2.5.4_16</v>
      </c>
      <c r="D206" s="93" t="str">
        <f>HYPERLINK("#'Enrollment, Eligib. &amp; Cost'!GX2","Total monthly premium for dental plan with highest enrollment: Family (employee + spouse/DP + dependent) with 5 child(ren)")</f>
        <v>Total monthly premium for dental plan with highest enrollment: Family (employee + spouse/DP + dependent) with 5 child(ren)</v>
      </c>
      <c r="E206" s="6"/>
      <c r="F206" s="7"/>
      <c r="G206" s="6"/>
      <c r="H206" s="7"/>
      <c r="I206" s="96" t="str">
        <f>HYPERLINK("#'Other Benefits'!GX1","Q5.4.25_13")</f>
        <v>Q5.4.25_13</v>
      </c>
      <c r="J206" s="93" t="str">
        <f>HYPERLINK("#'Other Benefits'!GX2","Convenience benefits offered:  ATM")</f>
        <v>Convenience benefits offered:  ATM</v>
      </c>
      <c r="K206" s="3" t="str">
        <f>HYPERLINK("#'Healthcare'!GX1","Q6.2.42_5_4")</f>
        <v>Q6.2.42_5_4</v>
      </c>
      <c r="L206" s="93" t="str">
        <f>HYPERLINK("#'Healthcare'!GX2","Primary PPO medical plan - tier #5 copayment: Mail order out-of-network")</f>
        <v>Primary PPO medical plan - tier #5 copayment: Mail order out-of-network</v>
      </c>
      <c r="M206" s="6"/>
      <c r="N206" s="7"/>
      <c r="O206" s="6"/>
      <c r="P206" s="7"/>
      <c r="Q206" s="6"/>
      <c r="R206" s="7"/>
      <c r="S206" s="96" t="str">
        <f>HYPERLINK("#'Retirement, NQDC, Finances'!GX1","Q10.7.7_2")</f>
        <v>Q10.7.7_2</v>
      </c>
      <c r="T206" s="93" t="str">
        <f>HYPERLINK("#'Retirement, NQDC, Finances'!GX2","Financial subsidies for non-employment/relocation services: Mortgage payments")</f>
        <v>Financial subsidies for non-employment/relocation services: Mortgage payments</v>
      </c>
      <c r="U206" s="3" t="str">
        <f>HYPERLINK("#'Time Off'!GX1","Q11.10.4")</f>
        <v>Q11.10.4</v>
      </c>
      <c r="V206" s="93" t="str">
        <f>HYPERLINK("#'Time Off'!GX2","Maximum length of sabbatical")</f>
        <v>Maximum length of sabbatical</v>
      </c>
      <c r="W206" s="3" t="str">
        <f>HYPERLINK("#'Vendors'!GX1","Q12.10.4_28_TEXT")</f>
        <v>Q12.10.4_28_TEXT</v>
      </c>
      <c r="X206" s="93" t="str">
        <f>HYPERLINK("#'Vendors'!GX2","Other medical administration/support vendors employed: Premium payment reconciliation")</f>
        <v>Other medical administration/support vendors employed: Premium payment reconciliation</v>
      </c>
    </row>
    <row r="207" spans="1:24" ht="38.25" x14ac:dyDescent="0.2">
      <c r="A207" s="6"/>
      <c r="B207" s="7"/>
      <c r="C207" s="96" t="str">
        <f>HYPERLINK("#'Enrollment, Eligib. &amp; Cost'!GY1","Q2.5.5")</f>
        <v>Q2.5.5</v>
      </c>
      <c r="D207" s="93" t="str">
        <f>HYPERLINK("#'Enrollment, Eligib. &amp; Cost'!GY2","Percentage of dental plan premium paid by company")</f>
        <v>Percentage of dental plan premium paid by company</v>
      </c>
      <c r="E207" s="6"/>
      <c r="F207" s="7"/>
      <c r="G207" s="6"/>
      <c r="H207" s="7"/>
      <c r="I207" s="96" t="str">
        <f>HYPERLINK("#'Other Benefits'!GY1","Q5.4.25_14")</f>
        <v>Q5.4.25_14</v>
      </c>
      <c r="J207" s="93" t="str">
        <f>HYPERLINK("#'Other Benefits'!GY2","Convenience benefits offered:  Personal travel services")</f>
        <v>Convenience benefits offered:  Personal travel services</v>
      </c>
      <c r="K207" s="3" t="str">
        <f>HYPERLINK("#'Healthcare'!GY1","Q6.2.42_6_1")</f>
        <v>Q6.2.42_6_1</v>
      </c>
      <c r="L207" s="93" t="str">
        <f>HYPERLINK("#'Healthcare'!GY2","Primary PPO medical plan - specialty copayment: Retail/pharmacy in-network")</f>
        <v>Primary PPO medical plan - specialty copayment: Retail/pharmacy in-network</v>
      </c>
      <c r="M207" s="6"/>
      <c r="N207" s="7"/>
      <c r="O207" s="6"/>
      <c r="P207" s="7"/>
      <c r="Q207" s="6"/>
      <c r="R207" s="7"/>
      <c r="S207" s="96" t="str">
        <f>HYPERLINK("#'Retirement, NQDC, Finances'!GY1","Q10.7.7_3")</f>
        <v>Q10.7.7_3</v>
      </c>
      <c r="T207" s="93" t="str">
        <f>HYPERLINK("#'Retirement, NQDC, Finances'!GY2","Financial subsidies for non-employment/relocation services: Rental payments")</f>
        <v>Financial subsidies for non-employment/relocation services: Rental payments</v>
      </c>
      <c r="U207" s="3" t="str">
        <f>HYPERLINK("#'Time Off'!GY1","Q11.10.5")</f>
        <v>Q11.10.5</v>
      </c>
      <c r="V207" s="93" t="str">
        <f>HYPERLINK("#'Time Off'!GY2","Sabbatical benefit offering")</f>
        <v>Sabbatical benefit offering</v>
      </c>
      <c r="W207" s="3" t="str">
        <f>HYPERLINK("#'Vendors'!GY1","Q12.10.5")</f>
        <v>Q12.10.5</v>
      </c>
      <c r="X207" s="93" t="str">
        <f>HYPERLINK("#'Vendors'!GY2","Medical administration/support vendors employed: Premium payment")</f>
        <v>Medical administration/support vendors employed: Premium payment</v>
      </c>
    </row>
    <row r="208" spans="1:24" ht="25.5" x14ac:dyDescent="0.2">
      <c r="A208" s="6"/>
      <c r="B208" s="7"/>
      <c r="C208" s="96" t="str">
        <f>HYPERLINK("#'Enrollment, Eligib. &amp; Cost'!GZ1","Q2.5.6")</f>
        <v>Q2.5.6</v>
      </c>
      <c r="D208" s="93" t="str">
        <f>HYPERLINK("#'Enrollment, Eligib. &amp; Cost'!GZ2","Number of vision plans offered")</f>
        <v>Number of vision plans offered</v>
      </c>
      <c r="E208" s="6"/>
      <c r="F208" s="7"/>
      <c r="G208" s="6"/>
      <c r="H208" s="7"/>
      <c r="I208" s="96" t="str">
        <f>HYPERLINK("#'Other Benefits'!GZ1","Q5.4.25_15")</f>
        <v>Q5.4.25_15</v>
      </c>
      <c r="J208" s="93" t="str">
        <f>HYPERLINK("#'Other Benefits'!GZ2","Convenience benefits offered:  Identity theft protection")</f>
        <v>Convenience benefits offered:  Identity theft protection</v>
      </c>
      <c r="K208" s="3" t="str">
        <f>HYPERLINK("#'Healthcare'!GZ1","Q6.2.42_6_2")</f>
        <v>Q6.2.42_6_2</v>
      </c>
      <c r="L208" s="93" t="str">
        <f>HYPERLINK("#'Healthcare'!GZ2","Primary PPO medical plan - specialty copayment: Retail/pharmacy out-of-network")</f>
        <v>Primary PPO medical plan - specialty copayment: Retail/pharmacy out-of-network</v>
      </c>
      <c r="M208" s="6"/>
      <c r="N208" s="7"/>
      <c r="O208" s="6"/>
      <c r="P208" s="7"/>
      <c r="Q208" s="6"/>
      <c r="R208" s="7"/>
      <c r="S208" s="96" t="str">
        <f>HYPERLINK("#'Retirement, NQDC, Finances'!GZ1","Q10.7.8")</f>
        <v>Q10.7.8</v>
      </c>
      <c r="T208" s="93" t="str">
        <f>HYPERLINK("#'Retirement, NQDC, Finances'!GZ2","Financial assistance offered following natural disasters")</f>
        <v>Financial assistance offered following natural disasters</v>
      </c>
      <c r="U208" s="3" t="str">
        <f>HYPERLINK("#'Time Off'!GZ1","Q11.10.6")</f>
        <v>Q11.10.6</v>
      </c>
      <c r="V208" s="93" t="str">
        <f>HYPERLINK("#'Time Off'!GZ2","Employees on performance improvement plan sabbatical eligibility")</f>
        <v>Employees on performance improvement plan sabbatical eligibility</v>
      </c>
      <c r="W208" s="3" t="str">
        <f>HYPERLINK("#'Vendors'!GZ1","Q12.10.5_28_TEXT")</f>
        <v>Q12.10.5_28_TEXT</v>
      </c>
      <c r="X208" s="93" t="str">
        <f>HYPERLINK("#'Vendors'!GZ2","Other medical administration/support vendors employed: Premium payment")</f>
        <v>Other medical administration/support vendors employed: Premium payment</v>
      </c>
    </row>
    <row r="209" spans="1:24" ht="25.5" x14ac:dyDescent="0.2">
      <c r="A209" s="6"/>
      <c r="B209" s="7"/>
      <c r="C209" s="96" t="str">
        <f>HYPERLINK("#'Enrollment, Eligib. &amp; Cost'!HA1","Q2.5.7_1")</f>
        <v>Q2.5.7_1</v>
      </c>
      <c r="D209" s="93" t="str">
        <f>HYPERLINK("#'Enrollment, Eligib. &amp; Cost'!HA2","Total monthly premium for vision plan with highest enrollment: Waive or opt out")</f>
        <v>Total monthly premium for vision plan with highest enrollment: Waive or opt out</v>
      </c>
      <c r="E209" s="6"/>
      <c r="F209" s="7"/>
      <c r="G209" s="6"/>
      <c r="H209" s="7"/>
      <c r="I209" s="96" t="str">
        <f>HYPERLINK("#'Other Benefits'!HA1","Q5.4.25_16")</f>
        <v>Q5.4.25_16</v>
      </c>
      <c r="J209" s="93" t="str">
        <f>HYPERLINK("#'Other Benefits'!HA2","Convenience benefits offered:  Hair salon")</f>
        <v>Convenience benefits offered:  Hair salon</v>
      </c>
      <c r="K209" s="3" t="str">
        <f>HYPERLINK("#'Healthcare'!HA1","Q6.2.42_6_3")</f>
        <v>Q6.2.42_6_3</v>
      </c>
      <c r="L209" s="93" t="str">
        <f>HYPERLINK("#'Healthcare'!HA2","Primary PPO medical plan - specialty copayment: Mail order  in-network")</f>
        <v>Primary PPO medical plan - specialty copayment: Mail order  in-network</v>
      </c>
      <c r="M209" s="6"/>
      <c r="N209" s="7"/>
      <c r="O209" s="6"/>
      <c r="P209" s="7"/>
      <c r="Q209" s="6"/>
      <c r="R209" s="7"/>
      <c r="S209" s="96" t="str">
        <f>HYPERLINK("#'Retirement, NQDC, Finances'!HA1","Q10.7.9")</f>
        <v>Q10.7.9</v>
      </c>
      <c r="T209" s="93" t="str">
        <f>HYPERLINK("#'Retirement, NQDC, Finances'!HA2","Type of assistance offered following natural disasters")</f>
        <v>Type of assistance offered following natural disasters</v>
      </c>
      <c r="U209" s="3" t="str">
        <f>HYPERLINK("#'Time Off'!HA1","Q11.11.2_1")</f>
        <v>Q11.11.2_1</v>
      </c>
      <c r="V209" s="93" t="str">
        <f>HYPERLINK("#'Time Off'!HA2","Flexible work schedule offered by company: Ongoing part-time schedule")</f>
        <v>Flexible work schedule offered by company: Ongoing part-time schedule</v>
      </c>
      <c r="W209" s="3" t="str">
        <f>HYPERLINK("#'Vendors'!HA1","Q12.10.6")</f>
        <v>Q12.10.6</v>
      </c>
      <c r="X209" s="93" t="str">
        <f>HYPERLINK("#'Vendors'!HA2","Medical administration/support vendors employed: Benefit call center/member support")</f>
        <v>Medical administration/support vendors employed: Benefit call center/member support</v>
      </c>
    </row>
    <row r="210" spans="1:24" ht="25.5" x14ac:dyDescent="0.2">
      <c r="A210" s="6"/>
      <c r="B210" s="7"/>
      <c r="C210" s="96" t="str">
        <f>HYPERLINK("#'Enrollment, Eligib. &amp; Cost'!HB1","Q2.5.7_2")</f>
        <v>Q2.5.7_2</v>
      </c>
      <c r="D210" s="93" t="str">
        <f>HYPERLINK("#'Enrollment, Eligib. &amp; Cost'!HB2","Total monthly premium for vision plan with highest enrollment: Employee only")</f>
        <v>Total monthly premium for vision plan with highest enrollment: Employee only</v>
      </c>
      <c r="E210" s="6"/>
      <c r="F210" s="7"/>
      <c r="G210" s="6"/>
      <c r="H210" s="7"/>
      <c r="I210" s="96" t="str">
        <f>HYPERLINK("#'Other Benefits'!HB1","Q5.4.25_17")</f>
        <v>Q5.4.25_17</v>
      </c>
      <c r="J210" s="93" t="str">
        <f>HYPERLINK("#'Other Benefits'!HB2","Convenience benefits offered:  Personal property insurance (e.g., home, auto, etc.)")</f>
        <v>Convenience benefits offered:  Personal property insurance (e.g., home, auto, etc.)</v>
      </c>
      <c r="K210" s="3" t="str">
        <f>HYPERLINK("#'Healthcare'!HB1","Q6.2.42_6_4")</f>
        <v>Q6.2.42_6_4</v>
      </c>
      <c r="L210" s="93" t="str">
        <f>HYPERLINK("#'Healthcare'!HB2","Primary PPO medical plan - specialty copayment: Mail order out-of-network")</f>
        <v>Primary PPO medical plan - specialty copayment: Mail order out-of-network</v>
      </c>
      <c r="M210" s="6"/>
      <c r="N210" s="7"/>
      <c r="O210" s="6"/>
      <c r="P210" s="7"/>
      <c r="Q210" s="6"/>
      <c r="R210" s="7"/>
      <c r="S210" s="96" t="str">
        <f>HYPERLINK("#'Retirement, NQDC, Finances'!HB1","Q10.7.9_10_TEXT")</f>
        <v>Q10.7.9_10_TEXT</v>
      </c>
      <c r="T210" s="93" t="str">
        <f>HYPERLINK("#'Retirement, NQDC, Finances'!HB2","Type of assistance offered following natural disasters: Other")</f>
        <v>Type of assistance offered following natural disasters: Other</v>
      </c>
      <c r="U210" s="3" t="str">
        <f>HYPERLINK("#'Time Off'!HB1","Q11.11.2_2")</f>
        <v>Q11.11.2_2</v>
      </c>
      <c r="V210" s="93" t="str">
        <f>HYPERLINK("#'Time Off'!HB2","Flexible work schedule offered by company: Telecommuting")</f>
        <v>Flexible work schedule offered by company: Telecommuting</v>
      </c>
      <c r="W210" s="3" t="str">
        <f>HYPERLINK("#'Vendors'!HB1","Q12.10.6_28_TEXT")</f>
        <v>Q12.10.6_28_TEXT</v>
      </c>
      <c r="X210" s="93" t="str">
        <f>HYPERLINK("#'Vendors'!HB2","Other medical administration/support vendors employed: Benefit call center/member support")</f>
        <v>Other medical administration/support vendors employed: Benefit call center/member support</v>
      </c>
    </row>
    <row r="211" spans="1:24" ht="38.25" x14ac:dyDescent="0.2">
      <c r="A211" s="6"/>
      <c r="B211" s="7"/>
      <c r="C211" s="96" t="str">
        <f>HYPERLINK("#'Enrollment, Eligib. &amp; Cost'!HC1","Q2.5.7_3")</f>
        <v>Q2.5.7_3</v>
      </c>
      <c r="D211" s="93" t="str">
        <f>HYPERLINK("#'Enrollment, Eligib. &amp; Cost'!HC2","Total monthly premium for vision plan with highest enrollment: Employee + spouse/DP")</f>
        <v>Total monthly premium for vision plan with highest enrollment: Employee + spouse/DP</v>
      </c>
      <c r="E211" s="6"/>
      <c r="F211" s="7"/>
      <c r="G211" s="6"/>
      <c r="H211" s="7"/>
      <c r="I211" s="96" t="str">
        <f>HYPERLINK("#'Other Benefits'!HC1","Q5.4.25_18")</f>
        <v>Q5.4.25_18</v>
      </c>
      <c r="J211" s="93" t="str">
        <f>HYPERLINK("#'Other Benefits'!HC2","Convenience benefits offered:  Postal service")</f>
        <v>Convenience benefits offered:  Postal service</v>
      </c>
      <c r="K211" s="3" t="str">
        <f>HYPERLINK("#'Healthcare'!HC1","Q6.2.42_7_1")</f>
        <v>Q6.2.42_7_1</v>
      </c>
      <c r="L211" s="93" t="str">
        <f>HYPERLINK("#'Healthcare'!HC2","Primary PPO medical plan - Other copayment: Retail/pharmacy in-network")</f>
        <v>Primary PPO medical plan - Other copayment: Retail/pharmacy in-network</v>
      </c>
      <c r="M211" s="6"/>
      <c r="N211" s="7"/>
      <c r="O211" s="6"/>
      <c r="P211" s="7"/>
      <c r="Q211" s="6"/>
      <c r="R211" s="7"/>
      <c r="S211" s="96" t="str">
        <f>HYPERLINK("#'Retirement, NQDC, Finances'!HC1","Q10.7.10")</f>
        <v>Q10.7.10</v>
      </c>
      <c r="T211" s="93" t="str">
        <f>HYPERLINK("#'Retirement, NQDC, Finances'!HC2","Stand-alone app or other personalized financial, budget, debt management tools available")</f>
        <v>Stand-alone app or other personalized financial, budget, debt management tools available</v>
      </c>
      <c r="U211" s="3" t="str">
        <f>HYPERLINK("#'Time Off'!HC1","Q11.11.2_3")</f>
        <v>Q11.11.2_3</v>
      </c>
      <c r="V211" s="93" t="str">
        <f>HYPERLINK("#'Time Off'!HC2","Flexible work schedule offered by company: Flexible work hours")</f>
        <v>Flexible work schedule offered by company: Flexible work hours</v>
      </c>
      <c r="W211" s="3" t="str">
        <f>HYPERLINK("#'Vendors'!HC1","Q12.10.7")</f>
        <v>Q12.10.7</v>
      </c>
      <c r="X211" s="93" t="str">
        <f>HYPERLINK("#'Vendors'!HC2","Medical administration/support vendor(s) terminated in 2021")</f>
        <v>Medical administration/support vendor(s) terminated in 2021</v>
      </c>
    </row>
    <row r="212" spans="1:24" ht="39" thickBot="1" x14ac:dyDescent="0.25">
      <c r="A212" s="6"/>
      <c r="B212" s="7"/>
      <c r="C212" s="96" t="str">
        <f>HYPERLINK("#'Enrollment, Eligib. &amp; Cost'!HD1","Q2.5.7_4")</f>
        <v>Q2.5.7_4</v>
      </c>
      <c r="D212" s="93" t="str">
        <f>HYPERLINK("#'Enrollment, Eligib. &amp; Cost'!HD2","Total monthly premium for vision plan with highest enrollment: Employee + spouse/DP or child(ren)")</f>
        <v>Total monthly premium for vision plan with highest enrollment: Employee + spouse/DP or child(ren)</v>
      </c>
      <c r="E212" s="6"/>
      <c r="F212" s="7"/>
      <c r="G212" s="6"/>
      <c r="H212" s="7"/>
      <c r="I212" s="96" t="str">
        <f>HYPERLINK("#'Other Benefits'!HD1","Q5.4.25_19")</f>
        <v>Q5.4.25_19</v>
      </c>
      <c r="J212" s="93" t="str">
        <f>HYPERLINK("#'Other Benefits'!HD2","Convenience benefits offered:  Notary")</f>
        <v>Convenience benefits offered:  Notary</v>
      </c>
      <c r="K212" s="3" t="str">
        <f>HYPERLINK("#'Healthcare'!HD1","Q6.2.42_7_2")</f>
        <v>Q6.2.42_7_2</v>
      </c>
      <c r="L212" s="93" t="str">
        <f>HYPERLINK("#'Healthcare'!HD2","Primary PPO medical plan - Other copayment: Retail/pharmacy out-of-network")</f>
        <v>Primary PPO medical plan - Other copayment: Retail/pharmacy out-of-network</v>
      </c>
      <c r="M212" s="6"/>
      <c r="N212" s="7"/>
      <c r="O212" s="6"/>
      <c r="P212" s="7"/>
      <c r="Q212" s="6"/>
      <c r="R212" s="7"/>
      <c r="S212" s="97" t="str">
        <f>HYPERLINK("#'Retirement, NQDC, Finances'!HD1","Q10.7.11")</f>
        <v>Q10.7.11</v>
      </c>
      <c r="T212" s="94" t="str">
        <f>HYPERLINK("#'Retirement, NQDC, Finances'!HD2","Stand-alone app or other tool offered")</f>
        <v>Stand-alone app or other tool offered</v>
      </c>
      <c r="U212" s="3" t="str">
        <f>HYPERLINK("#'Time Off'!HD1","Q11.11.2_4")</f>
        <v>Q11.11.2_4</v>
      </c>
      <c r="V212" s="112" t="str">
        <f>HYPERLINK("#'Time Off'!HD2","Flexible work schedule offered by company: Job sharing")</f>
        <v>Flexible work schedule offered by company: Job sharing</v>
      </c>
      <c r="W212" s="3" t="str">
        <f>HYPERLINK("#'Vendors'!HD1","Q12.10.8_1")</f>
        <v>Q12.10.8_1</v>
      </c>
      <c r="X212" s="93" t="str">
        <f>HYPERLINK("#'Vendors'!HD2","Terminated medical administration/support vendors: Enrollment administration")</f>
        <v>Terminated medical administration/support vendors: Enrollment administration</v>
      </c>
    </row>
    <row r="213" spans="1:24" ht="25.5" x14ac:dyDescent="0.2">
      <c r="A213" s="6"/>
      <c r="B213" s="7"/>
      <c r="C213" s="96" t="str">
        <f>HYPERLINK("#'Enrollment, Eligib. &amp; Cost'!HE1","Q2.5.7_5")</f>
        <v>Q2.5.7_5</v>
      </c>
      <c r="D213" s="93" t="str">
        <f>HYPERLINK("#'Enrollment, Eligib. &amp; Cost'!HE2","Total monthly premium for vision plan with highest enrollment: Employee + any child(ren)")</f>
        <v>Total monthly premium for vision plan with highest enrollment: Employee + any child(ren)</v>
      </c>
      <c r="E213" s="6"/>
      <c r="F213" s="7"/>
      <c r="G213" s="6"/>
      <c r="H213" s="7"/>
      <c r="I213" s="96" t="str">
        <f>HYPERLINK("#'Other Benefits'!HE1","Q5.4.25_20")</f>
        <v>Q5.4.25_20</v>
      </c>
      <c r="J213" s="93" t="str">
        <f>HYPERLINK("#'Other Benefits'!HE2","Convenience benefits offered:  Employee discounts for company products/merchandise")</f>
        <v>Convenience benefits offered:  Employee discounts for company products/merchandise</v>
      </c>
      <c r="K213" s="3" t="str">
        <f>HYPERLINK("#'Healthcare'!HE1","Q6.2.42_7_3")</f>
        <v>Q6.2.42_7_3</v>
      </c>
      <c r="L213" s="93" t="str">
        <f>HYPERLINK("#'Healthcare'!HE2","Primary PPO medical plan - Other copayment: Mail order  in-network")</f>
        <v>Primary PPO medical plan - Other copayment: Mail order  in-network</v>
      </c>
      <c r="M213" s="6"/>
      <c r="N213" s="7"/>
      <c r="O213" s="6"/>
      <c r="P213" s="7"/>
      <c r="Q213" s="6"/>
      <c r="R213" s="7"/>
      <c r="S213" s="6"/>
      <c r="T213" s="7"/>
      <c r="U213" s="96" t="str">
        <f>HYPERLINK("#'Time Off'!HE1","Q11.11.2_5")</f>
        <v>Q11.11.2_5</v>
      </c>
      <c r="V213" s="111" t="str">
        <f>HYPERLINK("#'Time Off'!HE2","Flexible work schedule offered by company: Compressed work schedules")</f>
        <v>Flexible work schedule offered by company: Compressed work schedules</v>
      </c>
      <c r="W213" s="3" t="str">
        <f>HYPERLINK("#'Vendors'!HE1","Q12.10.8_2")</f>
        <v>Q12.10.8_2</v>
      </c>
      <c r="X213" s="93" t="str">
        <f>HYPERLINK("#'Vendors'!HE2","Terminated medical administration/support vendors: Eligibility administration")</f>
        <v>Terminated medical administration/support vendors: Eligibility administration</v>
      </c>
    </row>
    <row r="214" spans="1:24" ht="25.5" x14ac:dyDescent="0.2">
      <c r="A214" s="6"/>
      <c r="B214" s="7"/>
      <c r="C214" s="96" t="str">
        <f>HYPERLINK("#'Enrollment, Eligib. &amp; Cost'!HF1","Q2.5.7_6")</f>
        <v>Q2.5.7_6</v>
      </c>
      <c r="D214" s="93" t="str">
        <f>HYPERLINK("#'Enrollment, Eligib. &amp; Cost'!HF2","Total monthly premium for vision plan with highest enrollment: Employee + 1 child")</f>
        <v>Total monthly premium for vision plan with highest enrollment: Employee + 1 child</v>
      </c>
      <c r="E214" s="6"/>
      <c r="F214" s="7"/>
      <c r="G214" s="6"/>
      <c r="H214" s="7"/>
      <c r="I214" s="96" t="str">
        <f>HYPERLINK("#'Other Benefits'!HF1","Q5.4.25_21")</f>
        <v>Q5.4.25_21</v>
      </c>
      <c r="J214" s="93" t="str">
        <f>HYPERLINK("#'Other Benefits'!HF2","Convenience benefits offered:  Company store")</f>
        <v>Convenience benefits offered:  Company store</v>
      </c>
      <c r="K214" s="3" t="str">
        <f>HYPERLINK("#'Healthcare'!HF1","Q6.2.42_7_4")</f>
        <v>Q6.2.42_7_4</v>
      </c>
      <c r="L214" s="93" t="str">
        <f>HYPERLINK("#'Healthcare'!HF2","Primary PPO medical plan - Other copayment: Mail order out-of-network")</f>
        <v>Primary PPO medical plan - Other copayment: Mail order out-of-network</v>
      </c>
      <c r="M214" s="6"/>
      <c r="N214" s="7"/>
      <c r="O214" s="6"/>
      <c r="P214" s="7"/>
      <c r="Q214" s="6"/>
      <c r="R214" s="7"/>
      <c r="S214" s="6"/>
      <c r="T214" s="7"/>
      <c r="U214" s="96" t="str">
        <f>HYPERLINK("#'Time Off'!HF1","Q11.11.3")</f>
        <v>Q11.11.3</v>
      </c>
      <c r="V214" s="93" t="str">
        <f>HYPERLINK("#'Time Off'!HF2","Flexible work schedules additional comments")</f>
        <v>Flexible work schedules additional comments</v>
      </c>
      <c r="W214" s="3" t="str">
        <f>HYPERLINK("#'Vendors'!HF1","Q12.10.8_3")</f>
        <v>Q12.10.8_3</v>
      </c>
      <c r="X214" s="93" t="str">
        <f>HYPERLINK("#'Vendors'!HF2","Terminated medical administration/support vendors: Premium payment reconciliation")</f>
        <v>Terminated medical administration/support vendors: Premium payment reconciliation</v>
      </c>
    </row>
    <row r="215" spans="1:24" ht="39" thickBot="1" x14ac:dyDescent="0.25">
      <c r="A215" s="6"/>
      <c r="B215" s="7"/>
      <c r="C215" s="96" t="str">
        <f>HYPERLINK("#'Enrollment, Eligib. &amp; Cost'!HG1","Q2.5.7_7")</f>
        <v>Q2.5.7_7</v>
      </c>
      <c r="D215" s="93" t="str">
        <f>HYPERLINK("#'Enrollment, Eligib. &amp; Cost'!HG2","Total monthly premium for vision plan with highest enrollment: Employee + 2 children")</f>
        <v>Total monthly premium for vision plan with highest enrollment: Employee + 2 children</v>
      </c>
      <c r="E215" s="6"/>
      <c r="F215" s="7"/>
      <c r="G215" s="6"/>
      <c r="H215" s="7"/>
      <c r="I215" s="96" t="str">
        <f>HYPERLINK("#'Other Benefits'!HG1","Q5.4.25_22")</f>
        <v>Q5.4.25_22</v>
      </c>
      <c r="J215" s="93" t="str">
        <f>HYPERLINK("#'Other Benefits'!HG2","Convenience benefits offered:  Convenience shopping (e.g., grocery, toiletries, etc.)")</f>
        <v>Convenience benefits offered:  Convenience shopping (e.g., grocery, toiletries, etc.)</v>
      </c>
      <c r="K215" s="3" t="str">
        <f>HYPERLINK("#'Healthcare'!HG1","Q6.2.43_1_1")</f>
        <v>Q6.2.43_1_1</v>
      </c>
      <c r="L215" s="93" t="str">
        <f>HYPERLINK("#'Healthcare'!HG2","Primary PPO medical plan tier 1 coinsurance: Retail/pharmacy - in-network")</f>
        <v>Primary PPO medical plan tier 1 coinsurance: Retail/pharmacy - in-network</v>
      </c>
      <c r="M215" s="6"/>
      <c r="N215" s="7"/>
      <c r="O215" s="6"/>
      <c r="P215" s="7"/>
      <c r="Q215" s="6"/>
      <c r="R215" s="7"/>
      <c r="S215" s="6"/>
      <c r="T215" s="7"/>
      <c r="U215" s="97" t="str">
        <f>HYPERLINK("#'Time Off'!HG1","Q11.11.4")</f>
        <v>Q11.11.4</v>
      </c>
      <c r="V215" s="94" t="str">
        <f>HYPERLINK("#'Time Off'!HG2","Degree to which organizational culture and work rules support flexible and virtual work schedules")</f>
        <v>Degree to which organizational culture and work rules support flexible and virtual work schedules</v>
      </c>
      <c r="W215" s="3" t="str">
        <f>HYPERLINK("#'Vendors'!HG1","Q12.10.8_4")</f>
        <v>Q12.10.8_4</v>
      </c>
      <c r="X215" s="93" t="str">
        <f>HYPERLINK("#'Vendors'!HG2","Terminated medical administration/support vendors: Premium payment")</f>
        <v>Terminated medical administration/support vendors: Premium payment</v>
      </c>
    </row>
    <row r="216" spans="1:24" ht="25.5" x14ac:dyDescent="0.2">
      <c r="A216" s="6"/>
      <c r="B216" s="7"/>
      <c r="C216" s="96" t="str">
        <f>HYPERLINK("#'Enrollment, Eligib. &amp; Cost'!HH1","Q2.5.7_8")</f>
        <v>Q2.5.7_8</v>
      </c>
      <c r="D216" s="93" t="str">
        <f>HYPERLINK("#'Enrollment, Eligib. &amp; Cost'!HH2","Total monthly premium for vision plan with highest enrollment: Employee + 3 children")</f>
        <v>Total monthly premium for vision plan with highest enrollment: Employee + 3 children</v>
      </c>
      <c r="E216" s="6"/>
      <c r="F216" s="7"/>
      <c r="G216" s="6"/>
      <c r="H216" s="7"/>
      <c r="I216" s="96" t="str">
        <f>HYPERLINK("#'Other Benefits'!HH1","Q5.4.25_23")</f>
        <v>Q5.4.25_23</v>
      </c>
      <c r="J216" s="93" t="str">
        <f>HYPERLINK("#'Other Benefits'!HH2","Convenience benefits offered:  Community discounts (e.g., movies, museums, etc.)")</f>
        <v>Convenience benefits offered:  Community discounts (e.g., movies, museums, etc.)</v>
      </c>
      <c r="K216" s="3" t="str">
        <f>HYPERLINK("#'Healthcare'!HH1","Q6.2.43_2_1")</f>
        <v>Q6.2.43_2_1</v>
      </c>
      <c r="L216" s="93" t="str">
        <f>HYPERLINK("#'Healthcare'!HH2","Primary PPO medical plan tier 2 coinsurance: Retail/pharmacy - in-network")</f>
        <v>Primary PPO medical plan tier 2 coinsurance: Retail/pharmacy - in-network</v>
      </c>
      <c r="M216" s="6"/>
      <c r="N216" s="7"/>
      <c r="O216" s="6"/>
      <c r="P216" s="7"/>
      <c r="Q216" s="6"/>
      <c r="R216" s="7"/>
      <c r="S216" s="6"/>
      <c r="T216" s="7"/>
      <c r="U216" s="87"/>
      <c r="V216" s="88"/>
      <c r="W216" s="96" t="str">
        <f>HYPERLINK("#'Vendors'!HH1","Q12.10.8_5")</f>
        <v>Q12.10.8_5</v>
      </c>
      <c r="X216" s="93" t="str">
        <f>HYPERLINK("#'Vendors'!HH2","Terminated medical administration/support vendors: Benefit call center/member support")</f>
        <v>Terminated medical administration/support vendors: Benefit call center/member support</v>
      </c>
    </row>
    <row r="217" spans="1:24" ht="25.5" x14ac:dyDescent="0.2">
      <c r="A217" s="6"/>
      <c r="B217" s="7"/>
      <c r="C217" s="96" t="str">
        <f>HYPERLINK("#'Enrollment, Eligib. &amp; Cost'!HI1","Q2.5.7_9")</f>
        <v>Q2.5.7_9</v>
      </c>
      <c r="D217" s="93" t="str">
        <f>HYPERLINK("#'Enrollment, Eligib. &amp; Cost'!HI2","Total monthly premium for vision plan with highest enrollment: Employee + 4 children")</f>
        <v>Total monthly premium for vision plan with highest enrollment: Employee + 4 children</v>
      </c>
      <c r="E217" s="6"/>
      <c r="F217" s="7"/>
      <c r="G217" s="6"/>
      <c r="H217" s="7"/>
      <c r="I217" s="96" t="str">
        <f>HYPERLINK("#'Other Benefits'!HI1","Q5.4.27")</f>
        <v>Q5.4.27</v>
      </c>
      <c r="J217" s="93" t="str">
        <f>HYPERLINK("#'Other Benefits'!HI2","Service awards: Years of work increments ")</f>
        <v xml:space="preserve">Service awards: Years of work increments </v>
      </c>
      <c r="K217" s="3" t="str">
        <f>HYPERLINK("#'Healthcare'!HI1","Q6.2.43_3_1")</f>
        <v>Q6.2.43_3_1</v>
      </c>
      <c r="L217" s="93" t="str">
        <f>HYPERLINK("#'Healthcare'!HI2","Primary PPO medical plan tier 3 coinsurance: Retail/pharmacy - in-network")</f>
        <v>Primary PPO medical plan tier 3 coinsurance: Retail/pharmacy - in-network</v>
      </c>
      <c r="M217" s="6"/>
      <c r="N217" s="7"/>
      <c r="O217" s="6"/>
      <c r="P217" s="7"/>
      <c r="Q217" s="6"/>
      <c r="R217" s="7"/>
      <c r="S217" s="6"/>
      <c r="T217" s="7"/>
      <c r="U217" s="87"/>
      <c r="V217" s="88"/>
      <c r="W217" s="96" t="str">
        <f>HYPERLINK("#'Vendors'!HI1","Q12.10.10")</f>
        <v>Q12.10.10</v>
      </c>
      <c r="X217" s="93" t="str">
        <f>HYPERLINK("#'Vendors'!HI2","Administration &amp; auditing vendors employed: Health savings account (HSA) administration")</f>
        <v>Administration &amp; auditing vendors employed: Health savings account (HSA) administration</v>
      </c>
    </row>
    <row r="218" spans="1:24" ht="38.25" x14ac:dyDescent="0.2">
      <c r="A218" s="6"/>
      <c r="B218" s="7"/>
      <c r="C218" s="96" t="str">
        <f>HYPERLINK("#'Enrollment, Eligib. &amp; Cost'!HJ1","Q2.5.7_10")</f>
        <v>Q2.5.7_10</v>
      </c>
      <c r="D218" s="93" t="str">
        <f>HYPERLINK("#'Enrollment, Eligib. &amp; Cost'!HJ2","Total monthly premium for vision plan with highest enrollment: Employee + 5 children")</f>
        <v>Total monthly premium for vision plan with highest enrollment: Employee + 5 children</v>
      </c>
      <c r="E218" s="6"/>
      <c r="F218" s="7"/>
      <c r="G218" s="6"/>
      <c r="H218" s="7"/>
      <c r="I218" s="96" t="str">
        <f>HYPERLINK("#'Other Benefits'!HJ1","Q5.4.28")</f>
        <v>Q5.4.28</v>
      </c>
      <c r="J218" s="93" t="str">
        <f>HYPERLINK("#'Other Benefits'!HJ2","Method of service milestone recognition")</f>
        <v>Method of service milestone recognition</v>
      </c>
      <c r="K218" s="3" t="str">
        <f>HYPERLINK("#'Healthcare'!HJ1","Q6.2.43_4_1")</f>
        <v>Q6.2.43_4_1</v>
      </c>
      <c r="L218" s="93" t="str">
        <f>HYPERLINK("#'Healthcare'!HJ2","Primary PPO medical plan tier 4 coinsurance: Retail/pharmacy - in-network")</f>
        <v>Primary PPO medical plan tier 4 coinsurance: Retail/pharmacy - in-network</v>
      </c>
      <c r="M218" s="6"/>
      <c r="N218" s="7"/>
      <c r="O218" s="6"/>
      <c r="P218" s="7"/>
      <c r="Q218" s="6"/>
      <c r="R218" s="7"/>
      <c r="S218" s="6"/>
      <c r="T218" s="7"/>
      <c r="U218" s="6"/>
      <c r="V218" s="7"/>
      <c r="W218" s="96" t="str">
        <f>HYPERLINK("#'Vendors'!HJ1","Q12.10.10_58_TEXT")</f>
        <v>Q12.10.10_58_TEXT</v>
      </c>
      <c r="X218" s="93" t="str">
        <f>HYPERLINK("#'Vendors'!HJ2","Other administration &amp; auditing vendors employed: Health savings account (HSA) administration")</f>
        <v>Other administration &amp; auditing vendors employed: Health savings account (HSA) administration</v>
      </c>
    </row>
    <row r="219" spans="1:24" ht="38.25" x14ac:dyDescent="0.2">
      <c r="A219" s="6"/>
      <c r="B219" s="7"/>
      <c r="C219" s="96" t="str">
        <f>HYPERLINK("#'Enrollment, Eligib. &amp; Cost'!HK1","Q2.5.7_11")</f>
        <v>Q2.5.7_11</v>
      </c>
      <c r="D219" s="93" t="str">
        <f>HYPERLINK("#'Enrollment, Eligib. &amp; Cost'!HK2","Total monthly premium for vision plan with highest enrollment: Family (employee + spouse/DP + dependent) with any child(ren)")</f>
        <v>Total monthly premium for vision plan with highest enrollment: Family (employee + spouse/DP + dependent) with any child(ren)</v>
      </c>
      <c r="E219" s="6"/>
      <c r="F219" s="7"/>
      <c r="G219" s="6"/>
      <c r="H219" s="7"/>
      <c r="I219" s="96" t="str">
        <f>HYPERLINK("#'Other Benefits'!HK1","Q5.4.29")</f>
        <v>Q5.4.29</v>
      </c>
      <c r="J219" s="93" t="str">
        <f>HYPERLINK("#'Other Benefits'!HK2","Amount of cash provided for each milestone")</f>
        <v>Amount of cash provided for each milestone</v>
      </c>
      <c r="K219" s="3" t="str">
        <f>HYPERLINK("#'Healthcare'!HK1","Q6.2.43_5_1")</f>
        <v>Q6.2.43_5_1</v>
      </c>
      <c r="L219" s="93" t="str">
        <f>HYPERLINK("#'Healthcare'!HK2","Primary PPO medical plan tier 5 coinsurance: Retail/pharmacy - in-network")</f>
        <v>Primary PPO medical plan tier 5 coinsurance: Retail/pharmacy - in-network</v>
      </c>
      <c r="M219" s="6"/>
      <c r="N219" s="7"/>
      <c r="O219" s="6"/>
      <c r="P219" s="7"/>
      <c r="Q219" s="6"/>
      <c r="R219" s="7"/>
      <c r="S219" s="6"/>
      <c r="T219" s="7"/>
      <c r="U219" s="6"/>
      <c r="V219" s="7"/>
      <c r="W219" s="96" t="str">
        <f>HYPERLINK("#'Vendors'!HK1","Q12.10.11")</f>
        <v>Q12.10.11</v>
      </c>
      <c r="X219" s="93" t="str">
        <f>HYPERLINK("#'Vendors'!HK2","Administration &amp; auditing vendors employed: Flexible spending account (FSA) administration")</f>
        <v>Administration &amp; auditing vendors employed: Flexible spending account (FSA) administration</v>
      </c>
    </row>
    <row r="220" spans="1:24" ht="38.25" x14ac:dyDescent="0.2">
      <c r="A220" s="6"/>
      <c r="B220" s="7"/>
      <c r="C220" s="96" t="str">
        <f>HYPERLINK("#'Enrollment, Eligib. &amp; Cost'!HL1","Q2.5.7_12")</f>
        <v>Q2.5.7_12</v>
      </c>
      <c r="D220" s="93" t="str">
        <f>HYPERLINK("#'Enrollment, Eligib. &amp; Cost'!HL2","Total monthly premium for vision plan with highest enrollment: Family (employee + spouse/DP + dependent) with 1 child")</f>
        <v>Total monthly premium for vision plan with highest enrollment: Family (employee + spouse/DP + dependent) with 1 child</v>
      </c>
      <c r="E220" s="6"/>
      <c r="F220" s="7"/>
      <c r="G220" s="6"/>
      <c r="H220" s="7"/>
      <c r="I220" s="96" t="str">
        <f>HYPERLINK("#'Other Benefits'!HL1","Q5.4.30")</f>
        <v>Q5.4.30</v>
      </c>
      <c r="J220" s="93" t="str">
        <f>HYPERLINK("#'Other Benefits'!HL2","Amount of additional time off provided for each milestone")</f>
        <v>Amount of additional time off provided for each milestone</v>
      </c>
      <c r="K220" s="3" t="str">
        <f>HYPERLINK("#'Healthcare'!HL1","Q6.2.43_6_1")</f>
        <v>Q6.2.43_6_1</v>
      </c>
      <c r="L220" s="93" t="str">
        <f>HYPERLINK("#'Healthcare'!HL2","Primary PPO medical plan specialty coinsurance: Retail/pharmacy - in-network")</f>
        <v>Primary PPO medical plan specialty coinsurance: Retail/pharmacy - in-network</v>
      </c>
      <c r="M220" s="6"/>
      <c r="N220" s="7"/>
      <c r="O220" s="6"/>
      <c r="P220" s="7"/>
      <c r="Q220" s="6"/>
      <c r="R220" s="7"/>
      <c r="S220" s="6"/>
      <c r="T220" s="7"/>
      <c r="U220" s="6"/>
      <c r="V220" s="7"/>
      <c r="W220" s="96" t="str">
        <f>HYPERLINK("#'Vendors'!HL1","Q12.10.11_58_TEXT")</f>
        <v>Q12.10.11_58_TEXT</v>
      </c>
      <c r="X220" s="93" t="str">
        <f>HYPERLINK("#'Vendors'!HL2","Other administration &amp; auditing vendors employed: Flexible spending account (FSA) administration")</f>
        <v>Other administration &amp; auditing vendors employed: Flexible spending account (FSA) administration</v>
      </c>
    </row>
    <row r="221" spans="1:24" ht="38.25" x14ac:dyDescent="0.2">
      <c r="A221" s="6"/>
      <c r="B221" s="7"/>
      <c r="C221" s="96" t="str">
        <f>HYPERLINK("#'Enrollment, Eligib. &amp; Cost'!HM1","Q2.5.7_13")</f>
        <v>Q2.5.7_13</v>
      </c>
      <c r="D221" s="93" t="str">
        <f>HYPERLINK("#'Enrollment, Eligib. &amp; Cost'!HM2","Total monthly premium for vision plan with highest enrollment: Family (employee + spouse/DP + dependent) with 2 child(ren)")</f>
        <v>Total monthly premium for vision plan with highest enrollment: Family (employee + spouse/DP + dependent) with 2 child(ren)</v>
      </c>
      <c r="E221" s="6"/>
      <c r="F221" s="7"/>
      <c r="G221" s="6"/>
      <c r="H221" s="7"/>
      <c r="I221" s="96" t="str">
        <f>HYPERLINK("#'Other Benefits'!HM1","Q5.4.31")</f>
        <v>Q5.4.31</v>
      </c>
      <c r="J221" s="93" t="str">
        <f>HYPERLINK("#'Other Benefits'!HM2","Gifts/experiences provided for each milestone")</f>
        <v>Gifts/experiences provided for each milestone</v>
      </c>
      <c r="K221" s="3" t="str">
        <f>HYPERLINK("#'Healthcare'!HM1","Q6.2.43_7_1")</f>
        <v>Q6.2.43_7_1</v>
      </c>
      <c r="L221" s="93" t="str">
        <f>HYPERLINK("#'Healthcare'!HM2","Primary PPO medical plan Other coinsurance: Retail/pharmacy - in-network")</f>
        <v>Primary PPO medical plan Other coinsurance: Retail/pharmacy - in-network</v>
      </c>
      <c r="M221" s="6"/>
      <c r="N221" s="7"/>
      <c r="O221" s="6"/>
      <c r="P221" s="7"/>
      <c r="Q221" s="6"/>
      <c r="R221" s="7"/>
      <c r="S221" s="6"/>
      <c r="T221" s="7"/>
      <c r="U221" s="6"/>
      <c r="V221" s="7"/>
      <c r="W221" s="96" t="str">
        <f>HYPERLINK("#'Vendors'!HM1","Q12.10.12")</f>
        <v>Q12.10.12</v>
      </c>
      <c r="X221" s="93" t="str">
        <f>HYPERLINK("#'Vendors'!HM2","Administration &amp; auditing vendors employed: COBRA administration")</f>
        <v>Administration &amp; auditing vendors employed: COBRA administration</v>
      </c>
    </row>
    <row r="222" spans="1:24" ht="38.25" x14ac:dyDescent="0.2">
      <c r="A222" s="6"/>
      <c r="B222" s="7"/>
      <c r="C222" s="96" t="str">
        <f>HYPERLINK("#'Enrollment, Eligib. &amp; Cost'!HN1","Q2.5.7_14")</f>
        <v>Q2.5.7_14</v>
      </c>
      <c r="D222" s="93" t="str">
        <f>HYPERLINK("#'Enrollment, Eligib. &amp; Cost'!HN2","Total monthly premium for vision plan with highest enrollment: Family (employee + spouse/DP + dependent) with 3 child(ren)")</f>
        <v>Total monthly premium for vision plan with highest enrollment: Family (employee + spouse/DP + dependent) with 3 child(ren)</v>
      </c>
      <c r="E222" s="6"/>
      <c r="F222" s="7"/>
      <c r="G222" s="6"/>
      <c r="H222" s="7"/>
      <c r="I222" s="96" t="str">
        <f>HYPERLINK("#'Other Benefits'!HN1","Q5.4.32")</f>
        <v>Q5.4.32</v>
      </c>
      <c r="J222" s="93" t="str">
        <f>HYPERLINK("#'Other Benefits'!HN2","Other methods of recognizing service milestones")</f>
        <v>Other methods of recognizing service milestones</v>
      </c>
      <c r="K222" s="3" t="str">
        <f>HYPERLINK("#'Healthcare'!HN1","Q6.2.44_1_1")</f>
        <v>Q6.2.44_1_1</v>
      </c>
      <c r="L222" s="93" t="str">
        <f>HYPERLINK("#'Healthcare'!HN2","Primary PPO medical plan tier 1 coinsurance minimum: Retail/pharmacy - in-network")</f>
        <v>Primary PPO medical plan tier 1 coinsurance minimum: Retail/pharmacy - in-network</v>
      </c>
      <c r="M222" s="6"/>
      <c r="N222" s="7"/>
      <c r="O222" s="6"/>
      <c r="P222" s="7"/>
      <c r="Q222" s="6"/>
      <c r="R222" s="7"/>
      <c r="S222" s="6"/>
      <c r="T222" s="7"/>
      <c r="U222" s="6"/>
      <c r="V222" s="7"/>
      <c r="W222" s="96" t="str">
        <f>HYPERLINK("#'Vendors'!HN1","Q12.10.12_58_TEXT")</f>
        <v>Q12.10.12_58_TEXT</v>
      </c>
      <c r="X222" s="93" t="str">
        <f>HYPERLINK("#'Vendors'!HN2","Other administration &amp; auditing vendors employed: COBRA administration")</f>
        <v>Other administration &amp; auditing vendors employed: COBRA administration</v>
      </c>
    </row>
    <row r="223" spans="1:24" ht="38.25" x14ac:dyDescent="0.2">
      <c r="A223" s="6"/>
      <c r="B223" s="7"/>
      <c r="C223" s="96" t="str">
        <f>HYPERLINK("#'Enrollment, Eligib. &amp; Cost'!HO1","Q2.5.7_15")</f>
        <v>Q2.5.7_15</v>
      </c>
      <c r="D223" s="93" t="str">
        <f>HYPERLINK("#'Enrollment, Eligib. &amp; Cost'!HO2","Total monthly premium for vision plan with highest enrollment: Family (employee + spouse/DP + dependent) with 4 child(ren)")</f>
        <v>Total monthly premium for vision plan with highest enrollment: Family (employee + spouse/DP + dependent) with 4 child(ren)</v>
      </c>
      <c r="E223" s="6"/>
      <c r="F223" s="7"/>
      <c r="G223" s="6"/>
      <c r="H223" s="7"/>
      <c r="I223" s="96" t="str">
        <f>HYPERLINK("#'Other Benefits'!HO1","Q5.4.34")</f>
        <v>Q5.4.34</v>
      </c>
      <c r="J223" s="93" t="str">
        <f>HYPERLINK("#'Other Benefits'!HO2","Workplace flexibility determination")</f>
        <v>Workplace flexibility determination</v>
      </c>
      <c r="K223" s="3" t="str">
        <f>HYPERLINK("#'Healthcare'!HO1","Q6.2.44_1_2")</f>
        <v>Q6.2.44_1_2</v>
      </c>
      <c r="L223" s="93" t="str">
        <f>HYPERLINK("#'Healthcare'!HO2","Primary PPO medical plan tier 1 coinsurance maximum: Retail/pharmacy - in-network")</f>
        <v>Primary PPO medical plan tier 1 coinsurance maximum: Retail/pharmacy - in-network</v>
      </c>
      <c r="M223" s="6"/>
      <c r="N223" s="7"/>
      <c r="O223" s="6"/>
      <c r="P223" s="7"/>
      <c r="Q223" s="6"/>
      <c r="R223" s="7"/>
      <c r="S223" s="6"/>
      <c r="T223" s="7"/>
      <c r="U223" s="6"/>
      <c r="V223" s="7"/>
      <c r="W223" s="96" t="str">
        <f>HYPERLINK("#'Vendors'!HO1","Q12.10.13")</f>
        <v>Q12.10.13</v>
      </c>
      <c r="X223" s="93" t="str">
        <f>HYPERLINK("#'Vendors'!HO2","Administration &amp; auditing vendors employed: Health plan auditors")</f>
        <v>Administration &amp; auditing vendors employed: Health plan auditors</v>
      </c>
    </row>
    <row r="224" spans="1:24" ht="38.25" x14ac:dyDescent="0.2">
      <c r="A224" s="6"/>
      <c r="B224" s="7"/>
      <c r="C224" s="96" t="str">
        <f>HYPERLINK("#'Enrollment, Eligib. &amp; Cost'!HP1","Q2.5.7_16")</f>
        <v>Q2.5.7_16</v>
      </c>
      <c r="D224" s="93" t="str">
        <f>HYPERLINK("#'Enrollment, Eligib. &amp; Cost'!HP2","Total monthly premium for vision plan with highest enrollment: Family (employee + spouse/DP + dependent) with 5 child(ren)")</f>
        <v>Total monthly premium for vision plan with highest enrollment: Family (employee + spouse/DP + dependent) with 5 child(ren)</v>
      </c>
      <c r="E224" s="6"/>
      <c r="F224" s="7"/>
      <c r="G224" s="6"/>
      <c r="H224" s="7"/>
      <c r="I224" s="96" t="str">
        <f>HYPERLINK("#'Other Benefits'!HP1","Q5.5.2")</f>
        <v>Q5.5.2</v>
      </c>
      <c r="J224" s="93" t="str">
        <f>HYPERLINK("#'Other Benefits'!HP2","Severance benefits offered")</f>
        <v>Severance benefits offered</v>
      </c>
      <c r="K224" s="3" t="str">
        <f>HYPERLINK("#'Healthcare'!HP1","Q6.2.44_2_1")</f>
        <v>Q6.2.44_2_1</v>
      </c>
      <c r="L224" s="93" t="str">
        <f>HYPERLINK("#'Healthcare'!HP2","Primary PPO medical plan tier 2 coinsurance minimum: Retail/pharmacy - in-network")</f>
        <v>Primary PPO medical plan tier 2 coinsurance minimum: Retail/pharmacy - in-network</v>
      </c>
      <c r="M224" s="6"/>
      <c r="N224" s="7"/>
      <c r="O224" s="6"/>
      <c r="P224" s="7"/>
      <c r="Q224" s="6"/>
      <c r="R224" s="7"/>
      <c r="S224" s="6"/>
      <c r="T224" s="7"/>
      <c r="U224" s="6"/>
      <c r="V224" s="7"/>
      <c r="W224" s="96" t="str">
        <f>HYPERLINK("#'Vendors'!HP1","Q12.10.13_58_TEXT")</f>
        <v>Q12.10.13_58_TEXT</v>
      </c>
      <c r="X224" s="93" t="str">
        <f>HYPERLINK("#'Vendors'!HP2","Other administration &amp; auditing vendors employed: Health plan auditors")</f>
        <v>Other administration &amp; auditing vendors employed: Health plan auditors</v>
      </c>
    </row>
    <row r="225" spans="1:24" ht="25.5" x14ac:dyDescent="0.2">
      <c r="A225" s="6"/>
      <c r="B225" s="7"/>
      <c r="C225" s="96" t="str">
        <f>HYPERLINK("#'Enrollment, Eligib. &amp; Cost'!HQ1","Q2.5.8")</f>
        <v>Q2.5.8</v>
      </c>
      <c r="D225" s="93" t="str">
        <f>HYPERLINK("#'Enrollment, Eligib. &amp; Cost'!HQ2","Percentage of vision plan premium paid by company")</f>
        <v>Percentage of vision plan premium paid by company</v>
      </c>
      <c r="E225" s="6"/>
      <c r="F225" s="7"/>
      <c r="G225" s="6"/>
      <c r="H225" s="7"/>
      <c r="I225" s="96" t="str">
        <f>HYPERLINK("#'Other Benefits'!HQ1","Q5.5.3")</f>
        <v>Q5.5.3</v>
      </c>
      <c r="J225" s="93" t="str">
        <f>HYPERLINK("#'Other Benefits'!HQ2","Employment criteria used to determine severance benefits ")</f>
        <v xml:space="preserve">Employment criteria used to determine severance benefits </v>
      </c>
      <c r="K225" s="3" t="str">
        <f>HYPERLINK("#'Healthcare'!HQ1","Q6.2.44_2_2")</f>
        <v>Q6.2.44_2_2</v>
      </c>
      <c r="L225" s="93" t="str">
        <f>HYPERLINK("#'Healthcare'!HQ2","Primary PPO medical plan tier 2 coinsurance maximum: Retail/pharmacy - in-network")</f>
        <v>Primary PPO medical plan tier 2 coinsurance maximum: Retail/pharmacy - in-network</v>
      </c>
      <c r="M225" s="6"/>
      <c r="N225" s="7"/>
      <c r="O225" s="6"/>
      <c r="P225" s="7"/>
      <c r="Q225" s="6"/>
      <c r="R225" s="7"/>
      <c r="S225" s="6"/>
      <c r="T225" s="7"/>
      <c r="U225" s="6"/>
      <c r="V225" s="7"/>
      <c r="W225" s="96" t="str">
        <f>HYPERLINK("#'Vendors'!HQ1","Q12.10.14")</f>
        <v>Q12.10.14</v>
      </c>
      <c r="X225" s="93" t="str">
        <f>HYPERLINK("#'Vendors'!HQ2","Administration &amp; auditing vendors employed: 401(k) plan auditors")</f>
        <v>Administration &amp; auditing vendors employed: 401(k) plan auditors</v>
      </c>
    </row>
    <row r="226" spans="1:24" ht="25.5" x14ac:dyDescent="0.2">
      <c r="A226" s="6"/>
      <c r="B226" s="7"/>
      <c r="C226" s="96" t="str">
        <f>HYPERLINK("#'Enrollment, Eligib. &amp; Cost'!HR1","Q2.6.2")</f>
        <v>Q2.6.2</v>
      </c>
      <c r="D226" s="93" t="str">
        <f>HYPERLINK("#'Enrollment, Eligib. &amp; Cost'!HR2","Stop loss used to mitigate financial risk of self-insured medical plans")</f>
        <v>Stop loss used to mitigate financial risk of self-insured medical plans</v>
      </c>
      <c r="E226" s="6"/>
      <c r="F226" s="7"/>
      <c r="G226" s="6"/>
      <c r="H226" s="7"/>
      <c r="I226" s="96" t="str">
        <f>HYPERLINK("#'Other Benefits'!HR1","Q5.5.4_1")</f>
        <v>Q5.5.4_1</v>
      </c>
      <c r="J226" s="93" t="str">
        <f>HYPERLINK("#'Other Benefits'!HR2","Benefits included with severance: Job search time")</f>
        <v>Benefits included with severance: Job search time</v>
      </c>
      <c r="K226" s="3" t="str">
        <f>HYPERLINK("#'Healthcare'!HR1","Q6.2.44_3_1")</f>
        <v>Q6.2.44_3_1</v>
      </c>
      <c r="L226" s="93" t="str">
        <f>HYPERLINK("#'Healthcare'!HR2","Primary PPO medical plan tier 3 coinsurance minimum: Retail/pharmacy - in-network")</f>
        <v>Primary PPO medical plan tier 3 coinsurance minimum: Retail/pharmacy - in-network</v>
      </c>
      <c r="M226" s="6"/>
      <c r="N226" s="7"/>
      <c r="O226" s="6"/>
      <c r="P226" s="7"/>
      <c r="Q226" s="6"/>
      <c r="R226" s="7"/>
      <c r="S226" s="6"/>
      <c r="T226" s="7"/>
      <c r="U226" s="6"/>
      <c r="V226" s="7"/>
      <c r="W226" s="96" t="str">
        <f>HYPERLINK("#'Vendors'!HR1","Q12.10.14_58_TEXT")</f>
        <v>Q12.10.14_58_TEXT</v>
      </c>
      <c r="X226" s="93" t="str">
        <f>HYPERLINK("#'Vendors'!HR2","Other administration &amp; auditing vendors employed: 401(k) plan auditors")</f>
        <v>Other administration &amp; auditing vendors employed: 401(k) plan auditors</v>
      </c>
    </row>
    <row r="227" spans="1:24" ht="25.5" x14ac:dyDescent="0.2">
      <c r="A227" s="6"/>
      <c r="B227" s="7"/>
      <c r="C227" s="96" t="str">
        <f>HYPERLINK("#'Enrollment, Eligib. &amp; Cost'!HS1","Q2.6.3")</f>
        <v>Q2.6.3</v>
      </c>
      <c r="D227" s="93" t="str">
        <f>HYPERLINK("#'Enrollment, Eligib. &amp; Cost'!HS2","Specific stop loss deductible")</f>
        <v>Specific stop loss deductible</v>
      </c>
      <c r="E227" s="6"/>
      <c r="F227" s="7"/>
      <c r="G227" s="6"/>
      <c r="H227" s="7"/>
      <c r="I227" s="96" t="str">
        <f>HYPERLINK("#'Other Benefits'!HS1","Q5.5.4_2")</f>
        <v>Q5.5.4_2</v>
      </c>
      <c r="J227" s="93" t="str">
        <f>HYPERLINK("#'Other Benefits'!HS2","Benefits included with severance: Company-subsidized COBRA insurance")</f>
        <v>Benefits included with severance: Company-subsidized COBRA insurance</v>
      </c>
      <c r="K227" s="3" t="str">
        <f>HYPERLINK("#'Healthcare'!HS1","Q6.2.44_3_2")</f>
        <v>Q6.2.44_3_2</v>
      </c>
      <c r="L227" s="93" t="str">
        <f>HYPERLINK("#'Healthcare'!HS2","Primary PPO medical plan tier 3 coinsurance maximum: Retail/pharmacy - in-network")</f>
        <v>Primary PPO medical plan tier 3 coinsurance maximum: Retail/pharmacy - in-network</v>
      </c>
      <c r="M227" s="6"/>
      <c r="N227" s="7"/>
      <c r="O227" s="6"/>
      <c r="P227" s="7"/>
      <c r="Q227" s="6"/>
      <c r="R227" s="7"/>
      <c r="S227" s="6"/>
      <c r="T227" s="7"/>
      <c r="U227" s="6"/>
      <c r="V227" s="7"/>
      <c r="W227" s="96" t="str">
        <f>HYPERLINK("#'Vendors'!HS1","Q12.10.15")</f>
        <v>Q12.10.15</v>
      </c>
      <c r="X227" s="93" t="str">
        <f>HYPERLINK("#'Vendors'!HS2","Administration &amp; auditing vendors employed: Disability plan auditors")</f>
        <v>Administration &amp; auditing vendors employed: Disability plan auditors</v>
      </c>
    </row>
    <row r="228" spans="1:24" ht="25.5" x14ac:dyDescent="0.2">
      <c r="A228" s="6"/>
      <c r="B228" s="7"/>
      <c r="C228" s="96" t="str">
        <f>HYPERLINK("#'Enrollment, Eligib. &amp; Cost'!HT1","Q2.6.4")</f>
        <v>Q2.6.4</v>
      </c>
      <c r="D228" s="93" t="str">
        <f>HYPERLINK("#'Enrollment, Eligib. &amp; Cost'!HT2","Aggregate stop loss attachment point amount")</f>
        <v>Aggregate stop loss attachment point amount</v>
      </c>
      <c r="E228" s="6"/>
      <c r="F228" s="7"/>
      <c r="G228" s="6"/>
      <c r="H228" s="7"/>
      <c r="I228" s="96" t="str">
        <f>HYPERLINK("#'Other Benefits'!HT1","Q5.5.4_3")</f>
        <v>Q5.5.4_3</v>
      </c>
      <c r="J228" s="93" t="str">
        <f>HYPERLINK("#'Other Benefits'!HT2","Benefits included with severance: Payment in lieu of COBRA insurance")</f>
        <v>Benefits included with severance: Payment in lieu of COBRA insurance</v>
      </c>
      <c r="K228" s="3" t="str">
        <f>HYPERLINK("#'Healthcare'!HT1","Q6.2.44_4_1")</f>
        <v>Q6.2.44_4_1</v>
      </c>
      <c r="L228" s="93" t="str">
        <f>HYPERLINK("#'Healthcare'!HT2","Primary PPO medical plan tier 4 coinsurance minimum: Retail/pharmacy - in-network")</f>
        <v>Primary PPO medical plan tier 4 coinsurance minimum: Retail/pharmacy - in-network</v>
      </c>
      <c r="M228" s="6"/>
      <c r="N228" s="7"/>
      <c r="O228" s="6"/>
      <c r="P228" s="7"/>
      <c r="Q228" s="6"/>
      <c r="R228" s="7"/>
      <c r="S228" s="6"/>
      <c r="T228" s="7"/>
      <c r="U228" s="6"/>
      <c r="V228" s="7"/>
      <c r="W228" s="96" t="str">
        <f>HYPERLINK("#'Vendors'!HT1","Q12.10.15_58_TEXT")</f>
        <v>Q12.10.15_58_TEXT</v>
      </c>
      <c r="X228" s="93" t="str">
        <f>HYPERLINK("#'Vendors'!HT2","Other administration &amp; auditing vendors employed: Disability plan auditors")</f>
        <v>Other administration &amp; auditing vendors employed: Disability plan auditors</v>
      </c>
    </row>
    <row r="229" spans="1:24" ht="25.5" x14ac:dyDescent="0.2">
      <c r="A229" s="6"/>
      <c r="B229" s="7"/>
      <c r="C229" s="96" t="str">
        <f>HYPERLINK("#'Enrollment, Eligib. &amp; Cost'!HU1","Q2.6.5")</f>
        <v>Q2.6.5</v>
      </c>
      <c r="D229" s="93" t="str">
        <f>HYPERLINK("#'Enrollment, Eligib. &amp; Cost'!HU2","Stop loss maximum reimbursement amount")</f>
        <v>Stop loss maximum reimbursement amount</v>
      </c>
      <c r="E229" s="6"/>
      <c r="F229" s="7"/>
      <c r="G229" s="6"/>
      <c r="H229" s="7"/>
      <c r="I229" s="96" t="str">
        <f>HYPERLINK("#'Other Benefits'!HU1","Q5.5.4_4")</f>
        <v>Q5.5.4_4</v>
      </c>
      <c r="J229" s="93" t="str">
        <f>HYPERLINK("#'Other Benefits'!HU2","Benefits included with severance: Outplacement services")</f>
        <v>Benefits included with severance: Outplacement services</v>
      </c>
      <c r="K229" s="3" t="str">
        <f>HYPERLINK("#'Healthcare'!HU1","Q6.2.44_4_2")</f>
        <v>Q6.2.44_4_2</v>
      </c>
      <c r="L229" s="93" t="str">
        <f>HYPERLINK("#'Healthcare'!HU2","Primary PPO medical plan tier 4 coinsurance maximum: Retail/pharmacy - in-network")</f>
        <v>Primary PPO medical plan tier 4 coinsurance maximum: Retail/pharmacy - in-network</v>
      </c>
      <c r="M229" s="6"/>
      <c r="N229" s="7"/>
      <c r="O229" s="6"/>
      <c r="P229" s="7"/>
      <c r="Q229" s="6"/>
      <c r="R229" s="7"/>
      <c r="S229" s="6"/>
      <c r="T229" s="7"/>
      <c r="U229" s="6"/>
      <c r="V229" s="7"/>
      <c r="W229" s="96" t="str">
        <f>HYPERLINK("#'Vendors'!HU1","Q12.10.16")</f>
        <v>Q12.10.16</v>
      </c>
      <c r="X229" s="93" t="str">
        <f>HYPERLINK("#'Vendors'!HU2","Administration &amp; auditing vendors employed: Pre-tax commuter/parking administration")</f>
        <v>Administration &amp; auditing vendors employed: Pre-tax commuter/parking administration</v>
      </c>
    </row>
    <row r="230" spans="1:24" ht="38.25" x14ac:dyDescent="0.2">
      <c r="A230" s="6"/>
      <c r="B230" s="7"/>
      <c r="C230" s="96" t="str">
        <f>HYPERLINK("#'Enrollment, Eligib. &amp; Cost'!HV1","Q2.6.6")</f>
        <v>Q2.6.6</v>
      </c>
      <c r="D230" s="93" t="str">
        <f>HYPERLINK("#'Enrollment, Eligib. &amp; Cost'!HV2","Pooling, captives, or other arrangements in place to mitigate financial risk")</f>
        <v>Pooling, captives, or other arrangements in place to mitigate financial risk</v>
      </c>
      <c r="E230" s="6"/>
      <c r="F230" s="7"/>
      <c r="G230" s="6"/>
      <c r="H230" s="7"/>
      <c r="I230" s="96" t="str">
        <f>HYPERLINK("#'Other Benefits'!HV1","Q5.5.4_5")</f>
        <v>Q5.5.4_5</v>
      </c>
      <c r="J230" s="93" t="str">
        <f>HYPERLINK("#'Other Benefits'!HV2","Benefits included with severance: Other employee benefits")</f>
        <v>Benefits included with severance: Other employee benefits</v>
      </c>
      <c r="K230" s="3" t="str">
        <f>HYPERLINK("#'Healthcare'!HV1","Q6.2.44_5_1")</f>
        <v>Q6.2.44_5_1</v>
      </c>
      <c r="L230" s="93" t="str">
        <f>HYPERLINK("#'Healthcare'!HV2","Primary PPO medical plan tier 5 coinsurance minimum: Retail/pharmacy - in-network")</f>
        <v>Primary PPO medical plan tier 5 coinsurance minimum: Retail/pharmacy - in-network</v>
      </c>
      <c r="M230" s="6"/>
      <c r="N230" s="7"/>
      <c r="O230" s="6"/>
      <c r="P230" s="7"/>
      <c r="Q230" s="6"/>
      <c r="R230" s="7"/>
      <c r="S230" s="6"/>
      <c r="T230" s="7"/>
      <c r="U230" s="6"/>
      <c r="V230" s="7"/>
      <c r="W230" s="96" t="str">
        <f>HYPERLINK("#'Vendors'!HV1","Q12.10.16_58_TEXT")</f>
        <v>Q12.10.16_58_TEXT</v>
      </c>
      <c r="X230" s="93" t="str">
        <f>HYPERLINK("#'Vendors'!HV2","Other administration &amp; auditing vendors employed: Pre-tax commuter/parking administration")</f>
        <v>Other administration &amp; auditing vendors employed: Pre-tax commuter/parking administration</v>
      </c>
    </row>
    <row r="231" spans="1:24" ht="25.5" x14ac:dyDescent="0.2">
      <c r="A231" s="6"/>
      <c r="B231" s="7"/>
      <c r="C231" s="96" t="str">
        <f>HYPERLINK("#'Enrollment, Eligib. &amp; Cost'!HW1","Q2.6.7")</f>
        <v>Q2.6.7</v>
      </c>
      <c r="D231" s="93" t="str">
        <f>HYPERLINK("#'Enrollment, Eligib. &amp; Cost'!HW2","Stop loss lasers or carve-out specific risks")</f>
        <v>Stop loss lasers or carve-out specific risks</v>
      </c>
      <c r="E231" s="6"/>
      <c r="F231" s="7"/>
      <c r="G231" s="6"/>
      <c r="H231" s="7"/>
      <c r="I231" s="96" t="str">
        <f>HYPERLINK("#'Other Benefits'!HW1","Q5.5.5")</f>
        <v>Q5.5.5</v>
      </c>
      <c r="J231" s="93" t="str">
        <f>HYPERLINK("#'Other Benefits'!HW2","Voluntary retirement severance benefits")</f>
        <v>Voluntary retirement severance benefits</v>
      </c>
      <c r="K231" s="3" t="str">
        <f>HYPERLINK("#'Healthcare'!HW1","Q6.2.44_5_2")</f>
        <v>Q6.2.44_5_2</v>
      </c>
      <c r="L231" s="93" t="str">
        <f>HYPERLINK("#'Healthcare'!HW2","Primary PPO medical plan tier 5 coinsurance maximum: Retail/pharmacy - in-network")</f>
        <v>Primary PPO medical plan tier 5 coinsurance maximum: Retail/pharmacy - in-network</v>
      </c>
      <c r="M231" s="6"/>
      <c r="N231" s="7"/>
      <c r="O231" s="6"/>
      <c r="P231" s="7"/>
      <c r="Q231" s="6"/>
      <c r="R231" s="7"/>
      <c r="S231" s="6"/>
      <c r="T231" s="7"/>
      <c r="U231" s="6"/>
      <c r="V231" s="7"/>
      <c r="W231" s="96" t="str">
        <f>HYPERLINK("#'Vendors'!HW1","Q12.10.17")</f>
        <v>Q12.10.17</v>
      </c>
      <c r="X231" s="93" t="str">
        <f>HYPERLINK("#'Vendors'!HW2","Administration &amp; auditing vendors employed: COBRA and retiree enrollment assistance")</f>
        <v>Administration &amp; auditing vendors employed: COBRA and retiree enrollment assistance</v>
      </c>
    </row>
    <row r="232" spans="1:24" ht="38.25" x14ac:dyDescent="0.2">
      <c r="A232" s="6"/>
      <c r="B232" s="7"/>
      <c r="C232" s="96" t="str">
        <f>HYPERLINK("#'Enrollment, Eligib. &amp; Cost'!HX1","Q2.7.2")</f>
        <v>Q2.7.2</v>
      </c>
      <c r="D232" s="93" t="str">
        <f>HYPERLINK("#'Enrollment, Eligib. &amp; Cost'!HX2","When medical benefits end for terminated full-time employees")</f>
        <v>When medical benefits end for terminated full-time employees</v>
      </c>
      <c r="E232" s="6"/>
      <c r="F232" s="7"/>
      <c r="G232" s="6"/>
      <c r="H232" s="7"/>
      <c r="I232" s="96" t="str">
        <f>HYPERLINK("#'Other Benefits'!HX1","Q5.5.6")</f>
        <v>Q5.5.6</v>
      </c>
      <c r="J232" s="93" t="str">
        <f>HYPERLINK("#'Other Benefits'!HX2","Separate severance offer for executives")</f>
        <v>Separate severance offer for executives</v>
      </c>
      <c r="K232" s="3" t="str">
        <f>HYPERLINK("#'Healthcare'!HX1","Q6.2.44_6_1")</f>
        <v>Q6.2.44_6_1</v>
      </c>
      <c r="L232" s="93" t="str">
        <f>HYPERLINK("#'Healthcare'!HX2","Primary PPO medical plan specialty coinsurance minimum: Retail/pharmacy - in-network")</f>
        <v>Primary PPO medical plan specialty coinsurance minimum: Retail/pharmacy - in-network</v>
      </c>
      <c r="M232" s="6"/>
      <c r="N232" s="7"/>
      <c r="O232" s="6"/>
      <c r="P232" s="7"/>
      <c r="Q232" s="6"/>
      <c r="R232" s="7"/>
      <c r="S232" s="6"/>
      <c r="T232" s="7"/>
      <c r="U232" s="6"/>
      <c r="V232" s="7"/>
      <c r="W232" s="96" t="str">
        <f>HYPERLINK("#'Vendors'!HX1","Q12.10.17_58_TEXT")</f>
        <v>Q12.10.17_58_TEXT</v>
      </c>
      <c r="X232" s="93" t="str">
        <f>HYPERLINK("#'Vendors'!HX2","Other administration &amp; auditing vendors employed: COBRA and retiree enrollment assistance")</f>
        <v>Other administration &amp; auditing vendors employed: COBRA and retiree enrollment assistance</v>
      </c>
    </row>
    <row r="233" spans="1:24" ht="38.25" x14ac:dyDescent="0.2">
      <c r="A233" s="6"/>
      <c r="B233" s="7"/>
      <c r="C233" s="96" t="str">
        <f>HYPERLINK("#'Enrollment, Eligib. &amp; Cost'!HY1","Q2.7.3")</f>
        <v>Q2.7.3</v>
      </c>
      <c r="D233" s="93" t="str">
        <f>HYPERLINK("#'Enrollment, Eligib. &amp; Cost'!HY2","When medical benefits end for terminated part-time employees")</f>
        <v>When medical benefits end for terminated part-time employees</v>
      </c>
      <c r="E233" s="6"/>
      <c r="F233" s="7"/>
      <c r="G233" s="6"/>
      <c r="H233" s="7"/>
      <c r="I233" s="96" t="str">
        <f>HYPERLINK("#'Other Benefits'!HY1","Q5.5.7")</f>
        <v>Q5.5.7</v>
      </c>
      <c r="J233" s="93" t="str">
        <f>HYPERLINK("#'Other Benefits'!HY2","Eligibility criteria for executive severance")</f>
        <v>Eligibility criteria for executive severance</v>
      </c>
      <c r="K233" s="3" t="str">
        <f>HYPERLINK("#'Healthcare'!HY1","Q6.2.44_6_2")</f>
        <v>Q6.2.44_6_2</v>
      </c>
      <c r="L233" s="93" t="str">
        <f>HYPERLINK("#'Healthcare'!HY2","Primary PPO medical plan specialty coinsurance maximum: Retail/pharmacy - in-network")</f>
        <v>Primary PPO medical plan specialty coinsurance maximum: Retail/pharmacy - in-network</v>
      </c>
      <c r="M233" s="6"/>
      <c r="N233" s="7"/>
      <c r="O233" s="6"/>
      <c r="P233" s="7"/>
      <c r="Q233" s="6"/>
      <c r="R233" s="7"/>
      <c r="S233" s="6"/>
      <c r="T233" s="7"/>
      <c r="U233" s="6"/>
      <c r="V233" s="7"/>
      <c r="W233" s="96" t="str">
        <f>HYPERLINK("#'Vendors'!HY1","Q12.10.18")</f>
        <v>Q12.10.18</v>
      </c>
      <c r="X233" s="93" t="str">
        <f>HYPERLINK("#'Vendors'!HY2","Administration &amp; auditing vendor(s) terminated in 2021")</f>
        <v>Administration &amp; auditing vendor(s) terminated in 2021</v>
      </c>
    </row>
    <row r="234" spans="1:24" ht="38.25" x14ac:dyDescent="0.2">
      <c r="A234" s="6"/>
      <c r="B234" s="7"/>
      <c r="C234" s="96" t="str">
        <f>HYPERLINK("#'Enrollment, Eligib. &amp; Cost'!HZ1","Q2.7.4")</f>
        <v>Q2.7.4</v>
      </c>
      <c r="D234" s="93" t="str">
        <f>HYPERLINK("#'Enrollment, Eligib. &amp; Cost'!HZ2","When medical benefits end for terminated interns/students, contractors, agency temporary workers, seasonal workers")</f>
        <v>When medical benefits end for terminated interns/students, contractors, agency temporary workers, seasonal workers</v>
      </c>
      <c r="E234" s="6"/>
      <c r="F234" s="7"/>
      <c r="G234" s="6"/>
      <c r="H234" s="7"/>
      <c r="I234" s="96" t="str">
        <f>HYPERLINK("#'Other Benefits'!HZ1","Q5.5.8")</f>
        <v>Q5.5.8</v>
      </c>
      <c r="J234" s="93" t="str">
        <f>HYPERLINK("#'Other Benefits'!HZ2","Repayment of severance upon rehire")</f>
        <v>Repayment of severance upon rehire</v>
      </c>
      <c r="K234" s="3" t="str">
        <f>HYPERLINK("#'Healthcare'!HZ1","Q6.2.44_7_1")</f>
        <v>Q6.2.44_7_1</v>
      </c>
      <c r="L234" s="93" t="str">
        <f>HYPERLINK("#'Healthcare'!HZ2","Primary PPO medical plan Other coinsurance minimum: Retail/pharmacy - in-network")</f>
        <v>Primary PPO medical plan Other coinsurance minimum: Retail/pharmacy - in-network</v>
      </c>
      <c r="M234" s="6"/>
      <c r="N234" s="7"/>
      <c r="O234" s="6"/>
      <c r="P234" s="7"/>
      <c r="Q234" s="6"/>
      <c r="R234" s="7"/>
      <c r="S234" s="6"/>
      <c r="T234" s="7"/>
      <c r="U234" s="6"/>
      <c r="V234" s="7"/>
      <c r="W234" s="96" t="str">
        <f>HYPERLINK("#'Vendors'!HZ1","Q12.10.19_1")</f>
        <v>Q12.10.19_1</v>
      </c>
      <c r="X234" s="93" t="str">
        <f>HYPERLINK("#'Vendors'!HZ2","Terminated administration &amp; auditing vendors: Health savings account (HSA) administration")</f>
        <v>Terminated administration &amp; auditing vendors: Health savings account (HSA) administration</v>
      </c>
    </row>
    <row r="235" spans="1:24" ht="38.25" x14ac:dyDescent="0.2">
      <c r="A235" s="6"/>
      <c r="B235" s="7"/>
      <c r="C235" s="96" t="str">
        <f>HYPERLINK("#'Enrollment, Eligib. &amp; Cost'!IA1","Q2.7.5")</f>
        <v>Q2.7.5</v>
      </c>
      <c r="D235" s="93" t="str">
        <f>HYPERLINK("#'Enrollment, Eligib. &amp; Cost'!IA2","COBRA coverage extended beyond 18 month requirement")</f>
        <v>COBRA coverage extended beyond 18 month requirement</v>
      </c>
      <c r="E235" s="6"/>
      <c r="F235" s="7"/>
      <c r="G235" s="6"/>
      <c r="H235" s="7"/>
      <c r="I235" s="96" t="str">
        <f>HYPERLINK("#'Other Benefits'!IA1","Q5.5.9")</f>
        <v>Q5.5.9</v>
      </c>
      <c r="J235" s="93" t="str">
        <f>HYPERLINK("#'Other Benefits'!IA2","Severance offers containing RSU preservation")</f>
        <v>Severance offers containing RSU preservation</v>
      </c>
      <c r="K235" s="3" t="str">
        <f>HYPERLINK("#'Healthcare'!IA1","Q6.2.44_7_2")</f>
        <v>Q6.2.44_7_2</v>
      </c>
      <c r="L235" s="93" t="str">
        <f>HYPERLINK("#'Healthcare'!IA2","Primary PPO medical plan Other coinsurance maximum: Retail/pharmacy - in-network")</f>
        <v>Primary PPO medical plan Other coinsurance maximum: Retail/pharmacy - in-network</v>
      </c>
      <c r="M235" s="6"/>
      <c r="N235" s="7"/>
      <c r="O235" s="6"/>
      <c r="P235" s="7"/>
      <c r="Q235" s="6"/>
      <c r="R235" s="7"/>
      <c r="S235" s="6"/>
      <c r="T235" s="7"/>
      <c r="U235" s="6"/>
      <c r="V235" s="7"/>
      <c r="W235" s="96" t="str">
        <f>HYPERLINK("#'Vendors'!IA1","Q12.10.19_4")</f>
        <v>Q12.10.19_4</v>
      </c>
      <c r="X235" s="93" t="str">
        <f>HYPERLINK("#'Vendors'!IA2","Terminated administration &amp; auditing vendors: Flexible spending account (FSA) administration")</f>
        <v>Terminated administration &amp; auditing vendors: Flexible spending account (FSA) administration</v>
      </c>
    </row>
    <row r="236" spans="1:24" ht="25.5" x14ac:dyDescent="0.2">
      <c r="A236" s="6"/>
      <c r="B236" s="7"/>
      <c r="C236" s="96" t="str">
        <f>HYPERLINK("#'Enrollment, Eligib. &amp; Cost'!IB1","Q2.7.6")</f>
        <v>Q2.7.6</v>
      </c>
      <c r="D236" s="93" t="str">
        <f>HYPERLINK("#'Enrollment, Eligib. &amp; Cost'!IB2","How long COBRA coverage is extended beyond 18 month requirement")</f>
        <v>How long COBRA coverage is extended beyond 18 month requirement</v>
      </c>
      <c r="E236" s="6"/>
      <c r="F236" s="7"/>
      <c r="G236" s="6"/>
      <c r="H236" s="7"/>
      <c r="I236" s="96" t="str">
        <f>HYPERLINK("#'Other Benefits'!IB1","Q5.5.10")</f>
        <v>Q5.5.10</v>
      </c>
      <c r="J236" s="93" t="str">
        <f>HYPERLINK("#'Other Benefits'!IB2","Severance and vesting impact to RSUs")</f>
        <v>Severance and vesting impact to RSUs</v>
      </c>
      <c r="K236" s="3" t="str">
        <f>HYPERLINK("#'Healthcare'!IB1","Q6.2.45_1_1")</f>
        <v>Q6.2.45_1_1</v>
      </c>
      <c r="L236" s="93" t="str">
        <f>HYPERLINK("#'Healthcare'!IB2","Primary PPO medical plan tier 1 coinsurance: Retail/pharmacy - out-of-network")</f>
        <v>Primary PPO medical plan tier 1 coinsurance: Retail/pharmacy - out-of-network</v>
      </c>
      <c r="M236" s="6"/>
      <c r="N236" s="7"/>
      <c r="O236" s="6"/>
      <c r="P236" s="7"/>
      <c r="Q236" s="6"/>
      <c r="R236" s="7"/>
      <c r="S236" s="6"/>
      <c r="T236" s="7"/>
      <c r="U236" s="6"/>
      <c r="V236" s="7"/>
      <c r="W236" s="96" t="str">
        <f>HYPERLINK("#'Vendors'!IB1","Q12.10.19_5")</f>
        <v>Q12.10.19_5</v>
      </c>
      <c r="X236" s="93" t="str">
        <f>HYPERLINK("#'Vendors'!IB2","Terminated administration &amp; auditing vendors: COBRA administration")</f>
        <v>Terminated administration &amp; auditing vendors: COBRA administration</v>
      </c>
    </row>
    <row r="237" spans="1:24" ht="25.5" x14ac:dyDescent="0.2">
      <c r="A237" s="6"/>
      <c r="B237" s="7"/>
      <c r="C237" s="96" t="str">
        <f>HYPERLINK("#'Enrollment, Eligib. &amp; Cost'!IC1","Q2.8.2")</f>
        <v>Q2.8.2</v>
      </c>
      <c r="D237" s="93" t="str">
        <f>HYPERLINK("#'Enrollment, Eligib. &amp; Cost'!IC2","Benefits provided to full-time employees")</f>
        <v>Benefits provided to full-time employees</v>
      </c>
      <c r="E237" s="6"/>
      <c r="F237" s="7"/>
      <c r="G237" s="6"/>
      <c r="H237" s="7"/>
      <c r="I237" s="96" t="str">
        <f>HYPERLINK("#'Other Benefits'!IC1","Q5.6.2")</f>
        <v>Q5.6.2</v>
      </c>
      <c r="J237" s="93" t="str">
        <f>HYPERLINK("#'Other Benefits'!IC2","Voluntary benefits offered")</f>
        <v>Voluntary benefits offered</v>
      </c>
      <c r="K237" s="3" t="str">
        <f>HYPERLINK("#'Healthcare'!IC1","Q6.2.45_2_1")</f>
        <v>Q6.2.45_2_1</v>
      </c>
      <c r="L237" s="93" t="str">
        <f>HYPERLINK("#'Healthcare'!IC2","Primary PPO medical plan tier 2 coinsurance: Retail/pharmacy - out-of-network")</f>
        <v>Primary PPO medical plan tier 2 coinsurance: Retail/pharmacy - out-of-network</v>
      </c>
      <c r="M237" s="6"/>
      <c r="N237" s="7"/>
      <c r="O237" s="6"/>
      <c r="P237" s="7"/>
      <c r="Q237" s="6"/>
      <c r="R237" s="7"/>
      <c r="S237" s="6"/>
      <c r="T237" s="7"/>
      <c r="U237" s="6"/>
      <c r="V237" s="7"/>
      <c r="W237" s="96" t="str">
        <f>HYPERLINK("#'Vendors'!IC1","Q12.10.19_6")</f>
        <v>Q12.10.19_6</v>
      </c>
      <c r="X237" s="93" t="str">
        <f>HYPERLINK("#'Vendors'!IC2","Terminated administration &amp; auditing vendors: Health plan auditors")</f>
        <v>Terminated administration &amp; auditing vendors: Health plan auditors</v>
      </c>
    </row>
    <row r="238" spans="1:24" ht="25.5" x14ac:dyDescent="0.2">
      <c r="A238" s="6"/>
      <c r="B238" s="7"/>
      <c r="C238" s="96" t="str">
        <f>HYPERLINK("#'Enrollment, Eligib. &amp; Cost'!ID1","Q2.8.3")</f>
        <v>Q2.8.3</v>
      </c>
      <c r="D238" s="93" t="str">
        <f>HYPERLINK("#'Enrollment, Eligib. &amp; Cost'!ID2","Benefits provided to part-time employees")</f>
        <v>Benefits provided to part-time employees</v>
      </c>
      <c r="E238" s="6"/>
      <c r="F238" s="7"/>
      <c r="G238" s="6"/>
      <c r="H238" s="7"/>
      <c r="I238" s="96" t="str">
        <f>HYPERLINK("#'Other Benefits'!ID1","Q5.6.4")</f>
        <v>Q5.6.4</v>
      </c>
      <c r="J238" s="93" t="str">
        <f>HYPERLINK("#'Other Benefits'!ID2","Dependents eligible for accident insurance program")</f>
        <v>Dependents eligible for accident insurance program</v>
      </c>
      <c r="K238" s="3" t="str">
        <f>HYPERLINK("#'Healthcare'!ID1","Q6.2.45_3_1")</f>
        <v>Q6.2.45_3_1</v>
      </c>
      <c r="L238" s="93" t="str">
        <f>HYPERLINK("#'Healthcare'!ID2","Primary PPO medical plan tier 3 coinsurance: Retail/pharmacy - out-of-network")</f>
        <v>Primary PPO medical plan tier 3 coinsurance: Retail/pharmacy - out-of-network</v>
      </c>
      <c r="M238" s="6"/>
      <c r="N238" s="7"/>
      <c r="O238" s="6"/>
      <c r="P238" s="7"/>
      <c r="Q238" s="6"/>
      <c r="R238" s="7"/>
      <c r="S238" s="6"/>
      <c r="T238" s="7"/>
      <c r="U238" s="6"/>
      <c r="V238" s="7"/>
      <c r="W238" s="96" t="str">
        <f>HYPERLINK("#'Vendors'!ID1","Q12.10.19_7")</f>
        <v>Q12.10.19_7</v>
      </c>
      <c r="X238" s="93" t="str">
        <f>HYPERLINK("#'Vendors'!ID2","Terminated administration &amp; auditing vendors: 401(k) plan auditors")</f>
        <v>Terminated administration &amp; auditing vendors: 401(k) plan auditors</v>
      </c>
    </row>
    <row r="239" spans="1:24" ht="25.5" x14ac:dyDescent="0.2">
      <c r="A239" s="6"/>
      <c r="B239" s="7"/>
      <c r="C239" s="96" t="str">
        <f>HYPERLINK("#'Enrollment, Eligib. &amp; Cost'!IE1","Q2.8.4")</f>
        <v>Q2.8.4</v>
      </c>
      <c r="D239" s="93" t="str">
        <f>HYPERLINK("#'Enrollment, Eligib. &amp; Cost'!IE2","Benefits provided to interns or students")</f>
        <v>Benefits provided to interns or students</v>
      </c>
      <c r="E239" s="6"/>
      <c r="F239" s="7"/>
      <c r="G239" s="6"/>
      <c r="H239" s="7"/>
      <c r="I239" s="96" t="str">
        <f>HYPERLINK("#'Other Benefits'!IE1","Q5.6.5")</f>
        <v>Q5.6.5</v>
      </c>
      <c r="J239" s="93" t="str">
        <f>HYPERLINK("#'Other Benefits'!IE2","Percentage of accident insurance premium paid by employee")</f>
        <v>Percentage of accident insurance premium paid by employee</v>
      </c>
      <c r="K239" s="3" t="str">
        <f>HYPERLINK("#'Healthcare'!IE1","Q6.2.45_4_1")</f>
        <v>Q6.2.45_4_1</v>
      </c>
      <c r="L239" s="93" t="str">
        <f>HYPERLINK("#'Healthcare'!IE2","Primary PPO medical plan tier 4 coinsurance: Retail/pharmacy - out-of-network")</f>
        <v>Primary PPO medical plan tier 4 coinsurance: Retail/pharmacy - out-of-network</v>
      </c>
      <c r="M239" s="6"/>
      <c r="N239" s="7"/>
      <c r="O239" s="6"/>
      <c r="P239" s="7"/>
      <c r="Q239" s="6"/>
      <c r="R239" s="7"/>
      <c r="S239" s="6"/>
      <c r="T239" s="7"/>
      <c r="U239" s="6"/>
      <c r="V239" s="7"/>
      <c r="W239" s="96" t="str">
        <f>HYPERLINK("#'Vendors'!IE1","Q12.10.19_8")</f>
        <v>Q12.10.19_8</v>
      </c>
      <c r="X239" s="93" t="str">
        <f>HYPERLINK("#'Vendors'!IE2","Terminated administration &amp; auditing vendors: Disability plan auditors")</f>
        <v>Terminated administration &amp; auditing vendors: Disability plan auditors</v>
      </c>
    </row>
    <row r="240" spans="1:24" ht="25.5" x14ac:dyDescent="0.2">
      <c r="A240" s="6"/>
      <c r="B240" s="7"/>
      <c r="C240" s="96" t="str">
        <f>HYPERLINK("#'Enrollment, Eligib. &amp; Cost'!IF1","Q2.8.5")</f>
        <v>Q2.8.5</v>
      </c>
      <c r="D240" s="93" t="str">
        <f>HYPERLINK("#'Enrollment, Eligib. &amp; Cost'!IF2","Benefits provided to contractors")</f>
        <v>Benefits provided to contractors</v>
      </c>
      <c r="E240" s="6"/>
      <c r="F240" s="7"/>
      <c r="G240" s="6"/>
      <c r="H240" s="7"/>
      <c r="I240" s="96" t="str">
        <f>HYPERLINK("#'Other Benefits'!IF1","Q5.6.6")</f>
        <v>Q5.6.6</v>
      </c>
      <c r="J240" s="93" t="str">
        <f>HYPERLINK("#'Other Benefits'!IF2","Percentage of employees enrolled in accident insurance program")</f>
        <v>Percentage of employees enrolled in accident insurance program</v>
      </c>
      <c r="K240" s="3" t="str">
        <f>HYPERLINK("#'Healthcare'!IF1","Q6.2.45_5_1")</f>
        <v>Q6.2.45_5_1</v>
      </c>
      <c r="L240" s="93" t="str">
        <f>HYPERLINK("#'Healthcare'!IF2","Primary PPO medical plan tier 5 coinsurance: Retail/pharmacy - out-of-network")</f>
        <v>Primary PPO medical plan tier 5 coinsurance: Retail/pharmacy - out-of-network</v>
      </c>
      <c r="M240" s="6"/>
      <c r="N240" s="7"/>
      <c r="O240" s="6"/>
      <c r="P240" s="7"/>
      <c r="Q240" s="6"/>
      <c r="R240" s="7"/>
      <c r="S240" s="6"/>
      <c r="T240" s="7"/>
      <c r="U240" s="6"/>
      <c r="V240" s="7"/>
      <c r="W240" s="96" t="str">
        <f>HYPERLINK("#'Vendors'!IF1","Q12.10.19_9")</f>
        <v>Q12.10.19_9</v>
      </c>
      <c r="X240" s="93" t="str">
        <f>HYPERLINK("#'Vendors'!IF2","Terminated administration &amp; auditing vendors: Pre-tax commuter/parking administration")</f>
        <v>Terminated administration &amp; auditing vendors: Pre-tax commuter/parking administration</v>
      </c>
    </row>
    <row r="241" spans="1:24" ht="25.5" x14ac:dyDescent="0.2">
      <c r="A241" s="6"/>
      <c r="B241" s="7"/>
      <c r="C241" s="96" t="str">
        <f>HYPERLINK("#'Enrollment, Eligib. &amp; Cost'!IG1","Q2.8.6")</f>
        <v>Q2.8.6</v>
      </c>
      <c r="D241" s="93" t="str">
        <f>HYPERLINK("#'Enrollment, Eligib. &amp; Cost'!IG2","Benefits provided to agency temporary workers")</f>
        <v>Benefits provided to agency temporary workers</v>
      </c>
      <c r="E241" s="6"/>
      <c r="F241" s="7"/>
      <c r="G241" s="6"/>
      <c r="H241" s="7"/>
      <c r="I241" s="96" t="str">
        <f>HYPERLINK("#'Other Benefits'!IG1","Q5.6.8")</f>
        <v>Q5.6.8</v>
      </c>
      <c r="J241" s="93" t="str">
        <f>HYPERLINK("#'Other Benefits'!IG2","Dependents eligible for critical illness insurance program")</f>
        <v>Dependents eligible for critical illness insurance program</v>
      </c>
      <c r="K241" s="3" t="str">
        <f>HYPERLINK("#'Healthcare'!IG1","Q6.2.45_6_1")</f>
        <v>Q6.2.45_6_1</v>
      </c>
      <c r="L241" s="93" t="str">
        <f>HYPERLINK("#'Healthcare'!IG2","Primary PPO medical plan specialty coinsurance: Retail/pharmacy - out-of-network")</f>
        <v>Primary PPO medical plan specialty coinsurance: Retail/pharmacy - out-of-network</v>
      </c>
      <c r="M241" s="6"/>
      <c r="N241" s="7"/>
      <c r="O241" s="6"/>
      <c r="P241" s="7"/>
      <c r="Q241" s="6"/>
      <c r="R241" s="7"/>
      <c r="S241" s="6"/>
      <c r="T241" s="7"/>
      <c r="U241" s="6"/>
      <c r="V241" s="7"/>
      <c r="W241" s="96" t="str">
        <f>HYPERLINK("#'Vendors'!IG1","Q12.10.19_10")</f>
        <v>Q12.10.19_10</v>
      </c>
      <c r="X241" s="93" t="str">
        <f>HYPERLINK("#'Vendors'!IG2","Terminated administration &amp; auditing vendors: COBRA and retiree enrollment assistance")</f>
        <v>Terminated administration &amp; auditing vendors: COBRA and retiree enrollment assistance</v>
      </c>
    </row>
    <row r="242" spans="1:24" ht="25.5" x14ac:dyDescent="0.2">
      <c r="A242" s="6"/>
      <c r="B242" s="7"/>
      <c r="C242" s="96" t="str">
        <f>HYPERLINK("#'Enrollment, Eligib. &amp; Cost'!IH1","Q2.8.7")</f>
        <v>Q2.8.7</v>
      </c>
      <c r="D242" s="93" t="str">
        <f>HYPERLINK("#'Enrollment, Eligib. &amp; Cost'!IH2","Benefits provided to seasonal workers")</f>
        <v>Benefits provided to seasonal workers</v>
      </c>
      <c r="E242" s="6"/>
      <c r="F242" s="7"/>
      <c r="G242" s="6"/>
      <c r="H242" s="7"/>
      <c r="I242" s="96" t="str">
        <f>HYPERLINK("#'Other Benefits'!IH1","Q5.6.9")</f>
        <v>Q5.6.9</v>
      </c>
      <c r="J242" s="93" t="str">
        <f>HYPERLINK("#'Other Benefits'!IH2","Percentage of critical illness insurance premium paid by employee")</f>
        <v>Percentage of critical illness insurance premium paid by employee</v>
      </c>
      <c r="K242" s="3" t="str">
        <f>HYPERLINK("#'Healthcare'!IH1","Q6.2.45_7_1")</f>
        <v>Q6.2.45_7_1</v>
      </c>
      <c r="L242" s="93" t="str">
        <f>HYPERLINK("#'Healthcare'!IH2","Primary PPO medical plan Other coinsurance: Retail/pharmacy - out-of-network")</f>
        <v>Primary PPO medical plan Other coinsurance: Retail/pharmacy - out-of-network</v>
      </c>
      <c r="M242" s="6"/>
      <c r="N242" s="7"/>
      <c r="O242" s="6"/>
      <c r="P242" s="7"/>
      <c r="Q242" s="6"/>
      <c r="R242" s="7"/>
      <c r="S242" s="6"/>
      <c r="T242" s="7"/>
      <c r="U242" s="6"/>
      <c r="V242" s="7"/>
      <c r="W242" s="96" t="str">
        <f>HYPERLINK("#'Vendors'!IH1","Q12.10.21")</f>
        <v>Q12.10.21</v>
      </c>
      <c r="X242" s="93" t="str">
        <f>HYPERLINK("#'Vendors'!IH2","Insurance/support vendors employed: Life/AD&amp;D")</f>
        <v>Insurance/support vendors employed: Life/AD&amp;D</v>
      </c>
    </row>
    <row r="243" spans="1:24" ht="25.5" x14ac:dyDescent="0.2">
      <c r="A243" s="6"/>
      <c r="B243" s="7"/>
      <c r="C243" s="96" t="str">
        <f>HYPERLINK("#'Enrollment, Eligib. &amp; Cost'!II1","Q2.8.8")</f>
        <v>Q2.8.8</v>
      </c>
      <c r="D243" s="93" t="str">
        <f>HYPERLINK("#'Enrollment, Eligib. &amp; Cost'!II2","Benefits provided to other types of employees")</f>
        <v>Benefits provided to other types of employees</v>
      </c>
      <c r="E243" s="6"/>
      <c r="F243" s="7"/>
      <c r="G243" s="6"/>
      <c r="H243" s="7"/>
      <c r="I243" s="96" t="str">
        <f>HYPERLINK("#'Other Benefits'!II1","Q5.6.10")</f>
        <v>Q5.6.10</v>
      </c>
      <c r="J243" s="93" t="str">
        <f>HYPERLINK("#'Other Benefits'!II2","Percentage of employees enrolled in critical illness insurance program")</f>
        <v>Percentage of employees enrolled in critical illness insurance program</v>
      </c>
      <c r="K243" s="3" t="str">
        <f>HYPERLINK("#'Healthcare'!II1","Q6.2.46_1_1")</f>
        <v>Q6.2.46_1_1</v>
      </c>
      <c r="L243" s="93" t="str">
        <f>HYPERLINK("#'Healthcare'!II2","Primary PPO medical plan tier 1 coinsurance minimum: Retail/pharmacy - out-of-network")</f>
        <v>Primary PPO medical plan tier 1 coinsurance minimum: Retail/pharmacy - out-of-network</v>
      </c>
      <c r="M243" s="6"/>
      <c r="N243" s="7"/>
      <c r="O243" s="6"/>
      <c r="P243" s="7"/>
      <c r="Q243" s="6"/>
      <c r="R243" s="7"/>
      <c r="S243" s="6"/>
      <c r="T243" s="7"/>
      <c r="U243" s="6"/>
      <c r="V243" s="7"/>
      <c r="W243" s="96" t="str">
        <f>HYPERLINK("#'Vendors'!II1","Q12.10.21_42_TEXT")</f>
        <v>Q12.10.21_42_TEXT</v>
      </c>
      <c r="X243" s="93" t="str">
        <f>HYPERLINK("#'Vendors'!II2","Other insurance/support vendors employed: Life/AD&amp;D")</f>
        <v>Other insurance/support vendors employed: Life/AD&amp;D</v>
      </c>
    </row>
    <row r="244" spans="1:24" ht="25.5" x14ac:dyDescent="0.2">
      <c r="A244" s="6"/>
      <c r="B244" s="7"/>
      <c r="C244" s="96" t="str">
        <f>HYPERLINK("#'Enrollment, Eligib. &amp; Cost'!IJ1","Q2.9.2")</f>
        <v>Q2.9.2</v>
      </c>
      <c r="D244" s="93" t="str">
        <f>HYPERLINK("#'Enrollment, Eligib. &amp; Cost'!IJ2","Length of time employee has to notify company of qualified change of status events")</f>
        <v>Length of time employee has to notify company of qualified change of status events</v>
      </c>
      <c r="E244" s="6"/>
      <c r="F244" s="7"/>
      <c r="G244" s="6"/>
      <c r="H244" s="7"/>
      <c r="I244" s="96" t="str">
        <f>HYPERLINK("#'Other Benefits'!IJ1","Q5.6.11")</f>
        <v>Q5.6.11</v>
      </c>
      <c r="J244" s="93" t="str">
        <f>HYPERLINK("#'Other Benefits'!IJ2","Conditions covered by critical illness insurance program")</f>
        <v>Conditions covered by critical illness insurance program</v>
      </c>
      <c r="K244" s="3" t="str">
        <f>HYPERLINK("#'Healthcare'!IJ1","Q6.2.46_1_2")</f>
        <v>Q6.2.46_1_2</v>
      </c>
      <c r="L244" s="93" t="str">
        <f>HYPERLINK("#'Healthcare'!IJ2","Primary PPO medical plan tier 1 coinsurance maximum: Retail/pharmacy - out-of-network")</f>
        <v>Primary PPO medical plan tier 1 coinsurance maximum: Retail/pharmacy - out-of-network</v>
      </c>
      <c r="M244" s="6"/>
      <c r="N244" s="7"/>
      <c r="O244" s="6"/>
      <c r="P244" s="7"/>
      <c r="Q244" s="6"/>
      <c r="R244" s="7"/>
      <c r="S244" s="6"/>
      <c r="T244" s="7"/>
      <c r="U244" s="6"/>
      <c r="V244" s="7"/>
      <c r="W244" s="96" t="str">
        <f>HYPERLINK("#'Vendors'!IJ1","Q12.10.22")</f>
        <v>Q12.10.22</v>
      </c>
      <c r="X244" s="93" t="str">
        <f>HYPERLINK("#'Vendors'!IJ2","Insurance/support vendors employed: Business travel accident (BTA)")</f>
        <v>Insurance/support vendors employed: Business travel accident (BTA)</v>
      </c>
    </row>
    <row r="245" spans="1:24" ht="25.5" x14ac:dyDescent="0.2">
      <c r="A245" s="6"/>
      <c r="B245" s="7"/>
      <c r="C245" s="96" t="str">
        <f>HYPERLINK("#'Enrollment, Eligib. &amp; Cost'!IK1","Q2.9.3")</f>
        <v>Q2.9.3</v>
      </c>
      <c r="D245" s="93" t="str">
        <f>HYPERLINK("#'Enrollment, Eligib. &amp; Cost'!IK2","Other length of time employee has to notify company of qualified change of status events")</f>
        <v>Other length of time employee has to notify company of qualified change of status events</v>
      </c>
      <c r="E245" s="6"/>
      <c r="F245" s="7"/>
      <c r="G245" s="6"/>
      <c r="H245" s="7"/>
      <c r="I245" s="96" t="str">
        <f>HYPERLINK("#'Other Benefits'!IK1","Q5.6.12_1")</f>
        <v>Q5.6.12_1</v>
      </c>
      <c r="J245" s="93" t="str">
        <f>HYPERLINK("#'Other Benefits'!IK2","Financial benefits offered with critical illness insurance program: Lump-sum pay-out")</f>
        <v>Financial benefits offered with critical illness insurance program: Lump-sum pay-out</v>
      </c>
      <c r="K245" s="3" t="str">
        <f>HYPERLINK("#'Healthcare'!IK1","Q6.2.46_2_1")</f>
        <v>Q6.2.46_2_1</v>
      </c>
      <c r="L245" s="93" t="str">
        <f>HYPERLINK("#'Healthcare'!IK2","Primary PPO medical plan tier 2 coinsurance minimum: Retail/pharmacy - out-of-network")</f>
        <v>Primary PPO medical plan tier 2 coinsurance minimum: Retail/pharmacy - out-of-network</v>
      </c>
      <c r="M245" s="6"/>
      <c r="N245" s="7"/>
      <c r="O245" s="6"/>
      <c r="P245" s="7"/>
      <c r="Q245" s="6"/>
      <c r="R245" s="7"/>
      <c r="S245" s="6"/>
      <c r="T245" s="7"/>
      <c r="U245" s="6"/>
      <c r="V245" s="7"/>
      <c r="W245" s="96" t="str">
        <f>HYPERLINK("#'Vendors'!IK1","Q12.10.22_42_TEXT")</f>
        <v>Q12.10.22_42_TEXT</v>
      </c>
      <c r="X245" s="93" t="str">
        <f>HYPERLINK("#'Vendors'!IK2","Other insurance/support vendors employed: Business travel accident (BTA)")</f>
        <v>Other insurance/support vendors employed: Business travel accident (BTA)</v>
      </c>
    </row>
    <row r="246" spans="1:24" ht="38.25" x14ac:dyDescent="0.2">
      <c r="A246" s="6"/>
      <c r="B246" s="7"/>
      <c r="C246" s="96" t="str">
        <f>HYPERLINK("#'Enrollment, Eligib. &amp; Cost'!IL1","Q2.9.4")</f>
        <v>Q2.9.4</v>
      </c>
      <c r="D246" s="93" t="str">
        <f>HYPERLINK("#'Enrollment, Eligib. &amp; Cost'!IL2","Extended enrollment period beyond 30 days")</f>
        <v>Extended enrollment period beyond 30 days</v>
      </c>
      <c r="E246" s="6"/>
      <c r="F246" s="7"/>
      <c r="G246" s="6"/>
      <c r="H246" s="7"/>
      <c r="I246" s="96" t="str">
        <f>HYPERLINK("#'Other Benefits'!IL1","Q5.6.12_2")</f>
        <v>Q5.6.12_2</v>
      </c>
      <c r="J246" s="93" t="str">
        <f>HYPERLINK("#'Other Benefits'!IL2","Financial benefits offered with critical illness insurance program: Out-of-pocket medical expense coverage/reimbursement")</f>
        <v>Financial benefits offered with critical illness insurance program: Out-of-pocket medical expense coverage/reimbursement</v>
      </c>
      <c r="K246" s="3" t="str">
        <f>HYPERLINK("#'Healthcare'!IL1","Q6.2.46_2_2")</f>
        <v>Q6.2.46_2_2</v>
      </c>
      <c r="L246" s="93" t="str">
        <f>HYPERLINK("#'Healthcare'!IL2","Primary PPO medical plan tier 2 coinsurance maximum: Retail/pharmacy - out-of-network")</f>
        <v>Primary PPO medical plan tier 2 coinsurance maximum: Retail/pharmacy - out-of-network</v>
      </c>
      <c r="M246" s="6"/>
      <c r="N246" s="7"/>
      <c r="O246" s="6"/>
      <c r="P246" s="7"/>
      <c r="Q246" s="6"/>
      <c r="R246" s="7"/>
      <c r="S246" s="6"/>
      <c r="T246" s="7"/>
      <c r="U246" s="6"/>
      <c r="V246" s="7"/>
      <c r="W246" s="96" t="str">
        <f>HYPERLINK("#'Vendors'!IL1","Q12.10.23")</f>
        <v>Q12.10.23</v>
      </c>
      <c r="X246" s="93" t="str">
        <f>HYPERLINK("#'Vendors'!IL2","Insurance/support vendors employed: Short-term disability (STD)")</f>
        <v>Insurance/support vendors employed: Short-term disability (STD)</v>
      </c>
    </row>
    <row r="247" spans="1:24" ht="38.25" x14ac:dyDescent="0.2">
      <c r="A247" s="6"/>
      <c r="B247" s="7"/>
      <c r="C247" s="96" t="str">
        <f>HYPERLINK("#'Enrollment, Eligib. &amp; Cost'!IM1","Q2.9.5")</f>
        <v>Q2.9.5</v>
      </c>
      <c r="D247" s="93" t="str">
        <f>HYPERLINK("#'Enrollment, Eligib. &amp; Cost'!IM2","Length of time employee has to notify company of newborn")</f>
        <v>Length of time employee has to notify company of newborn</v>
      </c>
      <c r="E247" s="6"/>
      <c r="F247" s="7"/>
      <c r="G247" s="6"/>
      <c r="H247" s="7"/>
      <c r="I247" s="96" t="str">
        <f>HYPERLINK("#'Other Benefits'!IM1","Q5.6.12_3")</f>
        <v>Q5.6.12_3</v>
      </c>
      <c r="J247" s="93" t="str">
        <f>HYPERLINK("#'Other Benefits'!IM2","Financial benefits offered with critical illness insurance program: Supplemental disability payments")</f>
        <v>Financial benefits offered with critical illness insurance program: Supplemental disability payments</v>
      </c>
      <c r="K247" s="3" t="str">
        <f>HYPERLINK("#'Healthcare'!IM1","Q6.2.46_3_1")</f>
        <v>Q6.2.46_3_1</v>
      </c>
      <c r="L247" s="93" t="str">
        <f>HYPERLINK("#'Healthcare'!IM2","Primary PPO medical plan tier 3 coinsurance minimum: Retail/pharmacy - out-of-network")</f>
        <v>Primary PPO medical plan tier 3 coinsurance minimum: Retail/pharmacy - out-of-network</v>
      </c>
      <c r="M247" s="6"/>
      <c r="N247" s="7"/>
      <c r="O247" s="6"/>
      <c r="P247" s="7"/>
      <c r="Q247" s="6"/>
      <c r="R247" s="7"/>
      <c r="S247" s="6"/>
      <c r="T247" s="7"/>
      <c r="U247" s="6"/>
      <c r="V247" s="7"/>
      <c r="W247" s="96" t="str">
        <f>HYPERLINK("#'Vendors'!IM1","Q12.10.23_42_TEXT")</f>
        <v>Q12.10.23_42_TEXT</v>
      </c>
      <c r="X247" s="93" t="str">
        <f>HYPERLINK("#'Vendors'!IM2","Other insurance/support vendors employed: Short-term disability (STD)")</f>
        <v>Other insurance/support vendors employed: Short-term disability (STD)</v>
      </c>
    </row>
    <row r="248" spans="1:24" ht="38.25" x14ac:dyDescent="0.2">
      <c r="A248" s="6"/>
      <c r="B248" s="7"/>
      <c r="C248" s="96" t="str">
        <f>HYPERLINK("#'Enrollment, Eligib. &amp; Cost'!IN1","Q2.9.5_8_TEXT")</f>
        <v>Q2.9.5_8_TEXT</v>
      </c>
      <c r="D248" s="93" t="str">
        <f>HYPERLINK("#'Enrollment, Eligib. &amp; Cost'!IN2","Other length of time employee has to notify company of newborn")</f>
        <v>Other length of time employee has to notify company of newborn</v>
      </c>
      <c r="E248" s="6"/>
      <c r="F248" s="7"/>
      <c r="G248" s="6"/>
      <c r="H248" s="7"/>
      <c r="I248" s="96" t="str">
        <f>HYPERLINK("#'Other Benefits'!IN1","Q5.6.12_4")</f>
        <v>Q5.6.12_4</v>
      </c>
      <c r="J248" s="93" t="str">
        <f>HYPERLINK("#'Other Benefits'!IN2","Financial benefits offered with critical illness insurance program: Life change expense coverage/reimbursement")</f>
        <v>Financial benefits offered with critical illness insurance program: Life change expense coverage/reimbursement</v>
      </c>
      <c r="K248" s="3" t="str">
        <f>HYPERLINK("#'Healthcare'!IN1","Q6.2.46_3_2")</f>
        <v>Q6.2.46_3_2</v>
      </c>
      <c r="L248" s="93" t="str">
        <f>HYPERLINK("#'Healthcare'!IN2","Primary PPO medical plan tier 3 coinsurance maximum: Retail/pharmacy - out-of-network")</f>
        <v>Primary PPO medical plan tier 3 coinsurance maximum: Retail/pharmacy - out-of-network</v>
      </c>
      <c r="M248" s="6"/>
      <c r="N248" s="7"/>
      <c r="O248" s="6"/>
      <c r="P248" s="7"/>
      <c r="Q248" s="6"/>
      <c r="R248" s="7"/>
      <c r="S248" s="6"/>
      <c r="T248" s="7"/>
      <c r="U248" s="6"/>
      <c r="V248" s="7"/>
      <c r="W248" s="96" t="str">
        <f>HYPERLINK("#'Vendors'!IN1","Q12.10.24")</f>
        <v>Q12.10.24</v>
      </c>
      <c r="X248" s="93" t="str">
        <f>HYPERLINK("#'Vendors'!IN2","Insurance/support vendors employed: Disability claims administrator")</f>
        <v>Insurance/support vendors employed: Disability claims administrator</v>
      </c>
    </row>
    <row r="249" spans="1:24" ht="25.5" x14ac:dyDescent="0.2">
      <c r="A249" s="6"/>
      <c r="B249" s="7"/>
      <c r="C249" s="96" t="str">
        <f>HYPERLINK("#'Enrollment, Eligib. &amp; Cost'!IO1","Q2.9.6")</f>
        <v>Q2.9.6</v>
      </c>
      <c r="D249" s="93" t="str">
        <f>HYPERLINK("#'Enrollment, Eligib. &amp; Cost'!IO2","Medical plan automatically enrolls newborn")</f>
        <v>Medical plan automatically enrolls newborn</v>
      </c>
      <c r="E249" s="6"/>
      <c r="F249" s="7"/>
      <c r="G249" s="6"/>
      <c r="H249" s="7"/>
      <c r="I249" s="96" t="str">
        <f>HYPERLINK("#'Other Benefits'!IO1","Q5.6.14")</f>
        <v>Q5.6.14</v>
      </c>
      <c r="J249" s="93" t="str">
        <f>HYPERLINK("#'Other Benefits'!IO2","Dependents eligible for hospital indemnity insurance program")</f>
        <v>Dependents eligible for hospital indemnity insurance program</v>
      </c>
      <c r="K249" s="3" t="str">
        <f>HYPERLINK("#'Healthcare'!IO1","Q6.2.46_4_1")</f>
        <v>Q6.2.46_4_1</v>
      </c>
      <c r="L249" s="93" t="str">
        <f>HYPERLINK("#'Healthcare'!IO2","Primary PPO medical plan tier 4 coinsurance minimum: Retail/pharmacy - out-of-network")</f>
        <v>Primary PPO medical plan tier 4 coinsurance minimum: Retail/pharmacy - out-of-network</v>
      </c>
      <c r="M249" s="6"/>
      <c r="N249" s="7"/>
      <c r="O249" s="6"/>
      <c r="P249" s="7"/>
      <c r="Q249" s="6"/>
      <c r="R249" s="7"/>
      <c r="S249" s="6"/>
      <c r="T249" s="7"/>
      <c r="U249" s="6"/>
      <c r="V249" s="7"/>
      <c r="W249" s="96" t="str">
        <f>HYPERLINK("#'Vendors'!IO1","Q12.10.24_42_TEXT")</f>
        <v>Q12.10.24_42_TEXT</v>
      </c>
      <c r="X249" s="93" t="str">
        <f>HYPERLINK("#'Vendors'!IO2","Other insurance/support vendors employed: Disability claims administrator")</f>
        <v>Other insurance/support vendors employed: Disability claims administrator</v>
      </c>
    </row>
    <row r="250" spans="1:24" ht="25.5" x14ac:dyDescent="0.2">
      <c r="A250" s="6"/>
      <c r="B250" s="7"/>
      <c r="C250" s="96" t="str">
        <f>HYPERLINK("#'Enrollment, Eligib. &amp; Cost'!IP1","Q2.9.7")</f>
        <v>Q2.9.7</v>
      </c>
      <c r="D250" s="93" t="str">
        <f>HYPERLINK("#'Enrollment, Eligib. &amp; Cost'!IP2","Company retroactively collects premiums for new spouse/DP or child(ren)")</f>
        <v>Company retroactively collects premiums for new spouse/DP or child(ren)</v>
      </c>
      <c r="E250" s="6"/>
      <c r="F250" s="7"/>
      <c r="G250" s="6"/>
      <c r="H250" s="7"/>
      <c r="I250" s="96" t="str">
        <f>HYPERLINK("#'Other Benefits'!IP1","Q5.6.15")</f>
        <v>Q5.6.15</v>
      </c>
      <c r="J250" s="93" t="str">
        <f>HYPERLINK("#'Other Benefits'!IP2","Percentage of hospital indemnity insurance premium paid by employee")</f>
        <v>Percentage of hospital indemnity insurance premium paid by employee</v>
      </c>
      <c r="K250" s="3" t="str">
        <f>HYPERLINK("#'Healthcare'!IP1","Q6.2.46_4_2")</f>
        <v>Q6.2.46_4_2</v>
      </c>
      <c r="L250" s="93" t="str">
        <f>HYPERLINK("#'Healthcare'!IP2","Primary PPO medical plan tier 4 coinsurance maximum: Retail/pharmacy - out-of-network")</f>
        <v>Primary PPO medical plan tier 4 coinsurance maximum: Retail/pharmacy - out-of-network</v>
      </c>
      <c r="M250" s="6"/>
      <c r="N250" s="7"/>
      <c r="O250" s="6"/>
      <c r="P250" s="7"/>
      <c r="Q250" s="6"/>
      <c r="R250" s="7"/>
      <c r="S250" s="6"/>
      <c r="T250" s="7"/>
      <c r="U250" s="6"/>
      <c r="V250" s="7"/>
      <c r="W250" s="96" t="str">
        <f>HYPERLINK("#'Vendors'!IP1","Q12.10.25")</f>
        <v>Q12.10.25</v>
      </c>
      <c r="X250" s="93" t="str">
        <f>HYPERLINK("#'Vendors'!IP2","Insurance/support vendors employed: Disability management (STD and LTD)")</f>
        <v>Insurance/support vendors employed: Disability management (STD and LTD)</v>
      </c>
    </row>
    <row r="251" spans="1:24" ht="25.5" x14ac:dyDescent="0.2">
      <c r="A251" s="6"/>
      <c r="B251" s="7"/>
      <c r="C251" s="96" t="str">
        <f>HYPERLINK("#'Enrollment, Eligib. &amp; Cost'!IQ1","Q2.9.8_1")</f>
        <v>Q2.9.8_1</v>
      </c>
      <c r="D251" s="93" t="str">
        <f>HYPERLINK("#'Enrollment, Eligib. &amp; Cost'!IQ2","Coverage criteria: Stepchildren")</f>
        <v>Coverage criteria: Stepchildren</v>
      </c>
      <c r="E251" s="6"/>
      <c r="F251" s="7"/>
      <c r="G251" s="6"/>
      <c r="H251" s="7"/>
      <c r="I251" s="96" t="str">
        <f>HYPERLINK("#'Other Benefits'!IQ1","Q5.6.16")</f>
        <v>Q5.6.16</v>
      </c>
      <c r="J251" s="93" t="str">
        <f>HYPERLINK("#'Other Benefits'!IQ2","Percentage of employees enrolled in hospital indemnity insurance program")</f>
        <v>Percentage of employees enrolled in hospital indemnity insurance program</v>
      </c>
      <c r="K251" s="3" t="str">
        <f>HYPERLINK("#'Healthcare'!IQ1","Q6.2.46_5_1")</f>
        <v>Q6.2.46_5_1</v>
      </c>
      <c r="L251" s="93" t="str">
        <f>HYPERLINK("#'Healthcare'!IQ2","Primary PPO medical plan tier 5 coinsurance minimum: Retail/pharmacy - out-of-network")</f>
        <v>Primary PPO medical plan tier 5 coinsurance minimum: Retail/pharmacy - out-of-network</v>
      </c>
      <c r="M251" s="6"/>
      <c r="N251" s="7"/>
      <c r="O251" s="6"/>
      <c r="P251" s="7"/>
      <c r="Q251" s="6"/>
      <c r="R251" s="7"/>
      <c r="S251" s="6"/>
      <c r="T251" s="7"/>
      <c r="U251" s="6"/>
      <c r="V251" s="7"/>
      <c r="W251" s="96" t="str">
        <f>HYPERLINK("#'Vendors'!IQ1","Q12.10.25_42_TEXT")</f>
        <v>Q12.10.25_42_TEXT</v>
      </c>
      <c r="X251" s="93" t="str">
        <f>HYPERLINK("#'Vendors'!IQ2","Other insurance/support vendors employed: Disability management (STD and LTD)")</f>
        <v>Other insurance/support vendors employed: Disability management (STD and LTD)</v>
      </c>
    </row>
    <row r="252" spans="1:24" ht="38.25" x14ac:dyDescent="0.2">
      <c r="A252" s="6"/>
      <c r="B252" s="7"/>
      <c r="C252" s="96" t="str">
        <f>HYPERLINK("#'Enrollment, Eligib. &amp; Cost'!IR1","Q2.9.8_2")</f>
        <v>Q2.9.8_2</v>
      </c>
      <c r="D252" s="93" t="str">
        <f>HYPERLINK("#'Enrollment, Eligib. &amp; Cost'!IR2","Coverage criteria: Adopted children")</f>
        <v>Coverage criteria: Adopted children</v>
      </c>
      <c r="E252" s="6"/>
      <c r="F252" s="7"/>
      <c r="G252" s="6"/>
      <c r="H252" s="7"/>
      <c r="I252" s="96" t="str">
        <f>HYPERLINK("#'Other Benefits'!IR1","Q5.6.18")</f>
        <v>Q5.6.18</v>
      </c>
      <c r="J252" s="93" t="str">
        <f>HYPERLINK("#'Other Benefits'!IR2","Legal assistance benefits provided to employees: Referral through employee assistance program")</f>
        <v>Legal assistance benefits provided to employees: Referral through employee assistance program</v>
      </c>
      <c r="K252" s="3" t="str">
        <f>HYPERLINK("#'Healthcare'!IR1","Q6.2.46_5_2")</f>
        <v>Q6.2.46_5_2</v>
      </c>
      <c r="L252" s="93" t="str">
        <f>HYPERLINK("#'Healthcare'!IR2","Primary PPO medical plan tier 5 coinsurance maximum: Retail/pharmacy - out-of-network")</f>
        <v>Primary PPO medical plan tier 5 coinsurance maximum: Retail/pharmacy - out-of-network</v>
      </c>
      <c r="M252" s="6"/>
      <c r="N252" s="7"/>
      <c r="O252" s="6"/>
      <c r="P252" s="7"/>
      <c r="Q252" s="6"/>
      <c r="R252" s="7"/>
      <c r="S252" s="6"/>
      <c r="T252" s="7"/>
      <c r="U252" s="6"/>
      <c r="V252" s="7"/>
      <c r="W252" s="96" t="str">
        <f>HYPERLINK("#'Vendors'!IR1","Q12.10.26")</f>
        <v>Q12.10.26</v>
      </c>
      <c r="X252" s="93" t="str">
        <f>HYPERLINK("#'Vendors'!IR2","Insurance/support vendors employed: Long-term disability carrier/administrator")</f>
        <v>Insurance/support vendors employed: Long-term disability carrier/administrator</v>
      </c>
    </row>
    <row r="253" spans="1:24" ht="38.25" x14ac:dyDescent="0.2">
      <c r="A253" s="6"/>
      <c r="B253" s="7"/>
      <c r="C253" s="96" t="str">
        <f>HYPERLINK("#'Enrollment, Eligib. &amp; Cost'!IS1","Q2.9.8_3")</f>
        <v>Q2.9.8_3</v>
      </c>
      <c r="D253" s="93" t="str">
        <f>HYPERLINK("#'Enrollment, Eligib. &amp; Cost'!IS2","Coverage criteria: Foster children")</f>
        <v>Coverage criteria: Foster children</v>
      </c>
      <c r="E253" s="6"/>
      <c r="F253" s="7"/>
      <c r="G253" s="6"/>
      <c r="H253" s="7"/>
      <c r="I253" s="96" t="str">
        <f>HYPERLINK("#'Other Benefits'!IS1","Q5.6.19")</f>
        <v>Q5.6.19</v>
      </c>
      <c r="J253" s="93" t="str">
        <f>HYPERLINK("#'Other Benefits'!IS2","Legal assistance benefits eligibility")</f>
        <v>Legal assistance benefits eligibility</v>
      </c>
      <c r="K253" s="3" t="str">
        <f>HYPERLINK("#'Healthcare'!IS1","Q6.2.46_6_1")</f>
        <v>Q6.2.46_6_1</v>
      </c>
      <c r="L253" s="93" t="str">
        <f>HYPERLINK("#'Healthcare'!IS2","Primary PPO medical plan specialty coinsurance minimum: Retail/pharmacy - out-of-network")</f>
        <v>Primary PPO medical plan specialty coinsurance minimum: Retail/pharmacy - out-of-network</v>
      </c>
      <c r="M253" s="6"/>
      <c r="N253" s="7"/>
      <c r="O253" s="6"/>
      <c r="P253" s="7"/>
      <c r="Q253" s="6"/>
      <c r="R253" s="7"/>
      <c r="S253" s="6"/>
      <c r="T253" s="7"/>
      <c r="U253" s="6"/>
      <c r="V253" s="7"/>
      <c r="W253" s="96" t="str">
        <f>HYPERLINK("#'Vendors'!IS1","Q12.10.26_42_TEXT")</f>
        <v>Q12.10.26_42_TEXT</v>
      </c>
      <c r="X253" s="93" t="str">
        <f>HYPERLINK("#'Vendors'!IS2","Other insurance/support vendors employed: Long-term disability carrier/administrator")</f>
        <v>Other insurance/support vendors employed: Long-term disability carrier/administrator</v>
      </c>
    </row>
    <row r="254" spans="1:24" ht="38.25" x14ac:dyDescent="0.2">
      <c r="A254" s="6"/>
      <c r="B254" s="7"/>
      <c r="C254" s="96" t="str">
        <f>HYPERLINK("#'Enrollment, Eligib. &amp; Cost'!IT1","Q2.9.8_4")</f>
        <v>Q2.9.8_4</v>
      </c>
      <c r="D254" s="93" t="str">
        <f>HYPERLINK("#'Enrollment, Eligib. &amp; Cost'!IT2","Coverage criteria: Grandchildren")</f>
        <v>Coverage criteria: Grandchildren</v>
      </c>
      <c r="E254" s="6"/>
      <c r="F254" s="7"/>
      <c r="G254" s="6"/>
      <c r="H254" s="7"/>
      <c r="I254" s="96" t="str">
        <f>HYPERLINK("#'Other Benefits'!IT1","Q5.7.2")</f>
        <v>Q5.7.2</v>
      </c>
      <c r="J254" s="93" t="str">
        <f>HYPERLINK("#'Other Benefits'!IT2","Wellbeing benefits offered")</f>
        <v>Wellbeing benefits offered</v>
      </c>
      <c r="K254" s="3" t="str">
        <f>HYPERLINK("#'Healthcare'!IT1","Q6.2.46_6_2")</f>
        <v>Q6.2.46_6_2</v>
      </c>
      <c r="L254" s="93" t="str">
        <f>HYPERLINK("#'Healthcare'!IT2","Primary PPO medical plan specialty coinsurance maximum: Retail/pharmacy - out-of-network")</f>
        <v>Primary PPO medical plan specialty coinsurance maximum: Retail/pharmacy - out-of-network</v>
      </c>
      <c r="M254" s="6"/>
      <c r="N254" s="7"/>
      <c r="O254" s="6"/>
      <c r="P254" s="7"/>
      <c r="Q254" s="6"/>
      <c r="R254" s="7"/>
      <c r="S254" s="6"/>
      <c r="T254" s="7"/>
      <c r="U254" s="6"/>
      <c r="V254" s="7"/>
      <c r="W254" s="96" t="str">
        <f>HYPERLINK("#'Vendors'!IT1","Q12.10.27")</f>
        <v>Q12.10.27</v>
      </c>
      <c r="X254" s="93" t="str">
        <f>HYPERLINK("#'Vendors'!IT2","Insurance/support vendors employed: Workers compensation")</f>
        <v>Insurance/support vendors employed: Workers compensation</v>
      </c>
    </row>
    <row r="255" spans="1:24" ht="25.5" x14ac:dyDescent="0.2">
      <c r="A255" s="6"/>
      <c r="B255" s="7"/>
      <c r="C255" s="96" t="str">
        <f>HYPERLINK("#'Enrollment, Eligib. &amp; Cost'!IU1","Q2.9.8_5")</f>
        <v>Q2.9.8_5</v>
      </c>
      <c r="D255" s="93" t="str">
        <f>HYPERLINK("#'Enrollment, Eligib. &amp; Cost'!IU2","Coverage criteria: Niece/nephew")</f>
        <v>Coverage criteria: Niece/nephew</v>
      </c>
      <c r="E255" s="6"/>
      <c r="F255" s="7"/>
      <c r="G255" s="6"/>
      <c r="H255" s="7"/>
      <c r="I255" s="96" t="str">
        <f>HYPERLINK("#'Other Benefits'!IU1","Q5.7.4")</f>
        <v>Q5.7.4</v>
      </c>
      <c r="J255" s="93" t="str">
        <f>HYPERLINK("#'Other Benefits'!IU2","Number of free counseling sessions or assessments in emotional wellbeing program")</f>
        <v>Number of free counseling sessions or assessments in emotional wellbeing program</v>
      </c>
      <c r="K255" s="3" t="str">
        <f>HYPERLINK("#'Healthcare'!IU1","Q6.2.46_7_1")</f>
        <v>Q6.2.46_7_1</v>
      </c>
      <c r="L255" s="93" t="str">
        <f>HYPERLINK("#'Healthcare'!IU2","Primary PPO medical plan Other coinsurance minimum: Retail/pharmacy - out-of-network")</f>
        <v>Primary PPO medical plan Other coinsurance minimum: Retail/pharmacy - out-of-network</v>
      </c>
      <c r="M255" s="6"/>
      <c r="N255" s="7"/>
      <c r="O255" s="6"/>
      <c r="P255" s="7"/>
      <c r="Q255" s="6"/>
      <c r="R255" s="7"/>
      <c r="S255" s="6"/>
      <c r="T255" s="7"/>
      <c r="U255" s="6"/>
      <c r="V255" s="7"/>
      <c r="W255" s="96" t="str">
        <f>HYPERLINK("#'Vendors'!IU1","Q12.10.27_42_TEXT")</f>
        <v>Q12.10.27_42_TEXT</v>
      </c>
      <c r="X255" s="93" t="str">
        <f>HYPERLINK("#'Vendors'!IU2","Other insurance/support vendors employed: Workers compensation")</f>
        <v>Other insurance/support vendors employed: Workers compensation</v>
      </c>
    </row>
    <row r="256" spans="1:24" ht="38.25" x14ac:dyDescent="0.2">
      <c r="A256" s="6"/>
      <c r="B256" s="7"/>
      <c r="C256" s="96" t="str">
        <f>HYPERLINK("#'Enrollment, Eligib. &amp; Cost'!IV1","Q2.9.8_6")</f>
        <v>Q2.9.8_6</v>
      </c>
      <c r="D256" s="93" t="str">
        <f>HYPERLINK("#'Enrollment, Eligib. &amp; Cost'!IV2","Coverage criteria: Children of eligible domestic partner (enrolled)")</f>
        <v>Coverage criteria: Children of eligible domestic partner (enrolled)</v>
      </c>
      <c r="E256" s="6"/>
      <c r="F256" s="7"/>
      <c r="G256" s="6"/>
      <c r="H256" s="7"/>
      <c r="I256" s="96" t="str">
        <f>HYPERLINK("#'Other Benefits'!IV1","Q5.7.6")</f>
        <v>Q5.7.6</v>
      </c>
      <c r="J256" s="93" t="str">
        <f>HYPERLINK("#'Other Benefits'!IV2","Number of initial free counseling sessions or assessments in employee assistance program (EAP)")</f>
        <v>Number of initial free counseling sessions or assessments in employee assistance program (EAP)</v>
      </c>
      <c r="K256" s="3" t="str">
        <f>HYPERLINK("#'Healthcare'!IV1","Q6.2.46_7_2")</f>
        <v>Q6.2.46_7_2</v>
      </c>
      <c r="L256" s="93" t="str">
        <f>HYPERLINK("#'Healthcare'!IV2","Primary PPO medical plan Other coinsurance maximum: Retail/pharmacy - out-of-network")</f>
        <v>Primary PPO medical plan Other coinsurance maximum: Retail/pharmacy - out-of-network</v>
      </c>
      <c r="M256" s="6"/>
      <c r="N256" s="7"/>
      <c r="O256" s="6"/>
      <c r="P256" s="7"/>
      <c r="Q256" s="6"/>
      <c r="R256" s="7"/>
      <c r="S256" s="6"/>
      <c r="T256" s="7"/>
      <c r="U256" s="6"/>
      <c r="V256" s="7"/>
      <c r="W256" s="96" t="str">
        <f>HYPERLINK("#'Vendors'!IV1","Q12.10.28")</f>
        <v>Q12.10.28</v>
      </c>
      <c r="X256" s="93" t="str">
        <f>HYPERLINK("#'Vendors'!IV2","Insurance/support vendor(s) terminated in 2021")</f>
        <v>Insurance/support vendor(s) terminated in 2021</v>
      </c>
    </row>
    <row r="257" spans="1:24" ht="25.5" x14ac:dyDescent="0.2">
      <c r="A257" s="6"/>
      <c r="B257" s="7"/>
      <c r="C257" s="96" t="str">
        <f>HYPERLINK("#'Enrollment, Eligib. &amp; Cost'!IW1","Q2.9.8_7")</f>
        <v>Q2.9.8_7</v>
      </c>
      <c r="D257" s="93" t="str">
        <f>HYPERLINK("#'Enrollment, Eligib. &amp; Cost'!IW2","Coverage criteria: Children of eligible domestic partner (not enrolled)")</f>
        <v>Coverage criteria: Children of eligible domestic partner (not enrolled)</v>
      </c>
      <c r="E257" s="6"/>
      <c r="F257" s="7"/>
      <c r="G257" s="6"/>
      <c r="H257" s="7"/>
      <c r="I257" s="96" t="str">
        <f>HYPERLINK("#'Other Benefits'!IW1","Q5.7.7_1")</f>
        <v>Q5.7.7_1</v>
      </c>
      <c r="J257" s="93" t="str">
        <f>HYPERLINK("#'Other Benefits'!IW2","Services covered under EAP: Alcohol/substance abuse")</f>
        <v>Services covered under EAP: Alcohol/substance abuse</v>
      </c>
      <c r="K257" s="3" t="str">
        <f>HYPERLINK("#'Healthcare'!IW1","Q6.2.47_1_1")</f>
        <v>Q6.2.47_1_1</v>
      </c>
      <c r="L257" s="93" t="str">
        <f>HYPERLINK("#'Healthcare'!IW2","Primary PPO medical plan tier 1 coinsurance: Mail order - in-network")</f>
        <v>Primary PPO medical plan tier 1 coinsurance: Mail order - in-network</v>
      </c>
      <c r="M257" s="6"/>
      <c r="N257" s="7"/>
      <c r="O257" s="6"/>
      <c r="P257" s="7"/>
      <c r="Q257" s="6"/>
      <c r="R257" s="7"/>
      <c r="S257" s="6"/>
      <c r="T257" s="7"/>
      <c r="U257" s="6"/>
      <c r="V257" s="7"/>
      <c r="W257" s="96" t="str">
        <f>HYPERLINK("#'Vendors'!IW1","Q12.10.29_1")</f>
        <v>Q12.10.29_1</v>
      </c>
      <c r="X257" s="93" t="str">
        <f>HYPERLINK("#'Vendors'!IW2","Terminated insurance/support vendors: Life/AD&amp;D")</f>
        <v>Terminated insurance/support vendors: Life/AD&amp;D</v>
      </c>
    </row>
    <row r="258" spans="1:24" ht="25.5" x14ac:dyDescent="0.2">
      <c r="A258" s="6"/>
      <c r="B258" s="7"/>
      <c r="C258" s="96" t="str">
        <f>HYPERLINK("#'Enrollment, Eligib. &amp; Cost'!IX1","Q2.9.9")</f>
        <v>Q2.9.9</v>
      </c>
      <c r="D258" s="93" t="str">
        <f>HYPERLINK("#'Enrollment, Eligib. &amp; Cost'!IX2","When benefits end for qualified change of status events where coverage is terminated")</f>
        <v>When benefits end for qualified change of status events where coverage is terminated</v>
      </c>
      <c r="E258" s="6"/>
      <c r="F258" s="7"/>
      <c r="G258" s="6"/>
      <c r="H258" s="7"/>
      <c r="I258" s="96" t="str">
        <f>HYPERLINK("#'Other Benefits'!IX1","Q5.7.7_2")</f>
        <v>Q5.7.7_2</v>
      </c>
      <c r="J258" s="93" t="str">
        <f>HYPERLINK("#'Other Benefits'!IX2","Services covered under EAP: Mental health")</f>
        <v>Services covered under EAP: Mental health</v>
      </c>
      <c r="K258" s="3" t="str">
        <f>HYPERLINK("#'Healthcare'!IX1","Q6.2.47_2_1")</f>
        <v>Q6.2.47_2_1</v>
      </c>
      <c r="L258" s="93" t="str">
        <f>HYPERLINK("#'Healthcare'!IX2","Primary PPO medical plan tier 2 coinsurance: Mail order - in-network")</f>
        <v>Primary PPO medical plan tier 2 coinsurance: Mail order - in-network</v>
      </c>
      <c r="M258" s="6"/>
      <c r="N258" s="7"/>
      <c r="O258" s="6"/>
      <c r="P258" s="7"/>
      <c r="Q258" s="6"/>
      <c r="R258" s="7"/>
      <c r="S258" s="6"/>
      <c r="T258" s="7"/>
      <c r="U258" s="6"/>
      <c r="V258" s="7"/>
      <c r="W258" s="96" t="str">
        <f>HYPERLINK("#'Vendors'!IX1","Q12.10.29_2")</f>
        <v>Q12.10.29_2</v>
      </c>
      <c r="X258" s="93" t="str">
        <f>HYPERLINK("#'Vendors'!IX2","Terminated insurance/support vendors: Business travel accident (BTA)")</f>
        <v>Terminated insurance/support vendors: Business travel accident (BTA)</v>
      </c>
    </row>
    <row r="259" spans="1:24" ht="38.25" x14ac:dyDescent="0.2">
      <c r="A259" s="6"/>
      <c r="B259" s="7"/>
      <c r="C259" s="96" t="str">
        <f>HYPERLINK("#'Enrollment, Eligib. &amp; Cost'!IY1","Q2.9.10")</f>
        <v>Q2.9.10</v>
      </c>
      <c r="D259" s="93" t="str">
        <f>HYPERLINK("#'Enrollment, Eligib. &amp; Cost'!IY2","Other date when benefits end for qualified change of status events where coverage is terminated")</f>
        <v>Other date when benefits end for qualified change of status events where coverage is terminated</v>
      </c>
      <c r="E259" s="6"/>
      <c r="F259" s="7"/>
      <c r="G259" s="6"/>
      <c r="H259" s="7"/>
      <c r="I259" s="96" t="str">
        <f>HYPERLINK("#'Other Benefits'!IY1","Q5.7.7_3")</f>
        <v>Q5.7.7_3</v>
      </c>
      <c r="J259" s="93" t="str">
        <f>HYPERLINK("#'Other Benefits'!IY2","Services covered under EAP: Legal assistance")</f>
        <v>Services covered under EAP: Legal assistance</v>
      </c>
      <c r="K259" s="3" t="str">
        <f>HYPERLINK("#'Healthcare'!IY1","Q6.2.47_3_1")</f>
        <v>Q6.2.47_3_1</v>
      </c>
      <c r="L259" s="93" t="str">
        <f>HYPERLINK("#'Healthcare'!IY2","Primary PPO medical plan tier 3 coinsurance: Mail order - in-network")</f>
        <v>Primary PPO medical plan tier 3 coinsurance: Mail order - in-network</v>
      </c>
      <c r="M259" s="6"/>
      <c r="N259" s="7"/>
      <c r="O259" s="6"/>
      <c r="P259" s="7"/>
      <c r="Q259" s="6"/>
      <c r="R259" s="7"/>
      <c r="S259" s="6"/>
      <c r="T259" s="7"/>
      <c r="U259" s="6"/>
      <c r="V259" s="7"/>
      <c r="W259" s="96" t="str">
        <f>HYPERLINK("#'Vendors'!IY1","Q12.10.29_3")</f>
        <v>Q12.10.29_3</v>
      </c>
      <c r="X259" s="93" t="str">
        <f>HYPERLINK("#'Vendors'!IY2","Terminated insurance/support vendors: Short-term disability (STD)")</f>
        <v>Terminated insurance/support vendors: Short-term disability (STD)</v>
      </c>
    </row>
    <row r="260" spans="1:24" ht="25.5" x14ac:dyDescent="0.2">
      <c r="A260" s="6"/>
      <c r="B260" s="7"/>
      <c r="C260" s="96" t="str">
        <f>HYPERLINK("#'Enrollment, Eligib. &amp; Cost'!IZ1","Q2.10.2")</f>
        <v>Q2.10.2</v>
      </c>
      <c r="D260" s="93" t="str">
        <f>HYPERLINK("#'Enrollment, Eligib. &amp; Cost'!IZ2","Definition of domestic partner written in summary plan description")</f>
        <v>Definition of domestic partner written in summary plan description</v>
      </c>
      <c r="E260" s="6"/>
      <c r="F260" s="7"/>
      <c r="G260" s="6"/>
      <c r="H260" s="7"/>
      <c r="I260" s="96" t="str">
        <f>HYPERLINK("#'Other Benefits'!IZ1","Q5.7.7_4")</f>
        <v>Q5.7.7_4</v>
      </c>
      <c r="J260" s="93" t="str">
        <f>HYPERLINK("#'Other Benefits'!IZ2","Services covered under EAP: Financial assistance")</f>
        <v>Services covered under EAP: Financial assistance</v>
      </c>
      <c r="K260" s="3" t="str">
        <f>HYPERLINK("#'Healthcare'!IZ1","Q6.2.47_4_1")</f>
        <v>Q6.2.47_4_1</v>
      </c>
      <c r="L260" s="93" t="str">
        <f>HYPERLINK("#'Healthcare'!IZ2","Primary PPO medical plan tier 4 coinsurance: Mail order - in-network")</f>
        <v>Primary PPO medical plan tier 4 coinsurance: Mail order - in-network</v>
      </c>
      <c r="M260" s="6"/>
      <c r="N260" s="7"/>
      <c r="O260" s="6"/>
      <c r="P260" s="7"/>
      <c r="Q260" s="6"/>
      <c r="R260" s="7"/>
      <c r="S260" s="6"/>
      <c r="T260" s="7"/>
      <c r="U260" s="6"/>
      <c r="V260" s="7"/>
      <c r="W260" s="96" t="str">
        <f>HYPERLINK("#'Vendors'!IZ1","Q12.10.29_4")</f>
        <v>Q12.10.29_4</v>
      </c>
      <c r="X260" s="93" t="str">
        <f>HYPERLINK("#'Vendors'!IZ2","Terminated insurance/support vendors: Disability claims administrator")</f>
        <v>Terminated insurance/support vendors: Disability claims administrator</v>
      </c>
    </row>
    <row r="261" spans="1:24" ht="25.5" x14ac:dyDescent="0.2">
      <c r="A261" s="6"/>
      <c r="B261" s="7"/>
      <c r="C261" s="96" t="str">
        <f>HYPERLINK("#'Enrollment, Eligib. &amp; Cost'!JA1","Q2.10.3")</f>
        <v>Q2.10.3</v>
      </c>
      <c r="D261" s="93" t="str">
        <f>HYPERLINK("#'Enrollment, Eligib. &amp; Cost'!JA2","Domestic partners eligible for medical benefits")</f>
        <v>Domestic partners eligible for medical benefits</v>
      </c>
      <c r="E261" s="6"/>
      <c r="F261" s="7"/>
      <c r="G261" s="6"/>
      <c r="H261" s="7"/>
      <c r="I261" s="96" t="str">
        <f>HYPERLINK("#'Other Benefits'!JA1","Q5.7.8")</f>
        <v>Q5.7.8</v>
      </c>
      <c r="J261" s="93" t="str">
        <f>HYPERLINK("#'Other Benefits'!JA2","Benefits provided through EAP")</f>
        <v>Benefits provided through EAP</v>
      </c>
      <c r="K261" s="3" t="str">
        <f>HYPERLINK("#'Healthcare'!JA1","Q6.2.47_5_1")</f>
        <v>Q6.2.47_5_1</v>
      </c>
      <c r="L261" s="93" t="str">
        <f>HYPERLINK("#'Healthcare'!JA2","Primary PPO medical plan tier 5 coinsurance: Mail order - in-network")</f>
        <v>Primary PPO medical plan tier 5 coinsurance: Mail order - in-network</v>
      </c>
      <c r="M261" s="6"/>
      <c r="N261" s="7"/>
      <c r="O261" s="6"/>
      <c r="P261" s="7"/>
      <c r="Q261" s="6"/>
      <c r="R261" s="7"/>
      <c r="S261" s="6"/>
      <c r="T261" s="7"/>
      <c r="U261" s="6"/>
      <c r="V261" s="7"/>
      <c r="W261" s="96" t="str">
        <f>HYPERLINK("#'Vendors'!JA1","Q12.10.29_5")</f>
        <v>Q12.10.29_5</v>
      </c>
      <c r="X261" s="93" t="str">
        <f>HYPERLINK("#'Vendors'!JA2","Terminated insurance/support vendors: Disability management (STD and LTD)")</f>
        <v>Terminated insurance/support vendors: Disability management (STD and LTD)</v>
      </c>
    </row>
    <row r="262" spans="1:24" ht="26.25" thickBot="1" x14ac:dyDescent="0.25">
      <c r="A262" s="6"/>
      <c r="B262" s="7"/>
      <c r="C262" s="96" t="str">
        <f>HYPERLINK("#'Enrollment, Eligib. &amp; Cost'!JB1","Q2.10.4")</f>
        <v>Q2.10.4</v>
      </c>
      <c r="D262" s="93" t="str">
        <f>HYPERLINK("#'Enrollment, Eligib. &amp; Cost'!JB2","Benefits offered to domestic partners: Opposite-sex")</f>
        <v>Benefits offered to domestic partners: Opposite-sex</v>
      </c>
      <c r="E262" s="6"/>
      <c r="F262" s="7"/>
      <c r="G262" s="6"/>
      <c r="H262" s="7"/>
      <c r="I262" s="97" t="str">
        <f>HYPERLINK("#'Other Benefits'!JB1","Q5.7.9")</f>
        <v>Q5.7.9</v>
      </c>
      <c r="J262" s="94" t="str">
        <f>HYPERLINK("#'Other Benefits'!JB2","EAP delivery method(s)")</f>
        <v>EAP delivery method(s)</v>
      </c>
      <c r="K262" s="3" t="str">
        <f>HYPERLINK("#'Healthcare'!JB1","Q6.2.47_6_1")</f>
        <v>Q6.2.47_6_1</v>
      </c>
      <c r="L262" s="93" t="str">
        <f>HYPERLINK("#'Healthcare'!JB2","Primary PPO medical plan specialty coinsurance: Mail order - in-network")</f>
        <v>Primary PPO medical plan specialty coinsurance: Mail order - in-network</v>
      </c>
      <c r="M262" s="6"/>
      <c r="N262" s="7"/>
      <c r="O262" s="6"/>
      <c r="P262" s="7"/>
      <c r="Q262" s="6"/>
      <c r="R262" s="7"/>
      <c r="S262" s="6"/>
      <c r="T262" s="7"/>
      <c r="U262" s="6"/>
      <c r="V262" s="7"/>
      <c r="W262" s="96" t="str">
        <f>HYPERLINK("#'Vendors'!JB1","Q12.10.29_6")</f>
        <v>Q12.10.29_6</v>
      </c>
      <c r="X262" s="93" t="str">
        <f>HYPERLINK("#'Vendors'!JB2","Terminated insurance/support vendors: Long-term disability carrier/administrator")</f>
        <v>Terminated insurance/support vendors: Long-term disability carrier/administrator</v>
      </c>
    </row>
    <row r="263" spans="1:24" ht="25.5" x14ac:dyDescent="0.2">
      <c r="A263" s="6"/>
      <c r="B263" s="7"/>
      <c r="C263" s="96" t="str">
        <f>HYPERLINK("#'Enrollment, Eligib. &amp; Cost'!JC1","Q2.10.5")</f>
        <v>Q2.10.5</v>
      </c>
      <c r="D263" s="93" t="str">
        <f>HYPERLINK("#'Enrollment, Eligib. &amp; Cost'!JC2","Benefits offered to domestic partners: Same-sex")</f>
        <v>Benefits offered to domestic partners: Same-sex</v>
      </c>
      <c r="E263" s="6"/>
      <c r="F263" s="7"/>
      <c r="G263" s="6"/>
      <c r="H263" s="7"/>
      <c r="I263" s="6"/>
      <c r="J263" s="7"/>
      <c r="K263" s="96" t="str">
        <f>HYPERLINK("#'Healthcare'!JC1","Q6.2.47_7_1")</f>
        <v>Q6.2.47_7_1</v>
      </c>
      <c r="L263" s="93" t="str">
        <f>HYPERLINK("#'Healthcare'!JC2","Primary PPO medical plan Other coinsurance: Mail order - in-network")</f>
        <v>Primary PPO medical plan Other coinsurance: Mail order - in-network</v>
      </c>
      <c r="M263" s="6"/>
      <c r="N263" s="7"/>
      <c r="O263" s="6"/>
      <c r="P263" s="7"/>
      <c r="Q263" s="6"/>
      <c r="R263" s="7"/>
      <c r="S263" s="6"/>
      <c r="T263" s="7"/>
      <c r="U263" s="6"/>
      <c r="V263" s="7"/>
      <c r="W263" s="96" t="str">
        <f>HYPERLINK("#'Vendors'!JC1","Q12.10.29_7")</f>
        <v>Q12.10.29_7</v>
      </c>
      <c r="X263" s="93" t="str">
        <f>HYPERLINK("#'Vendors'!JC2","Terminated insurance/support vendors: Workers compensation")</f>
        <v>Terminated insurance/support vendors: Workers compensation</v>
      </c>
    </row>
    <row r="264" spans="1:24" ht="25.5" x14ac:dyDescent="0.2">
      <c r="A264" s="6"/>
      <c r="B264" s="7"/>
      <c r="C264" s="96" t="str">
        <f>HYPERLINK("#'Enrollment, Eligib. &amp; Cost'!JD1","Q2.10.6")</f>
        <v>Q2.10.6</v>
      </c>
      <c r="D264" s="93" t="str">
        <f>HYPERLINK("#'Enrollment, Eligib. &amp; Cost'!JD2","When domestic partners can enroll")</f>
        <v>When domestic partners can enroll</v>
      </c>
      <c r="E264" s="6"/>
      <c r="F264" s="7"/>
      <c r="G264" s="6"/>
      <c r="H264" s="7"/>
      <c r="I264" s="6"/>
      <c r="J264" s="7"/>
      <c r="K264" s="96" t="str">
        <f>HYPERLINK("#'Healthcare'!JD1","Q6.2.48_1_1")</f>
        <v>Q6.2.48_1_1</v>
      </c>
      <c r="L264" s="93" t="str">
        <f>HYPERLINK("#'Healthcare'!JD2","Primary PPO medical plan tier 1 coinsurance minimum: Mail order - in-network")</f>
        <v>Primary PPO medical plan tier 1 coinsurance minimum: Mail order - in-network</v>
      </c>
      <c r="M264" s="6"/>
      <c r="N264" s="7"/>
      <c r="O264" s="6"/>
      <c r="P264" s="7"/>
      <c r="Q264" s="6"/>
      <c r="R264" s="7"/>
      <c r="S264" s="6"/>
      <c r="T264" s="7"/>
      <c r="U264" s="6"/>
      <c r="V264" s="7"/>
      <c r="W264" s="96" t="str">
        <f>HYPERLINK("#'Vendors'!JD1","Q12.10.31")</f>
        <v>Q12.10.31</v>
      </c>
      <c r="X264" s="93" t="str">
        <f>HYPERLINK("#'Vendors'!JD2","Retirement solutions vendors employed: 401(k) plan recordkeeper/administrator")</f>
        <v>Retirement solutions vendors employed: 401(k) plan recordkeeper/administrator</v>
      </c>
    </row>
    <row r="265" spans="1:24" ht="25.5" x14ac:dyDescent="0.2">
      <c r="A265" s="6"/>
      <c r="B265" s="7"/>
      <c r="C265" s="96" t="str">
        <f>HYPERLINK("#'Enrollment, Eligib. &amp; Cost'!JE1","Q2.10.7")</f>
        <v>Q2.10.7</v>
      </c>
      <c r="D265" s="93" t="str">
        <f>HYPERLINK("#'Enrollment, Eligib. &amp; Cost'!JE2","Employees required to provide and submit physical proof of dependent eligibility")</f>
        <v>Employees required to provide and submit physical proof of dependent eligibility</v>
      </c>
      <c r="E265" s="6"/>
      <c r="F265" s="7"/>
      <c r="G265" s="6"/>
      <c r="H265" s="7"/>
      <c r="I265" s="6"/>
      <c r="J265" s="7"/>
      <c r="K265" s="96" t="str">
        <f>HYPERLINK("#'Healthcare'!JE1","Q6.2.48_1_2")</f>
        <v>Q6.2.48_1_2</v>
      </c>
      <c r="L265" s="93" t="str">
        <f>HYPERLINK("#'Healthcare'!JE2","Primary PPO medical plan tier 1 coinsurance maximum: Mail order - in-network")</f>
        <v>Primary PPO medical plan tier 1 coinsurance maximum: Mail order - in-network</v>
      </c>
      <c r="M265" s="6"/>
      <c r="N265" s="7"/>
      <c r="O265" s="6"/>
      <c r="P265" s="7"/>
      <c r="Q265" s="6"/>
      <c r="R265" s="7"/>
      <c r="S265" s="6"/>
      <c r="T265" s="7"/>
      <c r="U265" s="6"/>
      <c r="V265" s="7"/>
      <c r="W265" s="96" t="str">
        <f>HYPERLINK("#'Vendors'!JE1","Q12.10.31_38_TEXT")</f>
        <v>Q12.10.31_38_TEXT</v>
      </c>
      <c r="X265" s="93" t="str">
        <f>HYPERLINK("#'Vendors'!JE2","Other retirement solutions vendors employed: 401(k) plan recordkeeper/administrator")</f>
        <v>Other retirement solutions vendors employed: 401(k) plan recordkeeper/administrator</v>
      </c>
    </row>
    <row r="266" spans="1:24" ht="38.25" x14ac:dyDescent="0.2">
      <c r="A266" s="6"/>
      <c r="B266" s="7"/>
      <c r="C266" s="96" t="str">
        <f>HYPERLINK("#'Enrollment, Eligib. &amp; Cost'!JF1","Q2.10.9")</f>
        <v>Q2.10.9</v>
      </c>
      <c r="D266" s="93" t="str">
        <f>HYPERLINK("#'Enrollment, Eligib. &amp; Cost'!JF2","Basis used to impute income for domestic partners")</f>
        <v>Basis used to impute income for domestic partners</v>
      </c>
      <c r="E266" s="6"/>
      <c r="F266" s="7"/>
      <c r="G266" s="6"/>
      <c r="H266" s="7"/>
      <c r="I266" s="6"/>
      <c r="J266" s="7"/>
      <c r="K266" s="96" t="str">
        <f>HYPERLINK("#'Healthcare'!JF1","Q6.2.48_2_1")</f>
        <v>Q6.2.48_2_1</v>
      </c>
      <c r="L266" s="93" t="str">
        <f>HYPERLINK("#'Healthcare'!JF2","Primary PPO medical plan tier 2 coinsurance minimum: Mail order - in-network")</f>
        <v>Primary PPO medical plan tier 2 coinsurance minimum: Mail order - in-network</v>
      </c>
      <c r="M266" s="6"/>
      <c r="N266" s="7"/>
      <c r="O266" s="6"/>
      <c r="P266" s="7"/>
      <c r="Q266" s="6"/>
      <c r="R266" s="7"/>
      <c r="S266" s="6"/>
      <c r="T266" s="7"/>
      <c r="U266" s="6"/>
      <c r="V266" s="7"/>
      <c r="W266" s="96" t="str">
        <f>HYPERLINK("#'Vendors'!JF1","Q12.10.32")</f>
        <v>Q12.10.32</v>
      </c>
      <c r="X266" s="93" t="str">
        <f>HYPERLINK("#'Vendors'!JF2","Retirement solutions vendors employed: Non-qualified deferred compensation (NQDC) recordkeeper/administrator")</f>
        <v>Retirement solutions vendors employed: Non-qualified deferred compensation (NQDC) recordkeeper/administrator</v>
      </c>
    </row>
    <row r="267" spans="1:24" ht="38.25" x14ac:dyDescent="0.2">
      <c r="A267" s="6"/>
      <c r="B267" s="7"/>
      <c r="C267" s="96" t="str">
        <f>HYPERLINK("#'Enrollment, Eligib. &amp; Cost'!JG1","Q2.10.10")</f>
        <v>Q2.10.10</v>
      </c>
      <c r="D267" s="93" t="str">
        <f>HYPERLINK("#'Enrollment, Eligib. &amp; Cost'!JG2","Groups that are 'grossed up' to reimburse for taxes paid")</f>
        <v>Groups that are 'grossed up' to reimburse for taxes paid</v>
      </c>
      <c r="E267" s="6"/>
      <c r="F267" s="7"/>
      <c r="G267" s="6"/>
      <c r="H267" s="7"/>
      <c r="I267" s="6"/>
      <c r="J267" s="7"/>
      <c r="K267" s="96" t="str">
        <f>HYPERLINK("#'Healthcare'!JG1","Q6.2.48_2_2")</f>
        <v>Q6.2.48_2_2</v>
      </c>
      <c r="L267" s="93" t="str">
        <f>HYPERLINK("#'Healthcare'!JG2","Primary PPO medical plan tier 2 coinsurance maximum: Mail order - in-network")</f>
        <v>Primary PPO medical plan tier 2 coinsurance maximum: Mail order - in-network</v>
      </c>
      <c r="M267" s="6"/>
      <c r="N267" s="7"/>
      <c r="O267" s="6"/>
      <c r="P267" s="7"/>
      <c r="Q267" s="6"/>
      <c r="R267" s="7"/>
      <c r="S267" s="6"/>
      <c r="T267" s="7"/>
      <c r="U267" s="6"/>
      <c r="V267" s="7"/>
      <c r="W267" s="96" t="str">
        <f>HYPERLINK("#'Vendors'!JG1","Q12.10.32_38_TEXT")</f>
        <v>Q12.10.32_38_TEXT</v>
      </c>
      <c r="X267" s="93" t="str">
        <f>HYPERLINK("#'Vendors'!JG2","Other retirement solutions vendors employed: Non-qualified deferred compensation (NQDC) recordkeeper/administrator")</f>
        <v>Other retirement solutions vendors employed: Non-qualified deferred compensation (NQDC) recordkeeper/administrator</v>
      </c>
    </row>
    <row r="268" spans="1:24" ht="39" thickBot="1" x14ac:dyDescent="0.25">
      <c r="A268" s="6"/>
      <c r="B268" s="7"/>
      <c r="C268" s="97" t="str">
        <f>HYPERLINK("#'Enrollment, Eligib. &amp; Cost'!JH1","Q2.10.11")</f>
        <v>Q2.10.11</v>
      </c>
      <c r="D268" s="94" t="str">
        <f>HYPERLINK("#'Enrollment, Eligib. &amp; Cost'!JH2","Policy for state taxes for domestic partners")</f>
        <v>Policy for state taxes for domestic partners</v>
      </c>
      <c r="E268" s="6"/>
      <c r="F268" s="7"/>
      <c r="G268" s="6"/>
      <c r="H268" s="7"/>
      <c r="I268" s="6"/>
      <c r="J268" s="7"/>
      <c r="K268" s="96" t="str">
        <f>HYPERLINK("#'Healthcare'!JH1","Q6.2.48_3_1")</f>
        <v>Q6.2.48_3_1</v>
      </c>
      <c r="L268" s="93" t="str">
        <f>HYPERLINK("#'Healthcare'!JH2","Primary PPO medical plan tier 3 coinsurance minimum: Mail order - in-network")</f>
        <v>Primary PPO medical plan tier 3 coinsurance minimum: Mail order - in-network</v>
      </c>
      <c r="M268" s="6"/>
      <c r="N268" s="7"/>
      <c r="O268" s="6"/>
      <c r="P268" s="7"/>
      <c r="Q268" s="6"/>
      <c r="R268" s="7"/>
      <c r="S268" s="6"/>
      <c r="T268" s="7"/>
      <c r="U268" s="6"/>
      <c r="V268" s="7"/>
      <c r="W268" s="96" t="str">
        <f>HYPERLINK("#'Vendors'!JH1","Q12.10.33")</f>
        <v>Q12.10.33</v>
      </c>
      <c r="X268" s="93" t="str">
        <f>HYPERLINK("#'Vendors'!JH2","Retirement solutions vendors employed: Non-qualified deferred compensation (NQDC) trustee")</f>
        <v>Retirement solutions vendors employed: Non-qualified deferred compensation (NQDC) trustee</v>
      </c>
    </row>
    <row r="269" spans="1:24" ht="38.25" x14ac:dyDescent="0.2">
      <c r="A269" s="6"/>
      <c r="B269" s="7"/>
      <c r="C269" s="6"/>
      <c r="D269" s="7"/>
      <c r="E269" s="6"/>
      <c r="F269" s="7"/>
      <c r="G269" s="6"/>
      <c r="H269" s="7"/>
      <c r="I269" s="6"/>
      <c r="J269" s="7"/>
      <c r="K269" s="96" t="str">
        <f>HYPERLINK("#'Healthcare'!JI1","Q6.2.48_3_2")</f>
        <v>Q6.2.48_3_2</v>
      </c>
      <c r="L269" s="93" t="str">
        <f>HYPERLINK("#'Healthcare'!JI2","Primary PPO medical plan tier 3 coinsurance maximum: Mail order - in-network")</f>
        <v>Primary PPO medical plan tier 3 coinsurance maximum: Mail order - in-network</v>
      </c>
      <c r="M269" s="6"/>
      <c r="N269" s="7"/>
      <c r="O269" s="6"/>
      <c r="P269" s="7"/>
      <c r="Q269" s="6"/>
      <c r="R269" s="7"/>
      <c r="S269" s="6"/>
      <c r="T269" s="7"/>
      <c r="U269" s="6"/>
      <c r="V269" s="7"/>
      <c r="W269" s="96" t="str">
        <f>HYPERLINK("#'Vendors'!JI1","Q12.10.33_38_TEXT")</f>
        <v>Q12.10.33_38_TEXT</v>
      </c>
      <c r="X269" s="93" t="str">
        <f>HYPERLINK("#'Vendors'!JI2","Other retirement solutions vendors employed: Non-qualified deferred compensation (NQDC) trustee")</f>
        <v>Other retirement solutions vendors employed: Non-qualified deferred compensation (NQDC) trustee</v>
      </c>
    </row>
    <row r="270" spans="1:24" ht="25.5" x14ac:dyDescent="0.2">
      <c r="A270" s="6"/>
      <c r="B270" s="7"/>
      <c r="C270" s="6"/>
      <c r="D270" s="7"/>
      <c r="E270" s="6"/>
      <c r="F270" s="7"/>
      <c r="G270" s="6"/>
      <c r="H270" s="7"/>
      <c r="I270" s="6"/>
      <c r="J270" s="7"/>
      <c r="K270" s="96" t="str">
        <f>HYPERLINK("#'Healthcare'!JJ1","Q6.2.48_4_1")</f>
        <v>Q6.2.48_4_1</v>
      </c>
      <c r="L270" s="93" t="str">
        <f>HYPERLINK("#'Healthcare'!JJ2","Primary PPO medical plan tier 4 coinsurance minimum: Mail order - in-network")</f>
        <v>Primary PPO medical plan tier 4 coinsurance minimum: Mail order - in-network</v>
      </c>
      <c r="M270" s="6"/>
      <c r="N270" s="7"/>
      <c r="O270" s="6"/>
      <c r="P270" s="7"/>
      <c r="Q270" s="6"/>
      <c r="R270" s="7"/>
      <c r="S270" s="6"/>
      <c r="T270" s="7"/>
      <c r="U270" s="6"/>
      <c r="V270" s="7"/>
      <c r="W270" s="96" t="str">
        <f>HYPERLINK("#'Vendors'!JJ1","Q12.10.34")</f>
        <v>Q12.10.34</v>
      </c>
      <c r="X270" s="93" t="str">
        <f>HYPERLINK("#'Vendors'!JJ2","Retirement solutions vendors employed: Online retirement education/calculator")</f>
        <v>Retirement solutions vendors employed: Online retirement education/calculator</v>
      </c>
    </row>
    <row r="271" spans="1:24" ht="25.5" x14ac:dyDescent="0.2">
      <c r="A271" s="6"/>
      <c r="B271" s="7"/>
      <c r="C271" s="6"/>
      <c r="D271" s="7"/>
      <c r="E271" s="6"/>
      <c r="F271" s="7"/>
      <c r="G271" s="6"/>
      <c r="H271" s="7"/>
      <c r="I271" s="6"/>
      <c r="J271" s="7"/>
      <c r="K271" s="96" t="str">
        <f>HYPERLINK("#'Healthcare'!JK1","Q6.2.48_4_2")</f>
        <v>Q6.2.48_4_2</v>
      </c>
      <c r="L271" s="93" t="str">
        <f>HYPERLINK("#'Healthcare'!JK2","Primary PPO medical plan tier 4 coinsurance maximum: Mail order - in-network")</f>
        <v>Primary PPO medical plan tier 4 coinsurance maximum: Mail order - in-network</v>
      </c>
      <c r="M271" s="6"/>
      <c r="N271" s="7"/>
      <c r="O271" s="6"/>
      <c r="P271" s="7"/>
      <c r="Q271" s="6"/>
      <c r="R271" s="7"/>
      <c r="S271" s="6"/>
      <c r="T271" s="7"/>
      <c r="U271" s="6"/>
      <c r="V271" s="7"/>
      <c r="W271" s="96" t="str">
        <f>HYPERLINK("#'Vendors'!JK1","Q12.10.34_38_TEXT")</f>
        <v>Q12.10.34_38_TEXT</v>
      </c>
      <c r="X271" s="93" t="str">
        <f>HYPERLINK("#'Vendors'!JK2","Other retirement solutions vendors employed: Online retirement education/calculator")</f>
        <v>Other retirement solutions vendors employed: Online retirement education/calculator</v>
      </c>
    </row>
    <row r="272" spans="1:24" ht="25.5" x14ac:dyDescent="0.2">
      <c r="A272" s="6"/>
      <c r="B272" s="7"/>
      <c r="C272" s="6"/>
      <c r="D272" s="7"/>
      <c r="E272" s="6"/>
      <c r="F272" s="7"/>
      <c r="G272" s="6"/>
      <c r="H272" s="7"/>
      <c r="I272" s="6"/>
      <c r="J272" s="7"/>
      <c r="K272" s="96" t="str">
        <f>HYPERLINK("#'Healthcare'!JL1","Q6.2.48_5_1")</f>
        <v>Q6.2.48_5_1</v>
      </c>
      <c r="L272" s="93" t="str">
        <f>HYPERLINK("#'Healthcare'!JL2","Primary PPO medical plan tier 5 coinsurance minimum: Mail order - in-network")</f>
        <v>Primary PPO medical plan tier 5 coinsurance minimum: Mail order - in-network</v>
      </c>
      <c r="M272" s="6"/>
      <c r="N272" s="7"/>
      <c r="O272" s="6"/>
      <c r="P272" s="7"/>
      <c r="Q272" s="6"/>
      <c r="R272" s="7"/>
      <c r="S272" s="6"/>
      <c r="T272" s="7"/>
      <c r="U272" s="6"/>
      <c r="V272" s="7"/>
      <c r="W272" s="96" t="str">
        <f>HYPERLINK("#'Vendors'!JL1","Q12.10.35")</f>
        <v>Q12.10.35</v>
      </c>
      <c r="X272" s="93" t="str">
        <f>HYPERLINK("#'Vendors'!JL2","Retirement solutions vendors employed: Live group setting retirement education")</f>
        <v>Retirement solutions vendors employed: Live group setting retirement education</v>
      </c>
    </row>
    <row r="273" spans="1:24" ht="25.5" x14ac:dyDescent="0.2">
      <c r="A273" s="6"/>
      <c r="B273" s="7"/>
      <c r="C273" s="6"/>
      <c r="D273" s="7"/>
      <c r="E273" s="6"/>
      <c r="F273" s="7"/>
      <c r="G273" s="6"/>
      <c r="H273" s="7"/>
      <c r="I273" s="6"/>
      <c r="J273" s="7"/>
      <c r="K273" s="96" t="str">
        <f>HYPERLINK("#'Healthcare'!JM1","Q6.2.48_5_2")</f>
        <v>Q6.2.48_5_2</v>
      </c>
      <c r="L273" s="93" t="str">
        <f>HYPERLINK("#'Healthcare'!JM2","Primary PPO medical plan tier 5 coinsurance maximum: Mail order - in-network")</f>
        <v>Primary PPO medical plan tier 5 coinsurance maximum: Mail order - in-network</v>
      </c>
      <c r="M273" s="6"/>
      <c r="N273" s="7"/>
      <c r="O273" s="6"/>
      <c r="P273" s="7"/>
      <c r="Q273" s="6"/>
      <c r="R273" s="7"/>
      <c r="S273" s="6"/>
      <c r="T273" s="7"/>
      <c r="U273" s="6"/>
      <c r="V273" s="7"/>
      <c r="W273" s="96" t="str">
        <f>HYPERLINK("#'Vendors'!JM1","Q12.10.35_38_TEXT")</f>
        <v>Q12.10.35_38_TEXT</v>
      </c>
      <c r="X273" s="93" t="str">
        <f>HYPERLINK("#'Vendors'!JM2","Other retirement solutions vendors employed: Live group setting retirement education")</f>
        <v>Other retirement solutions vendors employed: Live group setting retirement education</v>
      </c>
    </row>
    <row r="274" spans="1:24" ht="25.5" x14ac:dyDescent="0.2">
      <c r="A274" s="6"/>
      <c r="B274" s="7"/>
      <c r="C274" s="6"/>
      <c r="D274" s="7"/>
      <c r="E274" s="6"/>
      <c r="F274" s="7"/>
      <c r="G274" s="6"/>
      <c r="H274" s="7"/>
      <c r="I274" s="6"/>
      <c r="J274" s="7"/>
      <c r="K274" s="96" t="str">
        <f>HYPERLINK("#'Healthcare'!JN1","Q6.2.48_6_1")</f>
        <v>Q6.2.48_6_1</v>
      </c>
      <c r="L274" s="93" t="str">
        <f>HYPERLINK("#'Healthcare'!JN2","Primary PPO medical plan specialty coinsurance minimum: Mail order - in-network")</f>
        <v>Primary PPO medical plan specialty coinsurance minimum: Mail order - in-network</v>
      </c>
      <c r="M274" s="6"/>
      <c r="N274" s="7"/>
      <c r="O274" s="6"/>
      <c r="P274" s="7"/>
      <c r="Q274" s="6"/>
      <c r="R274" s="7"/>
      <c r="S274" s="6"/>
      <c r="T274" s="7"/>
      <c r="U274" s="6"/>
      <c r="V274" s="7"/>
      <c r="W274" s="96" t="str">
        <f>HYPERLINK("#'Vendors'!JN1","Q12.10.36")</f>
        <v>Q12.10.36</v>
      </c>
      <c r="X274" s="93" t="str">
        <f>HYPERLINK("#'Vendors'!JN2","Retirement solutions vendors employed: Personal retirement education")</f>
        <v>Retirement solutions vendors employed: Personal retirement education</v>
      </c>
    </row>
    <row r="275" spans="1:24" ht="25.5" x14ac:dyDescent="0.2">
      <c r="A275" s="6"/>
      <c r="B275" s="7"/>
      <c r="C275" s="6"/>
      <c r="D275" s="7"/>
      <c r="E275" s="6"/>
      <c r="F275" s="7"/>
      <c r="G275" s="6"/>
      <c r="H275" s="7"/>
      <c r="I275" s="6"/>
      <c r="J275" s="7"/>
      <c r="K275" s="96" t="str">
        <f>HYPERLINK("#'Healthcare'!JO1","Q6.2.48_6_2")</f>
        <v>Q6.2.48_6_2</v>
      </c>
      <c r="L275" s="93" t="str">
        <f>HYPERLINK("#'Healthcare'!JO2","Primary PPO medical plan specialty coinsurance maximum: Mail order - in-network")</f>
        <v>Primary PPO medical plan specialty coinsurance maximum: Mail order - in-network</v>
      </c>
      <c r="M275" s="6"/>
      <c r="N275" s="7"/>
      <c r="O275" s="6"/>
      <c r="P275" s="7"/>
      <c r="Q275" s="6"/>
      <c r="R275" s="7"/>
      <c r="S275" s="6"/>
      <c r="T275" s="7"/>
      <c r="U275" s="6"/>
      <c r="V275" s="7"/>
      <c r="W275" s="96" t="str">
        <f>HYPERLINK("#'Vendors'!JO1","Q12.10.36_38_TEXT")</f>
        <v>Q12.10.36_38_TEXT</v>
      </c>
      <c r="X275" s="93" t="str">
        <f>HYPERLINK("#'Vendors'!JO2","Other retirement solutions vendors employed: Personal retirement education")</f>
        <v>Other retirement solutions vendors employed: Personal retirement education</v>
      </c>
    </row>
    <row r="276" spans="1:24" ht="25.5" x14ac:dyDescent="0.2">
      <c r="A276" s="6"/>
      <c r="B276" s="7"/>
      <c r="C276" s="6"/>
      <c r="D276" s="7"/>
      <c r="E276" s="6"/>
      <c r="F276" s="7"/>
      <c r="G276" s="6"/>
      <c r="H276" s="7"/>
      <c r="I276" s="6"/>
      <c r="J276" s="7"/>
      <c r="K276" s="96" t="str">
        <f>HYPERLINK("#'Healthcare'!JP1","Q6.2.48_7_1")</f>
        <v>Q6.2.48_7_1</v>
      </c>
      <c r="L276" s="93" t="str">
        <f>HYPERLINK("#'Healthcare'!JP2","Primary PPO medical plan Other coinsurance minimum: Mail order - in-network")</f>
        <v>Primary PPO medical plan Other coinsurance minimum: Mail order - in-network</v>
      </c>
      <c r="M276" s="6"/>
      <c r="N276" s="7"/>
      <c r="O276" s="6"/>
      <c r="P276" s="7"/>
      <c r="Q276" s="6"/>
      <c r="R276" s="7"/>
      <c r="S276" s="6"/>
      <c r="T276" s="7"/>
      <c r="U276" s="6"/>
      <c r="V276" s="7"/>
      <c r="W276" s="96" t="str">
        <f>HYPERLINK("#'Vendors'!JP1","Q12.10.37")</f>
        <v>Q12.10.37</v>
      </c>
      <c r="X276" s="93" t="str">
        <f>HYPERLINK("#'Vendors'!JP2","Retirement solutions vendors employed: Section 529 plan")</f>
        <v>Retirement solutions vendors employed: Section 529 plan</v>
      </c>
    </row>
    <row r="277" spans="1:24" ht="25.5" x14ac:dyDescent="0.2">
      <c r="A277" s="6"/>
      <c r="B277" s="7"/>
      <c r="C277" s="6"/>
      <c r="D277" s="7"/>
      <c r="E277" s="6"/>
      <c r="F277" s="7"/>
      <c r="G277" s="6"/>
      <c r="H277" s="7"/>
      <c r="I277" s="6"/>
      <c r="J277" s="7"/>
      <c r="K277" s="96" t="str">
        <f>HYPERLINK("#'Healthcare'!JQ1","Q6.2.48_7_2")</f>
        <v>Q6.2.48_7_2</v>
      </c>
      <c r="L277" s="93" t="str">
        <f>HYPERLINK("#'Healthcare'!JQ2","Primary PPO medical plan Other coinsurance maximum: Mail order - in-network")</f>
        <v>Primary PPO medical plan Other coinsurance maximum: Mail order - in-network</v>
      </c>
      <c r="M277" s="6"/>
      <c r="N277" s="7"/>
      <c r="O277" s="6"/>
      <c r="P277" s="7"/>
      <c r="Q277" s="6"/>
      <c r="R277" s="7"/>
      <c r="S277" s="6"/>
      <c r="T277" s="7"/>
      <c r="U277" s="6"/>
      <c r="V277" s="7"/>
      <c r="W277" s="96" t="str">
        <f>HYPERLINK("#'Vendors'!JQ1","Q12.10.37_38_TEXT")</f>
        <v>Q12.10.37_38_TEXT</v>
      </c>
      <c r="X277" s="93" t="str">
        <f>HYPERLINK("#'Vendors'!JQ2","Other retirement solutions vendors employed: Section 529 plan")</f>
        <v>Other retirement solutions vendors employed: Section 529 plan</v>
      </c>
    </row>
    <row r="278" spans="1:24" ht="25.5" x14ac:dyDescent="0.2">
      <c r="A278" s="6"/>
      <c r="B278" s="7"/>
      <c r="C278" s="6"/>
      <c r="D278" s="7"/>
      <c r="E278" s="6"/>
      <c r="F278" s="7"/>
      <c r="G278" s="6"/>
      <c r="H278" s="7"/>
      <c r="I278" s="6"/>
      <c r="J278" s="7"/>
      <c r="K278" s="96" t="str">
        <f>HYPERLINK("#'Healthcare'!JR1","Q6.2.49_1_1")</f>
        <v>Q6.2.49_1_1</v>
      </c>
      <c r="L278" s="93" t="str">
        <f>HYPERLINK("#'Healthcare'!JR2","Primary PPO medical plan tier 1 coinsurance: Mail order - out-of-network")</f>
        <v>Primary PPO medical plan tier 1 coinsurance: Mail order - out-of-network</v>
      </c>
      <c r="M278" s="6"/>
      <c r="N278" s="7"/>
      <c r="O278" s="6"/>
      <c r="P278" s="7"/>
      <c r="Q278" s="6"/>
      <c r="R278" s="7"/>
      <c r="S278" s="6"/>
      <c r="T278" s="7"/>
      <c r="U278" s="6"/>
      <c r="V278" s="7"/>
      <c r="W278" s="96" t="str">
        <f>HYPERLINK("#'Vendors'!JR1","Q12.10.38")</f>
        <v>Q12.10.38</v>
      </c>
      <c r="X278" s="93" t="str">
        <f>HYPERLINK("#'Vendors'!JR2","Retirement solution vendor(s) terminated in 2021")</f>
        <v>Retirement solution vendor(s) terminated in 2021</v>
      </c>
    </row>
    <row r="279" spans="1:24" ht="25.5" x14ac:dyDescent="0.2">
      <c r="A279" s="6"/>
      <c r="B279" s="7"/>
      <c r="C279" s="6"/>
      <c r="D279" s="7"/>
      <c r="E279" s="6"/>
      <c r="F279" s="7"/>
      <c r="G279" s="6"/>
      <c r="H279" s="7"/>
      <c r="I279" s="6"/>
      <c r="J279" s="7"/>
      <c r="K279" s="96" t="str">
        <f>HYPERLINK("#'Healthcare'!JS1","Q6.2.49_2_1")</f>
        <v>Q6.2.49_2_1</v>
      </c>
      <c r="L279" s="93" t="str">
        <f>HYPERLINK("#'Healthcare'!JS2","Primary PPO medical plan tier 2 coinsurance: Mail order - out-of-network")</f>
        <v>Primary PPO medical plan tier 2 coinsurance: Mail order - out-of-network</v>
      </c>
      <c r="M279" s="6"/>
      <c r="N279" s="7"/>
      <c r="O279" s="6"/>
      <c r="P279" s="7"/>
      <c r="Q279" s="6"/>
      <c r="R279" s="7"/>
      <c r="S279" s="6"/>
      <c r="T279" s="7"/>
      <c r="U279" s="6"/>
      <c r="V279" s="7"/>
      <c r="W279" s="96" t="str">
        <f>HYPERLINK("#'Vendors'!JS1","Q12.10.39_1")</f>
        <v>Q12.10.39_1</v>
      </c>
      <c r="X279" s="93" t="str">
        <f>HYPERLINK("#'Vendors'!JS2","Terminated retirement solutions vendors: 401(k) plan recordkeeper/administrator")</f>
        <v>Terminated retirement solutions vendors: 401(k) plan recordkeeper/administrator</v>
      </c>
    </row>
    <row r="280" spans="1:24" ht="38.25" x14ac:dyDescent="0.2">
      <c r="A280" s="6"/>
      <c r="B280" s="7"/>
      <c r="C280" s="6"/>
      <c r="D280" s="7"/>
      <c r="E280" s="6"/>
      <c r="F280" s="7"/>
      <c r="G280" s="6"/>
      <c r="H280" s="7"/>
      <c r="I280" s="6"/>
      <c r="J280" s="7"/>
      <c r="K280" s="96" t="str">
        <f>HYPERLINK("#'Healthcare'!JT1","Q6.2.49_3_1")</f>
        <v>Q6.2.49_3_1</v>
      </c>
      <c r="L280" s="93" t="str">
        <f>HYPERLINK("#'Healthcare'!JT2","Primary PPO medical plan tier 3 coinsurance: Mail order - out-of-network")</f>
        <v>Primary PPO medical plan tier 3 coinsurance: Mail order - out-of-network</v>
      </c>
      <c r="M280" s="6"/>
      <c r="N280" s="7"/>
      <c r="O280" s="6"/>
      <c r="P280" s="7"/>
      <c r="Q280" s="6"/>
      <c r="R280" s="7"/>
      <c r="S280" s="6"/>
      <c r="T280" s="7"/>
      <c r="U280" s="6"/>
      <c r="V280" s="7"/>
      <c r="W280" s="96" t="str">
        <f>HYPERLINK("#'Vendors'!JT1","Q12.10.39_2")</f>
        <v>Q12.10.39_2</v>
      </c>
      <c r="X280" s="93" t="str">
        <f>HYPERLINK("#'Vendors'!JT2","Terminated retirement solutions vendors: Non-qualified deferred compensation (NQDC) recordkeeper/administrator")</f>
        <v>Terminated retirement solutions vendors: Non-qualified deferred compensation (NQDC) recordkeeper/administrator</v>
      </c>
    </row>
    <row r="281" spans="1:24" ht="38.25" x14ac:dyDescent="0.2">
      <c r="A281" s="6"/>
      <c r="B281" s="7"/>
      <c r="C281" s="6"/>
      <c r="D281" s="7"/>
      <c r="E281" s="6"/>
      <c r="F281" s="7"/>
      <c r="G281" s="6"/>
      <c r="H281" s="7"/>
      <c r="I281" s="6"/>
      <c r="J281" s="7"/>
      <c r="K281" s="96" t="str">
        <f>HYPERLINK("#'Healthcare'!JU1","Q6.2.49_4_1")</f>
        <v>Q6.2.49_4_1</v>
      </c>
      <c r="L281" s="93" t="str">
        <f>HYPERLINK("#'Healthcare'!JU2","Primary PPO medical plan tier 4 coinsurance: Mail order - out-of-network")</f>
        <v>Primary PPO medical plan tier 4 coinsurance: Mail order - out-of-network</v>
      </c>
      <c r="M281" s="6"/>
      <c r="N281" s="7"/>
      <c r="O281" s="6"/>
      <c r="P281" s="7"/>
      <c r="Q281" s="6"/>
      <c r="R281" s="7"/>
      <c r="S281" s="6"/>
      <c r="T281" s="7"/>
      <c r="U281" s="6"/>
      <c r="V281" s="7"/>
      <c r="W281" s="96" t="str">
        <f>HYPERLINK("#'Vendors'!JU1","Q12.10.39_3")</f>
        <v>Q12.10.39_3</v>
      </c>
      <c r="X281" s="93" t="str">
        <f>HYPERLINK("#'Vendors'!JU2","Terminated retirement solutions vendors: Non-qualified deferred compensation (NQDC) trustee")</f>
        <v>Terminated retirement solutions vendors: Non-qualified deferred compensation (NQDC) trustee</v>
      </c>
    </row>
    <row r="282" spans="1:24" ht="25.5" x14ac:dyDescent="0.2">
      <c r="A282" s="6"/>
      <c r="B282" s="7"/>
      <c r="C282" s="6"/>
      <c r="D282" s="7"/>
      <c r="E282" s="6"/>
      <c r="F282" s="7"/>
      <c r="G282" s="6"/>
      <c r="H282" s="7"/>
      <c r="I282" s="6"/>
      <c r="J282" s="7"/>
      <c r="K282" s="96" t="str">
        <f>HYPERLINK("#'Healthcare'!JV1","Q6.2.49_5_1")</f>
        <v>Q6.2.49_5_1</v>
      </c>
      <c r="L282" s="93" t="str">
        <f>HYPERLINK("#'Healthcare'!JV2","Primary PPO medical plan tier 5 coinsurance: Mail order - out-of-network")</f>
        <v>Primary PPO medical plan tier 5 coinsurance: Mail order - out-of-network</v>
      </c>
      <c r="M282" s="6"/>
      <c r="N282" s="7"/>
      <c r="O282" s="6"/>
      <c r="P282" s="7"/>
      <c r="Q282" s="6"/>
      <c r="R282" s="7"/>
      <c r="S282" s="6"/>
      <c r="T282" s="7"/>
      <c r="U282" s="6"/>
      <c r="V282" s="7"/>
      <c r="W282" s="96" t="str">
        <f>HYPERLINK("#'Vendors'!JV1","Q12.10.39_4")</f>
        <v>Q12.10.39_4</v>
      </c>
      <c r="X282" s="93" t="str">
        <f>HYPERLINK("#'Vendors'!JV2","Terminated retirement solutions vendors: Online retirement education/calculator")</f>
        <v>Terminated retirement solutions vendors: Online retirement education/calculator</v>
      </c>
    </row>
    <row r="283" spans="1:24" ht="25.5" x14ac:dyDescent="0.2">
      <c r="A283" s="6"/>
      <c r="B283" s="7"/>
      <c r="C283" s="6"/>
      <c r="D283" s="7"/>
      <c r="E283" s="6"/>
      <c r="F283" s="7"/>
      <c r="G283" s="6"/>
      <c r="H283" s="7"/>
      <c r="I283" s="6"/>
      <c r="J283" s="7"/>
      <c r="K283" s="96" t="str">
        <f>HYPERLINK("#'Healthcare'!JW1","Q6.2.49_6_1")</f>
        <v>Q6.2.49_6_1</v>
      </c>
      <c r="L283" s="93" t="str">
        <f>HYPERLINK("#'Healthcare'!JW2","Primary PPO medical plan specialty coinsurance: Mail order - out-of-network")</f>
        <v>Primary PPO medical plan specialty coinsurance: Mail order - out-of-network</v>
      </c>
      <c r="M283" s="6"/>
      <c r="N283" s="7"/>
      <c r="O283" s="6"/>
      <c r="P283" s="7"/>
      <c r="Q283" s="6"/>
      <c r="R283" s="7"/>
      <c r="S283" s="6"/>
      <c r="T283" s="7"/>
      <c r="U283" s="6"/>
      <c r="V283" s="7"/>
      <c r="W283" s="96" t="str">
        <f>HYPERLINK("#'Vendors'!JW1","Q12.10.39_5")</f>
        <v>Q12.10.39_5</v>
      </c>
      <c r="X283" s="93" t="str">
        <f>HYPERLINK("#'Vendors'!JW2","Terminated retirement solutions vendors: Live group setting retirement education")</f>
        <v>Terminated retirement solutions vendors: Live group setting retirement education</v>
      </c>
    </row>
    <row r="284" spans="1:24" ht="25.5" x14ac:dyDescent="0.2">
      <c r="A284" s="6"/>
      <c r="B284" s="7"/>
      <c r="C284" s="6"/>
      <c r="D284" s="7"/>
      <c r="E284" s="6"/>
      <c r="F284" s="7"/>
      <c r="G284" s="6"/>
      <c r="H284" s="7"/>
      <c r="I284" s="6"/>
      <c r="J284" s="7"/>
      <c r="K284" s="96" t="str">
        <f>HYPERLINK("#'Healthcare'!JX1","Q6.2.49_7_1")</f>
        <v>Q6.2.49_7_1</v>
      </c>
      <c r="L284" s="93" t="str">
        <f>HYPERLINK("#'Healthcare'!JX2","Primary PPO medical plan Other coinsurance: Mail order - out-of-network")</f>
        <v>Primary PPO medical plan Other coinsurance: Mail order - out-of-network</v>
      </c>
      <c r="M284" s="6"/>
      <c r="N284" s="7"/>
      <c r="O284" s="6"/>
      <c r="P284" s="7"/>
      <c r="Q284" s="6"/>
      <c r="R284" s="7"/>
      <c r="S284" s="6"/>
      <c r="T284" s="7"/>
      <c r="U284" s="6"/>
      <c r="V284" s="7"/>
      <c r="W284" s="96" t="str">
        <f>HYPERLINK("#'Vendors'!JX1","Q12.10.39_6")</f>
        <v>Q12.10.39_6</v>
      </c>
      <c r="X284" s="93" t="str">
        <f>HYPERLINK("#'Vendors'!JX2","Terminated retirement solutions vendors: Personal retirement education")</f>
        <v>Terminated retirement solutions vendors: Personal retirement education</v>
      </c>
    </row>
    <row r="285" spans="1:24" ht="25.5" x14ac:dyDescent="0.2">
      <c r="A285" s="6"/>
      <c r="B285" s="7"/>
      <c r="C285" s="6"/>
      <c r="D285" s="7"/>
      <c r="E285" s="6"/>
      <c r="F285" s="7"/>
      <c r="G285" s="6"/>
      <c r="H285" s="7"/>
      <c r="I285" s="6"/>
      <c r="J285" s="7"/>
      <c r="K285" s="96" t="str">
        <f>HYPERLINK("#'Healthcare'!JY1","Q6.2.50_1_1")</f>
        <v>Q6.2.50_1_1</v>
      </c>
      <c r="L285" s="93" t="str">
        <f>HYPERLINK("#'Healthcare'!JY2","Primary PPO medical plan tier 1 coinsurance minimum: Mail order - out-of-network")</f>
        <v>Primary PPO medical plan tier 1 coinsurance minimum: Mail order - out-of-network</v>
      </c>
      <c r="M285" s="6"/>
      <c r="N285" s="7"/>
      <c r="O285" s="6"/>
      <c r="P285" s="7"/>
      <c r="Q285" s="6"/>
      <c r="R285" s="7"/>
      <c r="S285" s="6"/>
      <c r="T285" s="7"/>
      <c r="U285" s="6"/>
      <c r="V285" s="7"/>
      <c r="W285" s="96" t="str">
        <f>HYPERLINK("#'Vendors'!JY1","Q12.10.39_7")</f>
        <v>Q12.10.39_7</v>
      </c>
      <c r="X285" s="93" t="str">
        <f>HYPERLINK("#'Vendors'!JY2","Terminated retirement solutions vendors: Section 529 plan")</f>
        <v>Terminated retirement solutions vendors: Section 529 plan</v>
      </c>
    </row>
    <row r="286" spans="1:24" ht="25.5" x14ac:dyDescent="0.2">
      <c r="A286" s="6"/>
      <c r="B286" s="7"/>
      <c r="C286" s="6"/>
      <c r="D286" s="7"/>
      <c r="E286" s="6"/>
      <c r="F286" s="7"/>
      <c r="G286" s="6"/>
      <c r="H286" s="7"/>
      <c r="I286" s="6"/>
      <c r="J286" s="7"/>
      <c r="K286" s="96" t="str">
        <f>HYPERLINK("#'Healthcare'!JZ1","Q6.2.50_1_2")</f>
        <v>Q6.2.50_1_2</v>
      </c>
      <c r="L286" s="93" t="str">
        <f>HYPERLINK("#'Healthcare'!JZ2","Primary PPO medical plan tier 1 coinsurance maximum: Mail order - out-of-network")</f>
        <v>Primary PPO medical plan tier 1 coinsurance maximum: Mail order - out-of-network</v>
      </c>
      <c r="M286" s="6"/>
      <c r="N286" s="7"/>
      <c r="O286" s="6"/>
      <c r="P286" s="7"/>
      <c r="Q286" s="6"/>
      <c r="R286" s="7"/>
      <c r="S286" s="6"/>
      <c r="T286" s="7"/>
      <c r="U286" s="6"/>
      <c r="V286" s="7"/>
      <c r="W286" s="96" t="str">
        <f>HYPERLINK("#'Vendors'!JZ1","Q12.11.2")</f>
        <v>Q12.11.2</v>
      </c>
      <c r="X286" s="93" t="str">
        <f>HYPERLINK("#'Vendors'!JZ2","Voluntary vendors employed: Group auto and home insurance")</f>
        <v>Voluntary vendors employed: Group auto and home insurance</v>
      </c>
    </row>
    <row r="287" spans="1:24" ht="25.5" x14ac:dyDescent="0.2">
      <c r="A287" s="6"/>
      <c r="B287" s="7"/>
      <c r="C287" s="6"/>
      <c r="D287" s="7"/>
      <c r="E287" s="6"/>
      <c r="F287" s="7"/>
      <c r="G287" s="6"/>
      <c r="H287" s="7"/>
      <c r="I287" s="6"/>
      <c r="J287" s="7"/>
      <c r="K287" s="96" t="str">
        <f>HYPERLINK("#'Healthcare'!KA1","Q6.2.50_2_1")</f>
        <v>Q6.2.50_2_1</v>
      </c>
      <c r="L287" s="93" t="str">
        <f>HYPERLINK("#'Healthcare'!KA2","Primary PPO medical plan tier 2 coinsurance minimum: Mail order - out-of-network")</f>
        <v>Primary PPO medical plan tier 2 coinsurance minimum: Mail order - out-of-network</v>
      </c>
      <c r="M287" s="6"/>
      <c r="N287" s="7"/>
      <c r="O287" s="6"/>
      <c r="P287" s="7"/>
      <c r="Q287" s="6"/>
      <c r="R287" s="7"/>
      <c r="S287" s="6"/>
      <c r="T287" s="7"/>
      <c r="U287" s="6"/>
      <c r="V287" s="7"/>
      <c r="W287" s="96" t="str">
        <f>HYPERLINK("#'Vendors'!KA1","Q12.11.2_78_TEXT")</f>
        <v>Q12.11.2_78_TEXT</v>
      </c>
      <c r="X287" s="93" t="str">
        <f>HYPERLINK("#'Vendors'!KA2","Other voluntary vendors employed: Group auto and home insurance")</f>
        <v>Other voluntary vendors employed: Group auto and home insurance</v>
      </c>
    </row>
    <row r="288" spans="1:24" ht="25.5" x14ac:dyDescent="0.2">
      <c r="A288" s="6"/>
      <c r="B288" s="7"/>
      <c r="C288" s="6"/>
      <c r="D288" s="7"/>
      <c r="E288" s="6"/>
      <c r="F288" s="7"/>
      <c r="G288" s="6"/>
      <c r="H288" s="7"/>
      <c r="I288" s="6"/>
      <c r="J288" s="7"/>
      <c r="K288" s="96" t="str">
        <f>HYPERLINK("#'Healthcare'!KB1","Q6.2.50_2_2")</f>
        <v>Q6.2.50_2_2</v>
      </c>
      <c r="L288" s="93" t="str">
        <f>HYPERLINK("#'Healthcare'!KB2","Primary PPO medical plan tier 2 coinsurance maximum: Mail order - out-of-network")</f>
        <v>Primary PPO medical plan tier 2 coinsurance maximum: Mail order - out-of-network</v>
      </c>
      <c r="M288" s="6"/>
      <c r="N288" s="7"/>
      <c r="O288" s="6"/>
      <c r="P288" s="7"/>
      <c r="Q288" s="6"/>
      <c r="R288" s="7"/>
      <c r="S288" s="6"/>
      <c r="T288" s="7"/>
      <c r="U288" s="6"/>
      <c r="V288" s="7"/>
      <c r="W288" s="96" t="str">
        <f>HYPERLINK("#'Vendors'!KB1","Q12.11.3")</f>
        <v>Q12.11.3</v>
      </c>
      <c r="X288" s="93" t="str">
        <f>HYPERLINK("#'Vendors'!KB2","Voluntary vendors employed: Group legal insurance")</f>
        <v>Voluntary vendors employed: Group legal insurance</v>
      </c>
    </row>
    <row r="289" spans="1:24" ht="25.5" x14ac:dyDescent="0.2">
      <c r="A289" s="6"/>
      <c r="B289" s="7"/>
      <c r="C289" s="6"/>
      <c r="D289" s="7"/>
      <c r="E289" s="6"/>
      <c r="F289" s="7"/>
      <c r="G289" s="6"/>
      <c r="H289" s="7"/>
      <c r="I289" s="6"/>
      <c r="J289" s="7"/>
      <c r="K289" s="96" t="str">
        <f>HYPERLINK("#'Healthcare'!KC1","Q6.2.50_3_1")</f>
        <v>Q6.2.50_3_1</v>
      </c>
      <c r="L289" s="93" t="str">
        <f>HYPERLINK("#'Healthcare'!KC2","Primary PPO medical plan tier 3 coinsurance minimum: Mail order - out-of-network")</f>
        <v>Primary PPO medical plan tier 3 coinsurance minimum: Mail order - out-of-network</v>
      </c>
      <c r="M289" s="6"/>
      <c r="N289" s="7"/>
      <c r="O289" s="6"/>
      <c r="P289" s="7"/>
      <c r="Q289" s="6"/>
      <c r="R289" s="7"/>
      <c r="S289" s="6"/>
      <c r="T289" s="7"/>
      <c r="U289" s="6"/>
      <c r="V289" s="7"/>
      <c r="W289" s="96" t="str">
        <f>HYPERLINK("#'Vendors'!KC1","Q12.11.3_78_TEXT")</f>
        <v>Q12.11.3_78_TEXT</v>
      </c>
      <c r="X289" s="93" t="str">
        <f>HYPERLINK("#'Vendors'!KC2","Other voluntary vendors employed: Group legal insurance")</f>
        <v>Other voluntary vendors employed: Group legal insurance</v>
      </c>
    </row>
    <row r="290" spans="1:24" ht="25.5" x14ac:dyDescent="0.2">
      <c r="A290" s="6"/>
      <c r="B290" s="7"/>
      <c r="C290" s="6"/>
      <c r="D290" s="7"/>
      <c r="E290" s="6"/>
      <c r="F290" s="7"/>
      <c r="G290" s="6"/>
      <c r="H290" s="7"/>
      <c r="I290" s="6"/>
      <c r="J290" s="7"/>
      <c r="K290" s="96" t="str">
        <f>HYPERLINK("#'Healthcare'!KD1","Q6.2.50_3_2")</f>
        <v>Q6.2.50_3_2</v>
      </c>
      <c r="L290" s="93" t="str">
        <f>HYPERLINK("#'Healthcare'!KD2","Primary PPO medical plan tier 3 coinsurance maximum: Mail order - out-of-network")</f>
        <v>Primary PPO medical plan tier 3 coinsurance maximum: Mail order - out-of-network</v>
      </c>
      <c r="M290" s="6"/>
      <c r="N290" s="7"/>
      <c r="O290" s="6"/>
      <c r="P290" s="7"/>
      <c r="Q290" s="6"/>
      <c r="R290" s="7"/>
      <c r="S290" s="6"/>
      <c r="T290" s="7"/>
      <c r="U290" s="6"/>
      <c r="V290" s="7"/>
      <c r="W290" s="96" t="str">
        <f>HYPERLINK("#'Vendors'!KD1","Q12.11.4")</f>
        <v>Q12.11.4</v>
      </c>
      <c r="X290" s="93" t="str">
        <f>HYPERLINK("#'Vendors'!KD2","Voluntary vendors employed: Pet insurance")</f>
        <v>Voluntary vendors employed: Pet insurance</v>
      </c>
    </row>
    <row r="291" spans="1:24" ht="25.5" x14ac:dyDescent="0.2">
      <c r="A291" s="6"/>
      <c r="B291" s="7"/>
      <c r="C291" s="6"/>
      <c r="D291" s="7"/>
      <c r="E291" s="6"/>
      <c r="F291" s="7"/>
      <c r="G291" s="6"/>
      <c r="H291" s="7"/>
      <c r="I291" s="6"/>
      <c r="J291" s="7"/>
      <c r="K291" s="96" t="str">
        <f>HYPERLINK("#'Healthcare'!KE1","Q6.2.50_4_1")</f>
        <v>Q6.2.50_4_1</v>
      </c>
      <c r="L291" s="93" t="str">
        <f>HYPERLINK("#'Healthcare'!KE2","Primary PPO medical plan tier 4 coinsurance minimum: Mail order - out-of-network")</f>
        <v>Primary PPO medical plan tier 4 coinsurance minimum: Mail order - out-of-network</v>
      </c>
      <c r="M291" s="6"/>
      <c r="N291" s="7"/>
      <c r="O291" s="6"/>
      <c r="P291" s="7"/>
      <c r="Q291" s="6"/>
      <c r="R291" s="7"/>
      <c r="S291" s="6"/>
      <c r="T291" s="7"/>
      <c r="U291" s="6"/>
      <c r="V291" s="7"/>
      <c r="W291" s="96" t="str">
        <f>HYPERLINK("#'Vendors'!KE1","Q12.11.4_78_TEXT")</f>
        <v>Q12.11.4_78_TEXT</v>
      </c>
      <c r="X291" s="93" t="str">
        <f>HYPERLINK("#'Vendors'!KE2","Other voluntary vendors employed: Pet insurance")</f>
        <v>Other voluntary vendors employed: Pet insurance</v>
      </c>
    </row>
    <row r="292" spans="1:24" ht="25.5" x14ac:dyDescent="0.2">
      <c r="A292" s="6"/>
      <c r="B292" s="7"/>
      <c r="C292" s="6"/>
      <c r="D292" s="7"/>
      <c r="E292" s="6"/>
      <c r="F292" s="7"/>
      <c r="G292" s="6"/>
      <c r="H292" s="7"/>
      <c r="I292" s="6"/>
      <c r="J292" s="7"/>
      <c r="K292" s="96" t="str">
        <f>HYPERLINK("#'Healthcare'!KF1","Q6.2.50_4_2")</f>
        <v>Q6.2.50_4_2</v>
      </c>
      <c r="L292" s="93" t="str">
        <f>HYPERLINK("#'Healthcare'!KF2","Primary PPO medical plan tier 4 coinsurance maximum: Mail order - out-of-network")</f>
        <v>Primary PPO medical plan tier 4 coinsurance maximum: Mail order - out-of-network</v>
      </c>
      <c r="M292" s="6"/>
      <c r="N292" s="7"/>
      <c r="O292" s="6"/>
      <c r="P292" s="7"/>
      <c r="Q292" s="6"/>
      <c r="R292" s="7"/>
      <c r="S292" s="6"/>
      <c r="T292" s="7"/>
      <c r="U292" s="6"/>
      <c r="V292" s="7"/>
      <c r="W292" s="96" t="str">
        <f>HYPERLINK("#'Vendors'!KF1","Q12.11.5")</f>
        <v>Q12.11.5</v>
      </c>
      <c r="X292" s="93" t="str">
        <f>HYPERLINK("#'Vendors'!KF2","Voluntary vendors employed: Tuition reimbursement")</f>
        <v>Voluntary vendors employed: Tuition reimbursement</v>
      </c>
    </row>
    <row r="293" spans="1:24" ht="25.5" x14ac:dyDescent="0.2">
      <c r="A293" s="6"/>
      <c r="B293" s="7"/>
      <c r="C293" s="6"/>
      <c r="D293" s="7"/>
      <c r="E293" s="6"/>
      <c r="F293" s="7"/>
      <c r="G293" s="6"/>
      <c r="H293" s="7"/>
      <c r="I293" s="6"/>
      <c r="J293" s="7"/>
      <c r="K293" s="96" t="str">
        <f>HYPERLINK("#'Healthcare'!KG1","Q6.2.50_5_1")</f>
        <v>Q6.2.50_5_1</v>
      </c>
      <c r="L293" s="93" t="str">
        <f>HYPERLINK("#'Healthcare'!KG2","Primary PPO medical plan tier 5 coinsurance minimum: Mail order - out-of-network")</f>
        <v>Primary PPO medical plan tier 5 coinsurance minimum: Mail order - out-of-network</v>
      </c>
      <c r="M293" s="6"/>
      <c r="N293" s="7"/>
      <c r="O293" s="6"/>
      <c r="P293" s="7"/>
      <c r="Q293" s="6"/>
      <c r="R293" s="7"/>
      <c r="S293" s="6"/>
      <c r="T293" s="7"/>
      <c r="U293" s="6"/>
      <c r="V293" s="7"/>
      <c r="W293" s="96" t="str">
        <f>HYPERLINK("#'Vendors'!KG1","Q12.11.5_78_TEXT")</f>
        <v>Q12.11.5_78_TEXT</v>
      </c>
      <c r="X293" s="93" t="str">
        <f>HYPERLINK("#'Vendors'!KG2","Other voluntary vendors employed: Tuition reimbursement")</f>
        <v>Other voluntary vendors employed: Tuition reimbursement</v>
      </c>
    </row>
    <row r="294" spans="1:24" ht="25.5" x14ac:dyDescent="0.2">
      <c r="A294" s="6"/>
      <c r="B294" s="7"/>
      <c r="C294" s="6"/>
      <c r="D294" s="7"/>
      <c r="E294" s="6"/>
      <c r="F294" s="7"/>
      <c r="G294" s="6"/>
      <c r="H294" s="7"/>
      <c r="I294" s="6"/>
      <c r="J294" s="7"/>
      <c r="K294" s="96" t="str">
        <f>HYPERLINK("#'Healthcare'!KH1","Q6.2.50_5_2")</f>
        <v>Q6.2.50_5_2</v>
      </c>
      <c r="L294" s="93" t="str">
        <f>HYPERLINK("#'Healthcare'!KH2","Primary PPO medical plan tier 5 coinsurance maximum: Mail order - out-of-network")</f>
        <v>Primary PPO medical plan tier 5 coinsurance maximum: Mail order - out-of-network</v>
      </c>
      <c r="M294" s="6"/>
      <c r="N294" s="7"/>
      <c r="O294" s="6"/>
      <c r="P294" s="7"/>
      <c r="Q294" s="6"/>
      <c r="R294" s="7"/>
      <c r="S294" s="6"/>
      <c r="T294" s="7"/>
      <c r="U294" s="6"/>
      <c r="V294" s="7"/>
      <c r="W294" s="96" t="str">
        <f>HYPERLINK("#'Vendors'!KH1","Q12.11.6")</f>
        <v>Q12.11.6</v>
      </c>
      <c r="X294" s="93" t="str">
        <f>HYPERLINK("#'Vendors'!KH2","Voluntary vendors employed: Student debt/loan repayment")</f>
        <v>Voluntary vendors employed: Student debt/loan repayment</v>
      </c>
    </row>
    <row r="295" spans="1:24" ht="38.25" x14ac:dyDescent="0.2">
      <c r="A295" s="6"/>
      <c r="B295" s="7"/>
      <c r="C295" s="6"/>
      <c r="D295" s="7"/>
      <c r="E295" s="6"/>
      <c r="F295" s="7"/>
      <c r="G295" s="6"/>
      <c r="H295" s="7"/>
      <c r="I295" s="6"/>
      <c r="J295" s="7"/>
      <c r="K295" s="96" t="str">
        <f>HYPERLINK("#'Healthcare'!KI1","Q6.2.50_6_1")</f>
        <v>Q6.2.50_6_1</v>
      </c>
      <c r="L295" s="93" t="str">
        <f>HYPERLINK("#'Healthcare'!KI2","Primary PPO medical plan specialty coinsurance minimum: Mail order - out-of-network")</f>
        <v>Primary PPO medical plan specialty coinsurance minimum: Mail order - out-of-network</v>
      </c>
      <c r="M295" s="6"/>
      <c r="N295" s="7"/>
      <c r="O295" s="6"/>
      <c r="P295" s="7"/>
      <c r="Q295" s="6"/>
      <c r="R295" s="7"/>
      <c r="S295" s="6"/>
      <c r="T295" s="7"/>
      <c r="U295" s="6"/>
      <c r="V295" s="7"/>
      <c r="W295" s="96" t="str">
        <f>HYPERLINK("#'Vendors'!KI1","Q12.11.6_78_TEXT")</f>
        <v>Q12.11.6_78_TEXT</v>
      </c>
      <c r="X295" s="93" t="str">
        <f>HYPERLINK("#'Vendors'!KI2","Other voluntary vendors employed: Student debt/loan repayment")</f>
        <v>Other voluntary vendors employed: Student debt/loan repayment</v>
      </c>
    </row>
    <row r="296" spans="1:24" ht="38.25" x14ac:dyDescent="0.2">
      <c r="A296" s="6"/>
      <c r="B296" s="7"/>
      <c r="C296" s="6"/>
      <c r="D296" s="7"/>
      <c r="E296" s="6"/>
      <c r="F296" s="7"/>
      <c r="G296" s="6"/>
      <c r="H296" s="7"/>
      <c r="I296" s="6"/>
      <c r="J296" s="7"/>
      <c r="K296" s="96" t="str">
        <f>HYPERLINK("#'Healthcare'!KJ1","Q6.2.50_6_2")</f>
        <v>Q6.2.50_6_2</v>
      </c>
      <c r="L296" s="93" t="str">
        <f>HYPERLINK("#'Healthcare'!KJ2","Primary PPO medical plan specialty coinsurance maximum: Mail order - out-of-network")</f>
        <v>Primary PPO medical plan specialty coinsurance maximum: Mail order - out-of-network</v>
      </c>
      <c r="M296" s="6"/>
      <c r="N296" s="7"/>
      <c r="O296" s="6"/>
      <c r="P296" s="7"/>
      <c r="Q296" s="6"/>
      <c r="R296" s="7"/>
      <c r="S296" s="6"/>
      <c r="T296" s="7"/>
      <c r="U296" s="6"/>
      <c r="V296" s="7"/>
      <c r="W296" s="96" t="str">
        <f>HYPERLINK("#'Vendors'!KJ1","Q12.11.7")</f>
        <v>Q12.11.7</v>
      </c>
      <c r="X296" s="93" t="str">
        <f>HYPERLINK("#'Vendors'!KJ2","Voluntary vendors employed: Relocation services")</f>
        <v>Voluntary vendors employed: Relocation services</v>
      </c>
    </row>
    <row r="297" spans="1:24" ht="25.5" x14ac:dyDescent="0.2">
      <c r="A297" s="6"/>
      <c r="B297" s="7"/>
      <c r="C297" s="6"/>
      <c r="D297" s="7"/>
      <c r="E297" s="6"/>
      <c r="F297" s="7"/>
      <c r="G297" s="6"/>
      <c r="H297" s="7"/>
      <c r="I297" s="6"/>
      <c r="J297" s="7"/>
      <c r="K297" s="96" t="str">
        <f>HYPERLINK("#'Healthcare'!KK1","Q6.2.50_7_1")</f>
        <v>Q6.2.50_7_1</v>
      </c>
      <c r="L297" s="93" t="str">
        <f>HYPERLINK("#'Healthcare'!KK2","Primary PPO medical plan Other coinsurance minimum: Mail order - out-of-network")</f>
        <v>Primary PPO medical plan Other coinsurance minimum: Mail order - out-of-network</v>
      </c>
      <c r="M297" s="6"/>
      <c r="N297" s="7"/>
      <c r="O297" s="6"/>
      <c r="P297" s="7"/>
      <c r="Q297" s="6"/>
      <c r="R297" s="7"/>
      <c r="S297" s="6"/>
      <c r="T297" s="7"/>
      <c r="U297" s="6"/>
      <c r="V297" s="7"/>
      <c r="W297" s="96" t="str">
        <f>HYPERLINK("#'Vendors'!KK1","Q12.11.7_78_TEXT")</f>
        <v>Q12.11.7_78_TEXT</v>
      </c>
      <c r="X297" s="93" t="str">
        <f>HYPERLINK("#'Vendors'!KK2","Other voluntary vendors employed: Relocation services")</f>
        <v>Other voluntary vendors employed: Relocation services</v>
      </c>
    </row>
    <row r="298" spans="1:24" ht="25.5" x14ac:dyDescent="0.2">
      <c r="A298" s="6"/>
      <c r="B298" s="7"/>
      <c r="C298" s="6"/>
      <c r="D298" s="7"/>
      <c r="E298" s="6"/>
      <c r="F298" s="7"/>
      <c r="G298" s="6"/>
      <c r="H298" s="7"/>
      <c r="I298" s="6"/>
      <c r="J298" s="7"/>
      <c r="K298" s="96" t="str">
        <f>HYPERLINK("#'Healthcare'!KL1","Q6.2.50_7_2")</f>
        <v>Q6.2.50_7_2</v>
      </c>
      <c r="L298" s="93" t="str">
        <f>HYPERLINK("#'Healthcare'!KL2","Primary PPO medical plan Other coinsurance maximum: Mail order - out-of-network")</f>
        <v>Primary PPO medical plan Other coinsurance maximum: Mail order - out-of-network</v>
      </c>
      <c r="M298" s="6"/>
      <c r="N298" s="7"/>
      <c r="O298" s="6"/>
      <c r="P298" s="7"/>
      <c r="Q298" s="6"/>
      <c r="R298" s="7"/>
      <c r="S298" s="6"/>
      <c r="T298" s="7"/>
      <c r="U298" s="6"/>
      <c r="V298" s="7"/>
      <c r="W298" s="96" t="str">
        <f>HYPERLINK("#'Vendors'!KL1","Q12.11.8")</f>
        <v>Q12.11.8</v>
      </c>
      <c r="X298" s="93" t="str">
        <f>HYPERLINK("#'Vendors'!KL2","Voluntary vendors employed: Service awards")</f>
        <v>Voluntary vendors employed: Service awards</v>
      </c>
    </row>
    <row r="299" spans="1:24" ht="25.5" x14ac:dyDescent="0.2">
      <c r="A299" s="6"/>
      <c r="B299" s="7"/>
      <c r="C299" s="6"/>
      <c r="D299" s="7"/>
      <c r="E299" s="6"/>
      <c r="F299" s="7"/>
      <c r="G299" s="6"/>
      <c r="H299" s="7"/>
      <c r="I299" s="6"/>
      <c r="J299" s="7"/>
      <c r="K299" s="96" t="str">
        <f>HYPERLINK("#'Healthcare'!KM1","Q6.2.51")</f>
        <v>Q6.2.51</v>
      </c>
      <c r="L299" s="93" t="str">
        <f>HYPERLINK("#'Healthcare'!KM2","Primary PPO medical plan: Pharmacy benefit manager carved in/out")</f>
        <v>Primary PPO medical plan: Pharmacy benefit manager carved in/out</v>
      </c>
      <c r="M299" s="6"/>
      <c r="N299" s="7"/>
      <c r="O299" s="6"/>
      <c r="P299" s="7"/>
      <c r="Q299" s="6"/>
      <c r="R299" s="7"/>
      <c r="S299" s="6"/>
      <c r="T299" s="7"/>
      <c r="U299" s="6"/>
      <c r="V299" s="7"/>
      <c r="W299" s="96" t="str">
        <f>HYPERLINK("#'Vendors'!KM1","Q12.11.8_78_TEXT")</f>
        <v>Q12.11.8_78_TEXT</v>
      </c>
      <c r="X299" s="93" t="str">
        <f>HYPERLINK("#'Vendors'!KM2","Other voluntary vendors employed: Service awards")</f>
        <v>Other voluntary vendors employed: Service awards</v>
      </c>
    </row>
    <row r="300" spans="1:24" ht="38.25" x14ac:dyDescent="0.2">
      <c r="A300" s="6"/>
      <c r="B300" s="7"/>
      <c r="C300" s="6"/>
      <c r="D300" s="7"/>
      <c r="E300" s="6"/>
      <c r="F300" s="7"/>
      <c r="G300" s="6"/>
      <c r="H300" s="7"/>
      <c r="I300" s="6"/>
      <c r="J300" s="7"/>
      <c r="K300" s="96" t="str">
        <f>HYPERLINK("#'Healthcare'!KN1","Q6.2.52")</f>
        <v>Q6.2.52</v>
      </c>
      <c r="L300" s="93" t="str">
        <f>HYPERLINK("#'Healthcare'!KN2","Primary PPO medical plan: Drug classes with zero cost share to members (in addition to ACA law requirements)")</f>
        <v>Primary PPO medical plan: Drug classes with zero cost share to members (in addition to ACA law requirements)</v>
      </c>
      <c r="M300" s="6"/>
      <c r="N300" s="7"/>
      <c r="O300" s="6"/>
      <c r="P300" s="7"/>
      <c r="Q300" s="6"/>
      <c r="R300" s="7"/>
      <c r="S300" s="6"/>
      <c r="T300" s="7"/>
      <c r="U300" s="6"/>
      <c r="V300" s="7"/>
      <c r="W300" s="96" t="str">
        <f>HYPERLINK("#'Vendors'!KN1","Q12.11.9")</f>
        <v>Q12.11.9</v>
      </c>
      <c r="X300" s="93" t="str">
        <f>HYPERLINK("#'Vendors'!KN2","Voluntary vendors employed: Perks/discounts")</f>
        <v>Voluntary vendors employed: Perks/discounts</v>
      </c>
    </row>
    <row r="301" spans="1:24" ht="38.25" x14ac:dyDescent="0.2">
      <c r="A301" s="6"/>
      <c r="B301" s="7"/>
      <c r="C301" s="6"/>
      <c r="D301" s="7"/>
      <c r="E301" s="6"/>
      <c r="F301" s="7"/>
      <c r="G301" s="6"/>
      <c r="H301" s="7"/>
      <c r="I301" s="6"/>
      <c r="J301" s="7"/>
      <c r="K301" s="96" t="str">
        <f>HYPERLINK("#'Healthcare'!KO1","Q6.2.53")</f>
        <v>Q6.2.53</v>
      </c>
      <c r="L301" s="93" t="str">
        <f>HYPERLINK("#'Healthcare'!KO2","Primary PPO medical plan: Cost share for individuals who receive infused/injectable medications at preferred care sites")</f>
        <v>Primary PPO medical plan: Cost share for individuals who receive infused/injectable medications at preferred care sites</v>
      </c>
      <c r="M301" s="6"/>
      <c r="N301" s="7"/>
      <c r="O301" s="6"/>
      <c r="P301" s="7"/>
      <c r="Q301" s="6"/>
      <c r="R301" s="7"/>
      <c r="S301" s="6"/>
      <c r="T301" s="7"/>
      <c r="U301" s="6"/>
      <c r="V301" s="7"/>
      <c r="W301" s="96" t="str">
        <f>HYPERLINK("#'Vendors'!KO1","Q12.11.9_78_TEXT")</f>
        <v>Q12.11.9_78_TEXT</v>
      </c>
      <c r="X301" s="93" t="str">
        <f>HYPERLINK("#'Vendors'!KO2","Other voluntary vendors employed: Perks/discounts")</f>
        <v>Other voluntary vendors employed: Perks/discounts</v>
      </c>
    </row>
    <row r="302" spans="1:24" ht="25.5" x14ac:dyDescent="0.2">
      <c r="A302" s="6"/>
      <c r="B302" s="7"/>
      <c r="C302" s="6"/>
      <c r="D302" s="7"/>
      <c r="E302" s="6"/>
      <c r="F302" s="7"/>
      <c r="G302" s="6"/>
      <c r="H302" s="7"/>
      <c r="I302" s="6"/>
      <c r="J302" s="7"/>
      <c r="K302" s="96" t="str">
        <f>HYPERLINK("#'Healthcare'!KP1","Q6.3.2")</f>
        <v>Q6.3.2</v>
      </c>
      <c r="L302" s="93" t="str">
        <f>HYPERLINK("#'Healthcare'!KP2","Total number of high deductible health plans (HDHP) medical plans offered")</f>
        <v>Total number of high deductible health plans (HDHP) medical plans offered</v>
      </c>
      <c r="M302" s="6"/>
      <c r="N302" s="7"/>
      <c r="O302" s="6"/>
      <c r="P302" s="7"/>
      <c r="Q302" s="6"/>
      <c r="R302" s="7"/>
      <c r="S302" s="6"/>
      <c r="T302" s="7"/>
      <c r="U302" s="6"/>
      <c r="V302" s="7"/>
      <c r="W302" s="96" t="str">
        <f>HYPERLINK("#'Vendors'!KP1","Q12.11.10")</f>
        <v>Q12.11.10</v>
      </c>
      <c r="X302" s="93" t="str">
        <f>HYPERLINK("#'Vendors'!KP2","Voluntary vendors employed: Matching gifts")</f>
        <v>Voluntary vendors employed: Matching gifts</v>
      </c>
    </row>
    <row r="303" spans="1:24" ht="25.5" x14ac:dyDescent="0.2">
      <c r="A303" s="6"/>
      <c r="B303" s="7"/>
      <c r="C303" s="6"/>
      <c r="D303" s="7"/>
      <c r="E303" s="6"/>
      <c r="F303" s="7"/>
      <c r="G303" s="6"/>
      <c r="H303" s="7"/>
      <c r="I303" s="6"/>
      <c r="J303" s="7"/>
      <c r="K303" s="96" t="str">
        <f>HYPERLINK("#'Healthcare'!KQ1","Q6.3.5")</f>
        <v>Q6.3.5</v>
      </c>
      <c r="L303" s="93" t="str">
        <f>HYPERLINK("#'Healthcare'!KQ2","HDHP medical plan with highest enrollment (Primary)")</f>
        <v>HDHP medical plan with highest enrollment (Primary)</v>
      </c>
      <c r="M303" s="6"/>
      <c r="N303" s="7"/>
      <c r="O303" s="6"/>
      <c r="P303" s="7"/>
      <c r="Q303" s="6"/>
      <c r="R303" s="7"/>
      <c r="S303" s="6"/>
      <c r="T303" s="7"/>
      <c r="U303" s="6"/>
      <c r="V303" s="7"/>
      <c r="W303" s="96" t="str">
        <f>HYPERLINK("#'Vendors'!KQ1","Q12.11.10_78_TEXT")</f>
        <v>Q12.11.10_78_TEXT</v>
      </c>
      <c r="X303" s="93" t="str">
        <f>HYPERLINK("#'Vendors'!KQ2","Other voluntary vendors employed: Matching gifts")</f>
        <v>Other voluntary vendors employed: Matching gifts</v>
      </c>
    </row>
    <row r="304" spans="1:24" ht="12.75" x14ac:dyDescent="0.2">
      <c r="A304" s="6"/>
      <c r="B304" s="7"/>
      <c r="C304" s="6"/>
      <c r="D304" s="7"/>
      <c r="E304" s="6"/>
      <c r="F304" s="7"/>
      <c r="G304" s="6"/>
      <c r="H304" s="7"/>
      <c r="I304" s="6"/>
      <c r="J304" s="7"/>
      <c r="K304" s="96" t="str">
        <f>HYPERLINK("#'Healthcare'!KR1","Q6.3.6")</f>
        <v>Q6.3.6</v>
      </c>
      <c r="L304" s="93" t="str">
        <f>HYPERLINK("#'Healthcare'!KR2","Other HDHP plans offered")</f>
        <v>Other HDHP plans offered</v>
      </c>
      <c r="M304" s="6"/>
      <c r="N304" s="7"/>
      <c r="O304" s="6"/>
      <c r="P304" s="7"/>
      <c r="Q304" s="6"/>
      <c r="R304" s="7"/>
      <c r="S304" s="6"/>
      <c r="T304" s="7"/>
      <c r="U304" s="6"/>
      <c r="V304" s="7"/>
      <c r="W304" s="96" t="str">
        <f>HYPERLINK("#'Vendors'!KR1","Q12.11.11")</f>
        <v>Q12.11.11</v>
      </c>
      <c r="X304" s="93" t="str">
        <f>HYPERLINK("#'Vendors'!KR2","Voluntary vendor(s) terminated in 2021")</f>
        <v>Voluntary vendor(s) terminated in 2021</v>
      </c>
    </row>
    <row r="305" spans="1:24" ht="25.5" x14ac:dyDescent="0.2">
      <c r="A305" s="6"/>
      <c r="B305" s="7"/>
      <c r="C305" s="6"/>
      <c r="D305" s="7"/>
      <c r="E305" s="6"/>
      <c r="F305" s="7"/>
      <c r="G305" s="6"/>
      <c r="H305" s="7"/>
      <c r="I305" s="6"/>
      <c r="J305" s="7"/>
      <c r="K305" s="96" t="str">
        <f>HYPERLINK("#'Healthcare'!KS1","Q6.3.7_1")</f>
        <v>Q6.3.7_1</v>
      </c>
      <c r="L305" s="93" t="str">
        <f>HYPERLINK("#'Healthcare'!KS2","Primary HDHP medical plan: Network out-of-pocket limit per person")</f>
        <v>Primary HDHP medical plan: Network out-of-pocket limit per person</v>
      </c>
      <c r="M305" s="6"/>
      <c r="N305" s="7"/>
      <c r="O305" s="6"/>
      <c r="P305" s="7"/>
      <c r="Q305" s="6"/>
      <c r="R305" s="7"/>
      <c r="S305" s="6"/>
      <c r="T305" s="7"/>
      <c r="U305" s="6"/>
      <c r="V305" s="7"/>
      <c r="W305" s="96" t="str">
        <f>HYPERLINK("#'Vendors'!KS1","Q12.11.12_1")</f>
        <v>Q12.11.12_1</v>
      </c>
      <c r="X305" s="93" t="str">
        <f>HYPERLINK("#'Vendors'!KS2","Terminated voluntary vendors: Group auto and home insurance")</f>
        <v>Terminated voluntary vendors: Group auto and home insurance</v>
      </c>
    </row>
    <row r="306" spans="1:24" ht="25.5" x14ac:dyDescent="0.2">
      <c r="A306" s="6"/>
      <c r="B306" s="7"/>
      <c r="C306" s="6"/>
      <c r="D306" s="7"/>
      <c r="E306" s="6"/>
      <c r="F306" s="7"/>
      <c r="G306" s="6"/>
      <c r="H306" s="7"/>
      <c r="I306" s="6"/>
      <c r="J306" s="7"/>
      <c r="K306" s="96" t="str">
        <f>HYPERLINK("#'Healthcare'!KT1","Q6.3.7_2")</f>
        <v>Q6.3.7_2</v>
      </c>
      <c r="L306" s="93" t="str">
        <f>HYPERLINK("#'Healthcare'!KT2","Primary HDHP medical plan: Network out-of-pocket limit family")</f>
        <v>Primary HDHP medical plan: Network out-of-pocket limit family</v>
      </c>
      <c r="M306" s="6"/>
      <c r="N306" s="7"/>
      <c r="O306" s="6"/>
      <c r="P306" s="7"/>
      <c r="Q306" s="6"/>
      <c r="R306" s="7"/>
      <c r="S306" s="6"/>
      <c r="T306" s="7"/>
      <c r="U306" s="6"/>
      <c r="V306" s="7"/>
      <c r="W306" s="96" t="str">
        <f>HYPERLINK("#'Vendors'!KT1","Q12.11.12_2")</f>
        <v>Q12.11.12_2</v>
      </c>
      <c r="X306" s="93" t="str">
        <f>HYPERLINK("#'Vendors'!KT2","Terminated voluntary vendors: Group legal insurance")</f>
        <v>Terminated voluntary vendors: Group legal insurance</v>
      </c>
    </row>
    <row r="307" spans="1:24" ht="25.5" x14ac:dyDescent="0.2">
      <c r="A307" s="6"/>
      <c r="B307" s="7"/>
      <c r="C307" s="6"/>
      <c r="D307" s="7"/>
      <c r="E307" s="6"/>
      <c r="F307" s="7"/>
      <c r="G307" s="6"/>
      <c r="H307" s="7"/>
      <c r="I307" s="6"/>
      <c r="J307" s="7"/>
      <c r="K307" s="96" t="str">
        <f>HYPERLINK("#'Healthcare'!KU1","Q6.3.7_3")</f>
        <v>Q6.3.7_3</v>
      </c>
      <c r="L307" s="93" t="str">
        <f>HYPERLINK("#'Healthcare'!KU2","Primary HDHP medical plan: Out-of-network out-of-pocket limit per person")</f>
        <v>Primary HDHP medical plan: Out-of-network out-of-pocket limit per person</v>
      </c>
      <c r="M307" s="6"/>
      <c r="N307" s="7"/>
      <c r="O307" s="6"/>
      <c r="P307" s="7"/>
      <c r="Q307" s="6"/>
      <c r="R307" s="7"/>
      <c r="S307" s="6"/>
      <c r="T307" s="7"/>
      <c r="U307" s="6"/>
      <c r="V307" s="7"/>
      <c r="W307" s="96" t="str">
        <f>HYPERLINK("#'Vendors'!KU1","Q12.11.12_3")</f>
        <v>Q12.11.12_3</v>
      </c>
      <c r="X307" s="93" t="str">
        <f>HYPERLINK("#'Vendors'!KU2","Terminated voluntary vendors: Pet insurance")</f>
        <v>Terminated voluntary vendors: Pet insurance</v>
      </c>
    </row>
    <row r="308" spans="1:24" ht="25.5" x14ac:dyDescent="0.2">
      <c r="A308" s="6"/>
      <c r="B308" s="7"/>
      <c r="C308" s="6"/>
      <c r="D308" s="7"/>
      <c r="E308" s="6"/>
      <c r="F308" s="7"/>
      <c r="G308" s="6"/>
      <c r="H308" s="7"/>
      <c r="I308" s="6"/>
      <c r="J308" s="7"/>
      <c r="K308" s="96" t="str">
        <f>HYPERLINK("#'Healthcare'!KV1","Q6.3.7_4")</f>
        <v>Q6.3.7_4</v>
      </c>
      <c r="L308" s="93" t="str">
        <f>HYPERLINK("#'Healthcare'!KV2","Primary HDHP medical plan: Out-of-network out-of-pocket limit family")</f>
        <v>Primary HDHP medical plan: Out-of-network out-of-pocket limit family</v>
      </c>
      <c r="M308" s="6"/>
      <c r="N308" s="7"/>
      <c r="O308" s="6"/>
      <c r="P308" s="7"/>
      <c r="Q308" s="6"/>
      <c r="R308" s="7"/>
      <c r="S308" s="6"/>
      <c r="T308" s="7"/>
      <c r="U308" s="6"/>
      <c r="V308" s="7"/>
      <c r="W308" s="96" t="str">
        <f>HYPERLINK("#'Vendors'!KV1","Q12.11.12_4")</f>
        <v>Q12.11.12_4</v>
      </c>
      <c r="X308" s="93" t="str">
        <f>HYPERLINK("#'Vendors'!KV2","Terminated voluntary vendors: Tuition reimbursement")</f>
        <v>Terminated voluntary vendors: Tuition reimbursement</v>
      </c>
    </row>
    <row r="309" spans="1:24" ht="25.5" x14ac:dyDescent="0.2">
      <c r="A309" s="6"/>
      <c r="B309" s="7"/>
      <c r="C309" s="6"/>
      <c r="D309" s="7"/>
      <c r="E309" s="6"/>
      <c r="F309" s="7"/>
      <c r="G309" s="6"/>
      <c r="H309" s="7"/>
      <c r="I309" s="6"/>
      <c r="J309" s="7"/>
      <c r="K309" s="96" t="str">
        <f>HYPERLINK("#'Healthcare'!KW1","Q6.3.7_5")</f>
        <v>Q6.3.7_5</v>
      </c>
      <c r="L309" s="93" t="str">
        <f>HYPERLINK("#'Healthcare'!KW2","Primary HDHP medical plan: Out-of-pocket limit - cross apply")</f>
        <v>Primary HDHP medical plan: Out-of-pocket limit - cross apply</v>
      </c>
      <c r="M309" s="6"/>
      <c r="N309" s="7"/>
      <c r="O309" s="6"/>
      <c r="P309" s="7"/>
      <c r="Q309" s="6"/>
      <c r="R309" s="7"/>
      <c r="S309" s="6"/>
      <c r="T309" s="7"/>
      <c r="U309" s="6"/>
      <c r="V309" s="7"/>
      <c r="W309" s="96" t="str">
        <f>HYPERLINK("#'Vendors'!KW1","Q12.11.12_13")</f>
        <v>Q12.11.12_13</v>
      </c>
      <c r="X309" s="93" t="str">
        <f>HYPERLINK("#'Vendors'!KW2","Terminated voluntary vendors: Student debt/loan repayment")</f>
        <v>Terminated voluntary vendors: Student debt/loan repayment</v>
      </c>
    </row>
    <row r="310" spans="1:24" ht="25.5" x14ac:dyDescent="0.2">
      <c r="A310" s="6"/>
      <c r="B310" s="7"/>
      <c r="C310" s="6"/>
      <c r="D310" s="7"/>
      <c r="E310" s="6"/>
      <c r="F310" s="7"/>
      <c r="G310" s="6"/>
      <c r="H310" s="7"/>
      <c r="I310" s="6"/>
      <c r="J310" s="7"/>
      <c r="K310" s="96" t="str">
        <f>HYPERLINK("#'Healthcare'!KX1","Q6.3.7_6")</f>
        <v>Q6.3.7_6</v>
      </c>
      <c r="L310" s="93" t="str">
        <f>HYPERLINK("#'Healthcare'!KX2","Primary HDHP medical plan: Out-of-pocket limit - aggregated")</f>
        <v>Primary HDHP medical plan: Out-of-pocket limit - aggregated</v>
      </c>
      <c r="M310" s="6"/>
      <c r="N310" s="7"/>
      <c r="O310" s="6"/>
      <c r="P310" s="7"/>
      <c r="Q310" s="6"/>
      <c r="R310" s="7"/>
      <c r="S310" s="6"/>
      <c r="T310" s="7"/>
      <c r="U310" s="6"/>
      <c r="V310" s="7"/>
      <c r="W310" s="96" t="str">
        <f>HYPERLINK("#'Vendors'!KX1","Q12.11.12_5")</f>
        <v>Q12.11.12_5</v>
      </c>
      <c r="X310" s="93" t="str">
        <f>HYPERLINK("#'Vendors'!KX2","Terminated voluntary vendors: Relocation services")</f>
        <v>Terminated voluntary vendors: Relocation services</v>
      </c>
    </row>
    <row r="311" spans="1:24" ht="25.5" x14ac:dyDescent="0.2">
      <c r="A311" s="6"/>
      <c r="B311" s="7"/>
      <c r="C311" s="6"/>
      <c r="D311" s="7"/>
      <c r="E311" s="6"/>
      <c r="F311" s="7"/>
      <c r="G311" s="6"/>
      <c r="H311" s="7"/>
      <c r="I311" s="6"/>
      <c r="J311" s="7"/>
      <c r="K311" s="96" t="str">
        <f>HYPERLINK("#'Healthcare'!KY1","Q6.3.8")</f>
        <v>Q6.3.8</v>
      </c>
      <c r="L311" s="93" t="str">
        <f>HYPERLINK("#'Healthcare'!KY2","Primary HDHP medical plan: Expenses excluded from out-of-pocket limit")</f>
        <v>Primary HDHP medical plan: Expenses excluded from out-of-pocket limit</v>
      </c>
      <c r="M311" s="6"/>
      <c r="N311" s="7"/>
      <c r="O311" s="6"/>
      <c r="P311" s="7"/>
      <c r="Q311" s="6"/>
      <c r="R311" s="7"/>
      <c r="S311" s="6"/>
      <c r="T311" s="7"/>
      <c r="U311" s="6"/>
      <c r="V311" s="7"/>
      <c r="W311" s="96" t="str">
        <f>HYPERLINK("#'Vendors'!KY1","Q12.11.12_6")</f>
        <v>Q12.11.12_6</v>
      </c>
      <c r="X311" s="93" t="str">
        <f>HYPERLINK("#'Vendors'!KY2","Terminated voluntary vendors: Service awards")</f>
        <v>Terminated voluntary vendors: Service awards</v>
      </c>
    </row>
    <row r="312" spans="1:24" ht="25.5" x14ac:dyDescent="0.2">
      <c r="A312" s="6"/>
      <c r="B312" s="7"/>
      <c r="C312" s="6"/>
      <c r="D312" s="7"/>
      <c r="E312" s="6"/>
      <c r="F312" s="7"/>
      <c r="G312" s="6"/>
      <c r="H312" s="7"/>
      <c r="I312" s="6"/>
      <c r="J312" s="7"/>
      <c r="K312" s="96" t="str">
        <f>HYPERLINK("#'Healthcare'!KZ1","Q6.3.9_1")</f>
        <v>Q6.3.9_1</v>
      </c>
      <c r="L312" s="93" t="str">
        <f>HYPERLINK("#'Healthcare'!KZ2","Primary HDHP medical plan: In-network overall deductible per person (preventive care-N/A)")</f>
        <v>Primary HDHP medical plan: In-network overall deductible per person (preventive care-N/A)</v>
      </c>
      <c r="M312" s="6"/>
      <c r="N312" s="7"/>
      <c r="O312" s="6"/>
      <c r="P312" s="7"/>
      <c r="Q312" s="6"/>
      <c r="R312" s="7"/>
      <c r="S312" s="6"/>
      <c r="T312" s="7"/>
      <c r="U312" s="6"/>
      <c r="V312" s="7"/>
      <c r="W312" s="96" t="str">
        <f>HYPERLINK("#'Vendors'!KZ1","Q12.11.12_7")</f>
        <v>Q12.11.12_7</v>
      </c>
      <c r="X312" s="93" t="str">
        <f>HYPERLINK("#'Vendors'!KZ2","Terminated voluntary vendors: Perks/discounts")</f>
        <v>Terminated voluntary vendors: Perks/discounts</v>
      </c>
    </row>
    <row r="313" spans="1:24" ht="25.5" x14ac:dyDescent="0.2">
      <c r="A313" s="6"/>
      <c r="B313" s="7"/>
      <c r="C313" s="6"/>
      <c r="D313" s="7"/>
      <c r="E313" s="6"/>
      <c r="F313" s="7"/>
      <c r="G313" s="6"/>
      <c r="H313" s="7"/>
      <c r="I313" s="6"/>
      <c r="J313" s="7"/>
      <c r="K313" s="96" t="str">
        <f>HYPERLINK("#'Healthcare'!LA1","Q6.3.9_2")</f>
        <v>Q6.3.9_2</v>
      </c>
      <c r="L313" s="93" t="str">
        <f>HYPERLINK("#'Healthcare'!LA2","Primary HDHP medical plan: In-network overall deductible per family (preventive care-N/A)")</f>
        <v>Primary HDHP medical plan: In-network overall deductible per family (preventive care-N/A)</v>
      </c>
      <c r="M313" s="6"/>
      <c r="N313" s="7"/>
      <c r="O313" s="6"/>
      <c r="P313" s="7"/>
      <c r="Q313" s="6"/>
      <c r="R313" s="7"/>
      <c r="S313" s="6"/>
      <c r="T313" s="7"/>
      <c r="U313" s="6"/>
      <c r="V313" s="7"/>
      <c r="W313" s="96" t="str">
        <f>HYPERLINK("#'Vendors'!LA1","Q12.11.12_8")</f>
        <v>Q12.11.12_8</v>
      </c>
      <c r="X313" s="93" t="str">
        <f>HYPERLINK("#'Vendors'!LA2","Terminated voluntary vendors: Matching gifts")</f>
        <v>Terminated voluntary vendors: Matching gifts</v>
      </c>
    </row>
    <row r="314" spans="1:24" ht="38.25" x14ac:dyDescent="0.2">
      <c r="A314" s="6"/>
      <c r="B314" s="7"/>
      <c r="C314" s="6"/>
      <c r="D314" s="7"/>
      <c r="E314" s="6"/>
      <c r="F314" s="7"/>
      <c r="G314" s="6"/>
      <c r="H314" s="7"/>
      <c r="I314" s="6"/>
      <c r="J314" s="7"/>
      <c r="K314" s="96" t="str">
        <f>HYPERLINK("#'Healthcare'!LB1","Q6.3.9_3")</f>
        <v>Q6.3.9_3</v>
      </c>
      <c r="L314" s="93" t="str">
        <f>HYPERLINK("#'Healthcare'!LB2","Primary HDHP medical plan: Out-of-network overall deductible per person (preventive care-N/A)")</f>
        <v>Primary HDHP medical plan: Out-of-network overall deductible per person (preventive care-N/A)</v>
      </c>
      <c r="M314" s="6"/>
      <c r="N314" s="7"/>
      <c r="O314" s="6"/>
      <c r="P314" s="7"/>
      <c r="Q314" s="6"/>
      <c r="R314" s="7"/>
      <c r="S314" s="6"/>
      <c r="T314" s="7"/>
      <c r="U314" s="6"/>
      <c r="V314" s="7"/>
      <c r="W314" s="96" t="str">
        <f>HYPERLINK("#'Vendors'!LB1","Q12.12.2")</f>
        <v>Q12.12.2</v>
      </c>
      <c r="X314" s="93" t="str">
        <f>HYPERLINK("#'Vendors'!LB2","On-site convenience service vendors employed: On-site ATM/credit union")</f>
        <v>On-site convenience service vendors employed: On-site ATM/credit union</v>
      </c>
    </row>
    <row r="315" spans="1:24" ht="38.25" x14ac:dyDescent="0.2">
      <c r="A315" s="6"/>
      <c r="B315" s="7"/>
      <c r="C315" s="6"/>
      <c r="D315" s="7"/>
      <c r="E315" s="6"/>
      <c r="F315" s="7"/>
      <c r="G315" s="6"/>
      <c r="H315" s="7"/>
      <c r="I315" s="6"/>
      <c r="J315" s="7"/>
      <c r="K315" s="96" t="str">
        <f>HYPERLINK("#'Healthcare'!LC1","Q6.3.9_4")</f>
        <v>Q6.3.9_4</v>
      </c>
      <c r="L315" s="93" t="str">
        <f>HYPERLINK("#'Healthcare'!LC2","Primary HDHP medical plan: Out-of-network overall deductible per family (preventive care-N/A)")</f>
        <v>Primary HDHP medical plan: Out-of-network overall deductible per family (preventive care-N/A)</v>
      </c>
      <c r="M315" s="6"/>
      <c r="N315" s="7"/>
      <c r="O315" s="6"/>
      <c r="P315" s="7"/>
      <c r="Q315" s="6"/>
      <c r="R315" s="7"/>
      <c r="S315" s="6"/>
      <c r="T315" s="7"/>
      <c r="U315" s="6"/>
      <c r="V315" s="7"/>
      <c r="W315" s="96" t="str">
        <f>HYPERLINK("#'Vendors'!LC1","Q12.12.2_20_TEXT")</f>
        <v>Q12.12.2_20_TEXT</v>
      </c>
      <c r="X315" s="93" t="str">
        <f>HYPERLINK("#'Vendors'!LC2","Other on-site convenience service vendors employed: On-site ATM/credit union")</f>
        <v>Other on-site convenience service vendors employed: On-site ATM/credit union</v>
      </c>
    </row>
    <row r="316" spans="1:24" ht="25.5" x14ac:dyDescent="0.2">
      <c r="A316" s="6"/>
      <c r="B316" s="7"/>
      <c r="C316" s="6"/>
      <c r="D316" s="7"/>
      <c r="E316" s="6"/>
      <c r="F316" s="7"/>
      <c r="G316" s="6"/>
      <c r="H316" s="7"/>
      <c r="I316" s="6"/>
      <c r="J316" s="7"/>
      <c r="K316" s="96" t="str">
        <f>HYPERLINK("#'Healthcare'!LD1","Q6.3.10")</f>
        <v>Q6.3.10</v>
      </c>
      <c r="L316" s="93" t="str">
        <f>HYPERLINK("#'Healthcare'!LD2","Primary HDHP medical plan: Embedded or non-embedded deductible")</f>
        <v>Primary HDHP medical plan: Embedded or non-embedded deductible</v>
      </c>
      <c r="M316" s="6"/>
      <c r="N316" s="7"/>
      <c r="O316" s="6"/>
      <c r="P316" s="7"/>
      <c r="Q316" s="6"/>
      <c r="R316" s="7"/>
      <c r="S316" s="6"/>
      <c r="T316" s="7"/>
      <c r="U316" s="6"/>
      <c r="V316" s="7"/>
      <c r="W316" s="96" t="str">
        <f>HYPERLINK("#'Vendors'!LD1","Q12.12.3")</f>
        <v>Q12.12.3</v>
      </c>
      <c r="X316" s="93" t="str">
        <f>HYPERLINK("#'Vendors'!LD2","On-site convenience service vendors employed: On-site car services")</f>
        <v>On-site convenience service vendors employed: On-site car services</v>
      </c>
    </row>
    <row r="317" spans="1:24" ht="38.25" x14ac:dyDescent="0.2">
      <c r="A317" s="6"/>
      <c r="B317" s="7"/>
      <c r="C317" s="6"/>
      <c r="D317" s="7"/>
      <c r="E317" s="6"/>
      <c r="F317" s="7"/>
      <c r="G317" s="6"/>
      <c r="H317" s="7"/>
      <c r="I317" s="6"/>
      <c r="J317" s="7"/>
      <c r="K317" s="96" t="str">
        <f>HYPERLINK("#'Healthcare'!LE1","Q6.3.11_1")</f>
        <v>Q6.3.11_1</v>
      </c>
      <c r="L317" s="93" t="str">
        <f>HYPERLINK("#'Healthcare'!LE2","Primary HDHP medical plan in-network services with separate deductibles: Not applicable - no separate deductibles")</f>
        <v>Primary HDHP medical plan in-network services with separate deductibles: Not applicable - no separate deductibles</v>
      </c>
      <c r="M317" s="6"/>
      <c r="N317" s="7"/>
      <c r="O317" s="6"/>
      <c r="P317" s="7"/>
      <c r="Q317" s="6"/>
      <c r="R317" s="7"/>
      <c r="S317" s="6"/>
      <c r="T317" s="7"/>
      <c r="U317" s="6"/>
      <c r="V317" s="7"/>
      <c r="W317" s="96" t="str">
        <f>HYPERLINK("#'Vendors'!LE1","Q12.12.3_13_TEXT")</f>
        <v>Q12.12.3_13_TEXT</v>
      </c>
      <c r="X317" s="93" t="str">
        <f>HYPERLINK("#'Vendors'!LE2","Other on-site convenience service vendors employed: On-site car services")</f>
        <v>Other on-site convenience service vendors employed: On-site car services</v>
      </c>
    </row>
    <row r="318" spans="1:24" ht="38.25" x14ac:dyDescent="0.2">
      <c r="A318" s="6"/>
      <c r="B318" s="7"/>
      <c r="C318" s="6"/>
      <c r="D318" s="7"/>
      <c r="E318" s="6"/>
      <c r="F318" s="7"/>
      <c r="G318" s="6"/>
      <c r="H318" s="7"/>
      <c r="I318" s="6"/>
      <c r="J318" s="7"/>
      <c r="K318" s="96" t="str">
        <f>HYPERLINK("#'Healthcare'!LF1","Q6.3.11_2")</f>
        <v>Q6.3.11_2</v>
      </c>
      <c r="L318" s="93" t="str">
        <f>HYPERLINK("#'Healthcare'!LF2","Primary HDHP medical plan in-network services with separate deductibles: Acupuncture")</f>
        <v>Primary HDHP medical plan in-network services with separate deductibles: Acupuncture</v>
      </c>
      <c r="M318" s="6"/>
      <c r="N318" s="7"/>
      <c r="O318" s="6"/>
      <c r="P318" s="7"/>
      <c r="Q318" s="6"/>
      <c r="R318" s="7"/>
      <c r="S318" s="6"/>
      <c r="T318" s="7"/>
      <c r="U318" s="6"/>
      <c r="V318" s="7"/>
      <c r="W318" s="96" t="str">
        <f>HYPERLINK("#'Vendors'!LF1","Q12.12.4")</f>
        <v>Q12.12.4</v>
      </c>
      <c r="X318" s="93" t="str">
        <f>HYPERLINK("#'Vendors'!LF2","On-site convenience service vendors employed: On-site dry cleaning")</f>
        <v>On-site convenience service vendors employed: On-site dry cleaning</v>
      </c>
    </row>
    <row r="319" spans="1:24" ht="38.25" x14ac:dyDescent="0.2">
      <c r="A319" s="6"/>
      <c r="B319" s="7"/>
      <c r="C319" s="6"/>
      <c r="D319" s="7"/>
      <c r="E319" s="6"/>
      <c r="F319" s="7"/>
      <c r="G319" s="6"/>
      <c r="H319" s="7"/>
      <c r="I319" s="6"/>
      <c r="J319" s="7"/>
      <c r="K319" s="96" t="str">
        <f>HYPERLINK("#'Healthcare'!LG1","Q6.3.11_3")</f>
        <v>Q6.3.11_3</v>
      </c>
      <c r="L319" s="93" t="str">
        <f>HYPERLINK("#'Healthcare'!LG2","Primary HDHP medical plan in-network services with separate deductibles: Chiropractic")</f>
        <v>Primary HDHP medical plan in-network services with separate deductibles: Chiropractic</v>
      </c>
      <c r="M319" s="6"/>
      <c r="N319" s="7"/>
      <c r="O319" s="6"/>
      <c r="P319" s="7"/>
      <c r="Q319" s="6"/>
      <c r="R319" s="7"/>
      <c r="S319" s="6"/>
      <c r="T319" s="7"/>
      <c r="U319" s="6"/>
      <c r="V319" s="7"/>
      <c r="W319" s="96" t="str">
        <f>HYPERLINK("#'Vendors'!LG1","Q12.12.4_13_TEXT")</f>
        <v>Q12.12.4_13_TEXT</v>
      </c>
      <c r="X319" s="93" t="str">
        <f>HYPERLINK("#'Vendors'!LG2","Other on-site convenience service vendors employed: On-site dry cleaning")</f>
        <v>Other on-site convenience service vendors employed: On-site dry cleaning</v>
      </c>
    </row>
    <row r="320" spans="1:24" ht="38.25" x14ac:dyDescent="0.2">
      <c r="A320" s="6"/>
      <c r="B320" s="7"/>
      <c r="C320" s="6"/>
      <c r="D320" s="7"/>
      <c r="E320" s="6"/>
      <c r="F320" s="7"/>
      <c r="G320" s="6"/>
      <c r="H320" s="7"/>
      <c r="I320" s="6"/>
      <c r="J320" s="7"/>
      <c r="K320" s="96" t="str">
        <f>HYPERLINK("#'Healthcare'!LH1","Q6.3.11_4")</f>
        <v>Q6.3.11_4</v>
      </c>
      <c r="L320" s="93" t="str">
        <f>HYPERLINK("#'Healthcare'!LH2","Primary HDHP medical plan in-network services with separate deductibles: Emergency room (true emergency)")</f>
        <v>Primary HDHP medical plan in-network services with separate deductibles: Emergency room (true emergency)</v>
      </c>
      <c r="M320" s="6"/>
      <c r="N320" s="7"/>
      <c r="O320" s="6"/>
      <c r="P320" s="7"/>
      <c r="Q320" s="6"/>
      <c r="R320" s="7"/>
      <c r="S320" s="6"/>
      <c r="T320" s="7"/>
      <c r="U320" s="6"/>
      <c r="V320" s="7"/>
      <c r="W320" s="96" t="str">
        <f>HYPERLINK("#'Vendors'!LH1","Q12.12.5")</f>
        <v>Q12.12.5</v>
      </c>
      <c r="X320" s="93" t="str">
        <f>HYPERLINK("#'Vendors'!LH2","On-site convenience service vendors employed: On-site chair massages")</f>
        <v>On-site convenience service vendors employed: On-site chair massages</v>
      </c>
    </row>
    <row r="321" spans="1:24" ht="38.25" x14ac:dyDescent="0.2">
      <c r="A321" s="6"/>
      <c r="B321" s="7"/>
      <c r="C321" s="6"/>
      <c r="D321" s="7"/>
      <c r="E321" s="6"/>
      <c r="F321" s="7"/>
      <c r="G321" s="6"/>
      <c r="H321" s="7"/>
      <c r="I321" s="6"/>
      <c r="J321" s="7"/>
      <c r="K321" s="96" t="str">
        <f>HYPERLINK("#'Healthcare'!LI1","Q6.3.11_5")</f>
        <v>Q6.3.11_5</v>
      </c>
      <c r="L321" s="93" t="str">
        <f>HYPERLINK("#'Healthcare'!LI2","Primary HDHP medical plan in-network services with separate deductibles: Emergency room (non-emergency)")</f>
        <v>Primary HDHP medical plan in-network services with separate deductibles: Emergency room (non-emergency)</v>
      </c>
      <c r="M321" s="6"/>
      <c r="N321" s="7"/>
      <c r="O321" s="6"/>
      <c r="P321" s="7"/>
      <c r="Q321" s="6"/>
      <c r="R321" s="7"/>
      <c r="S321" s="6"/>
      <c r="T321" s="7"/>
      <c r="U321" s="6"/>
      <c r="V321" s="7"/>
      <c r="W321" s="96" t="str">
        <f>HYPERLINK("#'Vendors'!LI1","Q12.12.5_18_TEXT")</f>
        <v>Q12.12.5_18_TEXT</v>
      </c>
      <c r="X321" s="93" t="str">
        <f>HYPERLINK("#'Vendors'!LI2","Other on-site convenience service vendors employed: On-site chair massages")</f>
        <v>Other on-site convenience service vendors employed: On-site chair massages</v>
      </c>
    </row>
    <row r="322" spans="1:24" ht="38.25" x14ac:dyDescent="0.2">
      <c r="A322" s="6"/>
      <c r="B322" s="7"/>
      <c r="C322" s="6"/>
      <c r="D322" s="7"/>
      <c r="E322" s="6"/>
      <c r="F322" s="7"/>
      <c r="G322" s="6"/>
      <c r="H322" s="7"/>
      <c r="I322" s="6"/>
      <c r="J322" s="7"/>
      <c r="K322" s="96" t="str">
        <f>HYPERLINK("#'Healthcare'!LJ1","Q6.3.11_6")</f>
        <v>Q6.3.11_6</v>
      </c>
      <c r="L322" s="93" t="str">
        <f>HYPERLINK("#'Healthcare'!LJ2","Primary HDHP medical plan in-network services with separate deductibles: Emergency room (with hospital admittance)")</f>
        <v>Primary HDHP medical plan in-network services with separate deductibles: Emergency room (with hospital admittance)</v>
      </c>
      <c r="M322" s="6"/>
      <c r="N322" s="7"/>
      <c r="O322" s="6"/>
      <c r="P322" s="7"/>
      <c r="Q322" s="6"/>
      <c r="R322" s="7"/>
      <c r="S322" s="6"/>
      <c r="T322" s="7"/>
      <c r="U322" s="6"/>
      <c r="V322" s="7"/>
      <c r="W322" s="96" t="str">
        <f>HYPERLINK("#'Vendors'!LJ1","Q12.12.6")</f>
        <v>Q12.12.6</v>
      </c>
      <c r="X322" s="93" t="str">
        <f>HYPERLINK("#'Vendors'!LJ2","On-site convenience service vendors employed: Cafeteria, food carts, fruits/veg")</f>
        <v>On-site convenience service vendors employed: Cafeteria, food carts, fruits/veg</v>
      </c>
    </row>
    <row r="323" spans="1:24" ht="38.25" x14ac:dyDescent="0.2">
      <c r="A323" s="6"/>
      <c r="B323" s="7"/>
      <c r="C323" s="6"/>
      <c r="D323" s="7"/>
      <c r="E323" s="6"/>
      <c r="F323" s="7"/>
      <c r="G323" s="6"/>
      <c r="H323" s="7"/>
      <c r="I323" s="6"/>
      <c r="J323" s="7"/>
      <c r="K323" s="96" t="str">
        <f>HYPERLINK("#'Healthcare'!LK1","Q6.3.11_7")</f>
        <v>Q6.3.11_7</v>
      </c>
      <c r="L323" s="93" t="str">
        <f>HYPERLINK("#'Healthcare'!LK2","Primary HDHP medical plan in-network services with separate deductibles: Inpatient hospital")</f>
        <v>Primary HDHP medical plan in-network services with separate deductibles: Inpatient hospital</v>
      </c>
      <c r="M323" s="6"/>
      <c r="N323" s="7"/>
      <c r="O323" s="6"/>
      <c r="P323" s="7"/>
      <c r="Q323" s="6"/>
      <c r="R323" s="7"/>
      <c r="S323" s="6"/>
      <c r="T323" s="7"/>
      <c r="U323" s="6"/>
      <c r="V323" s="7"/>
      <c r="W323" s="96" t="str">
        <f>HYPERLINK("#'Vendors'!LK1","Q12.12.6_15_TEXT")</f>
        <v>Q12.12.6_15_TEXT</v>
      </c>
      <c r="X323" s="93" t="str">
        <f>HYPERLINK("#'Vendors'!LK2","Other on-site convenience service vendors employed: Cafeteria, food carts, fruits/veg")</f>
        <v>Other on-site convenience service vendors employed: Cafeteria, food carts, fruits/veg</v>
      </c>
    </row>
    <row r="324" spans="1:24" ht="38.25" x14ac:dyDescent="0.2">
      <c r="A324" s="6"/>
      <c r="B324" s="7"/>
      <c r="C324" s="6"/>
      <c r="D324" s="7"/>
      <c r="E324" s="6"/>
      <c r="F324" s="7"/>
      <c r="G324" s="6"/>
      <c r="H324" s="7"/>
      <c r="I324" s="6"/>
      <c r="J324" s="7"/>
      <c r="K324" s="96" t="str">
        <f>HYPERLINK("#'Healthcare'!LL1","Q6.3.11_8")</f>
        <v>Q6.3.11_8</v>
      </c>
      <c r="L324" s="93" t="str">
        <f>HYPERLINK("#'Healthcare'!LL2","Primary HDHP medical plan in-network services with separate deductibles: Mental health/substance abuse")</f>
        <v>Primary HDHP medical plan in-network services with separate deductibles: Mental health/substance abuse</v>
      </c>
      <c r="M324" s="6"/>
      <c r="N324" s="7"/>
      <c r="O324" s="6"/>
      <c r="P324" s="7"/>
      <c r="Q324" s="6"/>
      <c r="R324" s="7"/>
      <c r="S324" s="6"/>
      <c r="T324" s="7"/>
      <c r="U324" s="6"/>
      <c r="V324" s="7"/>
      <c r="W324" s="96" t="str">
        <f>HYPERLINK("#'Vendors'!LL1","Q12.12.7")</f>
        <v>Q12.12.7</v>
      </c>
      <c r="X324" s="93" t="str">
        <f>HYPERLINK("#'Vendors'!LL2","On-site convenience service vendors employed: On-site mail/shipping service")</f>
        <v>On-site convenience service vendors employed: On-site mail/shipping service</v>
      </c>
    </row>
    <row r="325" spans="1:24" ht="38.25" x14ac:dyDescent="0.2">
      <c r="A325" s="6"/>
      <c r="B325" s="7"/>
      <c r="C325" s="6"/>
      <c r="D325" s="7"/>
      <c r="E325" s="6"/>
      <c r="F325" s="7"/>
      <c r="G325" s="6"/>
      <c r="H325" s="7"/>
      <c r="I325" s="6"/>
      <c r="J325" s="7"/>
      <c r="K325" s="96" t="str">
        <f>HYPERLINK("#'Healthcare'!LM1","Q6.3.11_9")</f>
        <v>Q6.3.11_9</v>
      </c>
      <c r="L325" s="93" t="str">
        <f>HYPERLINK("#'Healthcare'!LM2","Primary HDHP medical plan in-network services with separate deductibles: Outpatient surgical center")</f>
        <v>Primary HDHP medical plan in-network services with separate deductibles: Outpatient surgical center</v>
      </c>
      <c r="M325" s="6"/>
      <c r="N325" s="7"/>
      <c r="O325" s="6"/>
      <c r="P325" s="7"/>
      <c r="Q325" s="6"/>
      <c r="R325" s="7"/>
      <c r="S325" s="6"/>
      <c r="T325" s="7"/>
      <c r="U325" s="6"/>
      <c r="V325" s="7"/>
      <c r="W325" s="96" t="str">
        <f>HYPERLINK("#'Vendors'!LM1","Q12.12.7_11_TEXT")</f>
        <v>Q12.12.7_11_TEXT</v>
      </c>
      <c r="X325" s="93" t="str">
        <f>HYPERLINK("#'Vendors'!LM2","Other on-site convenience service vendors employed: On-site mail/shipping service")</f>
        <v>Other on-site convenience service vendors employed: On-site mail/shipping service</v>
      </c>
    </row>
    <row r="326" spans="1:24" ht="38.25" x14ac:dyDescent="0.2">
      <c r="A326" s="6"/>
      <c r="B326" s="7"/>
      <c r="C326" s="6"/>
      <c r="D326" s="7"/>
      <c r="E326" s="6"/>
      <c r="F326" s="7"/>
      <c r="G326" s="6"/>
      <c r="H326" s="7"/>
      <c r="I326" s="6"/>
      <c r="J326" s="7"/>
      <c r="K326" s="96" t="str">
        <f>HYPERLINK("#'Healthcare'!LN1","Q6.3.11_10")</f>
        <v>Q6.3.11_10</v>
      </c>
      <c r="L326" s="93" t="str">
        <f>HYPERLINK("#'Healthcare'!LN2","Primary HDHP medical plan in-network services with separate deductibles: Prescription drugs (preventive)")</f>
        <v>Primary HDHP medical plan in-network services with separate deductibles: Prescription drugs (preventive)</v>
      </c>
      <c r="M326" s="6"/>
      <c r="N326" s="7"/>
      <c r="O326" s="6"/>
      <c r="P326" s="7"/>
      <c r="Q326" s="6"/>
      <c r="R326" s="7"/>
      <c r="S326" s="6"/>
      <c r="T326" s="7"/>
      <c r="U326" s="6"/>
      <c r="V326" s="7"/>
      <c r="W326" s="96" t="str">
        <f>HYPERLINK("#'Vendors'!LN1","Q12.12.8")</f>
        <v>Q12.12.8</v>
      </c>
      <c r="X326" s="93" t="str">
        <f>HYPERLINK("#'Vendors'!LN2","On-site convenience service vendors employed: Concierge services/leisure travel")</f>
        <v>On-site convenience service vendors employed: Concierge services/leisure travel</v>
      </c>
    </row>
    <row r="327" spans="1:24" ht="38.25" x14ac:dyDescent="0.2">
      <c r="A327" s="6"/>
      <c r="B327" s="7"/>
      <c r="C327" s="6"/>
      <c r="D327" s="7"/>
      <c r="E327" s="6"/>
      <c r="F327" s="7"/>
      <c r="G327" s="6"/>
      <c r="H327" s="7"/>
      <c r="I327" s="6"/>
      <c r="J327" s="7"/>
      <c r="K327" s="96" t="str">
        <f>HYPERLINK("#'Healthcare'!LO1","Q6.3.11_11")</f>
        <v>Q6.3.11_11</v>
      </c>
      <c r="L327" s="93" t="str">
        <f>HYPERLINK("#'Healthcare'!LO2","Primary HDHP medical plan in-network services with separate deductibles: Prescription drugs (non-preventive)")</f>
        <v>Primary HDHP medical plan in-network services with separate deductibles: Prescription drugs (non-preventive)</v>
      </c>
      <c r="M327" s="6"/>
      <c r="N327" s="7"/>
      <c r="O327" s="6"/>
      <c r="P327" s="7"/>
      <c r="Q327" s="6"/>
      <c r="R327" s="7"/>
      <c r="S327" s="6"/>
      <c r="T327" s="7"/>
      <c r="U327" s="6"/>
      <c r="V327" s="7"/>
      <c r="W327" s="96" t="str">
        <f>HYPERLINK("#'Vendors'!LO1","Q12.12.8_24_TEXT")</f>
        <v>Q12.12.8_24_TEXT</v>
      </c>
      <c r="X327" s="93" t="str">
        <f>HYPERLINK("#'Vendors'!LO2","Other on-site convenience service vendors employed: Concierge services/leisure travel")</f>
        <v>Other on-site convenience service vendors employed: Concierge services/leisure travel</v>
      </c>
    </row>
    <row r="328" spans="1:24" ht="38.25" x14ac:dyDescent="0.2">
      <c r="A328" s="6"/>
      <c r="B328" s="7"/>
      <c r="C328" s="6"/>
      <c r="D328" s="7"/>
      <c r="E328" s="6"/>
      <c r="F328" s="7"/>
      <c r="G328" s="6"/>
      <c r="H328" s="7"/>
      <c r="I328" s="6"/>
      <c r="J328" s="7"/>
      <c r="K328" s="96" t="str">
        <f>HYPERLINK("#'Healthcare'!LP1","Q6.3.11_12")</f>
        <v>Q6.3.11_12</v>
      </c>
      <c r="L328" s="93" t="str">
        <f>HYPERLINK("#'Healthcare'!LP2","Primary HDHP medical plan in-network services with separate deductibles: Therapies (e.g., speech, PT, OT)")</f>
        <v>Primary HDHP medical plan in-network services with separate deductibles: Therapies (e.g., speech, PT, OT)</v>
      </c>
      <c r="M328" s="6"/>
      <c r="N328" s="7"/>
      <c r="O328" s="6"/>
      <c r="P328" s="7"/>
      <c r="Q328" s="6"/>
      <c r="R328" s="7"/>
      <c r="S328" s="6"/>
      <c r="T328" s="7"/>
      <c r="U328" s="6"/>
      <c r="V328" s="7"/>
      <c r="W328" s="96" t="str">
        <f>HYPERLINK("#'Vendors'!LP1","Q12.12.9")</f>
        <v>Q12.12.9</v>
      </c>
      <c r="X328" s="93" t="str">
        <f>HYPERLINK("#'Vendors'!LP2","On-site convenience service vendors employed: On-site hair salon")</f>
        <v>On-site convenience service vendors employed: On-site hair salon</v>
      </c>
    </row>
    <row r="329" spans="1:24" ht="25.5" x14ac:dyDescent="0.2">
      <c r="A329" s="6"/>
      <c r="B329" s="7"/>
      <c r="C329" s="6"/>
      <c r="D329" s="7"/>
      <c r="E329" s="6"/>
      <c r="F329" s="7"/>
      <c r="G329" s="6"/>
      <c r="H329" s="7"/>
      <c r="I329" s="6"/>
      <c r="J329" s="7"/>
      <c r="K329" s="96" t="str">
        <f>HYPERLINK("#'Healthcare'!LQ1","Q6.3.11_13")</f>
        <v>Q6.3.11_13</v>
      </c>
      <c r="L329" s="93" t="str">
        <f>HYPERLINK("#'Healthcare'!LQ2","Primary HDHP medical plan in-network services with separate deductibles: Other")</f>
        <v>Primary HDHP medical plan in-network services with separate deductibles: Other</v>
      </c>
      <c r="M329" s="6"/>
      <c r="N329" s="7"/>
      <c r="O329" s="6"/>
      <c r="P329" s="7"/>
      <c r="Q329" s="6"/>
      <c r="R329" s="7"/>
      <c r="S329" s="6"/>
      <c r="T329" s="7"/>
      <c r="U329" s="6"/>
      <c r="V329" s="7"/>
      <c r="W329" s="96" t="str">
        <f>HYPERLINK("#'Vendors'!LQ1","Q12.12.9_8_TEXT")</f>
        <v>Q12.12.9_8_TEXT</v>
      </c>
      <c r="X329" s="93" t="str">
        <f>HYPERLINK("#'Vendors'!LQ2","Other on-site convenience service vendors employed: On-site hair salon")</f>
        <v>Other on-site convenience service vendors employed: On-site hair salon</v>
      </c>
    </row>
    <row r="330" spans="1:24" ht="38.25" x14ac:dyDescent="0.2">
      <c r="A330" s="6"/>
      <c r="B330" s="7"/>
      <c r="C330" s="6"/>
      <c r="D330" s="7"/>
      <c r="E330" s="6"/>
      <c r="F330" s="7"/>
      <c r="G330" s="6"/>
      <c r="H330" s="7"/>
      <c r="I330" s="6"/>
      <c r="J330" s="7"/>
      <c r="K330" s="96" t="str">
        <f>HYPERLINK("#'Healthcare'!LR1","Q6.3.12_1")</f>
        <v>Q6.3.12_1</v>
      </c>
      <c r="L330" s="93" t="str">
        <f>HYPERLINK("#'Healthcare'!LR2","Primary HDHP medical plan out-of-network services with separate deductibles: Not applicable - no separate deductibles")</f>
        <v>Primary HDHP medical plan out-of-network services with separate deductibles: Not applicable - no separate deductibles</v>
      </c>
      <c r="M330" s="6"/>
      <c r="N330" s="7"/>
      <c r="O330" s="6"/>
      <c r="P330" s="7"/>
      <c r="Q330" s="6"/>
      <c r="R330" s="7"/>
      <c r="S330" s="6"/>
      <c r="T330" s="7"/>
      <c r="U330" s="6"/>
      <c r="V330" s="7"/>
      <c r="W330" s="96" t="str">
        <f>HYPERLINK("#'Vendors'!LR1","Q12.12.10")</f>
        <v>Q12.12.10</v>
      </c>
      <c r="X330" s="93" t="str">
        <f>HYPERLINK("#'Vendors'!LR2","On-site convenience service vendor(s) terminated in 2021")</f>
        <v>On-site convenience service vendor(s) terminated in 2021</v>
      </c>
    </row>
    <row r="331" spans="1:24" ht="38.25" x14ac:dyDescent="0.2">
      <c r="A331" s="6"/>
      <c r="B331" s="7"/>
      <c r="C331" s="6"/>
      <c r="D331" s="7"/>
      <c r="E331" s="6"/>
      <c r="F331" s="7"/>
      <c r="G331" s="6"/>
      <c r="H331" s="7"/>
      <c r="I331" s="6"/>
      <c r="J331" s="7"/>
      <c r="K331" s="96" t="str">
        <f>HYPERLINK("#'Healthcare'!LS1","Q6.3.12_2")</f>
        <v>Q6.3.12_2</v>
      </c>
      <c r="L331" s="93" t="str">
        <f>HYPERLINK("#'Healthcare'!LS2","Primary HDHP medical plan out-of-network services with separate deductibles: Acupuncture")</f>
        <v>Primary HDHP medical plan out-of-network services with separate deductibles: Acupuncture</v>
      </c>
      <c r="M331" s="6"/>
      <c r="N331" s="7"/>
      <c r="O331" s="6"/>
      <c r="P331" s="7"/>
      <c r="Q331" s="6"/>
      <c r="R331" s="7"/>
      <c r="S331" s="6"/>
      <c r="T331" s="7"/>
      <c r="U331" s="6"/>
      <c r="V331" s="7"/>
      <c r="W331" s="96" t="str">
        <f>HYPERLINK("#'Vendors'!LS1","Q12.12.11_1")</f>
        <v>Q12.12.11_1</v>
      </c>
      <c r="X331" s="93" t="str">
        <f>HYPERLINK("#'Vendors'!LS2","Terminated on-site convenience service vendors: On-site ATM/credit union")</f>
        <v>Terminated on-site convenience service vendors: On-site ATM/credit union</v>
      </c>
    </row>
    <row r="332" spans="1:24" ht="38.25" x14ac:dyDescent="0.2">
      <c r="A332" s="6"/>
      <c r="B332" s="7"/>
      <c r="C332" s="6"/>
      <c r="D332" s="7"/>
      <c r="E332" s="6"/>
      <c r="F332" s="7"/>
      <c r="G332" s="6"/>
      <c r="H332" s="7"/>
      <c r="I332" s="6"/>
      <c r="J332" s="7"/>
      <c r="K332" s="96" t="str">
        <f>HYPERLINK("#'Healthcare'!LT1","Q6.3.12_3")</f>
        <v>Q6.3.12_3</v>
      </c>
      <c r="L332" s="93" t="str">
        <f>HYPERLINK("#'Healthcare'!LT2","Primary HDHP medical plan out-of-network services with separate deductibles: Chiropractic")</f>
        <v>Primary HDHP medical plan out-of-network services with separate deductibles: Chiropractic</v>
      </c>
      <c r="M332" s="6"/>
      <c r="N332" s="7"/>
      <c r="O332" s="6"/>
      <c r="P332" s="7"/>
      <c r="Q332" s="6"/>
      <c r="R332" s="7"/>
      <c r="S332" s="6"/>
      <c r="T332" s="7"/>
      <c r="U332" s="6"/>
      <c r="V332" s="7"/>
      <c r="W332" s="96" t="str">
        <f>HYPERLINK("#'Vendors'!LT1","Q12.12.11_2")</f>
        <v>Q12.12.11_2</v>
      </c>
      <c r="X332" s="93" t="str">
        <f>HYPERLINK("#'Vendors'!LT2","Terminated on-site convenience service vendors: On-site car services")</f>
        <v>Terminated on-site convenience service vendors: On-site car services</v>
      </c>
    </row>
    <row r="333" spans="1:24" ht="38.25" x14ac:dyDescent="0.2">
      <c r="A333" s="6"/>
      <c r="B333" s="7"/>
      <c r="C333" s="6"/>
      <c r="D333" s="7"/>
      <c r="E333" s="6"/>
      <c r="F333" s="7"/>
      <c r="G333" s="6"/>
      <c r="H333" s="7"/>
      <c r="I333" s="6"/>
      <c r="J333" s="7"/>
      <c r="K333" s="96" t="str">
        <f>HYPERLINK("#'Healthcare'!LU1","Q6.3.12_4")</f>
        <v>Q6.3.12_4</v>
      </c>
      <c r="L333" s="93" t="str">
        <f>HYPERLINK("#'Healthcare'!LU2","Primary HDHP medical plan out-of-network services with separate deductibles: Emergency room (true emergency)")</f>
        <v>Primary HDHP medical plan out-of-network services with separate deductibles: Emergency room (true emergency)</v>
      </c>
      <c r="M333" s="6"/>
      <c r="N333" s="7"/>
      <c r="O333" s="6"/>
      <c r="P333" s="7"/>
      <c r="Q333" s="6"/>
      <c r="R333" s="7"/>
      <c r="S333" s="6"/>
      <c r="T333" s="7"/>
      <c r="U333" s="6"/>
      <c r="V333" s="7"/>
      <c r="W333" s="96" t="str">
        <f>HYPERLINK("#'Vendors'!LU1","Q12.12.11_3")</f>
        <v>Q12.12.11_3</v>
      </c>
      <c r="X333" s="93" t="str">
        <f>HYPERLINK("#'Vendors'!LU2","Terminated on-site convenience service vendors: On-site dry cleaning")</f>
        <v>Terminated on-site convenience service vendors: On-site dry cleaning</v>
      </c>
    </row>
    <row r="334" spans="1:24" ht="38.25" x14ac:dyDescent="0.2">
      <c r="A334" s="6"/>
      <c r="B334" s="7"/>
      <c r="C334" s="6"/>
      <c r="D334" s="7"/>
      <c r="E334" s="6"/>
      <c r="F334" s="7"/>
      <c r="G334" s="6"/>
      <c r="H334" s="7"/>
      <c r="I334" s="6"/>
      <c r="J334" s="7"/>
      <c r="K334" s="96" t="str">
        <f>HYPERLINK("#'Healthcare'!LV1","Q6.3.12_5")</f>
        <v>Q6.3.12_5</v>
      </c>
      <c r="L334" s="93" t="str">
        <f>HYPERLINK("#'Healthcare'!LV2","Primary HDHP medical plan out-of-network services with separate deductibles: Emergency room (non-emergency)")</f>
        <v>Primary HDHP medical plan out-of-network services with separate deductibles: Emergency room (non-emergency)</v>
      </c>
      <c r="M334" s="6"/>
      <c r="N334" s="7"/>
      <c r="O334" s="6"/>
      <c r="P334" s="7"/>
      <c r="Q334" s="6"/>
      <c r="R334" s="7"/>
      <c r="S334" s="6"/>
      <c r="T334" s="7"/>
      <c r="U334" s="6"/>
      <c r="V334" s="7"/>
      <c r="W334" s="96" t="str">
        <f>HYPERLINK("#'Vendors'!LV1","Q12.12.11_4")</f>
        <v>Q12.12.11_4</v>
      </c>
      <c r="X334" s="93" t="str">
        <f>HYPERLINK("#'Vendors'!LV2","Terminated on-site convenience service vendors: On-site chair massages")</f>
        <v>Terminated on-site convenience service vendors: On-site chair massages</v>
      </c>
    </row>
    <row r="335" spans="1:24" ht="38.25" x14ac:dyDescent="0.2">
      <c r="A335" s="6"/>
      <c r="B335" s="7"/>
      <c r="C335" s="6"/>
      <c r="D335" s="7"/>
      <c r="E335" s="6"/>
      <c r="F335" s="7"/>
      <c r="G335" s="6"/>
      <c r="H335" s="7"/>
      <c r="I335" s="6"/>
      <c r="J335" s="7"/>
      <c r="K335" s="96" t="str">
        <f>HYPERLINK("#'Healthcare'!LW1","Q6.3.12_6")</f>
        <v>Q6.3.12_6</v>
      </c>
      <c r="L335" s="93" t="str">
        <f>HYPERLINK("#'Healthcare'!LW2","Primary HDHP medical plan out-of-network services with separate deductibles: Emergency room (with hospital admittance)")</f>
        <v>Primary HDHP medical plan out-of-network services with separate deductibles: Emergency room (with hospital admittance)</v>
      </c>
      <c r="M335" s="6"/>
      <c r="N335" s="7"/>
      <c r="O335" s="6"/>
      <c r="P335" s="7"/>
      <c r="Q335" s="6"/>
      <c r="R335" s="7"/>
      <c r="S335" s="6"/>
      <c r="T335" s="7"/>
      <c r="U335" s="6"/>
      <c r="V335" s="7"/>
      <c r="W335" s="96" t="str">
        <f>HYPERLINK("#'Vendors'!LW1","Q12.12.11_5")</f>
        <v>Q12.12.11_5</v>
      </c>
      <c r="X335" s="93" t="str">
        <f>HYPERLINK("#'Vendors'!LW2","Terminated on-site convenience service vendors: Cafeteria, food carts, fruits/veg")</f>
        <v>Terminated on-site convenience service vendors: Cafeteria, food carts, fruits/veg</v>
      </c>
    </row>
    <row r="336" spans="1:24" ht="38.25" x14ac:dyDescent="0.2">
      <c r="A336" s="6"/>
      <c r="B336" s="7"/>
      <c r="C336" s="6"/>
      <c r="D336" s="7"/>
      <c r="E336" s="6"/>
      <c r="F336" s="7"/>
      <c r="G336" s="6"/>
      <c r="H336" s="7"/>
      <c r="I336" s="6"/>
      <c r="J336" s="7"/>
      <c r="K336" s="96" t="str">
        <f>HYPERLINK("#'Healthcare'!LX1","Q6.3.12_7")</f>
        <v>Q6.3.12_7</v>
      </c>
      <c r="L336" s="93" t="str">
        <f>HYPERLINK("#'Healthcare'!LX2","Primary HDHP medical plan out-of-network services with separate deductibles: Inpatient hospital")</f>
        <v>Primary HDHP medical plan out-of-network services with separate deductibles: Inpatient hospital</v>
      </c>
      <c r="M336" s="6"/>
      <c r="N336" s="7"/>
      <c r="O336" s="6"/>
      <c r="P336" s="7"/>
      <c r="Q336" s="6"/>
      <c r="R336" s="7"/>
      <c r="S336" s="6"/>
      <c r="T336" s="7"/>
      <c r="U336" s="6"/>
      <c r="V336" s="7"/>
      <c r="W336" s="96" t="str">
        <f>HYPERLINK("#'Vendors'!LX1","Q12.12.11_6")</f>
        <v>Q12.12.11_6</v>
      </c>
      <c r="X336" s="93" t="str">
        <f>HYPERLINK("#'Vendors'!LX2","Terminated on-site convenience service vendors: On-site mail/shipping service")</f>
        <v>Terminated on-site convenience service vendors: On-site mail/shipping service</v>
      </c>
    </row>
    <row r="337" spans="1:24" ht="38.25" x14ac:dyDescent="0.2">
      <c r="A337" s="6"/>
      <c r="B337" s="7"/>
      <c r="C337" s="6"/>
      <c r="D337" s="7"/>
      <c r="E337" s="6"/>
      <c r="F337" s="7"/>
      <c r="G337" s="6"/>
      <c r="H337" s="7"/>
      <c r="I337" s="6"/>
      <c r="J337" s="7"/>
      <c r="K337" s="96" t="str">
        <f>HYPERLINK("#'Healthcare'!LY1","Q6.3.12_8")</f>
        <v>Q6.3.12_8</v>
      </c>
      <c r="L337" s="93" t="str">
        <f>HYPERLINK("#'Healthcare'!LY2","Primary HDHP medical plan out-of-network services with separate deductibles: Mental health/substance abuse")</f>
        <v>Primary HDHP medical plan out-of-network services with separate deductibles: Mental health/substance abuse</v>
      </c>
      <c r="M337" s="6"/>
      <c r="N337" s="7"/>
      <c r="O337" s="6"/>
      <c r="P337" s="7"/>
      <c r="Q337" s="6"/>
      <c r="R337" s="7"/>
      <c r="S337" s="6"/>
      <c r="T337" s="7"/>
      <c r="U337" s="6"/>
      <c r="V337" s="7"/>
      <c r="W337" s="96" t="str">
        <f>HYPERLINK("#'Vendors'!LY1","Q12.12.11_7")</f>
        <v>Q12.12.11_7</v>
      </c>
      <c r="X337" s="93" t="str">
        <f>HYPERLINK("#'Vendors'!LY2","Terminated on-site convenience service vendors: Concierge services/leisure travel")</f>
        <v>Terminated on-site convenience service vendors: Concierge services/leisure travel</v>
      </c>
    </row>
    <row r="338" spans="1:24" ht="38.25" x14ac:dyDescent="0.2">
      <c r="A338" s="6"/>
      <c r="B338" s="7"/>
      <c r="C338" s="6"/>
      <c r="D338" s="7"/>
      <c r="E338" s="6"/>
      <c r="F338" s="7"/>
      <c r="G338" s="6"/>
      <c r="H338" s="7"/>
      <c r="I338" s="6"/>
      <c r="J338" s="7"/>
      <c r="K338" s="96" t="str">
        <f>HYPERLINK("#'Healthcare'!LZ1","Q6.3.12_9")</f>
        <v>Q6.3.12_9</v>
      </c>
      <c r="L338" s="93" t="str">
        <f>HYPERLINK("#'Healthcare'!LZ2","Primary HDHP medical plan out-of-network services with separate deductibles: Outpatient surgical center")</f>
        <v>Primary HDHP medical plan out-of-network services with separate deductibles: Outpatient surgical center</v>
      </c>
      <c r="M338" s="6"/>
      <c r="N338" s="7"/>
      <c r="O338" s="6"/>
      <c r="P338" s="7"/>
      <c r="Q338" s="6"/>
      <c r="R338" s="7"/>
      <c r="S338" s="6"/>
      <c r="T338" s="7"/>
      <c r="U338" s="6"/>
      <c r="V338" s="7"/>
      <c r="W338" s="96" t="str">
        <f>HYPERLINK("#'Vendors'!LZ1","Q12.12.11_8")</f>
        <v>Q12.12.11_8</v>
      </c>
      <c r="X338" s="93" t="str">
        <f>HYPERLINK("#'Vendors'!LZ2","Terminated on-site convenience service vendors: On-site hair salon")</f>
        <v>Terminated on-site convenience service vendors: On-site hair salon</v>
      </c>
    </row>
    <row r="339" spans="1:24" ht="39" thickBot="1" x14ac:dyDescent="0.25">
      <c r="A339" s="6"/>
      <c r="B339" s="7"/>
      <c r="C339" s="6"/>
      <c r="D339" s="7"/>
      <c r="E339" s="6"/>
      <c r="F339" s="7"/>
      <c r="G339" s="6"/>
      <c r="H339" s="7"/>
      <c r="I339" s="6"/>
      <c r="J339" s="7"/>
      <c r="K339" s="96" t="str">
        <f>HYPERLINK("#'Healthcare'!MA1","Q6.3.12_10")</f>
        <v>Q6.3.12_10</v>
      </c>
      <c r="L339" s="93" t="str">
        <f>HYPERLINK("#'Healthcare'!MA2","Primary HDHP medical plan out-of-network services with separate deductibles: Prescription drugs (preventive)")</f>
        <v>Primary HDHP medical plan out-of-network services with separate deductibles: Prescription drugs (preventive)</v>
      </c>
      <c r="M339" s="6"/>
      <c r="N339" s="7"/>
      <c r="O339" s="6"/>
      <c r="P339" s="7"/>
      <c r="Q339" s="6"/>
      <c r="R339" s="7"/>
      <c r="S339" s="6"/>
      <c r="T339" s="7"/>
      <c r="U339" s="6"/>
      <c r="V339" s="7"/>
      <c r="W339" s="97" t="str">
        <f>HYPERLINK("#'Vendors'!MA1","Q12.13.2")</f>
        <v>Q12.13.2</v>
      </c>
      <c r="X339" s="94" t="str">
        <f>HYPERLINK("#'Vendors'!MA2","Services going to bid in 2022")</f>
        <v>Services going to bid in 2022</v>
      </c>
    </row>
    <row r="340" spans="1:24" ht="38.25" x14ac:dyDescent="0.2">
      <c r="A340" s="6"/>
      <c r="B340" s="7"/>
      <c r="C340" s="6"/>
      <c r="D340" s="7"/>
      <c r="E340" s="6"/>
      <c r="F340" s="7"/>
      <c r="G340" s="6"/>
      <c r="H340" s="7"/>
      <c r="I340" s="6"/>
      <c r="J340" s="7"/>
      <c r="K340" s="96" t="str">
        <f>HYPERLINK("#'Healthcare'!MB1","Q6.3.12_11")</f>
        <v>Q6.3.12_11</v>
      </c>
      <c r="L340" s="93" t="str">
        <f>HYPERLINK("#'Healthcare'!MB2","Primary HDHP medical plan out-of-network services with separate deductibles: Prescription drugs (non-preventive)")</f>
        <v>Primary HDHP medical plan out-of-network services with separate deductibles: Prescription drugs (non-preventive)</v>
      </c>
      <c r="M340" s="6"/>
      <c r="N340" s="7"/>
      <c r="O340" s="6"/>
      <c r="P340" s="7"/>
      <c r="Q340" s="6"/>
      <c r="R340" s="7"/>
      <c r="S340" s="6"/>
      <c r="T340" s="7"/>
      <c r="U340" s="6"/>
      <c r="V340" s="7"/>
      <c r="W340" s="6"/>
      <c r="X340" s="7"/>
    </row>
    <row r="341" spans="1:24" ht="38.25" x14ac:dyDescent="0.2">
      <c r="A341" s="6"/>
      <c r="B341" s="7"/>
      <c r="C341" s="6"/>
      <c r="D341" s="7"/>
      <c r="E341" s="6"/>
      <c r="F341" s="7"/>
      <c r="G341" s="6"/>
      <c r="H341" s="7"/>
      <c r="I341" s="6"/>
      <c r="J341" s="7"/>
      <c r="K341" s="96" t="str">
        <f>HYPERLINK("#'Healthcare'!MC1","Q6.3.12_12")</f>
        <v>Q6.3.12_12</v>
      </c>
      <c r="L341" s="93" t="str">
        <f>HYPERLINK("#'Healthcare'!MC2","Primary HDHP medical plan out-of-network services with separate deductibles: Therapies (e.g., speech, PT, OT)")</f>
        <v>Primary HDHP medical plan out-of-network services with separate deductibles: Therapies (e.g., speech, PT, OT)</v>
      </c>
      <c r="M341" s="6"/>
      <c r="N341" s="7"/>
      <c r="O341" s="6"/>
      <c r="P341" s="7"/>
      <c r="Q341" s="6"/>
      <c r="R341" s="7"/>
      <c r="S341" s="6"/>
      <c r="T341" s="7"/>
      <c r="U341" s="6"/>
      <c r="V341" s="7"/>
      <c r="W341" s="6"/>
      <c r="X341" s="7"/>
    </row>
    <row r="342" spans="1:24" ht="25.5" x14ac:dyDescent="0.2">
      <c r="A342" s="6"/>
      <c r="B342" s="7"/>
      <c r="C342" s="6"/>
      <c r="D342" s="7"/>
      <c r="E342" s="6"/>
      <c r="F342" s="7"/>
      <c r="G342" s="6"/>
      <c r="H342" s="7"/>
      <c r="I342" s="6"/>
      <c r="J342" s="7"/>
      <c r="K342" s="96" t="str">
        <f>HYPERLINK("#'Healthcare'!MD1","Q6.3.12_13")</f>
        <v>Q6.3.12_13</v>
      </c>
      <c r="L342" s="93" t="str">
        <f>HYPERLINK("#'Healthcare'!MD2","Primary HDHP medical plan out-of-network services with separate deductibles: Other")</f>
        <v>Primary HDHP medical plan out-of-network services with separate deductibles: Other</v>
      </c>
      <c r="M342" s="6"/>
      <c r="N342" s="7"/>
      <c r="O342" s="6"/>
      <c r="P342" s="7"/>
      <c r="Q342" s="6"/>
      <c r="R342" s="7"/>
      <c r="S342" s="6"/>
      <c r="T342" s="7"/>
      <c r="U342" s="6"/>
      <c r="V342" s="7"/>
      <c r="W342" s="6"/>
      <c r="X342" s="7"/>
    </row>
    <row r="343" spans="1:24" ht="38.25" x14ac:dyDescent="0.2">
      <c r="A343" s="6"/>
      <c r="B343" s="7"/>
      <c r="C343" s="6"/>
      <c r="D343" s="7"/>
      <c r="E343" s="6"/>
      <c r="F343" s="7"/>
      <c r="G343" s="6"/>
      <c r="H343" s="7"/>
      <c r="I343" s="6"/>
      <c r="J343" s="7"/>
      <c r="K343" s="96" t="str">
        <f>HYPERLINK("#'Healthcare'!ME1","Q6.3.13_1")</f>
        <v>Q6.3.13_1</v>
      </c>
      <c r="L343" s="93" t="str">
        <f>HYPERLINK("#'Healthcare'!ME2","Primary HDHP medical plan in-network deductible per person: Not applicable no separate deductibles")</f>
        <v>Primary HDHP medical plan in-network deductible per person: Not applicable no separate deductibles</v>
      </c>
      <c r="M343" s="6"/>
      <c r="N343" s="7"/>
      <c r="O343" s="6"/>
      <c r="P343" s="7"/>
      <c r="Q343" s="6"/>
      <c r="R343" s="7"/>
      <c r="S343" s="6"/>
      <c r="T343" s="7"/>
      <c r="U343" s="6"/>
      <c r="V343" s="7"/>
      <c r="W343" s="6"/>
      <c r="X343" s="7"/>
    </row>
    <row r="344" spans="1:24" ht="25.5" x14ac:dyDescent="0.2">
      <c r="A344" s="6"/>
      <c r="B344" s="7"/>
      <c r="C344" s="6"/>
      <c r="D344" s="7"/>
      <c r="E344" s="6"/>
      <c r="F344" s="7"/>
      <c r="G344" s="6"/>
      <c r="H344" s="7"/>
      <c r="I344" s="6"/>
      <c r="J344" s="7"/>
      <c r="K344" s="96" t="str">
        <f>HYPERLINK("#'Healthcare'!MF1","Q6.3.13_5")</f>
        <v>Q6.3.13_5</v>
      </c>
      <c r="L344" s="93" t="str">
        <f>HYPERLINK("#'Healthcare'!MF2","Primary HDHP medical plan in-network deductible per person: Acupuncture")</f>
        <v>Primary HDHP medical plan in-network deductible per person: Acupuncture</v>
      </c>
      <c r="M344" s="6"/>
      <c r="N344" s="7"/>
      <c r="O344" s="6"/>
      <c r="P344" s="7"/>
      <c r="Q344" s="6"/>
      <c r="R344" s="7"/>
      <c r="S344" s="6"/>
      <c r="T344" s="7"/>
      <c r="U344" s="6"/>
      <c r="V344" s="7"/>
      <c r="W344" s="6"/>
      <c r="X344" s="7"/>
    </row>
    <row r="345" spans="1:24" ht="25.5" x14ac:dyDescent="0.2">
      <c r="A345" s="6"/>
      <c r="B345" s="7"/>
      <c r="C345" s="6"/>
      <c r="D345" s="7"/>
      <c r="E345" s="6"/>
      <c r="F345" s="7"/>
      <c r="G345" s="6"/>
      <c r="H345" s="7"/>
      <c r="I345" s="6"/>
      <c r="J345" s="7"/>
      <c r="K345" s="96" t="str">
        <f>HYPERLINK("#'Healthcare'!MG1","Q6.3.13_6")</f>
        <v>Q6.3.13_6</v>
      </c>
      <c r="L345" s="93" t="str">
        <f>HYPERLINK("#'Healthcare'!MG2","Primary HDHP medical plan in-network deductible per person: Chiropractic")</f>
        <v>Primary HDHP medical plan in-network deductible per person: Chiropractic</v>
      </c>
      <c r="M345" s="6"/>
      <c r="N345" s="7"/>
      <c r="O345" s="6"/>
      <c r="P345" s="7"/>
      <c r="Q345" s="6"/>
      <c r="R345" s="7"/>
      <c r="S345" s="6"/>
      <c r="T345" s="7"/>
      <c r="U345" s="6"/>
      <c r="V345" s="7"/>
      <c r="W345" s="6"/>
      <c r="X345" s="7"/>
    </row>
    <row r="346" spans="1:24" ht="38.25" x14ac:dyDescent="0.2">
      <c r="A346" s="6"/>
      <c r="B346" s="7"/>
      <c r="C346" s="6"/>
      <c r="D346" s="7"/>
      <c r="E346" s="6"/>
      <c r="F346" s="7"/>
      <c r="G346" s="6"/>
      <c r="H346" s="7"/>
      <c r="I346" s="6"/>
      <c r="J346" s="7"/>
      <c r="K346" s="96" t="str">
        <f>HYPERLINK("#'Healthcare'!MH1","Q6.3.13_7")</f>
        <v>Q6.3.13_7</v>
      </c>
      <c r="L346" s="93" t="str">
        <f>HYPERLINK("#'Healthcare'!MH2","Primary HDHP medical plan in-network deductible per person: Emergency room (true emergency)")</f>
        <v>Primary HDHP medical plan in-network deductible per person: Emergency room (true emergency)</v>
      </c>
      <c r="M346" s="6"/>
      <c r="N346" s="7"/>
      <c r="O346" s="6"/>
      <c r="P346" s="7"/>
      <c r="Q346" s="6"/>
      <c r="R346" s="7"/>
      <c r="S346" s="6"/>
      <c r="T346" s="7"/>
      <c r="U346" s="6"/>
      <c r="V346" s="7"/>
      <c r="W346" s="6"/>
      <c r="X346" s="7"/>
    </row>
    <row r="347" spans="1:24" ht="38.25" x14ac:dyDescent="0.2">
      <c r="A347" s="6"/>
      <c r="B347" s="7"/>
      <c r="C347" s="6"/>
      <c r="D347" s="7"/>
      <c r="E347" s="6"/>
      <c r="F347" s="7"/>
      <c r="G347" s="6"/>
      <c r="H347" s="7"/>
      <c r="I347" s="6"/>
      <c r="J347" s="7"/>
      <c r="K347" s="96" t="str">
        <f>HYPERLINK("#'Healthcare'!MI1","Q6.3.13_8")</f>
        <v>Q6.3.13_8</v>
      </c>
      <c r="L347" s="93" t="str">
        <f>HYPERLINK("#'Healthcare'!MI2","Primary HDHP medical plan in-network deductible per person: Emergency room (non-emergency)")</f>
        <v>Primary HDHP medical plan in-network deductible per person: Emergency room (non-emergency)</v>
      </c>
      <c r="M347" s="6"/>
      <c r="N347" s="7"/>
      <c r="O347" s="6"/>
      <c r="P347" s="7"/>
      <c r="Q347" s="6"/>
      <c r="R347" s="7"/>
      <c r="S347" s="6"/>
      <c r="T347" s="7"/>
      <c r="U347" s="6"/>
      <c r="V347" s="7"/>
      <c r="W347" s="6"/>
      <c r="X347" s="7"/>
    </row>
    <row r="348" spans="1:24" ht="38.25" x14ac:dyDescent="0.2">
      <c r="A348" s="6"/>
      <c r="B348" s="7"/>
      <c r="C348" s="6"/>
      <c r="D348" s="7"/>
      <c r="E348" s="6"/>
      <c r="F348" s="7"/>
      <c r="G348" s="6"/>
      <c r="H348" s="7"/>
      <c r="I348" s="6"/>
      <c r="J348" s="7"/>
      <c r="K348" s="96" t="str">
        <f>HYPERLINK("#'Healthcare'!MJ1","Q6.3.13_9")</f>
        <v>Q6.3.13_9</v>
      </c>
      <c r="L348" s="93" t="str">
        <f>HYPERLINK("#'Healthcare'!MJ2","Primary HDHP medical plan in-network deductible per person: Emergency room (with hospital admittance)")</f>
        <v>Primary HDHP medical plan in-network deductible per person: Emergency room (with hospital admittance)</v>
      </c>
      <c r="M348" s="6"/>
      <c r="N348" s="7"/>
      <c r="O348" s="6"/>
      <c r="P348" s="7"/>
      <c r="Q348" s="6"/>
      <c r="R348" s="7"/>
      <c r="S348" s="6"/>
      <c r="T348" s="7"/>
      <c r="U348" s="6"/>
      <c r="V348" s="7"/>
      <c r="W348" s="6"/>
      <c r="X348" s="7"/>
    </row>
    <row r="349" spans="1:24" ht="25.5" x14ac:dyDescent="0.2">
      <c r="A349" s="6"/>
      <c r="B349" s="7"/>
      <c r="C349" s="6"/>
      <c r="D349" s="7"/>
      <c r="E349" s="6"/>
      <c r="F349" s="7"/>
      <c r="G349" s="6"/>
      <c r="H349" s="7"/>
      <c r="I349" s="6"/>
      <c r="J349" s="7"/>
      <c r="K349" s="96" t="str">
        <f>HYPERLINK("#'Healthcare'!MK1","Q6.3.13_10")</f>
        <v>Q6.3.13_10</v>
      </c>
      <c r="L349" s="93" t="str">
        <f>HYPERLINK("#'Healthcare'!MK2","Primary HDHP medical plan in-network deductible per person: In-patient hospital")</f>
        <v>Primary HDHP medical plan in-network deductible per person: In-patient hospital</v>
      </c>
      <c r="M349" s="6"/>
      <c r="N349" s="7"/>
      <c r="O349" s="6"/>
      <c r="P349" s="7"/>
      <c r="Q349" s="6"/>
      <c r="R349" s="7"/>
      <c r="S349" s="6"/>
      <c r="T349" s="7"/>
      <c r="U349" s="6"/>
      <c r="V349" s="7"/>
      <c r="W349" s="6"/>
      <c r="X349" s="7"/>
    </row>
    <row r="350" spans="1:24" ht="38.25" x14ac:dyDescent="0.2">
      <c r="A350" s="6"/>
      <c r="B350" s="7"/>
      <c r="C350" s="6"/>
      <c r="D350" s="7"/>
      <c r="E350" s="6"/>
      <c r="F350" s="7"/>
      <c r="G350" s="6"/>
      <c r="H350" s="7"/>
      <c r="I350" s="6"/>
      <c r="J350" s="7"/>
      <c r="K350" s="96" t="str">
        <f>HYPERLINK("#'Healthcare'!ML1","Q6.3.13_11")</f>
        <v>Q6.3.13_11</v>
      </c>
      <c r="L350" s="93" t="str">
        <f>HYPERLINK("#'Healthcare'!ML2","Primary HDHP medical plan in-network deductible per person: Mental health/substance abuse")</f>
        <v>Primary HDHP medical plan in-network deductible per person: Mental health/substance abuse</v>
      </c>
      <c r="M350" s="6"/>
      <c r="N350" s="7"/>
      <c r="O350" s="6"/>
      <c r="P350" s="7"/>
      <c r="Q350" s="6"/>
      <c r="R350" s="7"/>
      <c r="S350" s="6"/>
      <c r="T350" s="7"/>
      <c r="U350" s="6"/>
      <c r="V350" s="7"/>
      <c r="W350" s="6"/>
      <c r="X350" s="7"/>
    </row>
    <row r="351" spans="1:24" ht="38.25" x14ac:dyDescent="0.2">
      <c r="A351" s="6"/>
      <c r="B351" s="7"/>
      <c r="C351" s="6"/>
      <c r="D351" s="7"/>
      <c r="E351" s="6"/>
      <c r="F351" s="7"/>
      <c r="G351" s="6"/>
      <c r="H351" s="7"/>
      <c r="I351" s="6"/>
      <c r="J351" s="7"/>
      <c r="K351" s="96" t="str">
        <f>HYPERLINK("#'Healthcare'!MM1","Q6.3.13_12")</f>
        <v>Q6.3.13_12</v>
      </c>
      <c r="L351" s="93" t="str">
        <f>HYPERLINK("#'Healthcare'!MM2","Primary HDHP medical plan in-network deductible per person: Out-patient surgical center")</f>
        <v>Primary HDHP medical plan in-network deductible per person: Out-patient surgical center</v>
      </c>
      <c r="M351" s="6"/>
      <c r="N351" s="7"/>
      <c r="O351" s="6"/>
      <c r="P351" s="7"/>
      <c r="Q351" s="6"/>
      <c r="R351" s="7"/>
      <c r="S351" s="6"/>
      <c r="T351" s="7"/>
      <c r="U351" s="6"/>
      <c r="V351" s="7"/>
      <c r="W351" s="6"/>
      <c r="X351" s="7"/>
    </row>
    <row r="352" spans="1:24" ht="38.25" x14ac:dyDescent="0.2">
      <c r="A352" s="6"/>
      <c r="B352" s="7"/>
      <c r="C352" s="6"/>
      <c r="D352" s="7"/>
      <c r="E352" s="6"/>
      <c r="F352" s="7"/>
      <c r="G352" s="6"/>
      <c r="H352" s="7"/>
      <c r="I352" s="6"/>
      <c r="J352" s="7"/>
      <c r="K352" s="96" t="str">
        <f>HYPERLINK("#'Healthcare'!MN1","Q6.3.13_13")</f>
        <v>Q6.3.13_13</v>
      </c>
      <c r="L352" s="93" t="str">
        <f>HYPERLINK("#'Healthcare'!MN2","Primary HDHP medical plan in-network deductible per person: Prescription drugs (preventive)")</f>
        <v>Primary HDHP medical plan in-network deductible per person: Prescription drugs (preventive)</v>
      </c>
      <c r="M352" s="6"/>
      <c r="N352" s="7"/>
      <c r="O352" s="6"/>
      <c r="P352" s="7"/>
      <c r="Q352" s="6"/>
      <c r="R352" s="7"/>
      <c r="S352" s="6"/>
      <c r="T352" s="7"/>
      <c r="U352" s="6"/>
      <c r="V352" s="7"/>
      <c r="W352" s="6"/>
      <c r="X352" s="7"/>
    </row>
    <row r="353" spans="1:24" ht="38.25" x14ac:dyDescent="0.2">
      <c r="A353" s="6"/>
      <c r="B353" s="7"/>
      <c r="C353" s="6"/>
      <c r="D353" s="7"/>
      <c r="E353" s="6"/>
      <c r="F353" s="7"/>
      <c r="G353" s="6"/>
      <c r="H353" s="7"/>
      <c r="I353" s="6"/>
      <c r="J353" s="7"/>
      <c r="K353" s="96" t="str">
        <f>HYPERLINK("#'Healthcare'!MO1","Q6.3.13_14")</f>
        <v>Q6.3.13_14</v>
      </c>
      <c r="L353" s="93" t="str">
        <f>HYPERLINK("#'Healthcare'!MO2","Primary HDHP medical plan in-network deductible per person: Prescription drugs (non-preventive)")</f>
        <v>Primary HDHP medical plan in-network deductible per person: Prescription drugs (non-preventive)</v>
      </c>
      <c r="M353" s="6"/>
      <c r="N353" s="7"/>
      <c r="O353" s="6"/>
      <c r="P353" s="7"/>
      <c r="Q353" s="6"/>
      <c r="R353" s="7"/>
      <c r="S353" s="6"/>
      <c r="T353" s="7"/>
      <c r="U353" s="6"/>
      <c r="V353" s="7"/>
      <c r="W353" s="6"/>
      <c r="X353" s="7"/>
    </row>
    <row r="354" spans="1:24" ht="38.25" x14ac:dyDescent="0.2">
      <c r="A354" s="6"/>
      <c r="B354" s="7"/>
      <c r="C354" s="6"/>
      <c r="D354" s="7"/>
      <c r="E354" s="6"/>
      <c r="F354" s="7"/>
      <c r="G354" s="6"/>
      <c r="H354" s="7"/>
      <c r="I354" s="6"/>
      <c r="J354" s="7"/>
      <c r="K354" s="96" t="str">
        <f>HYPERLINK("#'Healthcare'!MP1","Q6.3.13_15")</f>
        <v>Q6.3.13_15</v>
      </c>
      <c r="L354" s="93" t="str">
        <f>HYPERLINK("#'Healthcare'!MP2","Primary HDHP medical plan in-network deductible per person: Therapies (speech, PT, OT)")</f>
        <v>Primary HDHP medical plan in-network deductible per person: Therapies (speech, PT, OT)</v>
      </c>
      <c r="M354" s="6"/>
      <c r="N354" s="7"/>
      <c r="O354" s="6"/>
      <c r="P354" s="7"/>
      <c r="Q354" s="6"/>
      <c r="R354" s="7"/>
      <c r="S354" s="6"/>
      <c r="T354" s="7"/>
      <c r="U354" s="6"/>
      <c r="V354" s="7"/>
      <c r="W354" s="6"/>
      <c r="X354" s="7"/>
    </row>
    <row r="355" spans="1:24" ht="25.5" x14ac:dyDescent="0.2">
      <c r="A355" s="6"/>
      <c r="B355" s="7"/>
      <c r="C355" s="6"/>
      <c r="D355" s="7"/>
      <c r="E355" s="6"/>
      <c r="F355" s="7"/>
      <c r="G355" s="6"/>
      <c r="H355" s="7"/>
      <c r="I355" s="6"/>
      <c r="J355" s="7"/>
      <c r="K355" s="96" t="str">
        <f>HYPERLINK("#'Healthcare'!MQ1","Q6.3.13_16")</f>
        <v>Q6.3.13_16</v>
      </c>
      <c r="L355" s="93" t="str">
        <f>HYPERLINK("#'Healthcare'!MQ2","Primary HDHP medical plan in-network deductible per person: Other")</f>
        <v>Primary HDHP medical plan in-network deductible per person: Other</v>
      </c>
      <c r="M355" s="6"/>
      <c r="N355" s="7"/>
      <c r="O355" s="6"/>
      <c r="P355" s="7"/>
      <c r="Q355" s="6"/>
      <c r="R355" s="7"/>
      <c r="S355" s="6"/>
      <c r="T355" s="7"/>
      <c r="U355" s="6"/>
      <c r="V355" s="7"/>
      <c r="W355" s="6"/>
      <c r="X355" s="7"/>
    </row>
    <row r="356" spans="1:24" ht="38.25" x14ac:dyDescent="0.2">
      <c r="A356" s="6"/>
      <c r="B356" s="7"/>
      <c r="C356" s="6"/>
      <c r="D356" s="7"/>
      <c r="E356" s="6"/>
      <c r="F356" s="7"/>
      <c r="G356" s="6"/>
      <c r="H356" s="7"/>
      <c r="I356" s="6"/>
      <c r="J356" s="7"/>
      <c r="K356" s="96" t="str">
        <f>HYPERLINK("#'Healthcare'!MR1","Q6.3.14_1")</f>
        <v>Q6.3.14_1</v>
      </c>
      <c r="L356" s="93" t="str">
        <f>HYPERLINK("#'Healthcare'!MR2","Primary HDHP medical plan in-network deductible per family: Not applicable - no separate deductibles")</f>
        <v>Primary HDHP medical plan in-network deductible per family: Not applicable - no separate deductibles</v>
      </c>
      <c r="M356" s="6"/>
      <c r="N356" s="7"/>
      <c r="O356" s="6"/>
      <c r="P356" s="7"/>
      <c r="Q356" s="6"/>
      <c r="R356" s="7"/>
      <c r="S356" s="6"/>
      <c r="T356" s="7"/>
      <c r="U356" s="6"/>
      <c r="V356" s="7"/>
      <c r="W356" s="6"/>
      <c r="X356" s="7"/>
    </row>
    <row r="357" spans="1:24" ht="25.5" x14ac:dyDescent="0.2">
      <c r="A357" s="6"/>
      <c r="B357" s="7"/>
      <c r="C357" s="6"/>
      <c r="D357" s="7"/>
      <c r="E357" s="6"/>
      <c r="F357" s="7"/>
      <c r="G357" s="6"/>
      <c r="H357" s="7"/>
      <c r="I357" s="6"/>
      <c r="J357" s="7"/>
      <c r="K357" s="96" t="str">
        <f>HYPERLINK("#'Healthcare'!MS1","Q6.3.14_5")</f>
        <v>Q6.3.14_5</v>
      </c>
      <c r="L357" s="93" t="str">
        <f>HYPERLINK("#'Healthcare'!MS2","Primary HDHP medical plan in-network deductible per family: Acupuncture")</f>
        <v>Primary HDHP medical plan in-network deductible per family: Acupuncture</v>
      </c>
      <c r="M357" s="6"/>
      <c r="N357" s="7"/>
      <c r="O357" s="6"/>
      <c r="P357" s="7"/>
      <c r="Q357" s="6"/>
      <c r="R357" s="7"/>
      <c r="S357" s="6"/>
      <c r="T357" s="7"/>
      <c r="U357" s="6"/>
      <c r="V357" s="7"/>
      <c r="W357" s="6"/>
      <c r="X357" s="7"/>
    </row>
    <row r="358" spans="1:24" ht="25.5" x14ac:dyDescent="0.2">
      <c r="A358" s="6"/>
      <c r="B358" s="7"/>
      <c r="C358" s="6"/>
      <c r="D358" s="7"/>
      <c r="E358" s="6"/>
      <c r="F358" s="7"/>
      <c r="G358" s="6"/>
      <c r="H358" s="7"/>
      <c r="I358" s="6"/>
      <c r="J358" s="7"/>
      <c r="K358" s="96" t="str">
        <f>HYPERLINK("#'Healthcare'!MT1","Q6.3.14_6")</f>
        <v>Q6.3.14_6</v>
      </c>
      <c r="L358" s="93" t="str">
        <f>HYPERLINK("#'Healthcare'!MT2","Primary HDHP medical plan in-network deductible per family: Chiropractic")</f>
        <v>Primary HDHP medical plan in-network deductible per family: Chiropractic</v>
      </c>
      <c r="M358" s="6"/>
      <c r="N358" s="7"/>
      <c r="O358" s="6"/>
      <c r="P358" s="7"/>
      <c r="Q358" s="6"/>
      <c r="R358" s="7"/>
      <c r="S358" s="6"/>
      <c r="T358" s="7"/>
      <c r="U358" s="6"/>
      <c r="V358" s="7"/>
      <c r="W358" s="6"/>
      <c r="X358" s="7"/>
    </row>
    <row r="359" spans="1:24" ht="38.25" x14ac:dyDescent="0.2">
      <c r="A359" s="6"/>
      <c r="B359" s="7"/>
      <c r="C359" s="6"/>
      <c r="D359" s="7"/>
      <c r="E359" s="6"/>
      <c r="F359" s="7"/>
      <c r="G359" s="6"/>
      <c r="H359" s="7"/>
      <c r="I359" s="6"/>
      <c r="J359" s="7"/>
      <c r="K359" s="96" t="str">
        <f>HYPERLINK("#'Healthcare'!MU1","Q6.3.14_7")</f>
        <v>Q6.3.14_7</v>
      </c>
      <c r="L359" s="93" t="str">
        <f>HYPERLINK("#'Healthcare'!MU2","Primary HDHP medical plan in-network deductible per family: Emergency room (true emergency)")</f>
        <v>Primary HDHP medical plan in-network deductible per family: Emergency room (true emergency)</v>
      </c>
      <c r="M359" s="6"/>
      <c r="N359" s="7"/>
      <c r="O359" s="6"/>
      <c r="P359" s="7"/>
      <c r="Q359" s="6"/>
      <c r="R359" s="7"/>
      <c r="S359" s="6"/>
      <c r="T359" s="7"/>
      <c r="U359" s="6"/>
      <c r="V359" s="7"/>
      <c r="W359" s="6"/>
      <c r="X359" s="7"/>
    </row>
    <row r="360" spans="1:24" ht="38.25" x14ac:dyDescent="0.2">
      <c r="A360" s="6"/>
      <c r="B360" s="7"/>
      <c r="C360" s="6"/>
      <c r="D360" s="7"/>
      <c r="E360" s="6"/>
      <c r="F360" s="7"/>
      <c r="G360" s="6"/>
      <c r="H360" s="7"/>
      <c r="I360" s="6"/>
      <c r="J360" s="7"/>
      <c r="K360" s="96" t="str">
        <f>HYPERLINK("#'Healthcare'!MV1","Q6.3.14_8")</f>
        <v>Q6.3.14_8</v>
      </c>
      <c r="L360" s="93" t="str">
        <f>HYPERLINK("#'Healthcare'!MV2","Primary HDHP medical plan in-network deductible per family: Emergency room (non-emergency)")</f>
        <v>Primary HDHP medical plan in-network deductible per family: Emergency room (non-emergency)</v>
      </c>
      <c r="M360" s="6"/>
      <c r="N360" s="7"/>
      <c r="O360" s="6"/>
      <c r="P360" s="7"/>
      <c r="Q360" s="6"/>
      <c r="R360" s="7"/>
      <c r="S360" s="6"/>
      <c r="T360" s="7"/>
      <c r="U360" s="6"/>
      <c r="V360" s="7"/>
      <c r="W360" s="6"/>
      <c r="X360" s="7"/>
    </row>
    <row r="361" spans="1:24" ht="38.25" x14ac:dyDescent="0.2">
      <c r="A361" s="6"/>
      <c r="B361" s="7"/>
      <c r="C361" s="6"/>
      <c r="D361" s="7"/>
      <c r="E361" s="6"/>
      <c r="F361" s="7"/>
      <c r="G361" s="6"/>
      <c r="H361" s="7"/>
      <c r="I361" s="6"/>
      <c r="J361" s="7"/>
      <c r="K361" s="96" t="str">
        <f>HYPERLINK("#'Healthcare'!MW1","Q6.3.14_9")</f>
        <v>Q6.3.14_9</v>
      </c>
      <c r="L361" s="93" t="str">
        <f>HYPERLINK("#'Healthcare'!MW2","Primary HDHP medical plan in-network deductible per family: Emergency room (with hospital admittance)")</f>
        <v>Primary HDHP medical plan in-network deductible per family: Emergency room (with hospital admittance)</v>
      </c>
      <c r="M361" s="6"/>
      <c r="N361" s="7"/>
      <c r="O361" s="6"/>
      <c r="P361" s="7"/>
      <c r="Q361" s="6"/>
      <c r="R361" s="7"/>
      <c r="S361" s="6"/>
      <c r="T361" s="7"/>
      <c r="U361" s="6"/>
      <c r="V361" s="7"/>
      <c r="W361" s="6"/>
      <c r="X361" s="7"/>
    </row>
    <row r="362" spans="1:24" ht="25.5" x14ac:dyDescent="0.2">
      <c r="A362" s="6"/>
      <c r="B362" s="7"/>
      <c r="C362" s="6"/>
      <c r="D362" s="7"/>
      <c r="E362" s="6"/>
      <c r="F362" s="7"/>
      <c r="G362" s="6"/>
      <c r="H362" s="7"/>
      <c r="I362" s="6"/>
      <c r="J362" s="7"/>
      <c r="K362" s="96" t="str">
        <f>HYPERLINK("#'Healthcare'!MX1","Q6.3.14_10")</f>
        <v>Q6.3.14_10</v>
      </c>
      <c r="L362" s="93" t="str">
        <f>HYPERLINK("#'Healthcare'!MX2","Primary HDHP medical plan in-network deductible per family: In-patient hospital")</f>
        <v>Primary HDHP medical plan in-network deductible per family: In-patient hospital</v>
      </c>
      <c r="M362" s="6"/>
      <c r="N362" s="7"/>
      <c r="O362" s="6"/>
      <c r="P362" s="7"/>
      <c r="Q362" s="6"/>
      <c r="R362" s="7"/>
      <c r="S362" s="6"/>
      <c r="T362" s="7"/>
      <c r="U362" s="6"/>
      <c r="V362" s="7"/>
      <c r="W362" s="6"/>
      <c r="X362" s="7"/>
    </row>
    <row r="363" spans="1:24" ht="38.25" x14ac:dyDescent="0.2">
      <c r="A363" s="6"/>
      <c r="B363" s="7"/>
      <c r="C363" s="6"/>
      <c r="D363" s="7"/>
      <c r="E363" s="6"/>
      <c r="F363" s="7"/>
      <c r="G363" s="6"/>
      <c r="H363" s="7"/>
      <c r="I363" s="6"/>
      <c r="J363" s="7"/>
      <c r="K363" s="96" t="str">
        <f>HYPERLINK("#'Healthcare'!MY1","Q6.3.14_11")</f>
        <v>Q6.3.14_11</v>
      </c>
      <c r="L363" s="93" t="str">
        <f>HYPERLINK("#'Healthcare'!MY2","Primary HDHP medical plan in-network deductible per family: Mental health/substance abuse")</f>
        <v>Primary HDHP medical plan in-network deductible per family: Mental health/substance abuse</v>
      </c>
      <c r="M363" s="6"/>
      <c r="N363" s="7"/>
      <c r="O363" s="6"/>
      <c r="P363" s="7"/>
      <c r="Q363" s="6"/>
      <c r="R363" s="7"/>
      <c r="S363" s="6"/>
      <c r="T363" s="7"/>
      <c r="U363" s="6"/>
      <c r="V363" s="7"/>
      <c r="W363" s="6"/>
      <c r="X363" s="7"/>
    </row>
    <row r="364" spans="1:24" ht="38.25" x14ac:dyDescent="0.2">
      <c r="A364" s="6"/>
      <c r="B364" s="7"/>
      <c r="C364" s="6"/>
      <c r="D364" s="7"/>
      <c r="E364" s="6"/>
      <c r="F364" s="7"/>
      <c r="G364" s="6"/>
      <c r="H364" s="7"/>
      <c r="I364" s="6"/>
      <c r="J364" s="7"/>
      <c r="K364" s="96" t="str">
        <f>HYPERLINK("#'Healthcare'!MZ1","Q6.3.14_12")</f>
        <v>Q6.3.14_12</v>
      </c>
      <c r="L364" s="93" t="str">
        <f>HYPERLINK("#'Healthcare'!MZ2","Primary HDHP medical plan in-network deductible per family: Out-patient surgical center")</f>
        <v>Primary HDHP medical plan in-network deductible per family: Out-patient surgical center</v>
      </c>
      <c r="M364" s="6"/>
      <c r="N364" s="7"/>
      <c r="O364" s="6"/>
      <c r="P364" s="7"/>
      <c r="Q364" s="6"/>
      <c r="R364" s="7"/>
      <c r="S364" s="6"/>
      <c r="T364" s="7"/>
      <c r="U364" s="6"/>
      <c r="V364" s="7"/>
      <c r="W364" s="6"/>
      <c r="X364" s="7"/>
    </row>
    <row r="365" spans="1:24" ht="38.25" x14ac:dyDescent="0.2">
      <c r="A365" s="6"/>
      <c r="B365" s="7"/>
      <c r="C365" s="6"/>
      <c r="D365" s="7"/>
      <c r="E365" s="6"/>
      <c r="F365" s="7"/>
      <c r="G365" s="6"/>
      <c r="H365" s="7"/>
      <c r="I365" s="6"/>
      <c r="J365" s="7"/>
      <c r="K365" s="96" t="str">
        <f>HYPERLINK("#'Healthcare'!NA1","Q6.3.14_13")</f>
        <v>Q6.3.14_13</v>
      </c>
      <c r="L365" s="93" t="str">
        <f>HYPERLINK("#'Healthcare'!NA2","Primary HDHP medical plan in-network deductible per family: Prescription drugs (preventive)")</f>
        <v>Primary HDHP medical plan in-network deductible per family: Prescription drugs (preventive)</v>
      </c>
      <c r="M365" s="6"/>
      <c r="N365" s="7"/>
      <c r="O365" s="6"/>
      <c r="P365" s="7"/>
      <c r="Q365" s="6"/>
      <c r="R365" s="7"/>
      <c r="S365" s="6"/>
      <c r="T365" s="7"/>
      <c r="U365" s="6"/>
      <c r="V365" s="7"/>
      <c r="W365" s="6"/>
      <c r="X365" s="7"/>
    </row>
    <row r="366" spans="1:24" ht="38.25" x14ac:dyDescent="0.2">
      <c r="A366" s="6"/>
      <c r="B366" s="7"/>
      <c r="C366" s="6"/>
      <c r="D366" s="7"/>
      <c r="E366" s="6"/>
      <c r="F366" s="7"/>
      <c r="G366" s="6"/>
      <c r="H366" s="7"/>
      <c r="I366" s="6"/>
      <c r="J366" s="7"/>
      <c r="K366" s="96" t="str">
        <f>HYPERLINK("#'Healthcare'!NB1","Q6.3.14_14")</f>
        <v>Q6.3.14_14</v>
      </c>
      <c r="L366" s="93" t="str">
        <f>HYPERLINK("#'Healthcare'!NB2","Primary HDHP medical plan in-network deductible per family: Prescription drugs (non-preventive)")</f>
        <v>Primary HDHP medical plan in-network deductible per family: Prescription drugs (non-preventive)</v>
      </c>
      <c r="M366" s="6"/>
      <c r="N366" s="7"/>
      <c r="O366" s="6"/>
      <c r="P366" s="7"/>
      <c r="Q366" s="6"/>
      <c r="R366" s="7"/>
      <c r="S366" s="6"/>
      <c r="T366" s="7"/>
      <c r="U366" s="6"/>
      <c r="V366" s="7"/>
      <c r="W366" s="6"/>
      <c r="X366" s="7"/>
    </row>
    <row r="367" spans="1:24" ht="38.25" x14ac:dyDescent="0.2">
      <c r="A367" s="6"/>
      <c r="B367" s="7"/>
      <c r="C367" s="6"/>
      <c r="D367" s="7"/>
      <c r="E367" s="6"/>
      <c r="F367" s="7"/>
      <c r="G367" s="6"/>
      <c r="H367" s="7"/>
      <c r="I367" s="6"/>
      <c r="J367" s="7"/>
      <c r="K367" s="96" t="str">
        <f>HYPERLINK("#'Healthcare'!NC1","Q6.3.14_15")</f>
        <v>Q6.3.14_15</v>
      </c>
      <c r="L367" s="93" t="str">
        <f>HYPERLINK("#'Healthcare'!NC2","Primary HDHP medical plan in-network deductible per family: Therapies (speech, PT, OT)")</f>
        <v>Primary HDHP medical plan in-network deductible per family: Therapies (speech, PT, OT)</v>
      </c>
      <c r="M367" s="6"/>
      <c r="N367" s="7"/>
      <c r="O367" s="6"/>
      <c r="P367" s="7"/>
      <c r="Q367" s="6"/>
      <c r="R367" s="7"/>
      <c r="S367" s="6"/>
      <c r="T367" s="7"/>
      <c r="U367" s="6"/>
      <c r="V367" s="7"/>
      <c r="W367" s="6"/>
      <c r="X367" s="7"/>
    </row>
    <row r="368" spans="1:24" ht="25.5" x14ac:dyDescent="0.2">
      <c r="A368" s="6"/>
      <c r="B368" s="7"/>
      <c r="C368" s="6"/>
      <c r="D368" s="7"/>
      <c r="E368" s="6"/>
      <c r="F368" s="7"/>
      <c r="G368" s="6"/>
      <c r="H368" s="7"/>
      <c r="I368" s="6"/>
      <c r="J368" s="7"/>
      <c r="K368" s="96" t="str">
        <f>HYPERLINK("#'Healthcare'!ND1","Q6.3.14_16")</f>
        <v>Q6.3.14_16</v>
      </c>
      <c r="L368" s="93" t="str">
        <f>HYPERLINK("#'Healthcare'!ND2","Primary HDHP medical plan in-network deductible per family: Other")</f>
        <v>Primary HDHP medical plan in-network deductible per family: Other</v>
      </c>
      <c r="M368" s="6"/>
      <c r="N368" s="7"/>
      <c r="O368" s="6"/>
      <c r="P368" s="7"/>
      <c r="Q368" s="6"/>
      <c r="R368" s="7"/>
      <c r="S368" s="6"/>
      <c r="T368" s="7"/>
      <c r="U368" s="6"/>
      <c r="V368" s="7"/>
      <c r="W368" s="6"/>
      <c r="X368" s="7"/>
    </row>
    <row r="369" spans="1:24" ht="38.25" x14ac:dyDescent="0.2">
      <c r="A369" s="6"/>
      <c r="B369" s="7"/>
      <c r="C369" s="6"/>
      <c r="D369" s="7"/>
      <c r="E369" s="6"/>
      <c r="F369" s="7"/>
      <c r="G369" s="6"/>
      <c r="H369" s="7"/>
      <c r="I369" s="6"/>
      <c r="J369" s="7"/>
      <c r="K369" s="96" t="str">
        <f>HYPERLINK("#'Healthcare'!NE1","Q6.3.15_1")</f>
        <v>Q6.3.15_1</v>
      </c>
      <c r="L369" s="93" t="str">
        <f>HYPERLINK("#'Healthcare'!NE2","Primary HDHP medical plan out-of-network deductible per person: Not applicable - no separate deductibles")</f>
        <v>Primary HDHP medical plan out-of-network deductible per person: Not applicable - no separate deductibles</v>
      </c>
      <c r="M369" s="6"/>
      <c r="N369" s="7"/>
      <c r="O369" s="6"/>
      <c r="P369" s="7"/>
      <c r="Q369" s="6"/>
      <c r="R369" s="7"/>
      <c r="S369" s="6"/>
      <c r="T369" s="7"/>
      <c r="U369" s="6"/>
      <c r="V369" s="7"/>
      <c r="W369" s="6"/>
      <c r="X369" s="7"/>
    </row>
    <row r="370" spans="1:24" ht="25.5" x14ac:dyDescent="0.2">
      <c r="A370" s="6"/>
      <c r="B370" s="7"/>
      <c r="C370" s="6"/>
      <c r="D370" s="7"/>
      <c r="E370" s="6"/>
      <c r="F370" s="7"/>
      <c r="G370" s="6"/>
      <c r="H370" s="7"/>
      <c r="I370" s="6"/>
      <c r="J370" s="7"/>
      <c r="K370" s="96" t="str">
        <f>HYPERLINK("#'Healthcare'!NF1","Q6.3.15_5")</f>
        <v>Q6.3.15_5</v>
      </c>
      <c r="L370" s="93" t="str">
        <f>HYPERLINK("#'Healthcare'!NF2","Primary HDHP medical plan out-of-network deductible per person: Acupuncture")</f>
        <v>Primary HDHP medical plan out-of-network deductible per person: Acupuncture</v>
      </c>
      <c r="M370" s="6"/>
      <c r="N370" s="7"/>
      <c r="O370" s="6"/>
      <c r="P370" s="7"/>
      <c r="Q370" s="6"/>
      <c r="R370" s="7"/>
      <c r="S370" s="6"/>
      <c r="T370" s="7"/>
      <c r="U370" s="6"/>
      <c r="V370" s="7"/>
      <c r="W370" s="6"/>
      <c r="X370" s="7"/>
    </row>
    <row r="371" spans="1:24" ht="25.5" x14ac:dyDescent="0.2">
      <c r="A371" s="6"/>
      <c r="B371" s="7"/>
      <c r="C371" s="6"/>
      <c r="D371" s="7"/>
      <c r="E371" s="6"/>
      <c r="F371" s="7"/>
      <c r="G371" s="6"/>
      <c r="H371" s="7"/>
      <c r="I371" s="6"/>
      <c r="J371" s="7"/>
      <c r="K371" s="96" t="str">
        <f>HYPERLINK("#'Healthcare'!NG1","Q6.3.15_6")</f>
        <v>Q6.3.15_6</v>
      </c>
      <c r="L371" s="93" t="str">
        <f>HYPERLINK("#'Healthcare'!NG2","Primary HDHP medical plan out-of-network deductible per person: Chiropractic")</f>
        <v>Primary HDHP medical plan out-of-network deductible per person: Chiropractic</v>
      </c>
      <c r="M371" s="6"/>
      <c r="N371" s="7"/>
      <c r="O371" s="6"/>
      <c r="P371" s="7"/>
      <c r="Q371" s="6"/>
      <c r="R371" s="7"/>
      <c r="S371" s="6"/>
      <c r="T371" s="7"/>
      <c r="U371" s="6"/>
      <c r="V371" s="7"/>
      <c r="W371" s="6"/>
      <c r="X371" s="7"/>
    </row>
    <row r="372" spans="1:24" ht="38.25" x14ac:dyDescent="0.2">
      <c r="A372" s="6"/>
      <c r="B372" s="7"/>
      <c r="C372" s="6"/>
      <c r="D372" s="7"/>
      <c r="E372" s="6"/>
      <c r="F372" s="7"/>
      <c r="G372" s="6"/>
      <c r="H372" s="7"/>
      <c r="I372" s="6"/>
      <c r="J372" s="7"/>
      <c r="K372" s="96" t="str">
        <f>HYPERLINK("#'Healthcare'!NH1","Q6.3.15_7")</f>
        <v>Q6.3.15_7</v>
      </c>
      <c r="L372" s="93" t="str">
        <f>HYPERLINK("#'Healthcare'!NH2","Primary HDHP medical plan out-of-network deductible per person: Emergency room (true emergency)")</f>
        <v>Primary HDHP medical plan out-of-network deductible per person: Emergency room (true emergency)</v>
      </c>
      <c r="M372" s="6"/>
      <c r="N372" s="7"/>
      <c r="O372" s="6"/>
      <c r="P372" s="7"/>
      <c r="Q372" s="6"/>
      <c r="R372" s="7"/>
      <c r="S372" s="6"/>
      <c r="T372" s="7"/>
      <c r="U372" s="6"/>
      <c r="V372" s="7"/>
      <c r="W372" s="6"/>
      <c r="X372" s="7"/>
    </row>
    <row r="373" spans="1:24" ht="38.25" x14ac:dyDescent="0.2">
      <c r="A373" s="6"/>
      <c r="B373" s="7"/>
      <c r="C373" s="6"/>
      <c r="D373" s="7"/>
      <c r="E373" s="6"/>
      <c r="F373" s="7"/>
      <c r="G373" s="6"/>
      <c r="H373" s="7"/>
      <c r="I373" s="6"/>
      <c r="J373" s="7"/>
      <c r="K373" s="96" t="str">
        <f>HYPERLINK("#'Healthcare'!NI1","Q6.3.15_8")</f>
        <v>Q6.3.15_8</v>
      </c>
      <c r="L373" s="93" t="str">
        <f>HYPERLINK("#'Healthcare'!NI2","Primary HDHP medical plan out-of-network deductible per person: Emergency room (non-emergency)")</f>
        <v>Primary HDHP medical plan out-of-network deductible per person: Emergency room (non-emergency)</v>
      </c>
      <c r="M373" s="6"/>
      <c r="N373" s="7"/>
      <c r="O373" s="6"/>
      <c r="P373" s="7"/>
      <c r="Q373" s="6"/>
      <c r="R373" s="7"/>
      <c r="S373" s="6"/>
      <c r="T373" s="7"/>
      <c r="U373" s="6"/>
      <c r="V373" s="7"/>
      <c r="W373" s="6"/>
      <c r="X373" s="7"/>
    </row>
    <row r="374" spans="1:24" ht="38.25" x14ac:dyDescent="0.2">
      <c r="A374" s="6"/>
      <c r="B374" s="7"/>
      <c r="C374" s="6"/>
      <c r="D374" s="7"/>
      <c r="E374" s="6"/>
      <c r="F374" s="7"/>
      <c r="G374" s="6"/>
      <c r="H374" s="7"/>
      <c r="I374" s="6"/>
      <c r="J374" s="7"/>
      <c r="K374" s="96" t="str">
        <f>HYPERLINK("#'Healthcare'!NJ1","Q6.3.15_9")</f>
        <v>Q6.3.15_9</v>
      </c>
      <c r="L374" s="93" t="str">
        <f>HYPERLINK("#'Healthcare'!NJ2","Primary HDHP medical plan out-of-network deductible per person: Emergency room (with hospital admittance)")</f>
        <v>Primary HDHP medical plan out-of-network deductible per person: Emergency room (with hospital admittance)</v>
      </c>
      <c r="M374" s="6"/>
      <c r="N374" s="7"/>
      <c r="O374" s="6"/>
      <c r="P374" s="7"/>
      <c r="Q374" s="6"/>
      <c r="R374" s="7"/>
      <c r="S374" s="6"/>
      <c r="T374" s="7"/>
      <c r="U374" s="6"/>
      <c r="V374" s="7"/>
      <c r="W374" s="6"/>
      <c r="X374" s="7"/>
    </row>
    <row r="375" spans="1:24" ht="25.5" x14ac:dyDescent="0.2">
      <c r="A375" s="6"/>
      <c r="B375" s="7"/>
      <c r="C375" s="6"/>
      <c r="D375" s="7"/>
      <c r="E375" s="6"/>
      <c r="F375" s="7"/>
      <c r="G375" s="6"/>
      <c r="H375" s="7"/>
      <c r="I375" s="6"/>
      <c r="J375" s="7"/>
      <c r="K375" s="96" t="str">
        <f>HYPERLINK("#'Healthcare'!NK1","Q6.3.15_10")</f>
        <v>Q6.3.15_10</v>
      </c>
      <c r="L375" s="93" t="str">
        <f>HYPERLINK("#'Healthcare'!NK2","Primary HDHP medical plan out-of-network deductible per person: In-patient hospital")</f>
        <v>Primary HDHP medical plan out-of-network deductible per person: In-patient hospital</v>
      </c>
      <c r="M375" s="6"/>
      <c r="N375" s="7"/>
      <c r="O375" s="6"/>
      <c r="P375" s="7"/>
      <c r="Q375" s="6"/>
      <c r="R375" s="7"/>
      <c r="S375" s="6"/>
      <c r="T375" s="7"/>
      <c r="U375" s="6"/>
      <c r="V375" s="7"/>
      <c r="W375" s="6"/>
      <c r="X375" s="7"/>
    </row>
    <row r="376" spans="1:24" ht="38.25" x14ac:dyDescent="0.2">
      <c r="A376" s="6"/>
      <c r="B376" s="7"/>
      <c r="C376" s="6"/>
      <c r="D376" s="7"/>
      <c r="E376" s="6"/>
      <c r="F376" s="7"/>
      <c r="G376" s="6"/>
      <c r="H376" s="7"/>
      <c r="I376" s="6"/>
      <c r="J376" s="7"/>
      <c r="K376" s="96" t="str">
        <f>HYPERLINK("#'Healthcare'!NL1","Q6.3.15_11")</f>
        <v>Q6.3.15_11</v>
      </c>
      <c r="L376" s="93" t="str">
        <f>HYPERLINK("#'Healthcare'!NL2","Primary HDHP medical plan out-of-network deductible per person: Mental health/substance abuse")</f>
        <v>Primary HDHP medical plan out-of-network deductible per person: Mental health/substance abuse</v>
      </c>
      <c r="M376" s="6"/>
      <c r="N376" s="7"/>
      <c r="O376" s="6"/>
      <c r="P376" s="7"/>
      <c r="Q376" s="6"/>
      <c r="R376" s="7"/>
      <c r="S376" s="6"/>
      <c r="T376" s="7"/>
      <c r="U376" s="6"/>
      <c r="V376" s="7"/>
      <c r="W376" s="6"/>
      <c r="X376" s="7"/>
    </row>
    <row r="377" spans="1:24" ht="38.25" x14ac:dyDescent="0.2">
      <c r="A377" s="6"/>
      <c r="B377" s="7"/>
      <c r="C377" s="6"/>
      <c r="D377" s="7"/>
      <c r="E377" s="6"/>
      <c r="F377" s="7"/>
      <c r="G377" s="6"/>
      <c r="H377" s="7"/>
      <c r="I377" s="6"/>
      <c r="J377" s="7"/>
      <c r="K377" s="96" t="str">
        <f>HYPERLINK("#'Healthcare'!NM1","Q6.3.15_12")</f>
        <v>Q6.3.15_12</v>
      </c>
      <c r="L377" s="93" t="str">
        <f>HYPERLINK("#'Healthcare'!NM2","Primary HDHP medical plan out-of-network deductible per person: Out-patient surgical center")</f>
        <v>Primary HDHP medical plan out-of-network deductible per person: Out-patient surgical center</v>
      </c>
      <c r="M377" s="6"/>
      <c r="N377" s="7"/>
      <c r="O377" s="6"/>
      <c r="P377" s="7"/>
      <c r="Q377" s="6"/>
      <c r="R377" s="7"/>
      <c r="S377" s="6"/>
      <c r="T377" s="7"/>
      <c r="U377" s="6"/>
      <c r="V377" s="7"/>
      <c r="W377" s="6"/>
      <c r="X377" s="7"/>
    </row>
    <row r="378" spans="1:24" ht="38.25" x14ac:dyDescent="0.2">
      <c r="A378" s="6"/>
      <c r="B378" s="7"/>
      <c r="C378" s="6"/>
      <c r="D378" s="7"/>
      <c r="E378" s="6"/>
      <c r="F378" s="7"/>
      <c r="G378" s="6"/>
      <c r="H378" s="7"/>
      <c r="I378" s="6"/>
      <c r="J378" s="7"/>
      <c r="K378" s="96" t="str">
        <f>HYPERLINK("#'Healthcare'!NN1","Q6.3.15_13")</f>
        <v>Q6.3.15_13</v>
      </c>
      <c r="L378" s="93" t="str">
        <f>HYPERLINK("#'Healthcare'!NN2","Primary HDHP medical plan out-of-network deductible per person: Prescription drugs (preventive)")</f>
        <v>Primary HDHP medical plan out-of-network deductible per person: Prescription drugs (preventive)</v>
      </c>
      <c r="M378" s="6"/>
      <c r="N378" s="7"/>
      <c r="O378" s="6"/>
      <c r="P378" s="7"/>
      <c r="Q378" s="6"/>
      <c r="R378" s="7"/>
      <c r="S378" s="6"/>
      <c r="T378" s="7"/>
      <c r="U378" s="6"/>
      <c r="V378" s="7"/>
      <c r="W378" s="6"/>
      <c r="X378" s="7"/>
    </row>
    <row r="379" spans="1:24" ht="38.25" x14ac:dyDescent="0.2">
      <c r="A379" s="6"/>
      <c r="B379" s="7"/>
      <c r="C379" s="6"/>
      <c r="D379" s="7"/>
      <c r="E379" s="6"/>
      <c r="F379" s="7"/>
      <c r="G379" s="6"/>
      <c r="H379" s="7"/>
      <c r="I379" s="6"/>
      <c r="J379" s="7"/>
      <c r="K379" s="96" t="str">
        <f>HYPERLINK("#'Healthcare'!NO1","Q6.3.15_14")</f>
        <v>Q6.3.15_14</v>
      </c>
      <c r="L379" s="93" t="str">
        <f>HYPERLINK("#'Healthcare'!NO2","Primary HDHP medical plan out-of-network deductible per person: Prescription drugs (non-preventive)")</f>
        <v>Primary HDHP medical plan out-of-network deductible per person: Prescription drugs (non-preventive)</v>
      </c>
      <c r="M379" s="6"/>
      <c r="N379" s="7"/>
      <c r="O379" s="6"/>
      <c r="P379" s="7"/>
      <c r="Q379" s="6"/>
      <c r="R379" s="7"/>
      <c r="S379" s="6"/>
      <c r="T379" s="7"/>
      <c r="U379" s="6"/>
      <c r="V379" s="7"/>
      <c r="W379" s="6"/>
      <c r="X379" s="7"/>
    </row>
    <row r="380" spans="1:24" ht="38.25" x14ac:dyDescent="0.2">
      <c r="A380" s="6"/>
      <c r="B380" s="7"/>
      <c r="C380" s="6"/>
      <c r="D380" s="7"/>
      <c r="E380" s="6"/>
      <c r="F380" s="7"/>
      <c r="G380" s="6"/>
      <c r="H380" s="7"/>
      <c r="I380" s="6"/>
      <c r="J380" s="7"/>
      <c r="K380" s="96" t="str">
        <f>HYPERLINK("#'Healthcare'!NP1","Q6.3.15_15")</f>
        <v>Q6.3.15_15</v>
      </c>
      <c r="L380" s="93" t="str">
        <f>HYPERLINK("#'Healthcare'!NP2","Primary HDHP medical plan out-of-network deductible per person: Therapies (speech, PT, OT)")</f>
        <v>Primary HDHP medical plan out-of-network deductible per person: Therapies (speech, PT, OT)</v>
      </c>
      <c r="M380" s="6"/>
      <c r="N380" s="7"/>
      <c r="O380" s="6"/>
      <c r="P380" s="7"/>
      <c r="Q380" s="6"/>
      <c r="R380" s="7"/>
      <c r="S380" s="6"/>
      <c r="T380" s="7"/>
      <c r="U380" s="6"/>
      <c r="V380" s="7"/>
      <c r="W380" s="6"/>
      <c r="X380" s="7"/>
    </row>
    <row r="381" spans="1:24" ht="25.5" x14ac:dyDescent="0.2">
      <c r="A381" s="6"/>
      <c r="B381" s="7"/>
      <c r="C381" s="6"/>
      <c r="D381" s="7"/>
      <c r="E381" s="6"/>
      <c r="F381" s="7"/>
      <c r="G381" s="6"/>
      <c r="H381" s="7"/>
      <c r="I381" s="6"/>
      <c r="J381" s="7"/>
      <c r="K381" s="96" t="str">
        <f>HYPERLINK("#'Healthcare'!NQ1","Q6.3.15_16")</f>
        <v>Q6.3.15_16</v>
      </c>
      <c r="L381" s="93" t="str">
        <f>HYPERLINK("#'Healthcare'!NQ2","Primary HDHP medical plan out-of-network deductible per person: Other")</f>
        <v>Primary HDHP medical plan out-of-network deductible per person: Other</v>
      </c>
      <c r="M381" s="6"/>
      <c r="N381" s="7"/>
      <c r="O381" s="6"/>
      <c r="P381" s="7"/>
      <c r="Q381" s="6"/>
      <c r="R381" s="7"/>
      <c r="S381" s="6"/>
      <c r="T381" s="7"/>
      <c r="U381" s="6"/>
      <c r="V381" s="7"/>
      <c r="W381" s="6"/>
      <c r="X381" s="7"/>
    </row>
    <row r="382" spans="1:24" ht="38.25" x14ac:dyDescent="0.2">
      <c r="A382" s="6"/>
      <c r="B382" s="7"/>
      <c r="C382" s="6"/>
      <c r="D382" s="7"/>
      <c r="E382" s="6"/>
      <c r="F382" s="7"/>
      <c r="G382" s="6"/>
      <c r="H382" s="7"/>
      <c r="I382" s="6"/>
      <c r="J382" s="7"/>
      <c r="K382" s="96" t="str">
        <f>HYPERLINK("#'Healthcare'!NR1","Q6.3.16_1")</f>
        <v>Q6.3.16_1</v>
      </c>
      <c r="L382" s="93" t="str">
        <f>HYPERLINK("#'Healthcare'!NR2","Primary HDHP medical plan out-of-network deductible per family: Not applicable - no separate deductibles")</f>
        <v>Primary HDHP medical plan out-of-network deductible per family: Not applicable - no separate deductibles</v>
      </c>
      <c r="M382" s="6"/>
      <c r="N382" s="7"/>
      <c r="O382" s="6"/>
      <c r="P382" s="7"/>
      <c r="Q382" s="6"/>
      <c r="R382" s="7"/>
      <c r="S382" s="6"/>
      <c r="T382" s="7"/>
      <c r="U382" s="6"/>
      <c r="V382" s="7"/>
      <c r="W382" s="6"/>
      <c r="X382" s="7"/>
    </row>
    <row r="383" spans="1:24" ht="25.5" x14ac:dyDescent="0.2">
      <c r="A383" s="6"/>
      <c r="B383" s="7"/>
      <c r="C383" s="6"/>
      <c r="D383" s="7"/>
      <c r="E383" s="6"/>
      <c r="F383" s="7"/>
      <c r="G383" s="6"/>
      <c r="H383" s="7"/>
      <c r="I383" s="6"/>
      <c r="J383" s="7"/>
      <c r="K383" s="96" t="str">
        <f>HYPERLINK("#'Healthcare'!NS1","Q6.3.16_5")</f>
        <v>Q6.3.16_5</v>
      </c>
      <c r="L383" s="93" t="str">
        <f>HYPERLINK("#'Healthcare'!NS2","Primary HDHP medical plan out-of-network deductible per family: Acupuncture")</f>
        <v>Primary HDHP medical plan out-of-network deductible per family: Acupuncture</v>
      </c>
      <c r="M383" s="6"/>
      <c r="N383" s="7"/>
      <c r="O383" s="6"/>
      <c r="P383" s="7"/>
      <c r="Q383" s="6"/>
      <c r="R383" s="7"/>
      <c r="S383" s="6"/>
      <c r="T383" s="7"/>
      <c r="U383" s="6"/>
      <c r="V383" s="7"/>
      <c r="W383" s="6"/>
      <c r="X383" s="7"/>
    </row>
    <row r="384" spans="1:24" ht="25.5" x14ac:dyDescent="0.2">
      <c r="A384" s="6"/>
      <c r="B384" s="7"/>
      <c r="C384" s="6"/>
      <c r="D384" s="7"/>
      <c r="E384" s="6"/>
      <c r="F384" s="7"/>
      <c r="G384" s="6"/>
      <c r="H384" s="7"/>
      <c r="I384" s="6"/>
      <c r="J384" s="7"/>
      <c r="K384" s="96" t="str">
        <f>HYPERLINK("#'Healthcare'!NT1","Q6.3.16_6")</f>
        <v>Q6.3.16_6</v>
      </c>
      <c r="L384" s="93" t="str">
        <f>HYPERLINK("#'Healthcare'!NT2","Primary HDHP medical plan out-of-network deductible per family: Chiropractic")</f>
        <v>Primary HDHP medical plan out-of-network deductible per family: Chiropractic</v>
      </c>
      <c r="M384" s="6"/>
      <c r="N384" s="7"/>
      <c r="O384" s="6"/>
      <c r="P384" s="7"/>
      <c r="Q384" s="6"/>
      <c r="R384" s="7"/>
      <c r="S384" s="6"/>
      <c r="T384" s="7"/>
      <c r="U384" s="6"/>
      <c r="V384" s="7"/>
      <c r="W384" s="6"/>
      <c r="X384" s="7"/>
    </row>
    <row r="385" spans="1:24" ht="38.25" x14ac:dyDescent="0.2">
      <c r="A385" s="6"/>
      <c r="B385" s="7"/>
      <c r="C385" s="6"/>
      <c r="D385" s="7"/>
      <c r="E385" s="6"/>
      <c r="F385" s="7"/>
      <c r="G385" s="6"/>
      <c r="H385" s="7"/>
      <c r="I385" s="6"/>
      <c r="J385" s="7"/>
      <c r="K385" s="96" t="str">
        <f>HYPERLINK("#'Healthcare'!NU1","Q6.3.16_7")</f>
        <v>Q6.3.16_7</v>
      </c>
      <c r="L385" s="93" t="str">
        <f>HYPERLINK("#'Healthcare'!NU2","Primary HDHP medical plan out-of-network deductible per family: Emergency room (true emergency)")</f>
        <v>Primary HDHP medical plan out-of-network deductible per family: Emergency room (true emergency)</v>
      </c>
      <c r="M385" s="6"/>
      <c r="N385" s="7"/>
      <c r="O385" s="6"/>
      <c r="P385" s="7"/>
      <c r="Q385" s="6"/>
      <c r="R385" s="7"/>
      <c r="S385" s="6"/>
      <c r="T385" s="7"/>
      <c r="U385" s="6"/>
      <c r="V385" s="7"/>
      <c r="W385" s="6"/>
      <c r="X385" s="7"/>
    </row>
    <row r="386" spans="1:24" ht="38.25" x14ac:dyDescent="0.2">
      <c r="A386" s="6"/>
      <c r="B386" s="7"/>
      <c r="C386" s="6"/>
      <c r="D386" s="7"/>
      <c r="E386" s="6"/>
      <c r="F386" s="7"/>
      <c r="G386" s="6"/>
      <c r="H386" s="7"/>
      <c r="I386" s="6"/>
      <c r="J386" s="7"/>
      <c r="K386" s="96" t="str">
        <f>HYPERLINK("#'Healthcare'!NV1","Q6.3.16_8")</f>
        <v>Q6.3.16_8</v>
      </c>
      <c r="L386" s="93" t="str">
        <f>HYPERLINK("#'Healthcare'!NV2","Primary HDHP medical plan out-of-network deductible per family: Emergency room (non-emergency)")</f>
        <v>Primary HDHP medical plan out-of-network deductible per family: Emergency room (non-emergency)</v>
      </c>
      <c r="M386" s="6"/>
      <c r="N386" s="7"/>
      <c r="O386" s="6"/>
      <c r="P386" s="7"/>
      <c r="Q386" s="6"/>
      <c r="R386" s="7"/>
      <c r="S386" s="6"/>
      <c r="T386" s="7"/>
      <c r="U386" s="6"/>
      <c r="V386" s="7"/>
      <c r="W386" s="6"/>
      <c r="X386" s="7"/>
    </row>
    <row r="387" spans="1:24" ht="38.25" x14ac:dyDescent="0.2">
      <c r="A387" s="6"/>
      <c r="B387" s="7"/>
      <c r="C387" s="6"/>
      <c r="D387" s="7"/>
      <c r="E387" s="6"/>
      <c r="F387" s="7"/>
      <c r="G387" s="6"/>
      <c r="H387" s="7"/>
      <c r="I387" s="6"/>
      <c r="J387" s="7"/>
      <c r="K387" s="96" t="str">
        <f>HYPERLINK("#'Healthcare'!NW1","Q6.3.16_9")</f>
        <v>Q6.3.16_9</v>
      </c>
      <c r="L387" s="93" t="str">
        <f>HYPERLINK("#'Healthcare'!NW2","Primary HDHP medical plan out-of-network deductible per family: Emergency room (with hospital admittance)")</f>
        <v>Primary HDHP medical plan out-of-network deductible per family: Emergency room (with hospital admittance)</v>
      </c>
      <c r="M387" s="6"/>
      <c r="N387" s="7"/>
      <c r="O387" s="6"/>
      <c r="P387" s="7"/>
      <c r="Q387" s="6"/>
      <c r="R387" s="7"/>
      <c r="S387" s="6"/>
      <c r="T387" s="7"/>
      <c r="U387" s="6"/>
      <c r="V387" s="7"/>
      <c r="W387" s="6"/>
      <c r="X387" s="7"/>
    </row>
    <row r="388" spans="1:24" ht="25.5" x14ac:dyDescent="0.2">
      <c r="A388" s="6"/>
      <c r="B388" s="7"/>
      <c r="C388" s="6"/>
      <c r="D388" s="7"/>
      <c r="E388" s="6"/>
      <c r="F388" s="7"/>
      <c r="G388" s="6"/>
      <c r="H388" s="7"/>
      <c r="I388" s="6"/>
      <c r="J388" s="7"/>
      <c r="K388" s="96" t="str">
        <f>HYPERLINK("#'Healthcare'!NX1","Q6.3.16_10")</f>
        <v>Q6.3.16_10</v>
      </c>
      <c r="L388" s="93" t="str">
        <f>HYPERLINK("#'Healthcare'!NX2","Primary HDHP medical plan out-of-network deductible per family: In-patient hospital")</f>
        <v>Primary HDHP medical plan out-of-network deductible per family: In-patient hospital</v>
      </c>
      <c r="M388" s="6"/>
      <c r="N388" s="7"/>
      <c r="O388" s="6"/>
      <c r="P388" s="7"/>
      <c r="Q388" s="6"/>
      <c r="R388" s="7"/>
      <c r="S388" s="6"/>
      <c r="T388" s="7"/>
      <c r="U388" s="6"/>
      <c r="V388" s="7"/>
      <c r="W388" s="6"/>
      <c r="X388" s="7"/>
    </row>
    <row r="389" spans="1:24" ht="38.25" x14ac:dyDescent="0.2">
      <c r="A389" s="6"/>
      <c r="B389" s="7"/>
      <c r="C389" s="6"/>
      <c r="D389" s="7"/>
      <c r="E389" s="6"/>
      <c r="F389" s="7"/>
      <c r="G389" s="6"/>
      <c r="H389" s="7"/>
      <c r="I389" s="6"/>
      <c r="J389" s="7"/>
      <c r="K389" s="96" t="str">
        <f>HYPERLINK("#'Healthcare'!NY1","Q6.3.16_11")</f>
        <v>Q6.3.16_11</v>
      </c>
      <c r="L389" s="93" t="str">
        <f>HYPERLINK("#'Healthcare'!NY2","Primary HDHP medical plan out-of-network deductible per family: Mental health/substance abuse")</f>
        <v>Primary HDHP medical plan out-of-network deductible per family: Mental health/substance abuse</v>
      </c>
      <c r="M389" s="6"/>
      <c r="N389" s="7"/>
      <c r="O389" s="6"/>
      <c r="P389" s="7"/>
      <c r="Q389" s="6"/>
      <c r="R389" s="7"/>
      <c r="S389" s="6"/>
      <c r="T389" s="7"/>
      <c r="U389" s="6"/>
      <c r="V389" s="7"/>
      <c r="W389" s="6"/>
      <c r="X389" s="7"/>
    </row>
    <row r="390" spans="1:24" ht="38.25" x14ac:dyDescent="0.2">
      <c r="A390" s="6"/>
      <c r="B390" s="7"/>
      <c r="C390" s="6"/>
      <c r="D390" s="7"/>
      <c r="E390" s="6"/>
      <c r="F390" s="7"/>
      <c r="G390" s="6"/>
      <c r="H390" s="7"/>
      <c r="I390" s="6"/>
      <c r="J390" s="7"/>
      <c r="K390" s="96" t="str">
        <f>HYPERLINK("#'Healthcare'!NZ1","Q6.3.16_12")</f>
        <v>Q6.3.16_12</v>
      </c>
      <c r="L390" s="93" t="str">
        <f>HYPERLINK("#'Healthcare'!NZ2","Primary HDHP medical plan out-of-network deductible per family: Out-patient surgical center")</f>
        <v>Primary HDHP medical plan out-of-network deductible per family: Out-patient surgical center</v>
      </c>
      <c r="M390" s="6"/>
      <c r="N390" s="7"/>
      <c r="O390" s="6"/>
      <c r="P390" s="7"/>
      <c r="Q390" s="6"/>
      <c r="R390" s="7"/>
      <c r="S390" s="6"/>
      <c r="T390" s="7"/>
      <c r="U390" s="6"/>
      <c r="V390" s="7"/>
      <c r="W390" s="6"/>
      <c r="X390" s="7"/>
    </row>
    <row r="391" spans="1:24" ht="38.25" x14ac:dyDescent="0.2">
      <c r="A391" s="6"/>
      <c r="B391" s="7"/>
      <c r="C391" s="6"/>
      <c r="D391" s="7"/>
      <c r="E391" s="6"/>
      <c r="F391" s="7"/>
      <c r="G391" s="6"/>
      <c r="H391" s="7"/>
      <c r="I391" s="6"/>
      <c r="J391" s="7"/>
      <c r="K391" s="96" t="str">
        <f>HYPERLINK("#'Healthcare'!OA1","Q6.3.16_13")</f>
        <v>Q6.3.16_13</v>
      </c>
      <c r="L391" s="93" t="str">
        <f>HYPERLINK("#'Healthcare'!OA2","Primary HDHP medical plan out-of-network deductible per family: Prescription drugs (preventive)")</f>
        <v>Primary HDHP medical plan out-of-network deductible per family: Prescription drugs (preventive)</v>
      </c>
      <c r="M391" s="6"/>
      <c r="N391" s="7"/>
      <c r="O391" s="6"/>
      <c r="P391" s="7"/>
      <c r="Q391" s="6"/>
      <c r="R391" s="7"/>
      <c r="S391" s="6"/>
      <c r="T391" s="7"/>
      <c r="U391" s="6"/>
      <c r="V391" s="7"/>
      <c r="W391" s="6"/>
      <c r="X391" s="7"/>
    </row>
    <row r="392" spans="1:24" ht="38.25" x14ac:dyDescent="0.2">
      <c r="A392" s="6"/>
      <c r="B392" s="7"/>
      <c r="C392" s="6"/>
      <c r="D392" s="7"/>
      <c r="E392" s="6"/>
      <c r="F392" s="7"/>
      <c r="G392" s="6"/>
      <c r="H392" s="7"/>
      <c r="I392" s="6"/>
      <c r="J392" s="7"/>
      <c r="K392" s="96" t="str">
        <f>HYPERLINK("#'Healthcare'!OB1","Q6.3.16_14")</f>
        <v>Q6.3.16_14</v>
      </c>
      <c r="L392" s="93" t="str">
        <f>HYPERLINK("#'Healthcare'!OB2","Primary HDHP medical plan out-of-network deductible per family: Prescription drugs (non-preventive)")</f>
        <v>Primary HDHP medical plan out-of-network deductible per family: Prescription drugs (non-preventive)</v>
      </c>
      <c r="M392" s="6"/>
      <c r="N392" s="7"/>
      <c r="O392" s="6"/>
      <c r="P392" s="7"/>
      <c r="Q392" s="6"/>
      <c r="R392" s="7"/>
      <c r="S392" s="6"/>
      <c r="T392" s="7"/>
      <c r="U392" s="6"/>
      <c r="V392" s="7"/>
      <c r="W392" s="6"/>
      <c r="X392" s="7"/>
    </row>
    <row r="393" spans="1:24" ht="38.25" x14ac:dyDescent="0.2">
      <c r="A393" s="6"/>
      <c r="B393" s="7"/>
      <c r="C393" s="6"/>
      <c r="D393" s="7"/>
      <c r="E393" s="6"/>
      <c r="F393" s="7"/>
      <c r="G393" s="6"/>
      <c r="H393" s="7"/>
      <c r="I393" s="6"/>
      <c r="J393" s="7"/>
      <c r="K393" s="96" t="str">
        <f>HYPERLINK("#'Healthcare'!OC1","Q6.3.16_15")</f>
        <v>Q6.3.16_15</v>
      </c>
      <c r="L393" s="93" t="str">
        <f>HYPERLINK("#'Healthcare'!OC2","Primary HDHP medical plan out-of-network deductible per family: Therapies (speech, PT, OT)")</f>
        <v>Primary HDHP medical plan out-of-network deductible per family: Therapies (speech, PT, OT)</v>
      </c>
      <c r="M393" s="6"/>
      <c r="N393" s="7"/>
      <c r="O393" s="6"/>
      <c r="P393" s="7"/>
      <c r="Q393" s="6"/>
      <c r="R393" s="7"/>
      <c r="S393" s="6"/>
      <c r="T393" s="7"/>
      <c r="U393" s="6"/>
      <c r="V393" s="7"/>
      <c r="W393" s="6"/>
      <c r="X393" s="7"/>
    </row>
    <row r="394" spans="1:24" ht="25.5" x14ac:dyDescent="0.2">
      <c r="A394" s="6"/>
      <c r="B394" s="7"/>
      <c r="C394" s="6"/>
      <c r="D394" s="7"/>
      <c r="E394" s="6"/>
      <c r="F394" s="7"/>
      <c r="G394" s="6"/>
      <c r="H394" s="7"/>
      <c r="I394" s="6"/>
      <c r="J394" s="7"/>
      <c r="K394" s="96" t="str">
        <f>HYPERLINK("#'Healthcare'!OD1","Q6.3.16_16")</f>
        <v>Q6.3.16_16</v>
      </c>
      <c r="L394" s="93" t="str">
        <f>HYPERLINK("#'Healthcare'!OD2","Primary HDHP medical plan out-of-network deductible per family: Other")</f>
        <v>Primary HDHP medical plan out-of-network deductible per family: Other</v>
      </c>
      <c r="M394" s="6"/>
      <c r="N394" s="7"/>
      <c r="O394" s="6"/>
      <c r="P394" s="7"/>
      <c r="Q394" s="6"/>
      <c r="R394" s="7"/>
      <c r="S394" s="6"/>
      <c r="T394" s="7"/>
      <c r="U394" s="6"/>
      <c r="V394" s="7"/>
      <c r="W394" s="6"/>
      <c r="X394" s="7"/>
    </row>
    <row r="395" spans="1:24" ht="12.75" x14ac:dyDescent="0.2">
      <c r="A395" s="6"/>
      <c r="B395" s="7"/>
      <c r="C395" s="6"/>
      <c r="D395" s="7"/>
      <c r="E395" s="6"/>
      <c r="F395" s="7"/>
      <c r="G395" s="6"/>
      <c r="H395" s="7"/>
      <c r="I395" s="6"/>
      <c r="J395" s="7"/>
      <c r="K395" s="96" t="str">
        <f>HYPERLINK("#'Healthcare'!OE1","Q6.3.17")</f>
        <v>Q6.3.17</v>
      </c>
      <c r="L395" s="93" t="str">
        <f>HYPERLINK("#'Healthcare'!OE2","Primary HDHP  medical plan: Annual plan limit")</f>
        <v>Primary HDHP  medical plan: Annual plan limit</v>
      </c>
      <c r="M395" s="6"/>
      <c r="N395" s="7"/>
      <c r="O395" s="6"/>
      <c r="P395" s="7"/>
      <c r="Q395" s="6"/>
      <c r="R395" s="7"/>
      <c r="S395" s="6"/>
      <c r="T395" s="7"/>
      <c r="U395" s="6"/>
      <c r="V395" s="7"/>
      <c r="W395" s="6"/>
      <c r="X395" s="7"/>
    </row>
    <row r="396" spans="1:24" ht="25.5" x14ac:dyDescent="0.2">
      <c r="A396" s="6"/>
      <c r="B396" s="7"/>
      <c r="C396" s="6"/>
      <c r="D396" s="7"/>
      <c r="E396" s="6"/>
      <c r="F396" s="7"/>
      <c r="G396" s="6"/>
      <c r="H396" s="7"/>
      <c r="I396" s="6"/>
      <c r="J396" s="7"/>
      <c r="K396" s="96" t="str">
        <f>HYPERLINK("#'Healthcare'!OF1","Q6.3.19")</f>
        <v>Q6.3.19</v>
      </c>
      <c r="L396" s="93" t="str">
        <f>HYPERLINK("#'Healthcare'!OF2","Primary HDHP medical plan: Covers emergency services for non-emergencies")</f>
        <v>Primary HDHP medical plan: Covers emergency services for non-emergencies</v>
      </c>
      <c r="M396" s="6"/>
      <c r="N396" s="7"/>
      <c r="O396" s="6"/>
      <c r="P396" s="7"/>
      <c r="Q396" s="6"/>
      <c r="R396" s="7"/>
      <c r="S396" s="6"/>
      <c r="T396" s="7"/>
      <c r="U396" s="6"/>
      <c r="V396" s="7"/>
      <c r="W396" s="6"/>
      <c r="X396" s="7"/>
    </row>
    <row r="397" spans="1:24" ht="38.25" x14ac:dyDescent="0.2">
      <c r="A397" s="6"/>
      <c r="B397" s="7"/>
      <c r="C397" s="6"/>
      <c r="D397" s="7"/>
      <c r="E397" s="6"/>
      <c r="F397" s="7"/>
      <c r="G397" s="6"/>
      <c r="H397" s="7"/>
      <c r="I397" s="6"/>
      <c r="J397" s="7"/>
      <c r="K397" s="96" t="str">
        <f>HYPERLINK("#'Healthcare'!OG1","Q6.3.20")</f>
        <v>Q6.3.20</v>
      </c>
      <c r="L397" s="93" t="str">
        <f>HYPERLINK("#'Healthcare'!OG2","Primary HDHP medical plan: Covers emergency services for non-emergencies at reduced amount")</f>
        <v>Primary HDHP medical plan: Covers emergency services for non-emergencies at reduced amount</v>
      </c>
      <c r="M397" s="6"/>
      <c r="N397" s="7"/>
      <c r="O397" s="6"/>
      <c r="P397" s="7"/>
      <c r="Q397" s="6"/>
      <c r="R397" s="7"/>
      <c r="S397" s="6"/>
      <c r="T397" s="7"/>
      <c r="U397" s="6"/>
      <c r="V397" s="7"/>
      <c r="W397" s="6"/>
      <c r="X397" s="7"/>
    </row>
    <row r="398" spans="1:24" ht="38.25" x14ac:dyDescent="0.2">
      <c r="A398" s="6"/>
      <c r="B398" s="7"/>
      <c r="C398" s="6"/>
      <c r="D398" s="7"/>
      <c r="E398" s="6"/>
      <c r="F398" s="7"/>
      <c r="G398" s="6"/>
      <c r="H398" s="7"/>
      <c r="I398" s="6"/>
      <c r="J398" s="7"/>
      <c r="K398" s="96" t="str">
        <f>HYPERLINK("#'Healthcare'!OH1","Q6.3.21")</f>
        <v>Q6.3.21</v>
      </c>
      <c r="L398" s="93" t="str">
        <f>HYPERLINK("#'Healthcare'!OH2","Primary HDHP medical plan: Covers mental health and substance abuse emergencies differently")</f>
        <v>Primary HDHP medical plan: Covers mental health and substance abuse emergencies differently</v>
      </c>
      <c r="M398" s="6"/>
      <c r="N398" s="7"/>
      <c r="O398" s="6"/>
      <c r="P398" s="7"/>
      <c r="Q398" s="6"/>
      <c r="R398" s="7"/>
      <c r="S398" s="6"/>
      <c r="T398" s="7"/>
      <c r="U398" s="6"/>
      <c r="V398" s="7"/>
      <c r="W398" s="6"/>
      <c r="X398" s="7"/>
    </row>
    <row r="399" spans="1:24" ht="38.25" x14ac:dyDescent="0.2">
      <c r="A399" s="6"/>
      <c r="B399" s="7"/>
      <c r="C399" s="6"/>
      <c r="D399" s="7"/>
      <c r="E399" s="6"/>
      <c r="F399" s="7"/>
      <c r="G399" s="6"/>
      <c r="H399" s="7"/>
      <c r="I399" s="6"/>
      <c r="J399" s="7"/>
      <c r="K399" s="96" t="str">
        <f>HYPERLINK("#'Healthcare'!OI1","Q6.3.22")</f>
        <v>Q6.3.22</v>
      </c>
      <c r="L399" s="93" t="str">
        <f>HYPERLINK("#'Healthcare'!OI2","Primary HDHP medical plan: Coverage for mental health and substance abuse emergencies")</f>
        <v>Primary HDHP medical plan: Coverage for mental health and substance abuse emergencies</v>
      </c>
      <c r="M399" s="6"/>
      <c r="N399" s="7"/>
      <c r="O399" s="6"/>
      <c r="P399" s="7"/>
      <c r="Q399" s="6"/>
      <c r="R399" s="7"/>
      <c r="S399" s="6"/>
      <c r="T399" s="7"/>
      <c r="U399" s="6"/>
      <c r="V399" s="7"/>
      <c r="W399" s="6"/>
      <c r="X399" s="7"/>
    </row>
    <row r="400" spans="1:24" ht="25.5" x14ac:dyDescent="0.2">
      <c r="A400" s="6"/>
      <c r="B400" s="7"/>
      <c r="C400" s="6"/>
      <c r="D400" s="7"/>
      <c r="E400" s="6"/>
      <c r="F400" s="7"/>
      <c r="G400" s="6"/>
      <c r="H400" s="7"/>
      <c r="I400" s="6"/>
      <c r="J400" s="7"/>
      <c r="K400" s="96" t="str">
        <f>HYPERLINK("#'Healthcare'!OJ1","Q6.3.23")</f>
        <v>Q6.3.23</v>
      </c>
      <c r="L400" s="93" t="str">
        <f>HYPERLINK("#'Healthcare'!OJ2","Primary HDHP medical plan non-acute care services in-network coverage")</f>
        <v>Primary HDHP medical plan non-acute care services in-network coverage</v>
      </c>
      <c r="M400" s="6"/>
      <c r="N400" s="7"/>
      <c r="O400" s="6"/>
      <c r="P400" s="7"/>
      <c r="Q400" s="6"/>
      <c r="R400" s="7"/>
      <c r="S400" s="6"/>
      <c r="T400" s="7"/>
      <c r="U400" s="6"/>
      <c r="V400" s="7"/>
      <c r="W400" s="6"/>
      <c r="X400" s="7"/>
    </row>
    <row r="401" spans="1:24" ht="25.5" x14ac:dyDescent="0.2">
      <c r="A401" s="6"/>
      <c r="B401" s="7"/>
      <c r="C401" s="6"/>
      <c r="D401" s="7"/>
      <c r="E401" s="6"/>
      <c r="F401" s="7"/>
      <c r="G401" s="6"/>
      <c r="H401" s="7"/>
      <c r="I401" s="6"/>
      <c r="J401" s="7"/>
      <c r="K401" s="96" t="str">
        <f>HYPERLINK("#'Healthcare'!OK1","Q6.3.24")</f>
        <v>Q6.3.24</v>
      </c>
      <c r="L401" s="93" t="str">
        <f>HYPERLINK("#'Healthcare'!OK2","Primary HDHP medical plan non-acute care services out-of-network coverage")</f>
        <v>Primary HDHP medical plan non-acute care services out-of-network coverage</v>
      </c>
      <c r="M401" s="6"/>
      <c r="N401" s="7"/>
      <c r="O401" s="6"/>
      <c r="P401" s="7"/>
      <c r="Q401" s="6"/>
      <c r="R401" s="7"/>
      <c r="S401" s="6"/>
      <c r="T401" s="7"/>
      <c r="U401" s="6"/>
      <c r="V401" s="7"/>
      <c r="W401" s="6"/>
      <c r="X401" s="7"/>
    </row>
    <row r="402" spans="1:24" ht="25.5" x14ac:dyDescent="0.2">
      <c r="A402" s="6"/>
      <c r="B402" s="7"/>
      <c r="C402" s="6"/>
      <c r="D402" s="7"/>
      <c r="E402" s="6"/>
      <c r="F402" s="7"/>
      <c r="G402" s="6"/>
      <c r="H402" s="7"/>
      <c r="I402" s="6"/>
      <c r="J402" s="7"/>
      <c r="K402" s="96" t="str">
        <f>HYPERLINK("#'Healthcare'!OL1","Q6.3.25_1")</f>
        <v>Q6.3.25_1</v>
      </c>
      <c r="L402" s="93" t="str">
        <f>HYPERLINK("#'Healthcare'!OL2","Primary HDHP medical plan in-network copayment: General/Primary care office visit")</f>
        <v>Primary HDHP medical plan in-network copayment: General/Primary care office visit</v>
      </c>
      <c r="M402" s="6"/>
      <c r="N402" s="7"/>
      <c r="O402" s="6"/>
      <c r="P402" s="7"/>
      <c r="Q402" s="6"/>
      <c r="R402" s="7"/>
      <c r="S402" s="6"/>
      <c r="T402" s="7"/>
      <c r="U402" s="6"/>
      <c r="V402" s="7"/>
      <c r="W402" s="6"/>
      <c r="X402" s="7"/>
    </row>
    <row r="403" spans="1:24" ht="25.5" x14ac:dyDescent="0.2">
      <c r="A403" s="6"/>
      <c r="B403" s="7"/>
      <c r="C403" s="6"/>
      <c r="D403" s="7"/>
      <c r="E403" s="6"/>
      <c r="F403" s="7"/>
      <c r="G403" s="6"/>
      <c r="H403" s="7"/>
      <c r="I403" s="6"/>
      <c r="J403" s="7"/>
      <c r="K403" s="96" t="str">
        <f>HYPERLINK("#'Healthcare'!OM1","Q6.3.25_2")</f>
        <v>Q6.3.25_2</v>
      </c>
      <c r="L403" s="93" t="str">
        <f>HYPERLINK("#'Healthcare'!OM2","Primary HDHP medical plan in-network copayment: Specialist office visit")</f>
        <v>Primary HDHP medical plan in-network copayment: Specialist office visit</v>
      </c>
      <c r="M403" s="6"/>
      <c r="N403" s="7"/>
      <c r="O403" s="6"/>
      <c r="P403" s="7"/>
      <c r="Q403" s="6"/>
      <c r="R403" s="7"/>
      <c r="S403" s="6"/>
      <c r="T403" s="7"/>
      <c r="U403" s="6"/>
      <c r="V403" s="7"/>
      <c r="W403" s="6"/>
      <c r="X403" s="7"/>
    </row>
    <row r="404" spans="1:24" ht="38.25" x14ac:dyDescent="0.2">
      <c r="A404" s="6"/>
      <c r="B404" s="7"/>
      <c r="C404" s="6"/>
      <c r="D404" s="7"/>
      <c r="E404" s="6"/>
      <c r="F404" s="7"/>
      <c r="G404" s="6"/>
      <c r="H404" s="7"/>
      <c r="I404" s="6"/>
      <c r="J404" s="7"/>
      <c r="K404" s="96" t="str">
        <f>HYPERLINK("#'Healthcare'!ON1","Q6.3.25_3")</f>
        <v>Q6.3.25_3</v>
      </c>
      <c r="L404" s="93" t="str">
        <f>HYPERLINK("#'Healthcare'!ON2","Primary HDHP medical plan in-network copayment: Autism/applied behavioral analysis (ABA)")</f>
        <v>Primary HDHP medical plan in-network copayment: Autism/applied behavioral analysis (ABA)</v>
      </c>
      <c r="M404" s="6"/>
      <c r="N404" s="7"/>
      <c r="O404" s="6"/>
      <c r="P404" s="7"/>
      <c r="Q404" s="6"/>
      <c r="R404" s="7"/>
      <c r="S404" s="6"/>
      <c r="T404" s="7"/>
      <c r="U404" s="6"/>
      <c r="V404" s="7"/>
      <c r="W404" s="6"/>
      <c r="X404" s="7"/>
    </row>
    <row r="405" spans="1:24" ht="25.5" x14ac:dyDescent="0.2">
      <c r="A405" s="6"/>
      <c r="B405" s="7"/>
      <c r="C405" s="6"/>
      <c r="D405" s="7"/>
      <c r="E405" s="6"/>
      <c r="F405" s="7"/>
      <c r="G405" s="6"/>
      <c r="H405" s="7"/>
      <c r="I405" s="6"/>
      <c r="J405" s="7"/>
      <c r="K405" s="96" t="str">
        <f>HYPERLINK("#'Healthcare'!OO1","Q6.3.25_4")</f>
        <v>Q6.3.25_4</v>
      </c>
      <c r="L405" s="93" t="str">
        <f>HYPERLINK("#'Healthcare'!OO2","Primary HDHP medical plan in-network copayment: Emergency room")</f>
        <v>Primary HDHP medical plan in-network copayment: Emergency room</v>
      </c>
      <c r="M405" s="6"/>
      <c r="N405" s="7"/>
      <c r="O405" s="6"/>
      <c r="P405" s="7"/>
      <c r="Q405" s="6"/>
      <c r="R405" s="7"/>
      <c r="S405" s="6"/>
      <c r="T405" s="7"/>
      <c r="U405" s="6"/>
      <c r="V405" s="7"/>
      <c r="W405" s="6"/>
      <c r="X405" s="7"/>
    </row>
    <row r="406" spans="1:24" ht="25.5" x14ac:dyDescent="0.2">
      <c r="A406" s="6"/>
      <c r="B406" s="7"/>
      <c r="C406" s="6"/>
      <c r="D406" s="7"/>
      <c r="E406" s="6"/>
      <c r="F406" s="7"/>
      <c r="G406" s="6"/>
      <c r="H406" s="7"/>
      <c r="I406" s="6"/>
      <c r="J406" s="7"/>
      <c r="K406" s="96" t="str">
        <f>HYPERLINK("#'Healthcare'!OP1","Q6.3.25_5")</f>
        <v>Q6.3.25_5</v>
      </c>
      <c r="L406" s="93" t="str">
        <f>HYPERLINK("#'Healthcare'!OP2","Primary HDHP medical plan in-network copayment: Urgent office visit")</f>
        <v>Primary HDHP medical plan in-network copayment: Urgent office visit</v>
      </c>
      <c r="M406" s="6"/>
      <c r="N406" s="7"/>
      <c r="O406" s="6"/>
      <c r="P406" s="7"/>
      <c r="Q406" s="6"/>
      <c r="R406" s="7"/>
      <c r="S406" s="6"/>
      <c r="T406" s="7"/>
      <c r="U406" s="6"/>
      <c r="V406" s="7"/>
      <c r="W406" s="6"/>
      <c r="X406" s="7"/>
    </row>
    <row r="407" spans="1:24" ht="25.5" x14ac:dyDescent="0.2">
      <c r="A407" s="6"/>
      <c r="B407" s="7"/>
      <c r="C407" s="6"/>
      <c r="D407" s="7"/>
      <c r="E407" s="6"/>
      <c r="F407" s="7"/>
      <c r="G407" s="6"/>
      <c r="H407" s="7"/>
      <c r="I407" s="6"/>
      <c r="J407" s="7"/>
      <c r="K407" s="96" t="str">
        <f>HYPERLINK("#'Healthcare'!OQ1","Q6.3.25_7")</f>
        <v>Q6.3.25_7</v>
      </c>
      <c r="L407" s="93" t="str">
        <f>HYPERLINK("#'Healthcare'!OQ2","Primary HDHP medical plan in-network copayment: Telehealth")</f>
        <v>Primary HDHP medical plan in-network copayment: Telehealth</v>
      </c>
      <c r="M407" s="6"/>
      <c r="N407" s="7"/>
      <c r="O407" s="6"/>
      <c r="P407" s="7"/>
      <c r="Q407" s="6"/>
      <c r="R407" s="7"/>
      <c r="S407" s="6"/>
      <c r="T407" s="7"/>
      <c r="U407" s="6"/>
      <c r="V407" s="7"/>
      <c r="W407" s="6"/>
      <c r="X407" s="7"/>
    </row>
    <row r="408" spans="1:24" ht="25.5" x14ac:dyDescent="0.2">
      <c r="A408" s="6"/>
      <c r="B408" s="7"/>
      <c r="C408" s="6"/>
      <c r="D408" s="7"/>
      <c r="E408" s="6"/>
      <c r="F408" s="7"/>
      <c r="G408" s="6"/>
      <c r="H408" s="7"/>
      <c r="I408" s="6"/>
      <c r="J408" s="7"/>
      <c r="K408" s="96" t="str">
        <f>HYPERLINK("#'Healthcare'!OR1","Q6.3.25_6")</f>
        <v>Q6.3.25_6</v>
      </c>
      <c r="L408" s="93" t="str">
        <f>HYPERLINK("#'Healthcare'!OR2","Primary HDHP medical plan in-network copayment: Other")</f>
        <v>Primary HDHP medical plan in-network copayment: Other</v>
      </c>
      <c r="M408" s="6"/>
      <c r="N408" s="7"/>
      <c r="O408" s="6"/>
      <c r="P408" s="7"/>
      <c r="Q408" s="6"/>
      <c r="R408" s="7"/>
      <c r="S408" s="6"/>
      <c r="T408" s="7"/>
      <c r="U408" s="6"/>
      <c r="V408" s="7"/>
      <c r="W408" s="6"/>
      <c r="X408" s="7"/>
    </row>
    <row r="409" spans="1:24" ht="25.5" x14ac:dyDescent="0.2">
      <c r="A409" s="6"/>
      <c r="B409" s="7"/>
      <c r="C409" s="6"/>
      <c r="D409" s="7"/>
      <c r="E409" s="6"/>
      <c r="F409" s="7"/>
      <c r="G409" s="6"/>
      <c r="H409" s="7"/>
      <c r="I409" s="6"/>
      <c r="J409" s="7"/>
      <c r="K409" s="96" t="str">
        <f>HYPERLINK("#'Healthcare'!OS1","Q6.3.26_1")</f>
        <v>Q6.3.26_1</v>
      </c>
      <c r="L409" s="93" t="str">
        <f>HYPERLINK("#'Healthcare'!OS2","Primary HDHP medical plan in-network coinsurance: General/Primary care office visit")</f>
        <v>Primary HDHP medical plan in-network coinsurance: General/Primary care office visit</v>
      </c>
      <c r="M409" s="6"/>
      <c r="N409" s="7"/>
      <c r="O409" s="6"/>
      <c r="P409" s="7"/>
      <c r="Q409" s="6"/>
      <c r="R409" s="7"/>
      <c r="S409" s="6"/>
      <c r="T409" s="7"/>
      <c r="U409" s="6"/>
      <c r="V409" s="7"/>
      <c r="W409" s="6"/>
      <c r="X409" s="7"/>
    </row>
    <row r="410" spans="1:24" ht="25.5" x14ac:dyDescent="0.2">
      <c r="A410" s="6"/>
      <c r="B410" s="7"/>
      <c r="C410" s="6"/>
      <c r="D410" s="7"/>
      <c r="E410" s="6"/>
      <c r="F410" s="7"/>
      <c r="G410" s="6"/>
      <c r="H410" s="7"/>
      <c r="I410" s="6"/>
      <c r="J410" s="7"/>
      <c r="K410" s="96" t="str">
        <f>HYPERLINK("#'Healthcare'!OT1","Q6.3.26_2")</f>
        <v>Q6.3.26_2</v>
      </c>
      <c r="L410" s="93" t="str">
        <f>HYPERLINK("#'Healthcare'!OT2","Primary HDHP medical plan in-network coinsurance: Specialist office visit")</f>
        <v>Primary HDHP medical plan in-network coinsurance: Specialist office visit</v>
      </c>
      <c r="M410" s="6"/>
      <c r="N410" s="7"/>
      <c r="O410" s="6"/>
      <c r="P410" s="7"/>
      <c r="Q410" s="6"/>
      <c r="R410" s="7"/>
      <c r="S410" s="6"/>
      <c r="T410" s="7"/>
      <c r="U410" s="6"/>
      <c r="V410" s="7"/>
      <c r="W410" s="6"/>
      <c r="X410" s="7"/>
    </row>
    <row r="411" spans="1:24" ht="38.25" x14ac:dyDescent="0.2">
      <c r="A411" s="6"/>
      <c r="B411" s="7"/>
      <c r="C411" s="6"/>
      <c r="D411" s="7"/>
      <c r="E411" s="6"/>
      <c r="F411" s="7"/>
      <c r="G411" s="6"/>
      <c r="H411" s="7"/>
      <c r="I411" s="6"/>
      <c r="J411" s="7"/>
      <c r="K411" s="96" t="str">
        <f>HYPERLINK("#'Healthcare'!OU1","Q6.3.26_3")</f>
        <v>Q6.3.26_3</v>
      </c>
      <c r="L411" s="93" t="str">
        <f>HYPERLINK("#'Healthcare'!OU2","Primary HDHP medical plan in-network coinsurance: Autism/applied behavioral analysis (ABA)")</f>
        <v>Primary HDHP medical plan in-network coinsurance: Autism/applied behavioral analysis (ABA)</v>
      </c>
      <c r="M411" s="6"/>
      <c r="N411" s="7"/>
      <c r="O411" s="6"/>
      <c r="P411" s="7"/>
      <c r="Q411" s="6"/>
      <c r="R411" s="7"/>
      <c r="S411" s="6"/>
      <c r="T411" s="7"/>
      <c r="U411" s="6"/>
      <c r="V411" s="7"/>
      <c r="W411" s="6"/>
      <c r="X411" s="7"/>
    </row>
    <row r="412" spans="1:24" ht="25.5" x14ac:dyDescent="0.2">
      <c r="A412" s="6"/>
      <c r="B412" s="7"/>
      <c r="C412" s="6"/>
      <c r="D412" s="7"/>
      <c r="E412" s="6"/>
      <c r="F412" s="7"/>
      <c r="G412" s="6"/>
      <c r="H412" s="7"/>
      <c r="I412" s="6"/>
      <c r="J412" s="7"/>
      <c r="K412" s="96" t="str">
        <f>HYPERLINK("#'Healthcare'!OV1","Q6.3.26_4")</f>
        <v>Q6.3.26_4</v>
      </c>
      <c r="L412" s="93" t="str">
        <f>HYPERLINK("#'Healthcare'!OV2","Primary HDHP medical plan in-network coinsurance: Emergency room")</f>
        <v>Primary HDHP medical plan in-network coinsurance: Emergency room</v>
      </c>
      <c r="M412" s="6"/>
      <c r="N412" s="7"/>
      <c r="O412" s="6"/>
      <c r="P412" s="7"/>
      <c r="Q412" s="6"/>
      <c r="R412" s="7"/>
      <c r="S412" s="6"/>
      <c r="T412" s="7"/>
      <c r="U412" s="6"/>
      <c r="V412" s="7"/>
      <c r="W412" s="6"/>
      <c r="X412" s="7"/>
    </row>
    <row r="413" spans="1:24" ht="25.5" x14ac:dyDescent="0.2">
      <c r="A413" s="6"/>
      <c r="B413" s="7"/>
      <c r="C413" s="6"/>
      <c r="D413" s="7"/>
      <c r="E413" s="6"/>
      <c r="F413" s="7"/>
      <c r="G413" s="6"/>
      <c r="H413" s="7"/>
      <c r="I413" s="6"/>
      <c r="J413" s="7"/>
      <c r="K413" s="96" t="str">
        <f>HYPERLINK("#'Healthcare'!OW1","Q6.3.26_5")</f>
        <v>Q6.3.26_5</v>
      </c>
      <c r="L413" s="93" t="str">
        <f>HYPERLINK("#'Healthcare'!OW2","Primary HDHP medical plan in-network coinsurance: Urgent office visit")</f>
        <v>Primary HDHP medical plan in-network coinsurance: Urgent office visit</v>
      </c>
      <c r="M413" s="6"/>
      <c r="N413" s="7"/>
      <c r="O413" s="6"/>
      <c r="P413" s="7"/>
      <c r="Q413" s="6"/>
      <c r="R413" s="7"/>
      <c r="S413" s="6"/>
      <c r="T413" s="7"/>
      <c r="U413" s="6"/>
      <c r="V413" s="7"/>
      <c r="W413" s="6"/>
      <c r="X413" s="7"/>
    </row>
    <row r="414" spans="1:24" ht="25.5" x14ac:dyDescent="0.2">
      <c r="A414" s="6"/>
      <c r="B414" s="7"/>
      <c r="C414" s="6"/>
      <c r="D414" s="7"/>
      <c r="E414" s="6"/>
      <c r="F414" s="7"/>
      <c r="G414" s="6"/>
      <c r="H414" s="7"/>
      <c r="I414" s="6"/>
      <c r="J414" s="7"/>
      <c r="K414" s="96" t="str">
        <f>HYPERLINK("#'Healthcare'!OX1","Q6.3.26_7")</f>
        <v>Q6.3.26_7</v>
      </c>
      <c r="L414" s="93" t="str">
        <f>HYPERLINK("#'Healthcare'!OX2","Primary HDHP medical plan in-network coinsurance: Telehealth")</f>
        <v>Primary HDHP medical plan in-network coinsurance: Telehealth</v>
      </c>
      <c r="M414" s="6"/>
      <c r="N414" s="7"/>
      <c r="O414" s="6"/>
      <c r="P414" s="7"/>
      <c r="Q414" s="6"/>
      <c r="R414" s="7"/>
      <c r="S414" s="6"/>
      <c r="T414" s="7"/>
      <c r="U414" s="6"/>
      <c r="V414" s="7"/>
      <c r="W414" s="6"/>
      <c r="X414" s="7"/>
    </row>
    <row r="415" spans="1:24" ht="25.5" x14ac:dyDescent="0.2">
      <c r="A415" s="6"/>
      <c r="B415" s="7"/>
      <c r="C415" s="6"/>
      <c r="D415" s="7"/>
      <c r="E415" s="6"/>
      <c r="F415" s="7"/>
      <c r="G415" s="6"/>
      <c r="H415" s="7"/>
      <c r="I415" s="6"/>
      <c r="J415" s="7"/>
      <c r="K415" s="96" t="str">
        <f>HYPERLINK("#'Healthcare'!OY1","Q6.3.26_6")</f>
        <v>Q6.3.26_6</v>
      </c>
      <c r="L415" s="93" t="str">
        <f>HYPERLINK("#'Healthcare'!OY2","Primary HDHP medical plan in-network coinsurance: Other")</f>
        <v>Primary HDHP medical plan in-network coinsurance: Other</v>
      </c>
      <c r="M415" s="6"/>
      <c r="N415" s="7"/>
      <c r="O415" s="6"/>
      <c r="P415" s="7"/>
      <c r="Q415" s="6"/>
      <c r="R415" s="7"/>
      <c r="S415" s="6"/>
      <c r="T415" s="7"/>
      <c r="U415" s="6"/>
      <c r="V415" s="7"/>
      <c r="W415" s="6"/>
      <c r="X415" s="7"/>
    </row>
    <row r="416" spans="1:24" ht="25.5" x14ac:dyDescent="0.2">
      <c r="A416" s="6"/>
      <c r="B416" s="7"/>
      <c r="C416" s="6"/>
      <c r="D416" s="7"/>
      <c r="E416" s="6"/>
      <c r="F416" s="7"/>
      <c r="G416" s="6"/>
      <c r="H416" s="7"/>
      <c r="I416" s="6"/>
      <c r="J416" s="7"/>
      <c r="K416" s="96" t="str">
        <f>HYPERLINK("#'Healthcare'!OZ1","Q6.3.27_1")</f>
        <v>Q6.3.27_1</v>
      </c>
      <c r="L416" s="93" t="str">
        <f>HYPERLINK("#'Healthcare'!OZ2","Primary HDHP medical plan out-of-network copayment: General/Primary care office visit")</f>
        <v>Primary HDHP medical plan out-of-network copayment: General/Primary care office visit</v>
      </c>
      <c r="M416" s="6"/>
      <c r="N416" s="7"/>
      <c r="O416" s="6"/>
      <c r="P416" s="7"/>
      <c r="Q416" s="6"/>
      <c r="R416" s="7"/>
      <c r="S416" s="6"/>
      <c r="T416" s="7"/>
      <c r="U416" s="6"/>
      <c r="V416" s="7"/>
      <c r="W416" s="6"/>
      <c r="X416" s="7"/>
    </row>
    <row r="417" spans="1:24" ht="25.5" x14ac:dyDescent="0.2">
      <c r="A417" s="6"/>
      <c r="B417" s="7"/>
      <c r="C417" s="6"/>
      <c r="D417" s="7"/>
      <c r="E417" s="6"/>
      <c r="F417" s="7"/>
      <c r="G417" s="6"/>
      <c r="H417" s="7"/>
      <c r="I417" s="6"/>
      <c r="J417" s="7"/>
      <c r="K417" s="96" t="str">
        <f>HYPERLINK("#'Healthcare'!PA1","Q6.3.27_2")</f>
        <v>Q6.3.27_2</v>
      </c>
      <c r="L417" s="93" t="str">
        <f>HYPERLINK("#'Healthcare'!PA2","Primary HDHP medical plan out-of-network copayment: Specialist office visit")</f>
        <v>Primary HDHP medical plan out-of-network copayment: Specialist office visit</v>
      </c>
      <c r="M417" s="6"/>
      <c r="N417" s="7"/>
      <c r="O417" s="6"/>
      <c r="P417" s="7"/>
      <c r="Q417" s="6"/>
      <c r="R417" s="7"/>
      <c r="S417" s="6"/>
      <c r="T417" s="7"/>
      <c r="U417" s="6"/>
      <c r="V417" s="7"/>
      <c r="W417" s="6"/>
      <c r="X417" s="7"/>
    </row>
    <row r="418" spans="1:24" ht="38.25" x14ac:dyDescent="0.2">
      <c r="A418" s="6"/>
      <c r="B418" s="7"/>
      <c r="C418" s="6"/>
      <c r="D418" s="7"/>
      <c r="E418" s="6"/>
      <c r="F418" s="7"/>
      <c r="G418" s="6"/>
      <c r="H418" s="7"/>
      <c r="I418" s="6"/>
      <c r="J418" s="7"/>
      <c r="K418" s="96" t="str">
        <f>HYPERLINK("#'Healthcare'!PB1","Q6.3.27_3")</f>
        <v>Q6.3.27_3</v>
      </c>
      <c r="L418" s="93" t="str">
        <f>HYPERLINK("#'Healthcare'!PB2","Primary HDHP medical plan out-of-network copayment: Autism/applied behavioral analysis (ABA)")</f>
        <v>Primary HDHP medical plan out-of-network copayment: Autism/applied behavioral analysis (ABA)</v>
      </c>
      <c r="M418" s="6"/>
      <c r="N418" s="7"/>
      <c r="O418" s="6"/>
      <c r="P418" s="7"/>
      <c r="Q418" s="6"/>
      <c r="R418" s="7"/>
      <c r="S418" s="6"/>
      <c r="T418" s="7"/>
      <c r="U418" s="6"/>
      <c r="V418" s="7"/>
      <c r="W418" s="6"/>
      <c r="X418" s="7"/>
    </row>
    <row r="419" spans="1:24" ht="25.5" x14ac:dyDescent="0.2">
      <c r="A419" s="6"/>
      <c r="B419" s="7"/>
      <c r="C419" s="6"/>
      <c r="D419" s="7"/>
      <c r="E419" s="6"/>
      <c r="F419" s="7"/>
      <c r="G419" s="6"/>
      <c r="H419" s="7"/>
      <c r="I419" s="6"/>
      <c r="J419" s="7"/>
      <c r="K419" s="96" t="str">
        <f>HYPERLINK("#'Healthcare'!PC1","Q6.3.27_4")</f>
        <v>Q6.3.27_4</v>
      </c>
      <c r="L419" s="93" t="str">
        <f>HYPERLINK("#'Healthcare'!PC2","Primary HDHP medical plan out-of-network copayment: Emergency room")</f>
        <v>Primary HDHP medical plan out-of-network copayment: Emergency room</v>
      </c>
      <c r="M419" s="6"/>
      <c r="N419" s="7"/>
      <c r="O419" s="6"/>
      <c r="P419" s="7"/>
      <c r="Q419" s="6"/>
      <c r="R419" s="7"/>
      <c r="S419" s="6"/>
      <c r="T419" s="7"/>
      <c r="U419" s="6"/>
      <c r="V419" s="7"/>
      <c r="W419" s="6"/>
      <c r="X419" s="7"/>
    </row>
    <row r="420" spans="1:24" ht="25.5" x14ac:dyDescent="0.2">
      <c r="A420" s="6"/>
      <c r="B420" s="7"/>
      <c r="C420" s="6"/>
      <c r="D420" s="7"/>
      <c r="E420" s="6"/>
      <c r="F420" s="7"/>
      <c r="G420" s="6"/>
      <c r="H420" s="7"/>
      <c r="I420" s="6"/>
      <c r="J420" s="7"/>
      <c r="K420" s="96" t="str">
        <f>HYPERLINK("#'Healthcare'!PD1","Q6.3.27_5")</f>
        <v>Q6.3.27_5</v>
      </c>
      <c r="L420" s="93" t="str">
        <f>HYPERLINK("#'Healthcare'!PD2","Primary HDHP medical plan out-of-network copayment: Urgent office visit")</f>
        <v>Primary HDHP medical plan out-of-network copayment: Urgent office visit</v>
      </c>
      <c r="M420" s="6"/>
      <c r="N420" s="7"/>
      <c r="O420" s="6"/>
      <c r="P420" s="7"/>
      <c r="Q420" s="6"/>
      <c r="R420" s="7"/>
      <c r="S420" s="6"/>
      <c r="T420" s="7"/>
      <c r="U420" s="6"/>
      <c r="V420" s="7"/>
      <c r="W420" s="6"/>
      <c r="X420" s="7"/>
    </row>
    <row r="421" spans="1:24" ht="25.5" x14ac:dyDescent="0.2">
      <c r="A421" s="6"/>
      <c r="B421" s="7"/>
      <c r="C421" s="6"/>
      <c r="D421" s="7"/>
      <c r="E421" s="6"/>
      <c r="F421" s="7"/>
      <c r="G421" s="6"/>
      <c r="H421" s="7"/>
      <c r="I421" s="6"/>
      <c r="J421" s="7"/>
      <c r="K421" s="96" t="str">
        <f>HYPERLINK("#'Healthcare'!PE1","Q6.3.27_7")</f>
        <v>Q6.3.27_7</v>
      </c>
      <c r="L421" s="93" t="str">
        <f>HYPERLINK("#'Healthcare'!PE2","Primary HDHP medical plan out-of-network copayment: Telehealth")</f>
        <v>Primary HDHP medical plan out-of-network copayment: Telehealth</v>
      </c>
      <c r="M421" s="6"/>
      <c r="N421" s="7"/>
      <c r="O421" s="6"/>
      <c r="P421" s="7"/>
      <c r="Q421" s="6"/>
      <c r="R421" s="7"/>
      <c r="S421" s="6"/>
      <c r="T421" s="7"/>
      <c r="U421" s="6"/>
      <c r="V421" s="7"/>
      <c r="W421" s="6"/>
      <c r="X421" s="7"/>
    </row>
    <row r="422" spans="1:24" ht="25.5" x14ac:dyDescent="0.2">
      <c r="A422" s="6"/>
      <c r="B422" s="7"/>
      <c r="C422" s="6"/>
      <c r="D422" s="7"/>
      <c r="E422" s="6"/>
      <c r="F422" s="7"/>
      <c r="G422" s="6"/>
      <c r="H422" s="7"/>
      <c r="I422" s="6"/>
      <c r="J422" s="7"/>
      <c r="K422" s="96" t="str">
        <f>HYPERLINK("#'Healthcare'!PF1","Q6.3.27_6")</f>
        <v>Q6.3.27_6</v>
      </c>
      <c r="L422" s="93" t="str">
        <f>HYPERLINK("#'Healthcare'!PF2","Primary HDHP medical plan out-of-network copayment: Other")</f>
        <v>Primary HDHP medical plan out-of-network copayment: Other</v>
      </c>
      <c r="M422" s="6"/>
      <c r="N422" s="7"/>
      <c r="O422" s="6"/>
      <c r="P422" s="7"/>
      <c r="Q422" s="6"/>
      <c r="R422" s="7"/>
      <c r="S422" s="6"/>
      <c r="T422" s="7"/>
      <c r="U422" s="6"/>
      <c r="V422" s="7"/>
      <c r="W422" s="6"/>
      <c r="X422" s="7"/>
    </row>
    <row r="423" spans="1:24" ht="25.5" x14ac:dyDescent="0.2">
      <c r="A423" s="6"/>
      <c r="B423" s="7"/>
      <c r="C423" s="6"/>
      <c r="D423" s="7"/>
      <c r="E423" s="6"/>
      <c r="F423" s="7"/>
      <c r="G423" s="6"/>
      <c r="H423" s="7"/>
      <c r="I423" s="6"/>
      <c r="J423" s="7"/>
      <c r="K423" s="96" t="str">
        <f>HYPERLINK("#'Healthcare'!PG1","Q6.3.28_1")</f>
        <v>Q6.3.28_1</v>
      </c>
      <c r="L423" s="93" t="str">
        <f>HYPERLINK("#'Healthcare'!PG2","Primary HDHP medical plan out-of-network coinsurance: General/Primary care office visit")</f>
        <v>Primary HDHP medical plan out-of-network coinsurance: General/Primary care office visit</v>
      </c>
      <c r="M423" s="6"/>
      <c r="N423" s="7"/>
      <c r="O423" s="6"/>
      <c r="P423" s="7"/>
      <c r="Q423" s="6"/>
      <c r="R423" s="7"/>
      <c r="S423" s="6"/>
      <c r="T423" s="7"/>
      <c r="U423" s="6"/>
      <c r="V423" s="7"/>
      <c r="W423" s="6"/>
      <c r="X423" s="7"/>
    </row>
    <row r="424" spans="1:24" ht="25.5" x14ac:dyDescent="0.2">
      <c r="A424" s="6"/>
      <c r="B424" s="7"/>
      <c r="C424" s="6"/>
      <c r="D424" s="7"/>
      <c r="E424" s="6"/>
      <c r="F424" s="7"/>
      <c r="G424" s="6"/>
      <c r="H424" s="7"/>
      <c r="I424" s="6"/>
      <c r="J424" s="7"/>
      <c r="K424" s="96" t="str">
        <f>HYPERLINK("#'Healthcare'!PH1","Q6.3.28_2")</f>
        <v>Q6.3.28_2</v>
      </c>
      <c r="L424" s="93" t="str">
        <f>HYPERLINK("#'Healthcare'!PH2","Primary HDHP medical plan out-of-network coinsurance: Specialist office visit")</f>
        <v>Primary HDHP medical plan out-of-network coinsurance: Specialist office visit</v>
      </c>
      <c r="M424" s="6"/>
      <c r="N424" s="7"/>
      <c r="O424" s="6"/>
      <c r="P424" s="7"/>
      <c r="Q424" s="6"/>
      <c r="R424" s="7"/>
      <c r="S424" s="6"/>
      <c r="T424" s="7"/>
      <c r="U424" s="6"/>
      <c r="V424" s="7"/>
      <c r="W424" s="6"/>
      <c r="X424" s="7"/>
    </row>
    <row r="425" spans="1:24" ht="38.25" x14ac:dyDescent="0.2">
      <c r="A425" s="6"/>
      <c r="B425" s="7"/>
      <c r="C425" s="6"/>
      <c r="D425" s="7"/>
      <c r="E425" s="6"/>
      <c r="F425" s="7"/>
      <c r="G425" s="6"/>
      <c r="H425" s="7"/>
      <c r="I425" s="6"/>
      <c r="J425" s="7"/>
      <c r="K425" s="96" t="str">
        <f>HYPERLINK("#'Healthcare'!PI1","Q6.3.28_3")</f>
        <v>Q6.3.28_3</v>
      </c>
      <c r="L425" s="93" t="str">
        <f>HYPERLINK("#'Healthcare'!PI2","Primary HDHP medical plan out-of-network coinsurance: Autism/applied behavioral analysis (ABA)")</f>
        <v>Primary HDHP medical plan out-of-network coinsurance: Autism/applied behavioral analysis (ABA)</v>
      </c>
      <c r="M425" s="6"/>
      <c r="N425" s="7"/>
      <c r="O425" s="6"/>
      <c r="P425" s="7"/>
      <c r="Q425" s="6"/>
      <c r="R425" s="7"/>
      <c r="S425" s="6"/>
      <c r="T425" s="7"/>
      <c r="U425" s="6"/>
      <c r="V425" s="7"/>
      <c r="W425" s="6"/>
      <c r="X425" s="7"/>
    </row>
    <row r="426" spans="1:24" ht="25.5" x14ac:dyDescent="0.2">
      <c r="A426" s="6"/>
      <c r="B426" s="7"/>
      <c r="C426" s="6"/>
      <c r="D426" s="7"/>
      <c r="E426" s="6"/>
      <c r="F426" s="7"/>
      <c r="G426" s="6"/>
      <c r="H426" s="7"/>
      <c r="I426" s="6"/>
      <c r="J426" s="7"/>
      <c r="K426" s="96" t="str">
        <f>HYPERLINK("#'Healthcare'!PJ1","Q6.3.28_4")</f>
        <v>Q6.3.28_4</v>
      </c>
      <c r="L426" s="93" t="str">
        <f>HYPERLINK("#'Healthcare'!PJ2","Primary HDHP medical plan out-of-network coinsurance: Emergency room")</f>
        <v>Primary HDHP medical plan out-of-network coinsurance: Emergency room</v>
      </c>
      <c r="M426" s="6"/>
      <c r="N426" s="7"/>
      <c r="O426" s="6"/>
      <c r="P426" s="7"/>
      <c r="Q426" s="6"/>
      <c r="R426" s="7"/>
      <c r="S426" s="6"/>
      <c r="T426" s="7"/>
      <c r="U426" s="6"/>
      <c r="V426" s="7"/>
      <c r="W426" s="6"/>
      <c r="X426" s="7"/>
    </row>
    <row r="427" spans="1:24" ht="25.5" x14ac:dyDescent="0.2">
      <c r="A427" s="6"/>
      <c r="B427" s="7"/>
      <c r="C427" s="6"/>
      <c r="D427" s="7"/>
      <c r="E427" s="6"/>
      <c r="F427" s="7"/>
      <c r="G427" s="6"/>
      <c r="H427" s="7"/>
      <c r="I427" s="6"/>
      <c r="J427" s="7"/>
      <c r="K427" s="96" t="str">
        <f>HYPERLINK("#'Healthcare'!PK1","Q6.3.28_5")</f>
        <v>Q6.3.28_5</v>
      </c>
      <c r="L427" s="93" t="str">
        <f>HYPERLINK("#'Healthcare'!PK2","Primary HDHP medical plan out-of-network coinsurance: Urgent office visit")</f>
        <v>Primary HDHP medical plan out-of-network coinsurance: Urgent office visit</v>
      </c>
      <c r="M427" s="6"/>
      <c r="N427" s="7"/>
      <c r="O427" s="6"/>
      <c r="P427" s="7"/>
      <c r="Q427" s="6"/>
      <c r="R427" s="7"/>
      <c r="S427" s="6"/>
      <c r="T427" s="7"/>
      <c r="U427" s="6"/>
      <c r="V427" s="7"/>
      <c r="W427" s="6"/>
      <c r="X427" s="7"/>
    </row>
    <row r="428" spans="1:24" ht="25.5" x14ac:dyDescent="0.2">
      <c r="A428" s="6"/>
      <c r="B428" s="7"/>
      <c r="C428" s="6"/>
      <c r="D428" s="7"/>
      <c r="E428" s="6"/>
      <c r="F428" s="7"/>
      <c r="G428" s="6"/>
      <c r="H428" s="7"/>
      <c r="I428" s="6"/>
      <c r="J428" s="7"/>
      <c r="K428" s="96" t="str">
        <f>HYPERLINK("#'Healthcare'!PL1","Q6.3.28_7")</f>
        <v>Q6.3.28_7</v>
      </c>
      <c r="L428" s="93" t="str">
        <f>HYPERLINK("#'Healthcare'!PL2","Primary HDHP medical plan out-of-network coinsurance: Telehealth")</f>
        <v>Primary HDHP medical plan out-of-network coinsurance: Telehealth</v>
      </c>
      <c r="M428" s="6"/>
      <c r="N428" s="7"/>
      <c r="O428" s="6"/>
      <c r="P428" s="7"/>
      <c r="Q428" s="6"/>
      <c r="R428" s="7"/>
      <c r="S428" s="6"/>
      <c r="T428" s="7"/>
      <c r="U428" s="6"/>
      <c r="V428" s="7"/>
      <c r="W428" s="6"/>
      <c r="X428" s="7"/>
    </row>
    <row r="429" spans="1:24" ht="25.5" x14ac:dyDescent="0.2">
      <c r="A429" s="6"/>
      <c r="B429" s="7"/>
      <c r="C429" s="6"/>
      <c r="D429" s="7"/>
      <c r="E429" s="6"/>
      <c r="F429" s="7"/>
      <c r="G429" s="6"/>
      <c r="H429" s="7"/>
      <c r="I429" s="6"/>
      <c r="J429" s="7"/>
      <c r="K429" s="96" t="str">
        <f>HYPERLINK("#'Healthcare'!PM1","Q6.3.28_6")</f>
        <v>Q6.3.28_6</v>
      </c>
      <c r="L429" s="93" t="str">
        <f>HYPERLINK("#'Healthcare'!PM2","Primary HDHP medical plan out-of-network coinsurance: Other")</f>
        <v>Primary HDHP medical plan out-of-network coinsurance: Other</v>
      </c>
      <c r="M429" s="6"/>
      <c r="N429" s="7"/>
      <c r="O429" s="6"/>
      <c r="P429" s="7"/>
      <c r="Q429" s="6"/>
      <c r="R429" s="7"/>
      <c r="S429" s="6"/>
      <c r="T429" s="7"/>
      <c r="U429" s="6"/>
      <c r="V429" s="7"/>
      <c r="W429" s="6"/>
      <c r="X429" s="7"/>
    </row>
    <row r="430" spans="1:24" ht="38.25" x14ac:dyDescent="0.2">
      <c r="A430" s="6"/>
      <c r="B430" s="7"/>
      <c r="C430" s="6"/>
      <c r="D430" s="7"/>
      <c r="E430" s="6"/>
      <c r="F430" s="7"/>
      <c r="G430" s="6"/>
      <c r="H430" s="7"/>
      <c r="I430" s="6"/>
      <c r="J430" s="7"/>
      <c r="K430" s="96" t="str">
        <f>HYPERLINK("#'Healthcare'!PN1","Q6.3.29_1")</f>
        <v>Q6.3.29_1</v>
      </c>
      <c r="L430" s="93" t="str">
        <f>HYPERLINK("#'Healthcare'!PN2","Primary HDHP medical plan out-of-pocket cost share waived or reduced: General/Primary care office visit")</f>
        <v>Primary HDHP medical plan out-of-pocket cost share waived or reduced: General/Primary care office visit</v>
      </c>
      <c r="M430" s="6"/>
      <c r="N430" s="7"/>
      <c r="O430" s="6"/>
      <c r="P430" s="7"/>
      <c r="Q430" s="6"/>
      <c r="R430" s="7"/>
      <c r="S430" s="6"/>
      <c r="T430" s="7"/>
      <c r="U430" s="6"/>
      <c r="V430" s="7"/>
      <c r="W430" s="6"/>
      <c r="X430" s="7"/>
    </row>
    <row r="431" spans="1:24" ht="25.5" x14ac:dyDescent="0.2">
      <c r="A431" s="6"/>
      <c r="B431" s="7"/>
      <c r="C431" s="6"/>
      <c r="D431" s="7"/>
      <c r="E431" s="6"/>
      <c r="F431" s="7"/>
      <c r="G431" s="6"/>
      <c r="H431" s="7"/>
      <c r="I431" s="6"/>
      <c r="J431" s="7"/>
      <c r="K431" s="96" t="str">
        <f>HYPERLINK("#'Healthcare'!PO1","Q6.3.29_2")</f>
        <v>Q6.3.29_2</v>
      </c>
      <c r="L431" s="93" t="str">
        <f>HYPERLINK("#'Healthcare'!PO2","Primary HDHP medical plan out-of-pocket cost share waived or reduced: Specialist office visit")</f>
        <v>Primary HDHP medical plan out-of-pocket cost share waived or reduced: Specialist office visit</v>
      </c>
      <c r="M431" s="6"/>
      <c r="N431" s="7"/>
      <c r="O431" s="6"/>
      <c r="P431" s="7"/>
      <c r="Q431" s="6"/>
      <c r="R431" s="7"/>
      <c r="S431" s="6"/>
      <c r="T431" s="7"/>
      <c r="U431" s="6"/>
      <c r="V431" s="7"/>
      <c r="W431" s="6"/>
      <c r="X431" s="7"/>
    </row>
    <row r="432" spans="1:24" ht="38.25" x14ac:dyDescent="0.2">
      <c r="A432" s="6"/>
      <c r="B432" s="7"/>
      <c r="C432" s="6"/>
      <c r="D432" s="7"/>
      <c r="E432" s="6"/>
      <c r="F432" s="7"/>
      <c r="G432" s="6"/>
      <c r="H432" s="7"/>
      <c r="I432" s="6"/>
      <c r="J432" s="7"/>
      <c r="K432" s="96" t="str">
        <f>HYPERLINK("#'Healthcare'!PP1","Q6.3.29_3")</f>
        <v>Q6.3.29_3</v>
      </c>
      <c r="L432" s="93" t="str">
        <f>HYPERLINK("#'Healthcare'!PP2","Primary HDHP medical plan out-of-pocket cost share waived or reduced: Autism/applied behavioral analysis (ABA)")</f>
        <v>Primary HDHP medical plan out-of-pocket cost share waived or reduced: Autism/applied behavioral analysis (ABA)</v>
      </c>
      <c r="M432" s="6"/>
      <c r="N432" s="7"/>
      <c r="O432" s="6"/>
      <c r="P432" s="7"/>
      <c r="Q432" s="6"/>
      <c r="R432" s="7"/>
      <c r="S432" s="6"/>
      <c r="T432" s="7"/>
      <c r="U432" s="6"/>
      <c r="V432" s="7"/>
      <c r="W432" s="6"/>
      <c r="X432" s="7"/>
    </row>
    <row r="433" spans="1:24" ht="25.5" x14ac:dyDescent="0.2">
      <c r="A433" s="6"/>
      <c r="B433" s="7"/>
      <c r="C433" s="6"/>
      <c r="D433" s="7"/>
      <c r="E433" s="6"/>
      <c r="F433" s="7"/>
      <c r="G433" s="6"/>
      <c r="H433" s="7"/>
      <c r="I433" s="6"/>
      <c r="J433" s="7"/>
      <c r="K433" s="96" t="str">
        <f>HYPERLINK("#'Healthcare'!PQ1","Q6.3.29_4")</f>
        <v>Q6.3.29_4</v>
      </c>
      <c r="L433" s="93" t="str">
        <f>HYPERLINK("#'Healthcare'!PQ2","Primary HDHP medical plan out-of-pocket cost share waived or reduced: Emergency room")</f>
        <v>Primary HDHP medical plan out-of-pocket cost share waived or reduced: Emergency room</v>
      </c>
      <c r="M433" s="6"/>
      <c r="N433" s="7"/>
      <c r="O433" s="6"/>
      <c r="P433" s="7"/>
      <c r="Q433" s="6"/>
      <c r="R433" s="7"/>
      <c r="S433" s="6"/>
      <c r="T433" s="7"/>
      <c r="U433" s="6"/>
      <c r="V433" s="7"/>
      <c r="W433" s="6"/>
      <c r="X433" s="7"/>
    </row>
    <row r="434" spans="1:24" ht="25.5" x14ac:dyDescent="0.2">
      <c r="A434" s="6"/>
      <c r="B434" s="7"/>
      <c r="C434" s="6"/>
      <c r="D434" s="7"/>
      <c r="E434" s="6"/>
      <c r="F434" s="7"/>
      <c r="G434" s="6"/>
      <c r="H434" s="7"/>
      <c r="I434" s="6"/>
      <c r="J434" s="7"/>
      <c r="K434" s="96" t="str">
        <f>HYPERLINK("#'Healthcare'!PR1","Q6.3.29_5")</f>
        <v>Q6.3.29_5</v>
      </c>
      <c r="L434" s="93" t="str">
        <f>HYPERLINK("#'Healthcare'!PR2","Primary HDHP medical plan out-of-pocket cost share waived or reduced: Urgent office visit")</f>
        <v>Primary HDHP medical plan out-of-pocket cost share waived or reduced: Urgent office visit</v>
      </c>
      <c r="M434" s="6"/>
      <c r="N434" s="7"/>
      <c r="O434" s="6"/>
      <c r="P434" s="7"/>
      <c r="Q434" s="6"/>
      <c r="R434" s="7"/>
      <c r="S434" s="6"/>
      <c r="T434" s="7"/>
      <c r="U434" s="6"/>
      <c r="V434" s="7"/>
      <c r="W434" s="6"/>
      <c r="X434" s="7"/>
    </row>
    <row r="435" spans="1:24" ht="25.5" x14ac:dyDescent="0.2">
      <c r="A435" s="6"/>
      <c r="B435" s="7"/>
      <c r="C435" s="6"/>
      <c r="D435" s="7"/>
      <c r="E435" s="6"/>
      <c r="F435" s="7"/>
      <c r="G435" s="6"/>
      <c r="H435" s="7"/>
      <c r="I435" s="6"/>
      <c r="J435" s="7"/>
      <c r="K435" s="96" t="str">
        <f>HYPERLINK("#'Healthcare'!PS1","Q6.3.29_6")</f>
        <v>Q6.3.29_6</v>
      </c>
      <c r="L435" s="93" t="str">
        <f>HYPERLINK("#'Healthcare'!PS2","Primary HDHP medical plan out-of-pocket cost share waived or reduced: Telehealth")</f>
        <v>Primary HDHP medical plan out-of-pocket cost share waived or reduced: Telehealth</v>
      </c>
      <c r="M435" s="6"/>
      <c r="N435" s="7"/>
      <c r="O435" s="6"/>
      <c r="P435" s="7"/>
      <c r="Q435" s="6"/>
      <c r="R435" s="7"/>
      <c r="S435" s="6"/>
      <c r="T435" s="7"/>
      <c r="U435" s="6"/>
      <c r="V435" s="7"/>
      <c r="W435" s="6"/>
      <c r="X435" s="7"/>
    </row>
    <row r="436" spans="1:24" ht="25.5" x14ac:dyDescent="0.2">
      <c r="A436" s="6"/>
      <c r="B436" s="7"/>
      <c r="C436" s="6"/>
      <c r="D436" s="7"/>
      <c r="E436" s="6"/>
      <c r="F436" s="7"/>
      <c r="G436" s="6"/>
      <c r="H436" s="7"/>
      <c r="I436" s="6"/>
      <c r="J436" s="7"/>
      <c r="K436" s="96" t="str">
        <f>HYPERLINK("#'Healthcare'!PT1","Q6.3.29_7")</f>
        <v>Q6.3.29_7</v>
      </c>
      <c r="L436" s="93" t="str">
        <f>HYPERLINK("#'Healthcare'!PT2","Primary HDHP medical plan out-of-pocket cost share waived or reduced: Other")</f>
        <v>Primary HDHP medical plan out-of-pocket cost share waived or reduced: Other</v>
      </c>
      <c r="M436" s="6"/>
      <c r="N436" s="7"/>
      <c r="O436" s="6"/>
      <c r="P436" s="7"/>
      <c r="Q436" s="6"/>
      <c r="R436" s="7"/>
      <c r="S436" s="6"/>
      <c r="T436" s="7"/>
      <c r="U436" s="6"/>
      <c r="V436" s="7"/>
      <c r="W436" s="6"/>
      <c r="X436" s="7"/>
    </row>
    <row r="437" spans="1:24" ht="51" x14ac:dyDescent="0.2">
      <c r="A437" s="6"/>
      <c r="B437" s="7"/>
      <c r="C437" s="6"/>
      <c r="D437" s="7"/>
      <c r="E437" s="6"/>
      <c r="F437" s="7"/>
      <c r="G437" s="6"/>
      <c r="H437" s="7"/>
      <c r="I437" s="6"/>
      <c r="J437" s="7"/>
      <c r="K437" s="96" t="str">
        <f>HYPERLINK("#'Healthcare'!PU1","Q6.3.30_1")</f>
        <v>Q6.3.30_1</v>
      </c>
      <c r="L437" s="93" t="str">
        <f>HYPERLINK("#'Healthcare'!PU2","Primary HDHP medical plan non-authorization/notification/not qualified services penalties applied: General/Primary care office visit")</f>
        <v>Primary HDHP medical plan non-authorization/notification/not qualified services penalties applied: General/Primary care office visit</v>
      </c>
      <c r="M437" s="6"/>
      <c r="N437" s="7"/>
      <c r="O437" s="6"/>
      <c r="P437" s="7"/>
      <c r="Q437" s="6"/>
      <c r="R437" s="7"/>
      <c r="S437" s="6"/>
      <c r="T437" s="7"/>
      <c r="U437" s="6"/>
      <c r="V437" s="7"/>
      <c r="W437" s="6"/>
      <c r="X437" s="7"/>
    </row>
    <row r="438" spans="1:24" ht="38.25" x14ac:dyDescent="0.2">
      <c r="A438" s="6"/>
      <c r="B438" s="7"/>
      <c r="C438" s="6"/>
      <c r="D438" s="7"/>
      <c r="E438" s="6"/>
      <c r="F438" s="7"/>
      <c r="G438" s="6"/>
      <c r="H438" s="7"/>
      <c r="I438" s="6"/>
      <c r="J438" s="7"/>
      <c r="K438" s="96" t="str">
        <f>HYPERLINK("#'Healthcare'!PV1","Q6.3.30_2")</f>
        <v>Q6.3.30_2</v>
      </c>
      <c r="L438" s="93" t="str">
        <f>HYPERLINK("#'Healthcare'!PV2","Primary HDHP medical plan non-authorization/notification/not qualified services penalties applied: Specialist office visit")</f>
        <v>Primary HDHP medical plan non-authorization/notification/not qualified services penalties applied: Specialist office visit</v>
      </c>
      <c r="M438" s="6"/>
      <c r="N438" s="7"/>
      <c r="O438" s="6"/>
      <c r="P438" s="7"/>
      <c r="Q438" s="6"/>
      <c r="R438" s="7"/>
      <c r="S438" s="6"/>
      <c r="T438" s="7"/>
      <c r="U438" s="6"/>
      <c r="V438" s="7"/>
      <c r="W438" s="6"/>
      <c r="X438" s="7"/>
    </row>
    <row r="439" spans="1:24" ht="51" x14ac:dyDescent="0.2">
      <c r="A439" s="6"/>
      <c r="B439" s="7"/>
      <c r="C439" s="6"/>
      <c r="D439" s="7"/>
      <c r="E439" s="6"/>
      <c r="F439" s="7"/>
      <c r="G439" s="6"/>
      <c r="H439" s="7"/>
      <c r="I439" s="6"/>
      <c r="J439" s="7"/>
      <c r="K439" s="96" t="str">
        <f>HYPERLINK("#'Healthcare'!PW1","Q6.3.30_3")</f>
        <v>Q6.3.30_3</v>
      </c>
      <c r="L439" s="93" t="str">
        <f>HYPERLINK("#'Healthcare'!PW2","Primary HDHP medical plan non-authorization/notification/not qualified services penalties applied: Autism/applied behavioral analysis (ABA)")</f>
        <v>Primary HDHP medical plan non-authorization/notification/not qualified services penalties applied: Autism/applied behavioral analysis (ABA)</v>
      </c>
      <c r="M439" s="6"/>
      <c r="N439" s="7"/>
      <c r="O439" s="6"/>
      <c r="P439" s="7"/>
      <c r="Q439" s="6"/>
      <c r="R439" s="7"/>
      <c r="S439" s="6"/>
      <c r="T439" s="7"/>
      <c r="U439" s="6"/>
      <c r="V439" s="7"/>
      <c r="W439" s="6"/>
      <c r="X439" s="7"/>
    </row>
    <row r="440" spans="1:24" ht="38.25" x14ac:dyDescent="0.2">
      <c r="A440" s="6"/>
      <c r="B440" s="7"/>
      <c r="C440" s="6"/>
      <c r="D440" s="7"/>
      <c r="E440" s="6"/>
      <c r="F440" s="7"/>
      <c r="G440" s="6"/>
      <c r="H440" s="7"/>
      <c r="I440" s="6"/>
      <c r="J440" s="7"/>
      <c r="K440" s="96" t="str">
        <f>HYPERLINK("#'Healthcare'!PX1","Q6.3.30_4")</f>
        <v>Q6.3.30_4</v>
      </c>
      <c r="L440" s="93" t="str">
        <f>HYPERLINK("#'Healthcare'!PX2","Primary HDHP medical plan non-authorization/notification/not qualified services penalties applied: Emergency room")</f>
        <v>Primary HDHP medical plan non-authorization/notification/not qualified services penalties applied: Emergency room</v>
      </c>
      <c r="M440" s="6"/>
      <c r="N440" s="7"/>
      <c r="O440" s="6"/>
      <c r="P440" s="7"/>
      <c r="Q440" s="6"/>
      <c r="R440" s="7"/>
      <c r="S440" s="6"/>
      <c r="T440" s="7"/>
      <c r="U440" s="6"/>
      <c r="V440" s="7"/>
      <c r="W440" s="6"/>
      <c r="X440" s="7"/>
    </row>
    <row r="441" spans="1:24" ht="38.25" x14ac:dyDescent="0.2">
      <c r="A441" s="6"/>
      <c r="B441" s="7"/>
      <c r="C441" s="6"/>
      <c r="D441" s="7"/>
      <c r="E441" s="6"/>
      <c r="F441" s="7"/>
      <c r="G441" s="6"/>
      <c r="H441" s="7"/>
      <c r="I441" s="6"/>
      <c r="J441" s="7"/>
      <c r="K441" s="96" t="str">
        <f>HYPERLINK("#'Healthcare'!PY1","Q6.3.30_5")</f>
        <v>Q6.3.30_5</v>
      </c>
      <c r="L441" s="93" t="str">
        <f>HYPERLINK("#'Healthcare'!PY2","Primary HDHP medical plan non-authorization/notification/not qualified services penalties applied: Urgent office visit")</f>
        <v>Primary HDHP medical plan non-authorization/notification/not qualified services penalties applied: Urgent office visit</v>
      </c>
      <c r="M441" s="6"/>
      <c r="N441" s="7"/>
      <c r="O441" s="6"/>
      <c r="P441" s="7"/>
      <c r="Q441" s="6"/>
      <c r="R441" s="7"/>
      <c r="S441" s="6"/>
      <c r="T441" s="7"/>
      <c r="U441" s="6"/>
      <c r="V441" s="7"/>
      <c r="W441" s="6"/>
      <c r="X441" s="7"/>
    </row>
    <row r="442" spans="1:24" ht="38.25" x14ac:dyDescent="0.2">
      <c r="A442" s="6"/>
      <c r="B442" s="7"/>
      <c r="C442" s="6"/>
      <c r="D442" s="7"/>
      <c r="E442" s="6"/>
      <c r="F442" s="7"/>
      <c r="G442" s="6"/>
      <c r="H442" s="7"/>
      <c r="I442" s="6"/>
      <c r="J442" s="7"/>
      <c r="K442" s="96" t="str">
        <f>HYPERLINK("#'Healthcare'!PZ1","Q6.3.30_6")</f>
        <v>Q6.3.30_6</v>
      </c>
      <c r="L442" s="93" t="str">
        <f>HYPERLINK("#'Healthcare'!PZ2","Primary HDHP medical plan non-authorization/notification/not qualified services penalties applied: Telehealth")</f>
        <v>Primary HDHP medical plan non-authorization/notification/not qualified services penalties applied: Telehealth</v>
      </c>
      <c r="M442" s="6"/>
      <c r="N442" s="7"/>
      <c r="O442" s="6"/>
      <c r="P442" s="7"/>
      <c r="Q442" s="6"/>
      <c r="R442" s="7"/>
      <c r="S442" s="6"/>
      <c r="T442" s="7"/>
      <c r="U442" s="6"/>
      <c r="V442" s="7"/>
      <c r="W442" s="6"/>
      <c r="X442" s="7"/>
    </row>
    <row r="443" spans="1:24" ht="38.25" x14ac:dyDescent="0.2">
      <c r="A443" s="6"/>
      <c r="B443" s="7"/>
      <c r="C443" s="6"/>
      <c r="D443" s="7"/>
      <c r="E443" s="6"/>
      <c r="F443" s="7"/>
      <c r="G443" s="6"/>
      <c r="H443" s="7"/>
      <c r="I443" s="6"/>
      <c r="J443" s="7"/>
      <c r="K443" s="96" t="str">
        <f>HYPERLINK("#'Healthcare'!QA1","Q6.3.30_7")</f>
        <v>Q6.3.30_7</v>
      </c>
      <c r="L443" s="93" t="str">
        <f>HYPERLINK("#'Healthcare'!QA2","Primary HDHP medical plan non-authorization/notification/not qualified services penalties applied: Other")</f>
        <v>Primary HDHP medical plan non-authorization/notification/not qualified services penalties applied: Other</v>
      </c>
      <c r="M443" s="6"/>
      <c r="N443" s="7"/>
      <c r="O443" s="6"/>
      <c r="P443" s="7"/>
      <c r="Q443" s="6"/>
      <c r="R443" s="7"/>
      <c r="S443" s="6"/>
      <c r="T443" s="7"/>
      <c r="U443" s="6"/>
      <c r="V443" s="7"/>
      <c r="W443" s="6"/>
      <c r="X443" s="7"/>
    </row>
    <row r="444" spans="1:24" ht="25.5" x14ac:dyDescent="0.2">
      <c r="A444" s="6"/>
      <c r="B444" s="7"/>
      <c r="C444" s="6"/>
      <c r="D444" s="7"/>
      <c r="E444" s="6"/>
      <c r="F444" s="7"/>
      <c r="G444" s="6"/>
      <c r="H444" s="7"/>
      <c r="I444" s="6"/>
      <c r="J444" s="7"/>
      <c r="K444" s="96" t="str">
        <f>HYPERLINK("#'Healthcare'!QB1","Q6.3.32_1")</f>
        <v>Q6.3.32_1</v>
      </c>
      <c r="L444" s="93" t="str">
        <f>HYPERLINK("#'Healthcare'!QB2","Primary HDHP medical plan covered drug type: Preventive ")</f>
        <v xml:space="preserve">Primary HDHP medical plan covered drug type: Preventive </v>
      </c>
      <c r="M444" s="6"/>
      <c r="N444" s="7"/>
      <c r="O444" s="6"/>
      <c r="P444" s="7"/>
      <c r="Q444" s="6"/>
      <c r="R444" s="7"/>
      <c r="S444" s="6"/>
      <c r="T444" s="7"/>
      <c r="U444" s="6"/>
      <c r="V444" s="7"/>
      <c r="W444" s="6"/>
      <c r="X444" s="7"/>
    </row>
    <row r="445" spans="1:24" ht="25.5" x14ac:dyDescent="0.2">
      <c r="A445" s="6"/>
      <c r="B445" s="7"/>
      <c r="C445" s="6"/>
      <c r="D445" s="7"/>
      <c r="E445" s="6"/>
      <c r="F445" s="7"/>
      <c r="G445" s="6"/>
      <c r="H445" s="7"/>
      <c r="I445" s="6"/>
      <c r="J445" s="7"/>
      <c r="K445" s="96" t="str">
        <f>HYPERLINK("#'Healthcare'!QC1","Q6.3.32_2")</f>
        <v>Q6.3.32_2</v>
      </c>
      <c r="L445" s="93" t="str">
        <f>HYPERLINK("#'Healthcare'!QC2","Primary HDHP medical plan covered drug type: Maintenance ")</f>
        <v xml:space="preserve">Primary HDHP medical plan covered drug type: Maintenance </v>
      </c>
      <c r="M445" s="6"/>
      <c r="N445" s="7"/>
      <c r="O445" s="6"/>
      <c r="P445" s="7"/>
      <c r="Q445" s="6"/>
      <c r="R445" s="7"/>
      <c r="S445" s="6"/>
      <c r="T445" s="7"/>
      <c r="U445" s="6"/>
      <c r="V445" s="7"/>
      <c r="W445" s="6"/>
      <c r="X445" s="7"/>
    </row>
    <row r="446" spans="1:24" ht="25.5" x14ac:dyDescent="0.2">
      <c r="A446" s="6"/>
      <c r="B446" s="7"/>
      <c r="C446" s="6"/>
      <c r="D446" s="7"/>
      <c r="E446" s="6"/>
      <c r="F446" s="7"/>
      <c r="G446" s="6"/>
      <c r="H446" s="7"/>
      <c r="I446" s="6"/>
      <c r="J446" s="7"/>
      <c r="K446" s="96" t="str">
        <f>HYPERLINK("#'Healthcare'!QD1","Q6.3.32_3")</f>
        <v>Q6.3.32_3</v>
      </c>
      <c r="L446" s="93" t="str">
        <f>HYPERLINK("#'Healthcare'!QD2","Primary HDHP medical plan covered drug type: Generic")</f>
        <v>Primary HDHP medical plan covered drug type: Generic</v>
      </c>
      <c r="M446" s="6"/>
      <c r="N446" s="7"/>
      <c r="O446" s="6"/>
      <c r="P446" s="7"/>
      <c r="Q446" s="6"/>
      <c r="R446" s="7"/>
      <c r="S446" s="6"/>
      <c r="T446" s="7"/>
      <c r="U446" s="6"/>
      <c r="V446" s="7"/>
      <c r="W446" s="6"/>
      <c r="X446" s="7"/>
    </row>
    <row r="447" spans="1:24" ht="25.5" x14ac:dyDescent="0.2">
      <c r="A447" s="6"/>
      <c r="B447" s="7"/>
      <c r="C447" s="6"/>
      <c r="D447" s="7"/>
      <c r="E447" s="6"/>
      <c r="F447" s="7"/>
      <c r="G447" s="6"/>
      <c r="H447" s="7"/>
      <c r="I447" s="6"/>
      <c r="J447" s="7"/>
      <c r="K447" s="96" t="str">
        <f>HYPERLINK("#'Healthcare'!QE1","Q6.3.32_4")</f>
        <v>Q6.3.32_4</v>
      </c>
      <c r="L447" s="93" t="str">
        <f>HYPERLINK("#'Healthcare'!QE2","Primary HDHP medical plan covered drug type: Specialty (includes injectables)")</f>
        <v>Primary HDHP medical plan covered drug type: Specialty (includes injectables)</v>
      </c>
      <c r="M447" s="6"/>
      <c r="N447" s="7"/>
      <c r="O447" s="6"/>
      <c r="P447" s="7"/>
      <c r="Q447" s="6"/>
      <c r="R447" s="7"/>
      <c r="S447" s="6"/>
      <c r="T447" s="7"/>
      <c r="U447" s="6"/>
      <c r="V447" s="7"/>
      <c r="W447" s="6"/>
      <c r="X447" s="7"/>
    </row>
    <row r="448" spans="1:24" ht="25.5" x14ac:dyDescent="0.2">
      <c r="A448" s="6"/>
      <c r="B448" s="7"/>
      <c r="C448" s="6"/>
      <c r="D448" s="7"/>
      <c r="E448" s="6"/>
      <c r="F448" s="7"/>
      <c r="G448" s="6"/>
      <c r="H448" s="7"/>
      <c r="I448" s="6"/>
      <c r="J448" s="7"/>
      <c r="K448" s="96" t="str">
        <f>HYPERLINK("#'Healthcare'!QF1","Q6.3.32_5")</f>
        <v>Q6.3.32_5</v>
      </c>
      <c r="L448" s="93" t="str">
        <f>HYPERLINK("#'Healthcare'!QF2","Primary HDHP medical plan covered drug type: Lifestyle ")</f>
        <v xml:space="preserve">Primary HDHP medical plan covered drug type: Lifestyle </v>
      </c>
      <c r="M448" s="6"/>
      <c r="N448" s="7"/>
      <c r="O448" s="6"/>
      <c r="P448" s="7"/>
      <c r="Q448" s="6"/>
      <c r="R448" s="7"/>
      <c r="S448" s="6"/>
      <c r="T448" s="7"/>
      <c r="U448" s="6"/>
      <c r="V448" s="7"/>
      <c r="W448" s="6"/>
      <c r="X448" s="7"/>
    </row>
    <row r="449" spans="1:24" ht="25.5" x14ac:dyDescent="0.2">
      <c r="A449" s="6"/>
      <c r="B449" s="7"/>
      <c r="C449" s="6"/>
      <c r="D449" s="7"/>
      <c r="E449" s="6"/>
      <c r="F449" s="7"/>
      <c r="G449" s="6"/>
      <c r="H449" s="7"/>
      <c r="I449" s="6"/>
      <c r="J449" s="7"/>
      <c r="K449" s="96" t="str">
        <f>HYPERLINK("#'Healthcare'!QG1","Q6.3.32_6")</f>
        <v>Q6.3.32_6</v>
      </c>
      <c r="L449" s="93" t="str">
        <f>HYPERLINK("#'Healthcare'!QG2","Primary HDHP medical plan covered drug type: Compounds ")</f>
        <v xml:space="preserve">Primary HDHP medical plan covered drug type: Compounds </v>
      </c>
      <c r="M449" s="6"/>
      <c r="N449" s="7"/>
      <c r="O449" s="6"/>
      <c r="P449" s="7"/>
      <c r="Q449" s="6"/>
      <c r="R449" s="7"/>
      <c r="S449" s="6"/>
      <c r="T449" s="7"/>
      <c r="U449" s="6"/>
      <c r="V449" s="7"/>
      <c r="W449" s="6"/>
      <c r="X449" s="7"/>
    </row>
    <row r="450" spans="1:24" ht="25.5" x14ac:dyDescent="0.2">
      <c r="A450" s="6"/>
      <c r="B450" s="7"/>
      <c r="C450" s="6"/>
      <c r="D450" s="7"/>
      <c r="E450" s="6"/>
      <c r="F450" s="7"/>
      <c r="G450" s="6"/>
      <c r="H450" s="7"/>
      <c r="I450" s="6"/>
      <c r="J450" s="7"/>
      <c r="K450" s="96" t="str">
        <f>HYPERLINK("#'Healthcare'!QH1","Q6.3.32_7")</f>
        <v>Q6.3.32_7</v>
      </c>
      <c r="L450" s="93" t="str">
        <f>HYPERLINK("#'Healthcare'!QH2","Primary HDHP medical plan covered drug type: Biosimilars ")</f>
        <v xml:space="preserve">Primary HDHP medical plan covered drug type: Biosimilars </v>
      </c>
      <c r="M450" s="6"/>
      <c r="N450" s="7"/>
      <c r="O450" s="6"/>
      <c r="P450" s="7"/>
      <c r="Q450" s="6"/>
      <c r="R450" s="7"/>
      <c r="S450" s="6"/>
      <c r="T450" s="7"/>
      <c r="U450" s="6"/>
      <c r="V450" s="7"/>
      <c r="W450" s="6"/>
      <c r="X450" s="7"/>
    </row>
    <row r="451" spans="1:24" ht="25.5" x14ac:dyDescent="0.2">
      <c r="A451" s="6"/>
      <c r="B451" s="7"/>
      <c r="C451" s="6"/>
      <c r="D451" s="7"/>
      <c r="E451" s="6"/>
      <c r="F451" s="7"/>
      <c r="G451" s="6"/>
      <c r="H451" s="7"/>
      <c r="I451" s="6"/>
      <c r="J451" s="7"/>
      <c r="K451" s="96" t="str">
        <f>HYPERLINK("#'Healthcare'!QI1","Q6.3.32_8")</f>
        <v>Q6.3.32_8</v>
      </c>
      <c r="L451" s="93" t="str">
        <f>HYPERLINK("#'Healthcare'!QI2","Primary HDHP medical plan covered drug type: Over the counter (OTC) - prescribed")</f>
        <v>Primary HDHP medical plan covered drug type: Over the counter (OTC) - prescribed</v>
      </c>
      <c r="M451" s="6"/>
      <c r="N451" s="7"/>
      <c r="O451" s="6"/>
      <c r="P451" s="7"/>
      <c r="Q451" s="6"/>
      <c r="R451" s="7"/>
      <c r="S451" s="6"/>
      <c r="T451" s="7"/>
      <c r="U451" s="6"/>
      <c r="V451" s="7"/>
      <c r="W451" s="6"/>
      <c r="X451" s="7"/>
    </row>
    <row r="452" spans="1:24" ht="25.5" x14ac:dyDescent="0.2">
      <c r="A452" s="6"/>
      <c r="B452" s="7"/>
      <c r="C452" s="6"/>
      <c r="D452" s="7"/>
      <c r="E452" s="6"/>
      <c r="F452" s="7"/>
      <c r="G452" s="6"/>
      <c r="H452" s="7"/>
      <c r="I452" s="6"/>
      <c r="J452" s="7"/>
      <c r="K452" s="96" t="str">
        <f>HYPERLINK("#'Healthcare'!QJ1","Q6.3.32_9")</f>
        <v>Q6.3.32_9</v>
      </c>
      <c r="L452" s="93" t="str">
        <f>HYPERLINK("#'Healthcare'!QJ2","Primary HDHP medical plan covered drug type: Over the counter (OTC) - non-prescribed ")</f>
        <v xml:space="preserve">Primary HDHP medical plan covered drug type: Over the counter (OTC) - non-prescribed </v>
      </c>
      <c r="M452" s="6"/>
      <c r="N452" s="7"/>
      <c r="O452" s="6"/>
      <c r="P452" s="7"/>
      <c r="Q452" s="6"/>
      <c r="R452" s="7"/>
      <c r="S452" s="6"/>
      <c r="T452" s="7"/>
      <c r="U452" s="6"/>
      <c r="V452" s="7"/>
      <c r="W452" s="6"/>
      <c r="X452" s="7"/>
    </row>
    <row r="453" spans="1:24" ht="25.5" x14ac:dyDescent="0.2">
      <c r="A453" s="6"/>
      <c r="B453" s="7"/>
      <c r="C453" s="6"/>
      <c r="D453" s="7"/>
      <c r="E453" s="6"/>
      <c r="F453" s="7"/>
      <c r="G453" s="6"/>
      <c r="H453" s="7"/>
      <c r="I453" s="6"/>
      <c r="J453" s="7"/>
      <c r="K453" s="96" t="str">
        <f>HYPERLINK("#'Healthcare'!QK1","Q6.3.32_10")</f>
        <v>Q6.3.32_10</v>
      </c>
      <c r="L453" s="93" t="str">
        <f>HYPERLINK("#'Healthcare'!QK2","Primary HDHP medical plan covered drug type: Other")</f>
        <v>Primary HDHP medical plan covered drug type: Other</v>
      </c>
      <c r="M453" s="6"/>
      <c r="N453" s="7"/>
      <c r="O453" s="6"/>
      <c r="P453" s="7"/>
      <c r="Q453" s="6"/>
      <c r="R453" s="7"/>
      <c r="S453" s="6"/>
      <c r="T453" s="7"/>
      <c r="U453" s="6"/>
      <c r="V453" s="7"/>
      <c r="W453" s="6"/>
      <c r="X453" s="7"/>
    </row>
    <row r="454" spans="1:24" ht="38.25" x14ac:dyDescent="0.2">
      <c r="A454" s="6"/>
      <c r="B454" s="7"/>
      <c r="C454" s="6"/>
      <c r="D454" s="7"/>
      <c r="E454" s="6"/>
      <c r="F454" s="7"/>
      <c r="G454" s="6"/>
      <c r="H454" s="7"/>
      <c r="I454" s="6"/>
      <c r="J454" s="7"/>
      <c r="K454" s="96" t="str">
        <f>HYPERLINK("#'Healthcare'!QL1","Q6.3.33")</f>
        <v>Q6.3.33</v>
      </c>
      <c r="L454" s="93" t="str">
        <f>HYPERLINK("#'Healthcare'!QL2","Primary HDHP medical plan drug limits, exclusions, or required care management features: Preventive ")</f>
        <v xml:space="preserve">Primary HDHP medical plan drug limits, exclusions, or required care management features: Preventive </v>
      </c>
      <c r="M454" s="6"/>
      <c r="N454" s="7"/>
      <c r="O454" s="6"/>
      <c r="P454" s="7"/>
      <c r="Q454" s="6"/>
      <c r="R454" s="7"/>
      <c r="S454" s="6"/>
      <c r="T454" s="7"/>
      <c r="U454" s="6"/>
      <c r="V454" s="7"/>
      <c r="W454" s="6"/>
      <c r="X454" s="7"/>
    </row>
    <row r="455" spans="1:24" ht="38.25" x14ac:dyDescent="0.2">
      <c r="A455" s="6"/>
      <c r="B455" s="7"/>
      <c r="C455" s="6"/>
      <c r="D455" s="7"/>
      <c r="E455" s="6"/>
      <c r="F455" s="7"/>
      <c r="G455" s="6"/>
      <c r="H455" s="7"/>
      <c r="I455" s="6"/>
      <c r="J455" s="7"/>
      <c r="K455" s="96" t="str">
        <f>HYPERLINK("#'Healthcare'!QM1","Q6.3.34")</f>
        <v>Q6.3.34</v>
      </c>
      <c r="L455" s="93" t="str">
        <f>HYPERLINK("#'Healthcare'!QM2","Primary HDHP medical plan drug limits, exclusions, or required care management features: Maintenance ")</f>
        <v xml:space="preserve">Primary HDHP medical plan drug limits, exclusions, or required care management features: Maintenance </v>
      </c>
      <c r="M455" s="6"/>
      <c r="N455" s="7"/>
      <c r="O455" s="6"/>
      <c r="P455" s="7"/>
      <c r="Q455" s="6"/>
      <c r="R455" s="7"/>
      <c r="S455" s="6"/>
      <c r="T455" s="7"/>
      <c r="U455" s="6"/>
      <c r="V455" s="7"/>
      <c r="W455" s="6"/>
      <c r="X455" s="7"/>
    </row>
    <row r="456" spans="1:24" ht="38.25" x14ac:dyDescent="0.2">
      <c r="A456" s="6"/>
      <c r="B456" s="7"/>
      <c r="C456" s="6"/>
      <c r="D456" s="7"/>
      <c r="E456" s="6"/>
      <c r="F456" s="7"/>
      <c r="G456" s="6"/>
      <c r="H456" s="7"/>
      <c r="I456" s="6"/>
      <c r="J456" s="7"/>
      <c r="K456" s="96" t="str">
        <f>HYPERLINK("#'Healthcare'!QN1","Q6.3.35")</f>
        <v>Q6.3.35</v>
      </c>
      <c r="L456" s="93" t="str">
        <f>HYPERLINK("#'Healthcare'!QN2","Primary HDHP medical plan drug limits, exclusions, or required care management features: Generic ")</f>
        <v xml:space="preserve">Primary HDHP medical plan drug limits, exclusions, or required care management features: Generic </v>
      </c>
      <c r="M456" s="6"/>
      <c r="N456" s="7"/>
      <c r="O456" s="6"/>
      <c r="P456" s="7"/>
      <c r="Q456" s="6"/>
      <c r="R456" s="7"/>
      <c r="S456" s="6"/>
      <c r="T456" s="7"/>
      <c r="U456" s="6"/>
      <c r="V456" s="7"/>
      <c r="W456" s="6"/>
      <c r="X456" s="7"/>
    </row>
    <row r="457" spans="1:24" ht="38.25" x14ac:dyDescent="0.2">
      <c r="A457" s="6"/>
      <c r="B457" s="7"/>
      <c r="C457" s="6"/>
      <c r="D457" s="7"/>
      <c r="E457" s="6"/>
      <c r="F457" s="7"/>
      <c r="G457" s="6"/>
      <c r="H457" s="7"/>
      <c r="I457" s="6"/>
      <c r="J457" s="7"/>
      <c r="K457" s="96" t="str">
        <f>HYPERLINK("#'Healthcare'!QO1","Q6.3.36")</f>
        <v>Q6.3.36</v>
      </c>
      <c r="L457" s="93" t="str">
        <f>HYPERLINK("#'Healthcare'!QO2","Primary HDHP medical plan drug limits, exclusions, or required care management features: Specialty and injectables")</f>
        <v>Primary HDHP medical plan drug limits, exclusions, or required care management features: Specialty and injectables</v>
      </c>
      <c r="M457" s="6"/>
      <c r="N457" s="7"/>
      <c r="O457" s="6"/>
      <c r="P457" s="7"/>
      <c r="Q457" s="6"/>
      <c r="R457" s="7"/>
      <c r="S457" s="6"/>
      <c r="T457" s="7"/>
      <c r="U457" s="6"/>
      <c r="V457" s="7"/>
      <c r="W457" s="6"/>
      <c r="X457" s="7"/>
    </row>
    <row r="458" spans="1:24" ht="38.25" x14ac:dyDescent="0.2">
      <c r="A458" s="6"/>
      <c r="B458" s="7"/>
      <c r="C458" s="6"/>
      <c r="D458" s="7"/>
      <c r="E458" s="6"/>
      <c r="F458" s="7"/>
      <c r="G458" s="6"/>
      <c r="H458" s="7"/>
      <c r="I458" s="6"/>
      <c r="J458" s="7"/>
      <c r="K458" s="96" t="str">
        <f>HYPERLINK("#'Healthcare'!QP1","Q6.3.37")</f>
        <v>Q6.3.37</v>
      </c>
      <c r="L458" s="93" t="str">
        <f>HYPERLINK("#'Healthcare'!QP2","Primary HDHP medical plan drug limits, exclusions, or required care management features: Lifestyle ")</f>
        <v xml:space="preserve">Primary HDHP medical plan drug limits, exclusions, or required care management features: Lifestyle </v>
      </c>
      <c r="M458" s="6"/>
      <c r="N458" s="7"/>
      <c r="O458" s="6"/>
      <c r="P458" s="7"/>
      <c r="Q458" s="6"/>
      <c r="R458" s="7"/>
      <c r="S458" s="6"/>
      <c r="T458" s="7"/>
      <c r="U458" s="6"/>
      <c r="V458" s="7"/>
      <c r="W458" s="6"/>
      <c r="X458" s="7"/>
    </row>
    <row r="459" spans="1:24" ht="38.25" x14ac:dyDescent="0.2">
      <c r="A459" s="6"/>
      <c r="B459" s="7"/>
      <c r="C459" s="6"/>
      <c r="D459" s="7"/>
      <c r="E459" s="6"/>
      <c r="F459" s="7"/>
      <c r="G459" s="6"/>
      <c r="H459" s="7"/>
      <c r="I459" s="6"/>
      <c r="J459" s="7"/>
      <c r="K459" s="96" t="str">
        <f>HYPERLINK("#'Healthcare'!QQ1","Q6.3.38")</f>
        <v>Q6.3.38</v>
      </c>
      <c r="L459" s="93" t="str">
        <f>HYPERLINK("#'Healthcare'!QQ2","Primary HDHP medical plan drug limits, exclusions, or required care management features: Compounds")</f>
        <v>Primary HDHP medical plan drug limits, exclusions, or required care management features: Compounds</v>
      </c>
      <c r="M459" s="6"/>
      <c r="N459" s="7"/>
      <c r="O459" s="6"/>
      <c r="P459" s="7"/>
      <c r="Q459" s="6"/>
      <c r="R459" s="7"/>
      <c r="S459" s="6"/>
      <c r="T459" s="7"/>
      <c r="U459" s="6"/>
      <c r="V459" s="7"/>
      <c r="W459" s="6"/>
      <c r="X459" s="7"/>
    </row>
    <row r="460" spans="1:24" ht="38.25" x14ac:dyDescent="0.2">
      <c r="A460" s="6"/>
      <c r="B460" s="7"/>
      <c r="C460" s="6"/>
      <c r="D460" s="7"/>
      <c r="E460" s="6"/>
      <c r="F460" s="7"/>
      <c r="G460" s="6"/>
      <c r="H460" s="7"/>
      <c r="I460" s="6"/>
      <c r="J460" s="7"/>
      <c r="K460" s="96" t="str">
        <f>HYPERLINK("#'Healthcare'!QR1","Q6.3.39")</f>
        <v>Q6.3.39</v>
      </c>
      <c r="L460" s="93" t="str">
        <f>HYPERLINK("#'Healthcare'!QR2","Primary HDHP medical plan drug limits, exclusions, or required care management features: Biosimilars")</f>
        <v>Primary HDHP medical plan drug limits, exclusions, or required care management features: Biosimilars</v>
      </c>
      <c r="M460" s="6"/>
      <c r="N460" s="7"/>
      <c r="O460" s="6"/>
      <c r="P460" s="7"/>
      <c r="Q460" s="6"/>
      <c r="R460" s="7"/>
      <c r="S460" s="6"/>
      <c r="T460" s="7"/>
      <c r="U460" s="6"/>
      <c r="V460" s="7"/>
      <c r="W460" s="6"/>
      <c r="X460" s="7"/>
    </row>
    <row r="461" spans="1:24" ht="38.25" x14ac:dyDescent="0.2">
      <c r="A461" s="6"/>
      <c r="B461" s="7"/>
      <c r="C461" s="6"/>
      <c r="D461" s="7"/>
      <c r="E461" s="6"/>
      <c r="F461" s="7"/>
      <c r="G461" s="6"/>
      <c r="H461" s="7"/>
      <c r="I461" s="6"/>
      <c r="J461" s="7"/>
      <c r="K461" s="96" t="str">
        <f>HYPERLINK("#'Healthcare'!QS1","Q6.3.40")</f>
        <v>Q6.3.40</v>
      </c>
      <c r="L461" s="93" t="str">
        <f>HYPERLINK("#'Healthcare'!QS2","Primary HDHP medical plan drug limits, exclusions, or required care management features: Over the counter - prescribed ")</f>
        <v xml:space="preserve">Primary HDHP medical plan drug limits, exclusions, or required care management features: Over the counter - prescribed </v>
      </c>
      <c r="M461" s="6"/>
      <c r="N461" s="7"/>
      <c r="O461" s="6"/>
      <c r="P461" s="7"/>
      <c r="Q461" s="6"/>
      <c r="R461" s="7"/>
      <c r="S461" s="6"/>
      <c r="T461" s="7"/>
      <c r="U461" s="6"/>
      <c r="V461" s="7"/>
      <c r="W461" s="6"/>
      <c r="X461" s="7"/>
    </row>
    <row r="462" spans="1:24" ht="38.25" x14ac:dyDescent="0.2">
      <c r="A462" s="6"/>
      <c r="B462" s="7"/>
      <c r="C462" s="6"/>
      <c r="D462" s="7"/>
      <c r="E462" s="6"/>
      <c r="F462" s="7"/>
      <c r="G462" s="6"/>
      <c r="H462" s="7"/>
      <c r="I462" s="6"/>
      <c r="J462" s="7"/>
      <c r="K462" s="96" t="str">
        <f>HYPERLINK("#'Healthcare'!QT1","Q6.3.41")</f>
        <v>Q6.3.41</v>
      </c>
      <c r="L462" s="93" t="str">
        <f>HYPERLINK("#'Healthcare'!QT2","Primary HDHP medical plan drug limits, exclusions, or required care management features: Over the counter - non-prescribed ")</f>
        <v xml:space="preserve">Primary HDHP medical plan drug limits, exclusions, or required care management features: Over the counter - non-prescribed </v>
      </c>
      <c r="M462" s="6"/>
      <c r="N462" s="7"/>
      <c r="O462" s="6"/>
      <c r="P462" s="7"/>
      <c r="Q462" s="6"/>
      <c r="R462" s="7"/>
      <c r="S462" s="6"/>
      <c r="T462" s="7"/>
      <c r="U462" s="6"/>
      <c r="V462" s="7"/>
      <c r="W462" s="6"/>
      <c r="X462" s="7"/>
    </row>
    <row r="463" spans="1:24" ht="25.5" x14ac:dyDescent="0.2">
      <c r="A463" s="6"/>
      <c r="B463" s="7"/>
      <c r="C463" s="6"/>
      <c r="D463" s="7"/>
      <c r="E463" s="6"/>
      <c r="F463" s="7"/>
      <c r="G463" s="6"/>
      <c r="H463" s="7"/>
      <c r="I463" s="6"/>
      <c r="J463" s="7"/>
      <c r="K463" s="96" t="str">
        <f>HYPERLINK("#'Healthcare'!QU1","Q6.3.42_1_1")</f>
        <v>Q6.3.42_1_1</v>
      </c>
      <c r="L463" s="93" t="str">
        <f>HYPERLINK("#'Healthcare'!QU2","Primary HDHP medical plan - tier #1 copayment: Retail/pharmacy in-network")</f>
        <v>Primary HDHP medical plan - tier #1 copayment: Retail/pharmacy in-network</v>
      </c>
      <c r="M463" s="6"/>
      <c r="N463" s="7"/>
      <c r="O463" s="6"/>
      <c r="P463" s="7"/>
      <c r="Q463" s="6"/>
      <c r="R463" s="7"/>
      <c r="S463" s="6"/>
      <c r="T463" s="7"/>
      <c r="U463" s="6"/>
      <c r="V463" s="7"/>
      <c r="W463" s="6"/>
      <c r="X463" s="7"/>
    </row>
    <row r="464" spans="1:24" ht="25.5" x14ac:dyDescent="0.2">
      <c r="A464" s="6"/>
      <c r="B464" s="7"/>
      <c r="C464" s="6"/>
      <c r="D464" s="7"/>
      <c r="E464" s="6"/>
      <c r="F464" s="7"/>
      <c r="G464" s="6"/>
      <c r="H464" s="7"/>
      <c r="I464" s="6"/>
      <c r="J464" s="7"/>
      <c r="K464" s="96" t="str">
        <f>HYPERLINK("#'Healthcare'!QV1","Q6.3.42_1_2")</f>
        <v>Q6.3.42_1_2</v>
      </c>
      <c r="L464" s="93" t="str">
        <f>HYPERLINK("#'Healthcare'!QV2","Primary HDHP medical plan - tier #1 copayment: Retail/pharmacy out-of-network")</f>
        <v>Primary HDHP medical plan - tier #1 copayment: Retail/pharmacy out-of-network</v>
      </c>
      <c r="M464" s="6"/>
      <c r="N464" s="7"/>
      <c r="O464" s="6"/>
      <c r="P464" s="7"/>
      <c r="Q464" s="6"/>
      <c r="R464" s="7"/>
      <c r="S464" s="6"/>
      <c r="T464" s="7"/>
      <c r="U464" s="6"/>
      <c r="V464" s="7"/>
      <c r="W464" s="6"/>
      <c r="X464" s="7"/>
    </row>
    <row r="465" spans="1:24" ht="25.5" x14ac:dyDescent="0.2">
      <c r="A465" s="6"/>
      <c r="B465" s="7"/>
      <c r="C465" s="6"/>
      <c r="D465" s="7"/>
      <c r="E465" s="6"/>
      <c r="F465" s="7"/>
      <c r="G465" s="6"/>
      <c r="H465" s="7"/>
      <c r="I465" s="6"/>
      <c r="J465" s="7"/>
      <c r="K465" s="96" t="str">
        <f>HYPERLINK("#'Healthcare'!QW1","Q6.3.42_1_3")</f>
        <v>Q6.3.42_1_3</v>
      </c>
      <c r="L465" s="93" t="str">
        <f>HYPERLINK("#'Healthcare'!QW2","Primary HDHP medical plan - tier #1 copayment: Mail order  in-network")</f>
        <v>Primary HDHP medical plan - tier #1 copayment: Mail order  in-network</v>
      </c>
      <c r="M465" s="6"/>
      <c r="N465" s="7"/>
      <c r="O465" s="6"/>
      <c r="P465" s="7"/>
      <c r="Q465" s="6"/>
      <c r="R465" s="7"/>
      <c r="S465" s="6"/>
      <c r="T465" s="7"/>
      <c r="U465" s="6"/>
      <c r="V465" s="7"/>
      <c r="W465" s="6"/>
      <c r="X465" s="7"/>
    </row>
    <row r="466" spans="1:24" ht="25.5" x14ac:dyDescent="0.2">
      <c r="A466" s="6"/>
      <c r="B466" s="7"/>
      <c r="C466" s="6"/>
      <c r="D466" s="7"/>
      <c r="E466" s="6"/>
      <c r="F466" s="7"/>
      <c r="G466" s="6"/>
      <c r="H466" s="7"/>
      <c r="I466" s="6"/>
      <c r="J466" s="7"/>
      <c r="K466" s="96" t="str">
        <f>HYPERLINK("#'Healthcare'!QX1","Q6.3.42_1_4")</f>
        <v>Q6.3.42_1_4</v>
      </c>
      <c r="L466" s="93" t="str">
        <f>HYPERLINK("#'Healthcare'!QX2","Primary HDHP medical plan - tier #1 copayment: Mail order out-of-network")</f>
        <v>Primary HDHP medical plan - tier #1 copayment: Mail order out-of-network</v>
      </c>
      <c r="M466" s="6"/>
      <c r="N466" s="7"/>
      <c r="O466" s="6"/>
      <c r="P466" s="7"/>
      <c r="Q466" s="6"/>
      <c r="R466" s="7"/>
      <c r="S466" s="6"/>
      <c r="T466" s="7"/>
      <c r="U466" s="6"/>
      <c r="V466" s="7"/>
      <c r="W466" s="6"/>
      <c r="X466" s="7"/>
    </row>
    <row r="467" spans="1:24" ht="25.5" x14ac:dyDescent="0.2">
      <c r="A467" s="6"/>
      <c r="B467" s="7"/>
      <c r="C467" s="6"/>
      <c r="D467" s="7"/>
      <c r="E467" s="6"/>
      <c r="F467" s="7"/>
      <c r="G467" s="6"/>
      <c r="H467" s="7"/>
      <c r="I467" s="6"/>
      <c r="J467" s="7"/>
      <c r="K467" s="96" t="str">
        <f>HYPERLINK("#'Healthcare'!QY1","Q6.3.42_2_1")</f>
        <v>Q6.3.42_2_1</v>
      </c>
      <c r="L467" s="93" t="str">
        <f>HYPERLINK("#'Healthcare'!QY2","Primary HDHP medical plan - tier #2 copayment: Retail/pharmacy in-network")</f>
        <v>Primary HDHP medical plan - tier #2 copayment: Retail/pharmacy in-network</v>
      </c>
      <c r="M467" s="6"/>
      <c r="N467" s="7"/>
      <c r="O467" s="6"/>
      <c r="P467" s="7"/>
      <c r="Q467" s="6"/>
      <c r="R467" s="7"/>
      <c r="S467" s="6"/>
      <c r="T467" s="7"/>
      <c r="U467" s="6"/>
      <c r="V467" s="7"/>
      <c r="W467" s="6"/>
      <c r="X467" s="7"/>
    </row>
    <row r="468" spans="1:24" ht="25.5" x14ac:dyDescent="0.2">
      <c r="A468" s="6"/>
      <c r="B468" s="7"/>
      <c r="C468" s="6"/>
      <c r="D468" s="7"/>
      <c r="E468" s="6"/>
      <c r="F468" s="7"/>
      <c r="G468" s="6"/>
      <c r="H468" s="7"/>
      <c r="I468" s="6"/>
      <c r="J468" s="7"/>
      <c r="K468" s="96" t="str">
        <f>HYPERLINK("#'Healthcare'!QZ1","Q6.3.42_2_2")</f>
        <v>Q6.3.42_2_2</v>
      </c>
      <c r="L468" s="93" t="str">
        <f>HYPERLINK("#'Healthcare'!QZ2","Primary HDHP medical plan - tier #2 copayment: Retail/pharmacy out-of-network")</f>
        <v>Primary HDHP medical plan - tier #2 copayment: Retail/pharmacy out-of-network</v>
      </c>
      <c r="M468" s="6"/>
      <c r="N468" s="7"/>
      <c r="O468" s="6"/>
      <c r="P468" s="7"/>
      <c r="Q468" s="6"/>
      <c r="R468" s="7"/>
      <c r="S468" s="6"/>
      <c r="T468" s="7"/>
      <c r="U468" s="6"/>
      <c r="V468" s="7"/>
      <c r="W468" s="6"/>
      <c r="X468" s="7"/>
    </row>
    <row r="469" spans="1:24" ht="25.5" x14ac:dyDescent="0.2">
      <c r="A469" s="6"/>
      <c r="B469" s="7"/>
      <c r="C469" s="6"/>
      <c r="D469" s="7"/>
      <c r="E469" s="6"/>
      <c r="F469" s="7"/>
      <c r="G469" s="6"/>
      <c r="H469" s="7"/>
      <c r="I469" s="6"/>
      <c r="J469" s="7"/>
      <c r="K469" s="96" t="str">
        <f>HYPERLINK("#'Healthcare'!RA1","Q6.3.42_2_3")</f>
        <v>Q6.3.42_2_3</v>
      </c>
      <c r="L469" s="93" t="str">
        <f>HYPERLINK("#'Healthcare'!RA2","Primary HDHP medical plan - tier #2 copayment: Mail order  in-network")</f>
        <v>Primary HDHP medical plan - tier #2 copayment: Mail order  in-network</v>
      </c>
      <c r="M469" s="6"/>
      <c r="N469" s="7"/>
      <c r="O469" s="6"/>
      <c r="P469" s="7"/>
      <c r="Q469" s="6"/>
      <c r="R469" s="7"/>
      <c r="S469" s="6"/>
      <c r="T469" s="7"/>
      <c r="U469" s="6"/>
      <c r="V469" s="7"/>
      <c r="W469" s="6"/>
      <c r="X469" s="7"/>
    </row>
    <row r="470" spans="1:24" ht="25.5" x14ac:dyDescent="0.2">
      <c r="A470" s="6"/>
      <c r="B470" s="7"/>
      <c r="C470" s="6"/>
      <c r="D470" s="7"/>
      <c r="E470" s="6"/>
      <c r="F470" s="7"/>
      <c r="G470" s="6"/>
      <c r="H470" s="7"/>
      <c r="I470" s="6"/>
      <c r="J470" s="7"/>
      <c r="K470" s="96" t="str">
        <f>HYPERLINK("#'Healthcare'!RB1","Q6.3.42_2_4")</f>
        <v>Q6.3.42_2_4</v>
      </c>
      <c r="L470" s="93" t="str">
        <f>HYPERLINK("#'Healthcare'!RB2","Primary HDHP medical plan - tier #2 copayment: Mail order out-of-network")</f>
        <v>Primary HDHP medical plan - tier #2 copayment: Mail order out-of-network</v>
      </c>
      <c r="M470" s="6"/>
      <c r="N470" s="7"/>
      <c r="O470" s="6"/>
      <c r="P470" s="7"/>
      <c r="Q470" s="6"/>
      <c r="R470" s="7"/>
      <c r="S470" s="6"/>
      <c r="T470" s="7"/>
      <c r="U470" s="6"/>
      <c r="V470" s="7"/>
      <c r="W470" s="6"/>
      <c r="X470" s="7"/>
    </row>
    <row r="471" spans="1:24" ht="25.5" x14ac:dyDescent="0.2">
      <c r="A471" s="6"/>
      <c r="B471" s="7"/>
      <c r="C471" s="6"/>
      <c r="D471" s="7"/>
      <c r="E471" s="6"/>
      <c r="F471" s="7"/>
      <c r="G471" s="6"/>
      <c r="H471" s="7"/>
      <c r="I471" s="6"/>
      <c r="J471" s="7"/>
      <c r="K471" s="96" t="str">
        <f>HYPERLINK("#'Healthcare'!RC1","Q6.3.42_3_1")</f>
        <v>Q6.3.42_3_1</v>
      </c>
      <c r="L471" s="93" t="str">
        <f>HYPERLINK("#'Healthcare'!RC2","Primary HDHP medical plan - tier #3 copayment: Retail/pharmacy in-network")</f>
        <v>Primary HDHP medical plan - tier #3 copayment: Retail/pharmacy in-network</v>
      </c>
      <c r="M471" s="6"/>
      <c r="N471" s="7"/>
      <c r="O471" s="6"/>
      <c r="P471" s="7"/>
      <c r="Q471" s="6"/>
      <c r="R471" s="7"/>
      <c r="S471" s="6"/>
      <c r="T471" s="7"/>
      <c r="U471" s="6"/>
      <c r="V471" s="7"/>
      <c r="W471" s="6"/>
      <c r="X471" s="7"/>
    </row>
    <row r="472" spans="1:24" ht="25.5" x14ac:dyDescent="0.2">
      <c r="A472" s="6"/>
      <c r="B472" s="7"/>
      <c r="C472" s="6"/>
      <c r="D472" s="7"/>
      <c r="E472" s="6"/>
      <c r="F472" s="7"/>
      <c r="G472" s="6"/>
      <c r="H472" s="7"/>
      <c r="I472" s="6"/>
      <c r="J472" s="7"/>
      <c r="K472" s="96" t="str">
        <f>HYPERLINK("#'Healthcare'!RD1","Q6.3.42_3_2")</f>
        <v>Q6.3.42_3_2</v>
      </c>
      <c r="L472" s="93" t="str">
        <f>HYPERLINK("#'Healthcare'!RD2","Primary HDHP medical plan - tier #3 copayment: Retail/pharmacy out-of-network")</f>
        <v>Primary HDHP medical plan - tier #3 copayment: Retail/pharmacy out-of-network</v>
      </c>
      <c r="M472" s="6"/>
      <c r="N472" s="7"/>
      <c r="O472" s="6"/>
      <c r="P472" s="7"/>
      <c r="Q472" s="6"/>
      <c r="R472" s="7"/>
      <c r="S472" s="6"/>
      <c r="T472" s="7"/>
      <c r="U472" s="6"/>
      <c r="V472" s="7"/>
      <c r="W472" s="6"/>
      <c r="X472" s="7"/>
    </row>
    <row r="473" spans="1:24" ht="25.5" x14ac:dyDescent="0.2">
      <c r="A473" s="6"/>
      <c r="B473" s="7"/>
      <c r="C473" s="6"/>
      <c r="D473" s="7"/>
      <c r="E473" s="6"/>
      <c r="F473" s="7"/>
      <c r="G473" s="6"/>
      <c r="H473" s="7"/>
      <c r="I473" s="6"/>
      <c r="J473" s="7"/>
      <c r="K473" s="96" t="str">
        <f>HYPERLINK("#'Healthcare'!RE1","Q6.3.42_3_3")</f>
        <v>Q6.3.42_3_3</v>
      </c>
      <c r="L473" s="93" t="str">
        <f>HYPERLINK("#'Healthcare'!RE2","Primary HDHP medical plan - tier #3 copayment: Mail order  in-network")</f>
        <v>Primary HDHP medical plan - tier #3 copayment: Mail order  in-network</v>
      </c>
      <c r="M473" s="6"/>
      <c r="N473" s="7"/>
      <c r="O473" s="6"/>
      <c r="P473" s="7"/>
      <c r="Q473" s="6"/>
      <c r="R473" s="7"/>
      <c r="S473" s="6"/>
      <c r="T473" s="7"/>
      <c r="U473" s="6"/>
      <c r="V473" s="7"/>
      <c r="W473" s="6"/>
      <c r="X473" s="7"/>
    </row>
    <row r="474" spans="1:24" ht="25.5" x14ac:dyDescent="0.2">
      <c r="A474" s="6"/>
      <c r="B474" s="7"/>
      <c r="C474" s="6"/>
      <c r="D474" s="7"/>
      <c r="E474" s="6"/>
      <c r="F474" s="7"/>
      <c r="G474" s="6"/>
      <c r="H474" s="7"/>
      <c r="I474" s="6"/>
      <c r="J474" s="7"/>
      <c r="K474" s="96" t="str">
        <f>HYPERLINK("#'Healthcare'!RF1","Q6.3.42_3_4")</f>
        <v>Q6.3.42_3_4</v>
      </c>
      <c r="L474" s="93" t="str">
        <f>HYPERLINK("#'Healthcare'!RF2","Primary HDHP medical plan - tier #3 copayment: Mail order out-of-network")</f>
        <v>Primary HDHP medical plan - tier #3 copayment: Mail order out-of-network</v>
      </c>
      <c r="M474" s="6"/>
      <c r="N474" s="7"/>
      <c r="O474" s="6"/>
      <c r="P474" s="7"/>
      <c r="Q474" s="6"/>
      <c r="R474" s="7"/>
      <c r="S474" s="6"/>
      <c r="T474" s="7"/>
      <c r="U474" s="6"/>
      <c r="V474" s="7"/>
      <c r="W474" s="6"/>
      <c r="X474" s="7"/>
    </row>
    <row r="475" spans="1:24" ht="25.5" x14ac:dyDescent="0.2">
      <c r="A475" s="6"/>
      <c r="B475" s="7"/>
      <c r="C475" s="6"/>
      <c r="D475" s="7"/>
      <c r="E475" s="6"/>
      <c r="F475" s="7"/>
      <c r="G475" s="6"/>
      <c r="H475" s="7"/>
      <c r="I475" s="6"/>
      <c r="J475" s="7"/>
      <c r="K475" s="96" t="str">
        <f>HYPERLINK("#'Healthcare'!RG1","Q6.3.42_4_1")</f>
        <v>Q6.3.42_4_1</v>
      </c>
      <c r="L475" s="93" t="str">
        <f>HYPERLINK("#'Healthcare'!RG2","Primary HDHP medical plan - tier #4 copayment: Retail/pharmacy in-network")</f>
        <v>Primary HDHP medical plan - tier #4 copayment: Retail/pharmacy in-network</v>
      </c>
      <c r="M475" s="6"/>
      <c r="N475" s="7"/>
      <c r="O475" s="6"/>
      <c r="P475" s="7"/>
      <c r="Q475" s="6"/>
      <c r="R475" s="7"/>
      <c r="S475" s="6"/>
      <c r="T475" s="7"/>
      <c r="U475" s="6"/>
      <c r="V475" s="7"/>
      <c r="W475" s="6"/>
      <c r="X475" s="7"/>
    </row>
    <row r="476" spans="1:24" ht="25.5" x14ac:dyDescent="0.2">
      <c r="A476" s="6"/>
      <c r="B476" s="7"/>
      <c r="C476" s="6"/>
      <c r="D476" s="7"/>
      <c r="E476" s="6"/>
      <c r="F476" s="7"/>
      <c r="G476" s="6"/>
      <c r="H476" s="7"/>
      <c r="I476" s="6"/>
      <c r="J476" s="7"/>
      <c r="K476" s="96" t="str">
        <f>HYPERLINK("#'Healthcare'!RH1","Q6.3.42_4_2")</f>
        <v>Q6.3.42_4_2</v>
      </c>
      <c r="L476" s="93" t="str">
        <f>HYPERLINK("#'Healthcare'!RH2","Primary HDHP medical plan - tier #4 copayment: Retail/pharmacy out-of-network")</f>
        <v>Primary HDHP medical plan - tier #4 copayment: Retail/pharmacy out-of-network</v>
      </c>
      <c r="M476" s="6"/>
      <c r="N476" s="7"/>
      <c r="O476" s="6"/>
      <c r="P476" s="7"/>
      <c r="Q476" s="6"/>
      <c r="R476" s="7"/>
      <c r="S476" s="6"/>
      <c r="T476" s="7"/>
      <c r="U476" s="6"/>
      <c r="V476" s="7"/>
      <c r="W476" s="6"/>
      <c r="X476" s="7"/>
    </row>
    <row r="477" spans="1:24" ht="25.5" x14ac:dyDescent="0.2">
      <c r="A477" s="6"/>
      <c r="B477" s="7"/>
      <c r="C477" s="6"/>
      <c r="D477" s="7"/>
      <c r="E477" s="6"/>
      <c r="F477" s="7"/>
      <c r="G477" s="6"/>
      <c r="H477" s="7"/>
      <c r="I477" s="6"/>
      <c r="J477" s="7"/>
      <c r="K477" s="96" t="str">
        <f>HYPERLINK("#'Healthcare'!RI1","Q6.3.42_4_3")</f>
        <v>Q6.3.42_4_3</v>
      </c>
      <c r="L477" s="93" t="str">
        <f>HYPERLINK("#'Healthcare'!RI2","Primary HDHP medical plan - tier #4 copayment: Mail order  in-network")</f>
        <v>Primary HDHP medical plan - tier #4 copayment: Mail order  in-network</v>
      </c>
      <c r="M477" s="6"/>
      <c r="N477" s="7"/>
      <c r="O477" s="6"/>
      <c r="P477" s="7"/>
      <c r="Q477" s="6"/>
      <c r="R477" s="7"/>
      <c r="S477" s="6"/>
      <c r="T477" s="7"/>
      <c r="U477" s="6"/>
      <c r="V477" s="7"/>
      <c r="W477" s="6"/>
      <c r="X477" s="7"/>
    </row>
    <row r="478" spans="1:24" ht="25.5" x14ac:dyDescent="0.2">
      <c r="A478" s="6"/>
      <c r="B478" s="7"/>
      <c r="C478" s="6"/>
      <c r="D478" s="7"/>
      <c r="E478" s="6"/>
      <c r="F478" s="7"/>
      <c r="G478" s="6"/>
      <c r="H478" s="7"/>
      <c r="I478" s="6"/>
      <c r="J478" s="7"/>
      <c r="K478" s="96" t="str">
        <f>HYPERLINK("#'Healthcare'!RJ1","Q6.3.42_4_4")</f>
        <v>Q6.3.42_4_4</v>
      </c>
      <c r="L478" s="93" t="str">
        <f>HYPERLINK("#'Healthcare'!RJ2","Primary HDHP medical plan - tier #4 copayment: Mail order out-of-network")</f>
        <v>Primary HDHP medical plan - tier #4 copayment: Mail order out-of-network</v>
      </c>
      <c r="M478" s="6"/>
      <c r="N478" s="7"/>
      <c r="O478" s="6"/>
      <c r="P478" s="7"/>
      <c r="Q478" s="6"/>
      <c r="R478" s="7"/>
      <c r="S478" s="6"/>
      <c r="T478" s="7"/>
      <c r="U478" s="6"/>
      <c r="V478" s="7"/>
      <c r="W478" s="6"/>
      <c r="X478" s="7"/>
    </row>
    <row r="479" spans="1:24" ht="25.5" x14ac:dyDescent="0.2">
      <c r="A479" s="6"/>
      <c r="B479" s="7"/>
      <c r="C479" s="6"/>
      <c r="D479" s="7"/>
      <c r="E479" s="6"/>
      <c r="F479" s="7"/>
      <c r="G479" s="6"/>
      <c r="H479" s="7"/>
      <c r="I479" s="6"/>
      <c r="J479" s="7"/>
      <c r="K479" s="96" t="str">
        <f>HYPERLINK("#'Healthcare'!RK1","Q6.3.42_5_1")</f>
        <v>Q6.3.42_5_1</v>
      </c>
      <c r="L479" s="93" t="str">
        <f>HYPERLINK("#'Healthcare'!RK2","Primary HDHP medical plan - tier #5 copayment: Retail/pharmacy in-network")</f>
        <v>Primary HDHP medical plan - tier #5 copayment: Retail/pharmacy in-network</v>
      </c>
      <c r="M479" s="6"/>
      <c r="N479" s="7"/>
      <c r="O479" s="6"/>
      <c r="P479" s="7"/>
      <c r="Q479" s="6"/>
      <c r="R479" s="7"/>
      <c r="S479" s="6"/>
      <c r="T479" s="7"/>
      <c r="U479" s="6"/>
      <c r="V479" s="7"/>
      <c r="W479" s="6"/>
      <c r="X479" s="7"/>
    </row>
    <row r="480" spans="1:24" ht="25.5" x14ac:dyDescent="0.2">
      <c r="A480" s="6"/>
      <c r="B480" s="7"/>
      <c r="C480" s="6"/>
      <c r="D480" s="7"/>
      <c r="E480" s="6"/>
      <c r="F480" s="7"/>
      <c r="G480" s="6"/>
      <c r="H480" s="7"/>
      <c r="I480" s="6"/>
      <c r="J480" s="7"/>
      <c r="K480" s="96" t="str">
        <f>HYPERLINK("#'Healthcare'!RL1","Q6.3.42_5_2")</f>
        <v>Q6.3.42_5_2</v>
      </c>
      <c r="L480" s="93" t="str">
        <f>HYPERLINK("#'Healthcare'!RL2","Primary HDHP medical plan - tier #5 copayment: Retail/pharmacy out-of-network")</f>
        <v>Primary HDHP medical plan - tier #5 copayment: Retail/pharmacy out-of-network</v>
      </c>
      <c r="M480" s="6"/>
      <c r="N480" s="7"/>
      <c r="O480" s="6"/>
      <c r="P480" s="7"/>
      <c r="Q480" s="6"/>
      <c r="R480" s="7"/>
      <c r="S480" s="6"/>
      <c r="T480" s="7"/>
      <c r="U480" s="6"/>
      <c r="V480" s="7"/>
      <c r="W480" s="6"/>
      <c r="X480" s="7"/>
    </row>
    <row r="481" spans="1:24" ht="25.5" x14ac:dyDescent="0.2">
      <c r="A481" s="6"/>
      <c r="B481" s="7"/>
      <c r="C481" s="6"/>
      <c r="D481" s="7"/>
      <c r="E481" s="6"/>
      <c r="F481" s="7"/>
      <c r="G481" s="6"/>
      <c r="H481" s="7"/>
      <c r="I481" s="6"/>
      <c r="J481" s="7"/>
      <c r="K481" s="96" t="str">
        <f>HYPERLINK("#'Healthcare'!RM1","Q6.3.42_5_3")</f>
        <v>Q6.3.42_5_3</v>
      </c>
      <c r="L481" s="93" t="str">
        <f>HYPERLINK("#'Healthcare'!RM2","Primary HDHP medical plan - tier #5 copayment: Mail order  in-network")</f>
        <v>Primary HDHP medical plan - tier #5 copayment: Mail order  in-network</v>
      </c>
      <c r="M481" s="6"/>
      <c r="N481" s="7"/>
      <c r="O481" s="6"/>
      <c r="P481" s="7"/>
      <c r="Q481" s="6"/>
      <c r="R481" s="7"/>
      <c r="S481" s="6"/>
      <c r="T481" s="7"/>
      <c r="U481" s="6"/>
      <c r="V481" s="7"/>
      <c r="W481" s="6"/>
      <c r="X481" s="7"/>
    </row>
    <row r="482" spans="1:24" ht="25.5" x14ac:dyDescent="0.2">
      <c r="A482" s="6"/>
      <c r="B482" s="7"/>
      <c r="C482" s="6"/>
      <c r="D482" s="7"/>
      <c r="E482" s="6"/>
      <c r="F482" s="7"/>
      <c r="G482" s="6"/>
      <c r="H482" s="7"/>
      <c r="I482" s="6"/>
      <c r="J482" s="7"/>
      <c r="K482" s="96" t="str">
        <f>HYPERLINK("#'Healthcare'!RN1","Q6.3.42_5_4")</f>
        <v>Q6.3.42_5_4</v>
      </c>
      <c r="L482" s="93" t="str">
        <f>HYPERLINK("#'Healthcare'!RN2","Primary HDHP medical plan - tier #5 copayment: Mail order out-of-network")</f>
        <v>Primary HDHP medical plan - tier #5 copayment: Mail order out-of-network</v>
      </c>
      <c r="M482" s="6"/>
      <c r="N482" s="7"/>
      <c r="O482" s="6"/>
      <c r="P482" s="7"/>
      <c r="Q482" s="6"/>
      <c r="R482" s="7"/>
      <c r="S482" s="6"/>
      <c r="T482" s="7"/>
      <c r="U482" s="6"/>
      <c r="V482" s="7"/>
      <c r="W482" s="6"/>
      <c r="X482" s="7"/>
    </row>
    <row r="483" spans="1:24" ht="25.5" x14ac:dyDescent="0.2">
      <c r="A483" s="6"/>
      <c r="B483" s="7"/>
      <c r="C483" s="6"/>
      <c r="D483" s="7"/>
      <c r="E483" s="6"/>
      <c r="F483" s="7"/>
      <c r="G483" s="6"/>
      <c r="H483" s="7"/>
      <c r="I483" s="6"/>
      <c r="J483" s="7"/>
      <c r="K483" s="96" t="str">
        <f>HYPERLINK("#'Healthcare'!RO1","Q6.3.42_6_1")</f>
        <v>Q6.3.42_6_1</v>
      </c>
      <c r="L483" s="93" t="str">
        <f>HYPERLINK("#'Healthcare'!RO2","Primary HDHP medical plan - specialty copayment: Retail/pharmacy in-network")</f>
        <v>Primary HDHP medical plan - specialty copayment: Retail/pharmacy in-network</v>
      </c>
      <c r="M483" s="6"/>
      <c r="N483" s="7"/>
      <c r="O483" s="6"/>
      <c r="P483" s="7"/>
      <c r="Q483" s="6"/>
      <c r="R483" s="7"/>
      <c r="S483" s="6"/>
      <c r="T483" s="7"/>
      <c r="U483" s="6"/>
      <c r="V483" s="7"/>
      <c r="W483" s="6"/>
      <c r="X483" s="7"/>
    </row>
    <row r="484" spans="1:24" ht="25.5" x14ac:dyDescent="0.2">
      <c r="A484" s="6"/>
      <c r="B484" s="7"/>
      <c r="C484" s="6"/>
      <c r="D484" s="7"/>
      <c r="E484" s="6"/>
      <c r="F484" s="7"/>
      <c r="G484" s="6"/>
      <c r="H484" s="7"/>
      <c r="I484" s="6"/>
      <c r="J484" s="7"/>
      <c r="K484" s="96" t="str">
        <f>HYPERLINK("#'Healthcare'!RP1","Q6.3.42_6_2")</f>
        <v>Q6.3.42_6_2</v>
      </c>
      <c r="L484" s="93" t="str">
        <f>HYPERLINK("#'Healthcare'!RP2","Primary HDHP medical plan - specialty copayment: Retail/pharmacy out-of-network")</f>
        <v>Primary HDHP medical plan - specialty copayment: Retail/pharmacy out-of-network</v>
      </c>
      <c r="M484" s="6"/>
      <c r="N484" s="7"/>
      <c r="O484" s="6"/>
      <c r="P484" s="7"/>
      <c r="Q484" s="6"/>
      <c r="R484" s="7"/>
      <c r="S484" s="6"/>
      <c r="T484" s="7"/>
      <c r="U484" s="6"/>
      <c r="V484" s="7"/>
      <c r="W484" s="6"/>
      <c r="X484" s="7"/>
    </row>
    <row r="485" spans="1:24" ht="25.5" x14ac:dyDescent="0.2">
      <c r="A485" s="6"/>
      <c r="B485" s="7"/>
      <c r="C485" s="6"/>
      <c r="D485" s="7"/>
      <c r="E485" s="6"/>
      <c r="F485" s="7"/>
      <c r="G485" s="6"/>
      <c r="H485" s="7"/>
      <c r="I485" s="6"/>
      <c r="J485" s="7"/>
      <c r="K485" s="96" t="str">
        <f>HYPERLINK("#'Healthcare'!RQ1","Q6.3.42_6_3")</f>
        <v>Q6.3.42_6_3</v>
      </c>
      <c r="L485" s="93" t="str">
        <f>HYPERLINK("#'Healthcare'!RQ2","Primary HDHP medical plan - specialty copayment: Mail order  in-network")</f>
        <v>Primary HDHP medical plan - specialty copayment: Mail order  in-network</v>
      </c>
      <c r="M485" s="6"/>
      <c r="N485" s="7"/>
      <c r="O485" s="6"/>
      <c r="P485" s="7"/>
      <c r="Q485" s="6"/>
      <c r="R485" s="7"/>
      <c r="S485" s="6"/>
      <c r="T485" s="7"/>
      <c r="U485" s="6"/>
      <c r="V485" s="7"/>
      <c r="W485" s="6"/>
      <c r="X485" s="7"/>
    </row>
    <row r="486" spans="1:24" ht="25.5" x14ac:dyDescent="0.2">
      <c r="A486" s="6"/>
      <c r="B486" s="7"/>
      <c r="C486" s="6"/>
      <c r="D486" s="7"/>
      <c r="E486" s="6"/>
      <c r="F486" s="7"/>
      <c r="G486" s="6"/>
      <c r="H486" s="7"/>
      <c r="I486" s="6"/>
      <c r="J486" s="7"/>
      <c r="K486" s="96" t="str">
        <f>HYPERLINK("#'Healthcare'!RR1","Q6.3.42_6_4")</f>
        <v>Q6.3.42_6_4</v>
      </c>
      <c r="L486" s="93" t="str">
        <f>HYPERLINK("#'Healthcare'!RR2","Primary HDHP medical plan - specialty copayment: Mail order out-of-network")</f>
        <v>Primary HDHP medical plan - specialty copayment: Mail order out-of-network</v>
      </c>
      <c r="M486" s="6"/>
      <c r="N486" s="7"/>
      <c r="O486" s="6"/>
      <c r="P486" s="7"/>
      <c r="Q486" s="6"/>
      <c r="R486" s="7"/>
      <c r="S486" s="6"/>
      <c r="T486" s="7"/>
      <c r="U486" s="6"/>
      <c r="V486" s="7"/>
      <c r="W486" s="6"/>
      <c r="X486" s="7"/>
    </row>
    <row r="487" spans="1:24" ht="25.5" x14ac:dyDescent="0.2">
      <c r="A487" s="6"/>
      <c r="B487" s="7"/>
      <c r="C487" s="6"/>
      <c r="D487" s="7"/>
      <c r="E487" s="6"/>
      <c r="F487" s="7"/>
      <c r="G487" s="6"/>
      <c r="H487" s="7"/>
      <c r="I487" s="6"/>
      <c r="J487" s="7"/>
      <c r="K487" s="96" t="str">
        <f>HYPERLINK("#'Healthcare'!RS1","Q6.3.42_7_1")</f>
        <v>Q6.3.42_7_1</v>
      </c>
      <c r="L487" s="93" t="str">
        <f>HYPERLINK("#'Healthcare'!RS2","Primary HDHP medical plan - Other copayment: Retail/pharmacy in-network")</f>
        <v>Primary HDHP medical plan - Other copayment: Retail/pharmacy in-network</v>
      </c>
      <c r="M487" s="6"/>
      <c r="N487" s="7"/>
      <c r="O487" s="6"/>
      <c r="P487" s="7"/>
      <c r="Q487" s="6"/>
      <c r="R487" s="7"/>
      <c r="S487" s="6"/>
      <c r="T487" s="7"/>
      <c r="U487" s="6"/>
      <c r="V487" s="7"/>
      <c r="W487" s="6"/>
      <c r="X487" s="7"/>
    </row>
    <row r="488" spans="1:24" ht="25.5" x14ac:dyDescent="0.2">
      <c r="A488" s="6"/>
      <c r="B488" s="7"/>
      <c r="C488" s="6"/>
      <c r="D488" s="7"/>
      <c r="E488" s="6"/>
      <c r="F488" s="7"/>
      <c r="G488" s="6"/>
      <c r="H488" s="7"/>
      <c r="I488" s="6"/>
      <c r="J488" s="7"/>
      <c r="K488" s="96" t="str">
        <f>HYPERLINK("#'Healthcare'!RT1","Q6.3.42_7_2")</f>
        <v>Q6.3.42_7_2</v>
      </c>
      <c r="L488" s="93" t="str">
        <f>HYPERLINK("#'Healthcare'!RT2","Primary HDHP medical plan - Other copayment: Retail/pharmacy out-of-network")</f>
        <v>Primary HDHP medical plan - Other copayment: Retail/pharmacy out-of-network</v>
      </c>
      <c r="M488" s="6"/>
      <c r="N488" s="7"/>
      <c r="O488" s="6"/>
      <c r="P488" s="7"/>
      <c r="Q488" s="6"/>
      <c r="R488" s="7"/>
      <c r="S488" s="6"/>
      <c r="T488" s="7"/>
      <c r="U488" s="6"/>
      <c r="V488" s="7"/>
      <c r="W488" s="6"/>
      <c r="X488" s="7"/>
    </row>
    <row r="489" spans="1:24" ht="25.5" x14ac:dyDescent="0.2">
      <c r="A489" s="6"/>
      <c r="B489" s="7"/>
      <c r="C489" s="6"/>
      <c r="D489" s="7"/>
      <c r="E489" s="6"/>
      <c r="F489" s="7"/>
      <c r="G489" s="6"/>
      <c r="H489" s="7"/>
      <c r="I489" s="6"/>
      <c r="J489" s="7"/>
      <c r="K489" s="96" t="str">
        <f>HYPERLINK("#'Healthcare'!RU1","Q6.3.42_7_3")</f>
        <v>Q6.3.42_7_3</v>
      </c>
      <c r="L489" s="93" t="str">
        <f>HYPERLINK("#'Healthcare'!RU2","Primary HDHP medical plan - Other copayment: Mail order  in-network")</f>
        <v>Primary HDHP medical plan - Other copayment: Mail order  in-network</v>
      </c>
      <c r="M489" s="6"/>
      <c r="N489" s="7"/>
      <c r="O489" s="6"/>
      <c r="P489" s="7"/>
      <c r="Q489" s="6"/>
      <c r="R489" s="7"/>
      <c r="S489" s="6"/>
      <c r="T489" s="7"/>
      <c r="U489" s="6"/>
      <c r="V489" s="7"/>
      <c r="W489" s="6"/>
      <c r="X489" s="7"/>
    </row>
    <row r="490" spans="1:24" ht="25.5" x14ac:dyDescent="0.2">
      <c r="A490" s="6"/>
      <c r="B490" s="7"/>
      <c r="C490" s="6"/>
      <c r="D490" s="7"/>
      <c r="E490" s="6"/>
      <c r="F490" s="7"/>
      <c r="G490" s="6"/>
      <c r="H490" s="7"/>
      <c r="I490" s="6"/>
      <c r="J490" s="7"/>
      <c r="K490" s="96" t="str">
        <f>HYPERLINK("#'Healthcare'!RV1","Q6.3.42_7_4")</f>
        <v>Q6.3.42_7_4</v>
      </c>
      <c r="L490" s="93" t="str">
        <f>HYPERLINK("#'Healthcare'!RV2","Primary HDHP medical plan - Other copayment: Mail order out-of-network")</f>
        <v>Primary HDHP medical plan - Other copayment: Mail order out-of-network</v>
      </c>
      <c r="M490" s="6"/>
      <c r="N490" s="7"/>
      <c r="O490" s="6"/>
      <c r="P490" s="7"/>
      <c r="Q490" s="6"/>
      <c r="R490" s="7"/>
      <c r="S490" s="6"/>
      <c r="T490" s="7"/>
      <c r="U490" s="6"/>
      <c r="V490" s="7"/>
      <c r="W490" s="6"/>
      <c r="X490" s="7"/>
    </row>
    <row r="491" spans="1:24" ht="25.5" x14ac:dyDescent="0.2">
      <c r="A491" s="6"/>
      <c r="B491" s="7"/>
      <c r="C491" s="6"/>
      <c r="D491" s="7"/>
      <c r="E491" s="6"/>
      <c r="F491" s="7"/>
      <c r="G491" s="6"/>
      <c r="H491" s="7"/>
      <c r="I491" s="6"/>
      <c r="J491" s="7"/>
      <c r="K491" s="96" t="str">
        <f>HYPERLINK("#'Healthcare'!RW1","Q6.3.43_1_1")</f>
        <v>Q6.3.43_1_1</v>
      </c>
      <c r="L491" s="93" t="str">
        <f>HYPERLINK("#'Healthcare'!RW2","Primary HDHP medical plan tier 1 coinsurance: Retail/pharmacy - in-network")</f>
        <v>Primary HDHP medical plan tier 1 coinsurance: Retail/pharmacy - in-network</v>
      </c>
      <c r="M491" s="6"/>
      <c r="N491" s="7"/>
      <c r="O491" s="6"/>
      <c r="P491" s="7"/>
      <c r="Q491" s="6"/>
      <c r="R491" s="7"/>
      <c r="S491" s="6"/>
      <c r="T491" s="7"/>
      <c r="U491" s="6"/>
      <c r="V491" s="7"/>
      <c r="W491" s="6"/>
      <c r="X491" s="7"/>
    </row>
    <row r="492" spans="1:24" ht="25.5" x14ac:dyDescent="0.2">
      <c r="A492" s="6"/>
      <c r="B492" s="7"/>
      <c r="C492" s="6"/>
      <c r="D492" s="7"/>
      <c r="E492" s="6"/>
      <c r="F492" s="7"/>
      <c r="G492" s="6"/>
      <c r="H492" s="7"/>
      <c r="I492" s="6"/>
      <c r="J492" s="7"/>
      <c r="K492" s="96" t="str">
        <f>HYPERLINK("#'Healthcare'!RX1","Q6.3.43_2_1")</f>
        <v>Q6.3.43_2_1</v>
      </c>
      <c r="L492" s="93" t="str">
        <f>HYPERLINK("#'Healthcare'!RX2","Primary HDHP medical plan tier 2 coinsurance: Retail/pharmacy - in-network")</f>
        <v>Primary HDHP medical plan tier 2 coinsurance: Retail/pharmacy - in-network</v>
      </c>
      <c r="M492" s="6"/>
      <c r="N492" s="7"/>
      <c r="O492" s="6"/>
      <c r="P492" s="7"/>
      <c r="Q492" s="6"/>
      <c r="R492" s="7"/>
      <c r="S492" s="6"/>
      <c r="T492" s="7"/>
      <c r="U492" s="6"/>
      <c r="V492" s="7"/>
      <c r="W492" s="6"/>
      <c r="X492" s="7"/>
    </row>
    <row r="493" spans="1:24" ht="25.5" x14ac:dyDescent="0.2">
      <c r="A493" s="6"/>
      <c r="B493" s="7"/>
      <c r="C493" s="6"/>
      <c r="D493" s="7"/>
      <c r="E493" s="6"/>
      <c r="F493" s="7"/>
      <c r="G493" s="6"/>
      <c r="H493" s="7"/>
      <c r="I493" s="6"/>
      <c r="J493" s="7"/>
      <c r="K493" s="96" t="str">
        <f>HYPERLINK("#'Healthcare'!RY1","Q6.3.43_3_1")</f>
        <v>Q6.3.43_3_1</v>
      </c>
      <c r="L493" s="93" t="str">
        <f>HYPERLINK("#'Healthcare'!RY2","Primary HDHP medical plan tier 3 coinsurance: Retail/pharmacy - in-network")</f>
        <v>Primary HDHP medical plan tier 3 coinsurance: Retail/pharmacy - in-network</v>
      </c>
      <c r="M493" s="6"/>
      <c r="N493" s="7"/>
      <c r="O493" s="6"/>
      <c r="P493" s="7"/>
      <c r="Q493" s="6"/>
      <c r="R493" s="7"/>
      <c r="S493" s="6"/>
      <c r="T493" s="7"/>
      <c r="U493" s="6"/>
      <c r="V493" s="7"/>
      <c r="W493" s="6"/>
      <c r="X493" s="7"/>
    </row>
    <row r="494" spans="1:24" ht="25.5" x14ac:dyDescent="0.2">
      <c r="A494" s="6"/>
      <c r="B494" s="7"/>
      <c r="C494" s="6"/>
      <c r="D494" s="7"/>
      <c r="E494" s="6"/>
      <c r="F494" s="7"/>
      <c r="G494" s="6"/>
      <c r="H494" s="7"/>
      <c r="I494" s="6"/>
      <c r="J494" s="7"/>
      <c r="K494" s="96" t="str">
        <f>HYPERLINK("#'Healthcare'!RZ1","Q6.3.43_4_1")</f>
        <v>Q6.3.43_4_1</v>
      </c>
      <c r="L494" s="93" t="str">
        <f>HYPERLINK("#'Healthcare'!RZ2","Primary HDHP medical plan tier 4 coinsurance: Retail/pharmacy - in-network")</f>
        <v>Primary HDHP medical plan tier 4 coinsurance: Retail/pharmacy - in-network</v>
      </c>
      <c r="M494" s="6"/>
      <c r="N494" s="7"/>
      <c r="O494" s="6"/>
      <c r="P494" s="7"/>
      <c r="Q494" s="6"/>
      <c r="R494" s="7"/>
      <c r="S494" s="6"/>
      <c r="T494" s="7"/>
      <c r="U494" s="6"/>
      <c r="V494" s="7"/>
      <c r="W494" s="6"/>
      <c r="X494" s="7"/>
    </row>
    <row r="495" spans="1:24" ht="25.5" x14ac:dyDescent="0.2">
      <c r="A495" s="6"/>
      <c r="B495" s="7"/>
      <c r="C495" s="6"/>
      <c r="D495" s="7"/>
      <c r="E495" s="6"/>
      <c r="F495" s="7"/>
      <c r="G495" s="6"/>
      <c r="H495" s="7"/>
      <c r="I495" s="6"/>
      <c r="J495" s="7"/>
      <c r="K495" s="96" t="str">
        <f>HYPERLINK("#'Healthcare'!SA1","Q6.3.43_5_1")</f>
        <v>Q6.3.43_5_1</v>
      </c>
      <c r="L495" s="93" t="str">
        <f>HYPERLINK("#'Healthcare'!SA2","Primary HDHP medical plan tier 5 coinsurance: Retail/pharmacy - in-network")</f>
        <v>Primary HDHP medical plan tier 5 coinsurance: Retail/pharmacy - in-network</v>
      </c>
      <c r="M495" s="6"/>
      <c r="N495" s="7"/>
      <c r="O495" s="6"/>
      <c r="P495" s="7"/>
      <c r="Q495" s="6"/>
      <c r="R495" s="7"/>
      <c r="S495" s="6"/>
      <c r="T495" s="7"/>
      <c r="U495" s="6"/>
      <c r="V495" s="7"/>
      <c r="W495" s="6"/>
      <c r="X495" s="7"/>
    </row>
    <row r="496" spans="1:24" ht="25.5" x14ac:dyDescent="0.2">
      <c r="A496" s="6"/>
      <c r="B496" s="7"/>
      <c r="C496" s="6"/>
      <c r="D496" s="7"/>
      <c r="E496" s="6"/>
      <c r="F496" s="7"/>
      <c r="G496" s="6"/>
      <c r="H496" s="7"/>
      <c r="I496" s="6"/>
      <c r="J496" s="7"/>
      <c r="K496" s="96" t="str">
        <f>HYPERLINK("#'Healthcare'!SB1","Q6.3.43_6_1")</f>
        <v>Q6.3.43_6_1</v>
      </c>
      <c r="L496" s="93" t="str">
        <f>HYPERLINK("#'Healthcare'!SB2","Primary HDHP medical plan specialty coinsurance: Retail/pharmacy - in-network")</f>
        <v>Primary HDHP medical plan specialty coinsurance: Retail/pharmacy - in-network</v>
      </c>
      <c r="M496" s="6"/>
      <c r="N496" s="7"/>
      <c r="O496" s="6"/>
      <c r="P496" s="7"/>
      <c r="Q496" s="6"/>
      <c r="R496" s="7"/>
      <c r="S496" s="6"/>
      <c r="T496" s="7"/>
      <c r="U496" s="6"/>
      <c r="V496" s="7"/>
      <c r="W496" s="6"/>
      <c r="X496" s="7"/>
    </row>
    <row r="497" spans="1:24" ht="25.5" x14ac:dyDescent="0.2">
      <c r="A497" s="6"/>
      <c r="B497" s="7"/>
      <c r="C497" s="6"/>
      <c r="D497" s="7"/>
      <c r="E497" s="6"/>
      <c r="F497" s="7"/>
      <c r="G497" s="6"/>
      <c r="H497" s="7"/>
      <c r="I497" s="6"/>
      <c r="J497" s="7"/>
      <c r="K497" s="96" t="str">
        <f>HYPERLINK("#'Healthcare'!SC1","Q6.3.43_7_1")</f>
        <v>Q6.3.43_7_1</v>
      </c>
      <c r="L497" s="93" t="str">
        <f>HYPERLINK("#'Healthcare'!SC2","Primary HDHP medical plan Other coinsurance: Retail/pharmacy - in-network")</f>
        <v>Primary HDHP medical plan Other coinsurance: Retail/pharmacy - in-network</v>
      </c>
      <c r="M497" s="6"/>
      <c r="N497" s="7"/>
      <c r="O497" s="6"/>
      <c r="P497" s="7"/>
      <c r="Q497" s="6"/>
      <c r="R497" s="7"/>
      <c r="S497" s="6"/>
      <c r="T497" s="7"/>
      <c r="U497" s="6"/>
      <c r="V497" s="7"/>
      <c r="W497" s="6"/>
      <c r="X497" s="7"/>
    </row>
    <row r="498" spans="1:24" ht="25.5" x14ac:dyDescent="0.2">
      <c r="A498" s="6"/>
      <c r="B498" s="7"/>
      <c r="C498" s="6"/>
      <c r="D498" s="7"/>
      <c r="E498" s="6"/>
      <c r="F498" s="7"/>
      <c r="G498" s="6"/>
      <c r="H498" s="7"/>
      <c r="I498" s="6"/>
      <c r="J498" s="7"/>
      <c r="K498" s="96" t="str">
        <f>HYPERLINK("#'Healthcare'!SD1","Q6.3.44_1_1")</f>
        <v>Q6.3.44_1_1</v>
      </c>
      <c r="L498" s="93" t="str">
        <f>HYPERLINK("#'Healthcare'!SD2","Primary HDHP medical plan tier 1 coinsurance minimum: Retail/pharmacy - in-network")</f>
        <v>Primary HDHP medical plan tier 1 coinsurance minimum: Retail/pharmacy - in-network</v>
      </c>
      <c r="M498" s="6"/>
      <c r="N498" s="7"/>
      <c r="O498" s="6"/>
      <c r="P498" s="7"/>
      <c r="Q498" s="6"/>
      <c r="R498" s="7"/>
      <c r="S498" s="6"/>
      <c r="T498" s="7"/>
      <c r="U498" s="6"/>
      <c r="V498" s="7"/>
      <c r="W498" s="6"/>
      <c r="X498" s="7"/>
    </row>
    <row r="499" spans="1:24" ht="25.5" x14ac:dyDescent="0.2">
      <c r="A499" s="6"/>
      <c r="B499" s="7"/>
      <c r="C499" s="6"/>
      <c r="D499" s="7"/>
      <c r="E499" s="6"/>
      <c r="F499" s="7"/>
      <c r="G499" s="6"/>
      <c r="H499" s="7"/>
      <c r="I499" s="6"/>
      <c r="J499" s="7"/>
      <c r="K499" s="96" t="str">
        <f>HYPERLINK("#'Healthcare'!SE1","Q6.3.44_1_2")</f>
        <v>Q6.3.44_1_2</v>
      </c>
      <c r="L499" s="93" t="str">
        <f>HYPERLINK("#'Healthcare'!SE2","Primary HDHP medical plan tier 1 coinsurance maximum: Retail/pharmacy - in-network")</f>
        <v>Primary HDHP medical plan tier 1 coinsurance maximum: Retail/pharmacy - in-network</v>
      </c>
      <c r="M499" s="6"/>
      <c r="N499" s="7"/>
      <c r="O499" s="6"/>
      <c r="P499" s="7"/>
      <c r="Q499" s="6"/>
      <c r="R499" s="7"/>
      <c r="S499" s="6"/>
      <c r="T499" s="7"/>
      <c r="U499" s="6"/>
      <c r="V499" s="7"/>
      <c r="W499" s="6"/>
      <c r="X499" s="7"/>
    </row>
    <row r="500" spans="1:24" ht="25.5" x14ac:dyDescent="0.2">
      <c r="A500" s="6"/>
      <c r="B500" s="7"/>
      <c r="C500" s="6"/>
      <c r="D500" s="7"/>
      <c r="E500" s="6"/>
      <c r="F500" s="7"/>
      <c r="G500" s="6"/>
      <c r="H500" s="7"/>
      <c r="I500" s="6"/>
      <c r="J500" s="7"/>
      <c r="K500" s="96" t="str">
        <f>HYPERLINK("#'Healthcare'!SF1","Q6.3.44_2_1")</f>
        <v>Q6.3.44_2_1</v>
      </c>
      <c r="L500" s="93" t="str">
        <f>HYPERLINK("#'Healthcare'!SF2","Primary HDHP medical plan tier 2 coinsurance minimum: Retail/pharmacy - in-network")</f>
        <v>Primary HDHP medical plan tier 2 coinsurance minimum: Retail/pharmacy - in-network</v>
      </c>
      <c r="M500" s="6"/>
      <c r="N500" s="7"/>
      <c r="O500" s="6"/>
      <c r="P500" s="7"/>
      <c r="Q500" s="6"/>
      <c r="R500" s="7"/>
      <c r="S500" s="6"/>
      <c r="T500" s="7"/>
      <c r="U500" s="6"/>
      <c r="V500" s="7"/>
      <c r="W500" s="6"/>
      <c r="X500" s="7"/>
    </row>
    <row r="501" spans="1:24" ht="25.5" x14ac:dyDescent="0.2">
      <c r="A501" s="6"/>
      <c r="B501" s="7"/>
      <c r="C501" s="6"/>
      <c r="D501" s="7"/>
      <c r="E501" s="6"/>
      <c r="F501" s="7"/>
      <c r="G501" s="6"/>
      <c r="H501" s="7"/>
      <c r="I501" s="6"/>
      <c r="J501" s="7"/>
      <c r="K501" s="96" t="str">
        <f>HYPERLINK("#'Healthcare'!SG1","Q6.3.44_2_2")</f>
        <v>Q6.3.44_2_2</v>
      </c>
      <c r="L501" s="93" t="str">
        <f>HYPERLINK("#'Healthcare'!SG2","Primary HDHP medical plan tier 2 coinsurance maximum: Retail/pharmacy - in-network")</f>
        <v>Primary HDHP medical plan tier 2 coinsurance maximum: Retail/pharmacy - in-network</v>
      </c>
      <c r="M501" s="6"/>
      <c r="N501" s="7"/>
      <c r="O501" s="6"/>
      <c r="P501" s="7"/>
      <c r="Q501" s="6"/>
      <c r="R501" s="7"/>
      <c r="S501" s="6"/>
      <c r="T501" s="7"/>
      <c r="U501" s="6"/>
      <c r="V501" s="7"/>
      <c r="W501" s="6"/>
      <c r="X501" s="7"/>
    </row>
    <row r="502" spans="1:24" ht="25.5" x14ac:dyDescent="0.2">
      <c r="A502" s="6"/>
      <c r="B502" s="7"/>
      <c r="C502" s="6"/>
      <c r="D502" s="7"/>
      <c r="E502" s="6"/>
      <c r="F502" s="7"/>
      <c r="G502" s="6"/>
      <c r="H502" s="7"/>
      <c r="I502" s="6"/>
      <c r="J502" s="7"/>
      <c r="K502" s="96" t="str">
        <f>HYPERLINK("#'Healthcare'!SH1","Q6.3.44_3_1")</f>
        <v>Q6.3.44_3_1</v>
      </c>
      <c r="L502" s="93" t="str">
        <f>HYPERLINK("#'Healthcare'!SH2","Primary HDHP medical plan tier 3 coinsurance minimum: Retail/pharmacy - in-network")</f>
        <v>Primary HDHP medical plan tier 3 coinsurance minimum: Retail/pharmacy - in-network</v>
      </c>
      <c r="M502" s="6"/>
      <c r="N502" s="7"/>
      <c r="O502" s="6"/>
      <c r="P502" s="7"/>
      <c r="Q502" s="6"/>
      <c r="R502" s="7"/>
      <c r="S502" s="6"/>
      <c r="T502" s="7"/>
      <c r="U502" s="6"/>
      <c r="V502" s="7"/>
      <c r="W502" s="6"/>
      <c r="X502" s="7"/>
    </row>
    <row r="503" spans="1:24" ht="25.5" x14ac:dyDescent="0.2">
      <c r="A503" s="6"/>
      <c r="B503" s="7"/>
      <c r="C503" s="6"/>
      <c r="D503" s="7"/>
      <c r="E503" s="6"/>
      <c r="F503" s="7"/>
      <c r="G503" s="6"/>
      <c r="H503" s="7"/>
      <c r="I503" s="6"/>
      <c r="J503" s="7"/>
      <c r="K503" s="96" t="str">
        <f>HYPERLINK("#'Healthcare'!SI1","Q6.3.44_3_2")</f>
        <v>Q6.3.44_3_2</v>
      </c>
      <c r="L503" s="93" t="str">
        <f>HYPERLINK("#'Healthcare'!SI2","Primary HDHP medical plan tier 3 coinsurance maximum: Retail/pharmacy - in-network")</f>
        <v>Primary HDHP medical plan tier 3 coinsurance maximum: Retail/pharmacy - in-network</v>
      </c>
      <c r="M503" s="6"/>
      <c r="N503" s="7"/>
      <c r="O503" s="6"/>
      <c r="P503" s="7"/>
      <c r="Q503" s="6"/>
      <c r="R503" s="7"/>
      <c r="S503" s="6"/>
      <c r="T503" s="7"/>
      <c r="U503" s="6"/>
      <c r="V503" s="7"/>
      <c r="W503" s="6"/>
      <c r="X503" s="7"/>
    </row>
    <row r="504" spans="1:24" ht="25.5" x14ac:dyDescent="0.2">
      <c r="A504" s="6"/>
      <c r="B504" s="7"/>
      <c r="C504" s="6"/>
      <c r="D504" s="7"/>
      <c r="E504" s="6"/>
      <c r="F504" s="7"/>
      <c r="G504" s="6"/>
      <c r="H504" s="7"/>
      <c r="I504" s="6"/>
      <c r="J504" s="7"/>
      <c r="K504" s="96" t="str">
        <f>HYPERLINK("#'Healthcare'!SJ1","Q6.3.44_4_1")</f>
        <v>Q6.3.44_4_1</v>
      </c>
      <c r="L504" s="93" t="str">
        <f>HYPERLINK("#'Healthcare'!SJ2","Primary HDHP medical plan tier 4 coinsurance minimum: Retail/pharmacy - in-network")</f>
        <v>Primary HDHP medical plan tier 4 coinsurance minimum: Retail/pharmacy - in-network</v>
      </c>
      <c r="M504" s="6"/>
      <c r="N504" s="7"/>
      <c r="O504" s="6"/>
      <c r="P504" s="7"/>
      <c r="Q504" s="6"/>
      <c r="R504" s="7"/>
      <c r="S504" s="6"/>
      <c r="T504" s="7"/>
      <c r="U504" s="6"/>
      <c r="V504" s="7"/>
      <c r="W504" s="6"/>
      <c r="X504" s="7"/>
    </row>
    <row r="505" spans="1:24" ht="25.5" x14ac:dyDescent="0.2">
      <c r="A505" s="6"/>
      <c r="B505" s="7"/>
      <c r="C505" s="6"/>
      <c r="D505" s="7"/>
      <c r="E505" s="6"/>
      <c r="F505" s="7"/>
      <c r="G505" s="6"/>
      <c r="H505" s="7"/>
      <c r="I505" s="6"/>
      <c r="J505" s="7"/>
      <c r="K505" s="96" t="str">
        <f>HYPERLINK("#'Healthcare'!SK1","Q6.3.44_4_2")</f>
        <v>Q6.3.44_4_2</v>
      </c>
      <c r="L505" s="93" t="str">
        <f>HYPERLINK("#'Healthcare'!SK2","Primary HDHP medical plan tier 4 coinsurance maximum: Retail/pharmacy - in-network")</f>
        <v>Primary HDHP medical plan tier 4 coinsurance maximum: Retail/pharmacy - in-network</v>
      </c>
      <c r="M505" s="6"/>
      <c r="N505" s="7"/>
      <c r="O505" s="6"/>
      <c r="P505" s="7"/>
      <c r="Q505" s="6"/>
      <c r="R505" s="7"/>
      <c r="S505" s="6"/>
      <c r="T505" s="7"/>
      <c r="U505" s="6"/>
      <c r="V505" s="7"/>
      <c r="W505" s="6"/>
      <c r="X505" s="7"/>
    </row>
    <row r="506" spans="1:24" ht="25.5" x14ac:dyDescent="0.2">
      <c r="A506" s="6"/>
      <c r="B506" s="7"/>
      <c r="C506" s="6"/>
      <c r="D506" s="7"/>
      <c r="E506" s="6"/>
      <c r="F506" s="7"/>
      <c r="G506" s="6"/>
      <c r="H506" s="7"/>
      <c r="I506" s="6"/>
      <c r="J506" s="7"/>
      <c r="K506" s="96" t="str">
        <f>HYPERLINK("#'Healthcare'!SL1","Q6.3.44_5_1")</f>
        <v>Q6.3.44_5_1</v>
      </c>
      <c r="L506" s="93" t="str">
        <f>HYPERLINK("#'Healthcare'!SL2","Primary HDHP medical plan tier 5 coinsurance minimum: Retail/pharmacy - in-network")</f>
        <v>Primary HDHP medical plan tier 5 coinsurance minimum: Retail/pharmacy - in-network</v>
      </c>
      <c r="M506" s="6"/>
      <c r="N506" s="7"/>
      <c r="O506" s="6"/>
      <c r="P506" s="7"/>
      <c r="Q506" s="6"/>
      <c r="R506" s="7"/>
      <c r="S506" s="6"/>
      <c r="T506" s="7"/>
      <c r="U506" s="6"/>
      <c r="V506" s="7"/>
      <c r="W506" s="6"/>
      <c r="X506" s="7"/>
    </row>
    <row r="507" spans="1:24" ht="25.5" x14ac:dyDescent="0.2">
      <c r="A507" s="6"/>
      <c r="B507" s="7"/>
      <c r="C507" s="6"/>
      <c r="D507" s="7"/>
      <c r="E507" s="6"/>
      <c r="F507" s="7"/>
      <c r="G507" s="6"/>
      <c r="H507" s="7"/>
      <c r="I507" s="6"/>
      <c r="J507" s="7"/>
      <c r="K507" s="96" t="str">
        <f>HYPERLINK("#'Healthcare'!SM1","Q6.3.44_5_2")</f>
        <v>Q6.3.44_5_2</v>
      </c>
      <c r="L507" s="93" t="str">
        <f>HYPERLINK("#'Healthcare'!SM2","Primary HDHP medical plan tier 5 coinsurance maximum: Retail/pharmacy - in-network")</f>
        <v>Primary HDHP medical plan tier 5 coinsurance maximum: Retail/pharmacy - in-network</v>
      </c>
      <c r="M507" s="6"/>
      <c r="N507" s="7"/>
      <c r="O507" s="6"/>
      <c r="P507" s="7"/>
      <c r="Q507" s="6"/>
      <c r="R507" s="7"/>
      <c r="S507" s="6"/>
      <c r="T507" s="7"/>
      <c r="U507" s="6"/>
      <c r="V507" s="7"/>
      <c r="W507" s="6"/>
      <c r="X507" s="7"/>
    </row>
    <row r="508" spans="1:24" ht="38.25" x14ac:dyDescent="0.2">
      <c r="A508" s="6"/>
      <c r="B508" s="7"/>
      <c r="C508" s="6"/>
      <c r="D508" s="7"/>
      <c r="E508" s="6"/>
      <c r="F508" s="7"/>
      <c r="G508" s="6"/>
      <c r="H508" s="7"/>
      <c r="I508" s="6"/>
      <c r="J508" s="7"/>
      <c r="K508" s="96" t="str">
        <f>HYPERLINK("#'Healthcare'!SN1","Q6.3.44_6_1")</f>
        <v>Q6.3.44_6_1</v>
      </c>
      <c r="L508" s="93" t="str">
        <f>HYPERLINK("#'Healthcare'!SN2","Primary HDHP medical plan specialty coinsurance minimum: Retail/pharmacy - in-network")</f>
        <v>Primary HDHP medical plan specialty coinsurance minimum: Retail/pharmacy - in-network</v>
      </c>
      <c r="M508" s="6"/>
      <c r="N508" s="7"/>
      <c r="O508" s="6"/>
      <c r="P508" s="7"/>
      <c r="Q508" s="6"/>
      <c r="R508" s="7"/>
      <c r="S508" s="6"/>
      <c r="T508" s="7"/>
      <c r="U508" s="6"/>
      <c r="V508" s="7"/>
      <c r="W508" s="6"/>
      <c r="X508" s="7"/>
    </row>
    <row r="509" spans="1:24" ht="38.25" x14ac:dyDescent="0.2">
      <c r="A509" s="6"/>
      <c r="B509" s="7"/>
      <c r="C509" s="6"/>
      <c r="D509" s="7"/>
      <c r="E509" s="6"/>
      <c r="F509" s="7"/>
      <c r="G509" s="6"/>
      <c r="H509" s="7"/>
      <c r="I509" s="6"/>
      <c r="J509" s="7"/>
      <c r="K509" s="96" t="str">
        <f>HYPERLINK("#'Healthcare'!SO1","Q6.3.44_6_2")</f>
        <v>Q6.3.44_6_2</v>
      </c>
      <c r="L509" s="93" t="str">
        <f>HYPERLINK("#'Healthcare'!SO2","Primary HDHP medical plan specialty coinsurance maximum: Retail/pharmacy - in-network")</f>
        <v>Primary HDHP medical plan specialty coinsurance maximum: Retail/pharmacy - in-network</v>
      </c>
      <c r="M509" s="6"/>
      <c r="N509" s="7"/>
      <c r="O509" s="6"/>
      <c r="P509" s="7"/>
      <c r="Q509" s="6"/>
      <c r="R509" s="7"/>
      <c r="S509" s="6"/>
      <c r="T509" s="7"/>
      <c r="U509" s="6"/>
      <c r="V509" s="7"/>
      <c r="W509" s="6"/>
      <c r="X509" s="7"/>
    </row>
    <row r="510" spans="1:24" ht="38.25" x14ac:dyDescent="0.2">
      <c r="A510" s="6"/>
      <c r="B510" s="7"/>
      <c r="C510" s="6"/>
      <c r="D510" s="7"/>
      <c r="E510" s="6"/>
      <c r="F510" s="7"/>
      <c r="G510" s="6"/>
      <c r="H510" s="7"/>
      <c r="I510" s="6"/>
      <c r="J510" s="7"/>
      <c r="K510" s="96" t="str">
        <f>HYPERLINK("#'Healthcare'!SP1","Q6.3.44_7_1")</f>
        <v>Q6.3.44_7_1</v>
      </c>
      <c r="L510" s="93" t="str">
        <f>HYPERLINK("#'Healthcare'!SP2","Primary HDHP medical plan Other coinsurance minimum: Retail/pharmacy - in-network")</f>
        <v>Primary HDHP medical plan Other coinsurance minimum: Retail/pharmacy - in-network</v>
      </c>
      <c r="M510" s="6"/>
      <c r="N510" s="7"/>
      <c r="O510" s="6"/>
      <c r="P510" s="7"/>
      <c r="Q510" s="6"/>
      <c r="R510" s="7"/>
      <c r="S510" s="6"/>
      <c r="T510" s="7"/>
      <c r="U510" s="6"/>
      <c r="V510" s="7"/>
      <c r="W510" s="6"/>
      <c r="X510" s="7"/>
    </row>
    <row r="511" spans="1:24" ht="38.25" x14ac:dyDescent="0.2">
      <c r="A511" s="6"/>
      <c r="B511" s="7"/>
      <c r="C511" s="6"/>
      <c r="D511" s="7"/>
      <c r="E511" s="6"/>
      <c r="F511" s="7"/>
      <c r="G511" s="6"/>
      <c r="H511" s="7"/>
      <c r="I511" s="6"/>
      <c r="J511" s="7"/>
      <c r="K511" s="96" t="str">
        <f>HYPERLINK("#'Healthcare'!SQ1","Q6.3.44_7_2")</f>
        <v>Q6.3.44_7_2</v>
      </c>
      <c r="L511" s="93" t="str">
        <f>HYPERLINK("#'Healthcare'!SQ2","Primary HDHP medical plan Other coinsurance maximum: Retail/pharmacy - in-network")</f>
        <v>Primary HDHP medical plan Other coinsurance maximum: Retail/pharmacy - in-network</v>
      </c>
      <c r="M511" s="6"/>
      <c r="N511" s="7"/>
      <c r="O511" s="6"/>
      <c r="P511" s="7"/>
      <c r="Q511" s="6"/>
      <c r="R511" s="7"/>
      <c r="S511" s="6"/>
      <c r="T511" s="7"/>
      <c r="U511" s="6"/>
      <c r="V511" s="7"/>
      <c r="W511" s="6"/>
      <c r="X511" s="7"/>
    </row>
    <row r="512" spans="1:24" ht="25.5" x14ac:dyDescent="0.2">
      <c r="A512" s="6"/>
      <c r="B512" s="7"/>
      <c r="C512" s="6"/>
      <c r="D512" s="7"/>
      <c r="E512" s="6"/>
      <c r="F512" s="7"/>
      <c r="G512" s="6"/>
      <c r="H512" s="7"/>
      <c r="I512" s="6"/>
      <c r="J512" s="7"/>
      <c r="K512" s="96" t="str">
        <f>HYPERLINK("#'Healthcare'!SR1","Q6.3.45_1_1")</f>
        <v>Q6.3.45_1_1</v>
      </c>
      <c r="L512" s="93" t="str">
        <f>HYPERLINK("#'Healthcare'!SR2","Primary HDHP medical plan tier 1 coinsurance: Retail/pharmacy - out-of-network")</f>
        <v>Primary HDHP medical plan tier 1 coinsurance: Retail/pharmacy - out-of-network</v>
      </c>
      <c r="M512" s="6"/>
      <c r="N512" s="7"/>
      <c r="O512" s="6"/>
      <c r="P512" s="7"/>
      <c r="Q512" s="6"/>
      <c r="R512" s="7"/>
      <c r="S512" s="6"/>
      <c r="T512" s="7"/>
      <c r="U512" s="6"/>
      <c r="V512" s="7"/>
      <c r="W512" s="6"/>
      <c r="X512" s="7"/>
    </row>
    <row r="513" spans="1:24" ht="25.5" x14ac:dyDescent="0.2">
      <c r="A513" s="6"/>
      <c r="B513" s="7"/>
      <c r="C513" s="6"/>
      <c r="D513" s="7"/>
      <c r="E513" s="6"/>
      <c r="F513" s="7"/>
      <c r="G513" s="6"/>
      <c r="H513" s="7"/>
      <c r="I513" s="6"/>
      <c r="J513" s="7"/>
      <c r="K513" s="96" t="str">
        <f>HYPERLINK("#'Healthcare'!SS1","Q6.3.45_2_1")</f>
        <v>Q6.3.45_2_1</v>
      </c>
      <c r="L513" s="93" t="str">
        <f>HYPERLINK("#'Healthcare'!SS2","Primary HDHP medical plan tier 2 coinsurance: Retail/pharmacy - out-of-network")</f>
        <v>Primary HDHP medical plan tier 2 coinsurance: Retail/pharmacy - out-of-network</v>
      </c>
      <c r="M513" s="6"/>
      <c r="N513" s="7"/>
      <c r="O513" s="6"/>
      <c r="P513" s="7"/>
      <c r="Q513" s="6"/>
      <c r="R513" s="7"/>
      <c r="S513" s="6"/>
      <c r="T513" s="7"/>
      <c r="U513" s="6"/>
      <c r="V513" s="7"/>
      <c r="W513" s="6"/>
      <c r="X513" s="7"/>
    </row>
    <row r="514" spans="1:24" ht="25.5" x14ac:dyDescent="0.2">
      <c r="A514" s="6"/>
      <c r="B514" s="7"/>
      <c r="C514" s="6"/>
      <c r="D514" s="7"/>
      <c r="E514" s="6"/>
      <c r="F514" s="7"/>
      <c r="G514" s="6"/>
      <c r="H514" s="7"/>
      <c r="I514" s="6"/>
      <c r="J514" s="7"/>
      <c r="K514" s="96" t="str">
        <f>HYPERLINK("#'Healthcare'!ST1","Q6.3.45_3_1")</f>
        <v>Q6.3.45_3_1</v>
      </c>
      <c r="L514" s="93" t="str">
        <f>HYPERLINK("#'Healthcare'!ST2","Primary HDHP medical plan tier 3 coinsurance: Retail/pharmacy - out-of-network")</f>
        <v>Primary HDHP medical plan tier 3 coinsurance: Retail/pharmacy - out-of-network</v>
      </c>
      <c r="M514" s="6"/>
      <c r="N514" s="7"/>
      <c r="O514" s="6"/>
      <c r="P514" s="7"/>
      <c r="Q514" s="6"/>
      <c r="R514" s="7"/>
      <c r="S514" s="6"/>
      <c r="T514" s="7"/>
      <c r="U514" s="6"/>
      <c r="V514" s="7"/>
      <c r="W514" s="6"/>
      <c r="X514" s="7"/>
    </row>
    <row r="515" spans="1:24" ht="25.5" x14ac:dyDescent="0.2">
      <c r="A515" s="6"/>
      <c r="B515" s="7"/>
      <c r="C515" s="6"/>
      <c r="D515" s="7"/>
      <c r="E515" s="6"/>
      <c r="F515" s="7"/>
      <c r="G515" s="6"/>
      <c r="H515" s="7"/>
      <c r="I515" s="6"/>
      <c r="J515" s="7"/>
      <c r="K515" s="96" t="str">
        <f>HYPERLINK("#'Healthcare'!SU1","Q6.3.45_4_1")</f>
        <v>Q6.3.45_4_1</v>
      </c>
      <c r="L515" s="93" t="str">
        <f>HYPERLINK("#'Healthcare'!SU2","Primary HDHP medical plan tier 4 coinsurance: Retail/pharmacy - out-of-network")</f>
        <v>Primary HDHP medical plan tier 4 coinsurance: Retail/pharmacy - out-of-network</v>
      </c>
      <c r="M515" s="6"/>
      <c r="N515" s="7"/>
      <c r="O515" s="6"/>
      <c r="P515" s="7"/>
      <c r="Q515" s="6"/>
      <c r="R515" s="7"/>
      <c r="S515" s="6"/>
      <c r="T515" s="7"/>
      <c r="U515" s="6"/>
      <c r="V515" s="7"/>
      <c r="W515" s="6"/>
      <c r="X515" s="7"/>
    </row>
    <row r="516" spans="1:24" ht="25.5" x14ac:dyDescent="0.2">
      <c r="A516" s="6"/>
      <c r="B516" s="7"/>
      <c r="C516" s="6"/>
      <c r="D516" s="7"/>
      <c r="E516" s="6"/>
      <c r="F516" s="7"/>
      <c r="G516" s="6"/>
      <c r="H516" s="7"/>
      <c r="I516" s="6"/>
      <c r="J516" s="7"/>
      <c r="K516" s="96" t="str">
        <f>HYPERLINK("#'Healthcare'!SV1","Q6.3.45_5_1")</f>
        <v>Q6.3.45_5_1</v>
      </c>
      <c r="L516" s="93" t="str">
        <f>HYPERLINK("#'Healthcare'!SV2","Primary HDHP medical plan tier 5 coinsurance: Retail/pharmacy - out-of-network")</f>
        <v>Primary HDHP medical plan tier 5 coinsurance: Retail/pharmacy - out-of-network</v>
      </c>
      <c r="M516" s="6"/>
      <c r="N516" s="7"/>
      <c r="O516" s="6"/>
      <c r="P516" s="7"/>
      <c r="Q516" s="6"/>
      <c r="R516" s="7"/>
      <c r="S516" s="6"/>
      <c r="T516" s="7"/>
      <c r="U516" s="6"/>
      <c r="V516" s="7"/>
      <c r="W516" s="6"/>
      <c r="X516" s="7"/>
    </row>
    <row r="517" spans="1:24" ht="25.5" x14ac:dyDescent="0.2">
      <c r="A517" s="6"/>
      <c r="B517" s="7"/>
      <c r="C517" s="6"/>
      <c r="D517" s="7"/>
      <c r="E517" s="6"/>
      <c r="F517" s="7"/>
      <c r="G517" s="6"/>
      <c r="H517" s="7"/>
      <c r="I517" s="6"/>
      <c r="J517" s="7"/>
      <c r="K517" s="96" t="str">
        <f>HYPERLINK("#'Healthcare'!SW1","Q6.3.45_6_1")</f>
        <v>Q6.3.45_6_1</v>
      </c>
      <c r="L517" s="93" t="str">
        <f>HYPERLINK("#'Healthcare'!SW2","Primary HDHP medical plan specialty coinsurance: Retail/pharmacy - out-of-network")</f>
        <v>Primary HDHP medical plan specialty coinsurance: Retail/pharmacy - out-of-network</v>
      </c>
      <c r="M517" s="6"/>
      <c r="N517" s="7"/>
      <c r="O517" s="6"/>
      <c r="P517" s="7"/>
      <c r="Q517" s="6"/>
      <c r="R517" s="7"/>
      <c r="S517" s="6"/>
      <c r="T517" s="7"/>
      <c r="U517" s="6"/>
      <c r="V517" s="7"/>
      <c r="W517" s="6"/>
      <c r="X517" s="7"/>
    </row>
    <row r="518" spans="1:24" ht="25.5" x14ac:dyDescent="0.2">
      <c r="A518" s="6"/>
      <c r="B518" s="7"/>
      <c r="C518" s="6"/>
      <c r="D518" s="7"/>
      <c r="E518" s="6"/>
      <c r="F518" s="7"/>
      <c r="G518" s="6"/>
      <c r="H518" s="7"/>
      <c r="I518" s="6"/>
      <c r="J518" s="7"/>
      <c r="K518" s="96" t="str">
        <f>HYPERLINK("#'Healthcare'!SX1","Q6.3.45_7_1")</f>
        <v>Q6.3.45_7_1</v>
      </c>
      <c r="L518" s="93" t="str">
        <f>HYPERLINK("#'Healthcare'!SX2","Primary HDHP medical plan Other coinsurance: Retail/pharmacy - out-of-network")</f>
        <v>Primary HDHP medical plan Other coinsurance: Retail/pharmacy - out-of-network</v>
      </c>
      <c r="M518" s="6"/>
      <c r="N518" s="7"/>
      <c r="O518" s="6"/>
      <c r="P518" s="7"/>
      <c r="Q518" s="6"/>
      <c r="R518" s="7"/>
      <c r="S518" s="6"/>
      <c r="T518" s="7"/>
      <c r="U518" s="6"/>
      <c r="V518" s="7"/>
      <c r="W518" s="6"/>
      <c r="X518" s="7"/>
    </row>
    <row r="519" spans="1:24" ht="25.5" x14ac:dyDescent="0.2">
      <c r="A519" s="6"/>
      <c r="B519" s="7"/>
      <c r="C519" s="6"/>
      <c r="D519" s="7"/>
      <c r="E519" s="6"/>
      <c r="F519" s="7"/>
      <c r="G519" s="6"/>
      <c r="H519" s="7"/>
      <c r="I519" s="6"/>
      <c r="J519" s="7"/>
      <c r="K519" s="96" t="str">
        <f>HYPERLINK("#'Healthcare'!SY1","Q6.3.46_1_1")</f>
        <v>Q6.3.46_1_1</v>
      </c>
      <c r="L519" s="93" t="str">
        <f>HYPERLINK("#'Healthcare'!SY2","Primary HDHP medical plan tier 1 coinsurance minimum: Retail/pharmacy - out-of-network")</f>
        <v>Primary HDHP medical plan tier 1 coinsurance minimum: Retail/pharmacy - out-of-network</v>
      </c>
      <c r="M519" s="6"/>
      <c r="N519" s="7"/>
      <c r="O519" s="6"/>
      <c r="P519" s="7"/>
      <c r="Q519" s="6"/>
      <c r="R519" s="7"/>
      <c r="S519" s="6"/>
      <c r="T519" s="7"/>
      <c r="U519" s="6"/>
      <c r="V519" s="7"/>
      <c r="W519" s="6"/>
      <c r="X519" s="7"/>
    </row>
    <row r="520" spans="1:24" ht="25.5" x14ac:dyDescent="0.2">
      <c r="A520" s="6"/>
      <c r="B520" s="7"/>
      <c r="C520" s="6"/>
      <c r="D520" s="7"/>
      <c r="E520" s="6"/>
      <c r="F520" s="7"/>
      <c r="G520" s="6"/>
      <c r="H520" s="7"/>
      <c r="I520" s="6"/>
      <c r="J520" s="7"/>
      <c r="K520" s="96" t="str">
        <f>HYPERLINK("#'Healthcare'!SZ1","Q6.3.46_1_2")</f>
        <v>Q6.3.46_1_2</v>
      </c>
      <c r="L520" s="93" t="str">
        <f>HYPERLINK("#'Healthcare'!SZ2","Primary HDHP medical plan tier 1 coinsurance maximum: Retail/pharmacy - out-of-network")</f>
        <v>Primary HDHP medical plan tier 1 coinsurance maximum: Retail/pharmacy - out-of-network</v>
      </c>
      <c r="M520" s="6"/>
      <c r="N520" s="7"/>
      <c r="O520" s="6"/>
      <c r="P520" s="7"/>
      <c r="Q520" s="6"/>
      <c r="R520" s="7"/>
      <c r="S520" s="6"/>
      <c r="T520" s="7"/>
      <c r="U520" s="6"/>
      <c r="V520" s="7"/>
      <c r="W520" s="6"/>
      <c r="X520" s="7"/>
    </row>
    <row r="521" spans="1:24" ht="25.5" x14ac:dyDescent="0.2">
      <c r="A521" s="6"/>
      <c r="B521" s="7"/>
      <c r="C521" s="6"/>
      <c r="D521" s="7"/>
      <c r="E521" s="6"/>
      <c r="F521" s="7"/>
      <c r="G521" s="6"/>
      <c r="H521" s="7"/>
      <c r="I521" s="6"/>
      <c r="J521" s="7"/>
      <c r="K521" s="96" t="str">
        <f>HYPERLINK("#'Healthcare'!TA1","Q6.3.46_2_1")</f>
        <v>Q6.3.46_2_1</v>
      </c>
      <c r="L521" s="93" t="str">
        <f>HYPERLINK("#'Healthcare'!TA2","Primary HDHP medical plan tier 2 coinsurance minimum: Retail/pharmacy - out-of-network")</f>
        <v>Primary HDHP medical plan tier 2 coinsurance minimum: Retail/pharmacy - out-of-network</v>
      </c>
      <c r="M521" s="6"/>
      <c r="N521" s="7"/>
      <c r="O521" s="6"/>
      <c r="P521" s="7"/>
      <c r="Q521" s="6"/>
      <c r="R521" s="7"/>
      <c r="S521" s="6"/>
      <c r="T521" s="7"/>
      <c r="U521" s="6"/>
      <c r="V521" s="7"/>
      <c r="W521" s="6"/>
      <c r="X521" s="7"/>
    </row>
    <row r="522" spans="1:24" ht="25.5" x14ac:dyDescent="0.2">
      <c r="A522" s="6"/>
      <c r="B522" s="7"/>
      <c r="C522" s="6"/>
      <c r="D522" s="7"/>
      <c r="E522" s="6"/>
      <c r="F522" s="7"/>
      <c r="G522" s="6"/>
      <c r="H522" s="7"/>
      <c r="I522" s="6"/>
      <c r="J522" s="7"/>
      <c r="K522" s="96" t="str">
        <f>HYPERLINK("#'Healthcare'!TB1","Q6.3.46_2_2")</f>
        <v>Q6.3.46_2_2</v>
      </c>
      <c r="L522" s="93" t="str">
        <f>HYPERLINK("#'Healthcare'!TB2","Primary HDHP medical plan tier 2 coinsurance maximum: Retail/pharmacy - out-of-network")</f>
        <v>Primary HDHP medical plan tier 2 coinsurance maximum: Retail/pharmacy - out-of-network</v>
      </c>
      <c r="M522" s="6"/>
      <c r="N522" s="7"/>
      <c r="O522" s="6"/>
      <c r="P522" s="7"/>
      <c r="Q522" s="6"/>
      <c r="R522" s="7"/>
      <c r="S522" s="6"/>
      <c r="T522" s="7"/>
      <c r="U522" s="6"/>
      <c r="V522" s="7"/>
      <c r="W522" s="6"/>
      <c r="X522" s="7"/>
    </row>
    <row r="523" spans="1:24" ht="25.5" x14ac:dyDescent="0.2">
      <c r="A523" s="6"/>
      <c r="B523" s="7"/>
      <c r="C523" s="6"/>
      <c r="D523" s="7"/>
      <c r="E523" s="6"/>
      <c r="F523" s="7"/>
      <c r="G523" s="6"/>
      <c r="H523" s="7"/>
      <c r="I523" s="6"/>
      <c r="J523" s="7"/>
      <c r="K523" s="96" t="str">
        <f>HYPERLINK("#'Healthcare'!TC1","Q6.3.46_3_1")</f>
        <v>Q6.3.46_3_1</v>
      </c>
      <c r="L523" s="93" t="str">
        <f>HYPERLINK("#'Healthcare'!TC2","Primary HDHP medical plan tier 3 coinsurance minimum: Retail/pharmacy - out-of-network")</f>
        <v>Primary HDHP medical plan tier 3 coinsurance minimum: Retail/pharmacy - out-of-network</v>
      </c>
      <c r="M523" s="6"/>
      <c r="N523" s="7"/>
      <c r="O523" s="6"/>
      <c r="P523" s="7"/>
      <c r="Q523" s="6"/>
      <c r="R523" s="7"/>
      <c r="S523" s="6"/>
      <c r="T523" s="7"/>
      <c r="U523" s="6"/>
      <c r="V523" s="7"/>
      <c r="W523" s="6"/>
      <c r="X523" s="7"/>
    </row>
    <row r="524" spans="1:24" ht="25.5" x14ac:dyDescent="0.2">
      <c r="A524" s="6"/>
      <c r="B524" s="7"/>
      <c r="C524" s="6"/>
      <c r="D524" s="7"/>
      <c r="E524" s="6"/>
      <c r="F524" s="7"/>
      <c r="G524" s="6"/>
      <c r="H524" s="7"/>
      <c r="I524" s="6"/>
      <c r="J524" s="7"/>
      <c r="K524" s="96" t="str">
        <f>HYPERLINK("#'Healthcare'!TD1","Q6.3.46_3_2")</f>
        <v>Q6.3.46_3_2</v>
      </c>
      <c r="L524" s="93" t="str">
        <f>HYPERLINK("#'Healthcare'!TD2","Primary HDHP medical plan tier 3 coinsurance maximum: Retail/pharmacy - out-of-network")</f>
        <v>Primary HDHP medical plan tier 3 coinsurance maximum: Retail/pharmacy - out-of-network</v>
      </c>
      <c r="M524" s="6"/>
      <c r="N524" s="7"/>
      <c r="O524" s="6"/>
      <c r="P524" s="7"/>
      <c r="Q524" s="6"/>
      <c r="R524" s="7"/>
      <c r="S524" s="6"/>
      <c r="T524" s="7"/>
      <c r="U524" s="6"/>
      <c r="V524" s="7"/>
      <c r="W524" s="6"/>
      <c r="X524" s="7"/>
    </row>
    <row r="525" spans="1:24" ht="25.5" x14ac:dyDescent="0.2">
      <c r="A525" s="6"/>
      <c r="B525" s="7"/>
      <c r="C525" s="6"/>
      <c r="D525" s="7"/>
      <c r="E525" s="6"/>
      <c r="F525" s="7"/>
      <c r="G525" s="6"/>
      <c r="H525" s="7"/>
      <c r="I525" s="6"/>
      <c r="J525" s="7"/>
      <c r="K525" s="96" t="str">
        <f>HYPERLINK("#'Healthcare'!TE1","Q6.3.46_4_1")</f>
        <v>Q6.3.46_4_1</v>
      </c>
      <c r="L525" s="93" t="str">
        <f>HYPERLINK("#'Healthcare'!TE2","Primary HDHP medical plan tier 4 coinsurance minimum: Retail/pharmacy - out-of-network")</f>
        <v>Primary HDHP medical plan tier 4 coinsurance minimum: Retail/pharmacy - out-of-network</v>
      </c>
      <c r="M525" s="6"/>
      <c r="N525" s="7"/>
      <c r="O525" s="6"/>
      <c r="P525" s="7"/>
      <c r="Q525" s="6"/>
      <c r="R525" s="7"/>
      <c r="S525" s="6"/>
      <c r="T525" s="7"/>
      <c r="U525" s="6"/>
      <c r="V525" s="7"/>
      <c r="W525" s="6"/>
      <c r="X525" s="7"/>
    </row>
    <row r="526" spans="1:24" ht="25.5" x14ac:dyDescent="0.2">
      <c r="A526" s="6"/>
      <c r="B526" s="7"/>
      <c r="C526" s="6"/>
      <c r="D526" s="7"/>
      <c r="E526" s="6"/>
      <c r="F526" s="7"/>
      <c r="G526" s="6"/>
      <c r="H526" s="7"/>
      <c r="I526" s="6"/>
      <c r="J526" s="7"/>
      <c r="K526" s="96" t="str">
        <f>HYPERLINK("#'Healthcare'!TF1","Q6.3.46_4_2")</f>
        <v>Q6.3.46_4_2</v>
      </c>
      <c r="L526" s="93" t="str">
        <f>HYPERLINK("#'Healthcare'!TF2","Primary HDHP medical plan tier 4 coinsurance maximum: Retail/pharmacy - out-of-network")</f>
        <v>Primary HDHP medical plan tier 4 coinsurance maximum: Retail/pharmacy - out-of-network</v>
      </c>
      <c r="M526" s="6"/>
      <c r="N526" s="7"/>
      <c r="O526" s="6"/>
      <c r="P526" s="7"/>
      <c r="Q526" s="6"/>
      <c r="R526" s="7"/>
      <c r="S526" s="6"/>
      <c r="T526" s="7"/>
      <c r="U526" s="6"/>
      <c r="V526" s="7"/>
      <c r="W526" s="6"/>
      <c r="X526" s="7"/>
    </row>
    <row r="527" spans="1:24" ht="25.5" x14ac:dyDescent="0.2">
      <c r="A527" s="6"/>
      <c r="B527" s="7"/>
      <c r="C527" s="6"/>
      <c r="D527" s="7"/>
      <c r="E527" s="6"/>
      <c r="F527" s="7"/>
      <c r="G527" s="6"/>
      <c r="H527" s="7"/>
      <c r="I527" s="6"/>
      <c r="J527" s="7"/>
      <c r="K527" s="96" t="str">
        <f>HYPERLINK("#'Healthcare'!TG1","Q6.3.46_5_1")</f>
        <v>Q6.3.46_5_1</v>
      </c>
      <c r="L527" s="93" t="str">
        <f>HYPERLINK("#'Healthcare'!TG2","Primary HDHP medical plan tier 5 coinsurance minimum: Retail/pharmacy - out-of-network")</f>
        <v>Primary HDHP medical plan tier 5 coinsurance minimum: Retail/pharmacy - out-of-network</v>
      </c>
      <c r="M527" s="6"/>
      <c r="N527" s="7"/>
      <c r="O527" s="6"/>
      <c r="P527" s="7"/>
      <c r="Q527" s="6"/>
      <c r="R527" s="7"/>
      <c r="S527" s="6"/>
      <c r="T527" s="7"/>
      <c r="U527" s="6"/>
      <c r="V527" s="7"/>
      <c r="W527" s="6"/>
      <c r="X527" s="7"/>
    </row>
    <row r="528" spans="1:24" ht="25.5" x14ac:dyDescent="0.2">
      <c r="A528" s="6"/>
      <c r="B528" s="7"/>
      <c r="C528" s="6"/>
      <c r="D528" s="7"/>
      <c r="E528" s="6"/>
      <c r="F528" s="7"/>
      <c r="G528" s="6"/>
      <c r="H528" s="7"/>
      <c r="I528" s="6"/>
      <c r="J528" s="7"/>
      <c r="K528" s="96" t="str">
        <f>HYPERLINK("#'Healthcare'!TH1","Q6.3.46_5_2")</f>
        <v>Q6.3.46_5_2</v>
      </c>
      <c r="L528" s="93" t="str">
        <f>HYPERLINK("#'Healthcare'!TH2","Primary HDHP medical plan tier 5 coinsurance maximum: Retail/pharmacy - out-of-network")</f>
        <v>Primary HDHP medical plan tier 5 coinsurance maximum: Retail/pharmacy - out-of-network</v>
      </c>
      <c r="M528" s="6"/>
      <c r="N528" s="7"/>
      <c r="O528" s="6"/>
      <c r="P528" s="7"/>
      <c r="Q528" s="6"/>
      <c r="R528" s="7"/>
      <c r="S528" s="6"/>
      <c r="T528" s="7"/>
      <c r="U528" s="6"/>
      <c r="V528" s="7"/>
      <c r="W528" s="6"/>
      <c r="X528" s="7"/>
    </row>
    <row r="529" spans="1:24" ht="38.25" x14ac:dyDescent="0.2">
      <c r="A529" s="6"/>
      <c r="B529" s="7"/>
      <c r="C529" s="6"/>
      <c r="D529" s="7"/>
      <c r="E529" s="6"/>
      <c r="F529" s="7"/>
      <c r="G529" s="6"/>
      <c r="H529" s="7"/>
      <c r="I529" s="6"/>
      <c r="J529" s="7"/>
      <c r="K529" s="96" t="str">
        <f>HYPERLINK("#'Healthcare'!TI1","Q6.3.46_6_1")</f>
        <v>Q6.3.46_6_1</v>
      </c>
      <c r="L529" s="93" t="str">
        <f>HYPERLINK("#'Healthcare'!TI2","Primary HDHP medical plan specialty coinsurance minimum: Retail/pharmacy - out-of-network")</f>
        <v>Primary HDHP medical plan specialty coinsurance minimum: Retail/pharmacy - out-of-network</v>
      </c>
      <c r="M529" s="6"/>
      <c r="N529" s="7"/>
      <c r="O529" s="6"/>
      <c r="P529" s="7"/>
      <c r="Q529" s="6"/>
      <c r="R529" s="7"/>
      <c r="S529" s="6"/>
      <c r="T529" s="7"/>
      <c r="U529" s="6"/>
      <c r="V529" s="7"/>
      <c r="W529" s="6"/>
      <c r="X529" s="7"/>
    </row>
    <row r="530" spans="1:24" ht="38.25" x14ac:dyDescent="0.2">
      <c r="A530" s="6"/>
      <c r="B530" s="7"/>
      <c r="C530" s="6"/>
      <c r="D530" s="7"/>
      <c r="E530" s="6"/>
      <c r="F530" s="7"/>
      <c r="G530" s="6"/>
      <c r="H530" s="7"/>
      <c r="I530" s="6"/>
      <c r="J530" s="7"/>
      <c r="K530" s="96" t="str">
        <f>HYPERLINK("#'Healthcare'!TJ1","Q6.3.46_6_2")</f>
        <v>Q6.3.46_6_2</v>
      </c>
      <c r="L530" s="93" t="str">
        <f>HYPERLINK("#'Healthcare'!TJ2","Primary HDHP medical plan specialty coinsurance maximum: Retail/pharmacy - out-of-network")</f>
        <v>Primary HDHP medical plan specialty coinsurance maximum: Retail/pharmacy - out-of-network</v>
      </c>
      <c r="M530" s="6"/>
      <c r="N530" s="7"/>
      <c r="O530" s="6"/>
      <c r="P530" s="7"/>
      <c r="Q530" s="6"/>
      <c r="R530" s="7"/>
      <c r="S530" s="6"/>
      <c r="T530" s="7"/>
      <c r="U530" s="6"/>
      <c r="V530" s="7"/>
      <c r="W530" s="6"/>
      <c r="X530" s="7"/>
    </row>
    <row r="531" spans="1:24" ht="38.25" x14ac:dyDescent="0.2">
      <c r="A531" s="6"/>
      <c r="B531" s="7"/>
      <c r="C531" s="6"/>
      <c r="D531" s="7"/>
      <c r="E531" s="6"/>
      <c r="F531" s="7"/>
      <c r="G531" s="6"/>
      <c r="H531" s="7"/>
      <c r="I531" s="6"/>
      <c r="J531" s="7"/>
      <c r="K531" s="96" t="str">
        <f>HYPERLINK("#'Healthcare'!TK1","Q6.3.46_7_1")</f>
        <v>Q6.3.46_7_1</v>
      </c>
      <c r="L531" s="93" t="str">
        <f>HYPERLINK("#'Healthcare'!TK2","Primary HDHP medical plan Other coinsurance minimum: Retail/pharmacy - out-of-network")</f>
        <v>Primary HDHP medical plan Other coinsurance minimum: Retail/pharmacy - out-of-network</v>
      </c>
      <c r="M531" s="6"/>
      <c r="N531" s="7"/>
      <c r="O531" s="6"/>
      <c r="P531" s="7"/>
      <c r="Q531" s="6"/>
      <c r="R531" s="7"/>
      <c r="S531" s="6"/>
      <c r="T531" s="7"/>
      <c r="U531" s="6"/>
      <c r="V531" s="7"/>
      <c r="W531" s="6"/>
      <c r="X531" s="7"/>
    </row>
    <row r="532" spans="1:24" ht="38.25" x14ac:dyDescent="0.2">
      <c r="A532" s="6"/>
      <c r="B532" s="7"/>
      <c r="C532" s="6"/>
      <c r="D532" s="7"/>
      <c r="E532" s="6"/>
      <c r="F532" s="7"/>
      <c r="G532" s="6"/>
      <c r="H532" s="7"/>
      <c r="I532" s="6"/>
      <c r="J532" s="7"/>
      <c r="K532" s="96" t="str">
        <f>HYPERLINK("#'Healthcare'!TL1","Q6.3.46_7_2")</f>
        <v>Q6.3.46_7_2</v>
      </c>
      <c r="L532" s="93" t="str">
        <f>HYPERLINK("#'Healthcare'!TL2","Primary HDHP medical plan Other coinsurance maximum: Retail/pharmacy - out-of-network")</f>
        <v>Primary HDHP medical plan Other coinsurance maximum: Retail/pharmacy - out-of-network</v>
      </c>
      <c r="M532" s="6"/>
      <c r="N532" s="7"/>
      <c r="O532" s="6"/>
      <c r="P532" s="7"/>
      <c r="Q532" s="6"/>
      <c r="R532" s="7"/>
      <c r="S532" s="6"/>
      <c r="T532" s="7"/>
      <c r="U532" s="6"/>
      <c r="V532" s="7"/>
      <c r="W532" s="6"/>
      <c r="X532" s="7"/>
    </row>
    <row r="533" spans="1:24" ht="25.5" x14ac:dyDescent="0.2">
      <c r="A533" s="6"/>
      <c r="B533" s="7"/>
      <c r="C533" s="6"/>
      <c r="D533" s="7"/>
      <c r="E533" s="6"/>
      <c r="F533" s="7"/>
      <c r="G533" s="6"/>
      <c r="H533" s="7"/>
      <c r="I533" s="6"/>
      <c r="J533" s="7"/>
      <c r="K533" s="96" t="str">
        <f>HYPERLINK("#'Healthcare'!TM1","Q6.3.47_1_1")</f>
        <v>Q6.3.47_1_1</v>
      </c>
      <c r="L533" s="93" t="str">
        <f>HYPERLINK("#'Healthcare'!TM2","Primary HDHP medical plan tier 1 coinsurance: Mail order - in-network")</f>
        <v>Primary HDHP medical plan tier 1 coinsurance: Mail order - in-network</v>
      </c>
      <c r="M533" s="6"/>
      <c r="N533" s="7"/>
      <c r="O533" s="6"/>
      <c r="P533" s="7"/>
      <c r="Q533" s="6"/>
      <c r="R533" s="7"/>
      <c r="S533" s="6"/>
      <c r="T533" s="7"/>
      <c r="U533" s="6"/>
      <c r="V533" s="7"/>
      <c r="W533" s="6"/>
      <c r="X533" s="7"/>
    </row>
    <row r="534" spans="1:24" ht="25.5" x14ac:dyDescent="0.2">
      <c r="A534" s="6"/>
      <c r="B534" s="7"/>
      <c r="C534" s="6"/>
      <c r="D534" s="7"/>
      <c r="E534" s="6"/>
      <c r="F534" s="7"/>
      <c r="G534" s="6"/>
      <c r="H534" s="7"/>
      <c r="I534" s="6"/>
      <c r="J534" s="7"/>
      <c r="K534" s="96" t="str">
        <f>HYPERLINK("#'Healthcare'!TN1","Q6.3.47_2_1")</f>
        <v>Q6.3.47_2_1</v>
      </c>
      <c r="L534" s="93" t="str">
        <f>HYPERLINK("#'Healthcare'!TN2","Primary HDHP medical plan tier 2 coinsurance: Mail order - in-network")</f>
        <v>Primary HDHP medical plan tier 2 coinsurance: Mail order - in-network</v>
      </c>
      <c r="M534" s="6"/>
      <c r="N534" s="7"/>
      <c r="O534" s="6"/>
      <c r="P534" s="7"/>
      <c r="Q534" s="6"/>
      <c r="R534" s="7"/>
      <c r="S534" s="6"/>
      <c r="T534" s="7"/>
      <c r="U534" s="6"/>
      <c r="V534" s="7"/>
      <c r="W534" s="6"/>
      <c r="X534" s="7"/>
    </row>
    <row r="535" spans="1:24" ht="25.5" x14ac:dyDescent="0.2">
      <c r="A535" s="6"/>
      <c r="B535" s="7"/>
      <c r="C535" s="6"/>
      <c r="D535" s="7"/>
      <c r="E535" s="6"/>
      <c r="F535" s="7"/>
      <c r="G535" s="6"/>
      <c r="H535" s="7"/>
      <c r="I535" s="6"/>
      <c r="J535" s="7"/>
      <c r="K535" s="96" t="str">
        <f>HYPERLINK("#'Healthcare'!TO1","Q6.3.47_3_1")</f>
        <v>Q6.3.47_3_1</v>
      </c>
      <c r="L535" s="93" t="str">
        <f>HYPERLINK("#'Healthcare'!TO2","Primary HDHP medical plan tier 3 coinsurance: Mail order - in-network")</f>
        <v>Primary HDHP medical plan tier 3 coinsurance: Mail order - in-network</v>
      </c>
      <c r="M535" s="6"/>
      <c r="N535" s="7"/>
      <c r="O535" s="6"/>
      <c r="P535" s="7"/>
      <c r="Q535" s="6"/>
      <c r="R535" s="7"/>
      <c r="S535" s="6"/>
      <c r="T535" s="7"/>
      <c r="U535" s="6"/>
      <c r="V535" s="7"/>
      <c r="W535" s="6"/>
      <c r="X535" s="7"/>
    </row>
    <row r="536" spans="1:24" ht="25.5" x14ac:dyDescent="0.2">
      <c r="A536" s="6"/>
      <c r="B536" s="7"/>
      <c r="C536" s="6"/>
      <c r="D536" s="7"/>
      <c r="E536" s="6"/>
      <c r="F536" s="7"/>
      <c r="G536" s="6"/>
      <c r="H536" s="7"/>
      <c r="I536" s="6"/>
      <c r="J536" s="7"/>
      <c r="K536" s="96" t="str">
        <f>HYPERLINK("#'Healthcare'!TP1","Q6.3.47_4_1")</f>
        <v>Q6.3.47_4_1</v>
      </c>
      <c r="L536" s="93" t="str">
        <f>HYPERLINK("#'Healthcare'!TP2","Primary HDHP medical plan tier 4 coinsurance: Mail order - in-network")</f>
        <v>Primary HDHP medical plan tier 4 coinsurance: Mail order - in-network</v>
      </c>
      <c r="M536" s="6"/>
      <c r="N536" s="7"/>
      <c r="O536" s="6"/>
      <c r="P536" s="7"/>
      <c r="Q536" s="6"/>
      <c r="R536" s="7"/>
      <c r="S536" s="6"/>
      <c r="T536" s="7"/>
      <c r="U536" s="6"/>
      <c r="V536" s="7"/>
      <c r="W536" s="6"/>
      <c r="X536" s="7"/>
    </row>
    <row r="537" spans="1:24" ht="25.5" x14ac:dyDescent="0.2">
      <c r="A537" s="6"/>
      <c r="B537" s="7"/>
      <c r="C537" s="6"/>
      <c r="D537" s="7"/>
      <c r="E537" s="6"/>
      <c r="F537" s="7"/>
      <c r="G537" s="6"/>
      <c r="H537" s="7"/>
      <c r="I537" s="6"/>
      <c r="J537" s="7"/>
      <c r="K537" s="96" t="str">
        <f>HYPERLINK("#'Healthcare'!TQ1","Q6.3.47_5_1")</f>
        <v>Q6.3.47_5_1</v>
      </c>
      <c r="L537" s="93" t="str">
        <f>HYPERLINK("#'Healthcare'!TQ2","Primary HDHP medical plan tier 5 coinsurance: Mail order - in-network")</f>
        <v>Primary HDHP medical plan tier 5 coinsurance: Mail order - in-network</v>
      </c>
      <c r="M537" s="6"/>
      <c r="N537" s="7"/>
      <c r="O537" s="6"/>
      <c r="P537" s="7"/>
      <c r="Q537" s="6"/>
      <c r="R537" s="7"/>
      <c r="S537" s="6"/>
      <c r="T537" s="7"/>
      <c r="U537" s="6"/>
      <c r="V537" s="7"/>
      <c r="W537" s="6"/>
      <c r="X537" s="7"/>
    </row>
    <row r="538" spans="1:24" ht="25.5" x14ac:dyDescent="0.2">
      <c r="A538" s="6"/>
      <c r="B538" s="7"/>
      <c r="C538" s="6"/>
      <c r="D538" s="7"/>
      <c r="E538" s="6"/>
      <c r="F538" s="7"/>
      <c r="G538" s="6"/>
      <c r="H538" s="7"/>
      <c r="I538" s="6"/>
      <c r="J538" s="7"/>
      <c r="K538" s="96" t="str">
        <f>HYPERLINK("#'Healthcare'!TR1","Q6.3.47_6_1")</f>
        <v>Q6.3.47_6_1</v>
      </c>
      <c r="L538" s="93" t="str">
        <f>HYPERLINK("#'Healthcare'!TR2","Primary HDHP medical plan specialty coinsurance: Mail order - in-network")</f>
        <v>Primary HDHP medical plan specialty coinsurance: Mail order - in-network</v>
      </c>
      <c r="M538" s="6"/>
      <c r="N538" s="7"/>
      <c r="O538" s="6"/>
      <c r="P538" s="7"/>
      <c r="Q538" s="6"/>
      <c r="R538" s="7"/>
      <c r="S538" s="6"/>
      <c r="T538" s="7"/>
      <c r="U538" s="6"/>
      <c r="V538" s="7"/>
      <c r="W538" s="6"/>
      <c r="X538" s="7"/>
    </row>
    <row r="539" spans="1:24" ht="25.5" x14ac:dyDescent="0.2">
      <c r="A539" s="6"/>
      <c r="B539" s="7"/>
      <c r="C539" s="6"/>
      <c r="D539" s="7"/>
      <c r="E539" s="6"/>
      <c r="F539" s="7"/>
      <c r="G539" s="6"/>
      <c r="H539" s="7"/>
      <c r="I539" s="6"/>
      <c r="J539" s="7"/>
      <c r="K539" s="96" t="str">
        <f>HYPERLINK("#'Healthcare'!TS1","Q6.3.47_7_1")</f>
        <v>Q6.3.47_7_1</v>
      </c>
      <c r="L539" s="93" t="str">
        <f>HYPERLINK("#'Healthcare'!TS2","Primary HDHP medical plan Other coinsurance: Mail order - in-network")</f>
        <v>Primary HDHP medical plan Other coinsurance: Mail order - in-network</v>
      </c>
      <c r="M539" s="6"/>
      <c r="N539" s="7"/>
      <c r="O539" s="6"/>
      <c r="P539" s="7"/>
      <c r="Q539" s="6"/>
      <c r="R539" s="7"/>
      <c r="S539" s="6"/>
      <c r="T539" s="7"/>
      <c r="U539" s="6"/>
      <c r="V539" s="7"/>
      <c r="W539" s="6"/>
      <c r="X539" s="7"/>
    </row>
    <row r="540" spans="1:24" ht="25.5" x14ac:dyDescent="0.2">
      <c r="A540" s="6"/>
      <c r="B540" s="7"/>
      <c r="C540" s="6"/>
      <c r="D540" s="7"/>
      <c r="E540" s="6"/>
      <c r="F540" s="7"/>
      <c r="G540" s="6"/>
      <c r="H540" s="7"/>
      <c r="I540" s="6"/>
      <c r="J540" s="7"/>
      <c r="K540" s="96" t="str">
        <f>HYPERLINK("#'Healthcare'!TT1","Q6.3.48_1_1")</f>
        <v>Q6.3.48_1_1</v>
      </c>
      <c r="L540" s="93" t="str">
        <f>HYPERLINK("#'Healthcare'!TT2","Primary HDHP medical plan tier 1 coinsurance minimum: Mail order - in-network")</f>
        <v>Primary HDHP medical plan tier 1 coinsurance minimum: Mail order - in-network</v>
      </c>
      <c r="M540" s="6"/>
      <c r="N540" s="7"/>
      <c r="O540" s="6"/>
      <c r="P540" s="7"/>
      <c r="Q540" s="6"/>
      <c r="R540" s="7"/>
      <c r="S540" s="6"/>
      <c r="T540" s="7"/>
      <c r="U540" s="6"/>
      <c r="V540" s="7"/>
      <c r="W540" s="6"/>
      <c r="X540" s="7"/>
    </row>
    <row r="541" spans="1:24" ht="25.5" x14ac:dyDescent="0.2">
      <c r="A541" s="6"/>
      <c r="B541" s="7"/>
      <c r="C541" s="6"/>
      <c r="D541" s="7"/>
      <c r="E541" s="6"/>
      <c r="F541" s="7"/>
      <c r="G541" s="6"/>
      <c r="H541" s="7"/>
      <c r="I541" s="6"/>
      <c r="J541" s="7"/>
      <c r="K541" s="96" t="str">
        <f>HYPERLINK("#'Healthcare'!TU1","Q6.3.48_1_2")</f>
        <v>Q6.3.48_1_2</v>
      </c>
      <c r="L541" s="93" t="str">
        <f>HYPERLINK("#'Healthcare'!TU2","Primary HDHP medical plan tier 1 coinsurance maximum: Mail order - in-network")</f>
        <v>Primary HDHP medical plan tier 1 coinsurance maximum: Mail order - in-network</v>
      </c>
      <c r="M541" s="6"/>
      <c r="N541" s="7"/>
      <c r="O541" s="6"/>
      <c r="P541" s="7"/>
      <c r="Q541" s="6"/>
      <c r="R541" s="7"/>
      <c r="S541" s="6"/>
      <c r="T541" s="7"/>
      <c r="U541" s="6"/>
      <c r="V541" s="7"/>
      <c r="W541" s="6"/>
      <c r="X541" s="7"/>
    </row>
    <row r="542" spans="1:24" ht="25.5" x14ac:dyDescent="0.2">
      <c r="A542" s="6"/>
      <c r="B542" s="7"/>
      <c r="C542" s="6"/>
      <c r="D542" s="7"/>
      <c r="E542" s="6"/>
      <c r="F542" s="7"/>
      <c r="G542" s="6"/>
      <c r="H542" s="7"/>
      <c r="I542" s="6"/>
      <c r="J542" s="7"/>
      <c r="K542" s="96" t="str">
        <f>HYPERLINK("#'Healthcare'!TV1","Q6.3.48_2_1")</f>
        <v>Q6.3.48_2_1</v>
      </c>
      <c r="L542" s="93" t="str">
        <f>HYPERLINK("#'Healthcare'!TV2","Primary HDHP medical plan tier 2 coinsurance minimum: Mail order - in-network")</f>
        <v>Primary HDHP medical plan tier 2 coinsurance minimum: Mail order - in-network</v>
      </c>
      <c r="M542" s="6"/>
      <c r="N542" s="7"/>
      <c r="O542" s="6"/>
      <c r="P542" s="7"/>
      <c r="Q542" s="6"/>
      <c r="R542" s="7"/>
      <c r="S542" s="6"/>
      <c r="T542" s="7"/>
      <c r="U542" s="6"/>
      <c r="V542" s="7"/>
      <c r="W542" s="6"/>
      <c r="X542" s="7"/>
    </row>
    <row r="543" spans="1:24" ht="25.5" x14ac:dyDescent="0.2">
      <c r="A543" s="6"/>
      <c r="B543" s="7"/>
      <c r="C543" s="6"/>
      <c r="D543" s="7"/>
      <c r="E543" s="6"/>
      <c r="F543" s="7"/>
      <c r="G543" s="6"/>
      <c r="H543" s="7"/>
      <c r="I543" s="6"/>
      <c r="J543" s="7"/>
      <c r="K543" s="96" t="str">
        <f>HYPERLINK("#'Healthcare'!TW1","Q6.3.48_2_2")</f>
        <v>Q6.3.48_2_2</v>
      </c>
      <c r="L543" s="93" t="str">
        <f>HYPERLINK("#'Healthcare'!TW2","Primary HDHP medical plan tier 2 coinsurance maximum: Mail order - in-network")</f>
        <v>Primary HDHP medical plan tier 2 coinsurance maximum: Mail order - in-network</v>
      </c>
      <c r="M543" s="6"/>
      <c r="N543" s="7"/>
      <c r="O543" s="6"/>
      <c r="P543" s="7"/>
      <c r="Q543" s="6"/>
      <c r="R543" s="7"/>
      <c r="S543" s="6"/>
      <c r="T543" s="7"/>
      <c r="U543" s="6"/>
      <c r="V543" s="7"/>
      <c r="W543" s="6"/>
      <c r="X543" s="7"/>
    </row>
    <row r="544" spans="1:24" ht="25.5" x14ac:dyDescent="0.2">
      <c r="A544" s="6"/>
      <c r="B544" s="7"/>
      <c r="C544" s="6"/>
      <c r="D544" s="7"/>
      <c r="E544" s="6"/>
      <c r="F544" s="7"/>
      <c r="G544" s="6"/>
      <c r="H544" s="7"/>
      <c r="I544" s="6"/>
      <c r="J544" s="7"/>
      <c r="K544" s="96" t="str">
        <f>HYPERLINK("#'Healthcare'!TX1","Q6.3.48_3_1")</f>
        <v>Q6.3.48_3_1</v>
      </c>
      <c r="L544" s="93" t="str">
        <f>HYPERLINK("#'Healthcare'!TX2","Primary HDHP medical plan tier 3 coinsurance minimum: Mail order - in-network")</f>
        <v>Primary HDHP medical plan tier 3 coinsurance minimum: Mail order - in-network</v>
      </c>
      <c r="M544" s="6"/>
      <c r="N544" s="7"/>
      <c r="O544" s="6"/>
      <c r="P544" s="7"/>
      <c r="Q544" s="6"/>
      <c r="R544" s="7"/>
      <c r="S544" s="6"/>
      <c r="T544" s="7"/>
      <c r="U544" s="6"/>
      <c r="V544" s="7"/>
      <c r="W544" s="6"/>
      <c r="X544" s="7"/>
    </row>
    <row r="545" spans="1:24" ht="25.5" x14ac:dyDescent="0.2">
      <c r="A545" s="6"/>
      <c r="B545" s="7"/>
      <c r="C545" s="6"/>
      <c r="D545" s="7"/>
      <c r="E545" s="6"/>
      <c r="F545" s="7"/>
      <c r="G545" s="6"/>
      <c r="H545" s="7"/>
      <c r="I545" s="6"/>
      <c r="J545" s="7"/>
      <c r="K545" s="96" t="str">
        <f>HYPERLINK("#'Healthcare'!TY1","Q6.3.48_3_2")</f>
        <v>Q6.3.48_3_2</v>
      </c>
      <c r="L545" s="93" t="str">
        <f>HYPERLINK("#'Healthcare'!TY2","Primary HDHP medical plan tier 3 coinsurance maximum: Mail order - in-network")</f>
        <v>Primary HDHP medical plan tier 3 coinsurance maximum: Mail order - in-network</v>
      </c>
      <c r="M545" s="6"/>
      <c r="N545" s="7"/>
      <c r="O545" s="6"/>
      <c r="P545" s="7"/>
      <c r="Q545" s="6"/>
      <c r="R545" s="7"/>
      <c r="S545" s="6"/>
      <c r="T545" s="7"/>
      <c r="U545" s="6"/>
      <c r="V545" s="7"/>
      <c r="W545" s="6"/>
      <c r="X545" s="7"/>
    </row>
    <row r="546" spans="1:24" ht="25.5" x14ac:dyDescent="0.2">
      <c r="A546" s="6"/>
      <c r="B546" s="7"/>
      <c r="C546" s="6"/>
      <c r="D546" s="7"/>
      <c r="E546" s="6"/>
      <c r="F546" s="7"/>
      <c r="G546" s="6"/>
      <c r="H546" s="7"/>
      <c r="I546" s="6"/>
      <c r="J546" s="7"/>
      <c r="K546" s="96" t="str">
        <f>HYPERLINK("#'Healthcare'!TZ1","Q6.3.48_4_1")</f>
        <v>Q6.3.48_4_1</v>
      </c>
      <c r="L546" s="93" t="str">
        <f>HYPERLINK("#'Healthcare'!TZ2","Primary HDHP medical plan tier 4 coinsurance minimum: Mail order - in-network")</f>
        <v>Primary HDHP medical plan tier 4 coinsurance minimum: Mail order - in-network</v>
      </c>
      <c r="M546" s="6"/>
      <c r="N546" s="7"/>
      <c r="O546" s="6"/>
      <c r="P546" s="7"/>
      <c r="Q546" s="6"/>
      <c r="R546" s="7"/>
      <c r="S546" s="6"/>
      <c r="T546" s="7"/>
      <c r="U546" s="6"/>
      <c r="V546" s="7"/>
      <c r="W546" s="6"/>
      <c r="X546" s="7"/>
    </row>
    <row r="547" spans="1:24" ht="25.5" x14ac:dyDescent="0.2">
      <c r="A547" s="6"/>
      <c r="B547" s="7"/>
      <c r="C547" s="6"/>
      <c r="D547" s="7"/>
      <c r="E547" s="6"/>
      <c r="F547" s="7"/>
      <c r="G547" s="6"/>
      <c r="H547" s="7"/>
      <c r="I547" s="6"/>
      <c r="J547" s="7"/>
      <c r="K547" s="96" t="str">
        <f>HYPERLINK("#'Healthcare'!UA1","Q6.3.48_4_2")</f>
        <v>Q6.3.48_4_2</v>
      </c>
      <c r="L547" s="93" t="str">
        <f>HYPERLINK("#'Healthcare'!UA2","Primary HDHP medical plan tier 4 coinsurance maximum: Mail order - in-network")</f>
        <v>Primary HDHP medical plan tier 4 coinsurance maximum: Mail order - in-network</v>
      </c>
      <c r="M547" s="6"/>
      <c r="N547" s="7"/>
      <c r="O547" s="6"/>
      <c r="P547" s="7"/>
      <c r="Q547" s="6"/>
      <c r="R547" s="7"/>
      <c r="S547" s="6"/>
      <c r="T547" s="7"/>
      <c r="U547" s="6"/>
      <c r="V547" s="7"/>
      <c r="W547" s="6"/>
      <c r="X547" s="7"/>
    </row>
    <row r="548" spans="1:24" ht="25.5" x14ac:dyDescent="0.2">
      <c r="A548" s="6"/>
      <c r="B548" s="7"/>
      <c r="C548" s="6"/>
      <c r="D548" s="7"/>
      <c r="E548" s="6"/>
      <c r="F548" s="7"/>
      <c r="G548" s="6"/>
      <c r="H548" s="7"/>
      <c r="I548" s="6"/>
      <c r="J548" s="7"/>
      <c r="K548" s="96" t="str">
        <f>HYPERLINK("#'Healthcare'!UB1","Q6.3.48_5_1")</f>
        <v>Q6.3.48_5_1</v>
      </c>
      <c r="L548" s="93" t="str">
        <f>HYPERLINK("#'Healthcare'!UB2","Primary HDHP medical plan tier 5 coinsurance minimum: Mail order - in-network")</f>
        <v>Primary HDHP medical plan tier 5 coinsurance minimum: Mail order - in-network</v>
      </c>
      <c r="M548" s="6"/>
      <c r="N548" s="7"/>
      <c r="O548" s="6"/>
      <c r="P548" s="7"/>
      <c r="Q548" s="6"/>
      <c r="R548" s="7"/>
      <c r="S548" s="6"/>
      <c r="T548" s="7"/>
      <c r="U548" s="6"/>
      <c r="V548" s="7"/>
      <c r="W548" s="6"/>
      <c r="X548" s="7"/>
    </row>
    <row r="549" spans="1:24" ht="25.5" x14ac:dyDescent="0.2">
      <c r="A549" s="6"/>
      <c r="B549" s="7"/>
      <c r="C549" s="6"/>
      <c r="D549" s="7"/>
      <c r="E549" s="6"/>
      <c r="F549" s="7"/>
      <c r="G549" s="6"/>
      <c r="H549" s="7"/>
      <c r="I549" s="6"/>
      <c r="J549" s="7"/>
      <c r="K549" s="96" t="str">
        <f>HYPERLINK("#'Healthcare'!UC1","Q6.3.48_5_2")</f>
        <v>Q6.3.48_5_2</v>
      </c>
      <c r="L549" s="93" t="str">
        <f>HYPERLINK("#'Healthcare'!UC2","Primary HDHP medical plan tier 5 coinsurance maximum: Mail order - in-network")</f>
        <v>Primary HDHP medical plan tier 5 coinsurance maximum: Mail order - in-network</v>
      </c>
      <c r="M549" s="6"/>
      <c r="N549" s="7"/>
      <c r="O549" s="6"/>
      <c r="P549" s="7"/>
      <c r="Q549" s="6"/>
      <c r="R549" s="7"/>
      <c r="S549" s="6"/>
      <c r="T549" s="7"/>
      <c r="U549" s="6"/>
      <c r="V549" s="7"/>
      <c r="W549" s="6"/>
      <c r="X549" s="7"/>
    </row>
    <row r="550" spans="1:24" ht="25.5" x14ac:dyDescent="0.2">
      <c r="A550" s="6"/>
      <c r="B550" s="7"/>
      <c r="C550" s="6"/>
      <c r="D550" s="7"/>
      <c r="E550" s="6"/>
      <c r="F550" s="7"/>
      <c r="G550" s="6"/>
      <c r="H550" s="7"/>
      <c r="I550" s="6"/>
      <c r="J550" s="7"/>
      <c r="K550" s="96" t="str">
        <f>HYPERLINK("#'Healthcare'!UD1","Q6.3.48_6_1")</f>
        <v>Q6.3.48_6_1</v>
      </c>
      <c r="L550" s="93" t="str">
        <f>HYPERLINK("#'Healthcare'!UD2","Primary HDHP medical plan specialty coinsurance minimum: Mail order - in-network")</f>
        <v>Primary HDHP medical plan specialty coinsurance minimum: Mail order - in-network</v>
      </c>
      <c r="M550" s="6"/>
      <c r="N550" s="7"/>
      <c r="O550" s="6"/>
      <c r="P550" s="7"/>
      <c r="Q550" s="6"/>
      <c r="R550" s="7"/>
      <c r="S550" s="6"/>
      <c r="T550" s="7"/>
      <c r="U550" s="6"/>
      <c r="V550" s="7"/>
      <c r="W550" s="6"/>
      <c r="X550" s="7"/>
    </row>
    <row r="551" spans="1:24" ht="25.5" x14ac:dyDescent="0.2">
      <c r="A551" s="6"/>
      <c r="B551" s="7"/>
      <c r="C551" s="6"/>
      <c r="D551" s="7"/>
      <c r="E551" s="6"/>
      <c r="F551" s="7"/>
      <c r="G551" s="6"/>
      <c r="H551" s="7"/>
      <c r="I551" s="6"/>
      <c r="J551" s="7"/>
      <c r="K551" s="96" t="str">
        <f>HYPERLINK("#'Healthcare'!UE1","Q6.3.48_6_2")</f>
        <v>Q6.3.48_6_2</v>
      </c>
      <c r="L551" s="93" t="str">
        <f>HYPERLINK("#'Healthcare'!UE2","Primary HDHP medical plan specialty coinsurance maximum: Mail order - in-network")</f>
        <v>Primary HDHP medical plan specialty coinsurance maximum: Mail order - in-network</v>
      </c>
      <c r="M551" s="6"/>
      <c r="N551" s="7"/>
      <c r="O551" s="6"/>
      <c r="P551" s="7"/>
      <c r="Q551" s="6"/>
      <c r="R551" s="7"/>
      <c r="S551" s="6"/>
      <c r="T551" s="7"/>
      <c r="U551" s="6"/>
      <c r="V551" s="7"/>
      <c r="W551" s="6"/>
      <c r="X551" s="7"/>
    </row>
    <row r="552" spans="1:24" ht="25.5" x14ac:dyDescent="0.2">
      <c r="A552" s="6"/>
      <c r="B552" s="7"/>
      <c r="C552" s="6"/>
      <c r="D552" s="7"/>
      <c r="E552" s="6"/>
      <c r="F552" s="7"/>
      <c r="G552" s="6"/>
      <c r="H552" s="7"/>
      <c r="I552" s="6"/>
      <c r="J552" s="7"/>
      <c r="K552" s="96" t="str">
        <f>HYPERLINK("#'Healthcare'!UF1","Q6.3.48_7_1")</f>
        <v>Q6.3.48_7_1</v>
      </c>
      <c r="L552" s="93" t="str">
        <f>HYPERLINK("#'Healthcare'!UF2","Primary HDHP medical plan Other coinsurance minimum: Mail order - in-network")</f>
        <v>Primary HDHP medical plan Other coinsurance minimum: Mail order - in-network</v>
      </c>
      <c r="M552" s="6"/>
      <c r="N552" s="7"/>
      <c r="O552" s="6"/>
      <c r="P552" s="7"/>
      <c r="Q552" s="6"/>
      <c r="R552" s="7"/>
      <c r="S552" s="6"/>
      <c r="T552" s="7"/>
      <c r="U552" s="6"/>
      <c r="V552" s="7"/>
      <c r="W552" s="6"/>
      <c r="X552" s="7"/>
    </row>
    <row r="553" spans="1:24" ht="25.5" x14ac:dyDescent="0.2">
      <c r="A553" s="6"/>
      <c r="B553" s="7"/>
      <c r="C553" s="6"/>
      <c r="D553" s="7"/>
      <c r="E553" s="6"/>
      <c r="F553" s="7"/>
      <c r="G553" s="6"/>
      <c r="H553" s="7"/>
      <c r="I553" s="6"/>
      <c r="J553" s="7"/>
      <c r="K553" s="96" t="str">
        <f>HYPERLINK("#'Healthcare'!UG1","Q6.3.48_7_2")</f>
        <v>Q6.3.48_7_2</v>
      </c>
      <c r="L553" s="93" t="str">
        <f>HYPERLINK("#'Healthcare'!UG2","Primary HDHP medical plan Other coinsurance maximum: Mail order - in-network")</f>
        <v>Primary HDHP medical plan Other coinsurance maximum: Mail order - in-network</v>
      </c>
      <c r="M553" s="6"/>
      <c r="N553" s="7"/>
      <c r="O553" s="6"/>
      <c r="P553" s="7"/>
      <c r="Q553" s="6"/>
      <c r="R553" s="7"/>
      <c r="S553" s="6"/>
      <c r="T553" s="7"/>
      <c r="U553" s="6"/>
      <c r="V553" s="7"/>
      <c r="W553" s="6"/>
      <c r="X553" s="7"/>
    </row>
    <row r="554" spans="1:24" ht="25.5" x14ac:dyDescent="0.2">
      <c r="A554" s="6"/>
      <c r="B554" s="7"/>
      <c r="C554" s="6"/>
      <c r="D554" s="7"/>
      <c r="E554" s="6"/>
      <c r="F554" s="7"/>
      <c r="G554" s="6"/>
      <c r="H554" s="7"/>
      <c r="I554" s="6"/>
      <c r="J554" s="7"/>
      <c r="K554" s="96" t="str">
        <f>HYPERLINK("#'Healthcare'!UH1","Q6.3.49_1_1")</f>
        <v>Q6.3.49_1_1</v>
      </c>
      <c r="L554" s="93" t="str">
        <f>HYPERLINK("#'Healthcare'!UH2","Primary HDHP medical plan tier 1 coinsurance: Mail order - out-of-network")</f>
        <v>Primary HDHP medical plan tier 1 coinsurance: Mail order - out-of-network</v>
      </c>
      <c r="M554" s="6"/>
      <c r="N554" s="7"/>
      <c r="O554" s="6"/>
      <c r="P554" s="7"/>
      <c r="Q554" s="6"/>
      <c r="R554" s="7"/>
      <c r="S554" s="6"/>
      <c r="T554" s="7"/>
      <c r="U554" s="6"/>
      <c r="V554" s="7"/>
      <c r="W554" s="6"/>
      <c r="X554" s="7"/>
    </row>
    <row r="555" spans="1:24" ht="25.5" x14ac:dyDescent="0.2">
      <c r="A555" s="6"/>
      <c r="B555" s="7"/>
      <c r="C555" s="6"/>
      <c r="D555" s="7"/>
      <c r="E555" s="6"/>
      <c r="F555" s="7"/>
      <c r="G555" s="6"/>
      <c r="H555" s="7"/>
      <c r="I555" s="6"/>
      <c r="J555" s="7"/>
      <c r="K555" s="96" t="str">
        <f>HYPERLINK("#'Healthcare'!UI1","Q6.3.49_2_1")</f>
        <v>Q6.3.49_2_1</v>
      </c>
      <c r="L555" s="93" t="str">
        <f>HYPERLINK("#'Healthcare'!UI2","Primary HDHP medical plan tier 2 coinsurance: Mail order - out-of-network")</f>
        <v>Primary HDHP medical plan tier 2 coinsurance: Mail order - out-of-network</v>
      </c>
      <c r="M555" s="6"/>
      <c r="N555" s="7"/>
      <c r="O555" s="6"/>
      <c r="P555" s="7"/>
      <c r="Q555" s="6"/>
      <c r="R555" s="7"/>
      <c r="S555" s="6"/>
      <c r="T555" s="7"/>
      <c r="U555" s="6"/>
      <c r="V555" s="7"/>
      <c r="W555" s="6"/>
      <c r="X555" s="7"/>
    </row>
    <row r="556" spans="1:24" ht="25.5" x14ac:dyDescent="0.2">
      <c r="A556" s="6"/>
      <c r="B556" s="7"/>
      <c r="C556" s="6"/>
      <c r="D556" s="7"/>
      <c r="E556" s="6"/>
      <c r="F556" s="7"/>
      <c r="G556" s="6"/>
      <c r="H556" s="7"/>
      <c r="I556" s="6"/>
      <c r="J556" s="7"/>
      <c r="K556" s="96" t="str">
        <f>HYPERLINK("#'Healthcare'!UJ1","Q6.3.49_3_1")</f>
        <v>Q6.3.49_3_1</v>
      </c>
      <c r="L556" s="93" t="str">
        <f>HYPERLINK("#'Healthcare'!UJ2","Primary HDHP medical plan tier 3 coinsurance: Mail order - out-of-network")</f>
        <v>Primary HDHP medical plan tier 3 coinsurance: Mail order - out-of-network</v>
      </c>
      <c r="M556" s="6"/>
      <c r="N556" s="7"/>
      <c r="O556" s="6"/>
      <c r="P556" s="7"/>
      <c r="Q556" s="6"/>
      <c r="R556" s="7"/>
      <c r="S556" s="6"/>
      <c r="T556" s="7"/>
      <c r="U556" s="6"/>
      <c r="V556" s="7"/>
      <c r="W556" s="6"/>
      <c r="X556" s="7"/>
    </row>
    <row r="557" spans="1:24" ht="25.5" x14ac:dyDescent="0.2">
      <c r="A557" s="6"/>
      <c r="B557" s="7"/>
      <c r="C557" s="6"/>
      <c r="D557" s="7"/>
      <c r="E557" s="6"/>
      <c r="F557" s="7"/>
      <c r="G557" s="6"/>
      <c r="H557" s="7"/>
      <c r="I557" s="6"/>
      <c r="J557" s="7"/>
      <c r="K557" s="96" t="str">
        <f>HYPERLINK("#'Healthcare'!UK1","Q6.3.49_4_1")</f>
        <v>Q6.3.49_4_1</v>
      </c>
      <c r="L557" s="93" t="str">
        <f>HYPERLINK("#'Healthcare'!UK2","Primary HDHP medical plan tier 4 coinsurance: Mail order - out-of-network")</f>
        <v>Primary HDHP medical plan tier 4 coinsurance: Mail order - out-of-network</v>
      </c>
      <c r="M557" s="6"/>
      <c r="N557" s="7"/>
      <c r="O557" s="6"/>
      <c r="P557" s="7"/>
      <c r="Q557" s="6"/>
      <c r="R557" s="7"/>
      <c r="S557" s="6"/>
      <c r="T557" s="7"/>
      <c r="U557" s="6"/>
      <c r="V557" s="7"/>
      <c r="W557" s="6"/>
      <c r="X557" s="7"/>
    </row>
    <row r="558" spans="1:24" ht="25.5" x14ac:dyDescent="0.2">
      <c r="A558" s="6"/>
      <c r="B558" s="7"/>
      <c r="C558" s="6"/>
      <c r="D558" s="7"/>
      <c r="E558" s="6"/>
      <c r="F558" s="7"/>
      <c r="G558" s="6"/>
      <c r="H558" s="7"/>
      <c r="I558" s="6"/>
      <c r="J558" s="7"/>
      <c r="K558" s="96" t="str">
        <f>HYPERLINK("#'Healthcare'!UL1","Q6.3.49_5_1")</f>
        <v>Q6.3.49_5_1</v>
      </c>
      <c r="L558" s="93" t="str">
        <f>HYPERLINK("#'Healthcare'!UL2","Primary HDHP medical plan tier 5 coinsurance: Mail order - out-of-network")</f>
        <v>Primary HDHP medical plan tier 5 coinsurance: Mail order - out-of-network</v>
      </c>
      <c r="M558" s="6"/>
      <c r="N558" s="7"/>
      <c r="O558" s="6"/>
      <c r="P558" s="7"/>
      <c r="Q558" s="6"/>
      <c r="R558" s="7"/>
      <c r="S558" s="6"/>
      <c r="T558" s="7"/>
      <c r="U558" s="6"/>
      <c r="V558" s="7"/>
      <c r="W558" s="6"/>
      <c r="X558" s="7"/>
    </row>
    <row r="559" spans="1:24" ht="25.5" x14ac:dyDescent="0.2">
      <c r="A559" s="6"/>
      <c r="B559" s="7"/>
      <c r="C559" s="6"/>
      <c r="D559" s="7"/>
      <c r="E559" s="6"/>
      <c r="F559" s="7"/>
      <c r="G559" s="6"/>
      <c r="H559" s="7"/>
      <c r="I559" s="6"/>
      <c r="J559" s="7"/>
      <c r="K559" s="96" t="str">
        <f>HYPERLINK("#'Healthcare'!UM1","Q6.3.49_6_1")</f>
        <v>Q6.3.49_6_1</v>
      </c>
      <c r="L559" s="93" t="str">
        <f>HYPERLINK("#'Healthcare'!UM2","Primary HDHP medical plan specialty coinsurance: Mail order - out-of-network")</f>
        <v>Primary HDHP medical plan specialty coinsurance: Mail order - out-of-network</v>
      </c>
      <c r="M559" s="6"/>
      <c r="N559" s="7"/>
      <c r="O559" s="6"/>
      <c r="P559" s="7"/>
      <c r="Q559" s="6"/>
      <c r="R559" s="7"/>
      <c r="S559" s="6"/>
      <c r="T559" s="7"/>
      <c r="U559" s="6"/>
      <c r="V559" s="7"/>
      <c r="W559" s="6"/>
      <c r="X559" s="7"/>
    </row>
    <row r="560" spans="1:24" ht="25.5" x14ac:dyDescent="0.2">
      <c r="A560" s="6"/>
      <c r="B560" s="7"/>
      <c r="C560" s="6"/>
      <c r="D560" s="7"/>
      <c r="E560" s="6"/>
      <c r="F560" s="7"/>
      <c r="G560" s="6"/>
      <c r="H560" s="7"/>
      <c r="I560" s="6"/>
      <c r="J560" s="7"/>
      <c r="K560" s="96" t="str">
        <f>HYPERLINK("#'Healthcare'!UN1","Q6.3.49_7_1")</f>
        <v>Q6.3.49_7_1</v>
      </c>
      <c r="L560" s="93" t="str">
        <f>HYPERLINK("#'Healthcare'!UN2","Primary HDHP medical plan Other coinsurance: Mail order - out-of-network")</f>
        <v>Primary HDHP medical plan Other coinsurance: Mail order - out-of-network</v>
      </c>
      <c r="M560" s="6"/>
      <c r="N560" s="7"/>
      <c r="O560" s="6"/>
      <c r="P560" s="7"/>
      <c r="Q560" s="6"/>
      <c r="R560" s="7"/>
      <c r="S560" s="6"/>
      <c r="T560" s="7"/>
      <c r="U560" s="6"/>
      <c r="V560" s="7"/>
      <c r="W560" s="6"/>
      <c r="X560" s="7"/>
    </row>
    <row r="561" spans="1:24" ht="25.5" x14ac:dyDescent="0.2">
      <c r="A561" s="6"/>
      <c r="B561" s="7"/>
      <c r="C561" s="6"/>
      <c r="D561" s="7"/>
      <c r="E561" s="6"/>
      <c r="F561" s="7"/>
      <c r="G561" s="6"/>
      <c r="H561" s="7"/>
      <c r="I561" s="6"/>
      <c r="J561" s="7"/>
      <c r="K561" s="96" t="str">
        <f>HYPERLINK("#'Healthcare'!UO1","Q6.3.50_1_1")</f>
        <v>Q6.3.50_1_1</v>
      </c>
      <c r="L561" s="93" t="str">
        <f>HYPERLINK("#'Healthcare'!UO2","Primary HDHP medical plan tier 1 coinsurance minimum: Mail order - out-of-network")</f>
        <v>Primary HDHP medical plan tier 1 coinsurance minimum: Mail order - out-of-network</v>
      </c>
      <c r="M561" s="6"/>
      <c r="N561" s="7"/>
      <c r="O561" s="6"/>
      <c r="P561" s="7"/>
      <c r="Q561" s="6"/>
      <c r="R561" s="7"/>
      <c r="S561" s="6"/>
      <c r="T561" s="7"/>
      <c r="U561" s="6"/>
      <c r="V561" s="7"/>
      <c r="W561" s="6"/>
      <c r="X561" s="7"/>
    </row>
    <row r="562" spans="1:24" ht="25.5" x14ac:dyDescent="0.2">
      <c r="A562" s="6"/>
      <c r="B562" s="7"/>
      <c r="C562" s="6"/>
      <c r="D562" s="7"/>
      <c r="E562" s="6"/>
      <c r="F562" s="7"/>
      <c r="G562" s="6"/>
      <c r="H562" s="7"/>
      <c r="I562" s="6"/>
      <c r="J562" s="7"/>
      <c r="K562" s="96" t="str">
        <f>HYPERLINK("#'Healthcare'!UP1","Q6.3.50_1_2")</f>
        <v>Q6.3.50_1_2</v>
      </c>
      <c r="L562" s="93" t="str">
        <f>HYPERLINK("#'Healthcare'!UP2","Primary HDHP medical plan tier 1 coinsurance maximum: Mail order - out-of-network")</f>
        <v>Primary HDHP medical plan tier 1 coinsurance maximum: Mail order - out-of-network</v>
      </c>
      <c r="M562" s="6"/>
      <c r="N562" s="7"/>
      <c r="O562" s="6"/>
      <c r="P562" s="7"/>
      <c r="Q562" s="6"/>
      <c r="R562" s="7"/>
      <c r="S562" s="6"/>
      <c r="T562" s="7"/>
      <c r="U562" s="6"/>
      <c r="V562" s="7"/>
      <c r="W562" s="6"/>
      <c r="X562" s="7"/>
    </row>
    <row r="563" spans="1:24" ht="25.5" x14ac:dyDescent="0.2">
      <c r="A563" s="6"/>
      <c r="B563" s="7"/>
      <c r="C563" s="6"/>
      <c r="D563" s="7"/>
      <c r="E563" s="6"/>
      <c r="F563" s="7"/>
      <c r="G563" s="6"/>
      <c r="H563" s="7"/>
      <c r="I563" s="6"/>
      <c r="J563" s="7"/>
      <c r="K563" s="96" t="str">
        <f>HYPERLINK("#'Healthcare'!UQ1","Q6.3.50_2_1")</f>
        <v>Q6.3.50_2_1</v>
      </c>
      <c r="L563" s="93" t="str">
        <f>HYPERLINK("#'Healthcare'!UQ2","Primary HDHP medical plan tier 2 coinsurance minimum: Mail order - out-of-network")</f>
        <v>Primary HDHP medical plan tier 2 coinsurance minimum: Mail order - out-of-network</v>
      </c>
      <c r="M563" s="6"/>
      <c r="N563" s="7"/>
      <c r="O563" s="6"/>
      <c r="P563" s="7"/>
      <c r="Q563" s="6"/>
      <c r="R563" s="7"/>
      <c r="S563" s="6"/>
      <c r="T563" s="7"/>
      <c r="U563" s="6"/>
      <c r="V563" s="7"/>
      <c r="W563" s="6"/>
      <c r="X563" s="7"/>
    </row>
    <row r="564" spans="1:24" ht="25.5" x14ac:dyDescent="0.2">
      <c r="A564" s="6"/>
      <c r="B564" s="7"/>
      <c r="C564" s="6"/>
      <c r="D564" s="7"/>
      <c r="E564" s="6"/>
      <c r="F564" s="7"/>
      <c r="G564" s="6"/>
      <c r="H564" s="7"/>
      <c r="I564" s="6"/>
      <c r="J564" s="7"/>
      <c r="K564" s="96" t="str">
        <f>HYPERLINK("#'Healthcare'!UR1","Q6.3.50_2_2")</f>
        <v>Q6.3.50_2_2</v>
      </c>
      <c r="L564" s="93" t="str">
        <f>HYPERLINK("#'Healthcare'!UR2","Primary HDHP medical plan tier 2 coinsurance maximum: Mail order - out-of-network")</f>
        <v>Primary HDHP medical plan tier 2 coinsurance maximum: Mail order - out-of-network</v>
      </c>
      <c r="M564" s="6"/>
      <c r="N564" s="7"/>
      <c r="O564" s="6"/>
      <c r="P564" s="7"/>
      <c r="Q564" s="6"/>
      <c r="R564" s="7"/>
      <c r="S564" s="6"/>
      <c r="T564" s="7"/>
      <c r="U564" s="6"/>
      <c r="V564" s="7"/>
      <c r="W564" s="6"/>
      <c r="X564" s="7"/>
    </row>
    <row r="565" spans="1:24" ht="25.5" x14ac:dyDescent="0.2">
      <c r="A565" s="6"/>
      <c r="B565" s="7"/>
      <c r="C565" s="6"/>
      <c r="D565" s="7"/>
      <c r="E565" s="6"/>
      <c r="F565" s="7"/>
      <c r="G565" s="6"/>
      <c r="H565" s="7"/>
      <c r="I565" s="6"/>
      <c r="J565" s="7"/>
      <c r="K565" s="96" t="str">
        <f>HYPERLINK("#'Healthcare'!US1","Q6.3.50_3_1")</f>
        <v>Q6.3.50_3_1</v>
      </c>
      <c r="L565" s="93" t="str">
        <f>HYPERLINK("#'Healthcare'!US2","Primary HDHP medical plan tier 3 coinsurance minimum: Mail order - out-of-network")</f>
        <v>Primary HDHP medical plan tier 3 coinsurance minimum: Mail order - out-of-network</v>
      </c>
      <c r="M565" s="6"/>
      <c r="N565" s="7"/>
      <c r="O565" s="6"/>
      <c r="P565" s="7"/>
      <c r="Q565" s="6"/>
      <c r="R565" s="7"/>
      <c r="S565" s="6"/>
      <c r="T565" s="7"/>
      <c r="U565" s="6"/>
      <c r="V565" s="7"/>
      <c r="W565" s="6"/>
      <c r="X565" s="7"/>
    </row>
    <row r="566" spans="1:24" ht="25.5" x14ac:dyDescent="0.2">
      <c r="A566" s="6"/>
      <c r="B566" s="7"/>
      <c r="C566" s="6"/>
      <c r="D566" s="7"/>
      <c r="E566" s="6"/>
      <c r="F566" s="7"/>
      <c r="G566" s="6"/>
      <c r="H566" s="7"/>
      <c r="I566" s="6"/>
      <c r="J566" s="7"/>
      <c r="K566" s="96" t="str">
        <f>HYPERLINK("#'Healthcare'!UT1","Q6.3.50_3_2")</f>
        <v>Q6.3.50_3_2</v>
      </c>
      <c r="L566" s="93" t="str">
        <f>HYPERLINK("#'Healthcare'!UT2","Primary HDHP medical plan tier 3 coinsurance maximum: Mail order - out-of-network")</f>
        <v>Primary HDHP medical plan tier 3 coinsurance maximum: Mail order - out-of-network</v>
      </c>
      <c r="M566" s="6"/>
      <c r="N566" s="7"/>
      <c r="O566" s="6"/>
      <c r="P566" s="7"/>
      <c r="Q566" s="6"/>
      <c r="R566" s="7"/>
      <c r="S566" s="6"/>
      <c r="T566" s="7"/>
      <c r="U566" s="6"/>
      <c r="V566" s="7"/>
      <c r="W566" s="6"/>
      <c r="X566" s="7"/>
    </row>
    <row r="567" spans="1:24" ht="25.5" x14ac:dyDescent="0.2">
      <c r="A567" s="6"/>
      <c r="B567" s="7"/>
      <c r="C567" s="6"/>
      <c r="D567" s="7"/>
      <c r="E567" s="6"/>
      <c r="F567" s="7"/>
      <c r="G567" s="6"/>
      <c r="H567" s="7"/>
      <c r="I567" s="6"/>
      <c r="J567" s="7"/>
      <c r="K567" s="96" t="str">
        <f>HYPERLINK("#'Healthcare'!UU1","Q6.3.50_4_1")</f>
        <v>Q6.3.50_4_1</v>
      </c>
      <c r="L567" s="93" t="str">
        <f>HYPERLINK("#'Healthcare'!UU2","Primary HDHP medical plan tier 4 coinsurance minimum: Mail order - out-of-network")</f>
        <v>Primary HDHP medical plan tier 4 coinsurance minimum: Mail order - out-of-network</v>
      </c>
      <c r="M567" s="6"/>
      <c r="N567" s="7"/>
      <c r="O567" s="6"/>
      <c r="P567" s="7"/>
      <c r="Q567" s="6"/>
      <c r="R567" s="7"/>
      <c r="S567" s="6"/>
      <c r="T567" s="7"/>
      <c r="U567" s="6"/>
      <c r="V567" s="7"/>
      <c r="W567" s="6"/>
      <c r="X567" s="7"/>
    </row>
    <row r="568" spans="1:24" ht="25.5" x14ac:dyDescent="0.2">
      <c r="A568" s="6"/>
      <c r="B568" s="7"/>
      <c r="C568" s="6"/>
      <c r="D568" s="7"/>
      <c r="E568" s="6"/>
      <c r="F568" s="7"/>
      <c r="G568" s="6"/>
      <c r="H568" s="7"/>
      <c r="I568" s="6"/>
      <c r="J568" s="7"/>
      <c r="K568" s="96" t="str">
        <f>HYPERLINK("#'Healthcare'!UV1","Q6.3.50_4_2")</f>
        <v>Q6.3.50_4_2</v>
      </c>
      <c r="L568" s="93" t="str">
        <f>HYPERLINK("#'Healthcare'!UV2","Primary HDHP medical plan tier 4 coinsurance maximum: Mail order - out-of-network")</f>
        <v>Primary HDHP medical plan tier 4 coinsurance maximum: Mail order - out-of-network</v>
      </c>
      <c r="M568" s="6"/>
      <c r="N568" s="7"/>
      <c r="O568" s="6"/>
      <c r="P568" s="7"/>
      <c r="Q568" s="6"/>
      <c r="R568" s="7"/>
      <c r="S568" s="6"/>
      <c r="T568" s="7"/>
      <c r="U568" s="6"/>
      <c r="V568" s="7"/>
      <c r="W568" s="6"/>
      <c r="X568" s="7"/>
    </row>
    <row r="569" spans="1:24" ht="25.5" x14ac:dyDescent="0.2">
      <c r="A569" s="6"/>
      <c r="B569" s="7"/>
      <c r="C569" s="6"/>
      <c r="D569" s="7"/>
      <c r="E569" s="6"/>
      <c r="F569" s="7"/>
      <c r="G569" s="6"/>
      <c r="H569" s="7"/>
      <c r="I569" s="6"/>
      <c r="J569" s="7"/>
      <c r="K569" s="96" t="str">
        <f>HYPERLINK("#'Healthcare'!UW1","Q6.3.50_5_1")</f>
        <v>Q6.3.50_5_1</v>
      </c>
      <c r="L569" s="93" t="str">
        <f>HYPERLINK("#'Healthcare'!UW2","Primary HDHP medical plan tier 5 coinsurance minimum: Mail order - out-of-network")</f>
        <v>Primary HDHP medical plan tier 5 coinsurance minimum: Mail order - out-of-network</v>
      </c>
      <c r="M569" s="6"/>
      <c r="N569" s="7"/>
      <c r="O569" s="6"/>
      <c r="P569" s="7"/>
      <c r="Q569" s="6"/>
      <c r="R569" s="7"/>
      <c r="S569" s="6"/>
      <c r="T569" s="7"/>
      <c r="U569" s="6"/>
      <c r="V569" s="7"/>
      <c r="W569" s="6"/>
      <c r="X569" s="7"/>
    </row>
    <row r="570" spans="1:24" ht="25.5" x14ac:dyDescent="0.2">
      <c r="A570" s="6"/>
      <c r="B570" s="7"/>
      <c r="C570" s="6"/>
      <c r="D570" s="7"/>
      <c r="E570" s="6"/>
      <c r="F570" s="7"/>
      <c r="G570" s="6"/>
      <c r="H570" s="7"/>
      <c r="I570" s="6"/>
      <c r="J570" s="7"/>
      <c r="K570" s="96" t="str">
        <f>HYPERLINK("#'Healthcare'!UX1","Q6.3.50_5_2")</f>
        <v>Q6.3.50_5_2</v>
      </c>
      <c r="L570" s="93" t="str">
        <f>HYPERLINK("#'Healthcare'!UX2","Primary HDHP medical plan tier 5 coinsurance maximum: Mail order - out-of-network")</f>
        <v>Primary HDHP medical plan tier 5 coinsurance maximum: Mail order - out-of-network</v>
      </c>
      <c r="M570" s="6"/>
      <c r="N570" s="7"/>
      <c r="O570" s="6"/>
      <c r="P570" s="7"/>
      <c r="Q570" s="6"/>
      <c r="R570" s="7"/>
      <c r="S570" s="6"/>
      <c r="T570" s="7"/>
      <c r="U570" s="6"/>
      <c r="V570" s="7"/>
      <c r="W570" s="6"/>
      <c r="X570" s="7"/>
    </row>
    <row r="571" spans="1:24" ht="38.25" x14ac:dyDescent="0.2">
      <c r="A571" s="6"/>
      <c r="B571" s="7"/>
      <c r="C571" s="6"/>
      <c r="D571" s="7"/>
      <c r="E571" s="6"/>
      <c r="F571" s="7"/>
      <c r="G571" s="6"/>
      <c r="H571" s="7"/>
      <c r="I571" s="6"/>
      <c r="J571" s="7"/>
      <c r="K571" s="96" t="str">
        <f>HYPERLINK("#'Healthcare'!UY1","Q6.3.50_6_1")</f>
        <v>Q6.3.50_6_1</v>
      </c>
      <c r="L571" s="93" t="str">
        <f>HYPERLINK("#'Healthcare'!UY2","Primary HDHP medical plan specialty coinsurance minimum: Mail order - out-of-network")</f>
        <v>Primary HDHP medical plan specialty coinsurance minimum: Mail order - out-of-network</v>
      </c>
      <c r="M571" s="6"/>
      <c r="N571" s="7"/>
      <c r="O571" s="6"/>
      <c r="P571" s="7"/>
      <c r="Q571" s="6"/>
      <c r="R571" s="7"/>
      <c r="S571" s="6"/>
      <c r="T571" s="7"/>
      <c r="U571" s="6"/>
      <c r="V571" s="7"/>
      <c r="W571" s="6"/>
      <c r="X571" s="7"/>
    </row>
    <row r="572" spans="1:24" ht="38.25" x14ac:dyDescent="0.2">
      <c r="A572" s="6"/>
      <c r="B572" s="7"/>
      <c r="C572" s="6"/>
      <c r="D572" s="7"/>
      <c r="E572" s="6"/>
      <c r="F572" s="7"/>
      <c r="G572" s="6"/>
      <c r="H572" s="7"/>
      <c r="I572" s="6"/>
      <c r="J572" s="7"/>
      <c r="K572" s="96" t="str">
        <f>HYPERLINK("#'Healthcare'!UZ1","Q6.3.50_6_2")</f>
        <v>Q6.3.50_6_2</v>
      </c>
      <c r="L572" s="93" t="str">
        <f>HYPERLINK("#'Healthcare'!UZ2","Primary HDHP medical plan specialty coinsurance maximum: Mail order - out-of-network")</f>
        <v>Primary HDHP medical plan specialty coinsurance maximum: Mail order - out-of-network</v>
      </c>
      <c r="M572" s="6"/>
      <c r="N572" s="7"/>
      <c r="O572" s="6"/>
      <c r="P572" s="7"/>
      <c r="Q572" s="6"/>
      <c r="R572" s="7"/>
      <c r="S572" s="6"/>
      <c r="T572" s="7"/>
      <c r="U572" s="6"/>
      <c r="V572" s="7"/>
      <c r="W572" s="6"/>
      <c r="X572" s="7"/>
    </row>
    <row r="573" spans="1:24" ht="38.25" x14ac:dyDescent="0.2">
      <c r="A573" s="6"/>
      <c r="B573" s="7"/>
      <c r="C573" s="6"/>
      <c r="D573" s="7"/>
      <c r="E573" s="6"/>
      <c r="F573" s="7"/>
      <c r="G573" s="6"/>
      <c r="H573" s="7"/>
      <c r="I573" s="6"/>
      <c r="J573" s="7"/>
      <c r="K573" s="96" t="str">
        <f>HYPERLINK("#'Healthcare'!VA1","Q6.3.50_7_1")</f>
        <v>Q6.3.50_7_1</v>
      </c>
      <c r="L573" s="93" t="str">
        <f>HYPERLINK("#'Healthcare'!VA2","Primary HDHP medical plan Other coinsurance minimum: Mail order - out-of-network")</f>
        <v>Primary HDHP medical plan Other coinsurance minimum: Mail order - out-of-network</v>
      </c>
      <c r="M573" s="6"/>
      <c r="N573" s="7"/>
      <c r="O573" s="6"/>
      <c r="P573" s="7"/>
      <c r="Q573" s="6"/>
      <c r="R573" s="7"/>
      <c r="S573" s="6"/>
      <c r="T573" s="7"/>
      <c r="U573" s="6"/>
      <c r="V573" s="7"/>
      <c r="W573" s="6"/>
      <c r="X573" s="7"/>
    </row>
    <row r="574" spans="1:24" ht="38.25" x14ac:dyDescent="0.2">
      <c r="A574" s="6"/>
      <c r="B574" s="7"/>
      <c r="C574" s="6"/>
      <c r="D574" s="7"/>
      <c r="E574" s="6"/>
      <c r="F574" s="7"/>
      <c r="G574" s="6"/>
      <c r="H574" s="7"/>
      <c r="I574" s="6"/>
      <c r="J574" s="7"/>
      <c r="K574" s="96" t="str">
        <f>HYPERLINK("#'Healthcare'!VB1","Q6.3.50_7_2")</f>
        <v>Q6.3.50_7_2</v>
      </c>
      <c r="L574" s="93" t="str">
        <f>HYPERLINK("#'Healthcare'!VB2","Primary HDHP medical plan Other coinsurance maximum: Mail order - out-of-network")</f>
        <v>Primary HDHP medical plan Other coinsurance maximum: Mail order - out-of-network</v>
      </c>
      <c r="M574" s="6"/>
      <c r="N574" s="7"/>
      <c r="O574" s="6"/>
      <c r="P574" s="7"/>
      <c r="Q574" s="6"/>
      <c r="R574" s="7"/>
      <c r="S574" s="6"/>
      <c r="T574" s="7"/>
      <c r="U574" s="6"/>
      <c r="V574" s="7"/>
      <c r="W574" s="6"/>
      <c r="X574" s="7"/>
    </row>
    <row r="575" spans="1:24" ht="25.5" x14ac:dyDescent="0.2">
      <c r="A575" s="6"/>
      <c r="B575" s="7"/>
      <c r="C575" s="6"/>
      <c r="D575" s="7"/>
      <c r="E575" s="6"/>
      <c r="F575" s="7"/>
      <c r="G575" s="6"/>
      <c r="H575" s="7"/>
      <c r="I575" s="6"/>
      <c r="J575" s="7"/>
      <c r="K575" s="96" t="str">
        <f>HYPERLINK("#'Healthcare'!VC1","Q6.3.51")</f>
        <v>Q6.3.51</v>
      </c>
      <c r="L575" s="93" t="str">
        <f>HYPERLINK("#'Healthcare'!VC2","Primary HDHP medical plan: Pharmacy benefit manager carved in/out")</f>
        <v>Primary HDHP medical plan: Pharmacy benefit manager carved in/out</v>
      </c>
      <c r="M575" s="6"/>
      <c r="N575" s="7"/>
      <c r="O575" s="6"/>
      <c r="P575" s="7"/>
      <c r="Q575" s="6"/>
      <c r="R575" s="7"/>
      <c r="S575" s="6"/>
      <c r="T575" s="7"/>
      <c r="U575" s="6"/>
      <c r="V575" s="7"/>
      <c r="W575" s="6"/>
      <c r="X575" s="7"/>
    </row>
    <row r="576" spans="1:24" ht="38.25" x14ac:dyDescent="0.2">
      <c r="A576" s="6"/>
      <c r="B576" s="7"/>
      <c r="C576" s="6"/>
      <c r="D576" s="7"/>
      <c r="E576" s="6"/>
      <c r="F576" s="7"/>
      <c r="G576" s="6"/>
      <c r="H576" s="7"/>
      <c r="I576" s="6"/>
      <c r="J576" s="7"/>
      <c r="K576" s="96" t="str">
        <f>HYPERLINK("#'Healthcare'!VD1","Q6.3.52")</f>
        <v>Q6.3.52</v>
      </c>
      <c r="L576" s="93" t="str">
        <f>HYPERLINK("#'Healthcare'!VD2","Primary HDHP medical plan: Drug classes with zero cost share to members (in addition to ACA law requirements)")</f>
        <v>Primary HDHP medical plan: Drug classes with zero cost share to members (in addition to ACA law requirements)</v>
      </c>
      <c r="M576" s="6"/>
      <c r="N576" s="7"/>
      <c r="O576" s="6"/>
      <c r="P576" s="7"/>
      <c r="Q576" s="6"/>
      <c r="R576" s="7"/>
      <c r="S576" s="6"/>
      <c r="T576" s="7"/>
      <c r="U576" s="6"/>
      <c r="V576" s="7"/>
      <c r="W576" s="6"/>
      <c r="X576" s="7"/>
    </row>
    <row r="577" spans="1:24" ht="38.25" x14ac:dyDescent="0.2">
      <c r="A577" s="6"/>
      <c r="B577" s="7"/>
      <c r="C577" s="6"/>
      <c r="D577" s="7"/>
      <c r="E577" s="6"/>
      <c r="F577" s="7"/>
      <c r="G577" s="6"/>
      <c r="H577" s="7"/>
      <c r="I577" s="6"/>
      <c r="J577" s="7"/>
      <c r="K577" s="96" t="str">
        <f>HYPERLINK("#'Healthcare'!VE1","Q6.3.53")</f>
        <v>Q6.3.53</v>
      </c>
      <c r="L577" s="93" t="str">
        <f>HYPERLINK("#'Healthcare'!VE2","Primary HDHP medical plan: Cost share for individuals who receive infused/injectable medications at preferred care sites")</f>
        <v>Primary HDHP medical plan: Cost share for individuals who receive infused/injectable medications at preferred care sites</v>
      </c>
      <c r="M577" s="6"/>
      <c r="N577" s="7"/>
      <c r="O577" s="6"/>
      <c r="P577" s="7"/>
      <c r="Q577" s="6"/>
      <c r="R577" s="7"/>
      <c r="S577" s="6"/>
      <c r="T577" s="7"/>
      <c r="U577" s="6"/>
      <c r="V577" s="7"/>
      <c r="W577" s="6"/>
      <c r="X577" s="7"/>
    </row>
    <row r="578" spans="1:24" ht="25.5" x14ac:dyDescent="0.2">
      <c r="A578" s="6"/>
      <c r="B578" s="7"/>
      <c r="C578" s="6"/>
      <c r="D578" s="7"/>
      <c r="E578" s="6"/>
      <c r="F578" s="7"/>
      <c r="G578" s="6"/>
      <c r="H578" s="7"/>
      <c r="I578" s="6"/>
      <c r="J578" s="7"/>
      <c r="K578" s="96" t="str">
        <f>HYPERLINK("#'Healthcare'!VF1","Q6.4.2")</f>
        <v>Q6.4.2</v>
      </c>
      <c r="L578" s="93" t="str">
        <f>HYPERLINK("#'Healthcare'!VF2","Total number of exclusive provider organization (EPO) medical plans offered")</f>
        <v>Total number of exclusive provider organization (EPO) medical plans offered</v>
      </c>
      <c r="M578" s="6"/>
      <c r="N578" s="7"/>
      <c r="O578" s="6"/>
      <c r="P578" s="7"/>
      <c r="Q578" s="6"/>
      <c r="R578" s="7"/>
      <c r="S578" s="6"/>
      <c r="T578" s="7"/>
      <c r="U578" s="6"/>
      <c r="V578" s="7"/>
      <c r="W578" s="6"/>
      <c r="X578" s="7"/>
    </row>
    <row r="579" spans="1:24" ht="25.5" x14ac:dyDescent="0.2">
      <c r="A579" s="6"/>
      <c r="B579" s="7"/>
      <c r="C579" s="6"/>
      <c r="D579" s="7"/>
      <c r="E579" s="6"/>
      <c r="F579" s="7"/>
      <c r="G579" s="6"/>
      <c r="H579" s="7"/>
      <c r="I579" s="6"/>
      <c r="J579" s="7"/>
      <c r="K579" s="96" t="str">
        <f>HYPERLINK("#'Healthcare'!VG1","Q6.4.5")</f>
        <v>Q6.4.5</v>
      </c>
      <c r="L579" s="93" t="str">
        <f>HYPERLINK("#'Healthcare'!VG2","EPO medical plan with highest enrollment (Primary)")</f>
        <v>EPO medical plan with highest enrollment (Primary)</v>
      </c>
      <c r="M579" s="6"/>
      <c r="N579" s="7"/>
      <c r="O579" s="6"/>
      <c r="P579" s="7"/>
      <c r="Q579" s="6"/>
      <c r="R579" s="7"/>
      <c r="S579" s="6"/>
      <c r="T579" s="7"/>
      <c r="U579" s="6"/>
      <c r="V579" s="7"/>
      <c r="W579" s="6"/>
      <c r="X579" s="7"/>
    </row>
    <row r="580" spans="1:24" ht="12.75" x14ac:dyDescent="0.2">
      <c r="A580" s="6"/>
      <c r="B580" s="7"/>
      <c r="C580" s="6"/>
      <c r="D580" s="7"/>
      <c r="E580" s="6"/>
      <c r="F580" s="7"/>
      <c r="G580" s="6"/>
      <c r="H580" s="7"/>
      <c r="I580" s="6"/>
      <c r="J580" s="7"/>
      <c r="K580" s="96" t="str">
        <f>HYPERLINK("#'Healthcare'!VH1","Q6.4.6")</f>
        <v>Q6.4.6</v>
      </c>
      <c r="L580" s="93" t="str">
        <f>HYPERLINK("#'Healthcare'!VH2","Other EPO plans offered")</f>
        <v>Other EPO plans offered</v>
      </c>
      <c r="M580" s="6"/>
      <c r="N580" s="7"/>
      <c r="O580" s="6"/>
      <c r="P580" s="7"/>
      <c r="Q580" s="6"/>
      <c r="R580" s="7"/>
      <c r="S580" s="6"/>
      <c r="T580" s="7"/>
      <c r="U580" s="6"/>
      <c r="V580" s="7"/>
      <c r="W580" s="6"/>
      <c r="X580" s="7"/>
    </row>
    <row r="581" spans="1:24" ht="25.5" x14ac:dyDescent="0.2">
      <c r="A581" s="6"/>
      <c r="B581" s="7"/>
      <c r="C581" s="6"/>
      <c r="D581" s="7"/>
      <c r="E581" s="6"/>
      <c r="F581" s="7"/>
      <c r="G581" s="6"/>
      <c r="H581" s="7"/>
      <c r="I581" s="6"/>
      <c r="J581" s="7"/>
      <c r="K581" s="96" t="str">
        <f>HYPERLINK("#'Healthcare'!VI1","Q6.4.7_1")</f>
        <v>Q6.4.7_1</v>
      </c>
      <c r="L581" s="93" t="str">
        <f>HYPERLINK("#'Healthcare'!VI2","Primary EPO medical plan: Network out-of-pocket limit per person")</f>
        <v>Primary EPO medical plan: Network out-of-pocket limit per person</v>
      </c>
      <c r="M581" s="6"/>
      <c r="N581" s="7"/>
      <c r="O581" s="6"/>
      <c r="P581" s="7"/>
      <c r="Q581" s="6"/>
      <c r="R581" s="7"/>
      <c r="S581" s="6"/>
      <c r="T581" s="7"/>
      <c r="U581" s="6"/>
      <c r="V581" s="7"/>
      <c r="W581" s="6"/>
      <c r="X581" s="7"/>
    </row>
    <row r="582" spans="1:24" ht="25.5" x14ac:dyDescent="0.2">
      <c r="A582" s="6"/>
      <c r="B582" s="7"/>
      <c r="C582" s="6"/>
      <c r="D582" s="7"/>
      <c r="E582" s="6"/>
      <c r="F582" s="7"/>
      <c r="G582" s="6"/>
      <c r="H582" s="7"/>
      <c r="I582" s="6"/>
      <c r="J582" s="7"/>
      <c r="K582" s="96" t="str">
        <f>HYPERLINK("#'Healthcare'!VJ1","Q6.4.7_2")</f>
        <v>Q6.4.7_2</v>
      </c>
      <c r="L582" s="93" t="str">
        <f>HYPERLINK("#'Healthcare'!VJ2","Primary EPO medical plan: Network out-of-pocket limit family")</f>
        <v>Primary EPO medical plan: Network out-of-pocket limit family</v>
      </c>
      <c r="M582" s="6"/>
      <c r="N582" s="7"/>
      <c r="O582" s="6"/>
      <c r="P582" s="7"/>
      <c r="Q582" s="6"/>
      <c r="R582" s="7"/>
      <c r="S582" s="6"/>
      <c r="T582" s="7"/>
      <c r="U582" s="6"/>
      <c r="V582" s="7"/>
      <c r="W582" s="6"/>
      <c r="X582" s="7"/>
    </row>
    <row r="583" spans="1:24" ht="25.5" x14ac:dyDescent="0.2">
      <c r="A583" s="6"/>
      <c r="B583" s="7"/>
      <c r="C583" s="6"/>
      <c r="D583" s="7"/>
      <c r="E583" s="6"/>
      <c r="F583" s="7"/>
      <c r="G583" s="6"/>
      <c r="H583" s="7"/>
      <c r="I583" s="6"/>
      <c r="J583" s="7"/>
      <c r="K583" s="96" t="str">
        <f>HYPERLINK("#'Healthcare'!VK1","Q6.4.7_3")</f>
        <v>Q6.4.7_3</v>
      </c>
      <c r="L583" s="93" t="str">
        <f>HYPERLINK("#'Healthcare'!VK2","Primary EPO medical plan: Out-of-network out-of-pocket limit per person")</f>
        <v>Primary EPO medical plan: Out-of-network out-of-pocket limit per person</v>
      </c>
      <c r="M583" s="6"/>
      <c r="N583" s="7"/>
      <c r="O583" s="6"/>
      <c r="P583" s="7"/>
      <c r="Q583" s="6"/>
      <c r="R583" s="7"/>
      <c r="S583" s="6"/>
      <c r="T583" s="7"/>
      <c r="U583" s="6"/>
      <c r="V583" s="7"/>
      <c r="W583" s="6"/>
      <c r="X583" s="7"/>
    </row>
    <row r="584" spans="1:24" ht="25.5" x14ac:dyDescent="0.2">
      <c r="A584" s="6"/>
      <c r="B584" s="7"/>
      <c r="C584" s="6"/>
      <c r="D584" s="7"/>
      <c r="E584" s="6"/>
      <c r="F584" s="7"/>
      <c r="G584" s="6"/>
      <c r="H584" s="7"/>
      <c r="I584" s="6"/>
      <c r="J584" s="7"/>
      <c r="K584" s="96" t="str">
        <f>HYPERLINK("#'Healthcare'!VL1","Q6.4.7_4")</f>
        <v>Q6.4.7_4</v>
      </c>
      <c r="L584" s="93" t="str">
        <f>HYPERLINK("#'Healthcare'!VL2","Primary EPO medical plan: Out-of-network out-of-pocket limit family")</f>
        <v>Primary EPO medical plan: Out-of-network out-of-pocket limit family</v>
      </c>
      <c r="M584" s="6"/>
      <c r="N584" s="7"/>
      <c r="O584" s="6"/>
      <c r="P584" s="7"/>
      <c r="Q584" s="6"/>
      <c r="R584" s="7"/>
      <c r="S584" s="6"/>
      <c r="T584" s="7"/>
      <c r="U584" s="6"/>
      <c r="V584" s="7"/>
      <c r="W584" s="6"/>
      <c r="X584" s="7"/>
    </row>
    <row r="585" spans="1:24" ht="25.5" x14ac:dyDescent="0.2">
      <c r="A585" s="6"/>
      <c r="B585" s="7"/>
      <c r="C585" s="6"/>
      <c r="D585" s="7"/>
      <c r="E585" s="6"/>
      <c r="F585" s="7"/>
      <c r="G585" s="6"/>
      <c r="H585" s="7"/>
      <c r="I585" s="6"/>
      <c r="J585" s="7"/>
      <c r="K585" s="96" t="str">
        <f>HYPERLINK("#'Healthcare'!VM1","Q6.4.7_5")</f>
        <v>Q6.4.7_5</v>
      </c>
      <c r="L585" s="93" t="str">
        <f>HYPERLINK("#'Healthcare'!VM2","Primary EPO medical plan: Out-of-pocket limit - cross apply")</f>
        <v>Primary EPO medical plan: Out-of-pocket limit - cross apply</v>
      </c>
      <c r="M585" s="6"/>
      <c r="N585" s="7"/>
      <c r="O585" s="6"/>
      <c r="P585" s="7"/>
      <c r="Q585" s="6"/>
      <c r="R585" s="7"/>
      <c r="S585" s="6"/>
      <c r="T585" s="7"/>
      <c r="U585" s="6"/>
      <c r="V585" s="7"/>
      <c r="W585" s="6"/>
      <c r="X585" s="7"/>
    </row>
    <row r="586" spans="1:24" ht="25.5" x14ac:dyDescent="0.2">
      <c r="A586" s="6"/>
      <c r="B586" s="7"/>
      <c r="C586" s="6"/>
      <c r="D586" s="7"/>
      <c r="E586" s="6"/>
      <c r="F586" s="7"/>
      <c r="G586" s="6"/>
      <c r="H586" s="7"/>
      <c r="I586" s="6"/>
      <c r="J586" s="7"/>
      <c r="K586" s="96" t="str">
        <f>HYPERLINK("#'Healthcare'!VN1","Q6.4.7_6")</f>
        <v>Q6.4.7_6</v>
      </c>
      <c r="L586" s="93" t="str">
        <f>HYPERLINK("#'Healthcare'!VN2","Primary EPO medical plan: Out-of-pocket limit - aggregated")</f>
        <v>Primary EPO medical plan: Out-of-pocket limit - aggregated</v>
      </c>
      <c r="M586" s="6"/>
      <c r="N586" s="7"/>
      <c r="O586" s="6"/>
      <c r="P586" s="7"/>
      <c r="Q586" s="6"/>
      <c r="R586" s="7"/>
      <c r="S586" s="6"/>
      <c r="T586" s="7"/>
      <c r="U586" s="6"/>
      <c r="V586" s="7"/>
      <c r="W586" s="6"/>
      <c r="X586" s="7"/>
    </row>
    <row r="587" spans="1:24" ht="25.5" x14ac:dyDescent="0.2">
      <c r="A587" s="6"/>
      <c r="B587" s="7"/>
      <c r="C587" s="6"/>
      <c r="D587" s="7"/>
      <c r="E587" s="6"/>
      <c r="F587" s="7"/>
      <c r="G587" s="6"/>
      <c r="H587" s="7"/>
      <c r="I587" s="6"/>
      <c r="J587" s="7"/>
      <c r="K587" s="96" t="str">
        <f>HYPERLINK("#'Healthcare'!VO1","Q6.4.8")</f>
        <v>Q6.4.8</v>
      </c>
      <c r="L587" s="93" t="str">
        <f>HYPERLINK("#'Healthcare'!VO2","Primary EPO medical plan: Expenses excluded from out-of-pocket limit ")</f>
        <v xml:space="preserve">Primary EPO medical plan: Expenses excluded from out-of-pocket limit </v>
      </c>
      <c r="M587" s="6"/>
      <c r="N587" s="7"/>
      <c r="O587" s="6"/>
      <c r="P587" s="7"/>
      <c r="Q587" s="6"/>
      <c r="R587" s="7"/>
      <c r="S587" s="6"/>
      <c r="T587" s="7"/>
      <c r="U587" s="6"/>
      <c r="V587" s="7"/>
      <c r="W587" s="6"/>
      <c r="X587" s="7"/>
    </row>
    <row r="588" spans="1:24" ht="25.5" x14ac:dyDescent="0.2">
      <c r="A588" s="6"/>
      <c r="B588" s="7"/>
      <c r="C588" s="6"/>
      <c r="D588" s="7"/>
      <c r="E588" s="6"/>
      <c r="F588" s="7"/>
      <c r="G588" s="6"/>
      <c r="H588" s="7"/>
      <c r="I588" s="6"/>
      <c r="J588" s="7"/>
      <c r="K588" s="96" t="str">
        <f>HYPERLINK("#'Healthcare'!VP1","Q6.4.9_1")</f>
        <v>Q6.4.9_1</v>
      </c>
      <c r="L588" s="93" t="str">
        <f>HYPERLINK("#'Healthcare'!VP2","Primary EPO medical plan: In-network overall deductible per person (preventive care-N/A)")</f>
        <v>Primary EPO medical plan: In-network overall deductible per person (preventive care-N/A)</v>
      </c>
      <c r="M588" s="6"/>
      <c r="N588" s="7"/>
      <c r="O588" s="6"/>
      <c r="P588" s="7"/>
      <c r="Q588" s="6"/>
      <c r="R588" s="7"/>
      <c r="S588" s="6"/>
      <c r="T588" s="7"/>
      <c r="U588" s="6"/>
      <c r="V588" s="7"/>
      <c r="W588" s="6"/>
      <c r="X588" s="7"/>
    </row>
    <row r="589" spans="1:24" ht="25.5" x14ac:dyDescent="0.2">
      <c r="A589" s="6"/>
      <c r="B589" s="7"/>
      <c r="C589" s="6"/>
      <c r="D589" s="7"/>
      <c r="E589" s="6"/>
      <c r="F589" s="7"/>
      <c r="G589" s="6"/>
      <c r="H589" s="7"/>
      <c r="I589" s="6"/>
      <c r="J589" s="7"/>
      <c r="K589" s="96" t="str">
        <f>HYPERLINK("#'Healthcare'!VQ1","Q6.4.9_2")</f>
        <v>Q6.4.9_2</v>
      </c>
      <c r="L589" s="93" t="str">
        <f>HYPERLINK("#'Healthcare'!VQ2","Primary EPO medical plan: In-network overall deductible per family (preventive care-N/A)")</f>
        <v>Primary EPO medical plan: In-network overall deductible per family (preventive care-N/A)</v>
      </c>
      <c r="M589" s="6"/>
      <c r="N589" s="7"/>
      <c r="O589" s="6"/>
      <c r="P589" s="7"/>
      <c r="Q589" s="6"/>
      <c r="R589" s="7"/>
      <c r="S589" s="6"/>
      <c r="T589" s="7"/>
      <c r="U589" s="6"/>
      <c r="V589" s="7"/>
      <c r="W589" s="6"/>
      <c r="X589" s="7"/>
    </row>
    <row r="590" spans="1:24" ht="38.25" x14ac:dyDescent="0.2">
      <c r="A590" s="6"/>
      <c r="B590" s="7"/>
      <c r="C590" s="6"/>
      <c r="D590" s="7"/>
      <c r="E590" s="6"/>
      <c r="F590" s="7"/>
      <c r="G590" s="6"/>
      <c r="H590" s="7"/>
      <c r="I590" s="6"/>
      <c r="J590" s="7"/>
      <c r="K590" s="96" t="str">
        <f>HYPERLINK("#'Healthcare'!VR1","Q6.4.9_3")</f>
        <v>Q6.4.9_3</v>
      </c>
      <c r="L590" s="93" t="str">
        <f>HYPERLINK("#'Healthcare'!VR2","Primary EPO medical plan: Out-of-network overall deductible per person (preventive care-N/A)")</f>
        <v>Primary EPO medical plan: Out-of-network overall deductible per person (preventive care-N/A)</v>
      </c>
      <c r="M590" s="6"/>
      <c r="N590" s="7"/>
      <c r="O590" s="6"/>
      <c r="P590" s="7"/>
      <c r="Q590" s="6"/>
      <c r="R590" s="7"/>
      <c r="S590" s="6"/>
      <c r="T590" s="7"/>
      <c r="U590" s="6"/>
      <c r="V590" s="7"/>
      <c r="W590" s="6"/>
      <c r="X590" s="7"/>
    </row>
    <row r="591" spans="1:24" ht="38.25" x14ac:dyDescent="0.2">
      <c r="A591" s="6"/>
      <c r="B591" s="7"/>
      <c r="C591" s="6"/>
      <c r="D591" s="7"/>
      <c r="E591" s="6"/>
      <c r="F591" s="7"/>
      <c r="G591" s="6"/>
      <c r="H591" s="7"/>
      <c r="I591" s="6"/>
      <c r="J591" s="7"/>
      <c r="K591" s="96" t="str">
        <f>HYPERLINK("#'Healthcare'!VS1","Q6.4.9_4")</f>
        <v>Q6.4.9_4</v>
      </c>
      <c r="L591" s="93" t="str">
        <f>HYPERLINK("#'Healthcare'!VS2","Primary EPO medical plan: Out-of-network overall deductible per family (preventive care-N/A)")</f>
        <v>Primary EPO medical plan: Out-of-network overall deductible per family (preventive care-N/A)</v>
      </c>
      <c r="M591" s="6"/>
      <c r="N591" s="7"/>
      <c r="O591" s="6"/>
      <c r="P591" s="7"/>
      <c r="Q591" s="6"/>
      <c r="R591" s="7"/>
      <c r="S591" s="6"/>
      <c r="T591" s="7"/>
      <c r="U591" s="6"/>
      <c r="V591" s="7"/>
      <c r="W591" s="6"/>
      <c r="X591" s="7"/>
    </row>
    <row r="592" spans="1:24" ht="38.25" x14ac:dyDescent="0.2">
      <c r="A592" s="6"/>
      <c r="B592" s="7"/>
      <c r="C592" s="6"/>
      <c r="D592" s="7"/>
      <c r="E592" s="6"/>
      <c r="F592" s="7"/>
      <c r="G592" s="6"/>
      <c r="H592" s="7"/>
      <c r="I592" s="6"/>
      <c r="J592" s="7"/>
      <c r="K592" s="96" t="str">
        <f>HYPERLINK("#'Healthcare'!VT1","Q6.4.10_1")</f>
        <v>Q6.4.10_1</v>
      </c>
      <c r="L592" s="93" t="str">
        <f>HYPERLINK("#'Healthcare'!VT2","Primary EPO medical plan in-network services with separate deductibles: Not applicable - no separate deductibles")</f>
        <v>Primary EPO medical plan in-network services with separate deductibles: Not applicable - no separate deductibles</v>
      </c>
      <c r="M592" s="6"/>
      <c r="N592" s="7"/>
      <c r="O592" s="6"/>
      <c r="P592" s="7"/>
      <c r="Q592" s="6"/>
      <c r="R592" s="7"/>
      <c r="S592" s="6"/>
      <c r="T592" s="7"/>
      <c r="U592" s="6"/>
      <c r="V592" s="7"/>
      <c r="W592" s="6"/>
      <c r="X592" s="7"/>
    </row>
    <row r="593" spans="1:24" ht="25.5" x14ac:dyDescent="0.2">
      <c r="A593" s="6"/>
      <c r="B593" s="7"/>
      <c r="C593" s="6"/>
      <c r="D593" s="7"/>
      <c r="E593" s="6"/>
      <c r="F593" s="7"/>
      <c r="G593" s="6"/>
      <c r="H593" s="7"/>
      <c r="I593" s="6"/>
      <c r="J593" s="7"/>
      <c r="K593" s="96" t="str">
        <f>HYPERLINK("#'Healthcare'!VU1","Q6.4.10_2")</f>
        <v>Q6.4.10_2</v>
      </c>
      <c r="L593" s="93" t="str">
        <f>HYPERLINK("#'Healthcare'!VU2","Primary EPO medical plan in-network services with separate deductibles: Acupuncture")</f>
        <v>Primary EPO medical plan in-network services with separate deductibles: Acupuncture</v>
      </c>
      <c r="M593" s="6"/>
      <c r="N593" s="7"/>
      <c r="O593" s="6"/>
      <c r="P593" s="7"/>
      <c r="Q593" s="6"/>
      <c r="R593" s="7"/>
      <c r="S593" s="6"/>
      <c r="T593" s="7"/>
      <c r="U593" s="6"/>
      <c r="V593" s="7"/>
      <c r="W593" s="6"/>
      <c r="X593" s="7"/>
    </row>
    <row r="594" spans="1:24" ht="25.5" x14ac:dyDescent="0.2">
      <c r="A594" s="6"/>
      <c r="B594" s="7"/>
      <c r="C594" s="6"/>
      <c r="D594" s="7"/>
      <c r="E594" s="6"/>
      <c r="F594" s="7"/>
      <c r="G594" s="6"/>
      <c r="H594" s="7"/>
      <c r="I594" s="6"/>
      <c r="J594" s="7"/>
      <c r="K594" s="96" t="str">
        <f>HYPERLINK("#'Healthcare'!VV1","Q6.4.10_3")</f>
        <v>Q6.4.10_3</v>
      </c>
      <c r="L594" s="93" t="str">
        <f>HYPERLINK("#'Healthcare'!VV2","Primary EPO medical plan in-network services with separate deductibles: Chiropractic")</f>
        <v>Primary EPO medical plan in-network services with separate deductibles: Chiropractic</v>
      </c>
      <c r="M594" s="6"/>
      <c r="N594" s="7"/>
      <c r="O594" s="6"/>
      <c r="P594" s="7"/>
      <c r="Q594" s="6"/>
      <c r="R594" s="7"/>
      <c r="S594" s="6"/>
      <c r="T594" s="7"/>
      <c r="U594" s="6"/>
      <c r="V594" s="7"/>
      <c r="W594" s="6"/>
      <c r="X594" s="7"/>
    </row>
    <row r="595" spans="1:24" ht="38.25" x14ac:dyDescent="0.2">
      <c r="A595" s="6"/>
      <c r="B595" s="7"/>
      <c r="C595" s="6"/>
      <c r="D595" s="7"/>
      <c r="E595" s="6"/>
      <c r="F595" s="7"/>
      <c r="G595" s="6"/>
      <c r="H595" s="7"/>
      <c r="I595" s="6"/>
      <c r="J595" s="7"/>
      <c r="K595" s="96" t="str">
        <f>HYPERLINK("#'Healthcare'!VW1","Q6.4.10_4")</f>
        <v>Q6.4.10_4</v>
      </c>
      <c r="L595" s="93" t="str">
        <f>HYPERLINK("#'Healthcare'!VW2","Primary EPO medical plan in-network services with separate deductibles: Emergency room (true emergency)")</f>
        <v>Primary EPO medical plan in-network services with separate deductibles: Emergency room (true emergency)</v>
      </c>
      <c r="M595" s="6"/>
      <c r="N595" s="7"/>
      <c r="O595" s="6"/>
      <c r="P595" s="7"/>
      <c r="Q595" s="6"/>
      <c r="R595" s="7"/>
      <c r="S595" s="6"/>
      <c r="T595" s="7"/>
      <c r="U595" s="6"/>
      <c r="V595" s="7"/>
      <c r="W595" s="6"/>
      <c r="X595" s="7"/>
    </row>
    <row r="596" spans="1:24" ht="38.25" x14ac:dyDescent="0.2">
      <c r="A596" s="6"/>
      <c r="B596" s="7"/>
      <c r="C596" s="6"/>
      <c r="D596" s="7"/>
      <c r="E596" s="6"/>
      <c r="F596" s="7"/>
      <c r="G596" s="6"/>
      <c r="H596" s="7"/>
      <c r="I596" s="6"/>
      <c r="J596" s="7"/>
      <c r="K596" s="96" t="str">
        <f>HYPERLINK("#'Healthcare'!VX1","Q6.4.10_5")</f>
        <v>Q6.4.10_5</v>
      </c>
      <c r="L596" s="93" t="str">
        <f>HYPERLINK("#'Healthcare'!VX2","Primary EPO medical plan in-network services with separate deductibles: Emergency room (non-emergency)")</f>
        <v>Primary EPO medical plan in-network services with separate deductibles: Emergency room (non-emergency)</v>
      </c>
      <c r="M596" s="6"/>
      <c r="N596" s="7"/>
      <c r="O596" s="6"/>
      <c r="P596" s="7"/>
      <c r="Q596" s="6"/>
      <c r="R596" s="7"/>
      <c r="S596" s="6"/>
      <c r="T596" s="7"/>
      <c r="U596" s="6"/>
      <c r="V596" s="7"/>
      <c r="W596" s="6"/>
      <c r="X596" s="7"/>
    </row>
    <row r="597" spans="1:24" ht="38.25" x14ac:dyDescent="0.2">
      <c r="A597" s="6"/>
      <c r="B597" s="7"/>
      <c r="C597" s="6"/>
      <c r="D597" s="7"/>
      <c r="E597" s="6"/>
      <c r="F597" s="7"/>
      <c r="G597" s="6"/>
      <c r="H597" s="7"/>
      <c r="I597" s="6"/>
      <c r="J597" s="7"/>
      <c r="K597" s="96" t="str">
        <f>HYPERLINK("#'Healthcare'!VY1","Q6.4.10_6")</f>
        <v>Q6.4.10_6</v>
      </c>
      <c r="L597" s="93" t="str">
        <f>HYPERLINK("#'Healthcare'!VY2","Primary EPO medical plan in-network services with separate deductibles: Emergency room (with hospital admittance)")</f>
        <v>Primary EPO medical plan in-network services with separate deductibles: Emergency room (with hospital admittance)</v>
      </c>
      <c r="M597" s="6"/>
      <c r="N597" s="7"/>
      <c r="O597" s="6"/>
      <c r="P597" s="7"/>
      <c r="Q597" s="6"/>
      <c r="R597" s="7"/>
      <c r="S597" s="6"/>
      <c r="T597" s="7"/>
      <c r="U597" s="6"/>
      <c r="V597" s="7"/>
      <c r="W597" s="6"/>
      <c r="X597" s="7"/>
    </row>
    <row r="598" spans="1:24" ht="25.5" x14ac:dyDescent="0.2">
      <c r="A598" s="6"/>
      <c r="B598" s="7"/>
      <c r="C598" s="6"/>
      <c r="D598" s="7"/>
      <c r="E598" s="6"/>
      <c r="F598" s="7"/>
      <c r="G598" s="6"/>
      <c r="H598" s="7"/>
      <c r="I598" s="6"/>
      <c r="J598" s="7"/>
      <c r="K598" s="96" t="str">
        <f>HYPERLINK("#'Healthcare'!VZ1","Q6.4.10_7")</f>
        <v>Q6.4.10_7</v>
      </c>
      <c r="L598" s="93" t="str">
        <f>HYPERLINK("#'Healthcare'!VZ2","Primary EPO medical plan in-network services with separate deductibles: Inpatient hospital")</f>
        <v>Primary EPO medical plan in-network services with separate deductibles: Inpatient hospital</v>
      </c>
      <c r="M598" s="6"/>
      <c r="N598" s="7"/>
      <c r="O598" s="6"/>
      <c r="P598" s="7"/>
      <c r="Q598" s="6"/>
      <c r="R598" s="7"/>
      <c r="S598" s="6"/>
      <c r="T598" s="7"/>
      <c r="U598" s="6"/>
      <c r="V598" s="7"/>
      <c r="W598" s="6"/>
      <c r="X598" s="7"/>
    </row>
    <row r="599" spans="1:24" ht="38.25" x14ac:dyDescent="0.2">
      <c r="A599" s="6"/>
      <c r="B599" s="7"/>
      <c r="C599" s="6"/>
      <c r="D599" s="7"/>
      <c r="E599" s="6"/>
      <c r="F599" s="7"/>
      <c r="G599" s="6"/>
      <c r="H599" s="7"/>
      <c r="I599" s="6"/>
      <c r="J599" s="7"/>
      <c r="K599" s="96" t="str">
        <f>HYPERLINK("#'Healthcare'!WA1","Q6.4.10_8")</f>
        <v>Q6.4.10_8</v>
      </c>
      <c r="L599" s="93" t="str">
        <f>HYPERLINK("#'Healthcare'!WA2","Primary EPO medical plan in-network services with separate deductibles: Mental health/substance abuse")</f>
        <v>Primary EPO medical plan in-network services with separate deductibles: Mental health/substance abuse</v>
      </c>
      <c r="M599" s="6"/>
      <c r="N599" s="7"/>
      <c r="O599" s="6"/>
      <c r="P599" s="7"/>
      <c r="Q599" s="6"/>
      <c r="R599" s="7"/>
      <c r="S599" s="6"/>
      <c r="T599" s="7"/>
      <c r="U599" s="6"/>
      <c r="V599" s="7"/>
      <c r="W599" s="6"/>
      <c r="X599" s="7"/>
    </row>
    <row r="600" spans="1:24" ht="38.25" x14ac:dyDescent="0.2">
      <c r="A600" s="6"/>
      <c r="B600" s="7"/>
      <c r="C600" s="6"/>
      <c r="D600" s="7"/>
      <c r="E600" s="6"/>
      <c r="F600" s="7"/>
      <c r="G600" s="6"/>
      <c r="H600" s="7"/>
      <c r="I600" s="6"/>
      <c r="J600" s="7"/>
      <c r="K600" s="96" t="str">
        <f>HYPERLINK("#'Healthcare'!WB1","Q6.4.10_9")</f>
        <v>Q6.4.10_9</v>
      </c>
      <c r="L600" s="93" t="str">
        <f>HYPERLINK("#'Healthcare'!WB2","Primary EPO medical plan in-network services with separate deductibles: Outpatient surgical center")</f>
        <v>Primary EPO medical plan in-network services with separate deductibles: Outpatient surgical center</v>
      </c>
      <c r="M600" s="6"/>
      <c r="N600" s="7"/>
      <c r="O600" s="6"/>
      <c r="P600" s="7"/>
      <c r="Q600" s="6"/>
      <c r="R600" s="7"/>
      <c r="S600" s="6"/>
      <c r="T600" s="7"/>
      <c r="U600" s="6"/>
      <c r="V600" s="7"/>
      <c r="W600" s="6"/>
      <c r="X600" s="7"/>
    </row>
    <row r="601" spans="1:24" ht="38.25" x14ac:dyDescent="0.2">
      <c r="A601" s="6"/>
      <c r="B601" s="7"/>
      <c r="C601" s="6"/>
      <c r="D601" s="7"/>
      <c r="E601" s="6"/>
      <c r="F601" s="7"/>
      <c r="G601" s="6"/>
      <c r="H601" s="7"/>
      <c r="I601" s="6"/>
      <c r="J601" s="7"/>
      <c r="K601" s="96" t="str">
        <f>HYPERLINK("#'Healthcare'!WC1","Q6.4.10_10")</f>
        <v>Q6.4.10_10</v>
      </c>
      <c r="L601" s="93" t="str">
        <f>HYPERLINK("#'Healthcare'!WC2","Primary EPO medical plan in-network services with separate deductibles: Prescription drugs (preventive)")</f>
        <v>Primary EPO medical plan in-network services with separate deductibles: Prescription drugs (preventive)</v>
      </c>
      <c r="M601" s="6"/>
      <c r="N601" s="7"/>
      <c r="O601" s="6"/>
      <c r="P601" s="7"/>
      <c r="Q601" s="6"/>
      <c r="R601" s="7"/>
      <c r="S601" s="6"/>
      <c r="T601" s="7"/>
      <c r="U601" s="6"/>
      <c r="V601" s="7"/>
      <c r="W601" s="6"/>
      <c r="X601" s="7"/>
    </row>
    <row r="602" spans="1:24" ht="38.25" x14ac:dyDescent="0.2">
      <c r="A602" s="6"/>
      <c r="B602" s="7"/>
      <c r="C602" s="6"/>
      <c r="D602" s="7"/>
      <c r="E602" s="6"/>
      <c r="F602" s="7"/>
      <c r="G602" s="6"/>
      <c r="H602" s="7"/>
      <c r="I602" s="6"/>
      <c r="J602" s="7"/>
      <c r="K602" s="96" t="str">
        <f>HYPERLINK("#'Healthcare'!WD1","Q6.4.10_11")</f>
        <v>Q6.4.10_11</v>
      </c>
      <c r="L602" s="93" t="str">
        <f>HYPERLINK("#'Healthcare'!WD2","Primary EPO medical plan in-network services with separate deductibles: Prescription drugs (non-preventive)")</f>
        <v>Primary EPO medical plan in-network services with separate deductibles: Prescription drugs (non-preventive)</v>
      </c>
      <c r="M602" s="6"/>
      <c r="N602" s="7"/>
      <c r="O602" s="6"/>
      <c r="P602" s="7"/>
      <c r="Q602" s="6"/>
      <c r="R602" s="7"/>
      <c r="S602" s="6"/>
      <c r="T602" s="7"/>
      <c r="U602" s="6"/>
      <c r="V602" s="7"/>
      <c r="W602" s="6"/>
      <c r="X602" s="7"/>
    </row>
    <row r="603" spans="1:24" ht="38.25" x14ac:dyDescent="0.2">
      <c r="A603" s="6"/>
      <c r="B603" s="7"/>
      <c r="C603" s="6"/>
      <c r="D603" s="7"/>
      <c r="E603" s="6"/>
      <c r="F603" s="7"/>
      <c r="G603" s="6"/>
      <c r="H603" s="7"/>
      <c r="I603" s="6"/>
      <c r="J603" s="7"/>
      <c r="K603" s="96" t="str">
        <f>HYPERLINK("#'Healthcare'!WE1","Q6.4.10_12")</f>
        <v>Q6.4.10_12</v>
      </c>
      <c r="L603" s="93" t="str">
        <f>HYPERLINK("#'Healthcare'!WE2","Primary EPO medical plan in-network services with separate deductibles: Therapies (e.g., speech, PT, OT)")</f>
        <v>Primary EPO medical plan in-network services with separate deductibles: Therapies (e.g., speech, PT, OT)</v>
      </c>
      <c r="M603" s="6"/>
      <c r="N603" s="7"/>
      <c r="O603" s="6"/>
      <c r="P603" s="7"/>
      <c r="Q603" s="6"/>
      <c r="R603" s="7"/>
      <c r="S603" s="6"/>
      <c r="T603" s="7"/>
      <c r="U603" s="6"/>
      <c r="V603" s="7"/>
      <c r="W603" s="6"/>
      <c r="X603" s="7"/>
    </row>
    <row r="604" spans="1:24" ht="25.5" x14ac:dyDescent="0.2">
      <c r="A604" s="6"/>
      <c r="B604" s="7"/>
      <c r="C604" s="6"/>
      <c r="D604" s="7"/>
      <c r="E604" s="6"/>
      <c r="F604" s="7"/>
      <c r="G604" s="6"/>
      <c r="H604" s="7"/>
      <c r="I604" s="6"/>
      <c r="J604" s="7"/>
      <c r="K604" s="96" t="str">
        <f>HYPERLINK("#'Healthcare'!WF1","Q6.4.10_13")</f>
        <v>Q6.4.10_13</v>
      </c>
      <c r="L604" s="93" t="str">
        <f>HYPERLINK("#'Healthcare'!WF2","Primary EPO medical plan in-network services with separate deductibles: Other")</f>
        <v>Primary EPO medical plan in-network services with separate deductibles: Other</v>
      </c>
      <c r="M604" s="6"/>
      <c r="N604" s="7"/>
      <c r="O604" s="6"/>
      <c r="P604" s="7"/>
      <c r="Q604" s="6"/>
      <c r="R604" s="7"/>
      <c r="S604" s="6"/>
      <c r="T604" s="7"/>
      <c r="U604" s="6"/>
      <c r="V604" s="7"/>
      <c r="W604" s="6"/>
      <c r="X604" s="7"/>
    </row>
    <row r="605" spans="1:24" ht="38.25" x14ac:dyDescent="0.2">
      <c r="A605" s="6"/>
      <c r="B605" s="7"/>
      <c r="C605" s="6"/>
      <c r="D605" s="7"/>
      <c r="E605" s="6"/>
      <c r="F605" s="7"/>
      <c r="G605" s="6"/>
      <c r="H605" s="7"/>
      <c r="I605" s="6"/>
      <c r="J605" s="7"/>
      <c r="K605" s="96" t="str">
        <f>HYPERLINK("#'Healthcare'!WG1","Q6.4.11_1")</f>
        <v>Q6.4.11_1</v>
      </c>
      <c r="L605" s="93" t="str">
        <f>HYPERLINK("#'Healthcare'!WG2","Primary EPO medical plan out-of-network services with separate deductibles: Not applicable - no separate deductibles")</f>
        <v>Primary EPO medical plan out-of-network services with separate deductibles: Not applicable - no separate deductibles</v>
      </c>
      <c r="M605" s="6"/>
      <c r="N605" s="7"/>
      <c r="O605" s="6"/>
      <c r="P605" s="7"/>
      <c r="Q605" s="6"/>
      <c r="R605" s="7"/>
      <c r="S605" s="6"/>
      <c r="T605" s="7"/>
      <c r="U605" s="6"/>
      <c r="V605" s="7"/>
      <c r="W605" s="6"/>
      <c r="X605" s="7"/>
    </row>
    <row r="606" spans="1:24" ht="38.25" x14ac:dyDescent="0.2">
      <c r="A606" s="6"/>
      <c r="B606" s="7"/>
      <c r="C606" s="6"/>
      <c r="D606" s="7"/>
      <c r="E606" s="6"/>
      <c r="F606" s="7"/>
      <c r="G606" s="6"/>
      <c r="H606" s="7"/>
      <c r="I606" s="6"/>
      <c r="J606" s="7"/>
      <c r="K606" s="96" t="str">
        <f>HYPERLINK("#'Healthcare'!WH1","Q6.4.11_2")</f>
        <v>Q6.4.11_2</v>
      </c>
      <c r="L606" s="93" t="str">
        <f>HYPERLINK("#'Healthcare'!WH2","Primary EPO medical plan out-of-network services with separate deductibles: Acupuncture")</f>
        <v>Primary EPO medical plan out-of-network services with separate deductibles: Acupuncture</v>
      </c>
      <c r="M606" s="6"/>
      <c r="N606" s="7"/>
      <c r="O606" s="6"/>
      <c r="P606" s="7"/>
      <c r="Q606" s="6"/>
      <c r="R606" s="7"/>
      <c r="S606" s="6"/>
      <c r="T606" s="7"/>
      <c r="U606" s="6"/>
      <c r="V606" s="7"/>
      <c r="W606" s="6"/>
      <c r="X606" s="7"/>
    </row>
    <row r="607" spans="1:24" ht="38.25" x14ac:dyDescent="0.2">
      <c r="A607" s="6"/>
      <c r="B607" s="7"/>
      <c r="C607" s="6"/>
      <c r="D607" s="7"/>
      <c r="E607" s="6"/>
      <c r="F607" s="7"/>
      <c r="G607" s="6"/>
      <c r="H607" s="7"/>
      <c r="I607" s="6"/>
      <c r="J607" s="7"/>
      <c r="K607" s="96" t="str">
        <f>HYPERLINK("#'Healthcare'!WI1","Q6.4.11_3")</f>
        <v>Q6.4.11_3</v>
      </c>
      <c r="L607" s="93" t="str">
        <f>HYPERLINK("#'Healthcare'!WI2","Primary EPO medical plan out-of-network services with separate deductibles: Chiropractic")</f>
        <v>Primary EPO medical plan out-of-network services with separate deductibles: Chiropractic</v>
      </c>
      <c r="M607" s="6"/>
      <c r="N607" s="7"/>
      <c r="O607" s="6"/>
      <c r="P607" s="7"/>
      <c r="Q607" s="6"/>
      <c r="R607" s="7"/>
      <c r="S607" s="6"/>
      <c r="T607" s="7"/>
      <c r="U607" s="6"/>
      <c r="V607" s="7"/>
      <c r="W607" s="6"/>
      <c r="X607" s="7"/>
    </row>
    <row r="608" spans="1:24" ht="38.25" x14ac:dyDescent="0.2">
      <c r="A608" s="6"/>
      <c r="B608" s="7"/>
      <c r="C608" s="6"/>
      <c r="D608" s="7"/>
      <c r="E608" s="6"/>
      <c r="F608" s="7"/>
      <c r="G608" s="6"/>
      <c r="H608" s="7"/>
      <c r="I608" s="6"/>
      <c r="J608" s="7"/>
      <c r="K608" s="96" t="str">
        <f>HYPERLINK("#'Healthcare'!WJ1","Q6.4.11_4")</f>
        <v>Q6.4.11_4</v>
      </c>
      <c r="L608" s="93" t="str">
        <f>HYPERLINK("#'Healthcare'!WJ2","Primary EPO medical plan out-of-network services with separate deductibles: Emergency room (true emergency)")</f>
        <v>Primary EPO medical plan out-of-network services with separate deductibles: Emergency room (true emergency)</v>
      </c>
      <c r="M608" s="6"/>
      <c r="N608" s="7"/>
      <c r="O608" s="6"/>
      <c r="P608" s="7"/>
      <c r="Q608" s="6"/>
      <c r="R608" s="7"/>
      <c r="S608" s="6"/>
      <c r="T608" s="7"/>
      <c r="U608" s="6"/>
      <c r="V608" s="7"/>
      <c r="W608" s="6"/>
      <c r="X608" s="7"/>
    </row>
    <row r="609" spans="1:24" ht="38.25" x14ac:dyDescent="0.2">
      <c r="A609" s="6"/>
      <c r="B609" s="7"/>
      <c r="C609" s="6"/>
      <c r="D609" s="7"/>
      <c r="E609" s="6"/>
      <c r="F609" s="7"/>
      <c r="G609" s="6"/>
      <c r="H609" s="7"/>
      <c r="I609" s="6"/>
      <c r="J609" s="7"/>
      <c r="K609" s="96" t="str">
        <f>HYPERLINK("#'Healthcare'!WK1","Q6.4.11_5")</f>
        <v>Q6.4.11_5</v>
      </c>
      <c r="L609" s="93" t="str">
        <f>HYPERLINK("#'Healthcare'!WK2","Primary EPO medical plan out-of-network services with separate deductibles: Emergency room (non-emergency)")</f>
        <v>Primary EPO medical plan out-of-network services with separate deductibles: Emergency room (non-emergency)</v>
      </c>
      <c r="M609" s="6"/>
      <c r="N609" s="7"/>
      <c r="O609" s="6"/>
      <c r="P609" s="7"/>
      <c r="Q609" s="6"/>
      <c r="R609" s="7"/>
      <c r="S609" s="6"/>
      <c r="T609" s="7"/>
      <c r="U609" s="6"/>
      <c r="V609" s="7"/>
      <c r="W609" s="6"/>
      <c r="X609" s="7"/>
    </row>
    <row r="610" spans="1:24" ht="38.25" x14ac:dyDescent="0.2">
      <c r="A610" s="6"/>
      <c r="B610" s="7"/>
      <c r="C610" s="6"/>
      <c r="D610" s="7"/>
      <c r="E610" s="6"/>
      <c r="F610" s="7"/>
      <c r="G610" s="6"/>
      <c r="H610" s="7"/>
      <c r="I610" s="6"/>
      <c r="J610" s="7"/>
      <c r="K610" s="96" t="str">
        <f>HYPERLINK("#'Healthcare'!WL1","Q6.4.11_6")</f>
        <v>Q6.4.11_6</v>
      </c>
      <c r="L610" s="93" t="str">
        <f>HYPERLINK("#'Healthcare'!WL2","Primary EPO medical plan out-of-network services with separate deductibles: Emergency room (with hospital admittance)")</f>
        <v>Primary EPO medical plan out-of-network services with separate deductibles: Emergency room (with hospital admittance)</v>
      </c>
      <c r="M610" s="6"/>
      <c r="N610" s="7"/>
      <c r="O610" s="6"/>
      <c r="P610" s="7"/>
      <c r="Q610" s="6"/>
      <c r="R610" s="7"/>
      <c r="S610" s="6"/>
      <c r="T610" s="7"/>
      <c r="U610" s="6"/>
      <c r="V610" s="7"/>
      <c r="W610" s="6"/>
      <c r="X610" s="7"/>
    </row>
    <row r="611" spans="1:24" ht="38.25" x14ac:dyDescent="0.2">
      <c r="A611" s="6"/>
      <c r="B611" s="7"/>
      <c r="C611" s="6"/>
      <c r="D611" s="7"/>
      <c r="E611" s="6"/>
      <c r="F611" s="7"/>
      <c r="G611" s="6"/>
      <c r="H611" s="7"/>
      <c r="I611" s="6"/>
      <c r="J611" s="7"/>
      <c r="K611" s="96" t="str">
        <f>HYPERLINK("#'Healthcare'!WM1","Q6.4.11_7")</f>
        <v>Q6.4.11_7</v>
      </c>
      <c r="L611" s="93" t="str">
        <f>HYPERLINK("#'Healthcare'!WM2","Primary EPO medical plan out-of-network services with separate deductibles: Inpatient hospital")</f>
        <v>Primary EPO medical plan out-of-network services with separate deductibles: Inpatient hospital</v>
      </c>
      <c r="M611" s="6"/>
      <c r="N611" s="7"/>
      <c r="O611" s="6"/>
      <c r="P611" s="7"/>
      <c r="Q611" s="6"/>
      <c r="R611" s="7"/>
      <c r="S611" s="6"/>
      <c r="T611" s="7"/>
      <c r="U611" s="6"/>
      <c r="V611" s="7"/>
      <c r="W611" s="6"/>
      <c r="X611" s="7"/>
    </row>
    <row r="612" spans="1:24" ht="38.25" x14ac:dyDescent="0.2">
      <c r="A612" s="6"/>
      <c r="B612" s="7"/>
      <c r="C612" s="6"/>
      <c r="D612" s="7"/>
      <c r="E612" s="6"/>
      <c r="F612" s="7"/>
      <c r="G612" s="6"/>
      <c r="H612" s="7"/>
      <c r="I612" s="6"/>
      <c r="J612" s="7"/>
      <c r="K612" s="96" t="str">
        <f>HYPERLINK("#'Healthcare'!WN1","Q6.4.11_8")</f>
        <v>Q6.4.11_8</v>
      </c>
      <c r="L612" s="93" t="str">
        <f>HYPERLINK("#'Healthcare'!WN2","Primary EPO medical plan out-of-network services with separate deductibles: Mental health/substance abuse")</f>
        <v>Primary EPO medical plan out-of-network services with separate deductibles: Mental health/substance abuse</v>
      </c>
      <c r="M612" s="6"/>
      <c r="N612" s="7"/>
      <c r="O612" s="6"/>
      <c r="P612" s="7"/>
      <c r="Q612" s="6"/>
      <c r="R612" s="7"/>
      <c r="S612" s="6"/>
      <c r="T612" s="7"/>
      <c r="U612" s="6"/>
      <c r="V612" s="7"/>
      <c r="W612" s="6"/>
      <c r="X612" s="7"/>
    </row>
    <row r="613" spans="1:24" ht="38.25" x14ac:dyDescent="0.2">
      <c r="A613" s="6"/>
      <c r="B613" s="7"/>
      <c r="C613" s="6"/>
      <c r="D613" s="7"/>
      <c r="E613" s="6"/>
      <c r="F613" s="7"/>
      <c r="G613" s="6"/>
      <c r="H613" s="7"/>
      <c r="I613" s="6"/>
      <c r="J613" s="7"/>
      <c r="K613" s="96" t="str">
        <f>HYPERLINK("#'Healthcare'!WO1","Q6.4.11_9")</f>
        <v>Q6.4.11_9</v>
      </c>
      <c r="L613" s="93" t="str">
        <f>HYPERLINK("#'Healthcare'!WO2","Primary EPO medical plan out-of-network services with separate deductibles: Outpatient surgical center")</f>
        <v>Primary EPO medical plan out-of-network services with separate deductibles: Outpatient surgical center</v>
      </c>
      <c r="M613" s="6"/>
      <c r="N613" s="7"/>
      <c r="O613" s="6"/>
      <c r="P613" s="7"/>
      <c r="Q613" s="6"/>
      <c r="R613" s="7"/>
      <c r="S613" s="6"/>
      <c r="T613" s="7"/>
      <c r="U613" s="6"/>
      <c r="V613" s="7"/>
      <c r="W613" s="6"/>
      <c r="X613" s="7"/>
    </row>
    <row r="614" spans="1:24" ht="38.25" x14ac:dyDescent="0.2">
      <c r="A614" s="6"/>
      <c r="B614" s="7"/>
      <c r="C614" s="6"/>
      <c r="D614" s="7"/>
      <c r="E614" s="6"/>
      <c r="F614" s="7"/>
      <c r="G614" s="6"/>
      <c r="H614" s="7"/>
      <c r="I614" s="6"/>
      <c r="J614" s="7"/>
      <c r="K614" s="96" t="str">
        <f>HYPERLINK("#'Healthcare'!WP1","Q6.4.11_10")</f>
        <v>Q6.4.11_10</v>
      </c>
      <c r="L614" s="93" t="str">
        <f>HYPERLINK("#'Healthcare'!WP2","Primary EPO medical plan out-of-network services with separate deductibles: Prescription drugs (preventive)")</f>
        <v>Primary EPO medical plan out-of-network services with separate deductibles: Prescription drugs (preventive)</v>
      </c>
      <c r="M614" s="6"/>
      <c r="N614" s="7"/>
      <c r="O614" s="6"/>
      <c r="P614" s="7"/>
      <c r="Q614" s="6"/>
      <c r="R614" s="7"/>
      <c r="S614" s="6"/>
      <c r="T614" s="7"/>
      <c r="U614" s="6"/>
      <c r="V614" s="7"/>
      <c r="W614" s="6"/>
      <c r="X614" s="7"/>
    </row>
    <row r="615" spans="1:24" ht="38.25" x14ac:dyDescent="0.2">
      <c r="A615" s="6"/>
      <c r="B615" s="7"/>
      <c r="C615" s="6"/>
      <c r="D615" s="7"/>
      <c r="E615" s="6"/>
      <c r="F615" s="7"/>
      <c r="G615" s="6"/>
      <c r="H615" s="7"/>
      <c r="I615" s="6"/>
      <c r="J615" s="7"/>
      <c r="K615" s="96" t="str">
        <f>HYPERLINK("#'Healthcare'!WQ1","Q6.4.11_11")</f>
        <v>Q6.4.11_11</v>
      </c>
      <c r="L615" s="93" t="str">
        <f>HYPERLINK("#'Healthcare'!WQ2","Primary EPO medical plan out-of-network services with separate deductibles: Prescription drugs (non-preventive)")</f>
        <v>Primary EPO medical plan out-of-network services with separate deductibles: Prescription drugs (non-preventive)</v>
      </c>
      <c r="M615" s="6"/>
      <c r="N615" s="7"/>
      <c r="O615" s="6"/>
      <c r="P615" s="7"/>
      <c r="Q615" s="6"/>
      <c r="R615" s="7"/>
      <c r="S615" s="6"/>
      <c r="T615" s="7"/>
      <c r="U615" s="6"/>
      <c r="V615" s="7"/>
      <c r="W615" s="6"/>
      <c r="X615" s="7"/>
    </row>
    <row r="616" spans="1:24" ht="38.25" x14ac:dyDescent="0.2">
      <c r="A616" s="6"/>
      <c r="B616" s="7"/>
      <c r="C616" s="6"/>
      <c r="D616" s="7"/>
      <c r="E616" s="6"/>
      <c r="F616" s="7"/>
      <c r="G616" s="6"/>
      <c r="H616" s="7"/>
      <c r="I616" s="6"/>
      <c r="J616" s="7"/>
      <c r="K616" s="96" t="str">
        <f>HYPERLINK("#'Healthcare'!WR1","Q6.4.11_12")</f>
        <v>Q6.4.11_12</v>
      </c>
      <c r="L616" s="93" t="str">
        <f>HYPERLINK("#'Healthcare'!WR2","Primary EPO medical plan out-of-network services with separate deductibles: Therapies (e.g., speech, PT, OT)")</f>
        <v>Primary EPO medical plan out-of-network services with separate deductibles: Therapies (e.g., speech, PT, OT)</v>
      </c>
      <c r="M616" s="6"/>
      <c r="N616" s="7"/>
      <c r="O616" s="6"/>
      <c r="P616" s="7"/>
      <c r="Q616" s="6"/>
      <c r="R616" s="7"/>
      <c r="S616" s="6"/>
      <c r="T616" s="7"/>
      <c r="U616" s="6"/>
      <c r="V616" s="7"/>
      <c r="W616" s="6"/>
      <c r="X616" s="7"/>
    </row>
    <row r="617" spans="1:24" ht="25.5" x14ac:dyDescent="0.2">
      <c r="A617" s="6"/>
      <c r="B617" s="7"/>
      <c r="C617" s="6"/>
      <c r="D617" s="7"/>
      <c r="E617" s="6"/>
      <c r="F617" s="7"/>
      <c r="G617" s="6"/>
      <c r="H617" s="7"/>
      <c r="I617" s="6"/>
      <c r="J617" s="7"/>
      <c r="K617" s="96" t="str">
        <f>HYPERLINK("#'Healthcare'!WS1","Q6.4.11_13")</f>
        <v>Q6.4.11_13</v>
      </c>
      <c r="L617" s="93" t="str">
        <f>HYPERLINK("#'Healthcare'!WS2","Primary EPO medical plan out-of-network services with separate deductibles: Other")</f>
        <v>Primary EPO medical plan out-of-network services with separate deductibles: Other</v>
      </c>
      <c r="M617" s="6"/>
      <c r="N617" s="7"/>
      <c r="O617" s="6"/>
      <c r="P617" s="7"/>
      <c r="Q617" s="6"/>
      <c r="R617" s="7"/>
      <c r="S617" s="6"/>
      <c r="T617" s="7"/>
      <c r="U617" s="6"/>
      <c r="V617" s="7"/>
      <c r="W617" s="6"/>
      <c r="X617" s="7"/>
    </row>
    <row r="618" spans="1:24" ht="38.25" x14ac:dyDescent="0.2">
      <c r="A618" s="6"/>
      <c r="B618" s="7"/>
      <c r="C618" s="6"/>
      <c r="D618" s="7"/>
      <c r="E618" s="6"/>
      <c r="F618" s="7"/>
      <c r="G618" s="6"/>
      <c r="H618" s="7"/>
      <c r="I618" s="6"/>
      <c r="J618" s="7"/>
      <c r="K618" s="96" t="str">
        <f>HYPERLINK("#'Healthcare'!WT1","Q6.4.12_1")</f>
        <v>Q6.4.12_1</v>
      </c>
      <c r="L618" s="93" t="str">
        <f>HYPERLINK("#'Healthcare'!WT2","Primary EPO medical plan in-network deductible per person: Not applicable - no separate deductibles")</f>
        <v>Primary EPO medical plan in-network deductible per person: Not applicable - no separate deductibles</v>
      </c>
      <c r="M618" s="6"/>
      <c r="N618" s="7"/>
      <c r="O618" s="6"/>
      <c r="P618" s="7"/>
      <c r="Q618" s="6"/>
      <c r="R618" s="7"/>
      <c r="S618" s="6"/>
      <c r="T618" s="7"/>
      <c r="U618" s="6"/>
      <c r="V618" s="7"/>
      <c r="W618" s="6"/>
      <c r="X618" s="7"/>
    </row>
    <row r="619" spans="1:24" ht="25.5" x14ac:dyDescent="0.2">
      <c r="A619" s="6"/>
      <c r="B619" s="7"/>
      <c r="C619" s="6"/>
      <c r="D619" s="7"/>
      <c r="E619" s="6"/>
      <c r="F619" s="7"/>
      <c r="G619" s="6"/>
      <c r="H619" s="7"/>
      <c r="I619" s="6"/>
      <c r="J619" s="7"/>
      <c r="K619" s="96" t="str">
        <f>HYPERLINK("#'Healthcare'!WU1","Q6.4.12_5")</f>
        <v>Q6.4.12_5</v>
      </c>
      <c r="L619" s="93" t="str">
        <f>HYPERLINK("#'Healthcare'!WU2","Primary EPO medical plan in-network deductible per person: Acupuncture")</f>
        <v>Primary EPO medical plan in-network deductible per person: Acupuncture</v>
      </c>
      <c r="M619" s="6"/>
      <c r="N619" s="7"/>
      <c r="O619" s="6"/>
      <c r="P619" s="7"/>
      <c r="Q619" s="6"/>
      <c r="R619" s="7"/>
      <c r="S619" s="6"/>
      <c r="T619" s="7"/>
      <c r="U619" s="6"/>
      <c r="V619" s="7"/>
      <c r="W619" s="6"/>
      <c r="X619" s="7"/>
    </row>
    <row r="620" spans="1:24" ht="25.5" x14ac:dyDescent="0.2">
      <c r="A620" s="6"/>
      <c r="B620" s="7"/>
      <c r="C620" s="6"/>
      <c r="D620" s="7"/>
      <c r="E620" s="6"/>
      <c r="F620" s="7"/>
      <c r="G620" s="6"/>
      <c r="H620" s="7"/>
      <c r="I620" s="6"/>
      <c r="J620" s="7"/>
      <c r="K620" s="96" t="str">
        <f>HYPERLINK("#'Healthcare'!WV1","Q6.4.12_6")</f>
        <v>Q6.4.12_6</v>
      </c>
      <c r="L620" s="93" t="str">
        <f>HYPERLINK("#'Healthcare'!WV2","Primary EPO medical plan in-network deductible per person: Chiropractic")</f>
        <v>Primary EPO medical plan in-network deductible per person: Chiropractic</v>
      </c>
      <c r="M620" s="6"/>
      <c r="N620" s="7"/>
      <c r="O620" s="6"/>
      <c r="P620" s="7"/>
      <c r="Q620" s="6"/>
      <c r="R620" s="7"/>
      <c r="S620" s="6"/>
      <c r="T620" s="7"/>
      <c r="U620" s="6"/>
      <c r="V620" s="7"/>
      <c r="W620" s="6"/>
      <c r="X620" s="7"/>
    </row>
    <row r="621" spans="1:24" ht="38.25" x14ac:dyDescent="0.2">
      <c r="A621" s="6"/>
      <c r="B621" s="7"/>
      <c r="C621" s="6"/>
      <c r="D621" s="7"/>
      <c r="E621" s="6"/>
      <c r="F621" s="7"/>
      <c r="G621" s="6"/>
      <c r="H621" s="7"/>
      <c r="I621" s="6"/>
      <c r="J621" s="7"/>
      <c r="K621" s="96" t="str">
        <f>HYPERLINK("#'Healthcare'!WW1","Q6.4.12_7")</f>
        <v>Q6.4.12_7</v>
      </c>
      <c r="L621" s="93" t="str">
        <f>HYPERLINK("#'Healthcare'!WW2","Primary EPO medical plan in-network deductible per person: Emergency room (true emergency)")</f>
        <v>Primary EPO medical plan in-network deductible per person: Emergency room (true emergency)</v>
      </c>
      <c r="M621" s="6"/>
      <c r="N621" s="7"/>
      <c r="O621" s="6"/>
      <c r="P621" s="7"/>
      <c r="Q621" s="6"/>
      <c r="R621" s="7"/>
      <c r="S621" s="6"/>
      <c r="T621" s="7"/>
      <c r="U621" s="6"/>
      <c r="V621" s="7"/>
      <c r="W621" s="6"/>
      <c r="X621" s="7"/>
    </row>
    <row r="622" spans="1:24" ht="38.25" x14ac:dyDescent="0.2">
      <c r="A622" s="6"/>
      <c r="B622" s="7"/>
      <c r="C622" s="6"/>
      <c r="D622" s="7"/>
      <c r="E622" s="6"/>
      <c r="F622" s="7"/>
      <c r="G622" s="6"/>
      <c r="H622" s="7"/>
      <c r="I622" s="6"/>
      <c r="J622" s="7"/>
      <c r="K622" s="96" t="str">
        <f>HYPERLINK("#'Healthcare'!WX1","Q6.4.12_8")</f>
        <v>Q6.4.12_8</v>
      </c>
      <c r="L622" s="93" t="str">
        <f>HYPERLINK("#'Healthcare'!WX2","Primary EPO medical plan in-network deductible per person: Emergency room (non-emergency)")</f>
        <v>Primary EPO medical plan in-network deductible per person: Emergency room (non-emergency)</v>
      </c>
      <c r="M622" s="6"/>
      <c r="N622" s="7"/>
      <c r="O622" s="6"/>
      <c r="P622" s="7"/>
      <c r="Q622" s="6"/>
      <c r="R622" s="7"/>
      <c r="S622" s="6"/>
      <c r="T622" s="7"/>
      <c r="U622" s="6"/>
      <c r="V622" s="7"/>
      <c r="W622" s="6"/>
      <c r="X622" s="7"/>
    </row>
    <row r="623" spans="1:24" ht="38.25" x14ac:dyDescent="0.2">
      <c r="A623" s="6"/>
      <c r="B623" s="7"/>
      <c r="C623" s="6"/>
      <c r="D623" s="7"/>
      <c r="E623" s="6"/>
      <c r="F623" s="7"/>
      <c r="G623" s="6"/>
      <c r="H623" s="7"/>
      <c r="I623" s="6"/>
      <c r="J623" s="7"/>
      <c r="K623" s="96" t="str">
        <f>HYPERLINK("#'Healthcare'!WY1","Q6.4.12_9")</f>
        <v>Q6.4.12_9</v>
      </c>
      <c r="L623" s="93" t="str">
        <f>HYPERLINK("#'Healthcare'!WY2","Primary EPO medical plan in-network deductible per person: Emergency room (with hospital admittance)")</f>
        <v>Primary EPO medical plan in-network deductible per person: Emergency room (with hospital admittance)</v>
      </c>
      <c r="M623" s="6"/>
      <c r="N623" s="7"/>
      <c r="O623" s="6"/>
      <c r="P623" s="7"/>
      <c r="Q623" s="6"/>
      <c r="R623" s="7"/>
      <c r="S623" s="6"/>
      <c r="T623" s="7"/>
      <c r="U623" s="6"/>
      <c r="V623" s="7"/>
      <c r="W623" s="6"/>
      <c r="X623" s="7"/>
    </row>
    <row r="624" spans="1:24" ht="25.5" x14ac:dyDescent="0.2">
      <c r="A624" s="6"/>
      <c r="B624" s="7"/>
      <c r="C624" s="6"/>
      <c r="D624" s="7"/>
      <c r="E624" s="6"/>
      <c r="F624" s="7"/>
      <c r="G624" s="6"/>
      <c r="H624" s="7"/>
      <c r="I624" s="6"/>
      <c r="J624" s="7"/>
      <c r="K624" s="96" t="str">
        <f>HYPERLINK("#'Healthcare'!WZ1","Q6.4.12_10")</f>
        <v>Q6.4.12_10</v>
      </c>
      <c r="L624" s="93" t="str">
        <f>HYPERLINK("#'Healthcare'!WZ2","Primary EPO medical plan in-network deductible per person: In-patient hospital")</f>
        <v>Primary EPO medical plan in-network deductible per person: In-patient hospital</v>
      </c>
      <c r="M624" s="6"/>
      <c r="N624" s="7"/>
      <c r="O624" s="6"/>
      <c r="P624" s="7"/>
      <c r="Q624" s="6"/>
      <c r="R624" s="7"/>
      <c r="S624" s="6"/>
      <c r="T624" s="7"/>
      <c r="U624" s="6"/>
      <c r="V624" s="7"/>
      <c r="W624" s="6"/>
      <c r="X624" s="7"/>
    </row>
    <row r="625" spans="1:24" ht="38.25" x14ac:dyDescent="0.2">
      <c r="A625" s="6"/>
      <c r="B625" s="7"/>
      <c r="C625" s="6"/>
      <c r="D625" s="7"/>
      <c r="E625" s="6"/>
      <c r="F625" s="7"/>
      <c r="G625" s="6"/>
      <c r="H625" s="7"/>
      <c r="I625" s="6"/>
      <c r="J625" s="7"/>
      <c r="K625" s="96" t="str">
        <f>HYPERLINK("#'Healthcare'!XA1","Q6.4.12_11")</f>
        <v>Q6.4.12_11</v>
      </c>
      <c r="L625" s="93" t="str">
        <f>HYPERLINK("#'Healthcare'!XA2","Primary EPO medical plan in-network deductible per person: Mental health/substance abuse")</f>
        <v>Primary EPO medical plan in-network deductible per person: Mental health/substance abuse</v>
      </c>
      <c r="M625" s="6"/>
      <c r="N625" s="7"/>
      <c r="O625" s="6"/>
      <c r="P625" s="7"/>
      <c r="Q625" s="6"/>
      <c r="R625" s="7"/>
      <c r="S625" s="6"/>
      <c r="T625" s="7"/>
      <c r="U625" s="6"/>
      <c r="V625" s="7"/>
      <c r="W625" s="6"/>
      <c r="X625" s="7"/>
    </row>
    <row r="626" spans="1:24" ht="38.25" x14ac:dyDescent="0.2">
      <c r="A626" s="6"/>
      <c r="B626" s="7"/>
      <c r="C626" s="6"/>
      <c r="D626" s="7"/>
      <c r="E626" s="6"/>
      <c r="F626" s="7"/>
      <c r="G626" s="6"/>
      <c r="H626" s="7"/>
      <c r="I626" s="6"/>
      <c r="J626" s="7"/>
      <c r="K626" s="96" t="str">
        <f>HYPERLINK("#'Healthcare'!XB1","Q6.4.12_12")</f>
        <v>Q6.4.12_12</v>
      </c>
      <c r="L626" s="93" t="str">
        <f>HYPERLINK("#'Healthcare'!XB2","Primary EPO medical plan in-network deductible per person: Out-patient surgical center")</f>
        <v>Primary EPO medical plan in-network deductible per person: Out-patient surgical center</v>
      </c>
      <c r="M626" s="6"/>
      <c r="N626" s="7"/>
      <c r="O626" s="6"/>
      <c r="P626" s="7"/>
      <c r="Q626" s="6"/>
      <c r="R626" s="7"/>
      <c r="S626" s="6"/>
      <c r="T626" s="7"/>
      <c r="U626" s="6"/>
      <c r="V626" s="7"/>
      <c r="W626" s="6"/>
      <c r="X626" s="7"/>
    </row>
    <row r="627" spans="1:24" ht="38.25" x14ac:dyDescent="0.2">
      <c r="A627" s="6"/>
      <c r="B627" s="7"/>
      <c r="C627" s="6"/>
      <c r="D627" s="7"/>
      <c r="E627" s="6"/>
      <c r="F627" s="7"/>
      <c r="G627" s="6"/>
      <c r="H627" s="7"/>
      <c r="I627" s="6"/>
      <c r="J627" s="7"/>
      <c r="K627" s="96" t="str">
        <f>HYPERLINK("#'Healthcare'!XC1","Q6.4.12_13")</f>
        <v>Q6.4.12_13</v>
      </c>
      <c r="L627" s="93" t="str">
        <f>HYPERLINK("#'Healthcare'!XC2","Primary EPO medical plan in-network deductible per person: Prescription drugs (preventive)")</f>
        <v>Primary EPO medical plan in-network deductible per person: Prescription drugs (preventive)</v>
      </c>
      <c r="M627" s="6"/>
      <c r="N627" s="7"/>
      <c r="O627" s="6"/>
      <c r="P627" s="7"/>
      <c r="Q627" s="6"/>
      <c r="R627" s="7"/>
      <c r="S627" s="6"/>
      <c r="T627" s="7"/>
      <c r="U627" s="6"/>
      <c r="V627" s="7"/>
      <c r="W627" s="6"/>
      <c r="X627" s="7"/>
    </row>
    <row r="628" spans="1:24" ht="38.25" x14ac:dyDescent="0.2">
      <c r="A628" s="6"/>
      <c r="B628" s="7"/>
      <c r="C628" s="6"/>
      <c r="D628" s="7"/>
      <c r="E628" s="6"/>
      <c r="F628" s="7"/>
      <c r="G628" s="6"/>
      <c r="H628" s="7"/>
      <c r="I628" s="6"/>
      <c r="J628" s="7"/>
      <c r="K628" s="96" t="str">
        <f>HYPERLINK("#'Healthcare'!XD1","Q6.4.12_14")</f>
        <v>Q6.4.12_14</v>
      </c>
      <c r="L628" s="93" t="str">
        <f>HYPERLINK("#'Healthcare'!XD2","Primary EPO medical plan in-network deductible per person: Prescription drugs (non-preventive)")</f>
        <v>Primary EPO medical plan in-network deductible per person: Prescription drugs (non-preventive)</v>
      </c>
      <c r="M628" s="6"/>
      <c r="N628" s="7"/>
      <c r="O628" s="6"/>
      <c r="P628" s="7"/>
      <c r="Q628" s="6"/>
      <c r="R628" s="7"/>
      <c r="S628" s="6"/>
      <c r="T628" s="7"/>
      <c r="U628" s="6"/>
      <c r="V628" s="7"/>
      <c r="W628" s="6"/>
      <c r="X628" s="7"/>
    </row>
    <row r="629" spans="1:24" ht="38.25" x14ac:dyDescent="0.2">
      <c r="A629" s="6"/>
      <c r="B629" s="7"/>
      <c r="C629" s="6"/>
      <c r="D629" s="7"/>
      <c r="E629" s="6"/>
      <c r="F629" s="7"/>
      <c r="G629" s="6"/>
      <c r="H629" s="7"/>
      <c r="I629" s="6"/>
      <c r="J629" s="7"/>
      <c r="K629" s="96" t="str">
        <f>HYPERLINK("#'Healthcare'!XE1","Q6.4.12_15")</f>
        <v>Q6.4.12_15</v>
      </c>
      <c r="L629" s="93" t="str">
        <f>HYPERLINK("#'Healthcare'!XE2","Primary EPO medical plan in-network deductible per person: Therapies (speech, PT, OT)")</f>
        <v>Primary EPO medical plan in-network deductible per person: Therapies (speech, PT, OT)</v>
      </c>
      <c r="M629" s="6"/>
      <c r="N629" s="7"/>
      <c r="O629" s="6"/>
      <c r="P629" s="7"/>
      <c r="Q629" s="6"/>
      <c r="R629" s="7"/>
      <c r="S629" s="6"/>
      <c r="T629" s="7"/>
      <c r="U629" s="6"/>
      <c r="V629" s="7"/>
      <c r="W629" s="6"/>
      <c r="X629" s="7"/>
    </row>
    <row r="630" spans="1:24" ht="25.5" x14ac:dyDescent="0.2">
      <c r="A630" s="6"/>
      <c r="B630" s="7"/>
      <c r="C630" s="6"/>
      <c r="D630" s="7"/>
      <c r="E630" s="6"/>
      <c r="F630" s="7"/>
      <c r="G630" s="6"/>
      <c r="H630" s="7"/>
      <c r="I630" s="6"/>
      <c r="J630" s="7"/>
      <c r="K630" s="96" t="str">
        <f>HYPERLINK("#'Healthcare'!XF1","Q6.4.12_16")</f>
        <v>Q6.4.12_16</v>
      </c>
      <c r="L630" s="93" t="str">
        <f>HYPERLINK("#'Healthcare'!XF2","Primary EPO medical plan in-network deductible per person: Other")</f>
        <v>Primary EPO medical plan in-network deductible per person: Other</v>
      </c>
      <c r="M630" s="6"/>
      <c r="N630" s="7"/>
      <c r="O630" s="6"/>
      <c r="P630" s="7"/>
      <c r="Q630" s="6"/>
      <c r="R630" s="7"/>
      <c r="S630" s="6"/>
      <c r="T630" s="7"/>
      <c r="U630" s="6"/>
      <c r="V630" s="7"/>
      <c r="W630" s="6"/>
      <c r="X630" s="7"/>
    </row>
    <row r="631" spans="1:24" ht="38.25" x14ac:dyDescent="0.2">
      <c r="A631" s="6"/>
      <c r="B631" s="7"/>
      <c r="C631" s="6"/>
      <c r="D631" s="7"/>
      <c r="E631" s="6"/>
      <c r="F631" s="7"/>
      <c r="G631" s="6"/>
      <c r="H631" s="7"/>
      <c r="I631" s="6"/>
      <c r="J631" s="7"/>
      <c r="K631" s="96" t="str">
        <f>HYPERLINK("#'Healthcare'!XG1","Q6.4.13_1")</f>
        <v>Q6.4.13_1</v>
      </c>
      <c r="L631" s="93" t="str">
        <f>HYPERLINK("#'Healthcare'!XG2","Primary EPO medical plan in-network deductible per family: Not applicable - no separate deductibles")</f>
        <v>Primary EPO medical plan in-network deductible per family: Not applicable - no separate deductibles</v>
      </c>
      <c r="M631" s="6"/>
      <c r="N631" s="7"/>
      <c r="O631" s="6"/>
      <c r="P631" s="7"/>
      <c r="Q631" s="6"/>
      <c r="R631" s="7"/>
      <c r="S631" s="6"/>
      <c r="T631" s="7"/>
      <c r="U631" s="6"/>
      <c r="V631" s="7"/>
      <c r="W631" s="6"/>
      <c r="X631" s="7"/>
    </row>
    <row r="632" spans="1:24" ht="25.5" x14ac:dyDescent="0.2">
      <c r="A632" s="6"/>
      <c r="B632" s="7"/>
      <c r="C632" s="6"/>
      <c r="D632" s="7"/>
      <c r="E632" s="6"/>
      <c r="F632" s="7"/>
      <c r="G632" s="6"/>
      <c r="H632" s="7"/>
      <c r="I632" s="6"/>
      <c r="J632" s="7"/>
      <c r="K632" s="96" t="str">
        <f>HYPERLINK("#'Healthcare'!XH1","Q6.4.13_5")</f>
        <v>Q6.4.13_5</v>
      </c>
      <c r="L632" s="93" t="str">
        <f>HYPERLINK("#'Healthcare'!XH2","Primary EPO medical plan in-network deductible per family: Acupuncture")</f>
        <v>Primary EPO medical plan in-network deductible per family: Acupuncture</v>
      </c>
      <c r="M632" s="6"/>
      <c r="N632" s="7"/>
      <c r="O632" s="6"/>
      <c r="P632" s="7"/>
      <c r="Q632" s="6"/>
      <c r="R632" s="7"/>
      <c r="S632" s="6"/>
      <c r="T632" s="7"/>
      <c r="U632" s="6"/>
      <c r="V632" s="7"/>
      <c r="W632" s="6"/>
      <c r="X632" s="7"/>
    </row>
    <row r="633" spans="1:24" ht="25.5" x14ac:dyDescent="0.2">
      <c r="A633" s="6"/>
      <c r="B633" s="7"/>
      <c r="C633" s="6"/>
      <c r="D633" s="7"/>
      <c r="E633" s="6"/>
      <c r="F633" s="7"/>
      <c r="G633" s="6"/>
      <c r="H633" s="7"/>
      <c r="I633" s="6"/>
      <c r="J633" s="7"/>
      <c r="K633" s="96" t="str">
        <f>HYPERLINK("#'Healthcare'!XI1","Q6.4.13_6")</f>
        <v>Q6.4.13_6</v>
      </c>
      <c r="L633" s="93" t="str">
        <f>HYPERLINK("#'Healthcare'!XI2","Primary EPO medical plan in-network deductible per family: Chiropractic")</f>
        <v>Primary EPO medical plan in-network deductible per family: Chiropractic</v>
      </c>
      <c r="M633" s="6"/>
      <c r="N633" s="7"/>
      <c r="O633" s="6"/>
      <c r="P633" s="7"/>
      <c r="Q633" s="6"/>
      <c r="R633" s="7"/>
      <c r="S633" s="6"/>
      <c r="T633" s="7"/>
      <c r="U633" s="6"/>
      <c r="V633" s="7"/>
      <c r="W633" s="6"/>
      <c r="X633" s="7"/>
    </row>
    <row r="634" spans="1:24" ht="38.25" x14ac:dyDescent="0.2">
      <c r="A634" s="6"/>
      <c r="B634" s="7"/>
      <c r="C634" s="6"/>
      <c r="D634" s="7"/>
      <c r="E634" s="6"/>
      <c r="F634" s="7"/>
      <c r="G634" s="6"/>
      <c r="H634" s="7"/>
      <c r="I634" s="6"/>
      <c r="J634" s="7"/>
      <c r="K634" s="96" t="str">
        <f>HYPERLINK("#'Healthcare'!XJ1","Q6.4.13_7")</f>
        <v>Q6.4.13_7</v>
      </c>
      <c r="L634" s="93" t="str">
        <f>HYPERLINK("#'Healthcare'!XJ2","Primary EPO medical plan in-network deductible per family: Emergency room (true emergency)")</f>
        <v>Primary EPO medical plan in-network deductible per family: Emergency room (true emergency)</v>
      </c>
      <c r="M634" s="6"/>
      <c r="N634" s="7"/>
      <c r="O634" s="6"/>
      <c r="P634" s="7"/>
      <c r="Q634" s="6"/>
      <c r="R634" s="7"/>
      <c r="S634" s="6"/>
      <c r="T634" s="7"/>
      <c r="U634" s="6"/>
      <c r="V634" s="7"/>
      <c r="W634" s="6"/>
      <c r="X634" s="7"/>
    </row>
    <row r="635" spans="1:24" ht="38.25" x14ac:dyDescent="0.2">
      <c r="A635" s="6"/>
      <c r="B635" s="7"/>
      <c r="C635" s="6"/>
      <c r="D635" s="7"/>
      <c r="E635" s="6"/>
      <c r="F635" s="7"/>
      <c r="G635" s="6"/>
      <c r="H635" s="7"/>
      <c r="I635" s="6"/>
      <c r="J635" s="7"/>
      <c r="K635" s="96" t="str">
        <f>HYPERLINK("#'Healthcare'!XK1","Q6.4.13_8")</f>
        <v>Q6.4.13_8</v>
      </c>
      <c r="L635" s="93" t="str">
        <f>HYPERLINK("#'Healthcare'!XK2","Primary EPO medical plan in-network deductible per family: Emergency room (non-emergency)")</f>
        <v>Primary EPO medical plan in-network deductible per family: Emergency room (non-emergency)</v>
      </c>
      <c r="M635" s="6"/>
      <c r="N635" s="7"/>
      <c r="O635" s="6"/>
      <c r="P635" s="7"/>
      <c r="Q635" s="6"/>
      <c r="R635" s="7"/>
      <c r="S635" s="6"/>
      <c r="T635" s="7"/>
      <c r="U635" s="6"/>
      <c r="V635" s="7"/>
      <c r="W635" s="6"/>
      <c r="X635" s="7"/>
    </row>
    <row r="636" spans="1:24" ht="38.25" x14ac:dyDescent="0.2">
      <c r="A636" s="6"/>
      <c r="B636" s="7"/>
      <c r="C636" s="6"/>
      <c r="D636" s="7"/>
      <c r="E636" s="6"/>
      <c r="F636" s="7"/>
      <c r="G636" s="6"/>
      <c r="H636" s="7"/>
      <c r="I636" s="6"/>
      <c r="J636" s="7"/>
      <c r="K636" s="96" t="str">
        <f>HYPERLINK("#'Healthcare'!XL1","Q6.4.13_9")</f>
        <v>Q6.4.13_9</v>
      </c>
      <c r="L636" s="93" t="str">
        <f>HYPERLINK("#'Healthcare'!XL2","Primary EPO medical plan in-network deductible per family: Emergency room (with hospital admittance)")</f>
        <v>Primary EPO medical plan in-network deductible per family: Emergency room (with hospital admittance)</v>
      </c>
      <c r="M636" s="6"/>
      <c r="N636" s="7"/>
      <c r="O636" s="6"/>
      <c r="P636" s="7"/>
      <c r="Q636" s="6"/>
      <c r="R636" s="7"/>
      <c r="S636" s="6"/>
      <c r="T636" s="7"/>
      <c r="U636" s="6"/>
      <c r="V636" s="7"/>
      <c r="W636" s="6"/>
      <c r="X636" s="7"/>
    </row>
    <row r="637" spans="1:24" ht="25.5" x14ac:dyDescent="0.2">
      <c r="A637" s="6"/>
      <c r="B637" s="7"/>
      <c r="C637" s="6"/>
      <c r="D637" s="7"/>
      <c r="E637" s="6"/>
      <c r="F637" s="7"/>
      <c r="G637" s="6"/>
      <c r="H637" s="7"/>
      <c r="I637" s="6"/>
      <c r="J637" s="7"/>
      <c r="K637" s="96" t="str">
        <f>HYPERLINK("#'Healthcare'!XM1","Q6.4.13_10")</f>
        <v>Q6.4.13_10</v>
      </c>
      <c r="L637" s="93" t="str">
        <f>HYPERLINK("#'Healthcare'!XM2","Primary EPO medical plan in-network deductible per family: In-patient hospital")</f>
        <v>Primary EPO medical plan in-network deductible per family: In-patient hospital</v>
      </c>
      <c r="M637" s="6"/>
      <c r="N637" s="7"/>
      <c r="O637" s="6"/>
      <c r="P637" s="7"/>
      <c r="Q637" s="6"/>
      <c r="R637" s="7"/>
      <c r="S637" s="6"/>
      <c r="T637" s="7"/>
      <c r="U637" s="6"/>
      <c r="V637" s="7"/>
      <c r="W637" s="6"/>
      <c r="X637" s="7"/>
    </row>
    <row r="638" spans="1:24" ht="38.25" x14ac:dyDescent="0.2">
      <c r="A638" s="6"/>
      <c r="B638" s="7"/>
      <c r="C638" s="6"/>
      <c r="D638" s="7"/>
      <c r="E638" s="6"/>
      <c r="F638" s="7"/>
      <c r="G638" s="6"/>
      <c r="H638" s="7"/>
      <c r="I638" s="6"/>
      <c r="J638" s="7"/>
      <c r="K638" s="96" t="str">
        <f>HYPERLINK("#'Healthcare'!XN1","Q6.4.13_11")</f>
        <v>Q6.4.13_11</v>
      </c>
      <c r="L638" s="93" t="str">
        <f>HYPERLINK("#'Healthcare'!XN2","Primary EPO medical plan in-network deductible per family: Mental health/substance abuse")</f>
        <v>Primary EPO medical plan in-network deductible per family: Mental health/substance abuse</v>
      </c>
      <c r="M638" s="6"/>
      <c r="N638" s="7"/>
      <c r="O638" s="6"/>
      <c r="P638" s="7"/>
      <c r="Q638" s="6"/>
      <c r="R638" s="7"/>
      <c r="S638" s="6"/>
      <c r="T638" s="7"/>
      <c r="U638" s="6"/>
      <c r="V638" s="7"/>
      <c r="W638" s="6"/>
      <c r="X638" s="7"/>
    </row>
    <row r="639" spans="1:24" ht="38.25" x14ac:dyDescent="0.2">
      <c r="A639" s="6"/>
      <c r="B639" s="7"/>
      <c r="C639" s="6"/>
      <c r="D639" s="7"/>
      <c r="E639" s="6"/>
      <c r="F639" s="7"/>
      <c r="G639" s="6"/>
      <c r="H639" s="7"/>
      <c r="I639" s="6"/>
      <c r="J639" s="7"/>
      <c r="K639" s="96" t="str">
        <f>HYPERLINK("#'Healthcare'!XO1","Q6.4.13_12")</f>
        <v>Q6.4.13_12</v>
      </c>
      <c r="L639" s="93" t="str">
        <f>HYPERLINK("#'Healthcare'!XO2","Primary EPO medical plan in-network deductible per family: Out-patient surgical center")</f>
        <v>Primary EPO medical plan in-network deductible per family: Out-patient surgical center</v>
      </c>
      <c r="M639" s="6"/>
      <c r="N639" s="7"/>
      <c r="O639" s="6"/>
      <c r="P639" s="7"/>
      <c r="Q639" s="6"/>
      <c r="R639" s="7"/>
      <c r="S639" s="6"/>
      <c r="T639" s="7"/>
      <c r="U639" s="6"/>
      <c r="V639" s="7"/>
      <c r="W639" s="6"/>
      <c r="X639" s="7"/>
    </row>
    <row r="640" spans="1:24" ht="38.25" x14ac:dyDescent="0.2">
      <c r="A640" s="6"/>
      <c r="B640" s="7"/>
      <c r="C640" s="6"/>
      <c r="D640" s="7"/>
      <c r="E640" s="6"/>
      <c r="F640" s="7"/>
      <c r="G640" s="6"/>
      <c r="H640" s="7"/>
      <c r="I640" s="6"/>
      <c r="J640" s="7"/>
      <c r="K640" s="96" t="str">
        <f>HYPERLINK("#'Healthcare'!XP1","Q6.4.13_13")</f>
        <v>Q6.4.13_13</v>
      </c>
      <c r="L640" s="93" t="str">
        <f>HYPERLINK("#'Healthcare'!XP2","Primary EPO medical plan in-network deductible per family: Prescription drugs (preventive)")</f>
        <v>Primary EPO medical plan in-network deductible per family: Prescription drugs (preventive)</v>
      </c>
      <c r="M640" s="6"/>
      <c r="N640" s="7"/>
      <c r="O640" s="6"/>
      <c r="P640" s="7"/>
      <c r="Q640" s="6"/>
      <c r="R640" s="7"/>
      <c r="S640" s="6"/>
      <c r="T640" s="7"/>
      <c r="U640" s="6"/>
      <c r="V640" s="7"/>
      <c r="W640" s="6"/>
      <c r="X640" s="7"/>
    </row>
    <row r="641" spans="1:24" ht="38.25" x14ac:dyDescent="0.2">
      <c r="A641" s="6"/>
      <c r="B641" s="7"/>
      <c r="C641" s="6"/>
      <c r="D641" s="7"/>
      <c r="E641" s="6"/>
      <c r="F641" s="7"/>
      <c r="G641" s="6"/>
      <c r="H641" s="7"/>
      <c r="I641" s="6"/>
      <c r="J641" s="7"/>
      <c r="K641" s="96" t="str">
        <f>HYPERLINK("#'Healthcare'!XQ1","Q6.4.13_14")</f>
        <v>Q6.4.13_14</v>
      </c>
      <c r="L641" s="93" t="str">
        <f>HYPERLINK("#'Healthcare'!XQ2","Primary EPO medical plan in-network deductible per family: Prescription drugs (non-preventive)")</f>
        <v>Primary EPO medical plan in-network deductible per family: Prescription drugs (non-preventive)</v>
      </c>
      <c r="M641" s="6"/>
      <c r="N641" s="7"/>
      <c r="O641" s="6"/>
      <c r="P641" s="7"/>
      <c r="Q641" s="6"/>
      <c r="R641" s="7"/>
      <c r="S641" s="6"/>
      <c r="T641" s="7"/>
      <c r="U641" s="6"/>
      <c r="V641" s="7"/>
      <c r="W641" s="6"/>
      <c r="X641" s="7"/>
    </row>
    <row r="642" spans="1:24" ht="38.25" x14ac:dyDescent="0.2">
      <c r="A642" s="6"/>
      <c r="B642" s="7"/>
      <c r="C642" s="6"/>
      <c r="D642" s="7"/>
      <c r="E642" s="6"/>
      <c r="F642" s="7"/>
      <c r="G642" s="6"/>
      <c r="H642" s="7"/>
      <c r="I642" s="6"/>
      <c r="J642" s="7"/>
      <c r="K642" s="96" t="str">
        <f>HYPERLINK("#'Healthcare'!XR1","Q6.4.13_15")</f>
        <v>Q6.4.13_15</v>
      </c>
      <c r="L642" s="93" t="str">
        <f>HYPERLINK("#'Healthcare'!XR2","Primary EPO medical plan in-network deductible per family: Therapies (speech, PT, OT)")</f>
        <v>Primary EPO medical plan in-network deductible per family: Therapies (speech, PT, OT)</v>
      </c>
      <c r="M642" s="6"/>
      <c r="N642" s="7"/>
      <c r="O642" s="6"/>
      <c r="P642" s="7"/>
      <c r="Q642" s="6"/>
      <c r="R642" s="7"/>
      <c r="S642" s="6"/>
      <c r="T642" s="7"/>
      <c r="U642" s="6"/>
      <c r="V642" s="7"/>
      <c r="W642" s="6"/>
      <c r="X642" s="7"/>
    </row>
    <row r="643" spans="1:24" ht="25.5" x14ac:dyDescent="0.2">
      <c r="A643" s="6"/>
      <c r="B643" s="7"/>
      <c r="C643" s="6"/>
      <c r="D643" s="7"/>
      <c r="E643" s="6"/>
      <c r="F643" s="7"/>
      <c r="G643" s="6"/>
      <c r="H643" s="7"/>
      <c r="I643" s="6"/>
      <c r="J643" s="7"/>
      <c r="K643" s="96" t="str">
        <f>HYPERLINK("#'Healthcare'!XS1","Q6.4.13_16")</f>
        <v>Q6.4.13_16</v>
      </c>
      <c r="L643" s="93" t="str">
        <f>HYPERLINK("#'Healthcare'!XS2","Primary EPO medical plan in-network deductible per family: Other")</f>
        <v>Primary EPO medical plan in-network deductible per family: Other</v>
      </c>
      <c r="M643" s="6"/>
      <c r="N643" s="7"/>
      <c r="O643" s="6"/>
      <c r="P643" s="7"/>
      <c r="Q643" s="6"/>
      <c r="R643" s="7"/>
      <c r="S643" s="6"/>
      <c r="T643" s="7"/>
      <c r="U643" s="6"/>
      <c r="V643" s="7"/>
      <c r="W643" s="6"/>
      <c r="X643" s="7"/>
    </row>
    <row r="644" spans="1:24" ht="38.25" x14ac:dyDescent="0.2">
      <c r="A644" s="6"/>
      <c r="B644" s="7"/>
      <c r="C644" s="6"/>
      <c r="D644" s="7"/>
      <c r="E644" s="6"/>
      <c r="F644" s="7"/>
      <c r="G644" s="6"/>
      <c r="H644" s="7"/>
      <c r="I644" s="6"/>
      <c r="J644" s="7"/>
      <c r="K644" s="96" t="str">
        <f>HYPERLINK("#'Healthcare'!XT1","Q6.4.14_1")</f>
        <v>Q6.4.14_1</v>
      </c>
      <c r="L644" s="93" t="str">
        <f>HYPERLINK("#'Healthcare'!XT2","Primary EPO medical plan out-of-network deductible per person: Not applicable - no separate deductibles")</f>
        <v>Primary EPO medical plan out-of-network deductible per person: Not applicable - no separate deductibles</v>
      </c>
      <c r="M644" s="6"/>
      <c r="N644" s="7"/>
      <c r="O644" s="6"/>
      <c r="P644" s="7"/>
      <c r="Q644" s="6"/>
      <c r="R644" s="7"/>
      <c r="S644" s="6"/>
      <c r="T644" s="7"/>
      <c r="U644" s="6"/>
      <c r="V644" s="7"/>
      <c r="W644" s="6"/>
      <c r="X644" s="7"/>
    </row>
    <row r="645" spans="1:24" ht="25.5" x14ac:dyDescent="0.2">
      <c r="A645" s="6"/>
      <c r="B645" s="7"/>
      <c r="C645" s="6"/>
      <c r="D645" s="7"/>
      <c r="E645" s="6"/>
      <c r="F645" s="7"/>
      <c r="G645" s="6"/>
      <c r="H645" s="7"/>
      <c r="I645" s="6"/>
      <c r="J645" s="7"/>
      <c r="K645" s="96" t="str">
        <f>HYPERLINK("#'Healthcare'!XU1","Q6.4.14_5")</f>
        <v>Q6.4.14_5</v>
      </c>
      <c r="L645" s="93" t="str">
        <f>HYPERLINK("#'Healthcare'!XU2","Primary EPO medical plan out-of-network deductible per person: Acupuncture")</f>
        <v>Primary EPO medical plan out-of-network deductible per person: Acupuncture</v>
      </c>
      <c r="M645" s="6"/>
      <c r="N645" s="7"/>
      <c r="O645" s="6"/>
      <c r="P645" s="7"/>
      <c r="Q645" s="6"/>
      <c r="R645" s="7"/>
      <c r="S645" s="6"/>
      <c r="T645" s="7"/>
      <c r="U645" s="6"/>
      <c r="V645" s="7"/>
      <c r="W645" s="6"/>
      <c r="X645" s="7"/>
    </row>
    <row r="646" spans="1:24" ht="25.5" x14ac:dyDescent="0.2">
      <c r="A646" s="6"/>
      <c r="B646" s="7"/>
      <c r="C646" s="6"/>
      <c r="D646" s="7"/>
      <c r="E646" s="6"/>
      <c r="F646" s="7"/>
      <c r="G646" s="6"/>
      <c r="H646" s="7"/>
      <c r="I646" s="6"/>
      <c r="J646" s="7"/>
      <c r="K646" s="96" t="str">
        <f>HYPERLINK("#'Healthcare'!XV1","Q6.4.14_6")</f>
        <v>Q6.4.14_6</v>
      </c>
      <c r="L646" s="93" t="str">
        <f>HYPERLINK("#'Healthcare'!XV2","Primary EPO medical plan out-of-network deductible per person: Chiropractic")</f>
        <v>Primary EPO medical plan out-of-network deductible per person: Chiropractic</v>
      </c>
      <c r="M646" s="6"/>
      <c r="N646" s="7"/>
      <c r="O646" s="6"/>
      <c r="P646" s="7"/>
      <c r="Q646" s="6"/>
      <c r="R646" s="7"/>
      <c r="S646" s="6"/>
      <c r="T646" s="7"/>
      <c r="U646" s="6"/>
      <c r="V646" s="7"/>
      <c r="W646" s="6"/>
      <c r="X646" s="7"/>
    </row>
    <row r="647" spans="1:24" ht="38.25" x14ac:dyDescent="0.2">
      <c r="A647" s="6"/>
      <c r="B647" s="7"/>
      <c r="C647" s="6"/>
      <c r="D647" s="7"/>
      <c r="E647" s="6"/>
      <c r="F647" s="7"/>
      <c r="G647" s="6"/>
      <c r="H647" s="7"/>
      <c r="I647" s="6"/>
      <c r="J647" s="7"/>
      <c r="K647" s="96" t="str">
        <f>HYPERLINK("#'Healthcare'!XW1","Q6.4.14_7")</f>
        <v>Q6.4.14_7</v>
      </c>
      <c r="L647" s="93" t="str">
        <f>HYPERLINK("#'Healthcare'!XW2","Primary EPO medical plan out-of-network deductible per person: Emergency room (true emergency)")</f>
        <v>Primary EPO medical plan out-of-network deductible per person: Emergency room (true emergency)</v>
      </c>
      <c r="M647" s="6"/>
      <c r="N647" s="7"/>
      <c r="O647" s="6"/>
      <c r="P647" s="7"/>
      <c r="Q647" s="6"/>
      <c r="R647" s="7"/>
      <c r="S647" s="6"/>
      <c r="T647" s="7"/>
      <c r="U647" s="6"/>
      <c r="V647" s="7"/>
      <c r="W647" s="6"/>
      <c r="X647" s="7"/>
    </row>
    <row r="648" spans="1:24" ht="38.25" x14ac:dyDescent="0.2">
      <c r="A648" s="6"/>
      <c r="B648" s="7"/>
      <c r="C648" s="6"/>
      <c r="D648" s="7"/>
      <c r="E648" s="6"/>
      <c r="F648" s="7"/>
      <c r="G648" s="6"/>
      <c r="H648" s="7"/>
      <c r="I648" s="6"/>
      <c r="J648" s="7"/>
      <c r="K648" s="96" t="str">
        <f>HYPERLINK("#'Healthcare'!XX1","Q6.4.14_8")</f>
        <v>Q6.4.14_8</v>
      </c>
      <c r="L648" s="93" t="str">
        <f>HYPERLINK("#'Healthcare'!XX2","Primary EPO medical plan out-of-network deductible per person: Emergency room (non-emergency)")</f>
        <v>Primary EPO medical plan out-of-network deductible per person: Emergency room (non-emergency)</v>
      </c>
      <c r="M648" s="6"/>
      <c r="N648" s="7"/>
      <c r="O648" s="6"/>
      <c r="P648" s="7"/>
      <c r="Q648" s="6"/>
      <c r="R648" s="7"/>
      <c r="S648" s="6"/>
      <c r="T648" s="7"/>
      <c r="U648" s="6"/>
      <c r="V648" s="7"/>
      <c r="W648" s="6"/>
      <c r="X648" s="7"/>
    </row>
    <row r="649" spans="1:24" ht="38.25" x14ac:dyDescent="0.2">
      <c r="A649" s="6"/>
      <c r="B649" s="7"/>
      <c r="C649" s="6"/>
      <c r="D649" s="7"/>
      <c r="E649" s="6"/>
      <c r="F649" s="7"/>
      <c r="G649" s="6"/>
      <c r="H649" s="7"/>
      <c r="I649" s="6"/>
      <c r="J649" s="7"/>
      <c r="K649" s="96" t="str">
        <f>HYPERLINK("#'Healthcare'!XY1","Q6.4.14_9")</f>
        <v>Q6.4.14_9</v>
      </c>
      <c r="L649" s="93" t="str">
        <f>HYPERLINK("#'Healthcare'!XY2","Primary EPO medical plan out-of-network deductible per person: Emergency room (with hospital admittance)")</f>
        <v>Primary EPO medical plan out-of-network deductible per person: Emergency room (with hospital admittance)</v>
      </c>
      <c r="M649" s="6"/>
      <c r="N649" s="7"/>
      <c r="O649" s="6"/>
      <c r="P649" s="7"/>
      <c r="Q649" s="6"/>
      <c r="R649" s="7"/>
      <c r="S649" s="6"/>
      <c r="T649" s="7"/>
      <c r="U649" s="6"/>
      <c r="V649" s="7"/>
      <c r="W649" s="6"/>
      <c r="X649" s="7"/>
    </row>
    <row r="650" spans="1:24" ht="25.5" x14ac:dyDescent="0.2">
      <c r="A650" s="6"/>
      <c r="B650" s="7"/>
      <c r="C650" s="6"/>
      <c r="D650" s="7"/>
      <c r="E650" s="6"/>
      <c r="F650" s="7"/>
      <c r="G650" s="6"/>
      <c r="H650" s="7"/>
      <c r="I650" s="6"/>
      <c r="J650" s="7"/>
      <c r="K650" s="96" t="str">
        <f>HYPERLINK("#'Healthcare'!XZ1","Q6.4.14_10")</f>
        <v>Q6.4.14_10</v>
      </c>
      <c r="L650" s="93" t="str">
        <f>HYPERLINK("#'Healthcare'!XZ2","Primary EPO medical plan out-of-network deductible per person: In-patient hospital")</f>
        <v>Primary EPO medical plan out-of-network deductible per person: In-patient hospital</v>
      </c>
      <c r="M650" s="6"/>
      <c r="N650" s="7"/>
      <c r="O650" s="6"/>
      <c r="P650" s="7"/>
      <c r="Q650" s="6"/>
      <c r="R650" s="7"/>
      <c r="S650" s="6"/>
      <c r="T650" s="7"/>
      <c r="U650" s="6"/>
      <c r="V650" s="7"/>
      <c r="W650" s="6"/>
      <c r="X650" s="7"/>
    </row>
    <row r="651" spans="1:24" ht="38.25" x14ac:dyDescent="0.2">
      <c r="A651" s="6"/>
      <c r="B651" s="7"/>
      <c r="C651" s="6"/>
      <c r="D651" s="7"/>
      <c r="E651" s="6"/>
      <c r="F651" s="7"/>
      <c r="G651" s="6"/>
      <c r="H651" s="7"/>
      <c r="I651" s="6"/>
      <c r="J651" s="7"/>
      <c r="K651" s="96" t="str">
        <f>HYPERLINK("#'Healthcare'!YA1","Q6.4.14_11")</f>
        <v>Q6.4.14_11</v>
      </c>
      <c r="L651" s="93" t="str">
        <f>HYPERLINK("#'Healthcare'!YA2","Primary EPO medical plan out-of-network deductible per person: Mental health/substance abuse")</f>
        <v>Primary EPO medical plan out-of-network deductible per person: Mental health/substance abuse</v>
      </c>
      <c r="M651" s="6"/>
      <c r="N651" s="7"/>
      <c r="O651" s="6"/>
      <c r="P651" s="7"/>
      <c r="Q651" s="6"/>
      <c r="R651" s="7"/>
      <c r="S651" s="6"/>
      <c r="T651" s="7"/>
      <c r="U651" s="6"/>
      <c r="V651" s="7"/>
      <c r="W651" s="6"/>
      <c r="X651" s="7"/>
    </row>
    <row r="652" spans="1:24" ht="38.25" x14ac:dyDescent="0.2">
      <c r="A652" s="6"/>
      <c r="B652" s="7"/>
      <c r="C652" s="6"/>
      <c r="D652" s="7"/>
      <c r="E652" s="6"/>
      <c r="F652" s="7"/>
      <c r="G652" s="6"/>
      <c r="H652" s="7"/>
      <c r="I652" s="6"/>
      <c r="J652" s="7"/>
      <c r="K652" s="96" t="str">
        <f>HYPERLINK("#'Healthcare'!YB1","Q6.4.14_12")</f>
        <v>Q6.4.14_12</v>
      </c>
      <c r="L652" s="93" t="str">
        <f>HYPERLINK("#'Healthcare'!YB2","Primary EPO medical plan out-of-network deductible per person: Out-patient surgical center")</f>
        <v>Primary EPO medical plan out-of-network deductible per person: Out-patient surgical center</v>
      </c>
      <c r="M652" s="6"/>
      <c r="N652" s="7"/>
      <c r="O652" s="6"/>
      <c r="P652" s="7"/>
      <c r="Q652" s="6"/>
      <c r="R652" s="7"/>
      <c r="S652" s="6"/>
      <c r="T652" s="7"/>
      <c r="U652" s="6"/>
      <c r="V652" s="7"/>
      <c r="W652" s="6"/>
      <c r="X652" s="7"/>
    </row>
    <row r="653" spans="1:24" ht="38.25" x14ac:dyDescent="0.2">
      <c r="A653" s="6"/>
      <c r="B653" s="7"/>
      <c r="C653" s="6"/>
      <c r="D653" s="7"/>
      <c r="E653" s="6"/>
      <c r="F653" s="7"/>
      <c r="G653" s="6"/>
      <c r="H653" s="7"/>
      <c r="I653" s="6"/>
      <c r="J653" s="7"/>
      <c r="K653" s="96" t="str">
        <f>HYPERLINK("#'Healthcare'!YC1","Q6.4.14_13")</f>
        <v>Q6.4.14_13</v>
      </c>
      <c r="L653" s="93" t="str">
        <f>HYPERLINK("#'Healthcare'!YC2","Primary EPO medical plan out-of-network deductible per person: Prescription drugs (preventive)")</f>
        <v>Primary EPO medical plan out-of-network deductible per person: Prescription drugs (preventive)</v>
      </c>
      <c r="M653" s="6"/>
      <c r="N653" s="7"/>
      <c r="O653" s="6"/>
      <c r="P653" s="7"/>
      <c r="Q653" s="6"/>
      <c r="R653" s="7"/>
      <c r="S653" s="6"/>
      <c r="T653" s="7"/>
      <c r="U653" s="6"/>
      <c r="V653" s="7"/>
      <c r="W653" s="6"/>
      <c r="X653" s="7"/>
    </row>
    <row r="654" spans="1:24" ht="38.25" x14ac:dyDescent="0.2">
      <c r="A654" s="6"/>
      <c r="B654" s="7"/>
      <c r="C654" s="6"/>
      <c r="D654" s="7"/>
      <c r="E654" s="6"/>
      <c r="F654" s="7"/>
      <c r="G654" s="6"/>
      <c r="H654" s="7"/>
      <c r="I654" s="6"/>
      <c r="J654" s="7"/>
      <c r="K654" s="96" t="str">
        <f>HYPERLINK("#'Healthcare'!YD1","Q6.4.14_14")</f>
        <v>Q6.4.14_14</v>
      </c>
      <c r="L654" s="93" t="str">
        <f>HYPERLINK("#'Healthcare'!YD2","Primary EPO medical plan out-of-network deductible per person: Prescription drugs (non-preventive)")</f>
        <v>Primary EPO medical plan out-of-network deductible per person: Prescription drugs (non-preventive)</v>
      </c>
      <c r="M654" s="6"/>
      <c r="N654" s="7"/>
      <c r="O654" s="6"/>
      <c r="P654" s="7"/>
      <c r="Q654" s="6"/>
      <c r="R654" s="7"/>
      <c r="S654" s="6"/>
      <c r="T654" s="7"/>
      <c r="U654" s="6"/>
      <c r="V654" s="7"/>
      <c r="W654" s="6"/>
      <c r="X654" s="7"/>
    </row>
    <row r="655" spans="1:24" ht="38.25" x14ac:dyDescent="0.2">
      <c r="A655" s="6"/>
      <c r="B655" s="7"/>
      <c r="C655" s="6"/>
      <c r="D655" s="7"/>
      <c r="E655" s="6"/>
      <c r="F655" s="7"/>
      <c r="G655" s="6"/>
      <c r="H655" s="7"/>
      <c r="I655" s="6"/>
      <c r="J655" s="7"/>
      <c r="K655" s="96" t="str">
        <f>HYPERLINK("#'Healthcare'!YE1","Q6.4.14_15")</f>
        <v>Q6.4.14_15</v>
      </c>
      <c r="L655" s="93" t="str">
        <f>HYPERLINK("#'Healthcare'!YE2","Primary EPO medical plan out-of-network deductible per person: Therapies (speech, PT, OT)")</f>
        <v>Primary EPO medical plan out-of-network deductible per person: Therapies (speech, PT, OT)</v>
      </c>
      <c r="M655" s="6"/>
      <c r="N655" s="7"/>
      <c r="O655" s="6"/>
      <c r="P655" s="7"/>
      <c r="Q655" s="6"/>
      <c r="R655" s="7"/>
      <c r="S655" s="6"/>
      <c r="T655" s="7"/>
      <c r="U655" s="6"/>
      <c r="V655" s="7"/>
      <c r="W655" s="6"/>
      <c r="X655" s="7"/>
    </row>
    <row r="656" spans="1:24" ht="25.5" x14ac:dyDescent="0.2">
      <c r="A656" s="6"/>
      <c r="B656" s="7"/>
      <c r="C656" s="6"/>
      <c r="D656" s="7"/>
      <c r="E656" s="6"/>
      <c r="F656" s="7"/>
      <c r="G656" s="6"/>
      <c r="H656" s="7"/>
      <c r="I656" s="6"/>
      <c r="J656" s="7"/>
      <c r="K656" s="96" t="str">
        <f>HYPERLINK("#'Healthcare'!YF1","Q6.4.14_16")</f>
        <v>Q6.4.14_16</v>
      </c>
      <c r="L656" s="93" t="str">
        <f>HYPERLINK("#'Healthcare'!YF2","Primary EPO medical plan out-of-network deductible per person: Other")</f>
        <v>Primary EPO medical plan out-of-network deductible per person: Other</v>
      </c>
      <c r="M656" s="6"/>
      <c r="N656" s="7"/>
      <c r="O656" s="6"/>
      <c r="P656" s="7"/>
      <c r="Q656" s="6"/>
      <c r="R656" s="7"/>
      <c r="S656" s="6"/>
      <c r="T656" s="7"/>
      <c r="U656" s="6"/>
      <c r="V656" s="7"/>
      <c r="W656" s="6"/>
      <c r="X656" s="7"/>
    </row>
    <row r="657" spans="1:24" ht="38.25" x14ac:dyDescent="0.2">
      <c r="A657" s="6"/>
      <c r="B657" s="7"/>
      <c r="C657" s="6"/>
      <c r="D657" s="7"/>
      <c r="E657" s="6"/>
      <c r="F657" s="7"/>
      <c r="G657" s="6"/>
      <c r="H657" s="7"/>
      <c r="I657" s="6"/>
      <c r="J657" s="7"/>
      <c r="K657" s="96" t="str">
        <f>HYPERLINK("#'Healthcare'!YG1","Q6.4.15_1")</f>
        <v>Q6.4.15_1</v>
      </c>
      <c r="L657" s="93" t="str">
        <f>HYPERLINK("#'Healthcare'!YG2","Primary EPO medical plan out-of-network deductible per family: Not applicable - no separate deductibles")</f>
        <v>Primary EPO medical plan out-of-network deductible per family: Not applicable - no separate deductibles</v>
      </c>
      <c r="M657" s="6"/>
      <c r="N657" s="7"/>
      <c r="O657" s="6"/>
      <c r="P657" s="7"/>
      <c r="Q657" s="6"/>
      <c r="R657" s="7"/>
      <c r="S657" s="6"/>
      <c r="T657" s="7"/>
      <c r="U657" s="6"/>
      <c r="V657" s="7"/>
      <c r="W657" s="6"/>
      <c r="X657" s="7"/>
    </row>
    <row r="658" spans="1:24" ht="25.5" x14ac:dyDescent="0.2">
      <c r="A658" s="6"/>
      <c r="B658" s="7"/>
      <c r="C658" s="6"/>
      <c r="D658" s="7"/>
      <c r="E658" s="6"/>
      <c r="F658" s="7"/>
      <c r="G658" s="6"/>
      <c r="H658" s="7"/>
      <c r="I658" s="6"/>
      <c r="J658" s="7"/>
      <c r="K658" s="96" t="str">
        <f>HYPERLINK("#'Healthcare'!YH1","Q6.4.15_5")</f>
        <v>Q6.4.15_5</v>
      </c>
      <c r="L658" s="93" t="str">
        <f>HYPERLINK("#'Healthcare'!YH2","Primary EPO medical plan out-of-network deductible per family: Acupuncture")</f>
        <v>Primary EPO medical plan out-of-network deductible per family: Acupuncture</v>
      </c>
      <c r="M658" s="6"/>
      <c r="N658" s="7"/>
      <c r="O658" s="6"/>
      <c r="P658" s="7"/>
      <c r="Q658" s="6"/>
      <c r="R658" s="7"/>
      <c r="S658" s="6"/>
      <c r="T658" s="7"/>
      <c r="U658" s="6"/>
      <c r="V658" s="7"/>
      <c r="W658" s="6"/>
      <c r="X658" s="7"/>
    </row>
    <row r="659" spans="1:24" ht="25.5" x14ac:dyDescent="0.2">
      <c r="A659" s="6"/>
      <c r="B659" s="7"/>
      <c r="C659" s="6"/>
      <c r="D659" s="7"/>
      <c r="E659" s="6"/>
      <c r="F659" s="7"/>
      <c r="G659" s="6"/>
      <c r="H659" s="7"/>
      <c r="I659" s="6"/>
      <c r="J659" s="7"/>
      <c r="K659" s="96" t="str">
        <f>HYPERLINK("#'Healthcare'!YI1","Q6.4.15_6")</f>
        <v>Q6.4.15_6</v>
      </c>
      <c r="L659" s="93" t="str">
        <f>HYPERLINK("#'Healthcare'!YI2","Primary EPO medical plan out-of-network deductible per family: Chiropractic")</f>
        <v>Primary EPO medical plan out-of-network deductible per family: Chiropractic</v>
      </c>
      <c r="M659" s="6"/>
      <c r="N659" s="7"/>
      <c r="O659" s="6"/>
      <c r="P659" s="7"/>
      <c r="Q659" s="6"/>
      <c r="R659" s="7"/>
      <c r="S659" s="6"/>
      <c r="T659" s="7"/>
      <c r="U659" s="6"/>
      <c r="V659" s="7"/>
      <c r="W659" s="6"/>
      <c r="X659" s="7"/>
    </row>
    <row r="660" spans="1:24" ht="38.25" x14ac:dyDescent="0.2">
      <c r="A660" s="6"/>
      <c r="B660" s="7"/>
      <c r="C660" s="6"/>
      <c r="D660" s="7"/>
      <c r="E660" s="6"/>
      <c r="F660" s="7"/>
      <c r="G660" s="6"/>
      <c r="H660" s="7"/>
      <c r="I660" s="6"/>
      <c r="J660" s="7"/>
      <c r="K660" s="96" t="str">
        <f>HYPERLINK("#'Healthcare'!YJ1","Q6.4.15_7")</f>
        <v>Q6.4.15_7</v>
      </c>
      <c r="L660" s="93" t="str">
        <f>HYPERLINK("#'Healthcare'!YJ2","Primary EPO medical plan out-of-network deductible per family: Emergency room (true emergency)")</f>
        <v>Primary EPO medical plan out-of-network deductible per family: Emergency room (true emergency)</v>
      </c>
      <c r="M660" s="6"/>
      <c r="N660" s="7"/>
      <c r="O660" s="6"/>
      <c r="P660" s="7"/>
      <c r="Q660" s="6"/>
      <c r="R660" s="7"/>
      <c r="S660" s="6"/>
      <c r="T660" s="7"/>
      <c r="U660" s="6"/>
      <c r="V660" s="7"/>
      <c r="W660" s="6"/>
      <c r="X660" s="7"/>
    </row>
    <row r="661" spans="1:24" ht="38.25" x14ac:dyDescent="0.2">
      <c r="A661" s="6"/>
      <c r="B661" s="7"/>
      <c r="C661" s="6"/>
      <c r="D661" s="7"/>
      <c r="E661" s="6"/>
      <c r="F661" s="7"/>
      <c r="G661" s="6"/>
      <c r="H661" s="7"/>
      <c r="I661" s="6"/>
      <c r="J661" s="7"/>
      <c r="K661" s="96" t="str">
        <f>HYPERLINK("#'Healthcare'!YK1","Q6.4.15_8")</f>
        <v>Q6.4.15_8</v>
      </c>
      <c r="L661" s="93" t="str">
        <f>HYPERLINK("#'Healthcare'!YK2","Primary EPO medical plan out-of-network deductible per family: Emergency room (non-emergency)")</f>
        <v>Primary EPO medical plan out-of-network deductible per family: Emergency room (non-emergency)</v>
      </c>
      <c r="M661" s="6"/>
      <c r="N661" s="7"/>
      <c r="O661" s="6"/>
      <c r="P661" s="7"/>
      <c r="Q661" s="6"/>
      <c r="R661" s="7"/>
      <c r="S661" s="6"/>
      <c r="T661" s="7"/>
      <c r="U661" s="6"/>
      <c r="V661" s="7"/>
      <c r="W661" s="6"/>
      <c r="X661" s="7"/>
    </row>
    <row r="662" spans="1:24" ht="38.25" x14ac:dyDescent="0.2">
      <c r="A662" s="6"/>
      <c r="B662" s="7"/>
      <c r="C662" s="6"/>
      <c r="D662" s="7"/>
      <c r="E662" s="6"/>
      <c r="F662" s="7"/>
      <c r="G662" s="6"/>
      <c r="H662" s="7"/>
      <c r="I662" s="6"/>
      <c r="J662" s="7"/>
      <c r="K662" s="96" t="str">
        <f>HYPERLINK("#'Healthcare'!YL1","Q6.4.15_9")</f>
        <v>Q6.4.15_9</v>
      </c>
      <c r="L662" s="93" t="str">
        <f>HYPERLINK("#'Healthcare'!YL2","Primary EPO medical plan out-of-network deductible per family: Emergency room (with hospital admittance)")</f>
        <v>Primary EPO medical plan out-of-network deductible per family: Emergency room (with hospital admittance)</v>
      </c>
      <c r="M662" s="6"/>
      <c r="N662" s="7"/>
      <c r="O662" s="6"/>
      <c r="P662" s="7"/>
      <c r="Q662" s="6"/>
      <c r="R662" s="7"/>
      <c r="S662" s="6"/>
      <c r="T662" s="7"/>
      <c r="U662" s="6"/>
      <c r="V662" s="7"/>
      <c r="W662" s="6"/>
      <c r="X662" s="7"/>
    </row>
    <row r="663" spans="1:24" ht="25.5" x14ac:dyDescent="0.2">
      <c r="A663" s="6"/>
      <c r="B663" s="7"/>
      <c r="C663" s="6"/>
      <c r="D663" s="7"/>
      <c r="E663" s="6"/>
      <c r="F663" s="7"/>
      <c r="G663" s="6"/>
      <c r="H663" s="7"/>
      <c r="I663" s="6"/>
      <c r="J663" s="7"/>
      <c r="K663" s="96" t="str">
        <f>HYPERLINK("#'Healthcare'!YM1","Q6.4.15_10")</f>
        <v>Q6.4.15_10</v>
      </c>
      <c r="L663" s="93" t="str">
        <f>HYPERLINK("#'Healthcare'!YM2","Primary EPO medical plan out-of-network deductible per family: In-patient hospital")</f>
        <v>Primary EPO medical plan out-of-network deductible per family: In-patient hospital</v>
      </c>
      <c r="M663" s="6"/>
      <c r="N663" s="7"/>
      <c r="O663" s="6"/>
      <c r="P663" s="7"/>
      <c r="Q663" s="6"/>
      <c r="R663" s="7"/>
      <c r="S663" s="6"/>
      <c r="T663" s="7"/>
      <c r="U663" s="6"/>
      <c r="V663" s="7"/>
      <c r="W663" s="6"/>
      <c r="X663" s="7"/>
    </row>
    <row r="664" spans="1:24" ht="38.25" x14ac:dyDescent="0.2">
      <c r="A664" s="6"/>
      <c r="B664" s="7"/>
      <c r="C664" s="6"/>
      <c r="D664" s="7"/>
      <c r="E664" s="6"/>
      <c r="F664" s="7"/>
      <c r="G664" s="6"/>
      <c r="H664" s="7"/>
      <c r="I664" s="6"/>
      <c r="J664" s="7"/>
      <c r="K664" s="96" t="str">
        <f>HYPERLINK("#'Healthcare'!YN1","Q6.4.15_11")</f>
        <v>Q6.4.15_11</v>
      </c>
      <c r="L664" s="93" t="str">
        <f>HYPERLINK("#'Healthcare'!YN2","Primary EPO medical plan out-of-network deductible per family: Mental health/substance abuse")</f>
        <v>Primary EPO medical plan out-of-network deductible per family: Mental health/substance abuse</v>
      </c>
      <c r="M664" s="6"/>
      <c r="N664" s="7"/>
      <c r="O664" s="6"/>
      <c r="P664" s="7"/>
      <c r="Q664" s="6"/>
      <c r="R664" s="7"/>
      <c r="S664" s="6"/>
      <c r="T664" s="7"/>
      <c r="U664" s="6"/>
      <c r="V664" s="7"/>
      <c r="W664" s="6"/>
      <c r="X664" s="7"/>
    </row>
    <row r="665" spans="1:24" ht="38.25" x14ac:dyDescent="0.2">
      <c r="A665" s="6"/>
      <c r="B665" s="7"/>
      <c r="C665" s="6"/>
      <c r="D665" s="7"/>
      <c r="E665" s="6"/>
      <c r="F665" s="7"/>
      <c r="G665" s="6"/>
      <c r="H665" s="7"/>
      <c r="I665" s="6"/>
      <c r="J665" s="7"/>
      <c r="K665" s="96" t="str">
        <f>HYPERLINK("#'Healthcare'!YO1","Q6.4.15_12")</f>
        <v>Q6.4.15_12</v>
      </c>
      <c r="L665" s="93" t="str">
        <f>HYPERLINK("#'Healthcare'!YO2","Primary EPO medical plan out-of-network deductible per family: Out-patient surgical center")</f>
        <v>Primary EPO medical plan out-of-network deductible per family: Out-patient surgical center</v>
      </c>
      <c r="M665" s="6"/>
      <c r="N665" s="7"/>
      <c r="O665" s="6"/>
      <c r="P665" s="7"/>
      <c r="Q665" s="6"/>
      <c r="R665" s="7"/>
      <c r="S665" s="6"/>
      <c r="T665" s="7"/>
      <c r="U665" s="6"/>
      <c r="V665" s="7"/>
      <c r="W665" s="6"/>
      <c r="X665" s="7"/>
    </row>
    <row r="666" spans="1:24" ht="38.25" x14ac:dyDescent="0.2">
      <c r="A666" s="6"/>
      <c r="B666" s="7"/>
      <c r="C666" s="6"/>
      <c r="D666" s="7"/>
      <c r="E666" s="6"/>
      <c r="F666" s="7"/>
      <c r="G666" s="6"/>
      <c r="H666" s="7"/>
      <c r="I666" s="6"/>
      <c r="J666" s="7"/>
      <c r="K666" s="96" t="str">
        <f>HYPERLINK("#'Healthcare'!YP1","Q6.4.15_13")</f>
        <v>Q6.4.15_13</v>
      </c>
      <c r="L666" s="93" t="str">
        <f>HYPERLINK("#'Healthcare'!YP2","Primary EPO medical plan out-of-network deductible per family: Prescription drugs (preventive)")</f>
        <v>Primary EPO medical plan out-of-network deductible per family: Prescription drugs (preventive)</v>
      </c>
      <c r="M666" s="6"/>
      <c r="N666" s="7"/>
      <c r="O666" s="6"/>
      <c r="P666" s="7"/>
      <c r="Q666" s="6"/>
      <c r="R666" s="7"/>
      <c r="S666" s="6"/>
      <c r="T666" s="7"/>
      <c r="U666" s="6"/>
      <c r="V666" s="7"/>
      <c r="W666" s="6"/>
      <c r="X666" s="7"/>
    </row>
    <row r="667" spans="1:24" ht="38.25" x14ac:dyDescent="0.2">
      <c r="A667" s="6"/>
      <c r="B667" s="7"/>
      <c r="C667" s="6"/>
      <c r="D667" s="7"/>
      <c r="E667" s="6"/>
      <c r="F667" s="7"/>
      <c r="G667" s="6"/>
      <c r="H667" s="7"/>
      <c r="I667" s="6"/>
      <c r="J667" s="7"/>
      <c r="K667" s="96" t="str">
        <f>HYPERLINK("#'Healthcare'!YQ1","Q6.4.15_14")</f>
        <v>Q6.4.15_14</v>
      </c>
      <c r="L667" s="93" t="str">
        <f>HYPERLINK("#'Healthcare'!YQ2","Primary EPO medical plan out-of-network deductible per family: Prescription drugs (non-preventive)")</f>
        <v>Primary EPO medical plan out-of-network deductible per family: Prescription drugs (non-preventive)</v>
      </c>
      <c r="M667" s="6"/>
      <c r="N667" s="7"/>
      <c r="O667" s="6"/>
      <c r="P667" s="7"/>
      <c r="Q667" s="6"/>
      <c r="R667" s="7"/>
      <c r="S667" s="6"/>
      <c r="T667" s="7"/>
      <c r="U667" s="6"/>
      <c r="V667" s="7"/>
      <c r="W667" s="6"/>
      <c r="X667" s="7"/>
    </row>
    <row r="668" spans="1:24" ht="38.25" x14ac:dyDescent="0.2">
      <c r="A668" s="6"/>
      <c r="B668" s="7"/>
      <c r="C668" s="6"/>
      <c r="D668" s="7"/>
      <c r="E668" s="6"/>
      <c r="F668" s="7"/>
      <c r="G668" s="6"/>
      <c r="H668" s="7"/>
      <c r="I668" s="6"/>
      <c r="J668" s="7"/>
      <c r="K668" s="96" t="str">
        <f>HYPERLINK("#'Healthcare'!YR1","Q6.4.15_15")</f>
        <v>Q6.4.15_15</v>
      </c>
      <c r="L668" s="93" t="str">
        <f>HYPERLINK("#'Healthcare'!YR2","Primary EPO medical plan out-of-network deductible per family: Therapies (speech, PT, OT)")</f>
        <v>Primary EPO medical plan out-of-network deductible per family: Therapies (speech, PT, OT)</v>
      </c>
      <c r="M668" s="6"/>
      <c r="N668" s="7"/>
      <c r="O668" s="6"/>
      <c r="P668" s="7"/>
      <c r="Q668" s="6"/>
      <c r="R668" s="7"/>
      <c r="S668" s="6"/>
      <c r="T668" s="7"/>
      <c r="U668" s="6"/>
      <c r="V668" s="7"/>
      <c r="W668" s="6"/>
      <c r="X668" s="7"/>
    </row>
    <row r="669" spans="1:24" ht="25.5" x14ac:dyDescent="0.2">
      <c r="A669" s="6"/>
      <c r="B669" s="7"/>
      <c r="C669" s="6"/>
      <c r="D669" s="7"/>
      <c r="E669" s="6"/>
      <c r="F669" s="7"/>
      <c r="G669" s="6"/>
      <c r="H669" s="7"/>
      <c r="I669" s="6"/>
      <c r="J669" s="7"/>
      <c r="K669" s="96" t="str">
        <f>HYPERLINK("#'Healthcare'!YS1","Q6.4.15_16")</f>
        <v>Q6.4.15_16</v>
      </c>
      <c r="L669" s="93" t="str">
        <f>HYPERLINK("#'Healthcare'!YS2","Primary EPO medical plan out-of-network deductible per family: Other")</f>
        <v>Primary EPO medical plan out-of-network deductible per family: Other</v>
      </c>
      <c r="M669" s="6"/>
      <c r="N669" s="7"/>
      <c r="O669" s="6"/>
      <c r="P669" s="7"/>
      <c r="Q669" s="6"/>
      <c r="R669" s="7"/>
      <c r="S669" s="6"/>
      <c r="T669" s="7"/>
      <c r="U669" s="6"/>
      <c r="V669" s="7"/>
      <c r="W669" s="6"/>
      <c r="X669" s="7"/>
    </row>
    <row r="670" spans="1:24" ht="12.75" x14ac:dyDescent="0.2">
      <c r="A670" s="6"/>
      <c r="B670" s="7"/>
      <c r="C670" s="6"/>
      <c r="D670" s="7"/>
      <c r="E670" s="6"/>
      <c r="F670" s="7"/>
      <c r="G670" s="6"/>
      <c r="H670" s="7"/>
      <c r="I670" s="6"/>
      <c r="J670" s="7"/>
      <c r="K670" s="96" t="str">
        <f>HYPERLINK("#'Healthcare'!YT1","Q6.4.16")</f>
        <v>Q6.4.16</v>
      </c>
      <c r="L670" s="93" t="str">
        <f>HYPERLINK("#'Healthcare'!YT2","Primary EPO  medical plan: Annual plan limit")</f>
        <v>Primary EPO  medical plan: Annual plan limit</v>
      </c>
      <c r="M670" s="6"/>
      <c r="N670" s="7"/>
      <c r="O670" s="6"/>
      <c r="P670" s="7"/>
      <c r="Q670" s="6"/>
      <c r="R670" s="7"/>
      <c r="S670" s="6"/>
      <c r="T670" s="7"/>
      <c r="U670" s="6"/>
      <c r="V670" s="7"/>
      <c r="W670" s="6"/>
      <c r="X670" s="7"/>
    </row>
    <row r="671" spans="1:24" ht="25.5" x14ac:dyDescent="0.2">
      <c r="A671" s="6"/>
      <c r="B671" s="7"/>
      <c r="C671" s="6"/>
      <c r="D671" s="7"/>
      <c r="E671" s="6"/>
      <c r="F671" s="7"/>
      <c r="G671" s="6"/>
      <c r="H671" s="7"/>
      <c r="I671" s="6"/>
      <c r="J671" s="7"/>
      <c r="K671" s="96" t="str">
        <f>HYPERLINK("#'Healthcare'!YU1","Q6.4.18")</f>
        <v>Q6.4.18</v>
      </c>
      <c r="L671" s="93" t="str">
        <f>HYPERLINK("#'Healthcare'!YU2","Primary EPO medical plan: Covers emergency services for non-emergencies")</f>
        <v>Primary EPO medical plan: Covers emergency services for non-emergencies</v>
      </c>
      <c r="M671" s="6"/>
      <c r="N671" s="7"/>
      <c r="O671" s="6"/>
      <c r="P671" s="7"/>
      <c r="Q671" s="6"/>
      <c r="R671" s="7"/>
      <c r="S671" s="6"/>
      <c r="T671" s="7"/>
      <c r="U671" s="6"/>
      <c r="V671" s="7"/>
      <c r="W671" s="6"/>
      <c r="X671" s="7"/>
    </row>
    <row r="672" spans="1:24" ht="38.25" x14ac:dyDescent="0.2">
      <c r="A672" s="6"/>
      <c r="B672" s="7"/>
      <c r="C672" s="6"/>
      <c r="D672" s="7"/>
      <c r="E672" s="6"/>
      <c r="F672" s="7"/>
      <c r="G672" s="6"/>
      <c r="H672" s="7"/>
      <c r="I672" s="6"/>
      <c r="J672" s="7"/>
      <c r="K672" s="96" t="str">
        <f>HYPERLINK("#'Healthcare'!YV1","Q6.4.19")</f>
        <v>Q6.4.19</v>
      </c>
      <c r="L672" s="93" t="str">
        <f>HYPERLINK("#'Healthcare'!YV2","Primary EPO medical plan: Covers emergency services for non-emergencies at reduced amount")</f>
        <v>Primary EPO medical plan: Covers emergency services for non-emergencies at reduced amount</v>
      </c>
      <c r="M672" s="6"/>
      <c r="N672" s="7"/>
      <c r="O672" s="6"/>
      <c r="P672" s="7"/>
      <c r="Q672" s="6"/>
      <c r="R672" s="7"/>
      <c r="S672" s="6"/>
      <c r="T672" s="7"/>
      <c r="U672" s="6"/>
      <c r="V672" s="7"/>
      <c r="W672" s="6"/>
      <c r="X672" s="7"/>
    </row>
    <row r="673" spans="1:24" ht="38.25" x14ac:dyDescent="0.2">
      <c r="A673" s="6"/>
      <c r="B673" s="7"/>
      <c r="C673" s="6"/>
      <c r="D673" s="7"/>
      <c r="E673" s="6"/>
      <c r="F673" s="7"/>
      <c r="G673" s="6"/>
      <c r="H673" s="7"/>
      <c r="I673" s="6"/>
      <c r="J673" s="7"/>
      <c r="K673" s="96" t="str">
        <f>HYPERLINK("#'Healthcare'!YW1","Q6.4.20")</f>
        <v>Q6.4.20</v>
      </c>
      <c r="L673" s="93" t="str">
        <f>HYPERLINK("#'Healthcare'!YW2","Primary EPO medical plan: Covers mental health and substance abuse emergencies differently")</f>
        <v>Primary EPO medical plan: Covers mental health and substance abuse emergencies differently</v>
      </c>
      <c r="M673" s="6"/>
      <c r="N673" s="7"/>
      <c r="O673" s="6"/>
      <c r="P673" s="7"/>
      <c r="Q673" s="6"/>
      <c r="R673" s="7"/>
      <c r="S673" s="6"/>
      <c r="T673" s="7"/>
      <c r="U673" s="6"/>
      <c r="V673" s="7"/>
      <c r="W673" s="6"/>
      <c r="X673" s="7"/>
    </row>
    <row r="674" spans="1:24" ht="38.25" x14ac:dyDescent="0.2">
      <c r="A674" s="6"/>
      <c r="B674" s="7"/>
      <c r="C674" s="6"/>
      <c r="D674" s="7"/>
      <c r="E674" s="6"/>
      <c r="F674" s="7"/>
      <c r="G674" s="6"/>
      <c r="H674" s="7"/>
      <c r="I674" s="6"/>
      <c r="J674" s="7"/>
      <c r="K674" s="96" t="str">
        <f>HYPERLINK("#'Healthcare'!YX1","Q6.4.21")</f>
        <v>Q6.4.21</v>
      </c>
      <c r="L674" s="93" t="str">
        <f>HYPERLINK("#'Healthcare'!YX2","Primary EPO medical plan: Coverage for mental health and substance abuse emergencies")</f>
        <v>Primary EPO medical plan: Coverage for mental health and substance abuse emergencies</v>
      </c>
      <c r="M674" s="6"/>
      <c r="N674" s="7"/>
      <c r="O674" s="6"/>
      <c r="P674" s="7"/>
      <c r="Q674" s="6"/>
      <c r="R674" s="7"/>
      <c r="S674" s="6"/>
      <c r="T674" s="7"/>
      <c r="U674" s="6"/>
      <c r="V674" s="7"/>
      <c r="W674" s="6"/>
      <c r="X674" s="7"/>
    </row>
    <row r="675" spans="1:24" ht="25.5" x14ac:dyDescent="0.2">
      <c r="A675" s="6"/>
      <c r="B675" s="7"/>
      <c r="C675" s="6"/>
      <c r="D675" s="7"/>
      <c r="E675" s="6"/>
      <c r="F675" s="7"/>
      <c r="G675" s="6"/>
      <c r="H675" s="7"/>
      <c r="I675" s="6"/>
      <c r="J675" s="7"/>
      <c r="K675" s="96" t="str">
        <f>HYPERLINK("#'Healthcare'!YY1","Q6.4.22")</f>
        <v>Q6.4.22</v>
      </c>
      <c r="L675" s="93" t="str">
        <f>HYPERLINK("#'Healthcare'!YY2","Primary EPO medical plan non-acute care services in-network coverage ")</f>
        <v xml:space="preserve">Primary EPO medical plan non-acute care services in-network coverage </v>
      </c>
      <c r="M675" s="6"/>
      <c r="N675" s="7"/>
      <c r="O675" s="6"/>
      <c r="P675" s="7"/>
      <c r="Q675" s="6"/>
      <c r="R675" s="7"/>
      <c r="S675" s="6"/>
      <c r="T675" s="7"/>
      <c r="U675" s="6"/>
      <c r="V675" s="7"/>
      <c r="W675" s="6"/>
      <c r="X675" s="7"/>
    </row>
    <row r="676" spans="1:24" ht="25.5" x14ac:dyDescent="0.2">
      <c r="A676" s="6"/>
      <c r="B676" s="7"/>
      <c r="C676" s="6"/>
      <c r="D676" s="7"/>
      <c r="E676" s="6"/>
      <c r="F676" s="7"/>
      <c r="G676" s="6"/>
      <c r="H676" s="7"/>
      <c r="I676" s="6"/>
      <c r="J676" s="7"/>
      <c r="K676" s="96" t="str">
        <f>HYPERLINK("#'Healthcare'!YZ1","Q6.4.23")</f>
        <v>Q6.4.23</v>
      </c>
      <c r="L676" s="93" t="str">
        <f>HYPERLINK("#'Healthcare'!YZ2","Primary EPO medical plan non-acute care services out-of-network coverage")</f>
        <v>Primary EPO medical plan non-acute care services out-of-network coverage</v>
      </c>
      <c r="M676" s="6"/>
      <c r="N676" s="7"/>
      <c r="O676" s="6"/>
      <c r="P676" s="7"/>
      <c r="Q676" s="6"/>
      <c r="R676" s="7"/>
      <c r="S676" s="6"/>
      <c r="T676" s="7"/>
      <c r="U676" s="6"/>
      <c r="V676" s="7"/>
      <c r="W676" s="6"/>
      <c r="X676" s="7"/>
    </row>
    <row r="677" spans="1:24" ht="25.5" x14ac:dyDescent="0.2">
      <c r="A677" s="6"/>
      <c r="B677" s="7"/>
      <c r="C677" s="6"/>
      <c r="D677" s="7"/>
      <c r="E677" s="6"/>
      <c r="F677" s="7"/>
      <c r="G677" s="6"/>
      <c r="H677" s="7"/>
      <c r="I677" s="6"/>
      <c r="J677" s="7"/>
      <c r="K677" s="96" t="str">
        <f>HYPERLINK("#'Healthcare'!ZA1","Q6.4.24_1")</f>
        <v>Q6.4.24_1</v>
      </c>
      <c r="L677" s="93" t="str">
        <f>HYPERLINK("#'Healthcare'!ZA2","Primary EPO medical plan in-network copayment: General/Primary care office visit")</f>
        <v>Primary EPO medical plan in-network copayment: General/Primary care office visit</v>
      </c>
      <c r="M677" s="6"/>
      <c r="N677" s="7"/>
      <c r="O677" s="6"/>
      <c r="P677" s="7"/>
      <c r="Q677" s="6"/>
      <c r="R677" s="7"/>
      <c r="S677" s="6"/>
      <c r="T677" s="7"/>
      <c r="U677" s="6"/>
      <c r="V677" s="7"/>
      <c r="W677" s="6"/>
      <c r="X677" s="7"/>
    </row>
    <row r="678" spans="1:24" ht="25.5" x14ac:dyDescent="0.2">
      <c r="A678" s="6"/>
      <c r="B678" s="7"/>
      <c r="C678" s="6"/>
      <c r="D678" s="7"/>
      <c r="E678" s="6"/>
      <c r="F678" s="7"/>
      <c r="G678" s="6"/>
      <c r="H678" s="7"/>
      <c r="I678" s="6"/>
      <c r="J678" s="7"/>
      <c r="K678" s="96" t="str">
        <f>HYPERLINK("#'Healthcare'!ZB1","Q6.4.24_2")</f>
        <v>Q6.4.24_2</v>
      </c>
      <c r="L678" s="93" t="str">
        <f>HYPERLINK("#'Healthcare'!ZB2","Primary EPO medical plan in-network copayment: Specialist office visit")</f>
        <v>Primary EPO medical plan in-network copayment: Specialist office visit</v>
      </c>
      <c r="M678" s="6"/>
      <c r="N678" s="7"/>
      <c r="O678" s="6"/>
      <c r="P678" s="7"/>
      <c r="Q678" s="6"/>
      <c r="R678" s="7"/>
      <c r="S678" s="6"/>
      <c r="T678" s="7"/>
      <c r="U678" s="6"/>
      <c r="V678" s="7"/>
      <c r="W678" s="6"/>
      <c r="X678" s="7"/>
    </row>
    <row r="679" spans="1:24" ht="38.25" x14ac:dyDescent="0.2">
      <c r="A679" s="6"/>
      <c r="B679" s="7"/>
      <c r="C679" s="6"/>
      <c r="D679" s="7"/>
      <c r="E679" s="6"/>
      <c r="F679" s="7"/>
      <c r="G679" s="6"/>
      <c r="H679" s="7"/>
      <c r="I679" s="6"/>
      <c r="J679" s="7"/>
      <c r="K679" s="96" t="str">
        <f>HYPERLINK("#'Healthcare'!ZC1","Q6.4.24_3")</f>
        <v>Q6.4.24_3</v>
      </c>
      <c r="L679" s="93" t="str">
        <f>HYPERLINK("#'Healthcare'!ZC2","Primary EPO medical plan in-network copayment: Autism/applied behavioral analysis (ABA)")</f>
        <v>Primary EPO medical plan in-network copayment: Autism/applied behavioral analysis (ABA)</v>
      </c>
      <c r="M679" s="6"/>
      <c r="N679" s="7"/>
      <c r="O679" s="6"/>
      <c r="P679" s="7"/>
      <c r="Q679" s="6"/>
      <c r="R679" s="7"/>
      <c r="S679" s="6"/>
      <c r="T679" s="7"/>
      <c r="U679" s="6"/>
      <c r="V679" s="7"/>
      <c r="W679" s="6"/>
      <c r="X679" s="7"/>
    </row>
    <row r="680" spans="1:24" ht="25.5" x14ac:dyDescent="0.2">
      <c r="A680" s="6"/>
      <c r="B680" s="7"/>
      <c r="C680" s="6"/>
      <c r="D680" s="7"/>
      <c r="E680" s="6"/>
      <c r="F680" s="7"/>
      <c r="G680" s="6"/>
      <c r="H680" s="7"/>
      <c r="I680" s="6"/>
      <c r="J680" s="7"/>
      <c r="K680" s="96" t="str">
        <f>HYPERLINK("#'Healthcare'!ZD1","Q6.4.24_4")</f>
        <v>Q6.4.24_4</v>
      </c>
      <c r="L680" s="93" t="str">
        <f>HYPERLINK("#'Healthcare'!ZD2","Primary EPO medical plan in-network copayment: Emergency room")</f>
        <v>Primary EPO medical plan in-network copayment: Emergency room</v>
      </c>
      <c r="M680" s="6"/>
      <c r="N680" s="7"/>
      <c r="O680" s="6"/>
      <c r="P680" s="7"/>
      <c r="Q680" s="6"/>
      <c r="R680" s="7"/>
      <c r="S680" s="6"/>
      <c r="T680" s="7"/>
      <c r="U680" s="6"/>
      <c r="V680" s="7"/>
      <c r="W680" s="6"/>
      <c r="X680" s="7"/>
    </row>
    <row r="681" spans="1:24" ht="25.5" x14ac:dyDescent="0.2">
      <c r="A681" s="6"/>
      <c r="B681" s="7"/>
      <c r="C681" s="6"/>
      <c r="D681" s="7"/>
      <c r="E681" s="6"/>
      <c r="F681" s="7"/>
      <c r="G681" s="6"/>
      <c r="H681" s="7"/>
      <c r="I681" s="6"/>
      <c r="J681" s="7"/>
      <c r="K681" s="96" t="str">
        <f>HYPERLINK("#'Healthcare'!ZE1","Q6.4.24_5")</f>
        <v>Q6.4.24_5</v>
      </c>
      <c r="L681" s="93" t="str">
        <f>HYPERLINK("#'Healthcare'!ZE2","Primary EPO medical plan in-network copayment: Urgent office visit")</f>
        <v>Primary EPO medical plan in-network copayment: Urgent office visit</v>
      </c>
      <c r="M681" s="6"/>
      <c r="N681" s="7"/>
      <c r="O681" s="6"/>
      <c r="P681" s="7"/>
      <c r="Q681" s="6"/>
      <c r="R681" s="7"/>
      <c r="S681" s="6"/>
      <c r="T681" s="7"/>
      <c r="U681" s="6"/>
      <c r="V681" s="7"/>
      <c r="W681" s="6"/>
      <c r="X681" s="7"/>
    </row>
    <row r="682" spans="1:24" ht="25.5" x14ac:dyDescent="0.2">
      <c r="A682" s="6"/>
      <c r="B682" s="7"/>
      <c r="C682" s="6"/>
      <c r="D682" s="7"/>
      <c r="E682" s="6"/>
      <c r="F682" s="7"/>
      <c r="G682" s="6"/>
      <c r="H682" s="7"/>
      <c r="I682" s="6"/>
      <c r="J682" s="7"/>
      <c r="K682" s="96" t="str">
        <f>HYPERLINK("#'Healthcare'!ZF1","Q6.4.24_7")</f>
        <v>Q6.4.24_7</v>
      </c>
      <c r="L682" s="93" t="str">
        <f>HYPERLINK("#'Healthcare'!ZF2","Primary EPO medical plan in-network copayment: Telehealth")</f>
        <v>Primary EPO medical plan in-network copayment: Telehealth</v>
      </c>
      <c r="M682" s="6"/>
      <c r="N682" s="7"/>
      <c r="O682" s="6"/>
      <c r="P682" s="7"/>
      <c r="Q682" s="6"/>
      <c r="R682" s="7"/>
      <c r="S682" s="6"/>
      <c r="T682" s="7"/>
      <c r="U682" s="6"/>
      <c r="V682" s="7"/>
      <c r="W682" s="6"/>
      <c r="X682" s="7"/>
    </row>
    <row r="683" spans="1:24" ht="25.5" x14ac:dyDescent="0.2">
      <c r="A683" s="6"/>
      <c r="B683" s="7"/>
      <c r="C683" s="6"/>
      <c r="D683" s="7"/>
      <c r="E683" s="6"/>
      <c r="F683" s="7"/>
      <c r="G683" s="6"/>
      <c r="H683" s="7"/>
      <c r="I683" s="6"/>
      <c r="J683" s="7"/>
      <c r="K683" s="96" t="str">
        <f>HYPERLINK("#'Healthcare'!ZG1","Q6.4.24_6")</f>
        <v>Q6.4.24_6</v>
      </c>
      <c r="L683" s="93" t="str">
        <f>HYPERLINK("#'Healthcare'!ZG2","Primary EPO medical plan in-network copayment: Other")</f>
        <v>Primary EPO medical plan in-network copayment: Other</v>
      </c>
      <c r="M683" s="6"/>
      <c r="N683" s="7"/>
      <c r="O683" s="6"/>
      <c r="P683" s="7"/>
      <c r="Q683" s="6"/>
      <c r="R683" s="7"/>
      <c r="S683" s="6"/>
      <c r="T683" s="7"/>
      <c r="U683" s="6"/>
      <c r="V683" s="7"/>
      <c r="W683" s="6"/>
      <c r="X683" s="7"/>
    </row>
    <row r="684" spans="1:24" ht="25.5" x14ac:dyDescent="0.2">
      <c r="A684" s="6"/>
      <c r="B684" s="7"/>
      <c r="C684" s="6"/>
      <c r="D684" s="7"/>
      <c r="E684" s="6"/>
      <c r="F684" s="7"/>
      <c r="G684" s="6"/>
      <c r="H684" s="7"/>
      <c r="I684" s="6"/>
      <c r="J684" s="7"/>
      <c r="K684" s="96" t="str">
        <f>HYPERLINK("#'Healthcare'!ZH1","Q6.4.25_1")</f>
        <v>Q6.4.25_1</v>
      </c>
      <c r="L684" s="93" t="str">
        <f>HYPERLINK("#'Healthcare'!ZH2","Primary EPO medical plan in-network coinsurance: General/Primary care office visit")</f>
        <v>Primary EPO medical plan in-network coinsurance: General/Primary care office visit</v>
      </c>
      <c r="M684" s="6"/>
      <c r="N684" s="7"/>
      <c r="O684" s="6"/>
      <c r="P684" s="7"/>
      <c r="Q684" s="6"/>
      <c r="R684" s="7"/>
      <c r="S684" s="6"/>
      <c r="T684" s="7"/>
      <c r="U684" s="6"/>
      <c r="V684" s="7"/>
      <c r="W684" s="6"/>
      <c r="X684" s="7"/>
    </row>
    <row r="685" spans="1:24" ht="25.5" x14ac:dyDescent="0.2">
      <c r="A685" s="6"/>
      <c r="B685" s="7"/>
      <c r="C685" s="6"/>
      <c r="D685" s="7"/>
      <c r="E685" s="6"/>
      <c r="F685" s="7"/>
      <c r="G685" s="6"/>
      <c r="H685" s="7"/>
      <c r="I685" s="6"/>
      <c r="J685" s="7"/>
      <c r="K685" s="96" t="str">
        <f>HYPERLINK("#'Healthcare'!ZI1","Q6.4.25_2")</f>
        <v>Q6.4.25_2</v>
      </c>
      <c r="L685" s="93" t="str">
        <f>HYPERLINK("#'Healthcare'!ZI2","Primary EPO medical plan in-network coinsurance: Specialist office visit")</f>
        <v>Primary EPO medical plan in-network coinsurance: Specialist office visit</v>
      </c>
      <c r="M685" s="6"/>
      <c r="N685" s="7"/>
      <c r="O685" s="6"/>
      <c r="P685" s="7"/>
      <c r="Q685" s="6"/>
      <c r="R685" s="7"/>
      <c r="S685" s="6"/>
      <c r="T685" s="7"/>
      <c r="U685" s="6"/>
      <c r="V685" s="7"/>
      <c r="W685" s="6"/>
      <c r="X685" s="7"/>
    </row>
    <row r="686" spans="1:24" ht="38.25" x14ac:dyDescent="0.2">
      <c r="A686" s="6"/>
      <c r="B686" s="7"/>
      <c r="C686" s="6"/>
      <c r="D686" s="7"/>
      <c r="E686" s="6"/>
      <c r="F686" s="7"/>
      <c r="G686" s="6"/>
      <c r="H686" s="7"/>
      <c r="I686" s="6"/>
      <c r="J686" s="7"/>
      <c r="K686" s="96" t="str">
        <f>HYPERLINK("#'Healthcare'!ZJ1","Q6.4.25_3")</f>
        <v>Q6.4.25_3</v>
      </c>
      <c r="L686" s="93" t="str">
        <f>HYPERLINK("#'Healthcare'!ZJ2","Primary EPO medical plan in-network coinsurance: Autism/applied behavioral analysis (ABA)")</f>
        <v>Primary EPO medical plan in-network coinsurance: Autism/applied behavioral analysis (ABA)</v>
      </c>
      <c r="M686" s="6"/>
      <c r="N686" s="7"/>
      <c r="O686" s="6"/>
      <c r="P686" s="7"/>
      <c r="Q686" s="6"/>
      <c r="R686" s="7"/>
      <c r="S686" s="6"/>
      <c r="T686" s="7"/>
      <c r="U686" s="6"/>
      <c r="V686" s="7"/>
      <c r="W686" s="6"/>
      <c r="X686" s="7"/>
    </row>
    <row r="687" spans="1:24" ht="25.5" x14ac:dyDescent="0.2">
      <c r="A687" s="6"/>
      <c r="B687" s="7"/>
      <c r="C687" s="6"/>
      <c r="D687" s="7"/>
      <c r="E687" s="6"/>
      <c r="F687" s="7"/>
      <c r="G687" s="6"/>
      <c r="H687" s="7"/>
      <c r="I687" s="6"/>
      <c r="J687" s="7"/>
      <c r="K687" s="96" t="str">
        <f>HYPERLINK("#'Healthcare'!ZK1","Q6.4.25_4")</f>
        <v>Q6.4.25_4</v>
      </c>
      <c r="L687" s="93" t="str">
        <f>HYPERLINK("#'Healthcare'!ZK2","Primary EPO medical plan in-network coinsurance: Emergency room")</f>
        <v>Primary EPO medical plan in-network coinsurance: Emergency room</v>
      </c>
      <c r="M687" s="6"/>
      <c r="N687" s="7"/>
      <c r="O687" s="6"/>
      <c r="P687" s="7"/>
      <c r="Q687" s="6"/>
      <c r="R687" s="7"/>
      <c r="S687" s="6"/>
      <c r="T687" s="7"/>
      <c r="U687" s="6"/>
      <c r="V687" s="7"/>
      <c r="W687" s="6"/>
      <c r="X687" s="7"/>
    </row>
    <row r="688" spans="1:24" ht="25.5" x14ac:dyDescent="0.2">
      <c r="A688" s="6"/>
      <c r="B688" s="7"/>
      <c r="C688" s="6"/>
      <c r="D688" s="7"/>
      <c r="E688" s="6"/>
      <c r="F688" s="7"/>
      <c r="G688" s="6"/>
      <c r="H688" s="7"/>
      <c r="I688" s="6"/>
      <c r="J688" s="7"/>
      <c r="K688" s="96" t="str">
        <f>HYPERLINK("#'Healthcare'!ZL1","Q6.4.25_5")</f>
        <v>Q6.4.25_5</v>
      </c>
      <c r="L688" s="93" t="str">
        <f>HYPERLINK("#'Healthcare'!ZL2","Primary EPO medical plan in-network coinsurance: Urgent office visit")</f>
        <v>Primary EPO medical plan in-network coinsurance: Urgent office visit</v>
      </c>
      <c r="M688" s="6"/>
      <c r="N688" s="7"/>
      <c r="O688" s="6"/>
      <c r="P688" s="7"/>
      <c r="Q688" s="6"/>
      <c r="R688" s="7"/>
      <c r="S688" s="6"/>
      <c r="T688" s="7"/>
      <c r="U688" s="6"/>
      <c r="V688" s="7"/>
      <c r="W688" s="6"/>
      <c r="X688" s="7"/>
    </row>
    <row r="689" spans="1:24" ht="25.5" x14ac:dyDescent="0.2">
      <c r="A689" s="6"/>
      <c r="B689" s="7"/>
      <c r="C689" s="6"/>
      <c r="D689" s="7"/>
      <c r="E689" s="6"/>
      <c r="F689" s="7"/>
      <c r="G689" s="6"/>
      <c r="H689" s="7"/>
      <c r="I689" s="6"/>
      <c r="J689" s="7"/>
      <c r="K689" s="96" t="str">
        <f>HYPERLINK("#'Healthcare'!ZM1","Q6.4.25_7")</f>
        <v>Q6.4.25_7</v>
      </c>
      <c r="L689" s="93" t="str">
        <f>HYPERLINK("#'Healthcare'!ZM2","Primary EPO medical plan in-network coinsurance: Telehealth")</f>
        <v>Primary EPO medical plan in-network coinsurance: Telehealth</v>
      </c>
      <c r="M689" s="6"/>
      <c r="N689" s="7"/>
      <c r="O689" s="6"/>
      <c r="P689" s="7"/>
      <c r="Q689" s="6"/>
      <c r="R689" s="7"/>
      <c r="S689" s="6"/>
      <c r="T689" s="7"/>
      <c r="U689" s="6"/>
      <c r="V689" s="7"/>
      <c r="W689" s="6"/>
      <c r="X689" s="7"/>
    </row>
    <row r="690" spans="1:24" ht="25.5" x14ac:dyDescent="0.2">
      <c r="A690" s="6"/>
      <c r="B690" s="7"/>
      <c r="C690" s="6"/>
      <c r="D690" s="7"/>
      <c r="E690" s="6"/>
      <c r="F690" s="7"/>
      <c r="G690" s="6"/>
      <c r="H690" s="7"/>
      <c r="I690" s="6"/>
      <c r="J690" s="7"/>
      <c r="K690" s="96" t="str">
        <f>HYPERLINK("#'Healthcare'!ZN1","Q6.4.25_6")</f>
        <v>Q6.4.25_6</v>
      </c>
      <c r="L690" s="93" t="str">
        <f>HYPERLINK("#'Healthcare'!ZN2","Primary EPO medical plan in-network coinsurance: Other")</f>
        <v>Primary EPO medical plan in-network coinsurance: Other</v>
      </c>
      <c r="M690" s="6"/>
      <c r="N690" s="7"/>
      <c r="O690" s="6"/>
      <c r="P690" s="7"/>
      <c r="Q690" s="6"/>
      <c r="R690" s="7"/>
      <c r="S690" s="6"/>
      <c r="T690" s="7"/>
      <c r="U690" s="6"/>
      <c r="V690" s="7"/>
      <c r="W690" s="6"/>
      <c r="X690" s="7"/>
    </row>
    <row r="691" spans="1:24" ht="25.5" x14ac:dyDescent="0.2">
      <c r="A691" s="6"/>
      <c r="B691" s="7"/>
      <c r="C691" s="6"/>
      <c r="D691" s="7"/>
      <c r="E691" s="6"/>
      <c r="F691" s="7"/>
      <c r="G691" s="6"/>
      <c r="H691" s="7"/>
      <c r="I691" s="6"/>
      <c r="J691" s="7"/>
      <c r="K691" s="96" t="str">
        <f>HYPERLINK("#'Healthcare'!ZO1","Q6.4.26_1")</f>
        <v>Q6.4.26_1</v>
      </c>
      <c r="L691" s="93" t="str">
        <f>HYPERLINK("#'Healthcare'!ZO2","Primary EPO medical plan out-of-network copayment: General/Primary care office visit")</f>
        <v>Primary EPO medical plan out-of-network copayment: General/Primary care office visit</v>
      </c>
      <c r="M691" s="6"/>
      <c r="N691" s="7"/>
      <c r="O691" s="6"/>
      <c r="P691" s="7"/>
      <c r="Q691" s="6"/>
      <c r="R691" s="7"/>
      <c r="S691" s="6"/>
      <c r="T691" s="7"/>
      <c r="U691" s="6"/>
      <c r="V691" s="7"/>
      <c r="W691" s="6"/>
      <c r="X691" s="7"/>
    </row>
    <row r="692" spans="1:24" ht="25.5" x14ac:dyDescent="0.2">
      <c r="A692" s="6"/>
      <c r="B692" s="7"/>
      <c r="C692" s="6"/>
      <c r="D692" s="7"/>
      <c r="E692" s="6"/>
      <c r="F692" s="7"/>
      <c r="G692" s="6"/>
      <c r="H692" s="7"/>
      <c r="I692" s="6"/>
      <c r="J692" s="7"/>
      <c r="K692" s="96" t="str">
        <f>HYPERLINK("#'Healthcare'!ZP1","Q6.4.26_2")</f>
        <v>Q6.4.26_2</v>
      </c>
      <c r="L692" s="93" t="str">
        <f>HYPERLINK("#'Healthcare'!ZP2","Primary EPO medical plan out-of-network copayment: Specialist office visit")</f>
        <v>Primary EPO medical plan out-of-network copayment: Specialist office visit</v>
      </c>
      <c r="M692" s="6"/>
      <c r="N692" s="7"/>
      <c r="O692" s="6"/>
      <c r="P692" s="7"/>
      <c r="Q692" s="6"/>
      <c r="R692" s="7"/>
      <c r="S692" s="6"/>
      <c r="T692" s="7"/>
      <c r="U692" s="6"/>
      <c r="V692" s="7"/>
      <c r="W692" s="6"/>
      <c r="X692" s="7"/>
    </row>
    <row r="693" spans="1:24" ht="38.25" x14ac:dyDescent="0.2">
      <c r="A693" s="6"/>
      <c r="B693" s="7"/>
      <c r="C693" s="6"/>
      <c r="D693" s="7"/>
      <c r="E693" s="6"/>
      <c r="F693" s="7"/>
      <c r="G693" s="6"/>
      <c r="H693" s="7"/>
      <c r="I693" s="6"/>
      <c r="J693" s="7"/>
      <c r="K693" s="96" t="str">
        <f>HYPERLINK("#'Healthcare'!ZQ1","Q6.4.26_3")</f>
        <v>Q6.4.26_3</v>
      </c>
      <c r="L693" s="93" t="str">
        <f>HYPERLINK("#'Healthcare'!ZQ2","Primary EPO medical plan out-of-network copayment: Autism/applied behavioral analysis (ABA)")</f>
        <v>Primary EPO medical plan out-of-network copayment: Autism/applied behavioral analysis (ABA)</v>
      </c>
      <c r="M693" s="6"/>
      <c r="N693" s="7"/>
      <c r="O693" s="6"/>
      <c r="P693" s="7"/>
      <c r="Q693" s="6"/>
      <c r="R693" s="7"/>
      <c r="S693" s="6"/>
      <c r="T693" s="7"/>
      <c r="U693" s="6"/>
      <c r="V693" s="7"/>
      <c r="W693" s="6"/>
      <c r="X693" s="7"/>
    </row>
    <row r="694" spans="1:24" ht="25.5" x14ac:dyDescent="0.2">
      <c r="A694" s="6"/>
      <c r="B694" s="7"/>
      <c r="C694" s="6"/>
      <c r="D694" s="7"/>
      <c r="E694" s="6"/>
      <c r="F694" s="7"/>
      <c r="G694" s="6"/>
      <c r="H694" s="7"/>
      <c r="I694" s="6"/>
      <c r="J694" s="7"/>
      <c r="K694" s="96" t="str">
        <f>HYPERLINK("#'Healthcare'!ZR1","Q6.4.26_4")</f>
        <v>Q6.4.26_4</v>
      </c>
      <c r="L694" s="93" t="str">
        <f>HYPERLINK("#'Healthcare'!ZR2","Primary EPO medical plan out-of-network copayment: Emergency room")</f>
        <v>Primary EPO medical plan out-of-network copayment: Emergency room</v>
      </c>
      <c r="M694" s="6"/>
      <c r="N694" s="7"/>
      <c r="O694" s="6"/>
      <c r="P694" s="7"/>
      <c r="Q694" s="6"/>
      <c r="R694" s="7"/>
      <c r="S694" s="6"/>
      <c r="T694" s="7"/>
      <c r="U694" s="6"/>
      <c r="V694" s="7"/>
      <c r="W694" s="6"/>
      <c r="X694" s="7"/>
    </row>
    <row r="695" spans="1:24" ht="25.5" x14ac:dyDescent="0.2">
      <c r="A695" s="6"/>
      <c r="B695" s="7"/>
      <c r="C695" s="6"/>
      <c r="D695" s="7"/>
      <c r="E695" s="6"/>
      <c r="F695" s="7"/>
      <c r="G695" s="6"/>
      <c r="H695" s="7"/>
      <c r="I695" s="6"/>
      <c r="J695" s="7"/>
      <c r="K695" s="96" t="str">
        <f>HYPERLINK("#'Healthcare'!ZS1","Q6.4.26_5")</f>
        <v>Q6.4.26_5</v>
      </c>
      <c r="L695" s="93" t="str">
        <f>HYPERLINK("#'Healthcare'!ZS2","Primary EPO medical plan out-of-network copayment: Urgent office visit")</f>
        <v>Primary EPO medical plan out-of-network copayment: Urgent office visit</v>
      </c>
      <c r="M695" s="6"/>
      <c r="N695" s="7"/>
      <c r="O695" s="6"/>
      <c r="P695" s="7"/>
      <c r="Q695" s="6"/>
      <c r="R695" s="7"/>
      <c r="S695" s="6"/>
      <c r="T695" s="7"/>
      <c r="U695" s="6"/>
      <c r="V695" s="7"/>
      <c r="W695" s="6"/>
      <c r="X695" s="7"/>
    </row>
    <row r="696" spans="1:24" ht="25.5" x14ac:dyDescent="0.2">
      <c r="A696" s="6"/>
      <c r="B696" s="7"/>
      <c r="C696" s="6"/>
      <c r="D696" s="7"/>
      <c r="E696" s="6"/>
      <c r="F696" s="7"/>
      <c r="G696" s="6"/>
      <c r="H696" s="7"/>
      <c r="I696" s="6"/>
      <c r="J696" s="7"/>
      <c r="K696" s="96" t="str">
        <f>HYPERLINK("#'Healthcare'!ZT1","Q6.4.26_7")</f>
        <v>Q6.4.26_7</v>
      </c>
      <c r="L696" s="93" t="str">
        <f>HYPERLINK("#'Healthcare'!ZT2","Primary EPO medical plan out-of-network copayment: Telehealth")</f>
        <v>Primary EPO medical plan out-of-network copayment: Telehealth</v>
      </c>
      <c r="M696" s="6"/>
      <c r="N696" s="7"/>
      <c r="O696" s="6"/>
      <c r="P696" s="7"/>
      <c r="Q696" s="6"/>
      <c r="R696" s="7"/>
      <c r="S696" s="6"/>
      <c r="T696" s="7"/>
      <c r="U696" s="6"/>
      <c r="V696" s="7"/>
      <c r="W696" s="6"/>
      <c r="X696" s="7"/>
    </row>
    <row r="697" spans="1:24" ht="25.5" x14ac:dyDescent="0.2">
      <c r="A697" s="6"/>
      <c r="B697" s="7"/>
      <c r="C697" s="6"/>
      <c r="D697" s="7"/>
      <c r="E697" s="6"/>
      <c r="F697" s="7"/>
      <c r="G697" s="6"/>
      <c r="H697" s="7"/>
      <c r="I697" s="6"/>
      <c r="J697" s="7"/>
      <c r="K697" s="96" t="str">
        <f>HYPERLINK("#'Healthcare'!ZU1","Q6.4.26_6")</f>
        <v>Q6.4.26_6</v>
      </c>
      <c r="L697" s="93" t="str">
        <f>HYPERLINK("#'Healthcare'!ZU2","Primary EPO medical plan out-of-network copayment: Other")</f>
        <v>Primary EPO medical plan out-of-network copayment: Other</v>
      </c>
      <c r="M697" s="6"/>
      <c r="N697" s="7"/>
      <c r="O697" s="6"/>
      <c r="P697" s="7"/>
      <c r="Q697" s="6"/>
      <c r="R697" s="7"/>
      <c r="S697" s="6"/>
      <c r="T697" s="7"/>
      <c r="U697" s="6"/>
      <c r="V697" s="7"/>
      <c r="W697" s="6"/>
      <c r="X697" s="7"/>
    </row>
    <row r="698" spans="1:24" ht="25.5" x14ac:dyDescent="0.2">
      <c r="A698" s="6"/>
      <c r="B698" s="7"/>
      <c r="C698" s="6"/>
      <c r="D698" s="7"/>
      <c r="E698" s="6"/>
      <c r="F698" s="7"/>
      <c r="G698" s="6"/>
      <c r="H698" s="7"/>
      <c r="I698" s="6"/>
      <c r="J698" s="7"/>
      <c r="K698" s="96" t="str">
        <f>HYPERLINK("#'Healthcare'!ZV1","Q6.4.27_1")</f>
        <v>Q6.4.27_1</v>
      </c>
      <c r="L698" s="93" t="str">
        <f>HYPERLINK("#'Healthcare'!ZV2","Primary EPO medical plan out-of-network coinsurance: General/Primary care office visit")</f>
        <v>Primary EPO medical plan out-of-network coinsurance: General/Primary care office visit</v>
      </c>
      <c r="M698" s="6"/>
      <c r="N698" s="7"/>
      <c r="O698" s="6"/>
      <c r="P698" s="7"/>
      <c r="Q698" s="6"/>
      <c r="R698" s="7"/>
      <c r="S698" s="6"/>
      <c r="T698" s="7"/>
      <c r="U698" s="6"/>
      <c r="V698" s="7"/>
      <c r="W698" s="6"/>
      <c r="X698" s="7"/>
    </row>
    <row r="699" spans="1:24" ht="25.5" x14ac:dyDescent="0.2">
      <c r="A699" s="6"/>
      <c r="B699" s="7"/>
      <c r="C699" s="6"/>
      <c r="D699" s="7"/>
      <c r="E699" s="6"/>
      <c r="F699" s="7"/>
      <c r="G699" s="6"/>
      <c r="H699" s="7"/>
      <c r="I699" s="6"/>
      <c r="J699" s="7"/>
      <c r="K699" s="96" t="str">
        <f>HYPERLINK("#'Healthcare'!ZW1","Q6.4.27_2")</f>
        <v>Q6.4.27_2</v>
      </c>
      <c r="L699" s="93" t="str">
        <f>HYPERLINK("#'Healthcare'!ZW2","Primary EPO medical plan out-of-network coinsurance: Specialist office visit")</f>
        <v>Primary EPO medical plan out-of-network coinsurance: Specialist office visit</v>
      </c>
      <c r="M699" s="6"/>
      <c r="N699" s="7"/>
      <c r="O699" s="6"/>
      <c r="P699" s="7"/>
      <c r="Q699" s="6"/>
      <c r="R699" s="7"/>
      <c r="S699" s="6"/>
      <c r="T699" s="7"/>
      <c r="U699" s="6"/>
      <c r="V699" s="7"/>
      <c r="W699" s="6"/>
      <c r="X699" s="7"/>
    </row>
    <row r="700" spans="1:24" ht="38.25" x14ac:dyDescent="0.2">
      <c r="A700" s="6"/>
      <c r="B700" s="7"/>
      <c r="C700" s="6"/>
      <c r="D700" s="7"/>
      <c r="E700" s="6"/>
      <c r="F700" s="7"/>
      <c r="G700" s="6"/>
      <c r="H700" s="7"/>
      <c r="I700" s="6"/>
      <c r="J700" s="7"/>
      <c r="K700" s="96" t="str">
        <f>HYPERLINK("#'Healthcare'!ZX1","Q6.4.27_3")</f>
        <v>Q6.4.27_3</v>
      </c>
      <c r="L700" s="93" t="str">
        <f>HYPERLINK("#'Healthcare'!ZX2","Primary EPO medical plan out-of-network coinsurance: Autism/applied behavioral analysis (ABA)")</f>
        <v>Primary EPO medical plan out-of-network coinsurance: Autism/applied behavioral analysis (ABA)</v>
      </c>
      <c r="M700" s="6"/>
      <c r="N700" s="7"/>
      <c r="O700" s="6"/>
      <c r="P700" s="7"/>
      <c r="Q700" s="6"/>
      <c r="R700" s="7"/>
      <c r="S700" s="6"/>
      <c r="T700" s="7"/>
      <c r="U700" s="6"/>
      <c r="V700" s="7"/>
      <c r="W700" s="6"/>
      <c r="X700" s="7"/>
    </row>
    <row r="701" spans="1:24" ht="25.5" x14ac:dyDescent="0.2">
      <c r="A701" s="6"/>
      <c r="B701" s="7"/>
      <c r="C701" s="6"/>
      <c r="D701" s="7"/>
      <c r="E701" s="6"/>
      <c r="F701" s="7"/>
      <c r="G701" s="6"/>
      <c r="H701" s="7"/>
      <c r="I701" s="6"/>
      <c r="J701" s="7"/>
      <c r="K701" s="96" t="str">
        <f>HYPERLINK("#'Healthcare'!ZY1","Q6.4.27_4")</f>
        <v>Q6.4.27_4</v>
      </c>
      <c r="L701" s="93" t="str">
        <f>HYPERLINK("#'Healthcare'!ZY2","Primary EPO medical plan out-of-network coinsurance: Emergency room")</f>
        <v>Primary EPO medical plan out-of-network coinsurance: Emergency room</v>
      </c>
      <c r="M701" s="6"/>
      <c r="N701" s="7"/>
      <c r="O701" s="6"/>
      <c r="P701" s="7"/>
      <c r="Q701" s="6"/>
      <c r="R701" s="7"/>
      <c r="S701" s="6"/>
      <c r="T701" s="7"/>
      <c r="U701" s="6"/>
      <c r="V701" s="7"/>
      <c r="W701" s="6"/>
      <c r="X701" s="7"/>
    </row>
    <row r="702" spans="1:24" ht="25.5" x14ac:dyDescent="0.2">
      <c r="A702" s="6"/>
      <c r="B702" s="7"/>
      <c r="C702" s="6"/>
      <c r="D702" s="7"/>
      <c r="E702" s="6"/>
      <c r="F702" s="7"/>
      <c r="G702" s="6"/>
      <c r="H702" s="7"/>
      <c r="I702" s="6"/>
      <c r="J702" s="7"/>
      <c r="K702" s="96" t="str">
        <f>HYPERLINK("#'Healthcare'!ZZ1","Q6.4.27_5")</f>
        <v>Q6.4.27_5</v>
      </c>
      <c r="L702" s="93" t="str">
        <f>HYPERLINK("#'Healthcare'!ZZ2","Primary EPO medical plan out-of-network coinsurance: Urgent office visit")</f>
        <v>Primary EPO medical plan out-of-network coinsurance: Urgent office visit</v>
      </c>
      <c r="M702" s="6"/>
      <c r="N702" s="7"/>
      <c r="O702" s="6"/>
      <c r="P702" s="7"/>
      <c r="Q702" s="6"/>
      <c r="R702" s="7"/>
      <c r="S702" s="6"/>
      <c r="T702" s="7"/>
      <c r="U702" s="6"/>
      <c r="V702" s="7"/>
      <c r="W702" s="6"/>
      <c r="X702" s="7"/>
    </row>
    <row r="703" spans="1:24" ht="25.5" x14ac:dyDescent="0.2">
      <c r="A703" s="6"/>
      <c r="B703" s="7"/>
      <c r="C703" s="6"/>
      <c r="D703" s="7"/>
      <c r="E703" s="6"/>
      <c r="F703" s="7"/>
      <c r="G703" s="6"/>
      <c r="H703" s="7"/>
      <c r="I703" s="6"/>
      <c r="J703" s="7"/>
      <c r="K703" s="96" t="str">
        <f>HYPERLINK("#'Healthcare'!AAA1","Q6.4.27_7")</f>
        <v>Q6.4.27_7</v>
      </c>
      <c r="L703" s="93" t="str">
        <f>HYPERLINK("#'Healthcare'!AAA2","Primary EPO medical plan out-of-network coinsurance: Telehealth")</f>
        <v>Primary EPO medical plan out-of-network coinsurance: Telehealth</v>
      </c>
      <c r="M703" s="6"/>
      <c r="N703" s="7"/>
      <c r="O703" s="6"/>
      <c r="P703" s="7"/>
      <c r="Q703" s="6"/>
      <c r="R703" s="7"/>
      <c r="S703" s="6"/>
      <c r="T703" s="7"/>
      <c r="U703" s="6"/>
      <c r="V703" s="7"/>
      <c r="W703" s="6"/>
      <c r="X703" s="7"/>
    </row>
    <row r="704" spans="1:24" ht="25.5" x14ac:dyDescent="0.2">
      <c r="A704" s="6"/>
      <c r="B704" s="7"/>
      <c r="C704" s="6"/>
      <c r="D704" s="7"/>
      <c r="E704" s="6"/>
      <c r="F704" s="7"/>
      <c r="G704" s="6"/>
      <c r="H704" s="7"/>
      <c r="I704" s="6"/>
      <c r="J704" s="7"/>
      <c r="K704" s="96" t="str">
        <f>HYPERLINK("#'Healthcare'!AAB1","Q6.4.27_6")</f>
        <v>Q6.4.27_6</v>
      </c>
      <c r="L704" s="93" t="str">
        <f>HYPERLINK("#'Healthcare'!AAB2","Primary EPO medical plan out-of-network coinsurance: Other")</f>
        <v>Primary EPO medical plan out-of-network coinsurance: Other</v>
      </c>
      <c r="M704" s="6"/>
      <c r="N704" s="7"/>
      <c r="O704" s="6"/>
      <c r="P704" s="7"/>
      <c r="Q704" s="6"/>
      <c r="R704" s="7"/>
      <c r="S704" s="6"/>
      <c r="T704" s="7"/>
      <c r="U704" s="6"/>
      <c r="V704" s="7"/>
      <c r="W704" s="6"/>
      <c r="X704" s="7"/>
    </row>
    <row r="705" spans="1:24" ht="38.25" x14ac:dyDescent="0.2">
      <c r="A705" s="6"/>
      <c r="B705" s="7"/>
      <c r="C705" s="6"/>
      <c r="D705" s="7"/>
      <c r="E705" s="6"/>
      <c r="F705" s="7"/>
      <c r="G705" s="6"/>
      <c r="H705" s="7"/>
      <c r="I705" s="6"/>
      <c r="J705" s="7"/>
      <c r="K705" s="96" t="str">
        <f>HYPERLINK("#'Healthcare'!AAC1","Q6.4.28_1")</f>
        <v>Q6.4.28_1</v>
      </c>
      <c r="L705" s="93" t="str">
        <f>HYPERLINK("#'Healthcare'!AAC2","Primary EPO medical plan out-of-pocket cost share waived or reduced: General/Primary care office visit")</f>
        <v>Primary EPO medical plan out-of-pocket cost share waived or reduced: General/Primary care office visit</v>
      </c>
      <c r="M705" s="6"/>
      <c r="N705" s="7"/>
      <c r="O705" s="6"/>
      <c r="P705" s="7"/>
      <c r="Q705" s="6"/>
      <c r="R705" s="7"/>
      <c r="S705" s="6"/>
      <c r="T705" s="7"/>
      <c r="U705" s="6"/>
      <c r="V705" s="7"/>
      <c r="W705" s="6"/>
      <c r="X705" s="7"/>
    </row>
    <row r="706" spans="1:24" ht="25.5" x14ac:dyDescent="0.2">
      <c r="A706" s="6"/>
      <c r="B706" s="7"/>
      <c r="C706" s="6"/>
      <c r="D706" s="7"/>
      <c r="E706" s="6"/>
      <c r="F706" s="7"/>
      <c r="G706" s="6"/>
      <c r="H706" s="7"/>
      <c r="I706" s="6"/>
      <c r="J706" s="7"/>
      <c r="K706" s="96" t="str">
        <f>HYPERLINK("#'Healthcare'!AAD1","Q6.4.28_2")</f>
        <v>Q6.4.28_2</v>
      </c>
      <c r="L706" s="93" t="str">
        <f>HYPERLINK("#'Healthcare'!AAD2","Primary EPO medical plan out-of-pocket cost share waived or reduced: Specialist office visit")</f>
        <v>Primary EPO medical plan out-of-pocket cost share waived or reduced: Specialist office visit</v>
      </c>
      <c r="M706" s="6"/>
      <c r="N706" s="7"/>
      <c r="O706" s="6"/>
      <c r="P706" s="7"/>
      <c r="Q706" s="6"/>
      <c r="R706" s="7"/>
      <c r="S706" s="6"/>
      <c r="T706" s="7"/>
      <c r="U706" s="6"/>
      <c r="V706" s="7"/>
      <c r="W706" s="6"/>
      <c r="X706" s="7"/>
    </row>
    <row r="707" spans="1:24" ht="38.25" x14ac:dyDescent="0.2">
      <c r="A707" s="6"/>
      <c r="B707" s="7"/>
      <c r="C707" s="6"/>
      <c r="D707" s="7"/>
      <c r="E707" s="6"/>
      <c r="F707" s="7"/>
      <c r="G707" s="6"/>
      <c r="H707" s="7"/>
      <c r="I707" s="6"/>
      <c r="J707" s="7"/>
      <c r="K707" s="96" t="str">
        <f>HYPERLINK("#'Healthcare'!AAE1","Q6.4.28_3")</f>
        <v>Q6.4.28_3</v>
      </c>
      <c r="L707" s="93" t="str">
        <f>HYPERLINK("#'Healthcare'!AAE2","Primary EPO medical plan out-of-pocket cost share waived or reduced: Autism/applied behavioral analysis (ABA)")</f>
        <v>Primary EPO medical plan out-of-pocket cost share waived or reduced: Autism/applied behavioral analysis (ABA)</v>
      </c>
      <c r="M707" s="6"/>
      <c r="N707" s="7"/>
      <c r="O707" s="6"/>
      <c r="P707" s="7"/>
      <c r="Q707" s="6"/>
      <c r="R707" s="7"/>
      <c r="S707" s="6"/>
      <c r="T707" s="7"/>
      <c r="U707" s="6"/>
      <c r="V707" s="7"/>
      <c r="W707" s="6"/>
      <c r="X707" s="7"/>
    </row>
    <row r="708" spans="1:24" ht="25.5" x14ac:dyDescent="0.2">
      <c r="A708" s="6"/>
      <c r="B708" s="7"/>
      <c r="C708" s="6"/>
      <c r="D708" s="7"/>
      <c r="E708" s="6"/>
      <c r="F708" s="7"/>
      <c r="G708" s="6"/>
      <c r="H708" s="7"/>
      <c r="I708" s="6"/>
      <c r="J708" s="7"/>
      <c r="K708" s="96" t="str">
        <f>HYPERLINK("#'Healthcare'!AAF1","Q6.4.28_4")</f>
        <v>Q6.4.28_4</v>
      </c>
      <c r="L708" s="93" t="str">
        <f>HYPERLINK("#'Healthcare'!AAF2","Primary EPO medical plan out-of-pocket cost share waived or reduced: Emergency room")</f>
        <v>Primary EPO medical plan out-of-pocket cost share waived or reduced: Emergency room</v>
      </c>
      <c r="M708" s="6"/>
      <c r="N708" s="7"/>
      <c r="O708" s="6"/>
      <c r="P708" s="7"/>
      <c r="Q708" s="6"/>
      <c r="R708" s="7"/>
      <c r="S708" s="6"/>
      <c r="T708" s="7"/>
      <c r="U708" s="6"/>
      <c r="V708" s="7"/>
      <c r="W708" s="6"/>
      <c r="X708" s="7"/>
    </row>
    <row r="709" spans="1:24" ht="25.5" x14ac:dyDescent="0.2">
      <c r="A709" s="6"/>
      <c r="B709" s="7"/>
      <c r="C709" s="6"/>
      <c r="D709" s="7"/>
      <c r="E709" s="6"/>
      <c r="F709" s="7"/>
      <c r="G709" s="6"/>
      <c r="H709" s="7"/>
      <c r="I709" s="6"/>
      <c r="J709" s="7"/>
      <c r="K709" s="96" t="str">
        <f>HYPERLINK("#'Healthcare'!AAG1","Q6.4.28_5")</f>
        <v>Q6.4.28_5</v>
      </c>
      <c r="L709" s="93" t="str">
        <f>HYPERLINK("#'Healthcare'!AAG2","Primary EPO medical plan out-of-pocket cost share waived or reduced: Urgent office visit")</f>
        <v>Primary EPO medical plan out-of-pocket cost share waived or reduced: Urgent office visit</v>
      </c>
      <c r="M709" s="6"/>
      <c r="N709" s="7"/>
      <c r="O709" s="6"/>
      <c r="P709" s="7"/>
      <c r="Q709" s="6"/>
      <c r="R709" s="7"/>
      <c r="S709" s="6"/>
      <c r="T709" s="7"/>
      <c r="U709" s="6"/>
      <c r="V709" s="7"/>
      <c r="W709" s="6"/>
      <c r="X709" s="7"/>
    </row>
    <row r="710" spans="1:24" ht="25.5" x14ac:dyDescent="0.2">
      <c r="A710" s="6"/>
      <c r="B710" s="7"/>
      <c r="C710" s="6"/>
      <c r="D710" s="7"/>
      <c r="E710" s="6"/>
      <c r="F710" s="7"/>
      <c r="G710" s="6"/>
      <c r="H710" s="7"/>
      <c r="I710" s="6"/>
      <c r="J710" s="7"/>
      <c r="K710" s="96" t="str">
        <f>HYPERLINK("#'Healthcare'!AAH1","Q6.4.28_6")</f>
        <v>Q6.4.28_6</v>
      </c>
      <c r="L710" s="93" t="str">
        <f>HYPERLINK("#'Healthcare'!AAH2","Primary EPO medical plan out-of-pocket cost share waived or reduced: Telehealth")</f>
        <v>Primary EPO medical plan out-of-pocket cost share waived or reduced: Telehealth</v>
      </c>
      <c r="M710" s="6"/>
      <c r="N710" s="7"/>
      <c r="O710" s="6"/>
      <c r="P710" s="7"/>
      <c r="Q710" s="6"/>
      <c r="R710" s="7"/>
      <c r="S710" s="6"/>
      <c r="T710" s="7"/>
      <c r="U710" s="6"/>
      <c r="V710" s="7"/>
      <c r="W710" s="6"/>
      <c r="X710" s="7"/>
    </row>
    <row r="711" spans="1:24" ht="25.5" x14ac:dyDescent="0.2">
      <c r="A711" s="6"/>
      <c r="B711" s="7"/>
      <c r="C711" s="6"/>
      <c r="D711" s="7"/>
      <c r="E711" s="6"/>
      <c r="F711" s="7"/>
      <c r="G711" s="6"/>
      <c r="H711" s="7"/>
      <c r="I711" s="6"/>
      <c r="J711" s="7"/>
      <c r="K711" s="96" t="str">
        <f>HYPERLINK("#'Healthcare'!AAI1","Q6.4.28_7")</f>
        <v>Q6.4.28_7</v>
      </c>
      <c r="L711" s="93" t="str">
        <f>HYPERLINK("#'Healthcare'!AAI2","Primary EPO medical plan out-of-pocket cost share waived or reduced: Other")</f>
        <v>Primary EPO medical plan out-of-pocket cost share waived or reduced: Other</v>
      </c>
      <c r="M711" s="6"/>
      <c r="N711" s="7"/>
      <c r="O711" s="6"/>
      <c r="P711" s="7"/>
      <c r="Q711" s="6"/>
      <c r="R711" s="7"/>
      <c r="S711" s="6"/>
      <c r="T711" s="7"/>
      <c r="U711" s="6"/>
      <c r="V711" s="7"/>
      <c r="W711" s="6"/>
      <c r="X711" s="7"/>
    </row>
    <row r="712" spans="1:24" ht="51" x14ac:dyDescent="0.2">
      <c r="A712" s="6"/>
      <c r="B712" s="7"/>
      <c r="C712" s="6"/>
      <c r="D712" s="7"/>
      <c r="E712" s="6"/>
      <c r="F712" s="7"/>
      <c r="G712" s="6"/>
      <c r="H712" s="7"/>
      <c r="I712" s="6"/>
      <c r="J712" s="7"/>
      <c r="K712" s="96" t="str">
        <f>HYPERLINK("#'Healthcare'!AAJ1","Q6.4.29_1")</f>
        <v>Q6.4.29_1</v>
      </c>
      <c r="L712" s="93" t="str">
        <f>HYPERLINK("#'Healthcare'!AAJ2","Primary EPO medical plan non-authorization/notification/not qualified services penalties applied: General/Primary care office visit")</f>
        <v>Primary EPO medical plan non-authorization/notification/not qualified services penalties applied: General/Primary care office visit</v>
      </c>
      <c r="M712" s="6"/>
      <c r="N712" s="7"/>
      <c r="O712" s="6"/>
      <c r="P712" s="7"/>
      <c r="Q712" s="6"/>
      <c r="R712" s="7"/>
      <c r="S712" s="6"/>
      <c r="T712" s="7"/>
      <c r="U712" s="6"/>
      <c r="V712" s="7"/>
      <c r="W712" s="6"/>
      <c r="X712" s="7"/>
    </row>
    <row r="713" spans="1:24" ht="38.25" x14ac:dyDescent="0.2">
      <c r="A713" s="6"/>
      <c r="B713" s="7"/>
      <c r="C713" s="6"/>
      <c r="D713" s="7"/>
      <c r="E713" s="6"/>
      <c r="F713" s="7"/>
      <c r="G713" s="6"/>
      <c r="H713" s="7"/>
      <c r="I713" s="6"/>
      <c r="J713" s="7"/>
      <c r="K713" s="96" t="str">
        <f>HYPERLINK("#'Healthcare'!AAK1","Q6.4.29_2")</f>
        <v>Q6.4.29_2</v>
      </c>
      <c r="L713" s="93" t="str">
        <f>HYPERLINK("#'Healthcare'!AAK2","Primary EPO medical plan non-authorization/notification/not qualified services penalties applied: Specialist office visit")</f>
        <v>Primary EPO medical plan non-authorization/notification/not qualified services penalties applied: Specialist office visit</v>
      </c>
      <c r="M713" s="6"/>
      <c r="N713" s="7"/>
      <c r="O713" s="6"/>
      <c r="P713" s="7"/>
      <c r="Q713" s="6"/>
      <c r="R713" s="7"/>
      <c r="S713" s="6"/>
      <c r="T713" s="7"/>
      <c r="U713" s="6"/>
      <c r="V713" s="7"/>
      <c r="W713" s="6"/>
      <c r="X713" s="7"/>
    </row>
    <row r="714" spans="1:24" ht="51" x14ac:dyDescent="0.2">
      <c r="A714" s="6"/>
      <c r="B714" s="7"/>
      <c r="C714" s="6"/>
      <c r="D714" s="7"/>
      <c r="E714" s="6"/>
      <c r="F714" s="7"/>
      <c r="G714" s="6"/>
      <c r="H714" s="7"/>
      <c r="I714" s="6"/>
      <c r="J714" s="7"/>
      <c r="K714" s="96" t="str">
        <f>HYPERLINK("#'Healthcare'!AAL1","Q6.4.29_3")</f>
        <v>Q6.4.29_3</v>
      </c>
      <c r="L714" s="93" t="str">
        <f>HYPERLINK("#'Healthcare'!AAL2","Primary EPO medical plan non-authorization/notification/not qualified services penalties applied: Autism/applied behavioral analysis (ABA)")</f>
        <v>Primary EPO medical plan non-authorization/notification/not qualified services penalties applied: Autism/applied behavioral analysis (ABA)</v>
      </c>
      <c r="M714" s="6"/>
      <c r="N714" s="7"/>
      <c r="O714" s="6"/>
      <c r="P714" s="7"/>
      <c r="Q714" s="6"/>
      <c r="R714" s="7"/>
      <c r="S714" s="6"/>
      <c r="T714" s="7"/>
      <c r="U714" s="6"/>
      <c r="V714" s="7"/>
      <c r="W714" s="6"/>
      <c r="X714" s="7"/>
    </row>
    <row r="715" spans="1:24" ht="38.25" x14ac:dyDescent="0.2">
      <c r="A715" s="6"/>
      <c r="B715" s="7"/>
      <c r="C715" s="6"/>
      <c r="D715" s="7"/>
      <c r="E715" s="6"/>
      <c r="F715" s="7"/>
      <c r="G715" s="6"/>
      <c r="H715" s="7"/>
      <c r="I715" s="6"/>
      <c r="J715" s="7"/>
      <c r="K715" s="96" t="str">
        <f>HYPERLINK("#'Healthcare'!AAM1","Q6.4.29_4")</f>
        <v>Q6.4.29_4</v>
      </c>
      <c r="L715" s="93" t="str">
        <f>HYPERLINK("#'Healthcare'!AAM2","Primary EPO medical plan non-authorization/notification/not qualified services penalties applied: Emergency room")</f>
        <v>Primary EPO medical plan non-authorization/notification/not qualified services penalties applied: Emergency room</v>
      </c>
      <c r="M715" s="6"/>
      <c r="N715" s="7"/>
      <c r="O715" s="6"/>
      <c r="P715" s="7"/>
      <c r="Q715" s="6"/>
      <c r="R715" s="7"/>
      <c r="S715" s="6"/>
      <c r="T715" s="7"/>
      <c r="U715" s="6"/>
      <c r="V715" s="7"/>
      <c r="W715" s="6"/>
      <c r="X715" s="7"/>
    </row>
    <row r="716" spans="1:24" ht="38.25" x14ac:dyDescent="0.2">
      <c r="A716" s="6"/>
      <c r="B716" s="7"/>
      <c r="C716" s="6"/>
      <c r="D716" s="7"/>
      <c r="E716" s="6"/>
      <c r="F716" s="7"/>
      <c r="G716" s="6"/>
      <c r="H716" s="7"/>
      <c r="I716" s="6"/>
      <c r="J716" s="7"/>
      <c r="K716" s="96" t="str">
        <f>HYPERLINK("#'Healthcare'!AAN1","Q6.4.29_5")</f>
        <v>Q6.4.29_5</v>
      </c>
      <c r="L716" s="93" t="str">
        <f>HYPERLINK("#'Healthcare'!AAN2","Primary EPO medical plan non-authorization/notification/not qualified services penalties applied: Urgent office visit")</f>
        <v>Primary EPO medical plan non-authorization/notification/not qualified services penalties applied: Urgent office visit</v>
      </c>
      <c r="M716" s="6"/>
      <c r="N716" s="7"/>
      <c r="O716" s="6"/>
      <c r="P716" s="7"/>
      <c r="Q716" s="6"/>
      <c r="R716" s="7"/>
      <c r="S716" s="6"/>
      <c r="T716" s="7"/>
      <c r="U716" s="6"/>
      <c r="V716" s="7"/>
      <c r="W716" s="6"/>
      <c r="X716" s="7"/>
    </row>
    <row r="717" spans="1:24" ht="38.25" x14ac:dyDescent="0.2">
      <c r="A717" s="6"/>
      <c r="B717" s="7"/>
      <c r="C717" s="6"/>
      <c r="D717" s="7"/>
      <c r="E717" s="6"/>
      <c r="F717" s="7"/>
      <c r="G717" s="6"/>
      <c r="H717" s="7"/>
      <c r="I717" s="6"/>
      <c r="J717" s="7"/>
      <c r="K717" s="96" t="str">
        <f>HYPERLINK("#'Healthcare'!AAO1","Q6.4.29_6")</f>
        <v>Q6.4.29_6</v>
      </c>
      <c r="L717" s="93" t="str">
        <f>HYPERLINK("#'Healthcare'!AAO2","Primary EPO medical plan non-authorization/notification/not qualified services penalties applied: Telehealth")</f>
        <v>Primary EPO medical plan non-authorization/notification/not qualified services penalties applied: Telehealth</v>
      </c>
      <c r="M717" s="6"/>
      <c r="N717" s="7"/>
      <c r="O717" s="6"/>
      <c r="P717" s="7"/>
      <c r="Q717" s="6"/>
      <c r="R717" s="7"/>
      <c r="S717" s="6"/>
      <c r="T717" s="7"/>
      <c r="U717" s="6"/>
      <c r="V717" s="7"/>
      <c r="W717" s="6"/>
      <c r="X717" s="7"/>
    </row>
    <row r="718" spans="1:24" ht="38.25" x14ac:dyDescent="0.2">
      <c r="A718" s="6"/>
      <c r="B718" s="7"/>
      <c r="C718" s="6"/>
      <c r="D718" s="7"/>
      <c r="E718" s="6"/>
      <c r="F718" s="7"/>
      <c r="G718" s="6"/>
      <c r="H718" s="7"/>
      <c r="I718" s="6"/>
      <c r="J718" s="7"/>
      <c r="K718" s="96" t="str">
        <f>HYPERLINK("#'Healthcare'!AAP1","Q6.4.29_7")</f>
        <v>Q6.4.29_7</v>
      </c>
      <c r="L718" s="93" t="str">
        <f>HYPERLINK("#'Healthcare'!AAP2","Primary EPO medical plan non-authorization/notification/not qualified services penalties applied: Other")</f>
        <v>Primary EPO medical plan non-authorization/notification/not qualified services penalties applied: Other</v>
      </c>
      <c r="M718" s="6"/>
      <c r="N718" s="7"/>
      <c r="O718" s="6"/>
      <c r="P718" s="7"/>
      <c r="Q718" s="6"/>
      <c r="R718" s="7"/>
      <c r="S718" s="6"/>
      <c r="T718" s="7"/>
      <c r="U718" s="6"/>
      <c r="V718" s="7"/>
      <c r="W718" s="6"/>
      <c r="X718" s="7"/>
    </row>
    <row r="719" spans="1:24" ht="25.5" x14ac:dyDescent="0.2">
      <c r="A719" s="6"/>
      <c r="B719" s="7"/>
      <c r="C719" s="6"/>
      <c r="D719" s="7"/>
      <c r="E719" s="6"/>
      <c r="F719" s="7"/>
      <c r="G719" s="6"/>
      <c r="H719" s="7"/>
      <c r="I719" s="6"/>
      <c r="J719" s="7"/>
      <c r="K719" s="96" t="str">
        <f>HYPERLINK("#'Healthcare'!AAQ1","Q6.4.31_1")</f>
        <v>Q6.4.31_1</v>
      </c>
      <c r="L719" s="93" t="str">
        <f>HYPERLINK("#'Healthcare'!AAQ2","Primary EPO medical plan covered drug type: Preventive")</f>
        <v>Primary EPO medical plan covered drug type: Preventive</v>
      </c>
      <c r="M719" s="6"/>
      <c r="N719" s="7"/>
      <c r="O719" s="6"/>
      <c r="P719" s="7"/>
      <c r="Q719" s="6"/>
      <c r="R719" s="7"/>
      <c r="S719" s="6"/>
      <c r="T719" s="7"/>
      <c r="U719" s="6"/>
      <c r="V719" s="7"/>
      <c r="W719" s="6"/>
      <c r="X719" s="7"/>
    </row>
    <row r="720" spans="1:24" ht="25.5" x14ac:dyDescent="0.2">
      <c r="A720" s="6"/>
      <c r="B720" s="7"/>
      <c r="C720" s="6"/>
      <c r="D720" s="7"/>
      <c r="E720" s="6"/>
      <c r="F720" s="7"/>
      <c r="G720" s="6"/>
      <c r="H720" s="7"/>
      <c r="I720" s="6"/>
      <c r="J720" s="7"/>
      <c r="K720" s="96" t="str">
        <f>HYPERLINK("#'Healthcare'!AAR1","Q6.4.31_2")</f>
        <v>Q6.4.31_2</v>
      </c>
      <c r="L720" s="93" t="str">
        <f>HYPERLINK("#'Healthcare'!AAR2","Primary EPO medical plan covered drug type: Maintenance")</f>
        <v>Primary EPO medical plan covered drug type: Maintenance</v>
      </c>
      <c r="M720" s="6"/>
      <c r="N720" s="7"/>
      <c r="O720" s="6"/>
      <c r="P720" s="7"/>
      <c r="Q720" s="6"/>
      <c r="R720" s="7"/>
      <c r="S720" s="6"/>
      <c r="T720" s="7"/>
      <c r="U720" s="6"/>
      <c r="V720" s="7"/>
      <c r="W720" s="6"/>
      <c r="X720" s="7"/>
    </row>
    <row r="721" spans="1:24" ht="25.5" x14ac:dyDescent="0.2">
      <c r="A721" s="6"/>
      <c r="B721" s="7"/>
      <c r="C721" s="6"/>
      <c r="D721" s="7"/>
      <c r="E721" s="6"/>
      <c r="F721" s="7"/>
      <c r="G721" s="6"/>
      <c r="H721" s="7"/>
      <c r="I721" s="6"/>
      <c r="J721" s="7"/>
      <c r="K721" s="96" t="str">
        <f>HYPERLINK("#'Healthcare'!AAS1","Q6.4.31_3")</f>
        <v>Q6.4.31_3</v>
      </c>
      <c r="L721" s="93" t="str">
        <f>HYPERLINK("#'Healthcare'!AAS2","Primary EPO medical plan covered drug type: Generic")</f>
        <v>Primary EPO medical plan covered drug type: Generic</v>
      </c>
      <c r="M721" s="6"/>
      <c r="N721" s="7"/>
      <c r="O721" s="6"/>
      <c r="P721" s="7"/>
      <c r="Q721" s="6"/>
      <c r="R721" s="7"/>
      <c r="S721" s="6"/>
      <c r="T721" s="7"/>
      <c r="U721" s="6"/>
      <c r="V721" s="7"/>
      <c r="W721" s="6"/>
      <c r="X721" s="7"/>
    </row>
    <row r="722" spans="1:24" ht="25.5" x14ac:dyDescent="0.2">
      <c r="A722" s="6"/>
      <c r="B722" s="7"/>
      <c r="C722" s="6"/>
      <c r="D722" s="7"/>
      <c r="E722" s="6"/>
      <c r="F722" s="7"/>
      <c r="G722" s="6"/>
      <c r="H722" s="7"/>
      <c r="I722" s="6"/>
      <c r="J722" s="7"/>
      <c r="K722" s="96" t="str">
        <f>HYPERLINK("#'Healthcare'!AAT1","Q6.4.31_4")</f>
        <v>Q6.4.31_4</v>
      </c>
      <c r="L722" s="93" t="str">
        <f>HYPERLINK("#'Healthcare'!AAT2","Primary EPO medical plan covered drug type: Specialty (includes injectables)")</f>
        <v>Primary EPO medical plan covered drug type: Specialty (includes injectables)</v>
      </c>
      <c r="M722" s="6"/>
      <c r="N722" s="7"/>
      <c r="O722" s="6"/>
      <c r="P722" s="7"/>
      <c r="Q722" s="6"/>
      <c r="R722" s="7"/>
      <c r="S722" s="6"/>
      <c r="T722" s="7"/>
      <c r="U722" s="6"/>
      <c r="V722" s="7"/>
      <c r="W722" s="6"/>
      <c r="X722" s="7"/>
    </row>
    <row r="723" spans="1:24" ht="25.5" x14ac:dyDescent="0.2">
      <c r="A723" s="6"/>
      <c r="B723" s="7"/>
      <c r="C723" s="6"/>
      <c r="D723" s="7"/>
      <c r="E723" s="6"/>
      <c r="F723" s="7"/>
      <c r="G723" s="6"/>
      <c r="H723" s="7"/>
      <c r="I723" s="6"/>
      <c r="J723" s="7"/>
      <c r="K723" s="96" t="str">
        <f>HYPERLINK("#'Healthcare'!AAU1","Q6.4.31_5")</f>
        <v>Q6.4.31_5</v>
      </c>
      <c r="L723" s="93" t="str">
        <f>HYPERLINK("#'Healthcare'!AAU2","Primary EPO medical plan covered drug type: Lifestyle")</f>
        <v>Primary EPO medical plan covered drug type: Lifestyle</v>
      </c>
      <c r="M723" s="6"/>
      <c r="N723" s="7"/>
      <c r="O723" s="6"/>
      <c r="P723" s="7"/>
      <c r="Q723" s="6"/>
      <c r="R723" s="7"/>
      <c r="S723" s="6"/>
      <c r="T723" s="7"/>
      <c r="U723" s="6"/>
      <c r="V723" s="7"/>
      <c r="W723" s="6"/>
      <c r="X723" s="7"/>
    </row>
    <row r="724" spans="1:24" ht="25.5" x14ac:dyDescent="0.2">
      <c r="A724" s="6"/>
      <c r="B724" s="7"/>
      <c r="C724" s="6"/>
      <c r="D724" s="7"/>
      <c r="E724" s="6"/>
      <c r="F724" s="7"/>
      <c r="G724" s="6"/>
      <c r="H724" s="7"/>
      <c r="I724" s="6"/>
      <c r="J724" s="7"/>
      <c r="K724" s="96" t="str">
        <f>HYPERLINK("#'Healthcare'!AAV1","Q6.4.31_6")</f>
        <v>Q6.4.31_6</v>
      </c>
      <c r="L724" s="93" t="str">
        <f>HYPERLINK("#'Healthcare'!AAV2","Primary EPO medical plan covered drug type: Compounds")</f>
        <v>Primary EPO medical plan covered drug type: Compounds</v>
      </c>
      <c r="M724" s="6"/>
      <c r="N724" s="7"/>
      <c r="O724" s="6"/>
      <c r="P724" s="7"/>
      <c r="Q724" s="6"/>
      <c r="R724" s="7"/>
      <c r="S724" s="6"/>
      <c r="T724" s="7"/>
      <c r="U724" s="6"/>
      <c r="V724" s="7"/>
      <c r="W724" s="6"/>
      <c r="X724" s="7"/>
    </row>
    <row r="725" spans="1:24" ht="25.5" x14ac:dyDescent="0.2">
      <c r="A725" s="6"/>
      <c r="B725" s="7"/>
      <c r="C725" s="6"/>
      <c r="D725" s="7"/>
      <c r="E725" s="6"/>
      <c r="F725" s="7"/>
      <c r="G725" s="6"/>
      <c r="H725" s="7"/>
      <c r="I725" s="6"/>
      <c r="J725" s="7"/>
      <c r="K725" s="96" t="str">
        <f>HYPERLINK("#'Healthcare'!AAW1","Q6.4.31_7")</f>
        <v>Q6.4.31_7</v>
      </c>
      <c r="L725" s="93" t="str">
        <f>HYPERLINK("#'Healthcare'!AAW2","Primary EPO medical plan covered drug type: Biosimilars")</f>
        <v>Primary EPO medical plan covered drug type: Biosimilars</v>
      </c>
      <c r="M725" s="6"/>
      <c r="N725" s="7"/>
      <c r="O725" s="6"/>
      <c r="P725" s="7"/>
      <c r="Q725" s="6"/>
      <c r="R725" s="7"/>
      <c r="S725" s="6"/>
      <c r="T725" s="7"/>
      <c r="U725" s="6"/>
      <c r="V725" s="7"/>
      <c r="W725" s="6"/>
      <c r="X725" s="7"/>
    </row>
    <row r="726" spans="1:24" ht="25.5" x14ac:dyDescent="0.2">
      <c r="A726" s="6"/>
      <c r="B726" s="7"/>
      <c r="C726" s="6"/>
      <c r="D726" s="7"/>
      <c r="E726" s="6"/>
      <c r="F726" s="7"/>
      <c r="G726" s="6"/>
      <c r="H726" s="7"/>
      <c r="I726" s="6"/>
      <c r="J726" s="7"/>
      <c r="K726" s="96" t="str">
        <f>HYPERLINK("#'Healthcare'!AAX1","Q6.4.31_8")</f>
        <v>Q6.4.31_8</v>
      </c>
      <c r="L726" s="93" t="str">
        <f>HYPERLINK("#'Healthcare'!AAX2","Primary EPO medical plan covered drug type: Over the counter (OTC) - prescribed")</f>
        <v>Primary EPO medical plan covered drug type: Over the counter (OTC) - prescribed</v>
      </c>
      <c r="M726" s="6"/>
      <c r="N726" s="7"/>
      <c r="O726" s="6"/>
      <c r="P726" s="7"/>
      <c r="Q726" s="6"/>
      <c r="R726" s="7"/>
      <c r="S726" s="6"/>
      <c r="T726" s="7"/>
      <c r="U726" s="6"/>
      <c r="V726" s="7"/>
      <c r="W726" s="6"/>
      <c r="X726" s="7"/>
    </row>
    <row r="727" spans="1:24" ht="25.5" x14ac:dyDescent="0.2">
      <c r="A727" s="6"/>
      <c r="B727" s="7"/>
      <c r="C727" s="6"/>
      <c r="D727" s="7"/>
      <c r="E727" s="6"/>
      <c r="F727" s="7"/>
      <c r="G727" s="6"/>
      <c r="H727" s="7"/>
      <c r="I727" s="6"/>
      <c r="J727" s="7"/>
      <c r="K727" s="96" t="str">
        <f>HYPERLINK("#'Healthcare'!AAY1","Q6.4.31_9")</f>
        <v>Q6.4.31_9</v>
      </c>
      <c r="L727" s="93" t="str">
        <f>HYPERLINK("#'Healthcare'!AAY2","Primary EPO medical plan covered drug type: Over the counter (OTC) - non-prescribed")</f>
        <v>Primary EPO medical plan covered drug type: Over the counter (OTC) - non-prescribed</v>
      </c>
      <c r="M727" s="6"/>
      <c r="N727" s="7"/>
      <c r="O727" s="6"/>
      <c r="P727" s="7"/>
      <c r="Q727" s="6"/>
      <c r="R727" s="7"/>
      <c r="S727" s="6"/>
      <c r="T727" s="7"/>
      <c r="U727" s="6"/>
      <c r="V727" s="7"/>
      <c r="W727" s="6"/>
      <c r="X727" s="7"/>
    </row>
    <row r="728" spans="1:24" ht="25.5" x14ac:dyDescent="0.2">
      <c r="A728" s="6"/>
      <c r="B728" s="7"/>
      <c r="C728" s="6"/>
      <c r="D728" s="7"/>
      <c r="E728" s="6"/>
      <c r="F728" s="7"/>
      <c r="G728" s="6"/>
      <c r="H728" s="7"/>
      <c r="I728" s="6"/>
      <c r="J728" s="7"/>
      <c r="K728" s="96" t="str">
        <f>HYPERLINK("#'Healthcare'!AAZ1","Q6.4.31_10")</f>
        <v>Q6.4.31_10</v>
      </c>
      <c r="L728" s="93" t="str">
        <f>HYPERLINK("#'Healthcare'!AAZ2","Primary EPO medical plan covered drug type: Other")</f>
        <v>Primary EPO medical plan covered drug type: Other</v>
      </c>
      <c r="M728" s="6"/>
      <c r="N728" s="7"/>
      <c r="O728" s="6"/>
      <c r="P728" s="7"/>
      <c r="Q728" s="6"/>
      <c r="R728" s="7"/>
      <c r="S728" s="6"/>
      <c r="T728" s="7"/>
      <c r="U728" s="6"/>
      <c r="V728" s="7"/>
      <c r="W728" s="6"/>
      <c r="X728" s="7"/>
    </row>
    <row r="729" spans="1:24" ht="38.25" x14ac:dyDescent="0.2">
      <c r="A729" s="6"/>
      <c r="B729" s="7"/>
      <c r="C729" s="6"/>
      <c r="D729" s="7"/>
      <c r="E729" s="6"/>
      <c r="F729" s="7"/>
      <c r="G729" s="6"/>
      <c r="H729" s="7"/>
      <c r="I729" s="6"/>
      <c r="J729" s="7"/>
      <c r="K729" s="96" t="str">
        <f>HYPERLINK("#'Healthcare'!ABA1","Q6.4.32")</f>
        <v>Q6.4.32</v>
      </c>
      <c r="L729" s="93" t="str">
        <f>HYPERLINK("#'Healthcare'!ABA2","Primary EPO medical plan drug limits, exclusions, or required care management features: Preventive")</f>
        <v>Primary EPO medical plan drug limits, exclusions, or required care management features: Preventive</v>
      </c>
      <c r="M729" s="6"/>
      <c r="N729" s="7"/>
      <c r="O729" s="6"/>
      <c r="P729" s="7"/>
      <c r="Q729" s="6"/>
      <c r="R729" s="7"/>
      <c r="S729" s="6"/>
      <c r="T729" s="7"/>
      <c r="U729" s="6"/>
      <c r="V729" s="7"/>
      <c r="W729" s="6"/>
      <c r="X729" s="7"/>
    </row>
    <row r="730" spans="1:24" ht="38.25" x14ac:dyDescent="0.2">
      <c r="A730" s="6"/>
      <c r="B730" s="7"/>
      <c r="C730" s="6"/>
      <c r="D730" s="7"/>
      <c r="E730" s="6"/>
      <c r="F730" s="7"/>
      <c r="G730" s="6"/>
      <c r="H730" s="7"/>
      <c r="I730" s="6"/>
      <c r="J730" s="7"/>
      <c r="K730" s="96" t="str">
        <f>HYPERLINK("#'Healthcare'!ABB1","Q6.4.33")</f>
        <v>Q6.4.33</v>
      </c>
      <c r="L730" s="93" t="str">
        <f>HYPERLINK("#'Healthcare'!ABB2","Primary EPO medical plan drug limits, exclusions, or required care management features: Maintenance")</f>
        <v>Primary EPO medical plan drug limits, exclusions, or required care management features: Maintenance</v>
      </c>
      <c r="M730" s="6"/>
      <c r="N730" s="7"/>
      <c r="O730" s="6"/>
      <c r="P730" s="7"/>
      <c r="Q730" s="6"/>
      <c r="R730" s="7"/>
      <c r="S730" s="6"/>
      <c r="T730" s="7"/>
      <c r="U730" s="6"/>
      <c r="V730" s="7"/>
      <c r="W730" s="6"/>
      <c r="X730" s="7"/>
    </row>
    <row r="731" spans="1:24" ht="38.25" x14ac:dyDescent="0.2">
      <c r="A731" s="6"/>
      <c r="B731" s="7"/>
      <c r="C731" s="6"/>
      <c r="D731" s="7"/>
      <c r="E731" s="6"/>
      <c r="F731" s="7"/>
      <c r="G731" s="6"/>
      <c r="H731" s="7"/>
      <c r="I731" s="6"/>
      <c r="J731" s="7"/>
      <c r="K731" s="96" t="str">
        <f>HYPERLINK("#'Healthcare'!ABC1","Q6.4.34")</f>
        <v>Q6.4.34</v>
      </c>
      <c r="L731" s="93" t="str">
        <f>HYPERLINK("#'Healthcare'!ABC2","Primary EPO medical plan drug limits, exclusions, or required care management features: Generic")</f>
        <v>Primary EPO medical plan drug limits, exclusions, or required care management features: Generic</v>
      </c>
      <c r="M731" s="6"/>
      <c r="N731" s="7"/>
      <c r="O731" s="6"/>
      <c r="P731" s="7"/>
      <c r="Q731" s="6"/>
      <c r="R731" s="7"/>
      <c r="S731" s="6"/>
      <c r="T731" s="7"/>
      <c r="U731" s="6"/>
      <c r="V731" s="7"/>
      <c r="W731" s="6"/>
      <c r="X731" s="7"/>
    </row>
    <row r="732" spans="1:24" ht="38.25" x14ac:dyDescent="0.2">
      <c r="A732" s="6"/>
      <c r="B732" s="7"/>
      <c r="C732" s="6"/>
      <c r="D732" s="7"/>
      <c r="E732" s="6"/>
      <c r="F732" s="7"/>
      <c r="G732" s="6"/>
      <c r="H732" s="7"/>
      <c r="I732" s="6"/>
      <c r="J732" s="7"/>
      <c r="K732" s="96" t="str">
        <f>HYPERLINK("#'Healthcare'!ABD1","Q6.4.35")</f>
        <v>Q6.4.35</v>
      </c>
      <c r="L732" s="93" t="str">
        <f>HYPERLINK("#'Healthcare'!ABD2","Primary EPO medical plan drug limits, exclusions, or required care management features: Specialty and injectables")</f>
        <v>Primary EPO medical plan drug limits, exclusions, or required care management features: Specialty and injectables</v>
      </c>
      <c r="M732" s="6"/>
      <c r="N732" s="7"/>
      <c r="O732" s="6"/>
      <c r="P732" s="7"/>
      <c r="Q732" s="6"/>
      <c r="R732" s="7"/>
      <c r="S732" s="6"/>
      <c r="T732" s="7"/>
      <c r="U732" s="6"/>
      <c r="V732" s="7"/>
      <c r="W732" s="6"/>
      <c r="X732" s="7"/>
    </row>
    <row r="733" spans="1:24" ht="38.25" x14ac:dyDescent="0.2">
      <c r="A733" s="6"/>
      <c r="B733" s="7"/>
      <c r="C733" s="6"/>
      <c r="D733" s="7"/>
      <c r="E733" s="6"/>
      <c r="F733" s="7"/>
      <c r="G733" s="6"/>
      <c r="H733" s="7"/>
      <c r="I733" s="6"/>
      <c r="J733" s="7"/>
      <c r="K733" s="96" t="str">
        <f>HYPERLINK("#'Healthcare'!ABE1","Q6.4.36")</f>
        <v>Q6.4.36</v>
      </c>
      <c r="L733" s="93" t="str">
        <f>HYPERLINK("#'Healthcare'!ABE2","Primary EPO medical plan drug limits, exclusions, or required care management features: Lifestyle")</f>
        <v>Primary EPO medical plan drug limits, exclusions, or required care management features: Lifestyle</v>
      </c>
      <c r="M733" s="6"/>
      <c r="N733" s="7"/>
      <c r="O733" s="6"/>
      <c r="P733" s="7"/>
      <c r="Q733" s="6"/>
      <c r="R733" s="7"/>
      <c r="S733" s="6"/>
      <c r="T733" s="7"/>
      <c r="U733" s="6"/>
      <c r="V733" s="7"/>
      <c r="W733" s="6"/>
      <c r="X733" s="7"/>
    </row>
    <row r="734" spans="1:24" ht="38.25" x14ac:dyDescent="0.2">
      <c r="A734" s="6"/>
      <c r="B734" s="7"/>
      <c r="C734" s="6"/>
      <c r="D734" s="7"/>
      <c r="E734" s="6"/>
      <c r="F734" s="7"/>
      <c r="G734" s="6"/>
      <c r="H734" s="7"/>
      <c r="I734" s="6"/>
      <c r="J734" s="7"/>
      <c r="K734" s="96" t="str">
        <f>HYPERLINK("#'Healthcare'!ABF1","Q6.4.37")</f>
        <v>Q6.4.37</v>
      </c>
      <c r="L734" s="93" t="str">
        <f>HYPERLINK("#'Healthcare'!ABF2","Primary EPO medical plan drug limits, exclusions, or required care management features: Compounds")</f>
        <v>Primary EPO medical plan drug limits, exclusions, or required care management features: Compounds</v>
      </c>
      <c r="M734" s="6"/>
      <c r="N734" s="7"/>
      <c r="O734" s="6"/>
      <c r="P734" s="7"/>
      <c r="Q734" s="6"/>
      <c r="R734" s="7"/>
      <c r="S734" s="6"/>
      <c r="T734" s="7"/>
      <c r="U734" s="6"/>
      <c r="V734" s="7"/>
      <c r="W734" s="6"/>
      <c r="X734" s="7"/>
    </row>
    <row r="735" spans="1:24" ht="38.25" x14ac:dyDescent="0.2">
      <c r="A735" s="6"/>
      <c r="B735" s="7"/>
      <c r="C735" s="6"/>
      <c r="D735" s="7"/>
      <c r="E735" s="6"/>
      <c r="F735" s="7"/>
      <c r="G735" s="6"/>
      <c r="H735" s="7"/>
      <c r="I735" s="6"/>
      <c r="J735" s="7"/>
      <c r="K735" s="96" t="str">
        <f>HYPERLINK("#'Healthcare'!ABG1","Q6.4.38")</f>
        <v>Q6.4.38</v>
      </c>
      <c r="L735" s="93" t="str">
        <f>HYPERLINK("#'Healthcare'!ABG2","Primary EPO medical plan drug limits, exclusions, or required care management features: Biosimilars")</f>
        <v>Primary EPO medical plan drug limits, exclusions, or required care management features: Biosimilars</v>
      </c>
      <c r="M735" s="6"/>
      <c r="N735" s="7"/>
      <c r="O735" s="6"/>
      <c r="P735" s="7"/>
      <c r="Q735" s="6"/>
      <c r="R735" s="7"/>
      <c r="S735" s="6"/>
      <c r="T735" s="7"/>
      <c r="U735" s="6"/>
      <c r="V735" s="7"/>
      <c r="W735" s="6"/>
      <c r="X735" s="7"/>
    </row>
    <row r="736" spans="1:24" ht="38.25" x14ac:dyDescent="0.2">
      <c r="A736" s="6"/>
      <c r="B736" s="7"/>
      <c r="C736" s="6"/>
      <c r="D736" s="7"/>
      <c r="E736" s="6"/>
      <c r="F736" s="7"/>
      <c r="G736" s="6"/>
      <c r="H736" s="7"/>
      <c r="I736" s="6"/>
      <c r="J736" s="7"/>
      <c r="K736" s="96" t="str">
        <f>HYPERLINK("#'Healthcare'!ABH1","Q6.4.39")</f>
        <v>Q6.4.39</v>
      </c>
      <c r="L736" s="93" t="str">
        <f>HYPERLINK("#'Healthcare'!ABH2","Primary EPO medical plan drug limits, exclusions, or required care management features: Over the counter - prescribed")</f>
        <v>Primary EPO medical plan drug limits, exclusions, or required care management features: Over the counter - prescribed</v>
      </c>
      <c r="M736" s="6"/>
      <c r="N736" s="7"/>
      <c r="O736" s="6"/>
      <c r="P736" s="7"/>
      <c r="Q736" s="6"/>
      <c r="R736" s="7"/>
      <c r="S736" s="6"/>
      <c r="T736" s="7"/>
      <c r="U736" s="6"/>
      <c r="V736" s="7"/>
      <c r="W736" s="6"/>
      <c r="X736" s="7"/>
    </row>
    <row r="737" spans="1:24" ht="38.25" x14ac:dyDescent="0.2">
      <c r="A737" s="6"/>
      <c r="B737" s="7"/>
      <c r="C737" s="6"/>
      <c r="D737" s="7"/>
      <c r="E737" s="6"/>
      <c r="F737" s="7"/>
      <c r="G737" s="6"/>
      <c r="H737" s="7"/>
      <c r="I737" s="6"/>
      <c r="J737" s="7"/>
      <c r="K737" s="96" t="str">
        <f>HYPERLINK("#'Healthcare'!ABI1","Q6.4.40")</f>
        <v>Q6.4.40</v>
      </c>
      <c r="L737" s="93" t="str">
        <f>HYPERLINK("#'Healthcare'!ABI2","Primary EPO medical plan drug limits, exclusions, or required care management features: Over the counter - non-prescribed")</f>
        <v>Primary EPO medical plan drug limits, exclusions, or required care management features: Over the counter - non-prescribed</v>
      </c>
      <c r="M737" s="6"/>
      <c r="N737" s="7"/>
      <c r="O737" s="6"/>
      <c r="P737" s="7"/>
      <c r="Q737" s="6"/>
      <c r="R737" s="7"/>
      <c r="S737" s="6"/>
      <c r="T737" s="7"/>
      <c r="U737" s="6"/>
      <c r="V737" s="7"/>
      <c r="W737" s="6"/>
      <c r="X737" s="7"/>
    </row>
    <row r="738" spans="1:24" ht="25.5" x14ac:dyDescent="0.2">
      <c r="A738" s="6"/>
      <c r="B738" s="7"/>
      <c r="C738" s="6"/>
      <c r="D738" s="7"/>
      <c r="E738" s="6"/>
      <c r="F738" s="7"/>
      <c r="G738" s="6"/>
      <c r="H738" s="7"/>
      <c r="I738" s="6"/>
      <c r="J738" s="7"/>
      <c r="K738" s="96" t="str">
        <f>HYPERLINK("#'Healthcare'!ABJ1","Q6.4.41_1_1")</f>
        <v>Q6.4.41_1_1</v>
      </c>
      <c r="L738" s="93" t="str">
        <f>HYPERLINK("#'Healthcare'!ABJ2","Primary EPO medical plan - tier #1 copayment: Retail/pharmacy in-network")</f>
        <v>Primary EPO medical plan - tier #1 copayment: Retail/pharmacy in-network</v>
      </c>
      <c r="M738" s="6"/>
      <c r="N738" s="7"/>
      <c r="O738" s="6"/>
      <c r="P738" s="7"/>
      <c r="Q738" s="6"/>
      <c r="R738" s="7"/>
      <c r="S738" s="6"/>
      <c r="T738" s="7"/>
      <c r="U738" s="6"/>
      <c r="V738" s="7"/>
      <c r="W738" s="6"/>
      <c r="X738" s="7"/>
    </row>
    <row r="739" spans="1:24" ht="25.5" x14ac:dyDescent="0.2">
      <c r="A739" s="6"/>
      <c r="B739" s="7"/>
      <c r="C739" s="6"/>
      <c r="D739" s="7"/>
      <c r="E739" s="6"/>
      <c r="F739" s="7"/>
      <c r="G739" s="6"/>
      <c r="H739" s="7"/>
      <c r="I739" s="6"/>
      <c r="J739" s="7"/>
      <c r="K739" s="96" t="str">
        <f>HYPERLINK("#'Healthcare'!ABK1","Q6.4.41_1_2")</f>
        <v>Q6.4.41_1_2</v>
      </c>
      <c r="L739" s="93" t="str">
        <f>HYPERLINK("#'Healthcare'!ABK2","Primary EPO medical plan - tier #1 copayment: Retail/pharmacy out-of-network")</f>
        <v>Primary EPO medical plan - tier #1 copayment: Retail/pharmacy out-of-network</v>
      </c>
      <c r="M739" s="6"/>
      <c r="N739" s="7"/>
      <c r="O739" s="6"/>
      <c r="P739" s="7"/>
      <c r="Q739" s="6"/>
      <c r="R739" s="7"/>
      <c r="S739" s="6"/>
      <c r="T739" s="7"/>
      <c r="U739" s="6"/>
      <c r="V739" s="7"/>
      <c r="W739" s="6"/>
      <c r="X739" s="7"/>
    </row>
    <row r="740" spans="1:24" ht="25.5" x14ac:dyDescent="0.2">
      <c r="A740" s="6"/>
      <c r="B740" s="7"/>
      <c r="C740" s="6"/>
      <c r="D740" s="7"/>
      <c r="E740" s="6"/>
      <c r="F740" s="7"/>
      <c r="G740" s="6"/>
      <c r="H740" s="7"/>
      <c r="I740" s="6"/>
      <c r="J740" s="7"/>
      <c r="K740" s="96" t="str">
        <f>HYPERLINK("#'Healthcare'!ABL1","Q6.4.41_1_3")</f>
        <v>Q6.4.41_1_3</v>
      </c>
      <c r="L740" s="93" t="str">
        <f>HYPERLINK("#'Healthcare'!ABL2","Primary EPO medical plan - tier #1 copayment: Mail order  in-network")</f>
        <v>Primary EPO medical plan - tier #1 copayment: Mail order  in-network</v>
      </c>
      <c r="M740" s="6"/>
      <c r="N740" s="7"/>
      <c r="O740" s="6"/>
      <c r="P740" s="7"/>
      <c r="Q740" s="6"/>
      <c r="R740" s="7"/>
      <c r="S740" s="6"/>
      <c r="T740" s="7"/>
      <c r="U740" s="6"/>
      <c r="V740" s="7"/>
      <c r="W740" s="6"/>
      <c r="X740" s="7"/>
    </row>
    <row r="741" spans="1:24" ht="25.5" x14ac:dyDescent="0.2">
      <c r="A741" s="6"/>
      <c r="B741" s="7"/>
      <c r="C741" s="6"/>
      <c r="D741" s="7"/>
      <c r="E741" s="6"/>
      <c r="F741" s="7"/>
      <c r="G741" s="6"/>
      <c r="H741" s="7"/>
      <c r="I741" s="6"/>
      <c r="J741" s="7"/>
      <c r="K741" s="96" t="str">
        <f>HYPERLINK("#'Healthcare'!ABM1","Q6.4.41_1_4")</f>
        <v>Q6.4.41_1_4</v>
      </c>
      <c r="L741" s="93" t="str">
        <f>HYPERLINK("#'Healthcare'!ABM2","Primary EPO medical plan - tier #1 copayment: Mail order out-of-network")</f>
        <v>Primary EPO medical plan - tier #1 copayment: Mail order out-of-network</v>
      </c>
      <c r="M741" s="6"/>
      <c r="N741" s="7"/>
      <c r="O741" s="6"/>
      <c r="P741" s="7"/>
      <c r="Q741" s="6"/>
      <c r="R741" s="7"/>
      <c r="S741" s="6"/>
      <c r="T741" s="7"/>
      <c r="U741" s="6"/>
      <c r="V741" s="7"/>
      <c r="W741" s="6"/>
      <c r="X741" s="7"/>
    </row>
    <row r="742" spans="1:24" ht="25.5" x14ac:dyDescent="0.2">
      <c r="A742" s="6"/>
      <c r="B742" s="7"/>
      <c r="C742" s="6"/>
      <c r="D742" s="7"/>
      <c r="E742" s="6"/>
      <c r="F742" s="7"/>
      <c r="G742" s="6"/>
      <c r="H742" s="7"/>
      <c r="I742" s="6"/>
      <c r="J742" s="7"/>
      <c r="K742" s="96" t="str">
        <f>HYPERLINK("#'Healthcare'!ABN1","Q6.4.41_2_1")</f>
        <v>Q6.4.41_2_1</v>
      </c>
      <c r="L742" s="93" t="str">
        <f>HYPERLINK("#'Healthcare'!ABN2","Primary EPO medical plan - tier #2 copayment: Retail/pharmacy in-network")</f>
        <v>Primary EPO medical plan - tier #2 copayment: Retail/pharmacy in-network</v>
      </c>
      <c r="M742" s="6"/>
      <c r="N742" s="7"/>
      <c r="O742" s="6"/>
      <c r="P742" s="7"/>
      <c r="Q742" s="6"/>
      <c r="R742" s="7"/>
      <c r="S742" s="6"/>
      <c r="T742" s="7"/>
      <c r="U742" s="6"/>
      <c r="V742" s="7"/>
      <c r="W742" s="6"/>
      <c r="X742" s="7"/>
    </row>
    <row r="743" spans="1:24" ht="25.5" x14ac:dyDescent="0.2">
      <c r="A743" s="6"/>
      <c r="B743" s="7"/>
      <c r="C743" s="6"/>
      <c r="D743" s="7"/>
      <c r="E743" s="6"/>
      <c r="F743" s="7"/>
      <c r="G743" s="6"/>
      <c r="H743" s="7"/>
      <c r="I743" s="6"/>
      <c r="J743" s="7"/>
      <c r="K743" s="96" t="str">
        <f>HYPERLINK("#'Healthcare'!ABO1","Q6.4.41_2_2")</f>
        <v>Q6.4.41_2_2</v>
      </c>
      <c r="L743" s="93" t="str">
        <f>HYPERLINK("#'Healthcare'!ABO2","Primary EPO medical plan - tier #2 copayment: Retail/pharmacy out-of-network")</f>
        <v>Primary EPO medical plan - tier #2 copayment: Retail/pharmacy out-of-network</v>
      </c>
      <c r="M743" s="6"/>
      <c r="N743" s="7"/>
      <c r="O743" s="6"/>
      <c r="P743" s="7"/>
      <c r="Q743" s="6"/>
      <c r="R743" s="7"/>
      <c r="S743" s="6"/>
      <c r="T743" s="7"/>
      <c r="U743" s="6"/>
      <c r="V743" s="7"/>
      <c r="W743" s="6"/>
      <c r="X743" s="7"/>
    </row>
    <row r="744" spans="1:24" ht="25.5" x14ac:dyDescent="0.2">
      <c r="A744" s="6"/>
      <c r="B744" s="7"/>
      <c r="C744" s="6"/>
      <c r="D744" s="7"/>
      <c r="E744" s="6"/>
      <c r="F744" s="7"/>
      <c r="G744" s="6"/>
      <c r="H744" s="7"/>
      <c r="I744" s="6"/>
      <c r="J744" s="7"/>
      <c r="K744" s="96" t="str">
        <f>HYPERLINK("#'Healthcare'!ABP1","Q6.4.41_2_3")</f>
        <v>Q6.4.41_2_3</v>
      </c>
      <c r="L744" s="93" t="str">
        <f>HYPERLINK("#'Healthcare'!ABP2","Primary EPO medical plan - tier #2 copayment: Mail order  in-network")</f>
        <v>Primary EPO medical plan - tier #2 copayment: Mail order  in-network</v>
      </c>
      <c r="M744" s="6"/>
      <c r="N744" s="7"/>
      <c r="O744" s="6"/>
      <c r="P744" s="7"/>
      <c r="Q744" s="6"/>
      <c r="R744" s="7"/>
      <c r="S744" s="6"/>
      <c r="T744" s="7"/>
      <c r="U744" s="6"/>
      <c r="V744" s="7"/>
      <c r="W744" s="6"/>
      <c r="X744" s="7"/>
    </row>
    <row r="745" spans="1:24" ht="25.5" x14ac:dyDescent="0.2">
      <c r="A745" s="6"/>
      <c r="B745" s="7"/>
      <c r="C745" s="6"/>
      <c r="D745" s="7"/>
      <c r="E745" s="6"/>
      <c r="F745" s="7"/>
      <c r="G745" s="6"/>
      <c r="H745" s="7"/>
      <c r="I745" s="6"/>
      <c r="J745" s="7"/>
      <c r="K745" s="96" t="str">
        <f>HYPERLINK("#'Healthcare'!ABQ1","Q6.4.41_2_4")</f>
        <v>Q6.4.41_2_4</v>
      </c>
      <c r="L745" s="93" t="str">
        <f>HYPERLINK("#'Healthcare'!ABQ2","Primary EPO medical plan - tier #2 copayment: Mail order out-of-network")</f>
        <v>Primary EPO medical plan - tier #2 copayment: Mail order out-of-network</v>
      </c>
      <c r="M745" s="6"/>
      <c r="N745" s="7"/>
      <c r="O745" s="6"/>
      <c r="P745" s="7"/>
      <c r="Q745" s="6"/>
      <c r="R745" s="7"/>
      <c r="S745" s="6"/>
      <c r="T745" s="7"/>
      <c r="U745" s="6"/>
      <c r="V745" s="7"/>
      <c r="W745" s="6"/>
      <c r="X745" s="7"/>
    </row>
    <row r="746" spans="1:24" ht="25.5" x14ac:dyDescent="0.2">
      <c r="A746" s="6"/>
      <c r="B746" s="7"/>
      <c r="C746" s="6"/>
      <c r="D746" s="7"/>
      <c r="E746" s="6"/>
      <c r="F746" s="7"/>
      <c r="G746" s="6"/>
      <c r="H746" s="7"/>
      <c r="I746" s="6"/>
      <c r="J746" s="7"/>
      <c r="K746" s="96" t="str">
        <f>HYPERLINK("#'Healthcare'!ABR1","Q6.4.41_3_1")</f>
        <v>Q6.4.41_3_1</v>
      </c>
      <c r="L746" s="93" t="str">
        <f>HYPERLINK("#'Healthcare'!ABR2","Primary EPO medical plan - tier #3 copayment: Retail/pharmacy in-network")</f>
        <v>Primary EPO medical plan - tier #3 copayment: Retail/pharmacy in-network</v>
      </c>
      <c r="M746" s="6"/>
      <c r="N746" s="7"/>
      <c r="O746" s="6"/>
      <c r="P746" s="7"/>
      <c r="Q746" s="6"/>
      <c r="R746" s="7"/>
      <c r="S746" s="6"/>
      <c r="T746" s="7"/>
      <c r="U746" s="6"/>
      <c r="V746" s="7"/>
      <c r="W746" s="6"/>
      <c r="X746" s="7"/>
    </row>
    <row r="747" spans="1:24" ht="25.5" x14ac:dyDescent="0.2">
      <c r="A747" s="6"/>
      <c r="B747" s="7"/>
      <c r="C747" s="6"/>
      <c r="D747" s="7"/>
      <c r="E747" s="6"/>
      <c r="F747" s="7"/>
      <c r="G747" s="6"/>
      <c r="H747" s="7"/>
      <c r="I747" s="6"/>
      <c r="J747" s="7"/>
      <c r="K747" s="96" t="str">
        <f>HYPERLINK("#'Healthcare'!ABS1","Q6.4.41_3_2")</f>
        <v>Q6.4.41_3_2</v>
      </c>
      <c r="L747" s="93" t="str">
        <f>HYPERLINK("#'Healthcare'!ABS2","Primary EPO medical plan - tier #3 copayment: Retail/pharmacy out-of-network")</f>
        <v>Primary EPO medical plan - tier #3 copayment: Retail/pharmacy out-of-network</v>
      </c>
      <c r="M747" s="6"/>
      <c r="N747" s="7"/>
      <c r="O747" s="6"/>
      <c r="P747" s="7"/>
      <c r="Q747" s="6"/>
      <c r="R747" s="7"/>
      <c r="S747" s="6"/>
      <c r="T747" s="7"/>
      <c r="U747" s="6"/>
      <c r="V747" s="7"/>
      <c r="W747" s="6"/>
      <c r="X747" s="7"/>
    </row>
    <row r="748" spans="1:24" ht="25.5" x14ac:dyDescent="0.2">
      <c r="A748" s="6"/>
      <c r="B748" s="7"/>
      <c r="C748" s="6"/>
      <c r="D748" s="7"/>
      <c r="E748" s="6"/>
      <c r="F748" s="7"/>
      <c r="G748" s="6"/>
      <c r="H748" s="7"/>
      <c r="I748" s="6"/>
      <c r="J748" s="7"/>
      <c r="K748" s="96" t="str">
        <f>HYPERLINK("#'Healthcare'!ABT1","Q6.4.41_3_3")</f>
        <v>Q6.4.41_3_3</v>
      </c>
      <c r="L748" s="93" t="str">
        <f>HYPERLINK("#'Healthcare'!ABT2","Primary EPO medical plan - tier #3 copayment: Mail order  in-network")</f>
        <v>Primary EPO medical plan - tier #3 copayment: Mail order  in-network</v>
      </c>
      <c r="M748" s="6"/>
      <c r="N748" s="7"/>
      <c r="O748" s="6"/>
      <c r="P748" s="7"/>
      <c r="Q748" s="6"/>
      <c r="R748" s="7"/>
      <c r="S748" s="6"/>
      <c r="T748" s="7"/>
      <c r="U748" s="6"/>
      <c r="V748" s="7"/>
      <c r="W748" s="6"/>
      <c r="X748" s="7"/>
    </row>
    <row r="749" spans="1:24" ht="25.5" x14ac:dyDescent="0.2">
      <c r="A749" s="6"/>
      <c r="B749" s="7"/>
      <c r="C749" s="6"/>
      <c r="D749" s="7"/>
      <c r="E749" s="6"/>
      <c r="F749" s="7"/>
      <c r="G749" s="6"/>
      <c r="H749" s="7"/>
      <c r="I749" s="6"/>
      <c r="J749" s="7"/>
      <c r="K749" s="96" t="str">
        <f>HYPERLINK("#'Healthcare'!ABU1","Q6.4.41_3_4")</f>
        <v>Q6.4.41_3_4</v>
      </c>
      <c r="L749" s="93" t="str">
        <f>HYPERLINK("#'Healthcare'!ABU2","Primary EPO medical plan - tier #3 copayment: Mail order out-of-network")</f>
        <v>Primary EPO medical plan - tier #3 copayment: Mail order out-of-network</v>
      </c>
      <c r="M749" s="6"/>
      <c r="N749" s="7"/>
      <c r="O749" s="6"/>
      <c r="P749" s="7"/>
      <c r="Q749" s="6"/>
      <c r="R749" s="7"/>
      <c r="S749" s="6"/>
      <c r="T749" s="7"/>
      <c r="U749" s="6"/>
      <c r="V749" s="7"/>
      <c r="W749" s="6"/>
      <c r="X749" s="7"/>
    </row>
    <row r="750" spans="1:24" ht="25.5" x14ac:dyDescent="0.2">
      <c r="A750" s="6"/>
      <c r="B750" s="7"/>
      <c r="C750" s="6"/>
      <c r="D750" s="7"/>
      <c r="E750" s="6"/>
      <c r="F750" s="7"/>
      <c r="G750" s="6"/>
      <c r="H750" s="7"/>
      <c r="I750" s="6"/>
      <c r="J750" s="7"/>
      <c r="K750" s="96" t="str">
        <f>HYPERLINK("#'Healthcare'!ABV1","Q6.4.41_4_1")</f>
        <v>Q6.4.41_4_1</v>
      </c>
      <c r="L750" s="93" t="str">
        <f>HYPERLINK("#'Healthcare'!ABV2","Primary EPO medical plan - tier #4 copayment: Retail/pharmacy in-network")</f>
        <v>Primary EPO medical plan - tier #4 copayment: Retail/pharmacy in-network</v>
      </c>
      <c r="M750" s="6"/>
      <c r="N750" s="7"/>
      <c r="O750" s="6"/>
      <c r="P750" s="7"/>
      <c r="Q750" s="6"/>
      <c r="R750" s="7"/>
      <c r="S750" s="6"/>
      <c r="T750" s="7"/>
      <c r="U750" s="6"/>
      <c r="V750" s="7"/>
      <c r="W750" s="6"/>
      <c r="X750" s="7"/>
    </row>
    <row r="751" spans="1:24" ht="25.5" x14ac:dyDescent="0.2">
      <c r="A751" s="6"/>
      <c r="B751" s="7"/>
      <c r="C751" s="6"/>
      <c r="D751" s="7"/>
      <c r="E751" s="6"/>
      <c r="F751" s="7"/>
      <c r="G751" s="6"/>
      <c r="H751" s="7"/>
      <c r="I751" s="6"/>
      <c r="J751" s="7"/>
      <c r="K751" s="96" t="str">
        <f>HYPERLINK("#'Healthcare'!ABW1","Q6.4.41_4_2")</f>
        <v>Q6.4.41_4_2</v>
      </c>
      <c r="L751" s="93" t="str">
        <f>HYPERLINK("#'Healthcare'!ABW2","Primary EPO medical plan - tier #4 copayment: Retail/pharmacy out-of-network")</f>
        <v>Primary EPO medical plan - tier #4 copayment: Retail/pharmacy out-of-network</v>
      </c>
      <c r="M751" s="6"/>
      <c r="N751" s="7"/>
      <c r="O751" s="6"/>
      <c r="P751" s="7"/>
      <c r="Q751" s="6"/>
      <c r="R751" s="7"/>
      <c r="S751" s="6"/>
      <c r="T751" s="7"/>
      <c r="U751" s="6"/>
      <c r="V751" s="7"/>
      <c r="W751" s="6"/>
      <c r="X751" s="7"/>
    </row>
    <row r="752" spans="1:24" ht="25.5" x14ac:dyDescent="0.2">
      <c r="A752" s="6"/>
      <c r="B752" s="7"/>
      <c r="C752" s="6"/>
      <c r="D752" s="7"/>
      <c r="E752" s="6"/>
      <c r="F752" s="7"/>
      <c r="G752" s="6"/>
      <c r="H752" s="7"/>
      <c r="I752" s="6"/>
      <c r="J752" s="7"/>
      <c r="K752" s="96" t="str">
        <f>HYPERLINK("#'Healthcare'!ABX1","Q6.4.41_4_3")</f>
        <v>Q6.4.41_4_3</v>
      </c>
      <c r="L752" s="93" t="str">
        <f>HYPERLINK("#'Healthcare'!ABX2","Primary EPO medical plan - tier #4 copayment: Mail order  in-network")</f>
        <v>Primary EPO medical plan - tier #4 copayment: Mail order  in-network</v>
      </c>
      <c r="M752" s="6"/>
      <c r="N752" s="7"/>
      <c r="O752" s="6"/>
      <c r="P752" s="7"/>
      <c r="Q752" s="6"/>
      <c r="R752" s="7"/>
      <c r="S752" s="6"/>
      <c r="T752" s="7"/>
      <c r="U752" s="6"/>
      <c r="V752" s="7"/>
      <c r="W752" s="6"/>
      <c r="X752" s="7"/>
    </row>
    <row r="753" spans="1:24" ht="25.5" x14ac:dyDescent="0.2">
      <c r="A753" s="6"/>
      <c r="B753" s="7"/>
      <c r="C753" s="6"/>
      <c r="D753" s="7"/>
      <c r="E753" s="6"/>
      <c r="F753" s="7"/>
      <c r="G753" s="6"/>
      <c r="H753" s="7"/>
      <c r="I753" s="6"/>
      <c r="J753" s="7"/>
      <c r="K753" s="96" t="str">
        <f>HYPERLINK("#'Healthcare'!ABY1","Q6.4.41_4_4")</f>
        <v>Q6.4.41_4_4</v>
      </c>
      <c r="L753" s="93" t="str">
        <f>HYPERLINK("#'Healthcare'!ABY2","Primary EPO medical plan - tier #4 copayment: Mail order out-of-network")</f>
        <v>Primary EPO medical plan - tier #4 copayment: Mail order out-of-network</v>
      </c>
      <c r="M753" s="6"/>
      <c r="N753" s="7"/>
      <c r="O753" s="6"/>
      <c r="P753" s="7"/>
      <c r="Q753" s="6"/>
      <c r="R753" s="7"/>
      <c r="S753" s="6"/>
      <c r="T753" s="7"/>
      <c r="U753" s="6"/>
      <c r="V753" s="7"/>
      <c r="W753" s="6"/>
      <c r="X753" s="7"/>
    </row>
    <row r="754" spans="1:24" ht="25.5" x14ac:dyDescent="0.2">
      <c r="A754" s="6"/>
      <c r="B754" s="7"/>
      <c r="C754" s="6"/>
      <c r="D754" s="7"/>
      <c r="E754" s="6"/>
      <c r="F754" s="7"/>
      <c r="G754" s="6"/>
      <c r="H754" s="7"/>
      <c r="I754" s="6"/>
      <c r="J754" s="7"/>
      <c r="K754" s="96" t="str">
        <f>HYPERLINK("#'Healthcare'!ABZ1","Q6.4.41_5_1")</f>
        <v>Q6.4.41_5_1</v>
      </c>
      <c r="L754" s="93" t="str">
        <f>HYPERLINK("#'Healthcare'!ABZ2","Primary EPO medical plan - tier #5 copayment: Retail/pharmacy in-network")</f>
        <v>Primary EPO medical plan - tier #5 copayment: Retail/pharmacy in-network</v>
      </c>
      <c r="M754" s="6"/>
      <c r="N754" s="7"/>
      <c r="O754" s="6"/>
      <c r="P754" s="7"/>
      <c r="Q754" s="6"/>
      <c r="R754" s="7"/>
      <c r="S754" s="6"/>
      <c r="T754" s="7"/>
      <c r="U754" s="6"/>
      <c r="V754" s="7"/>
      <c r="W754" s="6"/>
      <c r="X754" s="7"/>
    </row>
    <row r="755" spans="1:24" ht="25.5" x14ac:dyDescent="0.2">
      <c r="A755" s="6"/>
      <c r="B755" s="7"/>
      <c r="C755" s="6"/>
      <c r="D755" s="7"/>
      <c r="E755" s="6"/>
      <c r="F755" s="7"/>
      <c r="G755" s="6"/>
      <c r="H755" s="7"/>
      <c r="I755" s="6"/>
      <c r="J755" s="7"/>
      <c r="K755" s="96" t="str">
        <f>HYPERLINK("#'Healthcare'!ACA1","Q6.4.41_5_2")</f>
        <v>Q6.4.41_5_2</v>
      </c>
      <c r="L755" s="93" t="str">
        <f>HYPERLINK("#'Healthcare'!ACA2","Primary EPO medical plan - tier #5 copayment: Retail/pharmacy out-of-network")</f>
        <v>Primary EPO medical plan - tier #5 copayment: Retail/pharmacy out-of-network</v>
      </c>
      <c r="M755" s="6"/>
      <c r="N755" s="7"/>
      <c r="O755" s="6"/>
      <c r="P755" s="7"/>
      <c r="Q755" s="6"/>
      <c r="R755" s="7"/>
      <c r="S755" s="6"/>
      <c r="T755" s="7"/>
      <c r="U755" s="6"/>
      <c r="V755" s="7"/>
      <c r="W755" s="6"/>
      <c r="X755" s="7"/>
    </row>
    <row r="756" spans="1:24" ht="25.5" x14ac:dyDescent="0.2">
      <c r="A756" s="6"/>
      <c r="B756" s="7"/>
      <c r="C756" s="6"/>
      <c r="D756" s="7"/>
      <c r="E756" s="6"/>
      <c r="F756" s="7"/>
      <c r="G756" s="6"/>
      <c r="H756" s="7"/>
      <c r="I756" s="6"/>
      <c r="J756" s="7"/>
      <c r="K756" s="96" t="str">
        <f>HYPERLINK("#'Healthcare'!ACB1","Q6.4.41_5_3")</f>
        <v>Q6.4.41_5_3</v>
      </c>
      <c r="L756" s="93" t="str">
        <f>HYPERLINK("#'Healthcare'!ACB2","Primary EPO medical plan - tier #5 copayment: Mail order  in-network")</f>
        <v>Primary EPO medical plan - tier #5 copayment: Mail order  in-network</v>
      </c>
      <c r="M756" s="6"/>
      <c r="N756" s="7"/>
      <c r="O756" s="6"/>
      <c r="P756" s="7"/>
      <c r="Q756" s="6"/>
      <c r="R756" s="7"/>
      <c r="S756" s="6"/>
      <c r="T756" s="7"/>
      <c r="U756" s="6"/>
      <c r="V756" s="7"/>
      <c r="W756" s="6"/>
      <c r="X756" s="7"/>
    </row>
    <row r="757" spans="1:24" ht="25.5" x14ac:dyDescent="0.2">
      <c r="A757" s="6"/>
      <c r="B757" s="7"/>
      <c r="C757" s="6"/>
      <c r="D757" s="7"/>
      <c r="E757" s="6"/>
      <c r="F757" s="7"/>
      <c r="G757" s="6"/>
      <c r="H757" s="7"/>
      <c r="I757" s="6"/>
      <c r="J757" s="7"/>
      <c r="K757" s="96" t="str">
        <f>HYPERLINK("#'Healthcare'!ACC1","Q6.4.41_5_4")</f>
        <v>Q6.4.41_5_4</v>
      </c>
      <c r="L757" s="93" t="str">
        <f>HYPERLINK("#'Healthcare'!ACC2","Primary EPO medical plan - tier #5 copayment: Mail order out-of-network")</f>
        <v>Primary EPO medical plan - tier #5 copayment: Mail order out-of-network</v>
      </c>
      <c r="M757" s="6"/>
      <c r="N757" s="7"/>
      <c r="O757" s="6"/>
      <c r="P757" s="7"/>
      <c r="Q757" s="6"/>
      <c r="R757" s="7"/>
      <c r="S757" s="6"/>
      <c r="T757" s="7"/>
      <c r="U757" s="6"/>
      <c r="V757" s="7"/>
      <c r="W757" s="6"/>
      <c r="X757" s="7"/>
    </row>
    <row r="758" spans="1:24" ht="25.5" x14ac:dyDescent="0.2">
      <c r="A758" s="6"/>
      <c r="B758" s="7"/>
      <c r="C758" s="6"/>
      <c r="D758" s="7"/>
      <c r="E758" s="6"/>
      <c r="F758" s="7"/>
      <c r="G758" s="6"/>
      <c r="H758" s="7"/>
      <c r="I758" s="6"/>
      <c r="J758" s="7"/>
      <c r="K758" s="96" t="str">
        <f>HYPERLINK("#'Healthcare'!ACD1","Q6.4.41_6_1")</f>
        <v>Q6.4.41_6_1</v>
      </c>
      <c r="L758" s="93" t="str">
        <f>HYPERLINK("#'Healthcare'!ACD2","Primary EPO medical plan - specialty copayment: Retail/pharmacy in-network")</f>
        <v>Primary EPO medical plan - specialty copayment: Retail/pharmacy in-network</v>
      </c>
      <c r="M758" s="6"/>
      <c r="N758" s="7"/>
      <c r="O758" s="6"/>
      <c r="P758" s="7"/>
      <c r="Q758" s="6"/>
      <c r="R758" s="7"/>
      <c r="S758" s="6"/>
      <c r="T758" s="7"/>
      <c r="U758" s="6"/>
      <c r="V758" s="7"/>
      <c r="W758" s="6"/>
      <c r="X758" s="7"/>
    </row>
    <row r="759" spans="1:24" ht="25.5" x14ac:dyDescent="0.2">
      <c r="A759" s="6"/>
      <c r="B759" s="7"/>
      <c r="C759" s="6"/>
      <c r="D759" s="7"/>
      <c r="E759" s="6"/>
      <c r="F759" s="7"/>
      <c r="G759" s="6"/>
      <c r="H759" s="7"/>
      <c r="I759" s="6"/>
      <c r="J759" s="7"/>
      <c r="K759" s="96" t="str">
        <f>HYPERLINK("#'Healthcare'!ACE1","Q6.4.41_6_2")</f>
        <v>Q6.4.41_6_2</v>
      </c>
      <c r="L759" s="93" t="str">
        <f>HYPERLINK("#'Healthcare'!ACE2","Primary EPO medical plan - specialty copayment: Retail/pharmacy out-of-network")</f>
        <v>Primary EPO medical plan - specialty copayment: Retail/pharmacy out-of-network</v>
      </c>
      <c r="M759" s="6"/>
      <c r="N759" s="7"/>
      <c r="O759" s="6"/>
      <c r="P759" s="7"/>
      <c r="Q759" s="6"/>
      <c r="R759" s="7"/>
      <c r="S759" s="6"/>
      <c r="T759" s="7"/>
      <c r="U759" s="6"/>
      <c r="V759" s="7"/>
      <c r="W759" s="6"/>
      <c r="X759" s="7"/>
    </row>
    <row r="760" spans="1:24" ht="25.5" x14ac:dyDescent="0.2">
      <c r="A760" s="6"/>
      <c r="B760" s="7"/>
      <c r="C760" s="6"/>
      <c r="D760" s="7"/>
      <c r="E760" s="6"/>
      <c r="F760" s="7"/>
      <c r="G760" s="6"/>
      <c r="H760" s="7"/>
      <c r="I760" s="6"/>
      <c r="J760" s="7"/>
      <c r="K760" s="96" t="str">
        <f>HYPERLINK("#'Healthcare'!ACF1","Q6.4.41_6_3")</f>
        <v>Q6.4.41_6_3</v>
      </c>
      <c r="L760" s="93" t="str">
        <f>HYPERLINK("#'Healthcare'!ACF2","Primary EPO medical plan - specialty copayment: Mail order  in-network")</f>
        <v>Primary EPO medical plan - specialty copayment: Mail order  in-network</v>
      </c>
      <c r="M760" s="6"/>
      <c r="N760" s="7"/>
      <c r="O760" s="6"/>
      <c r="P760" s="7"/>
      <c r="Q760" s="6"/>
      <c r="R760" s="7"/>
      <c r="S760" s="6"/>
      <c r="T760" s="7"/>
      <c r="U760" s="6"/>
      <c r="V760" s="7"/>
      <c r="W760" s="6"/>
      <c r="X760" s="7"/>
    </row>
    <row r="761" spans="1:24" ht="25.5" x14ac:dyDescent="0.2">
      <c r="A761" s="6"/>
      <c r="B761" s="7"/>
      <c r="C761" s="6"/>
      <c r="D761" s="7"/>
      <c r="E761" s="6"/>
      <c r="F761" s="7"/>
      <c r="G761" s="6"/>
      <c r="H761" s="7"/>
      <c r="I761" s="6"/>
      <c r="J761" s="7"/>
      <c r="K761" s="96" t="str">
        <f>HYPERLINK("#'Healthcare'!ACG1","Q6.4.41_6_4")</f>
        <v>Q6.4.41_6_4</v>
      </c>
      <c r="L761" s="93" t="str">
        <f>HYPERLINK("#'Healthcare'!ACG2","Primary EPO medical plan - specialty copayment: Mail order out-of-network")</f>
        <v>Primary EPO medical plan - specialty copayment: Mail order out-of-network</v>
      </c>
      <c r="M761" s="6"/>
      <c r="N761" s="7"/>
      <c r="O761" s="6"/>
      <c r="P761" s="7"/>
      <c r="Q761" s="6"/>
      <c r="R761" s="7"/>
      <c r="S761" s="6"/>
      <c r="T761" s="7"/>
      <c r="U761" s="6"/>
      <c r="V761" s="7"/>
      <c r="W761" s="6"/>
      <c r="X761" s="7"/>
    </row>
    <row r="762" spans="1:24" ht="25.5" x14ac:dyDescent="0.2">
      <c r="A762" s="6"/>
      <c r="B762" s="7"/>
      <c r="C762" s="6"/>
      <c r="D762" s="7"/>
      <c r="E762" s="6"/>
      <c r="F762" s="7"/>
      <c r="G762" s="6"/>
      <c r="H762" s="7"/>
      <c r="I762" s="6"/>
      <c r="J762" s="7"/>
      <c r="K762" s="96" t="str">
        <f>HYPERLINK("#'Healthcare'!ACH1","Q6.4.41_7_1")</f>
        <v>Q6.4.41_7_1</v>
      </c>
      <c r="L762" s="93" t="str">
        <f>HYPERLINK("#'Healthcare'!ACH2","Primary EPO medical plan - Other copayment: Retail/pharmacy in-network")</f>
        <v>Primary EPO medical plan - Other copayment: Retail/pharmacy in-network</v>
      </c>
      <c r="M762" s="6"/>
      <c r="N762" s="7"/>
      <c r="O762" s="6"/>
      <c r="P762" s="7"/>
      <c r="Q762" s="6"/>
      <c r="R762" s="7"/>
      <c r="S762" s="6"/>
      <c r="T762" s="7"/>
      <c r="U762" s="6"/>
      <c r="V762" s="7"/>
      <c r="W762" s="6"/>
      <c r="X762" s="7"/>
    </row>
    <row r="763" spans="1:24" ht="25.5" x14ac:dyDescent="0.2">
      <c r="A763" s="6"/>
      <c r="B763" s="7"/>
      <c r="C763" s="6"/>
      <c r="D763" s="7"/>
      <c r="E763" s="6"/>
      <c r="F763" s="7"/>
      <c r="G763" s="6"/>
      <c r="H763" s="7"/>
      <c r="I763" s="6"/>
      <c r="J763" s="7"/>
      <c r="K763" s="96" t="str">
        <f>HYPERLINK("#'Healthcare'!ACI1","Q6.4.41_7_2")</f>
        <v>Q6.4.41_7_2</v>
      </c>
      <c r="L763" s="93" t="str">
        <f>HYPERLINK("#'Healthcare'!ACI2","Primary EPO medical plan - Other copayment: Retail/pharmacy out-of-network")</f>
        <v>Primary EPO medical plan - Other copayment: Retail/pharmacy out-of-network</v>
      </c>
      <c r="M763" s="6"/>
      <c r="N763" s="7"/>
      <c r="O763" s="6"/>
      <c r="P763" s="7"/>
      <c r="Q763" s="6"/>
      <c r="R763" s="7"/>
      <c r="S763" s="6"/>
      <c r="T763" s="7"/>
      <c r="U763" s="6"/>
      <c r="V763" s="7"/>
      <c r="W763" s="6"/>
      <c r="X763" s="7"/>
    </row>
    <row r="764" spans="1:24" ht="25.5" x14ac:dyDescent="0.2">
      <c r="A764" s="6"/>
      <c r="B764" s="7"/>
      <c r="C764" s="6"/>
      <c r="D764" s="7"/>
      <c r="E764" s="6"/>
      <c r="F764" s="7"/>
      <c r="G764" s="6"/>
      <c r="H764" s="7"/>
      <c r="I764" s="6"/>
      <c r="J764" s="7"/>
      <c r="K764" s="96" t="str">
        <f>HYPERLINK("#'Healthcare'!ACJ1","Q6.4.41_7_3")</f>
        <v>Q6.4.41_7_3</v>
      </c>
      <c r="L764" s="93" t="str">
        <f>HYPERLINK("#'Healthcare'!ACJ2","Primary EPO medical plan - Other copayment: Mail order  in-network")</f>
        <v>Primary EPO medical plan - Other copayment: Mail order  in-network</v>
      </c>
      <c r="M764" s="6"/>
      <c r="N764" s="7"/>
      <c r="O764" s="6"/>
      <c r="P764" s="7"/>
      <c r="Q764" s="6"/>
      <c r="R764" s="7"/>
      <c r="S764" s="6"/>
      <c r="T764" s="7"/>
      <c r="U764" s="6"/>
      <c r="V764" s="7"/>
      <c r="W764" s="6"/>
      <c r="X764" s="7"/>
    </row>
    <row r="765" spans="1:24" ht="25.5" x14ac:dyDescent="0.2">
      <c r="A765" s="6"/>
      <c r="B765" s="7"/>
      <c r="C765" s="6"/>
      <c r="D765" s="7"/>
      <c r="E765" s="6"/>
      <c r="F765" s="7"/>
      <c r="G765" s="6"/>
      <c r="H765" s="7"/>
      <c r="I765" s="6"/>
      <c r="J765" s="7"/>
      <c r="K765" s="96" t="str">
        <f>HYPERLINK("#'Healthcare'!ACK1","Q6.4.41_7_4")</f>
        <v>Q6.4.41_7_4</v>
      </c>
      <c r="L765" s="93" t="str">
        <f>HYPERLINK("#'Healthcare'!ACK2","Primary EPO medical plan - Other copayment: Mail order out-of-network")</f>
        <v>Primary EPO medical plan - Other copayment: Mail order out-of-network</v>
      </c>
      <c r="M765" s="6"/>
      <c r="N765" s="7"/>
      <c r="O765" s="6"/>
      <c r="P765" s="7"/>
      <c r="Q765" s="6"/>
      <c r="R765" s="7"/>
      <c r="S765" s="6"/>
      <c r="T765" s="7"/>
      <c r="U765" s="6"/>
      <c r="V765" s="7"/>
      <c r="W765" s="6"/>
      <c r="X765" s="7"/>
    </row>
    <row r="766" spans="1:24" ht="25.5" x14ac:dyDescent="0.2">
      <c r="A766" s="6"/>
      <c r="B766" s="7"/>
      <c r="C766" s="6"/>
      <c r="D766" s="7"/>
      <c r="E766" s="6"/>
      <c r="F766" s="7"/>
      <c r="G766" s="6"/>
      <c r="H766" s="7"/>
      <c r="I766" s="6"/>
      <c r="J766" s="7"/>
      <c r="K766" s="96" t="str">
        <f>HYPERLINK("#'Healthcare'!ACL1","Q6.4.42_1_1")</f>
        <v>Q6.4.42_1_1</v>
      </c>
      <c r="L766" s="93" t="str">
        <f>HYPERLINK("#'Healthcare'!ACL2","Primary EPO medical plan tier 1 coinsurance: Retail/pharmacy - in-network")</f>
        <v>Primary EPO medical plan tier 1 coinsurance: Retail/pharmacy - in-network</v>
      </c>
      <c r="M766" s="6"/>
      <c r="N766" s="7"/>
      <c r="O766" s="6"/>
      <c r="P766" s="7"/>
      <c r="Q766" s="6"/>
      <c r="R766" s="7"/>
      <c r="S766" s="6"/>
      <c r="T766" s="7"/>
      <c r="U766" s="6"/>
      <c r="V766" s="7"/>
      <c r="W766" s="6"/>
      <c r="X766" s="7"/>
    </row>
    <row r="767" spans="1:24" ht="25.5" x14ac:dyDescent="0.2">
      <c r="A767" s="6"/>
      <c r="B767" s="7"/>
      <c r="C767" s="6"/>
      <c r="D767" s="7"/>
      <c r="E767" s="6"/>
      <c r="F767" s="7"/>
      <c r="G767" s="6"/>
      <c r="H767" s="7"/>
      <c r="I767" s="6"/>
      <c r="J767" s="7"/>
      <c r="K767" s="96" t="str">
        <f>HYPERLINK("#'Healthcare'!ACM1","Q6.4.42_2_1")</f>
        <v>Q6.4.42_2_1</v>
      </c>
      <c r="L767" s="93" t="str">
        <f>HYPERLINK("#'Healthcare'!ACM2","Primary EPO medical plan tier 2 coinsurance: Retail/pharmacy - in-network")</f>
        <v>Primary EPO medical plan tier 2 coinsurance: Retail/pharmacy - in-network</v>
      </c>
      <c r="M767" s="6"/>
      <c r="N767" s="7"/>
      <c r="O767" s="6"/>
      <c r="P767" s="7"/>
      <c r="Q767" s="6"/>
      <c r="R767" s="7"/>
      <c r="S767" s="6"/>
      <c r="T767" s="7"/>
      <c r="U767" s="6"/>
      <c r="V767" s="7"/>
      <c r="W767" s="6"/>
      <c r="X767" s="7"/>
    </row>
    <row r="768" spans="1:24" ht="25.5" x14ac:dyDescent="0.2">
      <c r="A768" s="6"/>
      <c r="B768" s="7"/>
      <c r="C768" s="6"/>
      <c r="D768" s="7"/>
      <c r="E768" s="6"/>
      <c r="F768" s="7"/>
      <c r="G768" s="6"/>
      <c r="H768" s="7"/>
      <c r="I768" s="6"/>
      <c r="J768" s="7"/>
      <c r="K768" s="96" t="str">
        <f>HYPERLINK("#'Healthcare'!ACN1","Q6.4.42_3_1")</f>
        <v>Q6.4.42_3_1</v>
      </c>
      <c r="L768" s="93" t="str">
        <f>HYPERLINK("#'Healthcare'!ACN2","Primary EPO medical plan tier 3 coinsurance: Retail/pharmacy - in-network")</f>
        <v>Primary EPO medical plan tier 3 coinsurance: Retail/pharmacy - in-network</v>
      </c>
      <c r="M768" s="6"/>
      <c r="N768" s="7"/>
      <c r="O768" s="6"/>
      <c r="P768" s="7"/>
      <c r="Q768" s="6"/>
      <c r="R768" s="7"/>
      <c r="S768" s="6"/>
      <c r="T768" s="7"/>
      <c r="U768" s="6"/>
      <c r="V768" s="7"/>
      <c r="W768" s="6"/>
      <c r="X768" s="7"/>
    </row>
    <row r="769" spans="1:24" ht="25.5" x14ac:dyDescent="0.2">
      <c r="A769" s="6"/>
      <c r="B769" s="7"/>
      <c r="C769" s="6"/>
      <c r="D769" s="7"/>
      <c r="E769" s="6"/>
      <c r="F769" s="7"/>
      <c r="G769" s="6"/>
      <c r="H769" s="7"/>
      <c r="I769" s="6"/>
      <c r="J769" s="7"/>
      <c r="K769" s="96" t="str">
        <f>HYPERLINK("#'Healthcare'!ACO1","Q6.4.42_4_1")</f>
        <v>Q6.4.42_4_1</v>
      </c>
      <c r="L769" s="93" t="str">
        <f>HYPERLINK("#'Healthcare'!ACO2","Primary EPO medical plan tier 4 coinsurance: Retail/pharmacy - in-network")</f>
        <v>Primary EPO medical plan tier 4 coinsurance: Retail/pharmacy - in-network</v>
      </c>
      <c r="M769" s="6"/>
      <c r="N769" s="7"/>
      <c r="O769" s="6"/>
      <c r="P769" s="7"/>
      <c r="Q769" s="6"/>
      <c r="R769" s="7"/>
      <c r="S769" s="6"/>
      <c r="T769" s="7"/>
      <c r="U769" s="6"/>
      <c r="V769" s="7"/>
      <c r="W769" s="6"/>
      <c r="X769" s="7"/>
    </row>
    <row r="770" spans="1:24" ht="25.5" x14ac:dyDescent="0.2">
      <c r="A770" s="6"/>
      <c r="B770" s="7"/>
      <c r="C770" s="6"/>
      <c r="D770" s="7"/>
      <c r="E770" s="6"/>
      <c r="F770" s="7"/>
      <c r="G770" s="6"/>
      <c r="H770" s="7"/>
      <c r="I770" s="6"/>
      <c r="J770" s="7"/>
      <c r="K770" s="96" t="str">
        <f>HYPERLINK("#'Healthcare'!ACP1","Q6.4.42_5_1")</f>
        <v>Q6.4.42_5_1</v>
      </c>
      <c r="L770" s="93" t="str">
        <f>HYPERLINK("#'Healthcare'!ACP2","Primary EPO medical plan tier 5 coinsurance: Retail/pharmacy - in-network")</f>
        <v>Primary EPO medical plan tier 5 coinsurance: Retail/pharmacy - in-network</v>
      </c>
      <c r="M770" s="6"/>
      <c r="N770" s="7"/>
      <c r="O770" s="6"/>
      <c r="P770" s="7"/>
      <c r="Q770" s="6"/>
      <c r="R770" s="7"/>
      <c r="S770" s="6"/>
      <c r="T770" s="7"/>
      <c r="U770" s="6"/>
      <c r="V770" s="7"/>
      <c r="W770" s="6"/>
      <c r="X770" s="7"/>
    </row>
    <row r="771" spans="1:24" ht="25.5" x14ac:dyDescent="0.2">
      <c r="A771" s="6"/>
      <c r="B771" s="7"/>
      <c r="C771" s="6"/>
      <c r="D771" s="7"/>
      <c r="E771" s="6"/>
      <c r="F771" s="7"/>
      <c r="G771" s="6"/>
      <c r="H771" s="7"/>
      <c r="I771" s="6"/>
      <c r="J771" s="7"/>
      <c r="K771" s="96" t="str">
        <f>HYPERLINK("#'Healthcare'!ACQ1","Q6.4.42_6_1")</f>
        <v>Q6.4.42_6_1</v>
      </c>
      <c r="L771" s="93" t="str">
        <f>HYPERLINK("#'Healthcare'!ACQ2","Primary EPO medical plan specialty coinsurance: Retail/pharmacy - in-network")</f>
        <v>Primary EPO medical plan specialty coinsurance: Retail/pharmacy - in-network</v>
      </c>
      <c r="M771" s="6"/>
      <c r="N771" s="7"/>
      <c r="O771" s="6"/>
      <c r="P771" s="7"/>
      <c r="Q771" s="6"/>
      <c r="R771" s="7"/>
      <c r="S771" s="6"/>
      <c r="T771" s="7"/>
      <c r="U771" s="6"/>
      <c r="V771" s="7"/>
      <c r="W771" s="6"/>
      <c r="X771" s="7"/>
    </row>
    <row r="772" spans="1:24" ht="25.5" x14ac:dyDescent="0.2">
      <c r="A772" s="6"/>
      <c r="B772" s="7"/>
      <c r="C772" s="6"/>
      <c r="D772" s="7"/>
      <c r="E772" s="6"/>
      <c r="F772" s="7"/>
      <c r="G772" s="6"/>
      <c r="H772" s="7"/>
      <c r="I772" s="6"/>
      <c r="J772" s="7"/>
      <c r="K772" s="96" t="str">
        <f>HYPERLINK("#'Healthcare'!ACR1","Q6.4.42_7_1")</f>
        <v>Q6.4.42_7_1</v>
      </c>
      <c r="L772" s="93" t="str">
        <f>HYPERLINK("#'Healthcare'!ACR2","Primary EPO medical plan Other coinsurance: Retail/pharmacy - in-network")</f>
        <v>Primary EPO medical plan Other coinsurance: Retail/pharmacy - in-network</v>
      </c>
      <c r="M772" s="6"/>
      <c r="N772" s="7"/>
      <c r="O772" s="6"/>
      <c r="P772" s="7"/>
      <c r="Q772" s="6"/>
      <c r="R772" s="7"/>
      <c r="S772" s="6"/>
      <c r="T772" s="7"/>
      <c r="U772" s="6"/>
      <c r="V772" s="7"/>
      <c r="W772" s="6"/>
      <c r="X772" s="7"/>
    </row>
    <row r="773" spans="1:24" ht="25.5" x14ac:dyDescent="0.2">
      <c r="A773" s="6"/>
      <c r="B773" s="7"/>
      <c r="C773" s="6"/>
      <c r="D773" s="7"/>
      <c r="E773" s="6"/>
      <c r="F773" s="7"/>
      <c r="G773" s="6"/>
      <c r="H773" s="7"/>
      <c r="I773" s="6"/>
      <c r="J773" s="7"/>
      <c r="K773" s="96" t="str">
        <f>HYPERLINK("#'Healthcare'!ACS1","Q6.4.43_1_1")</f>
        <v>Q6.4.43_1_1</v>
      </c>
      <c r="L773" s="93" t="str">
        <f>HYPERLINK("#'Healthcare'!ACS2","Primary EPO medical plan tier 1 coinsurance minimum: Retail/pharmacy - in-network")</f>
        <v>Primary EPO medical plan tier 1 coinsurance minimum: Retail/pharmacy - in-network</v>
      </c>
      <c r="M773" s="6"/>
      <c r="N773" s="7"/>
      <c r="O773" s="6"/>
      <c r="P773" s="7"/>
      <c r="Q773" s="6"/>
      <c r="R773" s="7"/>
      <c r="S773" s="6"/>
      <c r="T773" s="7"/>
      <c r="U773" s="6"/>
      <c r="V773" s="7"/>
      <c r="W773" s="6"/>
      <c r="X773" s="7"/>
    </row>
    <row r="774" spans="1:24" ht="25.5" x14ac:dyDescent="0.2">
      <c r="A774" s="6"/>
      <c r="B774" s="7"/>
      <c r="C774" s="6"/>
      <c r="D774" s="7"/>
      <c r="E774" s="6"/>
      <c r="F774" s="7"/>
      <c r="G774" s="6"/>
      <c r="H774" s="7"/>
      <c r="I774" s="6"/>
      <c r="J774" s="7"/>
      <c r="K774" s="96" t="str">
        <f>HYPERLINK("#'Healthcare'!ACT1","Q6.4.43_1_2")</f>
        <v>Q6.4.43_1_2</v>
      </c>
      <c r="L774" s="93" t="str">
        <f>HYPERLINK("#'Healthcare'!ACT2","Primary EPO medical plan tier 1 coinsurance maximum: Retail/pharmacy - in-network")</f>
        <v>Primary EPO medical plan tier 1 coinsurance maximum: Retail/pharmacy - in-network</v>
      </c>
      <c r="M774" s="6"/>
      <c r="N774" s="7"/>
      <c r="O774" s="6"/>
      <c r="P774" s="7"/>
      <c r="Q774" s="6"/>
      <c r="R774" s="7"/>
      <c r="S774" s="6"/>
      <c r="T774" s="7"/>
      <c r="U774" s="6"/>
      <c r="V774" s="7"/>
      <c r="W774" s="6"/>
      <c r="X774" s="7"/>
    </row>
    <row r="775" spans="1:24" ht="25.5" x14ac:dyDescent="0.2">
      <c r="A775" s="6"/>
      <c r="B775" s="7"/>
      <c r="C775" s="6"/>
      <c r="D775" s="7"/>
      <c r="E775" s="6"/>
      <c r="F775" s="7"/>
      <c r="G775" s="6"/>
      <c r="H775" s="7"/>
      <c r="I775" s="6"/>
      <c r="J775" s="7"/>
      <c r="K775" s="96" t="str">
        <f>HYPERLINK("#'Healthcare'!ACU1","Q6.4.43_2_1")</f>
        <v>Q6.4.43_2_1</v>
      </c>
      <c r="L775" s="93" t="str">
        <f>HYPERLINK("#'Healthcare'!ACU2","Primary EPO medical plan tier 2 coinsurance minimum: Retail/pharmacy - in-network")</f>
        <v>Primary EPO medical plan tier 2 coinsurance minimum: Retail/pharmacy - in-network</v>
      </c>
      <c r="M775" s="6"/>
      <c r="N775" s="7"/>
      <c r="O775" s="6"/>
      <c r="P775" s="7"/>
      <c r="Q775" s="6"/>
      <c r="R775" s="7"/>
      <c r="S775" s="6"/>
      <c r="T775" s="7"/>
      <c r="U775" s="6"/>
      <c r="V775" s="7"/>
      <c r="W775" s="6"/>
      <c r="X775" s="7"/>
    </row>
    <row r="776" spans="1:24" ht="25.5" x14ac:dyDescent="0.2">
      <c r="A776" s="6"/>
      <c r="B776" s="7"/>
      <c r="C776" s="6"/>
      <c r="D776" s="7"/>
      <c r="E776" s="6"/>
      <c r="F776" s="7"/>
      <c r="G776" s="6"/>
      <c r="H776" s="7"/>
      <c r="I776" s="6"/>
      <c r="J776" s="7"/>
      <c r="K776" s="96" t="str">
        <f>HYPERLINK("#'Healthcare'!ACV1","Q6.4.43_2_2")</f>
        <v>Q6.4.43_2_2</v>
      </c>
      <c r="L776" s="93" t="str">
        <f>HYPERLINK("#'Healthcare'!ACV2","Primary EPO medical plan tier 2 coinsurance maximum: Retail/pharmacy - in-network")</f>
        <v>Primary EPO medical plan tier 2 coinsurance maximum: Retail/pharmacy - in-network</v>
      </c>
      <c r="M776" s="6"/>
      <c r="N776" s="7"/>
      <c r="O776" s="6"/>
      <c r="P776" s="7"/>
      <c r="Q776" s="6"/>
      <c r="R776" s="7"/>
      <c r="S776" s="6"/>
      <c r="T776" s="7"/>
      <c r="U776" s="6"/>
      <c r="V776" s="7"/>
      <c r="W776" s="6"/>
      <c r="X776" s="7"/>
    </row>
    <row r="777" spans="1:24" ht="25.5" x14ac:dyDescent="0.2">
      <c r="A777" s="6"/>
      <c r="B777" s="7"/>
      <c r="C777" s="6"/>
      <c r="D777" s="7"/>
      <c r="E777" s="6"/>
      <c r="F777" s="7"/>
      <c r="G777" s="6"/>
      <c r="H777" s="7"/>
      <c r="I777" s="6"/>
      <c r="J777" s="7"/>
      <c r="K777" s="96" t="str">
        <f>HYPERLINK("#'Healthcare'!ACW1","Q6.4.43_3_1")</f>
        <v>Q6.4.43_3_1</v>
      </c>
      <c r="L777" s="93" t="str">
        <f>HYPERLINK("#'Healthcare'!ACW2","Primary EPO medical plan tier 3 coinsurance minimum: Retail/pharmacy - in-network")</f>
        <v>Primary EPO medical plan tier 3 coinsurance minimum: Retail/pharmacy - in-network</v>
      </c>
      <c r="M777" s="6"/>
      <c r="N777" s="7"/>
      <c r="O777" s="6"/>
      <c r="P777" s="7"/>
      <c r="Q777" s="6"/>
      <c r="R777" s="7"/>
      <c r="S777" s="6"/>
      <c r="T777" s="7"/>
      <c r="U777" s="6"/>
      <c r="V777" s="7"/>
      <c r="W777" s="6"/>
      <c r="X777" s="7"/>
    </row>
    <row r="778" spans="1:24" ht="25.5" x14ac:dyDescent="0.2">
      <c r="A778" s="6"/>
      <c r="B778" s="7"/>
      <c r="C778" s="6"/>
      <c r="D778" s="7"/>
      <c r="E778" s="6"/>
      <c r="F778" s="7"/>
      <c r="G778" s="6"/>
      <c r="H778" s="7"/>
      <c r="I778" s="6"/>
      <c r="J778" s="7"/>
      <c r="K778" s="96" t="str">
        <f>HYPERLINK("#'Healthcare'!ACX1","Q6.4.43_3_2")</f>
        <v>Q6.4.43_3_2</v>
      </c>
      <c r="L778" s="93" t="str">
        <f>HYPERLINK("#'Healthcare'!ACX2","Primary EPO medical plan tier 3 coinsurance maximum: Retail/pharmacy - in-network")</f>
        <v>Primary EPO medical plan tier 3 coinsurance maximum: Retail/pharmacy - in-network</v>
      </c>
      <c r="M778" s="6"/>
      <c r="N778" s="7"/>
      <c r="O778" s="6"/>
      <c r="P778" s="7"/>
      <c r="Q778" s="6"/>
      <c r="R778" s="7"/>
      <c r="S778" s="6"/>
      <c r="T778" s="7"/>
      <c r="U778" s="6"/>
      <c r="V778" s="7"/>
      <c r="W778" s="6"/>
      <c r="X778" s="7"/>
    </row>
    <row r="779" spans="1:24" ht="25.5" x14ac:dyDescent="0.2">
      <c r="A779" s="6"/>
      <c r="B779" s="7"/>
      <c r="C779" s="6"/>
      <c r="D779" s="7"/>
      <c r="E779" s="6"/>
      <c r="F779" s="7"/>
      <c r="G779" s="6"/>
      <c r="H779" s="7"/>
      <c r="I779" s="6"/>
      <c r="J779" s="7"/>
      <c r="K779" s="96" t="str">
        <f>HYPERLINK("#'Healthcare'!ACY1","Q6.4.43_4_1")</f>
        <v>Q6.4.43_4_1</v>
      </c>
      <c r="L779" s="93" t="str">
        <f>HYPERLINK("#'Healthcare'!ACY2","Primary EPO medical plan tier 4 coinsurance minimum: Retail/pharmacy - in-network")</f>
        <v>Primary EPO medical plan tier 4 coinsurance minimum: Retail/pharmacy - in-network</v>
      </c>
      <c r="M779" s="6"/>
      <c r="N779" s="7"/>
      <c r="O779" s="6"/>
      <c r="P779" s="7"/>
      <c r="Q779" s="6"/>
      <c r="R779" s="7"/>
      <c r="S779" s="6"/>
      <c r="T779" s="7"/>
      <c r="U779" s="6"/>
      <c r="V779" s="7"/>
      <c r="W779" s="6"/>
      <c r="X779" s="7"/>
    </row>
    <row r="780" spans="1:24" ht="25.5" x14ac:dyDescent="0.2">
      <c r="A780" s="6"/>
      <c r="B780" s="7"/>
      <c r="C780" s="6"/>
      <c r="D780" s="7"/>
      <c r="E780" s="6"/>
      <c r="F780" s="7"/>
      <c r="G780" s="6"/>
      <c r="H780" s="7"/>
      <c r="I780" s="6"/>
      <c r="J780" s="7"/>
      <c r="K780" s="96" t="str">
        <f>HYPERLINK("#'Healthcare'!ACZ1","Q6.4.43_4_2")</f>
        <v>Q6.4.43_4_2</v>
      </c>
      <c r="L780" s="93" t="str">
        <f>HYPERLINK("#'Healthcare'!ACZ2","Primary EPO medical plan tier 4 coinsurance maximum: Retail/pharmacy - in-network")</f>
        <v>Primary EPO medical plan tier 4 coinsurance maximum: Retail/pharmacy - in-network</v>
      </c>
      <c r="M780" s="6"/>
      <c r="N780" s="7"/>
      <c r="O780" s="6"/>
      <c r="P780" s="7"/>
      <c r="Q780" s="6"/>
      <c r="R780" s="7"/>
      <c r="S780" s="6"/>
      <c r="T780" s="7"/>
      <c r="U780" s="6"/>
      <c r="V780" s="7"/>
      <c r="W780" s="6"/>
      <c r="X780" s="7"/>
    </row>
    <row r="781" spans="1:24" ht="25.5" x14ac:dyDescent="0.2">
      <c r="A781" s="6"/>
      <c r="B781" s="7"/>
      <c r="C781" s="6"/>
      <c r="D781" s="7"/>
      <c r="E781" s="6"/>
      <c r="F781" s="7"/>
      <c r="G781" s="6"/>
      <c r="H781" s="7"/>
      <c r="I781" s="6"/>
      <c r="J781" s="7"/>
      <c r="K781" s="96" t="str">
        <f>HYPERLINK("#'Healthcare'!ADA1","Q6.4.43_5_1")</f>
        <v>Q6.4.43_5_1</v>
      </c>
      <c r="L781" s="93" t="str">
        <f>HYPERLINK("#'Healthcare'!ADA2","Primary EPO medical plan tier 5 coinsurance minimum: Retail/pharmacy - in-network")</f>
        <v>Primary EPO medical plan tier 5 coinsurance minimum: Retail/pharmacy - in-network</v>
      </c>
      <c r="M781" s="6"/>
      <c r="N781" s="7"/>
      <c r="O781" s="6"/>
      <c r="P781" s="7"/>
      <c r="Q781" s="6"/>
      <c r="R781" s="7"/>
      <c r="S781" s="6"/>
      <c r="T781" s="7"/>
      <c r="U781" s="6"/>
      <c r="V781" s="7"/>
      <c r="W781" s="6"/>
      <c r="X781" s="7"/>
    </row>
    <row r="782" spans="1:24" ht="25.5" x14ac:dyDescent="0.2">
      <c r="A782" s="6"/>
      <c r="B782" s="7"/>
      <c r="C782" s="6"/>
      <c r="D782" s="7"/>
      <c r="E782" s="6"/>
      <c r="F782" s="7"/>
      <c r="G782" s="6"/>
      <c r="H782" s="7"/>
      <c r="I782" s="6"/>
      <c r="J782" s="7"/>
      <c r="K782" s="96" t="str">
        <f>HYPERLINK("#'Healthcare'!ADB1","Q6.4.43_5_2")</f>
        <v>Q6.4.43_5_2</v>
      </c>
      <c r="L782" s="93" t="str">
        <f>HYPERLINK("#'Healthcare'!ADB2","Primary EPO medical plan tier 5 coinsurance maximum: Retail/pharmacy - in-network")</f>
        <v>Primary EPO medical plan tier 5 coinsurance maximum: Retail/pharmacy - in-network</v>
      </c>
      <c r="M782" s="6"/>
      <c r="N782" s="7"/>
      <c r="O782" s="6"/>
      <c r="P782" s="7"/>
      <c r="Q782" s="6"/>
      <c r="R782" s="7"/>
      <c r="S782" s="6"/>
      <c r="T782" s="7"/>
      <c r="U782" s="6"/>
      <c r="V782" s="7"/>
      <c r="W782" s="6"/>
      <c r="X782" s="7"/>
    </row>
    <row r="783" spans="1:24" ht="38.25" x14ac:dyDescent="0.2">
      <c r="A783" s="6"/>
      <c r="B783" s="7"/>
      <c r="C783" s="6"/>
      <c r="D783" s="7"/>
      <c r="E783" s="6"/>
      <c r="F783" s="7"/>
      <c r="G783" s="6"/>
      <c r="H783" s="7"/>
      <c r="I783" s="6"/>
      <c r="J783" s="7"/>
      <c r="K783" s="96" t="str">
        <f>HYPERLINK("#'Healthcare'!ADC1","Q6.4.43_6_1")</f>
        <v>Q6.4.43_6_1</v>
      </c>
      <c r="L783" s="93" t="str">
        <f>HYPERLINK("#'Healthcare'!ADC2","Primary EPO medical plan specialty coinsurance minimum: Retail/pharmacy - in-network")</f>
        <v>Primary EPO medical plan specialty coinsurance minimum: Retail/pharmacy - in-network</v>
      </c>
      <c r="M783" s="6"/>
      <c r="N783" s="7"/>
      <c r="O783" s="6"/>
      <c r="P783" s="7"/>
      <c r="Q783" s="6"/>
      <c r="R783" s="7"/>
      <c r="S783" s="6"/>
      <c r="T783" s="7"/>
      <c r="U783" s="6"/>
      <c r="V783" s="7"/>
      <c r="W783" s="6"/>
      <c r="X783" s="7"/>
    </row>
    <row r="784" spans="1:24" ht="38.25" x14ac:dyDescent="0.2">
      <c r="A784" s="6"/>
      <c r="B784" s="7"/>
      <c r="C784" s="6"/>
      <c r="D784" s="7"/>
      <c r="E784" s="6"/>
      <c r="F784" s="7"/>
      <c r="G784" s="6"/>
      <c r="H784" s="7"/>
      <c r="I784" s="6"/>
      <c r="J784" s="7"/>
      <c r="K784" s="96" t="str">
        <f>HYPERLINK("#'Healthcare'!ADD1","Q6.4.43_6_2")</f>
        <v>Q6.4.43_6_2</v>
      </c>
      <c r="L784" s="93" t="str">
        <f>HYPERLINK("#'Healthcare'!ADD2","Primary EPO medical plan specialty coinsurance maximum: Retail/pharmacy - in-network")</f>
        <v>Primary EPO medical plan specialty coinsurance maximum: Retail/pharmacy - in-network</v>
      </c>
      <c r="M784" s="6"/>
      <c r="N784" s="7"/>
      <c r="O784" s="6"/>
      <c r="P784" s="7"/>
      <c r="Q784" s="6"/>
      <c r="R784" s="7"/>
      <c r="S784" s="6"/>
      <c r="T784" s="7"/>
      <c r="U784" s="6"/>
      <c r="V784" s="7"/>
      <c r="W784" s="6"/>
      <c r="X784" s="7"/>
    </row>
    <row r="785" spans="1:24" ht="25.5" x14ac:dyDescent="0.2">
      <c r="A785" s="6"/>
      <c r="B785" s="7"/>
      <c r="C785" s="6"/>
      <c r="D785" s="7"/>
      <c r="E785" s="6"/>
      <c r="F785" s="7"/>
      <c r="G785" s="6"/>
      <c r="H785" s="7"/>
      <c r="I785" s="6"/>
      <c r="J785" s="7"/>
      <c r="K785" s="96" t="str">
        <f>HYPERLINK("#'Healthcare'!ADE1","Q6.4.43_7_1")</f>
        <v>Q6.4.43_7_1</v>
      </c>
      <c r="L785" s="93" t="str">
        <f>HYPERLINK("#'Healthcare'!ADE2","Primary EPO medical plan Other coinsurance minimum: Retail/pharmacy - in-network")</f>
        <v>Primary EPO medical plan Other coinsurance minimum: Retail/pharmacy - in-network</v>
      </c>
      <c r="M785" s="6"/>
      <c r="N785" s="7"/>
      <c r="O785" s="6"/>
      <c r="P785" s="7"/>
      <c r="Q785" s="6"/>
      <c r="R785" s="7"/>
      <c r="S785" s="6"/>
      <c r="T785" s="7"/>
      <c r="U785" s="6"/>
      <c r="V785" s="7"/>
      <c r="W785" s="6"/>
      <c r="X785" s="7"/>
    </row>
    <row r="786" spans="1:24" ht="25.5" x14ac:dyDescent="0.2">
      <c r="A786" s="6"/>
      <c r="B786" s="7"/>
      <c r="C786" s="6"/>
      <c r="D786" s="7"/>
      <c r="E786" s="6"/>
      <c r="F786" s="7"/>
      <c r="G786" s="6"/>
      <c r="H786" s="7"/>
      <c r="I786" s="6"/>
      <c r="J786" s="7"/>
      <c r="K786" s="96" t="str">
        <f>HYPERLINK("#'Healthcare'!ADF1","Q6.4.43_7_2")</f>
        <v>Q6.4.43_7_2</v>
      </c>
      <c r="L786" s="93" t="str">
        <f>HYPERLINK("#'Healthcare'!ADF2","Primary EPO medical plan Other coinsurance maximum: Retail/pharmacy - in-network")</f>
        <v>Primary EPO medical plan Other coinsurance maximum: Retail/pharmacy - in-network</v>
      </c>
      <c r="M786" s="6"/>
      <c r="N786" s="7"/>
      <c r="O786" s="6"/>
      <c r="P786" s="7"/>
      <c r="Q786" s="6"/>
      <c r="R786" s="7"/>
      <c r="S786" s="6"/>
      <c r="T786" s="7"/>
      <c r="U786" s="6"/>
      <c r="V786" s="7"/>
      <c r="W786" s="6"/>
      <c r="X786" s="7"/>
    </row>
    <row r="787" spans="1:24" ht="25.5" x14ac:dyDescent="0.2">
      <c r="A787" s="6"/>
      <c r="B787" s="7"/>
      <c r="C787" s="6"/>
      <c r="D787" s="7"/>
      <c r="E787" s="6"/>
      <c r="F787" s="7"/>
      <c r="G787" s="6"/>
      <c r="H787" s="7"/>
      <c r="I787" s="6"/>
      <c r="J787" s="7"/>
      <c r="K787" s="96" t="str">
        <f>HYPERLINK("#'Healthcare'!ADG1","Q6.4.44_1_1")</f>
        <v>Q6.4.44_1_1</v>
      </c>
      <c r="L787" s="93" t="str">
        <f>HYPERLINK("#'Healthcare'!ADG2","Primary EPO medical plan tier 1 coinsurance: Retail/pharmacy - out-of-network")</f>
        <v>Primary EPO medical plan tier 1 coinsurance: Retail/pharmacy - out-of-network</v>
      </c>
      <c r="M787" s="6"/>
      <c r="N787" s="7"/>
      <c r="O787" s="6"/>
      <c r="P787" s="7"/>
      <c r="Q787" s="6"/>
      <c r="R787" s="7"/>
      <c r="S787" s="6"/>
      <c r="T787" s="7"/>
      <c r="U787" s="6"/>
      <c r="V787" s="7"/>
      <c r="W787" s="6"/>
      <c r="X787" s="7"/>
    </row>
    <row r="788" spans="1:24" ht="25.5" x14ac:dyDescent="0.2">
      <c r="A788" s="6"/>
      <c r="B788" s="7"/>
      <c r="C788" s="6"/>
      <c r="D788" s="7"/>
      <c r="E788" s="6"/>
      <c r="F788" s="7"/>
      <c r="G788" s="6"/>
      <c r="H788" s="7"/>
      <c r="I788" s="6"/>
      <c r="J788" s="7"/>
      <c r="K788" s="96" t="str">
        <f>HYPERLINK("#'Healthcare'!ADH1","Q6.4.44_2_1")</f>
        <v>Q6.4.44_2_1</v>
      </c>
      <c r="L788" s="93" t="str">
        <f>HYPERLINK("#'Healthcare'!ADH2","Primary EPO medical plan tier 2 coinsurance: Retail/pharmacy - out-of-network")</f>
        <v>Primary EPO medical plan tier 2 coinsurance: Retail/pharmacy - out-of-network</v>
      </c>
      <c r="M788" s="6"/>
      <c r="N788" s="7"/>
      <c r="O788" s="6"/>
      <c r="P788" s="7"/>
      <c r="Q788" s="6"/>
      <c r="R788" s="7"/>
      <c r="S788" s="6"/>
      <c r="T788" s="7"/>
      <c r="U788" s="6"/>
      <c r="V788" s="7"/>
      <c r="W788" s="6"/>
      <c r="X788" s="7"/>
    </row>
    <row r="789" spans="1:24" ht="25.5" x14ac:dyDescent="0.2">
      <c r="A789" s="6"/>
      <c r="B789" s="7"/>
      <c r="C789" s="6"/>
      <c r="D789" s="7"/>
      <c r="E789" s="6"/>
      <c r="F789" s="7"/>
      <c r="G789" s="6"/>
      <c r="H789" s="7"/>
      <c r="I789" s="6"/>
      <c r="J789" s="7"/>
      <c r="K789" s="96" t="str">
        <f>HYPERLINK("#'Healthcare'!ADI1","Q6.4.44_3_1")</f>
        <v>Q6.4.44_3_1</v>
      </c>
      <c r="L789" s="93" t="str">
        <f>HYPERLINK("#'Healthcare'!ADI2","Primary EPO medical plan tier 3 coinsurance: Retail/pharmacy - out-of-network")</f>
        <v>Primary EPO medical plan tier 3 coinsurance: Retail/pharmacy - out-of-network</v>
      </c>
      <c r="M789" s="6"/>
      <c r="N789" s="7"/>
      <c r="O789" s="6"/>
      <c r="P789" s="7"/>
      <c r="Q789" s="6"/>
      <c r="R789" s="7"/>
      <c r="S789" s="6"/>
      <c r="T789" s="7"/>
      <c r="U789" s="6"/>
      <c r="V789" s="7"/>
      <c r="W789" s="6"/>
      <c r="X789" s="7"/>
    </row>
    <row r="790" spans="1:24" ht="25.5" x14ac:dyDescent="0.2">
      <c r="A790" s="6"/>
      <c r="B790" s="7"/>
      <c r="C790" s="6"/>
      <c r="D790" s="7"/>
      <c r="E790" s="6"/>
      <c r="F790" s="7"/>
      <c r="G790" s="6"/>
      <c r="H790" s="7"/>
      <c r="I790" s="6"/>
      <c r="J790" s="7"/>
      <c r="K790" s="96" t="str">
        <f>HYPERLINK("#'Healthcare'!ADJ1","Q6.4.44_4_1")</f>
        <v>Q6.4.44_4_1</v>
      </c>
      <c r="L790" s="93" t="str">
        <f>HYPERLINK("#'Healthcare'!ADJ2","Primary EPO medical plan tier 4 coinsurance: Retail/pharmacy - out-of-network")</f>
        <v>Primary EPO medical plan tier 4 coinsurance: Retail/pharmacy - out-of-network</v>
      </c>
      <c r="M790" s="6"/>
      <c r="N790" s="7"/>
      <c r="O790" s="6"/>
      <c r="P790" s="7"/>
      <c r="Q790" s="6"/>
      <c r="R790" s="7"/>
      <c r="S790" s="6"/>
      <c r="T790" s="7"/>
      <c r="U790" s="6"/>
      <c r="V790" s="7"/>
      <c r="W790" s="6"/>
      <c r="X790" s="7"/>
    </row>
    <row r="791" spans="1:24" ht="25.5" x14ac:dyDescent="0.2">
      <c r="A791" s="6"/>
      <c r="B791" s="7"/>
      <c r="C791" s="6"/>
      <c r="D791" s="7"/>
      <c r="E791" s="6"/>
      <c r="F791" s="7"/>
      <c r="G791" s="6"/>
      <c r="H791" s="7"/>
      <c r="I791" s="6"/>
      <c r="J791" s="7"/>
      <c r="K791" s="96" t="str">
        <f>HYPERLINK("#'Healthcare'!ADK1","Q6.4.44_5_1")</f>
        <v>Q6.4.44_5_1</v>
      </c>
      <c r="L791" s="93" t="str">
        <f>HYPERLINK("#'Healthcare'!ADK2","Primary EPO medical plan tier 5 coinsurance: Retail/pharmacy - out-of-network")</f>
        <v>Primary EPO medical plan tier 5 coinsurance: Retail/pharmacy - out-of-network</v>
      </c>
      <c r="M791" s="6"/>
      <c r="N791" s="7"/>
      <c r="O791" s="6"/>
      <c r="P791" s="7"/>
      <c r="Q791" s="6"/>
      <c r="R791" s="7"/>
      <c r="S791" s="6"/>
      <c r="T791" s="7"/>
      <c r="U791" s="6"/>
      <c r="V791" s="7"/>
      <c r="W791" s="6"/>
      <c r="X791" s="7"/>
    </row>
    <row r="792" spans="1:24" ht="25.5" x14ac:dyDescent="0.2">
      <c r="A792" s="6"/>
      <c r="B792" s="7"/>
      <c r="C792" s="6"/>
      <c r="D792" s="7"/>
      <c r="E792" s="6"/>
      <c r="F792" s="7"/>
      <c r="G792" s="6"/>
      <c r="H792" s="7"/>
      <c r="I792" s="6"/>
      <c r="J792" s="7"/>
      <c r="K792" s="96" t="str">
        <f>HYPERLINK("#'Healthcare'!ADL1","Q6.4.44_6_1")</f>
        <v>Q6.4.44_6_1</v>
      </c>
      <c r="L792" s="93" t="str">
        <f>HYPERLINK("#'Healthcare'!ADL2","Primary EPO medical plan specialty coinsurance: Retail/pharmacy - out-of-network")</f>
        <v>Primary EPO medical plan specialty coinsurance: Retail/pharmacy - out-of-network</v>
      </c>
      <c r="M792" s="6"/>
      <c r="N792" s="7"/>
      <c r="O792" s="6"/>
      <c r="P792" s="7"/>
      <c r="Q792" s="6"/>
      <c r="R792" s="7"/>
      <c r="S792" s="6"/>
      <c r="T792" s="7"/>
      <c r="U792" s="6"/>
      <c r="V792" s="7"/>
      <c r="W792" s="6"/>
      <c r="X792" s="7"/>
    </row>
    <row r="793" spans="1:24" ht="25.5" x14ac:dyDescent="0.2">
      <c r="A793" s="6"/>
      <c r="B793" s="7"/>
      <c r="C793" s="6"/>
      <c r="D793" s="7"/>
      <c r="E793" s="6"/>
      <c r="F793" s="7"/>
      <c r="G793" s="6"/>
      <c r="H793" s="7"/>
      <c r="I793" s="6"/>
      <c r="J793" s="7"/>
      <c r="K793" s="96" t="str">
        <f>HYPERLINK("#'Healthcare'!ADM1","Q6.4.44_7_1")</f>
        <v>Q6.4.44_7_1</v>
      </c>
      <c r="L793" s="93" t="str">
        <f>HYPERLINK("#'Healthcare'!ADM2","Primary EPO medical plan Other coinsurance: Retail/pharmacy - out-of-network")</f>
        <v>Primary EPO medical plan Other coinsurance: Retail/pharmacy - out-of-network</v>
      </c>
      <c r="M793" s="6"/>
      <c r="N793" s="7"/>
      <c r="O793" s="6"/>
      <c r="P793" s="7"/>
      <c r="Q793" s="6"/>
      <c r="R793" s="7"/>
      <c r="S793" s="6"/>
      <c r="T793" s="7"/>
      <c r="U793" s="6"/>
      <c r="V793" s="7"/>
      <c r="W793" s="6"/>
      <c r="X793" s="7"/>
    </row>
    <row r="794" spans="1:24" ht="25.5" x14ac:dyDescent="0.2">
      <c r="A794" s="6"/>
      <c r="B794" s="7"/>
      <c r="C794" s="6"/>
      <c r="D794" s="7"/>
      <c r="E794" s="6"/>
      <c r="F794" s="7"/>
      <c r="G794" s="6"/>
      <c r="H794" s="7"/>
      <c r="I794" s="6"/>
      <c r="J794" s="7"/>
      <c r="K794" s="96" t="str">
        <f>HYPERLINK("#'Healthcare'!ADN1","Q6.4.45_1_1")</f>
        <v>Q6.4.45_1_1</v>
      </c>
      <c r="L794" s="93" t="str">
        <f>HYPERLINK("#'Healthcare'!ADN2","Primary EPO medical plan tier 1 coinsurance minimum: Retail/pharmacy - out-of-network")</f>
        <v>Primary EPO medical plan tier 1 coinsurance minimum: Retail/pharmacy - out-of-network</v>
      </c>
      <c r="M794" s="6"/>
      <c r="N794" s="7"/>
      <c r="O794" s="6"/>
      <c r="P794" s="7"/>
      <c r="Q794" s="6"/>
      <c r="R794" s="7"/>
      <c r="S794" s="6"/>
      <c r="T794" s="7"/>
      <c r="U794" s="6"/>
      <c r="V794" s="7"/>
      <c r="W794" s="6"/>
      <c r="X794" s="7"/>
    </row>
    <row r="795" spans="1:24" ht="25.5" x14ac:dyDescent="0.2">
      <c r="A795" s="6"/>
      <c r="B795" s="7"/>
      <c r="C795" s="6"/>
      <c r="D795" s="7"/>
      <c r="E795" s="6"/>
      <c r="F795" s="7"/>
      <c r="G795" s="6"/>
      <c r="H795" s="7"/>
      <c r="I795" s="6"/>
      <c r="J795" s="7"/>
      <c r="K795" s="96" t="str">
        <f>HYPERLINK("#'Healthcare'!ADO1","Q6.4.45_1_2")</f>
        <v>Q6.4.45_1_2</v>
      </c>
      <c r="L795" s="93" t="str">
        <f>HYPERLINK("#'Healthcare'!ADO2","Primary EPO medical plan tier 1 coinsurance maximum: Retail/pharmacy - out-of-network")</f>
        <v>Primary EPO medical plan tier 1 coinsurance maximum: Retail/pharmacy - out-of-network</v>
      </c>
      <c r="M795" s="6"/>
      <c r="N795" s="7"/>
      <c r="O795" s="6"/>
      <c r="P795" s="7"/>
      <c r="Q795" s="6"/>
      <c r="R795" s="7"/>
      <c r="S795" s="6"/>
      <c r="T795" s="7"/>
      <c r="U795" s="6"/>
      <c r="V795" s="7"/>
      <c r="W795" s="6"/>
      <c r="X795" s="7"/>
    </row>
    <row r="796" spans="1:24" ht="25.5" x14ac:dyDescent="0.2">
      <c r="A796" s="6"/>
      <c r="B796" s="7"/>
      <c r="C796" s="6"/>
      <c r="D796" s="7"/>
      <c r="E796" s="6"/>
      <c r="F796" s="7"/>
      <c r="G796" s="6"/>
      <c r="H796" s="7"/>
      <c r="I796" s="6"/>
      <c r="J796" s="7"/>
      <c r="K796" s="96" t="str">
        <f>HYPERLINK("#'Healthcare'!ADP1","Q6.4.45_2_1")</f>
        <v>Q6.4.45_2_1</v>
      </c>
      <c r="L796" s="93" t="str">
        <f>HYPERLINK("#'Healthcare'!ADP2","Primary EPO medical plan tier 2 coinsurance minimum: Retail/pharmacy - out-of-network")</f>
        <v>Primary EPO medical plan tier 2 coinsurance minimum: Retail/pharmacy - out-of-network</v>
      </c>
      <c r="M796" s="6"/>
      <c r="N796" s="7"/>
      <c r="O796" s="6"/>
      <c r="P796" s="7"/>
      <c r="Q796" s="6"/>
      <c r="R796" s="7"/>
      <c r="S796" s="6"/>
      <c r="T796" s="7"/>
      <c r="U796" s="6"/>
      <c r="V796" s="7"/>
      <c r="W796" s="6"/>
      <c r="X796" s="7"/>
    </row>
    <row r="797" spans="1:24" ht="25.5" x14ac:dyDescent="0.2">
      <c r="A797" s="6"/>
      <c r="B797" s="7"/>
      <c r="C797" s="6"/>
      <c r="D797" s="7"/>
      <c r="E797" s="6"/>
      <c r="F797" s="7"/>
      <c r="G797" s="6"/>
      <c r="H797" s="7"/>
      <c r="I797" s="6"/>
      <c r="J797" s="7"/>
      <c r="K797" s="96" t="str">
        <f>HYPERLINK("#'Healthcare'!ADQ1","Q6.4.45_2_2")</f>
        <v>Q6.4.45_2_2</v>
      </c>
      <c r="L797" s="93" t="str">
        <f>HYPERLINK("#'Healthcare'!ADQ2","Primary EPO medical plan tier 2 coinsurance maximum: Retail/pharmacy - out-of-network")</f>
        <v>Primary EPO medical plan tier 2 coinsurance maximum: Retail/pharmacy - out-of-network</v>
      </c>
      <c r="M797" s="6"/>
      <c r="N797" s="7"/>
      <c r="O797" s="6"/>
      <c r="P797" s="7"/>
      <c r="Q797" s="6"/>
      <c r="R797" s="7"/>
      <c r="S797" s="6"/>
      <c r="T797" s="7"/>
      <c r="U797" s="6"/>
      <c r="V797" s="7"/>
      <c r="W797" s="6"/>
      <c r="X797" s="7"/>
    </row>
    <row r="798" spans="1:24" ht="25.5" x14ac:dyDescent="0.2">
      <c r="A798" s="6"/>
      <c r="B798" s="7"/>
      <c r="C798" s="6"/>
      <c r="D798" s="7"/>
      <c r="E798" s="6"/>
      <c r="F798" s="7"/>
      <c r="G798" s="6"/>
      <c r="H798" s="7"/>
      <c r="I798" s="6"/>
      <c r="J798" s="7"/>
      <c r="K798" s="96" t="str">
        <f>HYPERLINK("#'Healthcare'!ADR1","Q6.4.45_3_1")</f>
        <v>Q6.4.45_3_1</v>
      </c>
      <c r="L798" s="93" t="str">
        <f>HYPERLINK("#'Healthcare'!ADR2","Primary EPO medical plan tier 3 coinsurance minimum: Retail/pharmacy - out-of-network")</f>
        <v>Primary EPO medical plan tier 3 coinsurance minimum: Retail/pharmacy - out-of-network</v>
      </c>
      <c r="M798" s="6"/>
      <c r="N798" s="7"/>
      <c r="O798" s="6"/>
      <c r="P798" s="7"/>
      <c r="Q798" s="6"/>
      <c r="R798" s="7"/>
      <c r="S798" s="6"/>
      <c r="T798" s="7"/>
      <c r="U798" s="6"/>
      <c r="V798" s="7"/>
      <c r="W798" s="6"/>
      <c r="X798" s="7"/>
    </row>
    <row r="799" spans="1:24" ht="25.5" x14ac:dyDescent="0.2">
      <c r="A799" s="6"/>
      <c r="B799" s="7"/>
      <c r="C799" s="6"/>
      <c r="D799" s="7"/>
      <c r="E799" s="6"/>
      <c r="F799" s="7"/>
      <c r="G799" s="6"/>
      <c r="H799" s="7"/>
      <c r="I799" s="6"/>
      <c r="J799" s="7"/>
      <c r="K799" s="96" t="str">
        <f>HYPERLINK("#'Healthcare'!ADS1","Q6.4.45_3_2")</f>
        <v>Q6.4.45_3_2</v>
      </c>
      <c r="L799" s="93" t="str">
        <f>HYPERLINK("#'Healthcare'!ADS2","Primary EPO medical plan tier 3 coinsurance maximum: Retail/pharmacy - out-of-network")</f>
        <v>Primary EPO medical plan tier 3 coinsurance maximum: Retail/pharmacy - out-of-network</v>
      </c>
      <c r="M799" s="6"/>
      <c r="N799" s="7"/>
      <c r="O799" s="6"/>
      <c r="P799" s="7"/>
      <c r="Q799" s="6"/>
      <c r="R799" s="7"/>
      <c r="S799" s="6"/>
      <c r="T799" s="7"/>
      <c r="U799" s="6"/>
      <c r="V799" s="7"/>
      <c r="W799" s="6"/>
      <c r="X799" s="7"/>
    </row>
    <row r="800" spans="1:24" ht="25.5" x14ac:dyDescent="0.2">
      <c r="A800" s="6"/>
      <c r="B800" s="7"/>
      <c r="C800" s="6"/>
      <c r="D800" s="7"/>
      <c r="E800" s="6"/>
      <c r="F800" s="7"/>
      <c r="G800" s="6"/>
      <c r="H800" s="7"/>
      <c r="I800" s="6"/>
      <c r="J800" s="7"/>
      <c r="K800" s="96" t="str">
        <f>HYPERLINK("#'Healthcare'!ADT1","Q6.4.45_4_1")</f>
        <v>Q6.4.45_4_1</v>
      </c>
      <c r="L800" s="93" t="str">
        <f>HYPERLINK("#'Healthcare'!ADT2","Primary EPO medical plan tier 4 coinsurance minimum: Retail/pharmacy - out-of-network")</f>
        <v>Primary EPO medical plan tier 4 coinsurance minimum: Retail/pharmacy - out-of-network</v>
      </c>
      <c r="M800" s="6"/>
      <c r="N800" s="7"/>
      <c r="O800" s="6"/>
      <c r="P800" s="7"/>
      <c r="Q800" s="6"/>
      <c r="R800" s="7"/>
      <c r="S800" s="6"/>
      <c r="T800" s="7"/>
      <c r="U800" s="6"/>
      <c r="V800" s="7"/>
      <c r="W800" s="6"/>
      <c r="X800" s="7"/>
    </row>
    <row r="801" spans="1:24" ht="25.5" x14ac:dyDescent="0.2">
      <c r="A801" s="6"/>
      <c r="B801" s="7"/>
      <c r="C801" s="6"/>
      <c r="D801" s="7"/>
      <c r="E801" s="6"/>
      <c r="F801" s="7"/>
      <c r="G801" s="6"/>
      <c r="H801" s="7"/>
      <c r="I801" s="6"/>
      <c r="J801" s="7"/>
      <c r="K801" s="96" t="str">
        <f>HYPERLINK("#'Healthcare'!ADU1","Q6.4.45_4_2")</f>
        <v>Q6.4.45_4_2</v>
      </c>
      <c r="L801" s="93" t="str">
        <f>HYPERLINK("#'Healthcare'!ADU2","Primary EPO medical plan tier 4 coinsurance maximum: Retail/pharmacy - out-of-network")</f>
        <v>Primary EPO medical plan tier 4 coinsurance maximum: Retail/pharmacy - out-of-network</v>
      </c>
      <c r="M801" s="6"/>
      <c r="N801" s="7"/>
      <c r="O801" s="6"/>
      <c r="P801" s="7"/>
      <c r="Q801" s="6"/>
      <c r="R801" s="7"/>
      <c r="S801" s="6"/>
      <c r="T801" s="7"/>
      <c r="U801" s="6"/>
      <c r="V801" s="7"/>
      <c r="W801" s="6"/>
      <c r="X801" s="7"/>
    </row>
    <row r="802" spans="1:24" ht="25.5" x14ac:dyDescent="0.2">
      <c r="A802" s="6"/>
      <c r="B802" s="7"/>
      <c r="C802" s="6"/>
      <c r="D802" s="7"/>
      <c r="E802" s="6"/>
      <c r="F802" s="7"/>
      <c r="G802" s="6"/>
      <c r="H802" s="7"/>
      <c r="I802" s="6"/>
      <c r="J802" s="7"/>
      <c r="K802" s="96" t="str">
        <f>HYPERLINK("#'Healthcare'!ADV1","Q6.4.45_5_1")</f>
        <v>Q6.4.45_5_1</v>
      </c>
      <c r="L802" s="93" t="str">
        <f>HYPERLINK("#'Healthcare'!ADV2","Primary EPO medical plan tier 5 coinsurance minimum: Retail/pharmacy - out-of-network")</f>
        <v>Primary EPO medical plan tier 5 coinsurance minimum: Retail/pharmacy - out-of-network</v>
      </c>
      <c r="M802" s="6"/>
      <c r="N802" s="7"/>
      <c r="O802" s="6"/>
      <c r="P802" s="7"/>
      <c r="Q802" s="6"/>
      <c r="R802" s="7"/>
      <c r="S802" s="6"/>
      <c r="T802" s="7"/>
      <c r="U802" s="6"/>
      <c r="V802" s="7"/>
      <c r="W802" s="6"/>
      <c r="X802" s="7"/>
    </row>
    <row r="803" spans="1:24" ht="25.5" x14ac:dyDescent="0.2">
      <c r="A803" s="6"/>
      <c r="B803" s="7"/>
      <c r="C803" s="6"/>
      <c r="D803" s="7"/>
      <c r="E803" s="6"/>
      <c r="F803" s="7"/>
      <c r="G803" s="6"/>
      <c r="H803" s="7"/>
      <c r="I803" s="6"/>
      <c r="J803" s="7"/>
      <c r="K803" s="96" t="str">
        <f>HYPERLINK("#'Healthcare'!ADW1","Q6.4.45_5_2")</f>
        <v>Q6.4.45_5_2</v>
      </c>
      <c r="L803" s="93" t="str">
        <f>HYPERLINK("#'Healthcare'!ADW2","Primary EPO medical plan tier 5 coinsurance maximum: Retail/pharmacy - out-of-network")</f>
        <v>Primary EPO medical plan tier 5 coinsurance maximum: Retail/pharmacy - out-of-network</v>
      </c>
      <c r="M803" s="6"/>
      <c r="N803" s="7"/>
      <c r="O803" s="6"/>
      <c r="P803" s="7"/>
      <c r="Q803" s="6"/>
      <c r="R803" s="7"/>
      <c r="S803" s="6"/>
      <c r="T803" s="7"/>
      <c r="U803" s="6"/>
      <c r="V803" s="7"/>
      <c r="W803" s="6"/>
      <c r="X803" s="7"/>
    </row>
    <row r="804" spans="1:24" ht="38.25" x14ac:dyDescent="0.2">
      <c r="A804" s="6"/>
      <c r="B804" s="7"/>
      <c r="C804" s="6"/>
      <c r="D804" s="7"/>
      <c r="E804" s="6"/>
      <c r="F804" s="7"/>
      <c r="G804" s="6"/>
      <c r="H804" s="7"/>
      <c r="I804" s="6"/>
      <c r="J804" s="7"/>
      <c r="K804" s="96" t="str">
        <f>HYPERLINK("#'Healthcare'!ADX1","Q6.4.45_6_1")</f>
        <v>Q6.4.45_6_1</v>
      </c>
      <c r="L804" s="93" t="str">
        <f>HYPERLINK("#'Healthcare'!ADX2","Primary EPO medical plan specialty coinsurance minimum: Retail/pharmacy - out-of-network")</f>
        <v>Primary EPO medical plan specialty coinsurance minimum: Retail/pharmacy - out-of-network</v>
      </c>
      <c r="M804" s="6"/>
      <c r="N804" s="7"/>
      <c r="O804" s="6"/>
      <c r="P804" s="7"/>
      <c r="Q804" s="6"/>
      <c r="R804" s="7"/>
      <c r="S804" s="6"/>
      <c r="T804" s="7"/>
      <c r="U804" s="6"/>
      <c r="V804" s="7"/>
      <c r="W804" s="6"/>
      <c r="X804" s="7"/>
    </row>
    <row r="805" spans="1:24" ht="38.25" x14ac:dyDescent="0.2">
      <c r="A805" s="6"/>
      <c r="B805" s="7"/>
      <c r="C805" s="6"/>
      <c r="D805" s="7"/>
      <c r="E805" s="6"/>
      <c r="F805" s="7"/>
      <c r="G805" s="6"/>
      <c r="H805" s="7"/>
      <c r="I805" s="6"/>
      <c r="J805" s="7"/>
      <c r="K805" s="96" t="str">
        <f>HYPERLINK("#'Healthcare'!ADY1","Q6.4.45_6_2")</f>
        <v>Q6.4.45_6_2</v>
      </c>
      <c r="L805" s="93" t="str">
        <f>HYPERLINK("#'Healthcare'!ADY2","Primary EPO medical plan specialty coinsurance maximum: Retail/pharmacy - out-of-network")</f>
        <v>Primary EPO medical plan specialty coinsurance maximum: Retail/pharmacy - out-of-network</v>
      </c>
      <c r="M805" s="6"/>
      <c r="N805" s="7"/>
      <c r="O805" s="6"/>
      <c r="P805" s="7"/>
      <c r="Q805" s="6"/>
      <c r="R805" s="7"/>
      <c r="S805" s="6"/>
      <c r="T805" s="7"/>
      <c r="U805" s="6"/>
      <c r="V805" s="7"/>
      <c r="W805" s="6"/>
      <c r="X805" s="7"/>
    </row>
    <row r="806" spans="1:24" ht="25.5" x14ac:dyDescent="0.2">
      <c r="A806" s="6"/>
      <c r="B806" s="7"/>
      <c r="C806" s="6"/>
      <c r="D806" s="7"/>
      <c r="E806" s="6"/>
      <c r="F806" s="7"/>
      <c r="G806" s="6"/>
      <c r="H806" s="7"/>
      <c r="I806" s="6"/>
      <c r="J806" s="7"/>
      <c r="K806" s="96" t="str">
        <f>HYPERLINK("#'Healthcare'!ADZ1","Q6.4.45_7_1")</f>
        <v>Q6.4.45_7_1</v>
      </c>
      <c r="L806" s="93" t="str">
        <f>HYPERLINK("#'Healthcare'!ADZ2","Primary EPO medical plan Other coinsurance minimum: Retail/pharmacy - out-of-network")</f>
        <v>Primary EPO medical plan Other coinsurance minimum: Retail/pharmacy - out-of-network</v>
      </c>
      <c r="M806" s="6"/>
      <c r="N806" s="7"/>
      <c r="O806" s="6"/>
      <c r="P806" s="7"/>
      <c r="Q806" s="6"/>
      <c r="R806" s="7"/>
      <c r="S806" s="6"/>
      <c r="T806" s="7"/>
      <c r="U806" s="6"/>
      <c r="V806" s="7"/>
      <c r="W806" s="6"/>
      <c r="X806" s="7"/>
    </row>
    <row r="807" spans="1:24" ht="25.5" x14ac:dyDescent="0.2">
      <c r="A807" s="6"/>
      <c r="B807" s="7"/>
      <c r="C807" s="6"/>
      <c r="D807" s="7"/>
      <c r="E807" s="6"/>
      <c r="F807" s="7"/>
      <c r="G807" s="6"/>
      <c r="H807" s="7"/>
      <c r="I807" s="6"/>
      <c r="J807" s="7"/>
      <c r="K807" s="96" t="str">
        <f>HYPERLINK("#'Healthcare'!AEA1","Q6.4.45_7_2")</f>
        <v>Q6.4.45_7_2</v>
      </c>
      <c r="L807" s="93" t="str">
        <f>HYPERLINK("#'Healthcare'!AEA2","Primary EPO medical plan Other coinsurance maximum: Retail/pharmacy - out-of-network")</f>
        <v>Primary EPO medical plan Other coinsurance maximum: Retail/pharmacy - out-of-network</v>
      </c>
      <c r="M807" s="6"/>
      <c r="N807" s="7"/>
      <c r="O807" s="6"/>
      <c r="P807" s="7"/>
      <c r="Q807" s="6"/>
      <c r="R807" s="7"/>
      <c r="S807" s="6"/>
      <c r="T807" s="7"/>
      <c r="U807" s="6"/>
      <c r="V807" s="7"/>
      <c r="W807" s="6"/>
      <c r="X807" s="7"/>
    </row>
    <row r="808" spans="1:24" ht="25.5" x14ac:dyDescent="0.2">
      <c r="A808" s="6"/>
      <c r="B808" s="7"/>
      <c r="C808" s="6"/>
      <c r="D808" s="7"/>
      <c r="E808" s="6"/>
      <c r="F808" s="7"/>
      <c r="G808" s="6"/>
      <c r="H808" s="7"/>
      <c r="I808" s="6"/>
      <c r="J808" s="7"/>
      <c r="K808" s="96" t="str">
        <f>HYPERLINK("#'Healthcare'!AEB1","Q6.4.46_1_1")</f>
        <v>Q6.4.46_1_1</v>
      </c>
      <c r="L808" s="93" t="str">
        <f>HYPERLINK("#'Healthcare'!AEB2","Primary EPO medical plan tier 1 coinsurance: Mail order - in-network")</f>
        <v>Primary EPO medical plan tier 1 coinsurance: Mail order - in-network</v>
      </c>
      <c r="M808" s="6"/>
      <c r="N808" s="7"/>
      <c r="O808" s="6"/>
      <c r="P808" s="7"/>
      <c r="Q808" s="6"/>
      <c r="R808" s="7"/>
      <c r="S808" s="6"/>
      <c r="T808" s="7"/>
      <c r="U808" s="6"/>
      <c r="V808" s="7"/>
      <c r="W808" s="6"/>
      <c r="X808" s="7"/>
    </row>
    <row r="809" spans="1:24" ht="25.5" x14ac:dyDescent="0.2">
      <c r="A809" s="6"/>
      <c r="B809" s="7"/>
      <c r="C809" s="6"/>
      <c r="D809" s="7"/>
      <c r="E809" s="6"/>
      <c r="F809" s="7"/>
      <c r="G809" s="6"/>
      <c r="H809" s="7"/>
      <c r="I809" s="6"/>
      <c r="J809" s="7"/>
      <c r="K809" s="96" t="str">
        <f>HYPERLINK("#'Healthcare'!AEC1","Q6.4.46_2_1")</f>
        <v>Q6.4.46_2_1</v>
      </c>
      <c r="L809" s="93" t="str">
        <f>HYPERLINK("#'Healthcare'!AEC2","Primary EPO medical plan tier 2 coinsurance: Mail order - in-network")</f>
        <v>Primary EPO medical plan tier 2 coinsurance: Mail order - in-network</v>
      </c>
      <c r="M809" s="6"/>
      <c r="N809" s="7"/>
      <c r="O809" s="6"/>
      <c r="P809" s="7"/>
      <c r="Q809" s="6"/>
      <c r="R809" s="7"/>
      <c r="S809" s="6"/>
      <c r="T809" s="7"/>
      <c r="U809" s="6"/>
      <c r="V809" s="7"/>
      <c r="W809" s="6"/>
      <c r="X809" s="7"/>
    </row>
    <row r="810" spans="1:24" ht="25.5" x14ac:dyDescent="0.2">
      <c r="A810" s="6"/>
      <c r="B810" s="7"/>
      <c r="C810" s="6"/>
      <c r="D810" s="7"/>
      <c r="E810" s="6"/>
      <c r="F810" s="7"/>
      <c r="G810" s="6"/>
      <c r="H810" s="7"/>
      <c r="I810" s="6"/>
      <c r="J810" s="7"/>
      <c r="K810" s="96" t="str">
        <f>HYPERLINK("#'Healthcare'!AED1","Q6.4.46_3_1")</f>
        <v>Q6.4.46_3_1</v>
      </c>
      <c r="L810" s="93" t="str">
        <f>HYPERLINK("#'Healthcare'!AED2","Primary EPO medical plan tier 3 coinsurance: Mail order - in-network")</f>
        <v>Primary EPO medical plan tier 3 coinsurance: Mail order - in-network</v>
      </c>
      <c r="M810" s="6"/>
      <c r="N810" s="7"/>
      <c r="O810" s="6"/>
      <c r="P810" s="7"/>
      <c r="Q810" s="6"/>
      <c r="R810" s="7"/>
      <c r="S810" s="6"/>
      <c r="T810" s="7"/>
      <c r="U810" s="6"/>
      <c r="V810" s="7"/>
      <c r="W810" s="6"/>
      <c r="X810" s="7"/>
    </row>
    <row r="811" spans="1:24" ht="25.5" x14ac:dyDescent="0.2">
      <c r="A811" s="6"/>
      <c r="B811" s="7"/>
      <c r="C811" s="6"/>
      <c r="D811" s="7"/>
      <c r="E811" s="6"/>
      <c r="F811" s="7"/>
      <c r="G811" s="6"/>
      <c r="H811" s="7"/>
      <c r="I811" s="6"/>
      <c r="J811" s="7"/>
      <c r="K811" s="96" t="str">
        <f>HYPERLINK("#'Healthcare'!AEE1","Q6.4.46_4_1")</f>
        <v>Q6.4.46_4_1</v>
      </c>
      <c r="L811" s="93" t="str">
        <f>HYPERLINK("#'Healthcare'!AEE2","Primary EPO medical plan tier 4 coinsurance: Mail order - in-network")</f>
        <v>Primary EPO medical plan tier 4 coinsurance: Mail order - in-network</v>
      </c>
      <c r="M811" s="6"/>
      <c r="N811" s="7"/>
      <c r="O811" s="6"/>
      <c r="P811" s="7"/>
      <c r="Q811" s="6"/>
      <c r="R811" s="7"/>
      <c r="S811" s="6"/>
      <c r="T811" s="7"/>
      <c r="U811" s="6"/>
      <c r="V811" s="7"/>
      <c r="W811" s="6"/>
      <c r="X811" s="7"/>
    </row>
    <row r="812" spans="1:24" ht="25.5" x14ac:dyDescent="0.2">
      <c r="A812" s="6"/>
      <c r="B812" s="7"/>
      <c r="C812" s="6"/>
      <c r="D812" s="7"/>
      <c r="E812" s="6"/>
      <c r="F812" s="7"/>
      <c r="G812" s="6"/>
      <c r="H812" s="7"/>
      <c r="I812" s="6"/>
      <c r="J812" s="7"/>
      <c r="K812" s="96" t="str">
        <f>HYPERLINK("#'Healthcare'!AEF1","Q6.4.46_5_1")</f>
        <v>Q6.4.46_5_1</v>
      </c>
      <c r="L812" s="93" t="str">
        <f>HYPERLINK("#'Healthcare'!AEF2","Primary EPO medical plan tier 5 coinsurance: Mail order - in-network")</f>
        <v>Primary EPO medical plan tier 5 coinsurance: Mail order - in-network</v>
      </c>
      <c r="M812" s="6"/>
      <c r="N812" s="7"/>
      <c r="O812" s="6"/>
      <c r="P812" s="7"/>
      <c r="Q812" s="6"/>
      <c r="R812" s="7"/>
      <c r="S812" s="6"/>
      <c r="T812" s="7"/>
      <c r="U812" s="6"/>
      <c r="V812" s="7"/>
      <c r="W812" s="6"/>
      <c r="X812" s="7"/>
    </row>
    <row r="813" spans="1:24" ht="25.5" x14ac:dyDescent="0.2">
      <c r="A813" s="6"/>
      <c r="B813" s="7"/>
      <c r="C813" s="6"/>
      <c r="D813" s="7"/>
      <c r="E813" s="6"/>
      <c r="F813" s="7"/>
      <c r="G813" s="6"/>
      <c r="H813" s="7"/>
      <c r="I813" s="6"/>
      <c r="J813" s="7"/>
      <c r="K813" s="96" t="str">
        <f>HYPERLINK("#'Healthcare'!AEG1","Q6.4.46_6_1")</f>
        <v>Q6.4.46_6_1</v>
      </c>
      <c r="L813" s="93" t="str">
        <f>HYPERLINK("#'Healthcare'!AEG2","Primary EPO medical plan specialty coinsurance: Mail order - in-network")</f>
        <v>Primary EPO medical plan specialty coinsurance: Mail order - in-network</v>
      </c>
      <c r="M813" s="6"/>
      <c r="N813" s="7"/>
      <c r="O813" s="6"/>
      <c r="P813" s="7"/>
      <c r="Q813" s="6"/>
      <c r="R813" s="7"/>
      <c r="S813" s="6"/>
      <c r="T813" s="7"/>
      <c r="U813" s="6"/>
      <c r="V813" s="7"/>
      <c r="W813" s="6"/>
      <c r="X813" s="7"/>
    </row>
    <row r="814" spans="1:24" ht="25.5" x14ac:dyDescent="0.2">
      <c r="A814" s="6"/>
      <c r="B814" s="7"/>
      <c r="C814" s="6"/>
      <c r="D814" s="7"/>
      <c r="E814" s="6"/>
      <c r="F814" s="7"/>
      <c r="G814" s="6"/>
      <c r="H814" s="7"/>
      <c r="I814" s="6"/>
      <c r="J814" s="7"/>
      <c r="K814" s="96" t="str">
        <f>HYPERLINK("#'Healthcare'!AEH1","Q6.4.46_7_1")</f>
        <v>Q6.4.46_7_1</v>
      </c>
      <c r="L814" s="93" t="str">
        <f>HYPERLINK("#'Healthcare'!AEH2","Primary EPO medical plan Other coinsurance: Mail order - in-network")</f>
        <v>Primary EPO medical plan Other coinsurance: Mail order - in-network</v>
      </c>
      <c r="M814" s="6"/>
      <c r="N814" s="7"/>
      <c r="O814" s="6"/>
      <c r="P814" s="7"/>
      <c r="Q814" s="6"/>
      <c r="R814" s="7"/>
      <c r="S814" s="6"/>
      <c r="T814" s="7"/>
      <c r="U814" s="6"/>
      <c r="V814" s="7"/>
      <c r="W814" s="6"/>
      <c r="X814" s="7"/>
    </row>
    <row r="815" spans="1:24" ht="25.5" x14ac:dyDescent="0.2">
      <c r="A815" s="6"/>
      <c r="B815" s="7"/>
      <c r="C815" s="6"/>
      <c r="D815" s="7"/>
      <c r="E815" s="6"/>
      <c r="F815" s="7"/>
      <c r="G815" s="6"/>
      <c r="H815" s="7"/>
      <c r="I815" s="6"/>
      <c r="J815" s="7"/>
      <c r="K815" s="96" t="str">
        <f>HYPERLINK("#'Healthcare'!AEI1","Q6.4.47_1_1")</f>
        <v>Q6.4.47_1_1</v>
      </c>
      <c r="L815" s="93" t="str">
        <f>HYPERLINK("#'Healthcare'!AEI2","Primary EPO medical plan tier 1 coinsurance minimum: Mail order - in-network")</f>
        <v>Primary EPO medical plan tier 1 coinsurance minimum: Mail order - in-network</v>
      </c>
      <c r="M815" s="6"/>
      <c r="N815" s="7"/>
      <c r="O815" s="6"/>
      <c r="P815" s="7"/>
      <c r="Q815" s="6"/>
      <c r="R815" s="7"/>
      <c r="S815" s="6"/>
      <c r="T815" s="7"/>
      <c r="U815" s="6"/>
      <c r="V815" s="7"/>
      <c r="W815" s="6"/>
      <c r="X815" s="7"/>
    </row>
    <row r="816" spans="1:24" ht="25.5" x14ac:dyDescent="0.2">
      <c r="A816" s="6"/>
      <c r="B816" s="7"/>
      <c r="C816" s="6"/>
      <c r="D816" s="7"/>
      <c r="E816" s="6"/>
      <c r="F816" s="7"/>
      <c r="G816" s="6"/>
      <c r="H816" s="7"/>
      <c r="I816" s="6"/>
      <c r="J816" s="7"/>
      <c r="K816" s="96" t="str">
        <f>HYPERLINK("#'Healthcare'!AEJ1","Q6.4.47_1_2")</f>
        <v>Q6.4.47_1_2</v>
      </c>
      <c r="L816" s="93" t="str">
        <f>HYPERLINK("#'Healthcare'!AEJ2","Primary EPO medical plan tier 1 coinsurance maximum: Mail order - in-network")</f>
        <v>Primary EPO medical plan tier 1 coinsurance maximum: Mail order - in-network</v>
      </c>
      <c r="M816" s="6"/>
      <c r="N816" s="7"/>
      <c r="O816" s="6"/>
      <c r="P816" s="7"/>
      <c r="Q816" s="6"/>
      <c r="R816" s="7"/>
      <c r="S816" s="6"/>
      <c r="T816" s="7"/>
      <c r="U816" s="6"/>
      <c r="V816" s="7"/>
      <c r="W816" s="6"/>
      <c r="X816" s="7"/>
    </row>
    <row r="817" spans="1:24" ht="25.5" x14ac:dyDescent="0.2">
      <c r="A817" s="6"/>
      <c r="B817" s="7"/>
      <c r="C817" s="6"/>
      <c r="D817" s="7"/>
      <c r="E817" s="6"/>
      <c r="F817" s="7"/>
      <c r="G817" s="6"/>
      <c r="H817" s="7"/>
      <c r="I817" s="6"/>
      <c r="J817" s="7"/>
      <c r="K817" s="96" t="str">
        <f>HYPERLINK("#'Healthcare'!AEK1","Q6.4.47_2_1")</f>
        <v>Q6.4.47_2_1</v>
      </c>
      <c r="L817" s="93" t="str">
        <f>HYPERLINK("#'Healthcare'!AEK2","Primary EPO medical plan tier 2 coinsurance minimum: Mail order - in-network")</f>
        <v>Primary EPO medical plan tier 2 coinsurance minimum: Mail order - in-network</v>
      </c>
      <c r="M817" s="6"/>
      <c r="N817" s="7"/>
      <c r="O817" s="6"/>
      <c r="P817" s="7"/>
      <c r="Q817" s="6"/>
      <c r="R817" s="7"/>
      <c r="S817" s="6"/>
      <c r="T817" s="7"/>
      <c r="U817" s="6"/>
      <c r="V817" s="7"/>
      <c r="W817" s="6"/>
      <c r="X817" s="7"/>
    </row>
    <row r="818" spans="1:24" ht="25.5" x14ac:dyDescent="0.2">
      <c r="A818" s="6"/>
      <c r="B818" s="7"/>
      <c r="C818" s="6"/>
      <c r="D818" s="7"/>
      <c r="E818" s="6"/>
      <c r="F818" s="7"/>
      <c r="G818" s="6"/>
      <c r="H818" s="7"/>
      <c r="I818" s="6"/>
      <c r="J818" s="7"/>
      <c r="K818" s="96" t="str">
        <f>HYPERLINK("#'Healthcare'!AEL1","Q6.4.47_2_2")</f>
        <v>Q6.4.47_2_2</v>
      </c>
      <c r="L818" s="93" t="str">
        <f>HYPERLINK("#'Healthcare'!AEL2","Primary EPO medical plan tier 2 coinsurance maximum: Mail order - in-network")</f>
        <v>Primary EPO medical plan tier 2 coinsurance maximum: Mail order - in-network</v>
      </c>
      <c r="M818" s="6"/>
      <c r="N818" s="7"/>
      <c r="O818" s="6"/>
      <c r="P818" s="7"/>
      <c r="Q818" s="6"/>
      <c r="R818" s="7"/>
      <c r="S818" s="6"/>
      <c r="T818" s="7"/>
      <c r="U818" s="6"/>
      <c r="V818" s="7"/>
      <c r="W818" s="6"/>
      <c r="X818" s="7"/>
    </row>
    <row r="819" spans="1:24" ht="25.5" x14ac:dyDescent="0.2">
      <c r="A819" s="6"/>
      <c r="B819" s="7"/>
      <c r="C819" s="6"/>
      <c r="D819" s="7"/>
      <c r="E819" s="6"/>
      <c r="F819" s="7"/>
      <c r="G819" s="6"/>
      <c r="H819" s="7"/>
      <c r="I819" s="6"/>
      <c r="J819" s="7"/>
      <c r="K819" s="96" t="str">
        <f>HYPERLINK("#'Healthcare'!AEM1","Q6.4.47_3_1")</f>
        <v>Q6.4.47_3_1</v>
      </c>
      <c r="L819" s="93" t="str">
        <f>HYPERLINK("#'Healthcare'!AEM2","Primary EPO medical plan tier 3 coinsurance minimum: Mail order - in-network")</f>
        <v>Primary EPO medical plan tier 3 coinsurance minimum: Mail order - in-network</v>
      </c>
      <c r="M819" s="6"/>
      <c r="N819" s="7"/>
      <c r="O819" s="6"/>
      <c r="P819" s="7"/>
      <c r="Q819" s="6"/>
      <c r="R819" s="7"/>
      <c r="S819" s="6"/>
      <c r="T819" s="7"/>
      <c r="U819" s="6"/>
      <c r="V819" s="7"/>
      <c r="W819" s="6"/>
      <c r="X819" s="7"/>
    </row>
    <row r="820" spans="1:24" ht="25.5" x14ac:dyDescent="0.2">
      <c r="A820" s="6"/>
      <c r="B820" s="7"/>
      <c r="C820" s="6"/>
      <c r="D820" s="7"/>
      <c r="E820" s="6"/>
      <c r="F820" s="7"/>
      <c r="G820" s="6"/>
      <c r="H820" s="7"/>
      <c r="I820" s="6"/>
      <c r="J820" s="7"/>
      <c r="K820" s="96" t="str">
        <f>HYPERLINK("#'Healthcare'!AEN1","Q6.4.47_3_2")</f>
        <v>Q6.4.47_3_2</v>
      </c>
      <c r="L820" s="93" t="str">
        <f>HYPERLINK("#'Healthcare'!AEN2","Primary EPO medical plan tier 3 coinsurance maximum: Mail order - in-network")</f>
        <v>Primary EPO medical plan tier 3 coinsurance maximum: Mail order - in-network</v>
      </c>
      <c r="M820" s="6"/>
      <c r="N820" s="7"/>
      <c r="O820" s="6"/>
      <c r="P820" s="7"/>
      <c r="Q820" s="6"/>
      <c r="R820" s="7"/>
      <c r="S820" s="6"/>
      <c r="T820" s="7"/>
      <c r="U820" s="6"/>
      <c r="V820" s="7"/>
      <c r="W820" s="6"/>
      <c r="X820" s="7"/>
    </row>
    <row r="821" spans="1:24" ht="25.5" x14ac:dyDescent="0.2">
      <c r="A821" s="6"/>
      <c r="B821" s="7"/>
      <c r="C821" s="6"/>
      <c r="D821" s="7"/>
      <c r="E821" s="6"/>
      <c r="F821" s="7"/>
      <c r="G821" s="6"/>
      <c r="H821" s="7"/>
      <c r="I821" s="6"/>
      <c r="J821" s="7"/>
      <c r="K821" s="96" t="str">
        <f>HYPERLINK("#'Healthcare'!AEO1","Q6.4.47_4_1")</f>
        <v>Q6.4.47_4_1</v>
      </c>
      <c r="L821" s="93" t="str">
        <f>HYPERLINK("#'Healthcare'!AEO2","Primary EPO medical plan tier 4 coinsurance minimum: Mail order - in-network")</f>
        <v>Primary EPO medical plan tier 4 coinsurance minimum: Mail order - in-network</v>
      </c>
      <c r="M821" s="6"/>
      <c r="N821" s="7"/>
      <c r="O821" s="6"/>
      <c r="P821" s="7"/>
      <c r="Q821" s="6"/>
      <c r="R821" s="7"/>
      <c r="S821" s="6"/>
      <c r="T821" s="7"/>
      <c r="U821" s="6"/>
      <c r="V821" s="7"/>
      <c r="W821" s="6"/>
      <c r="X821" s="7"/>
    </row>
    <row r="822" spans="1:24" ht="25.5" x14ac:dyDescent="0.2">
      <c r="A822" s="6"/>
      <c r="B822" s="7"/>
      <c r="C822" s="6"/>
      <c r="D822" s="7"/>
      <c r="E822" s="6"/>
      <c r="F822" s="7"/>
      <c r="G822" s="6"/>
      <c r="H822" s="7"/>
      <c r="I822" s="6"/>
      <c r="J822" s="7"/>
      <c r="K822" s="96" t="str">
        <f>HYPERLINK("#'Healthcare'!AEP1","Q6.4.47_4_2")</f>
        <v>Q6.4.47_4_2</v>
      </c>
      <c r="L822" s="93" t="str">
        <f>HYPERLINK("#'Healthcare'!AEP2","Primary EPO medical plan tier 4 coinsurance maximum: Mail order - in-network")</f>
        <v>Primary EPO medical plan tier 4 coinsurance maximum: Mail order - in-network</v>
      </c>
      <c r="M822" s="6"/>
      <c r="N822" s="7"/>
      <c r="O822" s="6"/>
      <c r="P822" s="7"/>
      <c r="Q822" s="6"/>
      <c r="R822" s="7"/>
      <c r="S822" s="6"/>
      <c r="T822" s="7"/>
      <c r="U822" s="6"/>
      <c r="V822" s="7"/>
      <c r="W822" s="6"/>
      <c r="X822" s="7"/>
    </row>
    <row r="823" spans="1:24" ht="25.5" x14ac:dyDescent="0.2">
      <c r="A823" s="6"/>
      <c r="B823" s="7"/>
      <c r="C823" s="6"/>
      <c r="D823" s="7"/>
      <c r="E823" s="6"/>
      <c r="F823" s="7"/>
      <c r="G823" s="6"/>
      <c r="H823" s="7"/>
      <c r="I823" s="6"/>
      <c r="J823" s="7"/>
      <c r="K823" s="96" t="str">
        <f>HYPERLINK("#'Healthcare'!AEQ1","Q6.4.47_5_1")</f>
        <v>Q6.4.47_5_1</v>
      </c>
      <c r="L823" s="93" t="str">
        <f>HYPERLINK("#'Healthcare'!AEQ2","Primary EPO medical plan tier 5 coinsurance minimum: Mail order - in-network")</f>
        <v>Primary EPO medical plan tier 5 coinsurance minimum: Mail order - in-network</v>
      </c>
      <c r="M823" s="6"/>
      <c r="N823" s="7"/>
      <c r="O823" s="6"/>
      <c r="P823" s="7"/>
      <c r="Q823" s="6"/>
      <c r="R823" s="7"/>
      <c r="S823" s="6"/>
      <c r="T823" s="7"/>
      <c r="U823" s="6"/>
      <c r="V823" s="7"/>
      <c r="W823" s="6"/>
      <c r="X823" s="7"/>
    </row>
    <row r="824" spans="1:24" ht="25.5" x14ac:dyDescent="0.2">
      <c r="A824" s="6"/>
      <c r="B824" s="7"/>
      <c r="C824" s="6"/>
      <c r="D824" s="7"/>
      <c r="E824" s="6"/>
      <c r="F824" s="7"/>
      <c r="G824" s="6"/>
      <c r="H824" s="7"/>
      <c r="I824" s="6"/>
      <c r="J824" s="7"/>
      <c r="K824" s="96" t="str">
        <f>HYPERLINK("#'Healthcare'!AER1","Q6.4.47_5_2")</f>
        <v>Q6.4.47_5_2</v>
      </c>
      <c r="L824" s="93" t="str">
        <f>HYPERLINK("#'Healthcare'!AER2","Primary EPO medical plan tier 5 coinsurance maximum: Mail order - in-network")</f>
        <v>Primary EPO medical plan tier 5 coinsurance maximum: Mail order - in-network</v>
      </c>
      <c r="M824" s="6"/>
      <c r="N824" s="7"/>
      <c r="O824" s="6"/>
      <c r="P824" s="7"/>
      <c r="Q824" s="6"/>
      <c r="R824" s="7"/>
      <c r="S824" s="6"/>
      <c r="T824" s="7"/>
      <c r="U824" s="6"/>
      <c r="V824" s="7"/>
      <c r="W824" s="6"/>
      <c r="X824" s="7"/>
    </row>
    <row r="825" spans="1:24" ht="25.5" x14ac:dyDescent="0.2">
      <c r="A825" s="6"/>
      <c r="B825" s="7"/>
      <c r="C825" s="6"/>
      <c r="D825" s="7"/>
      <c r="E825" s="6"/>
      <c r="F825" s="7"/>
      <c r="G825" s="6"/>
      <c r="H825" s="7"/>
      <c r="I825" s="6"/>
      <c r="J825" s="7"/>
      <c r="K825" s="96" t="str">
        <f>HYPERLINK("#'Healthcare'!AES1","Q6.4.47_6_1")</f>
        <v>Q6.4.47_6_1</v>
      </c>
      <c r="L825" s="93" t="str">
        <f>HYPERLINK("#'Healthcare'!AES2","Primary EPO medical plan specialty coinsurance minimum: Mail order - in-network")</f>
        <v>Primary EPO medical plan specialty coinsurance minimum: Mail order - in-network</v>
      </c>
      <c r="M825" s="6"/>
      <c r="N825" s="7"/>
      <c r="O825" s="6"/>
      <c r="P825" s="7"/>
      <c r="Q825" s="6"/>
      <c r="R825" s="7"/>
      <c r="S825" s="6"/>
      <c r="T825" s="7"/>
      <c r="U825" s="6"/>
      <c r="V825" s="7"/>
      <c r="W825" s="6"/>
      <c r="X825" s="7"/>
    </row>
    <row r="826" spans="1:24" ht="25.5" x14ac:dyDescent="0.2">
      <c r="A826" s="6"/>
      <c r="B826" s="7"/>
      <c r="C826" s="6"/>
      <c r="D826" s="7"/>
      <c r="E826" s="6"/>
      <c r="F826" s="7"/>
      <c r="G826" s="6"/>
      <c r="H826" s="7"/>
      <c r="I826" s="6"/>
      <c r="J826" s="7"/>
      <c r="K826" s="96" t="str">
        <f>HYPERLINK("#'Healthcare'!AET1","Q6.4.47_6_2")</f>
        <v>Q6.4.47_6_2</v>
      </c>
      <c r="L826" s="93" t="str">
        <f>HYPERLINK("#'Healthcare'!AET2","Primary EPO medical plan specialty coinsurance maximum: Mail order - in-network")</f>
        <v>Primary EPO medical plan specialty coinsurance maximum: Mail order - in-network</v>
      </c>
      <c r="M826" s="6"/>
      <c r="N826" s="7"/>
      <c r="O826" s="6"/>
      <c r="P826" s="7"/>
      <c r="Q826" s="6"/>
      <c r="R826" s="7"/>
      <c r="S826" s="6"/>
      <c r="T826" s="7"/>
      <c r="U826" s="6"/>
      <c r="V826" s="7"/>
      <c r="W826" s="6"/>
      <c r="X826" s="7"/>
    </row>
    <row r="827" spans="1:24" ht="25.5" x14ac:dyDescent="0.2">
      <c r="A827" s="6"/>
      <c r="B827" s="7"/>
      <c r="C827" s="6"/>
      <c r="D827" s="7"/>
      <c r="E827" s="6"/>
      <c r="F827" s="7"/>
      <c r="G827" s="6"/>
      <c r="H827" s="7"/>
      <c r="I827" s="6"/>
      <c r="J827" s="7"/>
      <c r="K827" s="96" t="str">
        <f>HYPERLINK("#'Healthcare'!AEU1","Q6.4.47_7_1")</f>
        <v>Q6.4.47_7_1</v>
      </c>
      <c r="L827" s="93" t="str">
        <f>HYPERLINK("#'Healthcare'!AEU2","Primary EPO medical plan Other coinsurance minimum: Mail order - in-network")</f>
        <v>Primary EPO medical plan Other coinsurance minimum: Mail order - in-network</v>
      </c>
      <c r="M827" s="6"/>
      <c r="N827" s="7"/>
      <c r="O827" s="6"/>
      <c r="P827" s="7"/>
      <c r="Q827" s="6"/>
      <c r="R827" s="7"/>
      <c r="S827" s="6"/>
      <c r="T827" s="7"/>
      <c r="U827" s="6"/>
      <c r="V827" s="7"/>
      <c r="W827" s="6"/>
      <c r="X827" s="7"/>
    </row>
    <row r="828" spans="1:24" ht="25.5" x14ac:dyDescent="0.2">
      <c r="A828" s="6"/>
      <c r="B828" s="7"/>
      <c r="C828" s="6"/>
      <c r="D828" s="7"/>
      <c r="E828" s="6"/>
      <c r="F828" s="7"/>
      <c r="G828" s="6"/>
      <c r="H828" s="7"/>
      <c r="I828" s="6"/>
      <c r="J828" s="7"/>
      <c r="K828" s="96" t="str">
        <f>HYPERLINK("#'Healthcare'!AEV1","Q6.4.47_7_2")</f>
        <v>Q6.4.47_7_2</v>
      </c>
      <c r="L828" s="93" t="str">
        <f>HYPERLINK("#'Healthcare'!AEV2","Primary EPO medical plan Other coinsurance maximum: Mail order - in-network")</f>
        <v>Primary EPO medical plan Other coinsurance maximum: Mail order - in-network</v>
      </c>
      <c r="M828" s="6"/>
      <c r="N828" s="7"/>
      <c r="O828" s="6"/>
      <c r="P828" s="7"/>
      <c r="Q828" s="6"/>
      <c r="R828" s="7"/>
      <c r="S828" s="6"/>
      <c r="T828" s="7"/>
      <c r="U828" s="6"/>
      <c r="V828" s="7"/>
      <c r="W828" s="6"/>
      <c r="X828" s="7"/>
    </row>
    <row r="829" spans="1:24" ht="25.5" x14ac:dyDescent="0.2">
      <c r="A829" s="6"/>
      <c r="B829" s="7"/>
      <c r="C829" s="6"/>
      <c r="D829" s="7"/>
      <c r="E829" s="6"/>
      <c r="F829" s="7"/>
      <c r="G829" s="6"/>
      <c r="H829" s="7"/>
      <c r="I829" s="6"/>
      <c r="J829" s="7"/>
      <c r="K829" s="96" t="str">
        <f>HYPERLINK("#'Healthcare'!AEW1","Q6.4.48_1_1")</f>
        <v>Q6.4.48_1_1</v>
      </c>
      <c r="L829" s="93" t="str">
        <f>HYPERLINK("#'Healthcare'!AEW2","Primary EPO medical plan tier 1 coinsurance: Mail order - out-of-network")</f>
        <v>Primary EPO medical plan tier 1 coinsurance: Mail order - out-of-network</v>
      </c>
      <c r="M829" s="6"/>
      <c r="N829" s="7"/>
      <c r="O829" s="6"/>
      <c r="P829" s="7"/>
      <c r="Q829" s="6"/>
      <c r="R829" s="7"/>
      <c r="S829" s="6"/>
      <c r="T829" s="7"/>
      <c r="U829" s="6"/>
      <c r="V829" s="7"/>
      <c r="W829" s="6"/>
      <c r="X829" s="7"/>
    </row>
    <row r="830" spans="1:24" ht="25.5" x14ac:dyDescent="0.2">
      <c r="A830" s="6"/>
      <c r="B830" s="7"/>
      <c r="C830" s="6"/>
      <c r="D830" s="7"/>
      <c r="E830" s="6"/>
      <c r="F830" s="7"/>
      <c r="G830" s="6"/>
      <c r="H830" s="7"/>
      <c r="I830" s="6"/>
      <c r="J830" s="7"/>
      <c r="K830" s="96" t="str">
        <f>HYPERLINK("#'Healthcare'!AEX1","Q6.4.48_2_1")</f>
        <v>Q6.4.48_2_1</v>
      </c>
      <c r="L830" s="93" t="str">
        <f>HYPERLINK("#'Healthcare'!AEX2","Primary EPO medical plan tier 2 coinsurance: Mail order - out-of-network")</f>
        <v>Primary EPO medical plan tier 2 coinsurance: Mail order - out-of-network</v>
      </c>
      <c r="M830" s="6"/>
      <c r="N830" s="7"/>
      <c r="O830" s="6"/>
      <c r="P830" s="7"/>
      <c r="Q830" s="6"/>
      <c r="R830" s="7"/>
      <c r="S830" s="6"/>
      <c r="T830" s="7"/>
      <c r="U830" s="6"/>
      <c r="V830" s="7"/>
      <c r="W830" s="6"/>
      <c r="X830" s="7"/>
    </row>
    <row r="831" spans="1:24" ht="25.5" x14ac:dyDescent="0.2">
      <c r="A831" s="6"/>
      <c r="B831" s="7"/>
      <c r="C831" s="6"/>
      <c r="D831" s="7"/>
      <c r="E831" s="6"/>
      <c r="F831" s="7"/>
      <c r="G831" s="6"/>
      <c r="H831" s="7"/>
      <c r="I831" s="6"/>
      <c r="J831" s="7"/>
      <c r="K831" s="96" t="str">
        <f>HYPERLINK("#'Healthcare'!AEY1","Q6.4.48_3_1")</f>
        <v>Q6.4.48_3_1</v>
      </c>
      <c r="L831" s="93" t="str">
        <f>HYPERLINK("#'Healthcare'!AEY2","Primary EPO medical plan tier 3 coinsurance: Mail order - out-of-network")</f>
        <v>Primary EPO medical plan tier 3 coinsurance: Mail order - out-of-network</v>
      </c>
      <c r="M831" s="6"/>
      <c r="N831" s="7"/>
      <c r="O831" s="6"/>
      <c r="P831" s="7"/>
      <c r="Q831" s="6"/>
      <c r="R831" s="7"/>
      <c r="S831" s="6"/>
      <c r="T831" s="7"/>
      <c r="U831" s="6"/>
      <c r="V831" s="7"/>
      <c r="W831" s="6"/>
      <c r="X831" s="7"/>
    </row>
    <row r="832" spans="1:24" ht="25.5" x14ac:dyDescent="0.2">
      <c r="A832" s="6"/>
      <c r="B832" s="7"/>
      <c r="C832" s="6"/>
      <c r="D832" s="7"/>
      <c r="E832" s="6"/>
      <c r="F832" s="7"/>
      <c r="G832" s="6"/>
      <c r="H832" s="7"/>
      <c r="I832" s="6"/>
      <c r="J832" s="7"/>
      <c r="K832" s="96" t="str">
        <f>HYPERLINK("#'Healthcare'!AEZ1","Q6.4.48_4_1")</f>
        <v>Q6.4.48_4_1</v>
      </c>
      <c r="L832" s="93" t="str">
        <f>HYPERLINK("#'Healthcare'!AEZ2","Primary EPO medical plan tier 4 coinsurance: Mail order - out-of-network")</f>
        <v>Primary EPO medical plan tier 4 coinsurance: Mail order - out-of-network</v>
      </c>
      <c r="M832" s="6"/>
      <c r="N832" s="7"/>
      <c r="O832" s="6"/>
      <c r="P832" s="7"/>
      <c r="Q832" s="6"/>
      <c r="R832" s="7"/>
      <c r="S832" s="6"/>
      <c r="T832" s="7"/>
      <c r="U832" s="6"/>
      <c r="V832" s="7"/>
      <c r="W832" s="6"/>
      <c r="X832" s="7"/>
    </row>
    <row r="833" spans="1:24" ht="25.5" x14ac:dyDescent="0.2">
      <c r="A833" s="6"/>
      <c r="B833" s="7"/>
      <c r="C833" s="6"/>
      <c r="D833" s="7"/>
      <c r="E833" s="6"/>
      <c r="F833" s="7"/>
      <c r="G833" s="6"/>
      <c r="H833" s="7"/>
      <c r="I833" s="6"/>
      <c r="J833" s="7"/>
      <c r="K833" s="96" t="str">
        <f>HYPERLINK("#'Healthcare'!AFA1","Q6.4.48_5_1")</f>
        <v>Q6.4.48_5_1</v>
      </c>
      <c r="L833" s="93" t="str">
        <f>HYPERLINK("#'Healthcare'!AFA2","Primary EPO medical plan tier 5 coinsurance: Mail order - out-of-network")</f>
        <v>Primary EPO medical plan tier 5 coinsurance: Mail order - out-of-network</v>
      </c>
      <c r="M833" s="6"/>
      <c r="N833" s="7"/>
      <c r="O833" s="6"/>
      <c r="P833" s="7"/>
      <c r="Q833" s="6"/>
      <c r="R833" s="7"/>
      <c r="S833" s="6"/>
      <c r="T833" s="7"/>
      <c r="U833" s="6"/>
      <c r="V833" s="7"/>
      <c r="W833" s="6"/>
      <c r="X833" s="7"/>
    </row>
    <row r="834" spans="1:24" ht="25.5" x14ac:dyDescent="0.2">
      <c r="A834" s="6"/>
      <c r="B834" s="7"/>
      <c r="C834" s="6"/>
      <c r="D834" s="7"/>
      <c r="E834" s="6"/>
      <c r="F834" s="7"/>
      <c r="G834" s="6"/>
      <c r="H834" s="7"/>
      <c r="I834" s="6"/>
      <c r="J834" s="7"/>
      <c r="K834" s="96" t="str">
        <f>HYPERLINK("#'Healthcare'!AFB1","Q6.4.48_6_1")</f>
        <v>Q6.4.48_6_1</v>
      </c>
      <c r="L834" s="93" t="str">
        <f>HYPERLINK("#'Healthcare'!AFB2","Primary EPO medical plan specialty coinsurance: Mail order - out-of-network")</f>
        <v>Primary EPO medical plan specialty coinsurance: Mail order - out-of-network</v>
      </c>
      <c r="M834" s="6"/>
      <c r="N834" s="7"/>
      <c r="O834" s="6"/>
      <c r="P834" s="7"/>
      <c r="Q834" s="6"/>
      <c r="R834" s="7"/>
      <c r="S834" s="6"/>
      <c r="T834" s="7"/>
      <c r="U834" s="6"/>
      <c r="V834" s="7"/>
      <c r="W834" s="6"/>
      <c r="X834" s="7"/>
    </row>
    <row r="835" spans="1:24" ht="25.5" x14ac:dyDescent="0.2">
      <c r="A835" s="6"/>
      <c r="B835" s="7"/>
      <c r="C835" s="6"/>
      <c r="D835" s="7"/>
      <c r="E835" s="6"/>
      <c r="F835" s="7"/>
      <c r="G835" s="6"/>
      <c r="H835" s="7"/>
      <c r="I835" s="6"/>
      <c r="J835" s="7"/>
      <c r="K835" s="96" t="str">
        <f>HYPERLINK("#'Healthcare'!AFC1","Q6.4.48_7_1")</f>
        <v>Q6.4.48_7_1</v>
      </c>
      <c r="L835" s="93" t="str">
        <f>HYPERLINK("#'Healthcare'!AFC2","Primary EPO medical plan Other coinsurance: Mail order - out-of-network")</f>
        <v>Primary EPO medical plan Other coinsurance: Mail order - out-of-network</v>
      </c>
      <c r="M835" s="6"/>
      <c r="N835" s="7"/>
      <c r="O835" s="6"/>
      <c r="P835" s="7"/>
      <c r="Q835" s="6"/>
      <c r="R835" s="7"/>
      <c r="S835" s="6"/>
      <c r="T835" s="7"/>
      <c r="U835" s="6"/>
      <c r="V835" s="7"/>
      <c r="W835" s="6"/>
      <c r="X835" s="7"/>
    </row>
    <row r="836" spans="1:24" ht="25.5" x14ac:dyDescent="0.2">
      <c r="A836" s="6"/>
      <c r="B836" s="7"/>
      <c r="C836" s="6"/>
      <c r="D836" s="7"/>
      <c r="E836" s="6"/>
      <c r="F836" s="7"/>
      <c r="G836" s="6"/>
      <c r="H836" s="7"/>
      <c r="I836" s="6"/>
      <c r="J836" s="7"/>
      <c r="K836" s="96" t="str">
        <f>HYPERLINK("#'Healthcare'!AFD1","Q6.4.49_1_1")</f>
        <v>Q6.4.49_1_1</v>
      </c>
      <c r="L836" s="93" t="str">
        <f>HYPERLINK("#'Healthcare'!AFD2","Primary EPO medical plan tier 1 coinsurance minimum: Mail order - out-of-network")</f>
        <v>Primary EPO medical plan tier 1 coinsurance minimum: Mail order - out-of-network</v>
      </c>
      <c r="M836" s="6"/>
      <c r="N836" s="7"/>
      <c r="O836" s="6"/>
      <c r="P836" s="7"/>
      <c r="Q836" s="6"/>
      <c r="R836" s="7"/>
      <c r="S836" s="6"/>
      <c r="T836" s="7"/>
      <c r="U836" s="6"/>
      <c r="V836" s="7"/>
      <c r="W836" s="6"/>
      <c r="X836" s="7"/>
    </row>
    <row r="837" spans="1:24" ht="25.5" x14ac:dyDescent="0.2">
      <c r="A837" s="6"/>
      <c r="B837" s="7"/>
      <c r="C837" s="6"/>
      <c r="D837" s="7"/>
      <c r="E837" s="6"/>
      <c r="F837" s="7"/>
      <c r="G837" s="6"/>
      <c r="H837" s="7"/>
      <c r="I837" s="6"/>
      <c r="J837" s="7"/>
      <c r="K837" s="96" t="str">
        <f>HYPERLINK("#'Healthcare'!AFE1","Q6.4.49_1_2")</f>
        <v>Q6.4.49_1_2</v>
      </c>
      <c r="L837" s="93" t="str">
        <f>HYPERLINK("#'Healthcare'!AFE2","Primary EPO medical plan tier 1 coinsurance maximum: Mail order - out-of-network")</f>
        <v>Primary EPO medical plan tier 1 coinsurance maximum: Mail order - out-of-network</v>
      </c>
      <c r="M837" s="6"/>
      <c r="N837" s="7"/>
      <c r="O837" s="6"/>
      <c r="P837" s="7"/>
      <c r="Q837" s="6"/>
      <c r="R837" s="7"/>
      <c r="S837" s="6"/>
      <c r="T837" s="7"/>
      <c r="U837" s="6"/>
      <c r="V837" s="7"/>
      <c r="W837" s="6"/>
      <c r="X837" s="7"/>
    </row>
    <row r="838" spans="1:24" ht="25.5" x14ac:dyDescent="0.2">
      <c r="A838" s="6"/>
      <c r="B838" s="7"/>
      <c r="C838" s="6"/>
      <c r="D838" s="7"/>
      <c r="E838" s="6"/>
      <c r="F838" s="7"/>
      <c r="G838" s="6"/>
      <c r="H838" s="7"/>
      <c r="I838" s="6"/>
      <c r="J838" s="7"/>
      <c r="K838" s="96" t="str">
        <f>HYPERLINK("#'Healthcare'!AFF1","Q6.4.49_2_1")</f>
        <v>Q6.4.49_2_1</v>
      </c>
      <c r="L838" s="93" t="str">
        <f>HYPERLINK("#'Healthcare'!AFF2","Primary EPO medical plan tier 2 coinsurance minimum: Mail order - out-of-network")</f>
        <v>Primary EPO medical plan tier 2 coinsurance minimum: Mail order - out-of-network</v>
      </c>
      <c r="M838" s="6"/>
      <c r="N838" s="7"/>
      <c r="O838" s="6"/>
      <c r="P838" s="7"/>
      <c r="Q838" s="6"/>
      <c r="R838" s="7"/>
      <c r="S838" s="6"/>
      <c r="T838" s="7"/>
      <c r="U838" s="6"/>
      <c r="V838" s="7"/>
      <c r="W838" s="6"/>
      <c r="X838" s="7"/>
    </row>
    <row r="839" spans="1:24" ht="25.5" x14ac:dyDescent="0.2">
      <c r="A839" s="6"/>
      <c r="B839" s="7"/>
      <c r="C839" s="6"/>
      <c r="D839" s="7"/>
      <c r="E839" s="6"/>
      <c r="F839" s="7"/>
      <c r="G839" s="6"/>
      <c r="H839" s="7"/>
      <c r="I839" s="6"/>
      <c r="J839" s="7"/>
      <c r="K839" s="96" t="str">
        <f>HYPERLINK("#'Healthcare'!AFG1","Q6.4.49_2_2")</f>
        <v>Q6.4.49_2_2</v>
      </c>
      <c r="L839" s="93" t="str">
        <f>HYPERLINK("#'Healthcare'!AFG2","Primary EPO medical plan tier 2 coinsurance maximum: Mail order - out-of-network")</f>
        <v>Primary EPO medical plan tier 2 coinsurance maximum: Mail order - out-of-network</v>
      </c>
      <c r="M839" s="6"/>
      <c r="N839" s="7"/>
      <c r="O839" s="6"/>
      <c r="P839" s="7"/>
      <c r="Q839" s="6"/>
      <c r="R839" s="7"/>
      <c r="S839" s="6"/>
      <c r="T839" s="7"/>
      <c r="U839" s="6"/>
      <c r="V839" s="7"/>
      <c r="W839" s="6"/>
      <c r="X839" s="7"/>
    </row>
    <row r="840" spans="1:24" ht="25.5" x14ac:dyDescent="0.2">
      <c r="A840" s="6"/>
      <c r="B840" s="7"/>
      <c r="C840" s="6"/>
      <c r="D840" s="7"/>
      <c r="E840" s="6"/>
      <c r="F840" s="7"/>
      <c r="G840" s="6"/>
      <c r="H840" s="7"/>
      <c r="I840" s="6"/>
      <c r="J840" s="7"/>
      <c r="K840" s="96" t="str">
        <f>HYPERLINK("#'Healthcare'!AFH1","Q6.4.49_3_1")</f>
        <v>Q6.4.49_3_1</v>
      </c>
      <c r="L840" s="93" t="str">
        <f>HYPERLINK("#'Healthcare'!AFH2","Primary EPO medical plan tier 3 coinsurance minimum: Mail order - out-of-network")</f>
        <v>Primary EPO medical plan tier 3 coinsurance minimum: Mail order - out-of-network</v>
      </c>
      <c r="M840" s="6"/>
      <c r="N840" s="7"/>
      <c r="O840" s="6"/>
      <c r="P840" s="7"/>
      <c r="Q840" s="6"/>
      <c r="R840" s="7"/>
      <c r="S840" s="6"/>
      <c r="T840" s="7"/>
      <c r="U840" s="6"/>
      <c r="V840" s="7"/>
      <c r="W840" s="6"/>
      <c r="X840" s="7"/>
    </row>
    <row r="841" spans="1:24" ht="25.5" x14ac:dyDescent="0.2">
      <c r="A841" s="6"/>
      <c r="B841" s="7"/>
      <c r="C841" s="6"/>
      <c r="D841" s="7"/>
      <c r="E841" s="6"/>
      <c r="F841" s="7"/>
      <c r="G841" s="6"/>
      <c r="H841" s="7"/>
      <c r="I841" s="6"/>
      <c r="J841" s="7"/>
      <c r="K841" s="96" t="str">
        <f>HYPERLINK("#'Healthcare'!AFI1","Q6.4.49_3_2")</f>
        <v>Q6.4.49_3_2</v>
      </c>
      <c r="L841" s="93" t="str">
        <f>HYPERLINK("#'Healthcare'!AFI2","Primary EPO medical plan tier 3 coinsurance maximum: Mail order - out-of-network")</f>
        <v>Primary EPO medical plan tier 3 coinsurance maximum: Mail order - out-of-network</v>
      </c>
      <c r="M841" s="6"/>
      <c r="N841" s="7"/>
      <c r="O841" s="6"/>
      <c r="P841" s="7"/>
      <c r="Q841" s="6"/>
      <c r="R841" s="7"/>
      <c r="S841" s="6"/>
      <c r="T841" s="7"/>
      <c r="U841" s="6"/>
      <c r="V841" s="7"/>
      <c r="W841" s="6"/>
      <c r="X841" s="7"/>
    </row>
    <row r="842" spans="1:24" ht="25.5" x14ac:dyDescent="0.2">
      <c r="A842" s="6"/>
      <c r="B842" s="7"/>
      <c r="C842" s="6"/>
      <c r="D842" s="7"/>
      <c r="E842" s="6"/>
      <c r="F842" s="7"/>
      <c r="G842" s="6"/>
      <c r="H842" s="7"/>
      <c r="I842" s="6"/>
      <c r="J842" s="7"/>
      <c r="K842" s="96" t="str">
        <f>HYPERLINK("#'Healthcare'!AFJ1","Q6.4.49_4_1")</f>
        <v>Q6.4.49_4_1</v>
      </c>
      <c r="L842" s="93" t="str">
        <f>HYPERLINK("#'Healthcare'!AFJ2","Primary EPO medical plan tier 4 coinsurance minimum: Mail order - out-of-network")</f>
        <v>Primary EPO medical plan tier 4 coinsurance minimum: Mail order - out-of-network</v>
      </c>
      <c r="M842" s="6"/>
      <c r="N842" s="7"/>
      <c r="O842" s="6"/>
      <c r="P842" s="7"/>
      <c r="Q842" s="6"/>
      <c r="R842" s="7"/>
      <c r="S842" s="6"/>
      <c r="T842" s="7"/>
      <c r="U842" s="6"/>
      <c r="V842" s="7"/>
      <c r="W842" s="6"/>
      <c r="X842" s="7"/>
    </row>
    <row r="843" spans="1:24" ht="25.5" x14ac:dyDescent="0.2">
      <c r="A843" s="6"/>
      <c r="B843" s="7"/>
      <c r="C843" s="6"/>
      <c r="D843" s="7"/>
      <c r="E843" s="6"/>
      <c r="F843" s="7"/>
      <c r="G843" s="6"/>
      <c r="H843" s="7"/>
      <c r="I843" s="6"/>
      <c r="J843" s="7"/>
      <c r="K843" s="96" t="str">
        <f>HYPERLINK("#'Healthcare'!AFK1","Q6.4.49_4_2")</f>
        <v>Q6.4.49_4_2</v>
      </c>
      <c r="L843" s="93" t="str">
        <f>HYPERLINK("#'Healthcare'!AFK2","Primary EPO medical plan tier 4 coinsurance maximum: Mail order - out-of-network")</f>
        <v>Primary EPO medical plan tier 4 coinsurance maximum: Mail order - out-of-network</v>
      </c>
      <c r="M843" s="6"/>
      <c r="N843" s="7"/>
      <c r="O843" s="6"/>
      <c r="P843" s="7"/>
      <c r="Q843" s="6"/>
      <c r="R843" s="7"/>
      <c r="S843" s="6"/>
      <c r="T843" s="7"/>
      <c r="U843" s="6"/>
      <c r="V843" s="7"/>
      <c r="W843" s="6"/>
      <c r="X843" s="7"/>
    </row>
    <row r="844" spans="1:24" ht="25.5" x14ac:dyDescent="0.2">
      <c r="A844" s="6"/>
      <c r="B844" s="7"/>
      <c r="C844" s="6"/>
      <c r="D844" s="7"/>
      <c r="E844" s="6"/>
      <c r="F844" s="7"/>
      <c r="G844" s="6"/>
      <c r="H844" s="7"/>
      <c r="I844" s="6"/>
      <c r="J844" s="7"/>
      <c r="K844" s="96" t="str">
        <f>HYPERLINK("#'Healthcare'!AFL1","Q6.4.49_5_1")</f>
        <v>Q6.4.49_5_1</v>
      </c>
      <c r="L844" s="93" t="str">
        <f>HYPERLINK("#'Healthcare'!AFL2","Primary EPO medical plan tier 5 coinsurance minimum: Mail order - out-of-network")</f>
        <v>Primary EPO medical plan tier 5 coinsurance minimum: Mail order - out-of-network</v>
      </c>
      <c r="M844" s="6"/>
      <c r="N844" s="7"/>
      <c r="O844" s="6"/>
      <c r="P844" s="7"/>
      <c r="Q844" s="6"/>
      <c r="R844" s="7"/>
      <c r="S844" s="6"/>
      <c r="T844" s="7"/>
      <c r="U844" s="6"/>
      <c r="V844" s="7"/>
      <c r="W844" s="6"/>
      <c r="X844" s="7"/>
    </row>
    <row r="845" spans="1:24" ht="25.5" x14ac:dyDescent="0.2">
      <c r="A845" s="6"/>
      <c r="B845" s="7"/>
      <c r="C845" s="6"/>
      <c r="D845" s="7"/>
      <c r="E845" s="6"/>
      <c r="F845" s="7"/>
      <c r="G845" s="6"/>
      <c r="H845" s="7"/>
      <c r="I845" s="6"/>
      <c r="J845" s="7"/>
      <c r="K845" s="96" t="str">
        <f>HYPERLINK("#'Healthcare'!AFM1","Q6.4.49_5_2")</f>
        <v>Q6.4.49_5_2</v>
      </c>
      <c r="L845" s="93" t="str">
        <f>HYPERLINK("#'Healthcare'!AFM2","Primary EPO medical plan tier 5 coinsurance maximum: Mail order - out-of-network")</f>
        <v>Primary EPO medical plan tier 5 coinsurance maximum: Mail order - out-of-network</v>
      </c>
      <c r="M845" s="6"/>
      <c r="N845" s="7"/>
      <c r="O845" s="6"/>
      <c r="P845" s="7"/>
      <c r="Q845" s="6"/>
      <c r="R845" s="7"/>
      <c r="S845" s="6"/>
      <c r="T845" s="7"/>
      <c r="U845" s="6"/>
      <c r="V845" s="7"/>
      <c r="W845" s="6"/>
      <c r="X845" s="7"/>
    </row>
    <row r="846" spans="1:24" ht="38.25" x14ac:dyDescent="0.2">
      <c r="A846" s="6"/>
      <c r="B846" s="7"/>
      <c r="C846" s="6"/>
      <c r="D846" s="7"/>
      <c r="E846" s="6"/>
      <c r="F846" s="7"/>
      <c r="G846" s="6"/>
      <c r="H846" s="7"/>
      <c r="I846" s="6"/>
      <c r="J846" s="7"/>
      <c r="K846" s="96" t="str">
        <f>HYPERLINK("#'Healthcare'!AFN1","Q6.4.49_6_1")</f>
        <v>Q6.4.49_6_1</v>
      </c>
      <c r="L846" s="93" t="str">
        <f>HYPERLINK("#'Healthcare'!AFN2","Primary EPO medical plan specialty coinsurance minimum: Mail order - out-of-network")</f>
        <v>Primary EPO medical plan specialty coinsurance minimum: Mail order - out-of-network</v>
      </c>
      <c r="M846" s="6"/>
      <c r="N846" s="7"/>
      <c r="O846" s="6"/>
      <c r="P846" s="7"/>
      <c r="Q846" s="6"/>
      <c r="R846" s="7"/>
      <c r="S846" s="6"/>
      <c r="T846" s="7"/>
      <c r="U846" s="6"/>
      <c r="V846" s="7"/>
      <c r="W846" s="6"/>
      <c r="X846" s="7"/>
    </row>
    <row r="847" spans="1:24" ht="38.25" x14ac:dyDescent="0.2">
      <c r="A847" s="6"/>
      <c r="B847" s="7"/>
      <c r="C847" s="6"/>
      <c r="D847" s="7"/>
      <c r="E847" s="6"/>
      <c r="F847" s="7"/>
      <c r="G847" s="6"/>
      <c r="H847" s="7"/>
      <c r="I847" s="6"/>
      <c r="J847" s="7"/>
      <c r="K847" s="96" t="str">
        <f>HYPERLINK("#'Healthcare'!AFO1","Q6.4.49_6_2")</f>
        <v>Q6.4.49_6_2</v>
      </c>
      <c r="L847" s="93" t="str">
        <f>HYPERLINK("#'Healthcare'!AFO2","Primary EPO medical plan specialty coinsurance maximum: Mail order - out-of-network")</f>
        <v>Primary EPO medical plan specialty coinsurance maximum: Mail order - out-of-network</v>
      </c>
      <c r="M847" s="6"/>
      <c r="N847" s="7"/>
      <c r="O847" s="6"/>
      <c r="P847" s="7"/>
      <c r="Q847" s="6"/>
      <c r="R847" s="7"/>
      <c r="S847" s="6"/>
      <c r="T847" s="7"/>
      <c r="U847" s="6"/>
      <c r="V847" s="7"/>
      <c r="W847" s="6"/>
      <c r="X847" s="7"/>
    </row>
    <row r="848" spans="1:24" ht="25.5" x14ac:dyDescent="0.2">
      <c r="A848" s="6"/>
      <c r="B848" s="7"/>
      <c r="C848" s="6"/>
      <c r="D848" s="7"/>
      <c r="E848" s="6"/>
      <c r="F848" s="7"/>
      <c r="G848" s="6"/>
      <c r="H848" s="7"/>
      <c r="I848" s="6"/>
      <c r="J848" s="7"/>
      <c r="K848" s="96" t="str">
        <f>HYPERLINK("#'Healthcare'!AFP1","Q6.4.49_7_1")</f>
        <v>Q6.4.49_7_1</v>
      </c>
      <c r="L848" s="93" t="str">
        <f>HYPERLINK("#'Healthcare'!AFP2","Primary EPO medical plan Other coinsurance minimum: Mail order - out-of-network")</f>
        <v>Primary EPO medical plan Other coinsurance minimum: Mail order - out-of-network</v>
      </c>
      <c r="M848" s="6"/>
      <c r="N848" s="7"/>
      <c r="O848" s="6"/>
      <c r="P848" s="7"/>
      <c r="Q848" s="6"/>
      <c r="R848" s="7"/>
      <c r="S848" s="6"/>
      <c r="T848" s="7"/>
      <c r="U848" s="6"/>
      <c r="V848" s="7"/>
      <c r="W848" s="6"/>
      <c r="X848" s="7"/>
    </row>
    <row r="849" spans="1:24" ht="25.5" x14ac:dyDescent="0.2">
      <c r="A849" s="6"/>
      <c r="B849" s="7"/>
      <c r="C849" s="6"/>
      <c r="D849" s="7"/>
      <c r="E849" s="6"/>
      <c r="F849" s="7"/>
      <c r="G849" s="6"/>
      <c r="H849" s="7"/>
      <c r="I849" s="6"/>
      <c r="J849" s="7"/>
      <c r="K849" s="96" t="str">
        <f>HYPERLINK("#'Healthcare'!AFQ1","Q6.4.49_7_2")</f>
        <v>Q6.4.49_7_2</v>
      </c>
      <c r="L849" s="93" t="str">
        <f>HYPERLINK("#'Healthcare'!AFQ2","Primary EPO medical plan Other coinsurance maximum: Mail order - out-of-network")</f>
        <v>Primary EPO medical plan Other coinsurance maximum: Mail order - out-of-network</v>
      </c>
      <c r="M849" s="6"/>
      <c r="N849" s="7"/>
      <c r="O849" s="6"/>
      <c r="P849" s="7"/>
      <c r="Q849" s="6"/>
      <c r="R849" s="7"/>
      <c r="S849" s="6"/>
      <c r="T849" s="7"/>
      <c r="U849" s="6"/>
      <c r="V849" s="7"/>
      <c r="W849" s="6"/>
      <c r="X849" s="7"/>
    </row>
    <row r="850" spans="1:24" ht="25.5" x14ac:dyDescent="0.2">
      <c r="A850" s="6"/>
      <c r="B850" s="7"/>
      <c r="C850" s="6"/>
      <c r="D850" s="7"/>
      <c r="E850" s="6"/>
      <c r="F850" s="7"/>
      <c r="G850" s="6"/>
      <c r="H850" s="7"/>
      <c r="I850" s="6"/>
      <c r="J850" s="7"/>
      <c r="K850" s="96" t="str">
        <f>HYPERLINK("#'Healthcare'!AFR1","Q6.4.50")</f>
        <v>Q6.4.50</v>
      </c>
      <c r="L850" s="93" t="str">
        <f>HYPERLINK("#'Healthcare'!AFR2","Primary EPO medical plan: Pharmacy benefit manager carved in/out")</f>
        <v>Primary EPO medical plan: Pharmacy benefit manager carved in/out</v>
      </c>
      <c r="M850" s="6"/>
      <c r="N850" s="7"/>
      <c r="O850" s="6"/>
      <c r="P850" s="7"/>
      <c r="Q850" s="6"/>
      <c r="R850" s="7"/>
      <c r="S850" s="6"/>
      <c r="T850" s="7"/>
      <c r="U850" s="6"/>
      <c r="V850" s="7"/>
      <c r="W850" s="6"/>
      <c r="X850" s="7"/>
    </row>
    <row r="851" spans="1:24" ht="38.25" x14ac:dyDescent="0.2">
      <c r="A851" s="6"/>
      <c r="B851" s="7"/>
      <c r="C851" s="6"/>
      <c r="D851" s="7"/>
      <c r="E851" s="6"/>
      <c r="F851" s="7"/>
      <c r="G851" s="6"/>
      <c r="H851" s="7"/>
      <c r="I851" s="6"/>
      <c r="J851" s="7"/>
      <c r="K851" s="96" t="str">
        <f>HYPERLINK("#'Healthcare'!AFS1","Q6.4.51")</f>
        <v>Q6.4.51</v>
      </c>
      <c r="L851" s="93" t="str">
        <f>HYPERLINK("#'Healthcare'!AFS2","Primary EPO medical plan: Drug classes with zero cost share to members (in addition to ACA law requirements)")</f>
        <v>Primary EPO medical plan: Drug classes with zero cost share to members (in addition to ACA law requirements)</v>
      </c>
      <c r="M851" s="6"/>
      <c r="N851" s="7"/>
      <c r="O851" s="6"/>
      <c r="P851" s="7"/>
      <c r="Q851" s="6"/>
      <c r="R851" s="7"/>
      <c r="S851" s="6"/>
      <c r="T851" s="7"/>
      <c r="U851" s="6"/>
      <c r="V851" s="7"/>
      <c r="W851" s="6"/>
      <c r="X851" s="7"/>
    </row>
    <row r="852" spans="1:24" ht="38.25" x14ac:dyDescent="0.2">
      <c r="A852" s="6"/>
      <c r="B852" s="7"/>
      <c r="C852" s="6"/>
      <c r="D852" s="7"/>
      <c r="E852" s="6"/>
      <c r="F852" s="7"/>
      <c r="G852" s="6"/>
      <c r="H852" s="7"/>
      <c r="I852" s="6"/>
      <c r="J852" s="7"/>
      <c r="K852" s="96" t="str">
        <f>HYPERLINK("#'Healthcare'!AFT1","Q6.4.52")</f>
        <v>Q6.4.52</v>
      </c>
      <c r="L852" s="93" t="str">
        <f>HYPERLINK("#'Healthcare'!AFT2","Primary EPO medical plan: Cost share for individuals who receive infused/injectable medications at preferred care sites")</f>
        <v>Primary EPO medical plan: Cost share for individuals who receive infused/injectable medications at preferred care sites</v>
      </c>
      <c r="M852" s="6"/>
      <c r="N852" s="7"/>
      <c r="O852" s="6"/>
      <c r="P852" s="7"/>
      <c r="Q852" s="6"/>
      <c r="R852" s="7"/>
      <c r="S852" s="6"/>
      <c r="T852" s="7"/>
      <c r="U852" s="6"/>
      <c r="V852" s="7"/>
      <c r="W852" s="6"/>
      <c r="X852" s="7"/>
    </row>
    <row r="853" spans="1:24" ht="38.25" x14ac:dyDescent="0.2">
      <c r="A853" s="6"/>
      <c r="B853" s="7"/>
      <c r="C853" s="6"/>
      <c r="D853" s="7"/>
      <c r="E853" s="6"/>
      <c r="F853" s="7"/>
      <c r="G853" s="6"/>
      <c r="H853" s="7"/>
      <c r="I853" s="6"/>
      <c r="J853" s="7"/>
      <c r="K853" s="96" t="str">
        <f>HYPERLINK("#'Healthcare'!AFU1","Q6.5.2")</f>
        <v>Q6.5.2</v>
      </c>
      <c r="L853" s="93" t="str">
        <f>HYPERLINK("#'Healthcare'!AFU2","Total number of national health maintenance organization (national HMO) medical plans offered")</f>
        <v>Total number of national health maintenance organization (national HMO) medical plans offered</v>
      </c>
      <c r="M853" s="6"/>
      <c r="N853" s="7"/>
      <c r="O853" s="6"/>
      <c r="P853" s="7"/>
      <c r="Q853" s="6"/>
      <c r="R853" s="7"/>
      <c r="S853" s="6"/>
      <c r="T853" s="7"/>
      <c r="U853" s="6"/>
      <c r="V853" s="7"/>
      <c r="W853" s="6"/>
      <c r="X853" s="7"/>
    </row>
    <row r="854" spans="1:24" ht="25.5" x14ac:dyDescent="0.2">
      <c r="A854" s="6"/>
      <c r="B854" s="7"/>
      <c r="C854" s="6"/>
      <c r="D854" s="7"/>
      <c r="E854" s="6"/>
      <c r="F854" s="7"/>
      <c r="G854" s="6"/>
      <c r="H854" s="7"/>
      <c r="I854" s="6"/>
      <c r="J854" s="7"/>
      <c r="K854" s="96" t="str">
        <f>HYPERLINK("#'Healthcare'!AFV1","Q6.5.5")</f>
        <v>Q6.5.5</v>
      </c>
      <c r="L854" s="93" t="str">
        <f>HYPERLINK("#'Healthcare'!AFV2","National HMO medical plan with highest enrollment (Primary)")</f>
        <v>National HMO medical plan with highest enrollment (Primary)</v>
      </c>
      <c r="M854" s="6"/>
      <c r="N854" s="7"/>
      <c r="O854" s="6"/>
      <c r="P854" s="7"/>
      <c r="Q854" s="6"/>
      <c r="R854" s="7"/>
      <c r="S854" s="6"/>
      <c r="T854" s="7"/>
      <c r="U854" s="6"/>
      <c r="V854" s="7"/>
      <c r="W854" s="6"/>
      <c r="X854" s="7"/>
    </row>
    <row r="855" spans="1:24" ht="12.75" x14ac:dyDescent="0.2">
      <c r="A855" s="6"/>
      <c r="B855" s="7"/>
      <c r="C855" s="6"/>
      <c r="D855" s="7"/>
      <c r="E855" s="6"/>
      <c r="F855" s="7"/>
      <c r="G855" s="6"/>
      <c r="H855" s="7"/>
      <c r="I855" s="6"/>
      <c r="J855" s="7"/>
      <c r="K855" s="96" t="str">
        <f>HYPERLINK("#'Healthcare'!AFW1","Q6.5.6")</f>
        <v>Q6.5.6</v>
      </c>
      <c r="L855" s="93" t="str">
        <f>HYPERLINK("#'Healthcare'!AFW2","Other national HMO plans offered")</f>
        <v>Other national HMO plans offered</v>
      </c>
      <c r="M855" s="6"/>
      <c r="N855" s="7"/>
      <c r="O855" s="6"/>
      <c r="P855" s="7"/>
      <c r="Q855" s="6"/>
      <c r="R855" s="7"/>
      <c r="S855" s="6"/>
      <c r="T855" s="7"/>
      <c r="U855" s="6"/>
      <c r="V855" s="7"/>
      <c r="W855" s="6"/>
      <c r="X855" s="7"/>
    </row>
    <row r="856" spans="1:24" ht="25.5" x14ac:dyDescent="0.2">
      <c r="A856" s="6"/>
      <c r="B856" s="7"/>
      <c r="C856" s="6"/>
      <c r="D856" s="7"/>
      <c r="E856" s="6"/>
      <c r="F856" s="7"/>
      <c r="G856" s="6"/>
      <c r="H856" s="7"/>
      <c r="I856" s="6"/>
      <c r="J856" s="7"/>
      <c r="K856" s="96" t="str">
        <f>HYPERLINK("#'Healthcare'!AFX1","Q6.5.7_1")</f>
        <v>Q6.5.7_1</v>
      </c>
      <c r="L856" s="93" t="str">
        <f>HYPERLINK("#'Healthcare'!AFX2","Primary national HMO medical plan: Network out-of-pocket limit per person")</f>
        <v>Primary national HMO medical plan: Network out-of-pocket limit per person</v>
      </c>
      <c r="M856" s="6"/>
      <c r="N856" s="7"/>
      <c r="O856" s="6"/>
      <c r="P856" s="7"/>
      <c r="Q856" s="6"/>
      <c r="R856" s="7"/>
      <c r="S856" s="6"/>
      <c r="T856" s="7"/>
      <c r="U856" s="6"/>
      <c r="V856" s="7"/>
      <c r="W856" s="6"/>
      <c r="X856" s="7"/>
    </row>
    <row r="857" spans="1:24" ht="25.5" x14ac:dyDescent="0.2">
      <c r="A857" s="6"/>
      <c r="B857" s="7"/>
      <c r="C857" s="6"/>
      <c r="D857" s="7"/>
      <c r="E857" s="6"/>
      <c r="F857" s="7"/>
      <c r="G857" s="6"/>
      <c r="H857" s="7"/>
      <c r="I857" s="6"/>
      <c r="J857" s="7"/>
      <c r="K857" s="96" t="str">
        <f>HYPERLINK("#'Healthcare'!AFY1","Q6.5.7_2")</f>
        <v>Q6.5.7_2</v>
      </c>
      <c r="L857" s="93" t="str">
        <f>HYPERLINK("#'Healthcare'!AFY2","Primary national HMO medical plan: Network out-of-pocket limit family")</f>
        <v>Primary national HMO medical plan: Network out-of-pocket limit family</v>
      </c>
      <c r="M857" s="6"/>
      <c r="N857" s="7"/>
      <c r="O857" s="6"/>
      <c r="P857" s="7"/>
      <c r="Q857" s="6"/>
      <c r="R857" s="7"/>
      <c r="S857" s="6"/>
      <c r="T857" s="7"/>
      <c r="U857" s="6"/>
      <c r="V857" s="7"/>
      <c r="W857" s="6"/>
      <c r="X857" s="7"/>
    </row>
    <row r="858" spans="1:24" ht="25.5" x14ac:dyDescent="0.2">
      <c r="A858" s="6"/>
      <c r="B858" s="7"/>
      <c r="C858" s="6"/>
      <c r="D858" s="7"/>
      <c r="E858" s="6"/>
      <c r="F858" s="7"/>
      <c r="G858" s="6"/>
      <c r="H858" s="7"/>
      <c r="I858" s="6"/>
      <c r="J858" s="7"/>
      <c r="K858" s="96" t="str">
        <f>HYPERLINK("#'Healthcare'!AFZ1","Q6.5.7_3")</f>
        <v>Q6.5.7_3</v>
      </c>
      <c r="L858" s="93" t="str">
        <f>HYPERLINK("#'Healthcare'!AFZ2","Primary national HMO medical plan: Out-of-network out-of-pocket limit per person")</f>
        <v>Primary national HMO medical plan: Out-of-network out-of-pocket limit per person</v>
      </c>
      <c r="M858" s="6"/>
      <c r="N858" s="7"/>
      <c r="O858" s="6"/>
      <c r="P858" s="7"/>
      <c r="Q858" s="6"/>
      <c r="R858" s="7"/>
      <c r="S858" s="6"/>
      <c r="T858" s="7"/>
      <c r="U858" s="6"/>
      <c r="V858" s="7"/>
      <c r="W858" s="6"/>
      <c r="X858" s="7"/>
    </row>
    <row r="859" spans="1:24" ht="25.5" x14ac:dyDescent="0.2">
      <c r="A859" s="6"/>
      <c r="B859" s="7"/>
      <c r="C859" s="6"/>
      <c r="D859" s="7"/>
      <c r="E859" s="6"/>
      <c r="F859" s="7"/>
      <c r="G859" s="6"/>
      <c r="H859" s="7"/>
      <c r="I859" s="6"/>
      <c r="J859" s="7"/>
      <c r="K859" s="96" t="str">
        <f>HYPERLINK("#'Healthcare'!AGA1","Q6.5.7_4")</f>
        <v>Q6.5.7_4</v>
      </c>
      <c r="L859" s="93" t="str">
        <f>HYPERLINK("#'Healthcare'!AGA2","Primary national HMO medical plan: Out-of-network out-of-pocket limit family")</f>
        <v>Primary national HMO medical plan: Out-of-network out-of-pocket limit family</v>
      </c>
      <c r="M859" s="6"/>
      <c r="N859" s="7"/>
      <c r="O859" s="6"/>
      <c r="P859" s="7"/>
      <c r="Q859" s="6"/>
      <c r="R859" s="7"/>
      <c r="S859" s="6"/>
      <c r="T859" s="7"/>
      <c r="U859" s="6"/>
      <c r="V859" s="7"/>
      <c r="W859" s="6"/>
      <c r="X859" s="7"/>
    </row>
    <row r="860" spans="1:24" ht="25.5" x14ac:dyDescent="0.2">
      <c r="A860" s="6"/>
      <c r="B860" s="7"/>
      <c r="C860" s="6"/>
      <c r="D860" s="7"/>
      <c r="E860" s="6"/>
      <c r="F860" s="7"/>
      <c r="G860" s="6"/>
      <c r="H860" s="7"/>
      <c r="I860" s="6"/>
      <c r="J860" s="7"/>
      <c r="K860" s="96" t="str">
        <f>HYPERLINK("#'Healthcare'!AGB1","Q6.5.7_5")</f>
        <v>Q6.5.7_5</v>
      </c>
      <c r="L860" s="93" t="str">
        <f>HYPERLINK("#'Healthcare'!AGB2","Primary national HMO medical plan: Out-of-pocket limit - cross apply")</f>
        <v>Primary national HMO medical plan: Out-of-pocket limit - cross apply</v>
      </c>
      <c r="M860" s="6"/>
      <c r="N860" s="7"/>
      <c r="O860" s="6"/>
      <c r="P860" s="7"/>
      <c r="Q860" s="6"/>
      <c r="R860" s="7"/>
      <c r="S860" s="6"/>
      <c r="T860" s="7"/>
      <c r="U860" s="6"/>
      <c r="V860" s="7"/>
      <c r="W860" s="6"/>
      <c r="X860" s="7"/>
    </row>
    <row r="861" spans="1:24" ht="25.5" x14ac:dyDescent="0.2">
      <c r="A861" s="6"/>
      <c r="B861" s="7"/>
      <c r="C861" s="6"/>
      <c r="D861" s="7"/>
      <c r="E861" s="6"/>
      <c r="F861" s="7"/>
      <c r="G861" s="6"/>
      <c r="H861" s="7"/>
      <c r="I861" s="6"/>
      <c r="J861" s="7"/>
      <c r="K861" s="96" t="str">
        <f>HYPERLINK("#'Healthcare'!AGC1","Q6.5.7_6")</f>
        <v>Q6.5.7_6</v>
      </c>
      <c r="L861" s="93" t="str">
        <f>HYPERLINK("#'Healthcare'!AGC2","Primary national HMO medical plan: Out-of-pocket limit - aggregated")</f>
        <v>Primary national HMO medical plan: Out-of-pocket limit - aggregated</v>
      </c>
      <c r="M861" s="6"/>
      <c r="N861" s="7"/>
      <c r="O861" s="6"/>
      <c r="P861" s="7"/>
      <c r="Q861" s="6"/>
      <c r="R861" s="7"/>
      <c r="S861" s="6"/>
      <c r="T861" s="7"/>
      <c r="U861" s="6"/>
      <c r="V861" s="7"/>
      <c r="W861" s="6"/>
      <c r="X861" s="7"/>
    </row>
    <row r="862" spans="1:24" ht="25.5" x14ac:dyDescent="0.2">
      <c r="A862" s="6"/>
      <c r="B862" s="7"/>
      <c r="C862" s="6"/>
      <c r="D862" s="7"/>
      <c r="E862" s="6"/>
      <c r="F862" s="7"/>
      <c r="G862" s="6"/>
      <c r="H862" s="7"/>
      <c r="I862" s="6"/>
      <c r="J862" s="7"/>
      <c r="K862" s="96" t="str">
        <f>HYPERLINK("#'Healthcare'!AGD1","Q6.5.8")</f>
        <v>Q6.5.8</v>
      </c>
      <c r="L862" s="93" t="str">
        <f>HYPERLINK("#'Healthcare'!AGD2","Primary national HMO medical plan: Expenses excluded from out-of-pocket limit")</f>
        <v>Primary national HMO medical plan: Expenses excluded from out-of-pocket limit</v>
      </c>
      <c r="M862" s="6"/>
      <c r="N862" s="7"/>
      <c r="O862" s="6"/>
      <c r="P862" s="7"/>
      <c r="Q862" s="6"/>
      <c r="R862" s="7"/>
      <c r="S862" s="6"/>
      <c r="T862" s="7"/>
      <c r="U862" s="6"/>
      <c r="V862" s="7"/>
      <c r="W862" s="6"/>
      <c r="X862" s="7"/>
    </row>
    <row r="863" spans="1:24" ht="38.25" x14ac:dyDescent="0.2">
      <c r="A863" s="6"/>
      <c r="B863" s="7"/>
      <c r="C863" s="6"/>
      <c r="D863" s="7"/>
      <c r="E863" s="6"/>
      <c r="F863" s="7"/>
      <c r="G863" s="6"/>
      <c r="H863" s="7"/>
      <c r="I863" s="6"/>
      <c r="J863" s="7"/>
      <c r="K863" s="96" t="str">
        <f>HYPERLINK("#'Healthcare'!AGE1","Q6.5.9_1")</f>
        <v>Q6.5.9_1</v>
      </c>
      <c r="L863" s="93" t="str">
        <f>HYPERLINK("#'Healthcare'!AGE2","Primary national HMO medical plan: In-network overall deductible per person (preventive care-N/A)")</f>
        <v>Primary national HMO medical plan: In-network overall deductible per person (preventive care-N/A)</v>
      </c>
      <c r="M863" s="6"/>
      <c r="N863" s="7"/>
      <c r="O863" s="6"/>
      <c r="P863" s="7"/>
      <c r="Q863" s="6"/>
      <c r="R863" s="7"/>
      <c r="S863" s="6"/>
      <c r="T863" s="7"/>
      <c r="U863" s="6"/>
      <c r="V863" s="7"/>
      <c r="W863" s="6"/>
      <c r="X863" s="7"/>
    </row>
    <row r="864" spans="1:24" ht="38.25" x14ac:dyDescent="0.2">
      <c r="A864" s="6"/>
      <c r="B864" s="7"/>
      <c r="C864" s="6"/>
      <c r="D864" s="7"/>
      <c r="E864" s="6"/>
      <c r="F864" s="7"/>
      <c r="G864" s="6"/>
      <c r="H864" s="7"/>
      <c r="I864" s="6"/>
      <c r="J864" s="7"/>
      <c r="K864" s="96" t="str">
        <f>HYPERLINK("#'Healthcare'!AGF1","Q6.5.9_2")</f>
        <v>Q6.5.9_2</v>
      </c>
      <c r="L864" s="93" t="str">
        <f>HYPERLINK("#'Healthcare'!AGF2","Primary national HMO medical plan: In-network overall deductible per family (preventive care-N/A)")</f>
        <v>Primary national HMO medical plan: In-network overall deductible per family (preventive care-N/A)</v>
      </c>
      <c r="M864" s="6"/>
      <c r="N864" s="7"/>
      <c r="O864" s="6"/>
      <c r="P864" s="7"/>
      <c r="Q864" s="6"/>
      <c r="R864" s="7"/>
      <c r="S864" s="6"/>
      <c r="T864" s="7"/>
      <c r="U864" s="6"/>
      <c r="V864" s="7"/>
      <c r="W864" s="6"/>
      <c r="X864" s="7"/>
    </row>
    <row r="865" spans="1:24" ht="38.25" x14ac:dyDescent="0.2">
      <c r="A865" s="6"/>
      <c r="B865" s="7"/>
      <c r="C865" s="6"/>
      <c r="D865" s="7"/>
      <c r="E865" s="6"/>
      <c r="F865" s="7"/>
      <c r="G865" s="6"/>
      <c r="H865" s="7"/>
      <c r="I865" s="6"/>
      <c r="J865" s="7"/>
      <c r="K865" s="96" t="str">
        <f>HYPERLINK("#'Healthcare'!AGG1","Q6.5.9_3")</f>
        <v>Q6.5.9_3</v>
      </c>
      <c r="L865" s="93" t="str">
        <f>HYPERLINK("#'Healthcare'!AGG2","Primary national HMO medical plan: Out-of-network overall deductible per person (preventive care-N/A)")</f>
        <v>Primary national HMO medical plan: Out-of-network overall deductible per person (preventive care-N/A)</v>
      </c>
      <c r="M865" s="6"/>
      <c r="N865" s="7"/>
      <c r="O865" s="6"/>
      <c r="P865" s="7"/>
      <c r="Q865" s="6"/>
      <c r="R865" s="7"/>
      <c r="S865" s="6"/>
      <c r="T865" s="7"/>
      <c r="U865" s="6"/>
      <c r="V865" s="7"/>
      <c r="W865" s="6"/>
      <c r="X865" s="7"/>
    </row>
    <row r="866" spans="1:24" ht="38.25" x14ac:dyDescent="0.2">
      <c r="A866" s="6"/>
      <c r="B866" s="7"/>
      <c r="C866" s="6"/>
      <c r="D866" s="7"/>
      <c r="E866" s="6"/>
      <c r="F866" s="7"/>
      <c r="G866" s="6"/>
      <c r="H866" s="7"/>
      <c r="I866" s="6"/>
      <c r="J866" s="7"/>
      <c r="K866" s="96" t="str">
        <f>HYPERLINK("#'Healthcare'!AGH1","Q6.5.9_4")</f>
        <v>Q6.5.9_4</v>
      </c>
      <c r="L866" s="93" t="str">
        <f>HYPERLINK("#'Healthcare'!AGH2","Primary national HMO medical plan: Out-of-network overall deductible per family (preventive care-N/A)")</f>
        <v>Primary national HMO medical plan: Out-of-network overall deductible per family (preventive care-N/A)</v>
      </c>
      <c r="M866" s="6"/>
      <c r="N866" s="7"/>
      <c r="O866" s="6"/>
      <c r="P866" s="7"/>
      <c r="Q866" s="6"/>
      <c r="R866" s="7"/>
      <c r="S866" s="6"/>
      <c r="T866" s="7"/>
      <c r="U866" s="6"/>
      <c r="V866" s="7"/>
      <c r="W866" s="6"/>
      <c r="X866" s="7"/>
    </row>
    <row r="867" spans="1:24" ht="38.25" x14ac:dyDescent="0.2">
      <c r="A867" s="6"/>
      <c r="B867" s="7"/>
      <c r="C867" s="6"/>
      <c r="D867" s="7"/>
      <c r="E867" s="6"/>
      <c r="F867" s="7"/>
      <c r="G867" s="6"/>
      <c r="H867" s="7"/>
      <c r="I867" s="6"/>
      <c r="J867" s="7"/>
      <c r="K867" s="96" t="str">
        <f>HYPERLINK("#'Healthcare'!AGI1","Q6.5.10_1")</f>
        <v>Q6.5.10_1</v>
      </c>
      <c r="L867" s="93" t="str">
        <f>HYPERLINK("#'Healthcare'!AGI2","Primary national HMO medical plan in-network services with separate deductibles: Not applicable - no separate deductibles")</f>
        <v>Primary national HMO medical plan in-network services with separate deductibles: Not applicable - no separate deductibles</v>
      </c>
      <c r="M867" s="6"/>
      <c r="N867" s="7"/>
      <c r="O867" s="6"/>
      <c r="P867" s="7"/>
      <c r="Q867" s="6"/>
      <c r="R867" s="7"/>
      <c r="S867" s="6"/>
      <c r="T867" s="7"/>
      <c r="U867" s="6"/>
      <c r="V867" s="7"/>
      <c r="W867" s="6"/>
      <c r="X867" s="7"/>
    </row>
    <row r="868" spans="1:24" ht="38.25" x14ac:dyDescent="0.2">
      <c r="A868" s="6"/>
      <c r="B868" s="7"/>
      <c r="C868" s="6"/>
      <c r="D868" s="7"/>
      <c r="E868" s="6"/>
      <c r="F868" s="7"/>
      <c r="G868" s="6"/>
      <c r="H868" s="7"/>
      <c r="I868" s="6"/>
      <c r="J868" s="7"/>
      <c r="K868" s="96" t="str">
        <f>HYPERLINK("#'Healthcare'!AGJ1","Q6.5.10_2")</f>
        <v>Q6.5.10_2</v>
      </c>
      <c r="L868" s="93" t="str">
        <f>HYPERLINK("#'Healthcare'!AGJ2","Primary national HMO medical plan in-network services with separate deductibles: Acupuncture")</f>
        <v>Primary national HMO medical plan in-network services with separate deductibles: Acupuncture</v>
      </c>
      <c r="M868" s="6"/>
      <c r="N868" s="7"/>
      <c r="O868" s="6"/>
      <c r="P868" s="7"/>
      <c r="Q868" s="6"/>
      <c r="R868" s="7"/>
      <c r="S868" s="6"/>
      <c r="T868" s="7"/>
      <c r="U868" s="6"/>
      <c r="V868" s="7"/>
      <c r="W868" s="6"/>
      <c r="X868" s="7"/>
    </row>
    <row r="869" spans="1:24" ht="38.25" x14ac:dyDescent="0.2">
      <c r="A869" s="6"/>
      <c r="B869" s="7"/>
      <c r="C869" s="6"/>
      <c r="D869" s="7"/>
      <c r="E869" s="6"/>
      <c r="F869" s="7"/>
      <c r="G869" s="6"/>
      <c r="H869" s="7"/>
      <c r="I869" s="6"/>
      <c r="J869" s="7"/>
      <c r="K869" s="96" t="str">
        <f>HYPERLINK("#'Healthcare'!AGK1","Q6.5.10_3")</f>
        <v>Q6.5.10_3</v>
      </c>
      <c r="L869" s="93" t="str">
        <f>HYPERLINK("#'Healthcare'!AGK2","Primary national HMO medical plan in-network services with separate deductibles: Chiropractic")</f>
        <v>Primary national HMO medical plan in-network services with separate deductibles: Chiropractic</v>
      </c>
      <c r="M869" s="6"/>
      <c r="N869" s="7"/>
      <c r="O869" s="6"/>
      <c r="P869" s="7"/>
      <c r="Q869" s="6"/>
      <c r="R869" s="7"/>
      <c r="S869" s="6"/>
      <c r="T869" s="7"/>
      <c r="U869" s="6"/>
      <c r="V869" s="7"/>
      <c r="W869" s="6"/>
      <c r="X869" s="7"/>
    </row>
    <row r="870" spans="1:24" ht="38.25" x14ac:dyDescent="0.2">
      <c r="A870" s="6"/>
      <c r="B870" s="7"/>
      <c r="C870" s="6"/>
      <c r="D870" s="7"/>
      <c r="E870" s="6"/>
      <c r="F870" s="7"/>
      <c r="G870" s="6"/>
      <c r="H870" s="7"/>
      <c r="I870" s="6"/>
      <c r="J870" s="7"/>
      <c r="K870" s="96" t="str">
        <f>HYPERLINK("#'Healthcare'!AGL1","Q6.5.10_4")</f>
        <v>Q6.5.10_4</v>
      </c>
      <c r="L870" s="93" t="str">
        <f>HYPERLINK("#'Healthcare'!AGL2","Primary national HMO medical plan in-network services with separate deductibles: Emergency room (true emergency)")</f>
        <v>Primary national HMO medical plan in-network services with separate deductibles: Emergency room (true emergency)</v>
      </c>
      <c r="M870" s="6"/>
      <c r="N870" s="7"/>
      <c r="O870" s="6"/>
      <c r="P870" s="7"/>
      <c r="Q870" s="6"/>
      <c r="R870" s="7"/>
      <c r="S870" s="6"/>
      <c r="T870" s="7"/>
      <c r="U870" s="6"/>
      <c r="V870" s="7"/>
      <c r="W870" s="6"/>
      <c r="X870" s="7"/>
    </row>
    <row r="871" spans="1:24" ht="38.25" x14ac:dyDescent="0.2">
      <c r="A871" s="6"/>
      <c r="B871" s="7"/>
      <c r="C871" s="6"/>
      <c r="D871" s="7"/>
      <c r="E871" s="6"/>
      <c r="F871" s="7"/>
      <c r="G871" s="6"/>
      <c r="H871" s="7"/>
      <c r="I871" s="6"/>
      <c r="J871" s="7"/>
      <c r="K871" s="96" t="str">
        <f>HYPERLINK("#'Healthcare'!AGM1","Q6.5.10_5")</f>
        <v>Q6.5.10_5</v>
      </c>
      <c r="L871" s="93" t="str">
        <f>HYPERLINK("#'Healthcare'!AGM2","Primary national HMO medical plan in-network services with separate deductibles: Emergency room (non-emergency)")</f>
        <v>Primary national HMO medical plan in-network services with separate deductibles: Emergency room (non-emergency)</v>
      </c>
      <c r="M871" s="6"/>
      <c r="N871" s="7"/>
      <c r="O871" s="6"/>
      <c r="P871" s="7"/>
      <c r="Q871" s="6"/>
      <c r="R871" s="7"/>
      <c r="S871" s="6"/>
      <c r="T871" s="7"/>
      <c r="U871" s="6"/>
      <c r="V871" s="7"/>
      <c r="W871" s="6"/>
      <c r="X871" s="7"/>
    </row>
    <row r="872" spans="1:24" ht="38.25" x14ac:dyDescent="0.2">
      <c r="A872" s="6"/>
      <c r="B872" s="7"/>
      <c r="C872" s="6"/>
      <c r="D872" s="7"/>
      <c r="E872" s="6"/>
      <c r="F872" s="7"/>
      <c r="G872" s="6"/>
      <c r="H872" s="7"/>
      <c r="I872" s="6"/>
      <c r="J872" s="7"/>
      <c r="K872" s="96" t="str">
        <f>HYPERLINK("#'Healthcare'!AGN1","Q6.5.10_6")</f>
        <v>Q6.5.10_6</v>
      </c>
      <c r="L872" s="93" t="str">
        <f>HYPERLINK("#'Healthcare'!AGN2","Primary national HMO medical plan in-network services with separate deductibles: Emergency room (with hospital admittance)")</f>
        <v>Primary national HMO medical plan in-network services with separate deductibles: Emergency room (with hospital admittance)</v>
      </c>
      <c r="M872" s="6"/>
      <c r="N872" s="7"/>
      <c r="O872" s="6"/>
      <c r="P872" s="7"/>
      <c r="Q872" s="6"/>
      <c r="R872" s="7"/>
      <c r="S872" s="6"/>
      <c r="T872" s="7"/>
      <c r="U872" s="6"/>
      <c r="V872" s="7"/>
      <c r="W872" s="6"/>
      <c r="X872" s="7"/>
    </row>
    <row r="873" spans="1:24" ht="38.25" x14ac:dyDescent="0.2">
      <c r="A873" s="6"/>
      <c r="B873" s="7"/>
      <c r="C873" s="6"/>
      <c r="D873" s="7"/>
      <c r="E873" s="6"/>
      <c r="F873" s="7"/>
      <c r="G873" s="6"/>
      <c r="H873" s="7"/>
      <c r="I873" s="6"/>
      <c r="J873" s="7"/>
      <c r="K873" s="96" t="str">
        <f>HYPERLINK("#'Healthcare'!AGO1","Q6.5.10_7")</f>
        <v>Q6.5.10_7</v>
      </c>
      <c r="L873" s="93" t="str">
        <f>HYPERLINK("#'Healthcare'!AGO2","Primary national HMO medical plan in-network services with separate deductibles: Inpatient hospital")</f>
        <v>Primary national HMO medical plan in-network services with separate deductibles: Inpatient hospital</v>
      </c>
      <c r="M873" s="6"/>
      <c r="N873" s="7"/>
      <c r="O873" s="6"/>
      <c r="P873" s="7"/>
      <c r="Q873" s="6"/>
      <c r="R873" s="7"/>
      <c r="S873" s="6"/>
      <c r="T873" s="7"/>
      <c r="U873" s="6"/>
      <c r="V873" s="7"/>
      <c r="W873" s="6"/>
      <c r="X873" s="7"/>
    </row>
    <row r="874" spans="1:24" ht="38.25" x14ac:dyDescent="0.2">
      <c r="A874" s="6"/>
      <c r="B874" s="7"/>
      <c r="C874" s="6"/>
      <c r="D874" s="7"/>
      <c r="E874" s="6"/>
      <c r="F874" s="7"/>
      <c r="G874" s="6"/>
      <c r="H874" s="7"/>
      <c r="I874" s="6"/>
      <c r="J874" s="7"/>
      <c r="K874" s="96" t="str">
        <f>HYPERLINK("#'Healthcare'!AGP1","Q6.5.10_8")</f>
        <v>Q6.5.10_8</v>
      </c>
      <c r="L874" s="93" t="str">
        <f>HYPERLINK("#'Healthcare'!AGP2","Primary national HMO medical plan in-network services with separate deductibles: Mental health/substance abuse")</f>
        <v>Primary national HMO medical plan in-network services with separate deductibles: Mental health/substance abuse</v>
      </c>
      <c r="M874" s="6"/>
      <c r="N874" s="7"/>
      <c r="O874" s="6"/>
      <c r="P874" s="7"/>
      <c r="Q874" s="6"/>
      <c r="R874" s="7"/>
      <c r="S874" s="6"/>
      <c r="T874" s="7"/>
      <c r="U874" s="6"/>
      <c r="V874" s="7"/>
      <c r="W874" s="6"/>
      <c r="X874" s="7"/>
    </row>
    <row r="875" spans="1:24" ht="38.25" x14ac:dyDescent="0.2">
      <c r="A875" s="6"/>
      <c r="B875" s="7"/>
      <c r="C875" s="6"/>
      <c r="D875" s="7"/>
      <c r="E875" s="6"/>
      <c r="F875" s="7"/>
      <c r="G875" s="6"/>
      <c r="H875" s="7"/>
      <c r="I875" s="6"/>
      <c r="J875" s="7"/>
      <c r="K875" s="96" t="str">
        <f>HYPERLINK("#'Healthcare'!AGQ1","Q6.5.10_9")</f>
        <v>Q6.5.10_9</v>
      </c>
      <c r="L875" s="93" t="str">
        <f>HYPERLINK("#'Healthcare'!AGQ2","Primary national HMO medical plan in-network services with separate deductibles: Outpatient surgical center")</f>
        <v>Primary national HMO medical plan in-network services with separate deductibles: Outpatient surgical center</v>
      </c>
      <c r="M875" s="6"/>
      <c r="N875" s="7"/>
      <c r="O875" s="6"/>
      <c r="P875" s="7"/>
      <c r="Q875" s="6"/>
      <c r="R875" s="7"/>
      <c r="S875" s="6"/>
      <c r="T875" s="7"/>
      <c r="U875" s="6"/>
      <c r="V875" s="7"/>
      <c r="W875" s="6"/>
      <c r="X875" s="7"/>
    </row>
    <row r="876" spans="1:24" ht="38.25" x14ac:dyDescent="0.2">
      <c r="A876" s="6"/>
      <c r="B876" s="7"/>
      <c r="C876" s="6"/>
      <c r="D876" s="7"/>
      <c r="E876" s="6"/>
      <c r="F876" s="7"/>
      <c r="G876" s="6"/>
      <c r="H876" s="7"/>
      <c r="I876" s="6"/>
      <c r="J876" s="7"/>
      <c r="K876" s="96" t="str">
        <f>HYPERLINK("#'Healthcare'!AGR1","Q6.5.10_10")</f>
        <v>Q6.5.10_10</v>
      </c>
      <c r="L876" s="93" t="str">
        <f>HYPERLINK("#'Healthcare'!AGR2","Primary national HMO medical plan in-network services with separate deductibles: Prescription drugs (preventive)")</f>
        <v>Primary national HMO medical plan in-network services with separate deductibles: Prescription drugs (preventive)</v>
      </c>
      <c r="M876" s="6"/>
      <c r="N876" s="7"/>
      <c r="O876" s="6"/>
      <c r="P876" s="7"/>
      <c r="Q876" s="6"/>
      <c r="R876" s="7"/>
      <c r="S876" s="6"/>
      <c r="T876" s="7"/>
      <c r="U876" s="6"/>
      <c r="V876" s="7"/>
      <c r="W876" s="6"/>
      <c r="X876" s="7"/>
    </row>
    <row r="877" spans="1:24" ht="38.25" x14ac:dyDescent="0.2">
      <c r="A877" s="6"/>
      <c r="B877" s="7"/>
      <c r="C877" s="6"/>
      <c r="D877" s="7"/>
      <c r="E877" s="6"/>
      <c r="F877" s="7"/>
      <c r="G877" s="6"/>
      <c r="H877" s="7"/>
      <c r="I877" s="6"/>
      <c r="J877" s="7"/>
      <c r="K877" s="96" t="str">
        <f>HYPERLINK("#'Healthcare'!AGS1","Q6.5.10_11")</f>
        <v>Q6.5.10_11</v>
      </c>
      <c r="L877" s="93" t="str">
        <f>HYPERLINK("#'Healthcare'!AGS2","Primary national HMO medical plan in-network services with separate deductibles: Prescription drugs (non-preventive)")</f>
        <v>Primary national HMO medical plan in-network services with separate deductibles: Prescription drugs (non-preventive)</v>
      </c>
      <c r="M877" s="6"/>
      <c r="N877" s="7"/>
      <c r="O877" s="6"/>
      <c r="P877" s="7"/>
      <c r="Q877" s="6"/>
      <c r="R877" s="7"/>
      <c r="S877" s="6"/>
      <c r="T877" s="7"/>
      <c r="U877" s="6"/>
      <c r="V877" s="7"/>
      <c r="W877" s="6"/>
      <c r="X877" s="7"/>
    </row>
    <row r="878" spans="1:24" ht="38.25" x14ac:dyDescent="0.2">
      <c r="A878" s="6"/>
      <c r="B878" s="7"/>
      <c r="C878" s="6"/>
      <c r="D878" s="7"/>
      <c r="E878" s="6"/>
      <c r="F878" s="7"/>
      <c r="G878" s="6"/>
      <c r="H878" s="7"/>
      <c r="I878" s="6"/>
      <c r="J878" s="7"/>
      <c r="K878" s="96" t="str">
        <f>HYPERLINK("#'Healthcare'!AGT1","Q6.5.10_12")</f>
        <v>Q6.5.10_12</v>
      </c>
      <c r="L878" s="93" t="str">
        <f>HYPERLINK("#'Healthcare'!AGT2","Primary national HMO medical plan in-network services with separate deductibles: Therapies (e.g., speech, PT, OT)")</f>
        <v>Primary national HMO medical plan in-network services with separate deductibles: Therapies (e.g., speech, PT, OT)</v>
      </c>
      <c r="M878" s="6"/>
      <c r="N878" s="7"/>
      <c r="O878" s="6"/>
      <c r="P878" s="7"/>
      <c r="Q878" s="6"/>
      <c r="R878" s="7"/>
      <c r="S878" s="6"/>
      <c r="T878" s="7"/>
      <c r="U878" s="6"/>
      <c r="V878" s="7"/>
      <c r="W878" s="6"/>
      <c r="X878" s="7"/>
    </row>
    <row r="879" spans="1:24" ht="25.5" x14ac:dyDescent="0.2">
      <c r="A879" s="6"/>
      <c r="B879" s="7"/>
      <c r="C879" s="6"/>
      <c r="D879" s="7"/>
      <c r="E879" s="6"/>
      <c r="F879" s="7"/>
      <c r="G879" s="6"/>
      <c r="H879" s="7"/>
      <c r="I879" s="6"/>
      <c r="J879" s="7"/>
      <c r="K879" s="96" t="str">
        <f>HYPERLINK("#'Healthcare'!AGU1","Q6.5.10_13")</f>
        <v>Q6.5.10_13</v>
      </c>
      <c r="L879" s="93" t="str">
        <f>HYPERLINK("#'Healthcare'!AGU2","Primary national HMO medical plan in-network services with separate deductibles: Other")</f>
        <v>Primary national HMO medical plan in-network services with separate deductibles: Other</v>
      </c>
      <c r="M879" s="6"/>
      <c r="N879" s="7"/>
      <c r="O879" s="6"/>
      <c r="P879" s="7"/>
      <c r="Q879" s="6"/>
      <c r="R879" s="7"/>
      <c r="S879" s="6"/>
      <c r="T879" s="7"/>
      <c r="U879" s="6"/>
      <c r="V879" s="7"/>
      <c r="W879" s="6"/>
      <c r="X879" s="7"/>
    </row>
    <row r="880" spans="1:24" ht="38.25" x14ac:dyDescent="0.2">
      <c r="A880" s="6"/>
      <c r="B880" s="7"/>
      <c r="C880" s="6"/>
      <c r="D880" s="7"/>
      <c r="E880" s="6"/>
      <c r="F880" s="7"/>
      <c r="G880" s="6"/>
      <c r="H880" s="7"/>
      <c r="I880" s="6"/>
      <c r="J880" s="7"/>
      <c r="K880" s="96" t="str">
        <f>HYPERLINK("#'Healthcare'!AGV1","Q6.5.11_1")</f>
        <v>Q6.5.11_1</v>
      </c>
      <c r="L880" s="93" t="str">
        <f>HYPERLINK("#'Healthcare'!AGV2","Primary national HMO medical plan out-of-network services with separate deductibles: Not applicable - no separate deductibles")</f>
        <v>Primary national HMO medical plan out-of-network services with separate deductibles: Not applicable - no separate deductibles</v>
      </c>
      <c r="M880" s="6"/>
      <c r="N880" s="7"/>
      <c r="O880" s="6"/>
      <c r="P880" s="7"/>
      <c r="Q880" s="6"/>
      <c r="R880" s="7"/>
      <c r="S880" s="6"/>
      <c r="T880" s="7"/>
      <c r="U880" s="6"/>
      <c r="V880" s="7"/>
      <c r="W880" s="6"/>
      <c r="X880" s="7"/>
    </row>
    <row r="881" spans="1:24" ht="38.25" x14ac:dyDescent="0.2">
      <c r="A881" s="6"/>
      <c r="B881" s="7"/>
      <c r="C881" s="6"/>
      <c r="D881" s="7"/>
      <c r="E881" s="6"/>
      <c r="F881" s="7"/>
      <c r="G881" s="6"/>
      <c r="H881" s="7"/>
      <c r="I881" s="6"/>
      <c r="J881" s="7"/>
      <c r="K881" s="96" t="str">
        <f>HYPERLINK("#'Healthcare'!AGW1","Q6.5.11_2")</f>
        <v>Q6.5.11_2</v>
      </c>
      <c r="L881" s="93" t="str">
        <f>HYPERLINK("#'Healthcare'!AGW2","Primary national HMO medical plan out-of-network services with separate deductibles: Acupuncture")</f>
        <v>Primary national HMO medical plan out-of-network services with separate deductibles: Acupuncture</v>
      </c>
      <c r="M881" s="6"/>
      <c r="N881" s="7"/>
      <c r="O881" s="6"/>
      <c r="P881" s="7"/>
      <c r="Q881" s="6"/>
      <c r="R881" s="7"/>
      <c r="S881" s="6"/>
      <c r="T881" s="7"/>
      <c r="U881" s="6"/>
      <c r="V881" s="7"/>
      <c r="W881" s="6"/>
      <c r="X881" s="7"/>
    </row>
    <row r="882" spans="1:24" ht="38.25" x14ac:dyDescent="0.2">
      <c r="A882" s="6"/>
      <c r="B882" s="7"/>
      <c r="C882" s="6"/>
      <c r="D882" s="7"/>
      <c r="E882" s="6"/>
      <c r="F882" s="7"/>
      <c r="G882" s="6"/>
      <c r="H882" s="7"/>
      <c r="I882" s="6"/>
      <c r="J882" s="7"/>
      <c r="K882" s="96" t="str">
        <f>HYPERLINK("#'Healthcare'!AGX1","Q6.5.11_3")</f>
        <v>Q6.5.11_3</v>
      </c>
      <c r="L882" s="93" t="str">
        <f>HYPERLINK("#'Healthcare'!AGX2","Primary national HMO medical plan out-of-network services with separate deductibles: Chiropractic")</f>
        <v>Primary national HMO medical plan out-of-network services with separate deductibles: Chiropractic</v>
      </c>
      <c r="M882" s="6"/>
      <c r="N882" s="7"/>
      <c r="O882" s="6"/>
      <c r="P882" s="7"/>
      <c r="Q882" s="6"/>
      <c r="R882" s="7"/>
      <c r="S882" s="6"/>
      <c r="T882" s="7"/>
      <c r="U882" s="6"/>
      <c r="V882" s="7"/>
      <c r="W882" s="6"/>
      <c r="X882" s="7"/>
    </row>
    <row r="883" spans="1:24" ht="38.25" x14ac:dyDescent="0.2">
      <c r="A883" s="6"/>
      <c r="B883" s="7"/>
      <c r="C883" s="6"/>
      <c r="D883" s="7"/>
      <c r="E883" s="6"/>
      <c r="F883" s="7"/>
      <c r="G883" s="6"/>
      <c r="H883" s="7"/>
      <c r="I883" s="6"/>
      <c r="J883" s="7"/>
      <c r="K883" s="96" t="str">
        <f>HYPERLINK("#'Healthcare'!AGY1","Q6.5.11_4")</f>
        <v>Q6.5.11_4</v>
      </c>
      <c r="L883" s="93" t="str">
        <f>HYPERLINK("#'Healthcare'!AGY2","Primary national HMO medical plan out-of-network services with separate deductibles: Emergency room (true emergency)")</f>
        <v>Primary national HMO medical plan out-of-network services with separate deductibles: Emergency room (true emergency)</v>
      </c>
      <c r="M883" s="6"/>
      <c r="N883" s="7"/>
      <c r="O883" s="6"/>
      <c r="P883" s="7"/>
      <c r="Q883" s="6"/>
      <c r="R883" s="7"/>
      <c r="S883" s="6"/>
      <c r="T883" s="7"/>
      <c r="U883" s="6"/>
      <c r="V883" s="7"/>
      <c r="W883" s="6"/>
      <c r="X883" s="7"/>
    </row>
    <row r="884" spans="1:24" ht="38.25" x14ac:dyDescent="0.2">
      <c r="A884" s="6"/>
      <c r="B884" s="7"/>
      <c r="C884" s="6"/>
      <c r="D884" s="7"/>
      <c r="E884" s="6"/>
      <c r="F884" s="7"/>
      <c r="G884" s="6"/>
      <c r="H884" s="7"/>
      <c r="I884" s="6"/>
      <c r="J884" s="7"/>
      <c r="K884" s="96" t="str">
        <f>HYPERLINK("#'Healthcare'!AGZ1","Q6.5.11_5")</f>
        <v>Q6.5.11_5</v>
      </c>
      <c r="L884" s="93" t="str">
        <f>HYPERLINK("#'Healthcare'!AGZ2","Primary national HMO medical plan out-of-network services with separate deductibles: Emergency room (non-emergency)")</f>
        <v>Primary national HMO medical plan out-of-network services with separate deductibles: Emergency room (non-emergency)</v>
      </c>
      <c r="M884" s="6"/>
      <c r="N884" s="7"/>
      <c r="O884" s="6"/>
      <c r="P884" s="7"/>
      <c r="Q884" s="6"/>
      <c r="R884" s="7"/>
      <c r="S884" s="6"/>
      <c r="T884" s="7"/>
      <c r="U884" s="6"/>
      <c r="V884" s="7"/>
      <c r="W884" s="6"/>
      <c r="X884" s="7"/>
    </row>
    <row r="885" spans="1:24" ht="38.25" x14ac:dyDescent="0.2">
      <c r="A885" s="6"/>
      <c r="B885" s="7"/>
      <c r="C885" s="6"/>
      <c r="D885" s="7"/>
      <c r="E885" s="6"/>
      <c r="F885" s="7"/>
      <c r="G885" s="6"/>
      <c r="H885" s="7"/>
      <c r="I885" s="6"/>
      <c r="J885" s="7"/>
      <c r="K885" s="96" t="str">
        <f>HYPERLINK("#'Healthcare'!AHA1","Q6.5.11_6")</f>
        <v>Q6.5.11_6</v>
      </c>
      <c r="L885" s="93" t="str">
        <f>HYPERLINK("#'Healthcare'!AHA2","Primary national HMO medical plan out-of-network services with separate deductibles: Emergency room (with hospital admittance)")</f>
        <v>Primary national HMO medical plan out-of-network services with separate deductibles: Emergency room (with hospital admittance)</v>
      </c>
      <c r="M885" s="6"/>
      <c r="N885" s="7"/>
      <c r="O885" s="6"/>
      <c r="P885" s="7"/>
      <c r="Q885" s="6"/>
      <c r="R885" s="7"/>
      <c r="S885" s="6"/>
      <c r="T885" s="7"/>
      <c r="U885" s="6"/>
      <c r="V885" s="7"/>
      <c r="W885" s="6"/>
      <c r="X885" s="7"/>
    </row>
    <row r="886" spans="1:24" ht="38.25" x14ac:dyDescent="0.2">
      <c r="A886" s="6"/>
      <c r="B886" s="7"/>
      <c r="C886" s="6"/>
      <c r="D886" s="7"/>
      <c r="E886" s="6"/>
      <c r="F886" s="7"/>
      <c r="G886" s="6"/>
      <c r="H886" s="7"/>
      <c r="I886" s="6"/>
      <c r="J886" s="7"/>
      <c r="K886" s="96" t="str">
        <f>HYPERLINK("#'Healthcare'!AHB1","Q6.5.11_7")</f>
        <v>Q6.5.11_7</v>
      </c>
      <c r="L886" s="93" t="str">
        <f>HYPERLINK("#'Healthcare'!AHB2","Primary national HMO medical plan out-of-network services with separate deductibles: Inpatient hospital")</f>
        <v>Primary national HMO medical plan out-of-network services with separate deductibles: Inpatient hospital</v>
      </c>
      <c r="M886" s="6"/>
      <c r="N886" s="7"/>
      <c r="O886" s="6"/>
      <c r="P886" s="7"/>
      <c r="Q886" s="6"/>
      <c r="R886" s="7"/>
      <c r="S886" s="6"/>
      <c r="T886" s="7"/>
      <c r="U886" s="6"/>
      <c r="V886" s="7"/>
      <c r="W886" s="6"/>
      <c r="X886" s="7"/>
    </row>
    <row r="887" spans="1:24" ht="38.25" x14ac:dyDescent="0.2">
      <c r="A887" s="6"/>
      <c r="B887" s="7"/>
      <c r="C887" s="6"/>
      <c r="D887" s="7"/>
      <c r="E887" s="6"/>
      <c r="F887" s="7"/>
      <c r="G887" s="6"/>
      <c r="H887" s="7"/>
      <c r="I887" s="6"/>
      <c r="J887" s="7"/>
      <c r="K887" s="96" t="str">
        <f>HYPERLINK("#'Healthcare'!AHC1","Q6.5.11_8")</f>
        <v>Q6.5.11_8</v>
      </c>
      <c r="L887" s="93" t="str">
        <f>HYPERLINK("#'Healthcare'!AHC2","Primary national HMO medical plan out-of-network services with separate deductibles: Mental health/substance abuse")</f>
        <v>Primary national HMO medical plan out-of-network services with separate deductibles: Mental health/substance abuse</v>
      </c>
      <c r="M887" s="6"/>
      <c r="N887" s="7"/>
      <c r="O887" s="6"/>
      <c r="P887" s="7"/>
      <c r="Q887" s="6"/>
      <c r="R887" s="7"/>
      <c r="S887" s="6"/>
      <c r="T887" s="7"/>
      <c r="U887" s="6"/>
      <c r="V887" s="7"/>
      <c r="W887" s="6"/>
      <c r="X887" s="7"/>
    </row>
    <row r="888" spans="1:24" ht="38.25" x14ac:dyDescent="0.2">
      <c r="A888" s="6"/>
      <c r="B888" s="7"/>
      <c r="C888" s="6"/>
      <c r="D888" s="7"/>
      <c r="E888" s="6"/>
      <c r="F888" s="7"/>
      <c r="G888" s="6"/>
      <c r="H888" s="7"/>
      <c r="I888" s="6"/>
      <c r="J888" s="7"/>
      <c r="K888" s="96" t="str">
        <f>HYPERLINK("#'Healthcare'!AHD1","Q6.5.11_9")</f>
        <v>Q6.5.11_9</v>
      </c>
      <c r="L888" s="93" t="str">
        <f>HYPERLINK("#'Healthcare'!AHD2","Primary national HMO medical plan out-of-network services with separate deductibles: Outpatient surgical center")</f>
        <v>Primary national HMO medical plan out-of-network services with separate deductibles: Outpatient surgical center</v>
      </c>
      <c r="M888" s="6"/>
      <c r="N888" s="7"/>
      <c r="O888" s="6"/>
      <c r="P888" s="7"/>
      <c r="Q888" s="6"/>
      <c r="R888" s="7"/>
      <c r="S888" s="6"/>
      <c r="T888" s="7"/>
      <c r="U888" s="6"/>
      <c r="V888" s="7"/>
      <c r="W888" s="6"/>
      <c r="X888" s="7"/>
    </row>
    <row r="889" spans="1:24" ht="38.25" x14ac:dyDescent="0.2">
      <c r="A889" s="6"/>
      <c r="B889" s="7"/>
      <c r="C889" s="6"/>
      <c r="D889" s="7"/>
      <c r="E889" s="6"/>
      <c r="F889" s="7"/>
      <c r="G889" s="6"/>
      <c r="H889" s="7"/>
      <c r="I889" s="6"/>
      <c r="J889" s="7"/>
      <c r="K889" s="96" t="str">
        <f>HYPERLINK("#'Healthcare'!AHE1","Q6.5.11_10")</f>
        <v>Q6.5.11_10</v>
      </c>
      <c r="L889" s="93" t="str">
        <f>HYPERLINK("#'Healthcare'!AHE2","Primary national HMO medical plan out-of-network services with separate deductibles: Prescription drugs (preventive)")</f>
        <v>Primary national HMO medical plan out-of-network services with separate deductibles: Prescription drugs (preventive)</v>
      </c>
      <c r="M889" s="6"/>
      <c r="N889" s="7"/>
      <c r="O889" s="6"/>
      <c r="P889" s="7"/>
      <c r="Q889" s="6"/>
      <c r="R889" s="7"/>
      <c r="S889" s="6"/>
      <c r="T889" s="7"/>
      <c r="U889" s="6"/>
      <c r="V889" s="7"/>
      <c r="W889" s="6"/>
      <c r="X889" s="7"/>
    </row>
    <row r="890" spans="1:24" ht="38.25" x14ac:dyDescent="0.2">
      <c r="A890" s="6"/>
      <c r="B890" s="7"/>
      <c r="C890" s="6"/>
      <c r="D890" s="7"/>
      <c r="E890" s="6"/>
      <c r="F890" s="7"/>
      <c r="G890" s="6"/>
      <c r="H890" s="7"/>
      <c r="I890" s="6"/>
      <c r="J890" s="7"/>
      <c r="K890" s="96" t="str">
        <f>HYPERLINK("#'Healthcare'!AHF1","Q6.5.11_11")</f>
        <v>Q6.5.11_11</v>
      </c>
      <c r="L890" s="93" t="str">
        <f>HYPERLINK("#'Healthcare'!AHF2","Primary national HMO medical plan out-of-network services with separate deductibles: Prescription drugs (non-preventive)")</f>
        <v>Primary national HMO medical plan out-of-network services with separate deductibles: Prescription drugs (non-preventive)</v>
      </c>
      <c r="M890" s="6"/>
      <c r="N890" s="7"/>
      <c r="O890" s="6"/>
      <c r="P890" s="7"/>
      <c r="Q890" s="6"/>
      <c r="R890" s="7"/>
      <c r="S890" s="6"/>
      <c r="T890" s="7"/>
      <c r="U890" s="6"/>
      <c r="V890" s="7"/>
      <c r="W890" s="6"/>
      <c r="X890" s="7"/>
    </row>
    <row r="891" spans="1:24" ht="38.25" x14ac:dyDescent="0.2">
      <c r="A891" s="6"/>
      <c r="B891" s="7"/>
      <c r="C891" s="6"/>
      <c r="D891" s="7"/>
      <c r="E891" s="6"/>
      <c r="F891" s="7"/>
      <c r="G891" s="6"/>
      <c r="H891" s="7"/>
      <c r="I891" s="6"/>
      <c r="J891" s="7"/>
      <c r="K891" s="96" t="str">
        <f>HYPERLINK("#'Healthcare'!AHG1","Q6.5.11_12")</f>
        <v>Q6.5.11_12</v>
      </c>
      <c r="L891" s="93" t="str">
        <f>HYPERLINK("#'Healthcare'!AHG2","Primary national HMO medical plan out-of-network services with separate deductibles: Therapies (e.g., speech, PT, OT)")</f>
        <v>Primary national HMO medical plan out-of-network services with separate deductibles: Therapies (e.g., speech, PT, OT)</v>
      </c>
      <c r="M891" s="6"/>
      <c r="N891" s="7"/>
      <c r="O891" s="6"/>
      <c r="P891" s="7"/>
      <c r="Q891" s="6"/>
      <c r="R891" s="7"/>
      <c r="S891" s="6"/>
      <c r="T891" s="7"/>
      <c r="U891" s="6"/>
      <c r="V891" s="7"/>
      <c r="W891" s="6"/>
      <c r="X891" s="7"/>
    </row>
    <row r="892" spans="1:24" ht="38.25" x14ac:dyDescent="0.2">
      <c r="A892" s="6"/>
      <c r="B892" s="7"/>
      <c r="C892" s="6"/>
      <c r="D892" s="7"/>
      <c r="E892" s="6"/>
      <c r="F892" s="7"/>
      <c r="G892" s="6"/>
      <c r="H892" s="7"/>
      <c r="I892" s="6"/>
      <c r="J892" s="7"/>
      <c r="K892" s="96" t="str">
        <f>HYPERLINK("#'Healthcare'!AHH1","Q6.5.11_13")</f>
        <v>Q6.5.11_13</v>
      </c>
      <c r="L892" s="93" t="str">
        <f>HYPERLINK("#'Healthcare'!AHH2","Primary national HMO medical plan out-of-network services with separate deductibles: Other")</f>
        <v>Primary national HMO medical plan out-of-network services with separate deductibles: Other</v>
      </c>
      <c r="M892" s="6"/>
      <c r="N892" s="7"/>
      <c r="O892" s="6"/>
      <c r="P892" s="7"/>
      <c r="Q892" s="6"/>
      <c r="R892" s="7"/>
      <c r="S892" s="6"/>
      <c r="T892" s="7"/>
      <c r="U892" s="6"/>
      <c r="V892" s="7"/>
      <c r="W892" s="6"/>
      <c r="X892" s="7"/>
    </row>
    <row r="893" spans="1:24" ht="38.25" x14ac:dyDescent="0.2">
      <c r="A893" s="6"/>
      <c r="B893" s="7"/>
      <c r="C893" s="6"/>
      <c r="D893" s="7"/>
      <c r="E893" s="6"/>
      <c r="F893" s="7"/>
      <c r="G893" s="6"/>
      <c r="H893" s="7"/>
      <c r="I893" s="6"/>
      <c r="J893" s="7"/>
      <c r="K893" s="96" t="str">
        <f>HYPERLINK("#'Healthcare'!AHI1","Q6.5.12_1")</f>
        <v>Q6.5.12_1</v>
      </c>
      <c r="L893" s="93" t="str">
        <f>HYPERLINK("#'Healthcare'!AHI2","Primary national HMO medical plan in-network deductible per person: Not applicable - no separate deductibles")</f>
        <v>Primary national HMO medical plan in-network deductible per person: Not applicable - no separate deductibles</v>
      </c>
      <c r="M893" s="6"/>
      <c r="N893" s="7"/>
      <c r="O893" s="6"/>
      <c r="P893" s="7"/>
      <c r="Q893" s="6"/>
      <c r="R893" s="7"/>
      <c r="S893" s="6"/>
      <c r="T893" s="7"/>
      <c r="U893" s="6"/>
      <c r="V893" s="7"/>
      <c r="W893" s="6"/>
      <c r="X893" s="7"/>
    </row>
    <row r="894" spans="1:24" ht="25.5" x14ac:dyDescent="0.2">
      <c r="A894" s="6"/>
      <c r="B894" s="7"/>
      <c r="C894" s="6"/>
      <c r="D894" s="7"/>
      <c r="E894" s="6"/>
      <c r="F894" s="7"/>
      <c r="G894" s="6"/>
      <c r="H894" s="7"/>
      <c r="I894" s="6"/>
      <c r="J894" s="7"/>
      <c r="K894" s="96" t="str">
        <f>HYPERLINK("#'Healthcare'!AHJ1","Q6.5.12_5")</f>
        <v>Q6.5.12_5</v>
      </c>
      <c r="L894" s="93" t="str">
        <f>HYPERLINK("#'Healthcare'!AHJ2","Primary national HMO medical plan in-network deductible per person: Acupuncture")</f>
        <v>Primary national HMO medical plan in-network deductible per person: Acupuncture</v>
      </c>
      <c r="M894" s="6"/>
      <c r="N894" s="7"/>
      <c r="O894" s="6"/>
      <c r="P894" s="7"/>
      <c r="Q894" s="6"/>
      <c r="R894" s="7"/>
      <c r="S894" s="6"/>
      <c r="T894" s="7"/>
      <c r="U894" s="6"/>
      <c r="V894" s="7"/>
      <c r="W894" s="6"/>
      <c r="X894" s="7"/>
    </row>
    <row r="895" spans="1:24" ht="25.5" x14ac:dyDescent="0.2">
      <c r="A895" s="6"/>
      <c r="B895" s="7"/>
      <c r="C895" s="6"/>
      <c r="D895" s="7"/>
      <c r="E895" s="6"/>
      <c r="F895" s="7"/>
      <c r="G895" s="6"/>
      <c r="H895" s="7"/>
      <c r="I895" s="6"/>
      <c r="J895" s="7"/>
      <c r="K895" s="96" t="str">
        <f>HYPERLINK("#'Healthcare'!AHK1","Q6.5.12_6")</f>
        <v>Q6.5.12_6</v>
      </c>
      <c r="L895" s="93" t="str">
        <f>HYPERLINK("#'Healthcare'!AHK2","Primary national HMO medical plan in-network deductible per person: Chiropractic")</f>
        <v>Primary national HMO medical plan in-network deductible per person: Chiropractic</v>
      </c>
      <c r="M895" s="6"/>
      <c r="N895" s="7"/>
      <c r="O895" s="6"/>
      <c r="P895" s="7"/>
      <c r="Q895" s="6"/>
      <c r="R895" s="7"/>
      <c r="S895" s="6"/>
      <c r="T895" s="7"/>
      <c r="U895" s="6"/>
      <c r="V895" s="7"/>
      <c r="W895" s="6"/>
      <c r="X895" s="7"/>
    </row>
    <row r="896" spans="1:24" ht="38.25" x14ac:dyDescent="0.2">
      <c r="A896" s="6"/>
      <c r="B896" s="7"/>
      <c r="C896" s="6"/>
      <c r="D896" s="7"/>
      <c r="E896" s="6"/>
      <c r="F896" s="7"/>
      <c r="G896" s="6"/>
      <c r="H896" s="7"/>
      <c r="I896" s="6"/>
      <c r="J896" s="7"/>
      <c r="K896" s="96" t="str">
        <f>HYPERLINK("#'Healthcare'!AHL1","Q6.5.12_7")</f>
        <v>Q6.5.12_7</v>
      </c>
      <c r="L896" s="93" t="str">
        <f>HYPERLINK("#'Healthcare'!AHL2","Primary national HMO medical plan in-network deductible per person: Emergency room (true emergency)")</f>
        <v>Primary national HMO medical plan in-network deductible per person: Emergency room (true emergency)</v>
      </c>
      <c r="M896" s="6"/>
      <c r="N896" s="7"/>
      <c r="O896" s="6"/>
      <c r="P896" s="7"/>
      <c r="Q896" s="6"/>
      <c r="R896" s="7"/>
      <c r="S896" s="6"/>
      <c r="T896" s="7"/>
      <c r="U896" s="6"/>
      <c r="V896" s="7"/>
      <c r="W896" s="6"/>
      <c r="X896" s="7"/>
    </row>
    <row r="897" spans="1:24" ht="38.25" x14ac:dyDescent="0.2">
      <c r="A897" s="6"/>
      <c r="B897" s="7"/>
      <c r="C897" s="6"/>
      <c r="D897" s="7"/>
      <c r="E897" s="6"/>
      <c r="F897" s="7"/>
      <c r="G897" s="6"/>
      <c r="H897" s="7"/>
      <c r="I897" s="6"/>
      <c r="J897" s="7"/>
      <c r="K897" s="96" t="str">
        <f>HYPERLINK("#'Healthcare'!AHM1","Q6.5.12_8")</f>
        <v>Q6.5.12_8</v>
      </c>
      <c r="L897" s="93" t="str">
        <f>HYPERLINK("#'Healthcare'!AHM2","Primary national HMO medical plan in-network deductible per person: Emergency room (non-emergency)")</f>
        <v>Primary national HMO medical plan in-network deductible per person: Emergency room (non-emergency)</v>
      </c>
      <c r="M897" s="6"/>
      <c r="N897" s="7"/>
      <c r="O897" s="6"/>
      <c r="P897" s="7"/>
      <c r="Q897" s="6"/>
      <c r="R897" s="7"/>
      <c r="S897" s="6"/>
      <c r="T897" s="7"/>
      <c r="U897" s="6"/>
      <c r="V897" s="7"/>
      <c r="W897" s="6"/>
      <c r="X897" s="7"/>
    </row>
    <row r="898" spans="1:24" ht="38.25" x14ac:dyDescent="0.2">
      <c r="A898" s="6"/>
      <c r="B898" s="7"/>
      <c r="C898" s="6"/>
      <c r="D898" s="7"/>
      <c r="E898" s="6"/>
      <c r="F898" s="7"/>
      <c r="G898" s="6"/>
      <c r="H898" s="7"/>
      <c r="I898" s="6"/>
      <c r="J898" s="7"/>
      <c r="K898" s="96" t="str">
        <f>HYPERLINK("#'Healthcare'!AHN1","Q6.5.12_9")</f>
        <v>Q6.5.12_9</v>
      </c>
      <c r="L898" s="93" t="str">
        <f>HYPERLINK("#'Healthcare'!AHN2","Primary national HMO medical plan in-network deductible per person: Emergency room (with hospital admittance)")</f>
        <v>Primary national HMO medical plan in-network deductible per person: Emergency room (with hospital admittance)</v>
      </c>
      <c r="M898" s="6"/>
      <c r="N898" s="7"/>
      <c r="O898" s="6"/>
      <c r="P898" s="7"/>
      <c r="Q898" s="6"/>
      <c r="R898" s="7"/>
      <c r="S898" s="6"/>
      <c r="T898" s="7"/>
      <c r="U898" s="6"/>
      <c r="V898" s="7"/>
      <c r="W898" s="6"/>
      <c r="X898" s="7"/>
    </row>
    <row r="899" spans="1:24" ht="25.5" x14ac:dyDescent="0.2">
      <c r="A899" s="6"/>
      <c r="B899" s="7"/>
      <c r="C899" s="6"/>
      <c r="D899" s="7"/>
      <c r="E899" s="6"/>
      <c r="F899" s="7"/>
      <c r="G899" s="6"/>
      <c r="H899" s="7"/>
      <c r="I899" s="6"/>
      <c r="J899" s="7"/>
      <c r="K899" s="96" t="str">
        <f>HYPERLINK("#'Healthcare'!AHO1","Q6.5.12_10")</f>
        <v>Q6.5.12_10</v>
      </c>
      <c r="L899" s="93" t="str">
        <f>HYPERLINK("#'Healthcare'!AHO2","Primary national HMO medical plan in-network deductible per person: In-patient hospital")</f>
        <v>Primary national HMO medical plan in-network deductible per person: In-patient hospital</v>
      </c>
      <c r="M899" s="6"/>
      <c r="N899" s="7"/>
      <c r="O899" s="6"/>
      <c r="P899" s="7"/>
      <c r="Q899" s="6"/>
      <c r="R899" s="7"/>
      <c r="S899" s="6"/>
      <c r="T899" s="7"/>
      <c r="U899" s="6"/>
      <c r="V899" s="7"/>
      <c r="W899" s="6"/>
      <c r="X899" s="7"/>
    </row>
    <row r="900" spans="1:24" ht="38.25" x14ac:dyDescent="0.2">
      <c r="A900" s="6"/>
      <c r="B900" s="7"/>
      <c r="C900" s="6"/>
      <c r="D900" s="7"/>
      <c r="E900" s="6"/>
      <c r="F900" s="7"/>
      <c r="G900" s="6"/>
      <c r="H900" s="7"/>
      <c r="I900" s="6"/>
      <c r="J900" s="7"/>
      <c r="K900" s="96" t="str">
        <f>HYPERLINK("#'Healthcare'!AHP1","Q6.5.12_11")</f>
        <v>Q6.5.12_11</v>
      </c>
      <c r="L900" s="93" t="str">
        <f>HYPERLINK("#'Healthcare'!AHP2","Primary national HMO medical plan in-network deductible per person: Mental health/substance abuse")</f>
        <v>Primary national HMO medical plan in-network deductible per person: Mental health/substance abuse</v>
      </c>
      <c r="M900" s="6"/>
      <c r="N900" s="7"/>
      <c r="O900" s="6"/>
      <c r="P900" s="7"/>
      <c r="Q900" s="6"/>
      <c r="R900" s="7"/>
      <c r="S900" s="6"/>
      <c r="T900" s="7"/>
      <c r="U900" s="6"/>
      <c r="V900" s="7"/>
      <c r="W900" s="6"/>
      <c r="X900" s="7"/>
    </row>
    <row r="901" spans="1:24" ht="38.25" x14ac:dyDescent="0.2">
      <c r="A901" s="6"/>
      <c r="B901" s="7"/>
      <c r="C901" s="6"/>
      <c r="D901" s="7"/>
      <c r="E901" s="6"/>
      <c r="F901" s="7"/>
      <c r="G901" s="6"/>
      <c r="H901" s="7"/>
      <c r="I901" s="6"/>
      <c r="J901" s="7"/>
      <c r="K901" s="96" t="str">
        <f>HYPERLINK("#'Healthcare'!AHQ1","Q6.5.12_12")</f>
        <v>Q6.5.12_12</v>
      </c>
      <c r="L901" s="93" t="str">
        <f>HYPERLINK("#'Healthcare'!AHQ2","Primary national HMO medical plan in-network deductible per person: Out-patient surgical center")</f>
        <v>Primary national HMO medical plan in-network deductible per person: Out-patient surgical center</v>
      </c>
      <c r="M901" s="6"/>
      <c r="N901" s="7"/>
      <c r="O901" s="6"/>
      <c r="P901" s="7"/>
      <c r="Q901" s="6"/>
      <c r="R901" s="7"/>
      <c r="S901" s="6"/>
      <c r="T901" s="7"/>
      <c r="U901" s="6"/>
      <c r="V901" s="7"/>
      <c r="W901" s="6"/>
      <c r="X901" s="7"/>
    </row>
    <row r="902" spans="1:24" ht="38.25" x14ac:dyDescent="0.2">
      <c r="A902" s="6"/>
      <c r="B902" s="7"/>
      <c r="C902" s="6"/>
      <c r="D902" s="7"/>
      <c r="E902" s="6"/>
      <c r="F902" s="7"/>
      <c r="G902" s="6"/>
      <c r="H902" s="7"/>
      <c r="I902" s="6"/>
      <c r="J902" s="7"/>
      <c r="K902" s="96" t="str">
        <f>HYPERLINK("#'Healthcare'!AHR1","Q6.5.12_13")</f>
        <v>Q6.5.12_13</v>
      </c>
      <c r="L902" s="93" t="str">
        <f>HYPERLINK("#'Healthcare'!AHR2","Primary national HMO medical plan in-network deductible per person: Prescription drugs (preventive)")</f>
        <v>Primary national HMO medical plan in-network deductible per person: Prescription drugs (preventive)</v>
      </c>
      <c r="M902" s="6"/>
      <c r="N902" s="7"/>
      <c r="O902" s="6"/>
      <c r="P902" s="7"/>
      <c r="Q902" s="6"/>
      <c r="R902" s="7"/>
      <c r="S902" s="6"/>
      <c r="T902" s="7"/>
      <c r="U902" s="6"/>
      <c r="V902" s="7"/>
      <c r="W902" s="6"/>
      <c r="X902" s="7"/>
    </row>
    <row r="903" spans="1:24" ht="38.25" x14ac:dyDescent="0.2">
      <c r="A903" s="6"/>
      <c r="B903" s="7"/>
      <c r="C903" s="6"/>
      <c r="D903" s="7"/>
      <c r="E903" s="6"/>
      <c r="F903" s="7"/>
      <c r="G903" s="6"/>
      <c r="H903" s="7"/>
      <c r="I903" s="6"/>
      <c r="J903" s="7"/>
      <c r="K903" s="96" t="str">
        <f>HYPERLINK("#'Healthcare'!AHS1","Q6.5.12_14")</f>
        <v>Q6.5.12_14</v>
      </c>
      <c r="L903" s="93" t="str">
        <f>HYPERLINK("#'Healthcare'!AHS2","Primary national HMO medical plan in-network deductible per person: Prescription drugs (non-preventive)")</f>
        <v>Primary national HMO medical plan in-network deductible per person: Prescription drugs (non-preventive)</v>
      </c>
      <c r="M903" s="6"/>
      <c r="N903" s="7"/>
      <c r="O903" s="6"/>
      <c r="P903" s="7"/>
      <c r="Q903" s="6"/>
      <c r="R903" s="7"/>
      <c r="S903" s="6"/>
      <c r="T903" s="7"/>
      <c r="U903" s="6"/>
      <c r="V903" s="7"/>
      <c r="W903" s="6"/>
      <c r="X903" s="7"/>
    </row>
    <row r="904" spans="1:24" ht="38.25" x14ac:dyDescent="0.2">
      <c r="A904" s="6"/>
      <c r="B904" s="7"/>
      <c r="C904" s="6"/>
      <c r="D904" s="7"/>
      <c r="E904" s="6"/>
      <c r="F904" s="7"/>
      <c r="G904" s="6"/>
      <c r="H904" s="7"/>
      <c r="I904" s="6"/>
      <c r="J904" s="7"/>
      <c r="K904" s="96" t="str">
        <f>HYPERLINK("#'Healthcare'!AHT1","Q6.5.12_15")</f>
        <v>Q6.5.12_15</v>
      </c>
      <c r="L904" s="93" t="str">
        <f>HYPERLINK("#'Healthcare'!AHT2","Primary national HMO medical plan in-network deductible per person: Therapies (speech, PT, OT)")</f>
        <v>Primary national HMO medical plan in-network deductible per person: Therapies (speech, PT, OT)</v>
      </c>
      <c r="M904" s="6"/>
      <c r="N904" s="7"/>
      <c r="O904" s="6"/>
      <c r="P904" s="7"/>
      <c r="Q904" s="6"/>
      <c r="R904" s="7"/>
      <c r="S904" s="6"/>
      <c r="T904" s="7"/>
      <c r="U904" s="6"/>
      <c r="V904" s="7"/>
      <c r="W904" s="6"/>
      <c r="X904" s="7"/>
    </row>
    <row r="905" spans="1:24" ht="25.5" x14ac:dyDescent="0.2">
      <c r="A905" s="6"/>
      <c r="B905" s="7"/>
      <c r="C905" s="6"/>
      <c r="D905" s="7"/>
      <c r="E905" s="6"/>
      <c r="F905" s="7"/>
      <c r="G905" s="6"/>
      <c r="H905" s="7"/>
      <c r="I905" s="6"/>
      <c r="J905" s="7"/>
      <c r="K905" s="96" t="str">
        <f>HYPERLINK("#'Healthcare'!AHU1","Q6.5.12_16")</f>
        <v>Q6.5.12_16</v>
      </c>
      <c r="L905" s="93" t="str">
        <f>HYPERLINK("#'Healthcare'!AHU2","Primary national HMO medical plan in-network deductible per person: Other")</f>
        <v>Primary national HMO medical plan in-network deductible per person: Other</v>
      </c>
      <c r="M905" s="6"/>
      <c r="N905" s="7"/>
      <c r="O905" s="6"/>
      <c r="P905" s="7"/>
      <c r="Q905" s="6"/>
      <c r="R905" s="7"/>
      <c r="S905" s="6"/>
      <c r="T905" s="7"/>
      <c r="U905" s="6"/>
      <c r="V905" s="7"/>
      <c r="W905" s="6"/>
      <c r="X905" s="7"/>
    </row>
    <row r="906" spans="1:24" ht="38.25" x14ac:dyDescent="0.2">
      <c r="A906" s="6"/>
      <c r="B906" s="7"/>
      <c r="C906" s="6"/>
      <c r="D906" s="7"/>
      <c r="E906" s="6"/>
      <c r="F906" s="7"/>
      <c r="G906" s="6"/>
      <c r="H906" s="7"/>
      <c r="I906" s="6"/>
      <c r="J906" s="7"/>
      <c r="K906" s="96" t="str">
        <f>HYPERLINK("#'Healthcare'!AHV1","Q6.5.13_1")</f>
        <v>Q6.5.13_1</v>
      </c>
      <c r="L906" s="93" t="str">
        <f>HYPERLINK("#'Healthcare'!AHV2","Primary national HMO medical plan in-network deductible per family: Not applicable - no separate deductibles")</f>
        <v>Primary national HMO medical plan in-network deductible per family: Not applicable - no separate deductibles</v>
      </c>
      <c r="M906" s="6"/>
      <c r="N906" s="7"/>
      <c r="O906" s="6"/>
      <c r="P906" s="7"/>
      <c r="Q906" s="6"/>
      <c r="R906" s="7"/>
      <c r="S906" s="6"/>
      <c r="T906" s="7"/>
      <c r="U906" s="6"/>
      <c r="V906" s="7"/>
      <c r="W906" s="6"/>
      <c r="X906" s="7"/>
    </row>
    <row r="907" spans="1:24" ht="25.5" x14ac:dyDescent="0.2">
      <c r="A907" s="6"/>
      <c r="B907" s="7"/>
      <c r="C907" s="6"/>
      <c r="D907" s="7"/>
      <c r="E907" s="6"/>
      <c r="F907" s="7"/>
      <c r="G907" s="6"/>
      <c r="H907" s="7"/>
      <c r="I907" s="6"/>
      <c r="J907" s="7"/>
      <c r="K907" s="96" t="str">
        <f>HYPERLINK("#'Healthcare'!AHW1","Q6.5.13_5")</f>
        <v>Q6.5.13_5</v>
      </c>
      <c r="L907" s="93" t="str">
        <f>HYPERLINK("#'Healthcare'!AHW2","Primary national HMO medical plan in-network deductible per family: Acupuncture")</f>
        <v>Primary national HMO medical plan in-network deductible per family: Acupuncture</v>
      </c>
      <c r="M907" s="6"/>
      <c r="N907" s="7"/>
      <c r="O907" s="6"/>
      <c r="P907" s="7"/>
      <c r="Q907" s="6"/>
      <c r="R907" s="7"/>
      <c r="S907" s="6"/>
      <c r="T907" s="7"/>
      <c r="U907" s="6"/>
      <c r="V907" s="7"/>
      <c r="W907" s="6"/>
      <c r="X907" s="7"/>
    </row>
    <row r="908" spans="1:24" ht="25.5" x14ac:dyDescent="0.2">
      <c r="A908" s="6"/>
      <c r="B908" s="7"/>
      <c r="C908" s="6"/>
      <c r="D908" s="7"/>
      <c r="E908" s="6"/>
      <c r="F908" s="7"/>
      <c r="G908" s="6"/>
      <c r="H908" s="7"/>
      <c r="I908" s="6"/>
      <c r="J908" s="7"/>
      <c r="K908" s="96" t="str">
        <f>HYPERLINK("#'Healthcare'!AHX1","Q6.5.13_6")</f>
        <v>Q6.5.13_6</v>
      </c>
      <c r="L908" s="93" t="str">
        <f>HYPERLINK("#'Healthcare'!AHX2","Primary national HMO medical plan in-network deductible per family: Chiropractic")</f>
        <v>Primary national HMO medical plan in-network deductible per family: Chiropractic</v>
      </c>
      <c r="M908" s="6"/>
      <c r="N908" s="7"/>
      <c r="O908" s="6"/>
      <c r="P908" s="7"/>
      <c r="Q908" s="6"/>
      <c r="R908" s="7"/>
      <c r="S908" s="6"/>
      <c r="T908" s="7"/>
      <c r="U908" s="6"/>
      <c r="V908" s="7"/>
      <c r="W908" s="6"/>
      <c r="X908" s="7"/>
    </row>
    <row r="909" spans="1:24" ht="38.25" x14ac:dyDescent="0.2">
      <c r="A909" s="6"/>
      <c r="B909" s="7"/>
      <c r="C909" s="6"/>
      <c r="D909" s="7"/>
      <c r="E909" s="6"/>
      <c r="F909" s="7"/>
      <c r="G909" s="6"/>
      <c r="H909" s="7"/>
      <c r="I909" s="6"/>
      <c r="J909" s="7"/>
      <c r="K909" s="96" t="str">
        <f>HYPERLINK("#'Healthcare'!AHY1","Q6.5.13_7")</f>
        <v>Q6.5.13_7</v>
      </c>
      <c r="L909" s="93" t="str">
        <f>HYPERLINK("#'Healthcare'!AHY2","Primary national HMO medical plan in-network deductible per family: Emergency room (true emergency)")</f>
        <v>Primary national HMO medical plan in-network deductible per family: Emergency room (true emergency)</v>
      </c>
      <c r="M909" s="6"/>
      <c r="N909" s="7"/>
      <c r="O909" s="6"/>
      <c r="P909" s="7"/>
      <c r="Q909" s="6"/>
      <c r="R909" s="7"/>
      <c r="S909" s="6"/>
      <c r="T909" s="7"/>
      <c r="U909" s="6"/>
      <c r="V909" s="7"/>
      <c r="W909" s="6"/>
      <c r="X909" s="7"/>
    </row>
    <row r="910" spans="1:24" ht="38.25" x14ac:dyDescent="0.2">
      <c r="A910" s="6"/>
      <c r="B910" s="7"/>
      <c r="C910" s="6"/>
      <c r="D910" s="7"/>
      <c r="E910" s="6"/>
      <c r="F910" s="7"/>
      <c r="G910" s="6"/>
      <c r="H910" s="7"/>
      <c r="I910" s="6"/>
      <c r="J910" s="7"/>
      <c r="K910" s="96" t="str">
        <f>HYPERLINK("#'Healthcare'!AHZ1","Q6.5.13_8")</f>
        <v>Q6.5.13_8</v>
      </c>
      <c r="L910" s="93" t="str">
        <f>HYPERLINK("#'Healthcare'!AHZ2","Primary national HMO medical plan in-network deductible per family: Emergency room (non-emergency)")</f>
        <v>Primary national HMO medical plan in-network deductible per family: Emergency room (non-emergency)</v>
      </c>
      <c r="M910" s="6"/>
      <c r="N910" s="7"/>
      <c r="O910" s="6"/>
      <c r="P910" s="7"/>
      <c r="Q910" s="6"/>
      <c r="R910" s="7"/>
      <c r="S910" s="6"/>
      <c r="T910" s="7"/>
      <c r="U910" s="6"/>
      <c r="V910" s="7"/>
      <c r="W910" s="6"/>
      <c r="X910" s="7"/>
    </row>
    <row r="911" spans="1:24" ht="38.25" x14ac:dyDescent="0.2">
      <c r="A911" s="6"/>
      <c r="B911" s="7"/>
      <c r="C911" s="6"/>
      <c r="D911" s="7"/>
      <c r="E911" s="6"/>
      <c r="F911" s="7"/>
      <c r="G911" s="6"/>
      <c r="H911" s="7"/>
      <c r="I911" s="6"/>
      <c r="J911" s="7"/>
      <c r="K911" s="96" t="str">
        <f>HYPERLINK("#'Healthcare'!AIA1","Q6.5.13_9")</f>
        <v>Q6.5.13_9</v>
      </c>
      <c r="L911" s="93" t="str">
        <f>HYPERLINK("#'Healthcare'!AIA2","Primary national HMO medical plan in-network deductible per family: Emergency room (with hospital admittance)")</f>
        <v>Primary national HMO medical plan in-network deductible per family: Emergency room (with hospital admittance)</v>
      </c>
      <c r="M911" s="6"/>
      <c r="N911" s="7"/>
      <c r="O911" s="6"/>
      <c r="P911" s="7"/>
      <c r="Q911" s="6"/>
      <c r="R911" s="7"/>
      <c r="S911" s="6"/>
      <c r="T911" s="7"/>
      <c r="U911" s="6"/>
      <c r="V911" s="7"/>
      <c r="W911" s="6"/>
      <c r="X911" s="7"/>
    </row>
    <row r="912" spans="1:24" ht="25.5" x14ac:dyDescent="0.2">
      <c r="A912" s="6"/>
      <c r="B912" s="7"/>
      <c r="C912" s="6"/>
      <c r="D912" s="7"/>
      <c r="E912" s="6"/>
      <c r="F912" s="7"/>
      <c r="G912" s="6"/>
      <c r="H912" s="7"/>
      <c r="I912" s="6"/>
      <c r="J912" s="7"/>
      <c r="K912" s="96" t="str">
        <f>HYPERLINK("#'Healthcare'!AIB1","Q6.5.13_10")</f>
        <v>Q6.5.13_10</v>
      </c>
      <c r="L912" s="93" t="str">
        <f>HYPERLINK("#'Healthcare'!AIB2","Primary national HMO medical plan in-network deductible per family: In-patient hospital")</f>
        <v>Primary national HMO medical plan in-network deductible per family: In-patient hospital</v>
      </c>
      <c r="M912" s="6"/>
      <c r="N912" s="7"/>
      <c r="O912" s="6"/>
      <c r="P912" s="7"/>
      <c r="Q912" s="6"/>
      <c r="R912" s="7"/>
      <c r="S912" s="6"/>
      <c r="T912" s="7"/>
      <c r="U912" s="6"/>
      <c r="V912" s="7"/>
      <c r="W912" s="6"/>
      <c r="X912" s="7"/>
    </row>
    <row r="913" spans="1:24" ht="38.25" x14ac:dyDescent="0.2">
      <c r="A913" s="6"/>
      <c r="B913" s="7"/>
      <c r="C913" s="6"/>
      <c r="D913" s="7"/>
      <c r="E913" s="6"/>
      <c r="F913" s="7"/>
      <c r="G913" s="6"/>
      <c r="H913" s="7"/>
      <c r="I913" s="6"/>
      <c r="J913" s="7"/>
      <c r="K913" s="96" t="str">
        <f>HYPERLINK("#'Healthcare'!AIC1","Q6.5.13_11")</f>
        <v>Q6.5.13_11</v>
      </c>
      <c r="L913" s="93" t="str">
        <f>HYPERLINK("#'Healthcare'!AIC2","Primary national HMO medical plan in-network deductible per family: Mental health/substance abuse")</f>
        <v>Primary national HMO medical plan in-network deductible per family: Mental health/substance abuse</v>
      </c>
      <c r="M913" s="6"/>
      <c r="N913" s="7"/>
      <c r="O913" s="6"/>
      <c r="P913" s="7"/>
      <c r="Q913" s="6"/>
      <c r="R913" s="7"/>
      <c r="S913" s="6"/>
      <c r="T913" s="7"/>
      <c r="U913" s="6"/>
      <c r="V913" s="7"/>
      <c r="W913" s="6"/>
      <c r="X913" s="7"/>
    </row>
    <row r="914" spans="1:24" ht="38.25" x14ac:dyDescent="0.2">
      <c r="A914" s="6"/>
      <c r="B914" s="7"/>
      <c r="C914" s="6"/>
      <c r="D914" s="7"/>
      <c r="E914" s="6"/>
      <c r="F914" s="7"/>
      <c r="G914" s="6"/>
      <c r="H914" s="7"/>
      <c r="I914" s="6"/>
      <c r="J914" s="7"/>
      <c r="K914" s="96" t="str">
        <f>HYPERLINK("#'Healthcare'!AID1","Q6.5.13_12")</f>
        <v>Q6.5.13_12</v>
      </c>
      <c r="L914" s="93" t="str">
        <f>HYPERLINK("#'Healthcare'!AID2","Primary national HMO medical plan in-network deductible per family: Out-patient surgical center")</f>
        <v>Primary national HMO medical plan in-network deductible per family: Out-patient surgical center</v>
      </c>
      <c r="M914" s="6"/>
      <c r="N914" s="7"/>
      <c r="O914" s="6"/>
      <c r="P914" s="7"/>
      <c r="Q914" s="6"/>
      <c r="R914" s="7"/>
      <c r="S914" s="6"/>
      <c r="T914" s="7"/>
      <c r="U914" s="6"/>
      <c r="V914" s="7"/>
      <c r="W914" s="6"/>
      <c r="X914" s="7"/>
    </row>
    <row r="915" spans="1:24" ht="38.25" x14ac:dyDescent="0.2">
      <c r="A915" s="6"/>
      <c r="B915" s="7"/>
      <c r="C915" s="6"/>
      <c r="D915" s="7"/>
      <c r="E915" s="6"/>
      <c r="F915" s="7"/>
      <c r="G915" s="6"/>
      <c r="H915" s="7"/>
      <c r="I915" s="6"/>
      <c r="J915" s="7"/>
      <c r="K915" s="96" t="str">
        <f>HYPERLINK("#'Healthcare'!AIE1","Q6.5.13_13")</f>
        <v>Q6.5.13_13</v>
      </c>
      <c r="L915" s="93" t="str">
        <f>HYPERLINK("#'Healthcare'!AIE2","Primary national HMO medical plan in-network deductible per family: Prescription drugs (preventive)")</f>
        <v>Primary national HMO medical plan in-network deductible per family: Prescription drugs (preventive)</v>
      </c>
      <c r="M915" s="6"/>
      <c r="N915" s="7"/>
      <c r="O915" s="6"/>
      <c r="P915" s="7"/>
      <c r="Q915" s="6"/>
      <c r="R915" s="7"/>
      <c r="S915" s="6"/>
      <c r="T915" s="7"/>
      <c r="U915" s="6"/>
      <c r="V915" s="7"/>
      <c r="W915" s="6"/>
      <c r="X915" s="7"/>
    </row>
    <row r="916" spans="1:24" ht="38.25" x14ac:dyDescent="0.2">
      <c r="A916" s="6"/>
      <c r="B916" s="7"/>
      <c r="C916" s="6"/>
      <c r="D916" s="7"/>
      <c r="E916" s="6"/>
      <c r="F916" s="7"/>
      <c r="G916" s="6"/>
      <c r="H916" s="7"/>
      <c r="I916" s="6"/>
      <c r="J916" s="7"/>
      <c r="K916" s="96" t="str">
        <f>HYPERLINK("#'Healthcare'!AIF1","Q6.5.13_14")</f>
        <v>Q6.5.13_14</v>
      </c>
      <c r="L916" s="93" t="str">
        <f>HYPERLINK("#'Healthcare'!AIF2","Primary national HMO medical plan in-network deductible per family: Prescription drugs (non-preventive)")</f>
        <v>Primary national HMO medical plan in-network deductible per family: Prescription drugs (non-preventive)</v>
      </c>
      <c r="M916" s="6"/>
      <c r="N916" s="7"/>
      <c r="O916" s="6"/>
      <c r="P916" s="7"/>
      <c r="Q916" s="6"/>
      <c r="R916" s="7"/>
      <c r="S916" s="6"/>
      <c r="T916" s="7"/>
      <c r="U916" s="6"/>
      <c r="V916" s="7"/>
      <c r="W916" s="6"/>
      <c r="X916" s="7"/>
    </row>
    <row r="917" spans="1:24" ht="38.25" x14ac:dyDescent="0.2">
      <c r="A917" s="6"/>
      <c r="B917" s="7"/>
      <c r="C917" s="6"/>
      <c r="D917" s="7"/>
      <c r="E917" s="6"/>
      <c r="F917" s="7"/>
      <c r="G917" s="6"/>
      <c r="H917" s="7"/>
      <c r="I917" s="6"/>
      <c r="J917" s="7"/>
      <c r="K917" s="96" t="str">
        <f>HYPERLINK("#'Healthcare'!AIG1","Q6.5.13_15")</f>
        <v>Q6.5.13_15</v>
      </c>
      <c r="L917" s="93" t="str">
        <f>HYPERLINK("#'Healthcare'!AIG2","Primary national HMO medical plan in-network deductible per family: Therapies (speech, PT, OT)")</f>
        <v>Primary national HMO medical plan in-network deductible per family: Therapies (speech, PT, OT)</v>
      </c>
      <c r="M917" s="6"/>
      <c r="N917" s="7"/>
      <c r="O917" s="6"/>
      <c r="P917" s="7"/>
      <c r="Q917" s="6"/>
      <c r="R917" s="7"/>
      <c r="S917" s="6"/>
      <c r="T917" s="7"/>
      <c r="U917" s="6"/>
      <c r="V917" s="7"/>
      <c r="W917" s="6"/>
      <c r="X917" s="7"/>
    </row>
    <row r="918" spans="1:24" ht="25.5" x14ac:dyDescent="0.2">
      <c r="A918" s="6"/>
      <c r="B918" s="7"/>
      <c r="C918" s="6"/>
      <c r="D918" s="7"/>
      <c r="E918" s="6"/>
      <c r="F918" s="7"/>
      <c r="G918" s="6"/>
      <c r="H918" s="7"/>
      <c r="I918" s="6"/>
      <c r="J918" s="7"/>
      <c r="K918" s="96" t="str">
        <f>HYPERLINK("#'Healthcare'!AIH1","Q6.5.13_16")</f>
        <v>Q6.5.13_16</v>
      </c>
      <c r="L918" s="93" t="str">
        <f>HYPERLINK("#'Healthcare'!AIH2","Primary national HMO medical plan in-network deductible per family: Other")</f>
        <v>Primary national HMO medical plan in-network deductible per family: Other</v>
      </c>
      <c r="M918" s="6"/>
      <c r="N918" s="7"/>
      <c r="O918" s="6"/>
      <c r="P918" s="7"/>
      <c r="Q918" s="6"/>
      <c r="R918" s="7"/>
      <c r="S918" s="6"/>
      <c r="T918" s="7"/>
      <c r="U918" s="6"/>
      <c r="V918" s="7"/>
      <c r="W918" s="6"/>
      <c r="X918" s="7"/>
    </row>
    <row r="919" spans="1:24" ht="38.25" x14ac:dyDescent="0.2">
      <c r="A919" s="6"/>
      <c r="B919" s="7"/>
      <c r="C919" s="6"/>
      <c r="D919" s="7"/>
      <c r="E919" s="6"/>
      <c r="F919" s="7"/>
      <c r="G919" s="6"/>
      <c r="H919" s="7"/>
      <c r="I919" s="6"/>
      <c r="J919" s="7"/>
      <c r="K919" s="96" t="str">
        <f>HYPERLINK("#'Healthcare'!AII1","Q6.5.14_1")</f>
        <v>Q6.5.14_1</v>
      </c>
      <c r="L919" s="93" t="str">
        <f>HYPERLINK("#'Healthcare'!AII2","Primary national HMO medical plan out-of-network deductible per person: Not applicable - no separate deductibles")</f>
        <v>Primary national HMO medical plan out-of-network deductible per person: Not applicable - no separate deductibles</v>
      </c>
      <c r="M919" s="6"/>
      <c r="N919" s="7"/>
      <c r="O919" s="6"/>
      <c r="P919" s="7"/>
      <c r="Q919" s="6"/>
      <c r="R919" s="7"/>
      <c r="S919" s="6"/>
      <c r="T919" s="7"/>
      <c r="U919" s="6"/>
      <c r="V919" s="7"/>
      <c r="W919" s="6"/>
      <c r="X919" s="7"/>
    </row>
    <row r="920" spans="1:24" ht="25.5" x14ac:dyDescent="0.2">
      <c r="A920" s="6"/>
      <c r="B920" s="7"/>
      <c r="C920" s="6"/>
      <c r="D920" s="7"/>
      <c r="E920" s="6"/>
      <c r="F920" s="7"/>
      <c r="G920" s="6"/>
      <c r="H920" s="7"/>
      <c r="I920" s="6"/>
      <c r="J920" s="7"/>
      <c r="K920" s="96" t="str">
        <f>HYPERLINK("#'Healthcare'!AIJ1","Q6.5.14_5")</f>
        <v>Q6.5.14_5</v>
      </c>
      <c r="L920" s="93" t="str">
        <f>HYPERLINK("#'Healthcare'!AIJ2","Primary national HMO medical plan out-of-network deductible per person: Acupuncture")</f>
        <v>Primary national HMO medical plan out-of-network deductible per person: Acupuncture</v>
      </c>
      <c r="M920" s="6"/>
      <c r="N920" s="7"/>
      <c r="O920" s="6"/>
      <c r="P920" s="7"/>
      <c r="Q920" s="6"/>
      <c r="R920" s="7"/>
      <c r="S920" s="6"/>
      <c r="T920" s="7"/>
      <c r="U920" s="6"/>
      <c r="V920" s="7"/>
      <c r="W920" s="6"/>
      <c r="X920" s="7"/>
    </row>
    <row r="921" spans="1:24" ht="25.5" x14ac:dyDescent="0.2">
      <c r="A921" s="6"/>
      <c r="B921" s="7"/>
      <c r="C921" s="6"/>
      <c r="D921" s="7"/>
      <c r="E921" s="6"/>
      <c r="F921" s="7"/>
      <c r="G921" s="6"/>
      <c r="H921" s="7"/>
      <c r="I921" s="6"/>
      <c r="J921" s="7"/>
      <c r="K921" s="96" t="str">
        <f>HYPERLINK("#'Healthcare'!AIK1","Q6.5.14_6")</f>
        <v>Q6.5.14_6</v>
      </c>
      <c r="L921" s="93" t="str">
        <f>HYPERLINK("#'Healthcare'!AIK2","Primary national HMO medical plan out-of-network deductible per person: Chiropractic")</f>
        <v>Primary national HMO medical plan out-of-network deductible per person: Chiropractic</v>
      </c>
      <c r="M921" s="6"/>
      <c r="N921" s="7"/>
      <c r="O921" s="6"/>
      <c r="P921" s="7"/>
      <c r="Q921" s="6"/>
      <c r="R921" s="7"/>
      <c r="S921" s="6"/>
      <c r="T921" s="7"/>
      <c r="U921" s="6"/>
      <c r="V921" s="7"/>
      <c r="W921" s="6"/>
      <c r="X921" s="7"/>
    </row>
    <row r="922" spans="1:24" ht="38.25" x14ac:dyDescent="0.2">
      <c r="A922" s="6"/>
      <c r="B922" s="7"/>
      <c r="C922" s="6"/>
      <c r="D922" s="7"/>
      <c r="E922" s="6"/>
      <c r="F922" s="7"/>
      <c r="G922" s="6"/>
      <c r="H922" s="7"/>
      <c r="I922" s="6"/>
      <c r="J922" s="7"/>
      <c r="K922" s="96" t="str">
        <f>HYPERLINK("#'Healthcare'!AIL1","Q6.5.14_7")</f>
        <v>Q6.5.14_7</v>
      </c>
      <c r="L922" s="93" t="str">
        <f>HYPERLINK("#'Healthcare'!AIL2","Primary national HMO medical plan out-of-network deductible per person: Emergency room (true emergency)")</f>
        <v>Primary national HMO medical plan out-of-network deductible per person: Emergency room (true emergency)</v>
      </c>
      <c r="M922" s="6"/>
      <c r="N922" s="7"/>
      <c r="O922" s="6"/>
      <c r="P922" s="7"/>
      <c r="Q922" s="6"/>
      <c r="R922" s="7"/>
      <c r="S922" s="6"/>
      <c r="T922" s="7"/>
      <c r="U922" s="6"/>
      <c r="V922" s="7"/>
      <c r="W922" s="6"/>
      <c r="X922" s="7"/>
    </row>
    <row r="923" spans="1:24" ht="38.25" x14ac:dyDescent="0.2">
      <c r="A923" s="6"/>
      <c r="B923" s="7"/>
      <c r="C923" s="6"/>
      <c r="D923" s="7"/>
      <c r="E923" s="6"/>
      <c r="F923" s="7"/>
      <c r="G923" s="6"/>
      <c r="H923" s="7"/>
      <c r="I923" s="6"/>
      <c r="J923" s="7"/>
      <c r="K923" s="96" t="str">
        <f>HYPERLINK("#'Healthcare'!AIM1","Q6.5.14_8")</f>
        <v>Q6.5.14_8</v>
      </c>
      <c r="L923" s="93" t="str">
        <f>HYPERLINK("#'Healthcare'!AIM2","Primary national HMO medical plan out-of-network deductible per person: Emergency room (non-emergency)")</f>
        <v>Primary national HMO medical plan out-of-network deductible per person: Emergency room (non-emergency)</v>
      </c>
      <c r="M923" s="6"/>
      <c r="N923" s="7"/>
      <c r="O923" s="6"/>
      <c r="P923" s="7"/>
      <c r="Q923" s="6"/>
      <c r="R923" s="7"/>
      <c r="S923" s="6"/>
      <c r="T923" s="7"/>
      <c r="U923" s="6"/>
      <c r="V923" s="7"/>
      <c r="W923" s="6"/>
      <c r="X923" s="7"/>
    </row>
    <row r="924" spans="1:24" ht="38.25" x14ac:dyDescent="0.2">
      <c r="A924" s="6"/>
      <c r="B924" s="7"/>
      <c r="C924" s="6"/>
      <c r="D924" s="7"/>
      <c r="E924" s="6"/>
      <c r="F924" s="7"/>
      <c r="G924" s="6"/>
      <c r="H924" s="7"/>
      <c r="I924" s="6"/>
      <c r="J924" s="7"/>
      <c r="K924" s="96" t="str">
        <f>HYPERLINK("#'Healthcare'!AIN1","Q6.5.14_9")</f>
        <v>Q6.5.14_9</v>
      </c>
      <c r="L924" s="93" t="str">
        <f>HYPERLINK("#'Healthcare'!AIN2","Primary national HMO medical plan out-of-network deductible per person: Emergency room (with hospital admittance)")</f>
        <v>Primary national HMO medical plan out-of-network deductible per person: Emergency room (with hospital admittance)</v>
      </c>
      <c r="M924" s="6"/>
      <c r="N924" s="7"/>
      <c r="O924" s="6"/>
      <c r="P924" s="7"/>
      <c r="Q924" s="6"/>
      <c r="R924" s="7"/>
      <c r="S924" s="6"/>
      <c r="T924" s="7"/>
      <c r="U924" s="6"/>
      <c r="V924" s="7"/>
      <c r="W924" s="6"/>
      <c r="X924" s="7"/>
    </row>
    <row r="925" spans="1:24" ht="38.25" x14ac:dyDescent="0.2">
      <c r="A925" s="6"/>
      <c r="B925" s="7"/>
      <c r="C925" s="6"/>
      <c r="D925" s="7"/>
      <c r="E925" s="6"/>
      <c r="F925" s="7"/>
      <c r="G925" s="6"/>
      <c r="H925" s="7"/>
      <c r="I925" s="6"/>
      <c r="J925" s="7"/>
      <c r="K925" s="96" t="str">
        <f>HYPERLINK("#'Healthcare'!AIO1","Q6.5.14_10")</f>
        <v>Q6.5.14_10</v>
      </c>
      <c r="L925" s="93" t="str">
        <f>HYPERLINK("#'Healthcare'!AIO2","Primary national HMO medical plan out-of-network deductible per person: In-patient hospital")</f>
        <v>Primary national HMO medical plan out-of-network deductible per person: In-patient hospital</v>
      </c>
      <c r="M925" s="6"/>
      <c r="N925" s="7"/>
      <c r="O925" s="6"/>
      <c r="P925" s="7"/>
      <c r="Q925" s="6"/>
      <c r="R925" s="7"/>
      <c r="S925" s="6"/>
      <c r="T925" s="7"/>
      <c r="U925" s="6"/>
      <c r="V925" s="7"/>
      <c r="W925" s="6"/>
      <c r="X925" s="7"/>
    </row>
    <row r="926" spans="1:24" ht="38.25" x14ac:dyDescent="0.2">
      <c r="A926" s="6"/>
      <c r="B926" s="7"/>
      <c r="C926" s="6"/>
      <c r="D926" s="7"/>
      <c r="E926" s="6"/>
      <c r="F926" s="7"/>
      <c r="G926" s="6"/>
      <c r="H926" s="7"/>
      <c r="I926" s="6"/>
      <c r="J926" s="7"/>
      <c r="K926" s="96" t="str">
        <f>HYPERLINK("#'Healthcare'!AIP1","Q6.5.14_11")</f>
        <v>Q6.5.14_11</v>
      </c>
      <c r="L926" s="93" t="str">
        <f>HYPERLINK("#'Healthcare'!AIP2","Primary national HMO medical plan out-of-network deductible per person: Mental health/substance abuse")</f>
        <v>Primary national HMO medical plan out-of-network deductible per person: Mental health/substance abuse</v>
      </c>
      <c r="M926" s="6"/>
      <c r="N926" s="7"/>
      <c r="O926" s="6"/>
      <c r="P926" s="7"/>
      <c r="Q926" s="6"/>
      <c r="R926" s="7"/>
      <c r="S926" s="6"/>
      <c r="T926" s="7"/>
      <c r="U926" s="6"/>
      <c r="V926" s="7"/>
      <c r="W926" s="6"/>
      <c r="X926" s="7"/>
    </row>
    <row r="927" spans="1:24" ht="38.25" x14ac:dyDescent="0.2">
      <c r="A927" s="6"/>
      <c r="B927" s="7"/>
      <c r="C927" s="6"/>
      <c r="D927" s="7"/>
      <c r="E927" s="6"/>
      <c r="F927" s="7"/>
      <c r="G927" s="6"/>
      <c r="H927" s="7"/>
      <c r="I927" s="6"/>
      <c r="J927" s="7"/>
      <c r="K927" s="96" t="str">
        <f>HYPERLINK("#'Healthcare'!AIQ1","Q6.5.14_12")</f>
        <v>Q6.5.14_12</v>
      </c>
      <c r="L927" s="93" t="str">
        <f>HYPERLINK("#'Healthcare'!AIQ2","Primary national HMO medical plan out-of-network deductible per person: Out-patient surgical center")</f>
        <v>Primary national HMO medical plan out-of-network deductible per person: Out-patient surgical center</v>
      </c>
      <c r="M927" s="6"/>
      <c r="N927" s="7"/>
      <c r="O927" s="6"/>
      <c r="P927" s="7"/>
      <c r="Q927" s="6"/>
      <c r="R927" s="7"/>
      <c r="S927" s="6"/>
      <c r="T927" s="7"/>
      <c r="U927" s="6"/>
      <c r="V927" s="7"/>
      <c r="W927" s="6"/>
      <c r="X927" s="7"/>
    </row>
    <row r="928" spans="1:24" ht="38.25" x14ac:dyDescent="0.2">
      <c r="A928" s="6"/>
      <c r="B928" s="7"/>
      <c r="C928" s="6"/>
      <c r="D928" s="7"/>
      <c r="E928" s="6"/>
      <c r="F928" s="7"/>
      <c r="G928" s="6"/>
      <c r="H928" s="7"/>
      <c r="I928" s="6"/>
      <c r="J928" s="7"/>
      <c r="K928" s="96" t="str">
        <f>HYPERLINK("#'Healthcare'!AIR1","Q6.5.14_13")</f>
        <v>Q6.5.14_13</v>
      </c>
      <c r="L928" s="93" t="str">
        <f>HYPERLINK("#'Healthcare'!AIR2","Primary national HMO medical plan out-of-network deductible per person: Prescription drugs (preventive)")</f>
        <v>Primary national HMO medical plan out-of-network deductible per person: Prescription drugs (preventive)</v>
      </c>
      <c r="M928" s="6"/>
      <c r="N928" s="7"/>
      <c r="O928" s="6"/>
      <c r="P928" s="7"/>
      <c r="Q928" s="6"/>
      <c r="R928" s="7"/>
      <c r="S928" s="6"/>
      <c r="T928" s="7"/>
      <c r="U928" s="6"/>
      <c r="V928" s="7"/>
      <c r="W928" s="6"/>
      <c r="X928" s="7"/>
    </row>
    <row r="929" spans="1:24" ht="38.25" x14ac:dyDescent="0.2">
      <c r="A929" s="6"/>
      <c r="B929" s="7"/>
      <c r="C929" s="6"/>
      <c r="D929" s="7"/>
      <c r="E929" s="6"/>
      <c r="F929" s="7"/>
      <c r="G929" s="6"/>
      <c r="H929" s="7"/>
      <c r="I929" s="6"/>
      <c r="J929" s="7"/>
      <c r="K929" s="96" t="str">
        <f>HYPERLINK("#'Healthcare'!AIS1","Q6.5.14_14")</f>
        <v>Q6.5.14_14</v>
      </c>
      <c r="L929" s="93" t="str">
        <f>HYPERLINK("#'Healthcare'!AIS2","Primary national HMO medical plan out-of-network deductible per person: Prescription drugs (non-preventive)")</f>
        <v>Primary national HMO medical plan out-of-network deductible per person: Prescription drugs (non-preventive)</v>
      </c>
      <c r="M929" s="6"/>
      <c r="N929" s="7"/>
      <c r="O929" s="6"/>
      <c r="P929" s="7"/>
      <c r="Q929" s="6"/>
      <c r="R929" s="7"/>
      <c r="S929" s="6"/>
      <c r="T929" s="7"/>
      <c r="U929" s="6"/>
      <c r="V929" s="7"/>
      <c r="W929" s="6"/>
      <c r="X929" s="7"/>
    </row>
    <row r="930" spans="1:24" ht="38.25" x14ac:dyDescent="0.2">
      <c r="A930" s="6"/>
      <c r="B930" s="7"/>
      <c r="C930" s="6"/>
      <c r="D930" s="7"/>
      <c r="E930" s="6"/>
      <c r="F930" s="7"/>
      <c r="G930" s="6"/>
      <c r="H930" s="7"/>
      <c r="I930" s="6"/>
      <c r="J930" s="7"/>
      <c r="K930" s="96" t="str">
        <f>HYPERLINK("#'Healthcare'!AIT1","Q6.5.14_15")</f>
        <v>Q6.5.14_15</v>
      </c>
      <c r="L930" s="93" t="str">
        <f>HYPERLINK("#'Healthcare'!AIT2","Primary national HMO medical plan out-of-network deductible per person: Therapies (speech, PT, OT)")</f>
        <v>Primary national HMO medical plan out-of-network deductible per person: Therapies (speech, PT, OT)</v>
      </c>
      <c r="M930" s="6"/>
      <c r="N930" s="7"/>
      <c r="O930" s="6"/>
      <c r="P930" s="7"/>
      <c r="Q930" s="6"/>
      <c r="R930" s="7"/>
      <c r="S930" s="6"/>
      <c r="T930" s="7"/>
      <c r="U930" s="6"/>
      <c r="V930" s="7"/>
      <c r="W930" s="6"/>
      <c r="X930" s="7"/>
    </row>
    <row r="931" spans="1:24" ht="25.5" x14ac:dyDescent="0.2">
      <c r="A931" s="6"/>
      <c r="B931" s="7"/>
      <c r="C931" s="6"/>
      <c r="D931" s="7"/>
      <c r="E931" s="6"/>
      <c r="F931" s="7"/>
      <c r="G931" s="6"/>
      <c r="H931" s="7"/>
      <c r="I931" s="6"/>
      <c r="J931" s="7"/>
      <c r="K931" s="96" t="str">
        <f>HYPERLINK("#'Healthcare'!AIU1","Q6.5.14_16")</f>
        <v>Q6.5.14_16</v>
      </c>
      <c r="L931" s="93" t="str">
        <f>HYPERLINK("#'Healthcare'!AIU2","Primary national HMO medical plan out-of-network deductible per person: Other")</f>
        <v>Primary national HMO medical plan out-of-network deductible per person: Other</v>
      </c>
      <c r="M931" s="6"/>
      <c r="N931" s="7"/>
      <c r="O931" s="6"/>
      <c r="P931" s="7"/>
      <c r="Q931" s="6"/>
      <c r="R931" s="7"/>
      <c r="S931" s="6"/>
      <c r="T931" s="7"/>
      <c r="U931" s="6"/>
      <c r="V931" s="7"/>
      <c r="W931" s="6"/>
      <c r="X931" s="7"/>
    </row>
    <row r="932" spans="1:24" ht="38.25" x14ac:dyDescent="0.2">
      <c r="A932" s="6"/>
      <c r="B932" s="7"/>
      <c r="C932" s="6"/>
      <c r="D932" s="7"/>
      <c r="E932" s="6"/>
      <c r="F932" s="7"/>
      <c r="G932" s="6"/>
      <c r="H932" s="7"/>
      <c r="I932" s="6"/>
      <c r="J932" s="7"/>
      <c r="K932" s="96" t="str">
        <f>HYPERLINK("#'Healthcare'!AIV1","Q6.5.15_1")</f>
        <v>Q6.5.15_1</v>
      </c>
      <c r="L932" s="93" t="str">
        <f>HYPERLINK("#'Healthcare'!AIV2","Primary national HMO medical plan out-of-network deductible per family: Not applicable - no separate deductibles")</f>
        <v>Primary national HMO medical plan out-of-network deductible per family: Not applicable - no separate deductibles</v>
      </c>
      <c r="M932" s="6"/>
      <c r="N932" s="7"/>
      <c r="O932" s="6"/>
      <c r="P932" s="7"/>
      <c r="Q932" s="6"/>
      <c r="R932" s="7"/>
      <c r="S932" s="6"/>
      <c r="T932" s="7"/>
      <c r="U932" s="6"/>
      <c r="V932" s="7"/>
      <c r="W932" s="6"/>
      <c r="X932" s="7"/>
    </row>
    <row r="933" spans="1:24" ht="25.5" x14ac:dyDescent="0.2">
      <c r="A933" s="6"/>
      <c r="B933" s="7"/>
      <c r="C933" s="6"/>
      <c r="D933" s="7"/>
      <c r="E933" s="6"/>
      <c r="F933" s="7"/>
      <c r="G933" s="6"/>
      <c r="H933" s="7"/>
      <c r="I933" s="6"/>
      <c r="J933" s="7"/>
      <c r="K933" s="96" t="str">
        <f>HYPERLINK("#'Healthcare'!AIW1","Q6.5.15_5")</f>
        <v>Q6.5.15_5</v>
      </c>
      <c r="L933" s="93" t="str">
        <f>HYPERLINK("#'Healthcare'!AIW2","Primary national HMO medical plan out-of-network deductible per family: Acupuncture")</f>
        <v>Primary national HMO medical plan out-of-network deductible per family: Acupuncture</v>
      </c>
      <c r="M933" s="6"/>
      <c r="N933" s="7"/>
      <c r="O933" s="6"/>
      <c r="P933" s="7"/>
      <c r="Q933" s="6"/>
      <c r="R933" s="7"/>
      <c r="S933" s="6"/>
      <c r="T933" s="7"/>
      <c r="U933" s="6"/>
      <c r="V933" s="7"/>
      <c r="W933" s="6"/>
      <c r="X933" s="7"/>
    </row>
    <row r="934" spans="1:24" ht="25.5" x14ac:dyDescent="0.2">
      <c r="A934" s="6"/>
      <c r="B934" s="7"/>
      <c r="C934" s="6"/>
      <c r="D934" s="7"/>
      <c r="E934" s="6"/>
      <c r="F934" s="7"/>
      <c r="G934" s="6"/>
      <c r="H934" s="7"/>
      <c r="I934" s="6"/>
      <c r="J934" s="7"/>
      <c r="K934" s="96" t="str">
        <f>HYPERLINK("#'Healthcare'!AIX1","Q6.5.15_6")</f>
        <v>Q6.5.15_6</v>
      </c>
      <c r="L934" s="93" t="str">
        <f>HYPERLINK("#'Healthcare'!AIX2","Primary national HMO medical plan out-of-network deductible per family: Chiropractic")</f>
        <v>Primary national HMO medical plan out-of-network deductible per family: Chiropractic</v>
      </c>
      <c r="M934" s="6"/>
      <c r="N934" s="7"/>
      <c r="O934" s="6"/>
      <c r="P934" s="7"/>
      <c r="Q934" s="6"/>
      <c r="R934" s="7"/>
      <c r="S934" s="6"/>
      <c r="T934" s="7"/>
      <c r="U934" s="6"/>
      <c r="V934" s="7"/>
      <c r="W934" s="6"/>
      <c r="X934" s="7"/>
    </row>
    <row r="935" spans="1:24" ht="38.25" x14ac:dyDescent="0.2">
      <c r="A935" s="6"/>
      <c r="B935" s="7"/>
      <c r="C935" s="6"/>
      <c r="D935" s="7"/>
      <c r="E935" s="6"/>
      <c r="F935" s="7"/>
      <c r="G935" s="6"/>
      <c r="H935" s="7"/>
      <c r="I935" s="6"/>
      <c r="J935" s="7"/>
      <c r="K935" s="96" t="str">
        <f>HYPERLINK("#'Healthcare'!AIY1","Q6.5.15_7")</f>
        <v>Q6.5.15_7</v>
      </c>
      <c r="L935" s="93" t="str">
        <f>HYPERLINK("#'Healthcare'!AIY2","Primary national HMO medical plan out-of-network deductible per family: Emergency room (true emergency)")</f>
        <v>Primary national HMO medical plan out-of-network deductible per family: Emergency room (true emergency)</v>
      </c>
      <c r="M935" s="6"/>
      <c r="N935" s="7"/>
      <c r="O935" s="6"/>
      <c r="P935" s="7"/>
      <c r="Q935" s="6"/>
      <c r="R935" s="7"/>
      <c r="S935" s="6"/>
      <c r="T935" s="7"/>
      <c r="U935" s="6"/>
      <c r="V935" s="7"/>
      <c r="W935" s="6"/>
      <c r="X935" s="7"/>
    </row>
    <row r="936" spans="1:24" ht="38.25" x14ac:dyDescent="0.2">
      <c r="A936" s="6"/>
      <c r="B936" s="7"/>
      <c r="C936" s="6"/>
      <c r="D936" s="7"/>
      <c r="E936" s="6"/>
      <c r="F936" s="7"/>
      <c r="G936" s="6"/>
      <c r="H936" s="7"/>
      <c r="I936" s="6"/>
      <c r="J936" s="7"/>
      <c r="K936" s="96" t="str">
        <f>HYPERLINK("#'Healthcare'!AIZ1","Q6.5.15_8")</f>
        <v>Q6.5.15_8</v>
      </c>
      <c r="L936" s="93" t="str">
        <f>HYPERLINK("#'Healthcare'!AIZ2","Primary national HMO medical plan out-of-network deductible per family: Emergency room (non-emergency)")</f>
        <v>Primary national HMO medical plan out-of-network deductible per family: Emergency room (non-emergency)</v>
      </c>
      <c r="M936" s="6"/>
      <c r="N936" s="7"/>
      <c r="O936" s="6"/>
      <c r="P936" s="7"/>
      <c r="Q936" s="6"/>
      <c r="R936" s="7"/>
      <c r="S936" s="6"/>
      <c r="T936" s="7"/>
      <c r="U936" s="6"/>
      <c r="V936" s="7"/>
      <c r="W936" s="6"/>
      <c r="X936" s="7"/>
    </row>
    <row r="937" spans="1:24" ht="38.25" x14ac:dyDescent="0.2">
      <c r="A937" s="6"/>
      <c r="B937" s="7"/>
      <c r="C937" s="6"/>
      <c r="D937" s="7"/>
      <c r="E937" s="6"/>
      <c r="F937" s="7"/>
      <c r="G937" s="6"/>
      <c r="H937" s="7"/>
      <c r="I937" s="6"/>
      <c r="J937" s="7"/>
      <c r="K937" s="96" t="str">
        <f>HYPERLINK("#'Healthcare'!AJA1","Q6.5.15_9")</f>
        <v>Q6.5.15_9</v>
      </c>
      <c r="L937" s="93" t="str">
        <f>HYPERLINK("#'Healthcare'!AJA2","Primary national HMO medical plan out-of-network deductible per family: Emergency room (with hospital admittance)")</f>
        <v>Primary national HMO medical plan out-of-network deductible per family: Emergency room (with hospital admittance)</v>
      </c>
      <c r="M937" s="6"/>
      <c r="N937" s="7"/>
      <c r="O937" s="6"/>
      <c r="P937" s="7"/>
      <c r="Q937" s="6"/>
      <c r="R937" s="7"/>
      <c r="S937" s="6"/>
      <c r="T937" s="7"/>
      <c r="U937" s="6"/>
      <c r="V937" s="7"/>
      <c r="W937" s="6"/>
      <c r="X937" s="7"/>
    </row>
    <row r="938" spans="1:24" ht="38.25" x14ac:dyDescent="0.2">
      <c r="A938" s="6"/>
      <c r="B938" s="7"/>
      <c r="C938" s="6"/>
      <c r="D938" s="7"/>
      <c r="E938" s="6"/>
      <c r="F938" s="7"/>
      <c r="G938" s="6"/>
      <c r="H938" s="7"/>
      <c r="I938" s="6"/>
      <c r="J938" s="7"/>
      <c r="K938" s="96" t="str">
        <f>HYPERLINK("#'Healthcare'!AJB1","Q6.5.15_10")</f>
        <v>Q6.5.15_10</v>
      </c>
      <c r="L938" s="93" t="str">
        <f>HYPERLINK("#'Healthcare'!AJB2","Primary national HMO medical plan out-of-network deductible per family: In-patient hospital")</f>
        <v>Primary national HMO medical plan out-of-network deductible per family: In-patient hospital</v>
      </c>
      <c r="M938" s="6"/>
      <c r="N938" s="7"/>
      <c r="O938" s="6"/>
      <c r="P938" s="7"/>
      <c r="Q938" s="6"/>
      <c r="R938" s="7"/>
      <c r="S938" s="6"/>
      <c r="T938" s="7"/>
      <c r="U938" s="6"/>
      <c r="V938" s="7"/>
      <c r="W938" s="6"/>
      <c r="X938" s="7"/>
    </row>
    <row r="939" spans="1:24" ht="38.25" x14ac:dyDescent="0.2">
      <c r="A939" s="6"/>
      <c r="B939" s="7"/>
      <c r="C939" s="6"/>
      <c r="D939" s="7"/>
      <c r="E939" s="6"/>
      <c r="F939" s="7"/>
      <c r="G939" s="6"/>
      <c r="H939" s="7"/>
      <c r="I939" s="6"/>
      <c r="J939" s="7"/>
      <c r="K939" s="96" t="str">
        <f>HYPERLINK("#'Healthcare'!AJC1","Q6.5.15_11")</f>
        <v>Q6.5.15_11</v>
      </c>
      <c r="L939" s="93" t="str">
        <f>HYPERLINK("#'Healthcare'!AJC2","Primary national HMO medical plan out-of-network deductible per family: Mental health/substance abuse")</f>
        <v>Primary national HMO medical plan out-of-network deductible per family: Mental health/substance abuse</v>
      </c>
      <c r="M939" s="6"/>
      <c r="N939" s="7"/>
      <c r="O939" s="6"/>
      <c r="P939" s="7"/>
      <c r="Q939" s="6"/>
      <c r="R939" s="7"/>
      <c r="S939" s="6"/>
      <c r="T939" s="7"/>
      <c r="U939" s="6"/>
      <c r="V939" s="7"/>
      <c r="W939" s="6"/>
      <c r="X939" s="7"/>
    </row>
    <row r="940" spans="1:24" ht="38.25" x14ac:dyDescent="0.2">
      <c r="A940" s="6"/>
      <c r="B940" s="7"/>
      <c r="C940" s="6"/>
      <c r="D940" s="7"/>
      <c r="E940" s="6"/>
      <c r="F940" s="7"/>
      <c r="G940" s="6"/>
      <c r="H940" s="7"/>
      <c r="I940" s="6"/>
      <c r="J940" s="7"/>
      <c r="K940" s="96" t="str">
        <f>HYPERLINK("#'Healthcare'!AJD1","Q6.5.15_12")</f>
        <v>Q6.5.15_12</v>
      </c>
      <c r="L940" s="93" t="str">
        <f>HYPERLINK("#'Healthcare'!AJD2","Primary national HMO medical plan out-of-network deductible per family: Out-patient surgical center")</f>
        <v>Primary national HMO medical plan out-of-network deductible per family: Out-patient surgical center</v>
      </c>
      <c r="M940" s="6"/>
      <c r="N940" s="7"/>
      <c r="O940" s="6"/>
      <c r="P940" s="7"/>
      <c r="Q940" s="6"/>
      <c r="R940" s="7"/>
      <c r="S940" s="6"/>
      <c r="T940" s="7"/>
      <c r="U940" s="6"/>
      <c r="V940" s="7"/>
      <c r="W940" s="6"/>
      <c r="X940" s="7"/>
    </row>
    <row r="941" spans="1:24" ht="38.25" x14ac:dyDescent="0.2">
      <c r="A941" s="6"/>
      <c r="B941" s="7"/>
      <c r="C941" s="6"/>
      <c r="D941" s="7"/>
      <c r="E941" s="6"/>
      <c r="F941" s="7"/>
      <c r="G941" s="6"/>
      <c r="H941" s="7"/>
      <c r="I941" s="6"/>
      <c r="J941" s="7"/>
      <c r="K941" s="96" t="str">
        <f>HYPERLINK("#'Healthcare'!AJE1","Q6.5.15_13")</f>
        <v>Q6.5.15_13</v>
      </c>
      <c r="L941" s="93" t="str">
        <f>HYPERLINK("#'Healthcare'!AJE2","Primary national HMO medical plan out-of-network deductible per family: Prescription drugs (preventive)")</f>
        <v>Primary national HMO medical plan out-of-network deductible per family: Prescription drugs (preventive)</v>
      </c>
      <c r="M941" s="6"/>
      <c r="N941" s="7"/>
      <c r="O941" s="6"/>
      <c r="P941" s="7"/>
      <c r="Q941" s="6"/>
      <c r="R941" s="7"/>
      <c r="S941" s="6"/>
      <c r="T941" s="7"/>
      <c r="U941" s="6"/>
      <c r="V941" s="7"/>
      <c r="W941" s="6"/>
      <c r="X941" s="7"/>
    </row>
    <row r="942" spans="1:24" ht="38.25" x14ac:dyDescent="0.2">
      <c r="A942" s="6"/>
      <c r="B942" s="7"/>
      <c r="C942" s="6"/>
      <c r="D942" s="7"/>
      <c r="E942" s="6"/>
      <c r="F942" s="7"/>
      <c r="G942" s="6"/>
      <c r="H942" s="7"/>
      <c r="I942" s="6"/>
      <c r="J942" s="7"/>
      <c r="K942" s="96" t="str">
        <f>HYPERLINK("#'Healthcare'!AJF1","Q6.5.15_14")</f>
        <v>Q6.5.15_14</v>
      </c>
      <c r="L942" s="93" t="str">
        <f>HYPERLINK("#'Healthcare'!AJF2","Primary national HMO medical plan out-of-network deductible per family: Prescription drugs (non-preventive)")</f>
        <v>Primary national HMO medical plan out-of-network deductible per family: Prescription drugs (non-preventive)</v>
      </c>
      <c r="M942" s="6"/>
      <c r="N942" s="7"/>
      <c r="O942" s="6"/>
      <c r="P942" s="7"/>
      <c r="Q942" s="6"/>
      <c r="R942" s="7"/>
      <c r="S942" s="6"/>
      <c r="T942" s="7"/>
      <c r="U942" s="6"/>
      <c r="V942" s="7"/>
      <c r="W942" s="6"/>
      <c r="X942" s="7"/>
    </row>
    <row r="943" spans="1:24" ht="38.25" x14ac:dyDescent="0.2">
      <c r="A943" s="6"/>
      <c r="B943" s="7"/>
      <c r="C943" s="6"/>
      <c r="D943" s="7"/>
      <c r="E943" s="6"/>
      <c r="F943" s="7"/>
      <c r="G943" s="6"/>
      <c r="H943" s="7"/>
      <c r="I943" s="6"/>
      <c r="J943" s="7"/>
      <c r="K943" s="96" t="str">
        <f>HYPERLINK("#'Healthcare'!AJG1","Q6.5.15_15")</f>
        <v>Q6.5.15_15</v>
      </c>
      <c r="L943" s="93" t="str">
        <f>HYPERLINK("#'Healthcare'!AJG2","Primary national HMO medical plan out-of-network deductible per family: Therapies (speech, PT, OT)")</f>
        <v>Primary national HMO medical plan out-of-network deductible per family: Therapies (speech, PT, OT)</v>
      </c>
      <c r="M943" s="6"/>
      <c r="N943" s="7"/>
      <c r="O943" s="6"/>
      <c r="P943" s="7"/>
      <c r="Q943" s="6"/>
      <c r="R943" s="7"/>
      <c r="S943" s="6"/>
      <c r="T943" s="7"/>
      <c r="U943" s="6"/>
      <c r="V943" s="7"/>
      <c r="W943" s="6"/>
      <c r="X943" s="7"/>
    </row>
    <row r="944" spans="1:24" ht="25.5" x14ac:dyDescent="0.2">
      <c r="A944" s="6"/>
      <c r="B944" s="7"/>
      <c r="C944" s="6"/>
      <c r="D944" s="7"/>
      <c r="E944" s="6"/>
      <c r="F944" s="7"/>
      <c r="G944" s="6"/>
      <c r="H944" s="7"/>
      <c r="I944" s="6"/>
      <c r="J944" s="7"/>
      <c r="K944" s="96" t="str">
        <f>HYPERLINK("#'Healthcare'!AJH1","Q6.5.15_16")</f>
        <v>Q6.5.15_16</v>
      </c>
      <c r="L944" s="93" t="str">
        <f>HYPERLINK("#'Healthcare'!AJH2","Primary national HMO medical plan out-of-network deductible per family: Other")</f>
        <v>Primary national HMO medical plan out-of-network deductible per family: Other</v>
      </c>
      <c r="M944" s="6"/>
      <c r="N944" s="7"/>
      <c r="O944" s="6"/>
      <c r="P944" s="7"/>
      <c r="Q944" s="6"/>
      <c r="R944" s="7"/>
      <c r="S944" s="6"/>
      <c r="T944" s="7"/>
      <c r="U944" s="6"/>
      <c r="V944" s="7"/>
      <c r="W944" s="6"/>
      <c r="X944" s="7"/>
    </row>
    <row r="945" spans="1:24" ht="25.5" x14ac:dyDescent="0.2">
      <c r="A945" s="6"/>
      <c r="B945" s="7"/>
      <c r="C945" s="6"/>
      <c r="D945" s="7"/>
      <c r="E945" s="6"/>
      <c r="F945" s="7"/>
      <c r="G945" s="6"/>
      <c r="H945" s="7"/>
      <c r="I945" s="6"/>
      <c r="J945" s="7"/>
      <c r="K945" s="96" t="str">
        <f>HYPERLINK("#'Healthcare'!AJI1","Q6.5.16")</f>
        <v>Q6.5.16</v>
      </c>
      <c r="L945" s="93" t="str">
        <f>HYPERLINK("#'Healthcare'!AJI2","Primary national HMO  medical plan: Annual plan limit")</f>
        <v>Primary national HMO  medical plan: Annual plan limit</v>
      </c>
      <c r="M945" s="6"/>
      <c r="N945" s="7"/>
      <c r="O945" s="6"/>
      <c r="P945" s="7"/>
      <c r="Q945" s="6"/>
      <c r="R945" s="7"/>
      <c r="S945" s="6"/>
      <c r="T945" s="7"/>
      <c r="U945" s="6"/>
      <c r="V945" s="7"/>
      <c r="W945" s="6"/>
      <c r="X945" s="7"/>
    </row>
    <row r="946" spans="1:24" ht="25.5" x14ac:dyDescent="0.2">
      <c r="A946" s="6"/>
      <c r="B946" s="7"/>
      <c r="C946" s="6"/>
      <c r="D946" s="7"/>
      <c r="E946" s="6"/>
      <c r="F946" s="7"/>
      <c r="G946" s="6"/>
      <c r="H946" s="7"/>
      <c r="I946" s="6"/>
      <c r="J946" s="7"/>
      <c r="K946" s="96" t="str">
        <f>HYPERLINK("#'Healthcare'!AJJ1","Q6.5.18")</f>
        <v>Q6.5.18</v>
      </c>
      <c r="L946" s="93" t="str">
        <f>HYPERLINK("#'Healthcare'!AJJ2","Primary national HMO medical plan: Covers emergency services for non-emergencies")</f>
        <v>Primary national HMO medical plan: Covers emergency services for non-emergencies</v>
      </c>
      <c r="M946" s="6"/>
      <c r="N946" s="7"/>
      <c r="O946" s="6"/>
      <c r="P946" s="7"/>
      <c r="Q946" s="6"/>
      <c r="R946" s="7"/>
      <c r="S946" s="6"/>
      <c r="T946" s="7"/>
      <c r="U946" s="6"/>
      <c r="V946" s="7"/>
      <c r="W946" s="6"/>
      <c r="X946" s="7"/>
    </row>
    <row r="947" spans="1:24" ht="38.25" x14ac:dyDescent="0.2">
      <c r="A947" s="6"/>
      <c r="B947" s="7"/>
      <c r="C947" s="6"/>
      <c r="D947" s="7"/>
      <c r="E947" s="6"/>
      <c r="F947" s="7"/>
      <c r="G947" s="6"/>
      <c r="H947" s="7"/>
      <c r="I947" s="6"/>
      <c r="J947" s="7"/>
      <c r="K947" s="96" t="str">
        <f>HYPERLINK("#'Healthcare'!AJK1","Q6.5.19")</f>
        <v>Q6.5.19</v>
      </c>
      <c r="L947" s="93" t="str">
        <f>HYPERLINK("#'Healthcare'!AJK2","Primary national HMO medical plan: Covers emergency services for non-emergencies at reduced amount")</f>
        <v>Primary national HMO medical plan: Covers emergency services for non-emergencies at reduced amount</v>
      </c>
      <c r="M947" s="6"/>
      <c r="N947" s="7"/>
      <c r="O947" s="6"/>
      <c r="P947" s="7"/>
      <c r="Q947" s="6"/>
      <c r="R947" s="7"/>
      <c r="S947" s="6"/>
      <c r="T947" s="7"/>
      <c r="U947" s="6"/>
      <c r="V947" s="7"/>
      <c r="W947" s="6"/>
      <c r="X947" s="7"/>
    </row>
    <row r="948" spans="1:24" ht="38.25" x14ac:dyDescent="0.2">
      <c r="A948" s="6"/>
      <c r="B948" s="7"/>
      <c r="C948" s="6"/>
      <c r="D948" s="7"/>
      <c r="E948" s="6"/>
      <c r="F948" s="7"/>
      <c r="G948" s="6"/>
      <c r="H948" s="7"/>
      <c r="I948" s="6"/>
      <c r="J948" s="7"/>
      <c r="K948" s="96" t="str">
        <f>HYPERLINK("#'Healthcare'!AJL1","Q6.5.20")</f>
        <v>Q6.5.20</v>
      </c>
      <c r="L948" s="93" t="str">
        <f>HYPERLINK("#'Healthcare'!AJL2","Primary national HMO medical plan: Covers mental health and substance abuse emergencies differently")</f>
        <v>Primary national HMO medical plan: Covers mental health and substance abuse emergencies differently</v>
      </c>
      <c r="M948" s="6"/>
      <c r="N948" s="7"/>
      <c r="O948" s="6"/>
      <c r="P948" s="7"/>
      <c r="Q948" s="6"/>
      <c r="R948" s="7"/>
      <c r="S948" s="6"/>
      <c r="T948" s="7"/>
      <c r="U948" s="6"/>
      <c r="V948" s="7"/>
      <c r="W948" s="6"/>
      <c r="X948" s="7"/>
    </row>
    <row r="949" spans="1:24" ht="38.25" x14ac:dyDescent="0.2">
      <c r="A949" s="6"/>
      <c r="B949" s="7"/>
      <c r="C949" s="6"/>
      <c r="D949" s="7"/>
      <c r="E949" s="6"/>
      <c r="F949" s="7"/>
      <c r="G949" s="6"/>
      <c r="H949" s="7"/>
      <c r="I949" s="6"/>
      <c r="J949" s="7"/>
      <c r="K949" s="96" t="str">
        <f>HYPERLINK("#'Healthcare'!AJM1","Q6.5.21")</f>
        <v>Q6.5.21</v>
      </c>
      <c r="L949" s="93" t="str">
        <f>HYPERLINK("#'Healthcare'!AJM2","Primary national HMO medical plan: Coverage for mental health and substance abuse emergencies")</f>
        <v>Primary national HMO medical plan: Coverage for mental health and substance abuse emergencies</v>
      </c>
      <c r="M949" s="6"/>
      <c r="N949" s="7"/>
      <c r="O949" s="6"/>
      <c r="P949" s="7"/>
      <c r="Q949" s="6"/>
      <c r="R949" s="7"/>
      <c r="S949" s="6"/>
      <c r="T949" s="7"/>
      <c r="U949" s="6"/>
      <c r="V949" s="7"/>
      <c r="W949" s="6"/>
      <c r="X949" s="7"/>
    </row>
    <row r="950" spans="1:24" ht="25.5" x14ac:dyDescent="0.2">
      <c r="A950" s="6"/>
      <c r="B950" s="7"/>
      <c r="C950" s="6"/>
      <c r="D950" s="7"/>
      <c r="E950" s="6"/>
      <c r="F950" s="7"/>
      <c r="G950" s="6"/>
      <c r="H950" s="7"/>
      <c r="I950" s="6"/>
      <c r="J950" s="7"/>
      <c r="K950" s="96" t="str">
        <f>HYPERLINK("#'Healthcare'!AJN1","Q6.5.22")</f>
        <v>Q6.5.22</v>
      </c>
      <c r="L950" s="93" t="str">
        <f>HYPERLINK("#'Healthcare'!AJN2","Primary national HMO medical plan non-acute care services in-network coverage")</f>
        <v>Primary national HMO medical plan non-acute care services in-network coverage</v>
      </c>
      <c r="M950" s="6"/>
      <c r="N950" s="7"/>
      <c r="O950" s="6"/>
      <c r="P950" s="7"/>
      <c r="Q950" s="6"/>
      <c r="R950" s="7"/>
      <c r="S950" s="6"/>
      <c r="T950" s="7"/>
      <c r="U950" s="6"/>
      <c r="V950" s="7"/>
      <c r="W950" s="6"/>
      <c r="X950" s="7"/>
    </row>
    <row r="951" spans="1:24" ht="25.5" x14ac:dyDescent="0.2">
      <c r="A951" s="6"/>
      <c r="B951" s="7"/>
      <c r="C951" s="6"/>
      <c r="D951" s="7"/>
      <c r="E951" s="6"/>
      <c r="F951" s="7"/>
      <c r="G951" s="6"/>
      <c r="H951" s="7"/>
      <c r="I951" s="6"/>
      <c r="J951" s="7"/>
      <c r="K951" s="96" t="str">
        <f>HYPERLINK("#'Healthcare'!AJO1","Q6.5.23")</f>
        <v>Q6.5.23</v>
      </c>
      <c r="L951" s="93" t="str">
        <f>HYPERLINK("#'Healthcare'!AJO2","Primary national HMO medical plan non-acute care services out-of-network coverage -")</f>
        <v>Primary national HMO medical plan non-acute care services out-of-network coverage -</v>
      </c>
      <c r="M951" s="6"/>
      <c r="N951" s="7"/>
      <c r="O951" s="6"/>
      <c r="P951" s="7"/>
      <c r="Q951" s="6"/>
      <c r="R951" s="7"/>
      <c r="S951" s="6"/>
      <c r="T951" s="7"/>
      <c r="U951" s="6"/>
      <c r="V951" s="7"/>
      <c r="W951" s="6"/>
      <c r="X951" s="7"/>
    </row>
    <row r="952" spans="1:24" ht="25.5" x14ac:dyDescent="0.2">
      <c r="A952" s="6"/>
      <c r="B952" s="7"/>
      <c r="C952" s="6"/>
      <c r="D952" s="7"/>
      <c r="E952" s="6"/>
      <c r="F952" s="7"/>
      <c r="G952" s="6"/>
      <c r="H952" s="7"/>
      <c r="I952" s="6"/>
      <c r="J952" s="7"/>
      <c r="K952" s="96" t="str">
        <f>HYPERLINK("#'Healthcare'!AJP1","Q6.5.24_1")</f>
        <v>Q6.5.24_1</v>
      </c>
      <c r="L952" s="93" t="str">
        <f>HYPERLINK("#'Healthcare'!AJP2","Primary national HMO medical plan in-network copayment: General/Primary care office visit")</f>
        <v>Primary national HMO medical plan in-network copayment: General/Primary care office visit</v>
      </c>
      <c r="M952" s="6"/>
      <c r="N952" s="7"/>
      <c r="O952" s="6"/>
      <c r="P952" s="7"/>
      <c r="Q952" s="6"/>
      <c r="R952" s="7"/>
      <c r="S952" s="6"/>
      <c r="T952" s="7"/>
      <c r="U952" s="6"/>
      <c r="V952" s="7"/>
      <c r="W952" s="6"/>
      <c r="X952" s="7"/>
    </row>
    <row r="953" spans="1:24" ht="25.5" x14ac:dyDescent="0.2">
      <c r="A953" s="6"/>
      <c r="B953" s="7"/>
      <c r="C953" s="6"/>
      <c r="D953" s="7"/>
      <c r="E953" s="6"/>
      <c r="F953" s="7"/>
      <c r="G953" s="6"/>
      <c r="H953" s="7"/>
      <c r="I953" s="6"/>
      <c r="J953" s="7"/>
      <c r="K953" s="96" t="str">
        <f>HYPERLINK("#'Healthcare'!AJQ1","Q6.5.24_2")</f>
        <v>Q6.5.24_2</v>
      </c>
      <c r="L953" s="93" t="str">
        <f>HYPERLINK("#'Healthcare'!AJQ2","Primary national HMO medical plan in-network copayment: Specialist office visit")</f>
        <v>Primary national HMO medical plan in-network copayment: Specialist office visit</v>
      </c>
      <c r="M953" s="6"/>
      <c r="N953" s="7"/>
      <c r="O953" s="6"/>
      <c r="P953" s="7"/>
      <c r="Q953" s="6"/>
      <c r="R953" s="7"/>
      <c r="S953" s="6"/>
      <c r="T953" s="7"/>
      <c r="U953" s="6"/>
      <c r="V953" s="7"/>
      <c r="W953" s="6"/>
      <c r="X953" s="7"/>
    </row>
    <row r="954" spans="1:24" ht="38.25" x14ac:dyDescent="0.2">
      <c r="A954" s="6"/>
      <c r="B954" s="7"/>
      <c r="C954" s="6"/>
      <c r="D954" s="7"/>
      <c r="E954" s="6"/>
      <c r="F954" s="7"/>
      <c r="G954" s="6"/>
      <c r="H954" s="7"/>
      <c r="I954" s="6"/>
      <c r="J954" s="7"/>
      <c r="K954" s="96" t="str">
        <f>HYPERLINK("#'Healthcare'!AJR1","Q6.5.24_3")</f>
        <v>Q6.5.24_3</v>
      </c>
      <c r="L954" s="93" t="str">
        <f>HYPERLINK("#'Healthcare'!AJR2","Primary national HMO medical plan in-network copayment: Autism/applied behavioral analysis (ABA)")</f>
        <v>Primary national HMO medical plan in-network copayment: Autism/applied behavioral analysis (ABA)</v>
      </c>
      <c r="M954" s="6"/>
      <c r="N954" s="7"/>
      <c r="O954" s="6"/>
      <c r="P954" s="7"/>
      <c r="Q954" s="6"/>
      <c r="R954" s="7"/>
      <c r="S954" s="6"/>
      <c r="T954" s="7"/>
      <c r="U954" s="6"/>
      <c r="V954" s="7"/>
      <c r="W954" s="6"/>
      <c r="X954" s="7"/>
    </row>
    <row r="955" spans="1:24" ht="25.5" x14ac:dyDescent="0.2">
      <c r="A955" s="6"/>
      <c r="B955" s="7"/>
      <c r="C955" s="6"/>
      <c r="D955" s="7"/>
      <c r="E955" s="6"/>
      <c r="F955" s="7"/>
      <c r="G955" s="6"/>
      <c r="H955" s="7"/>
      <c r="I955" s="6"/>
      <c r="J955" s="7"/>
      <c r="K955" s="96" t="str">
        <f>HYPERLINK("#'Healthcare'!AJS1","Q6.5.24_4")</f>
        <v>Q6.5.24_4</v>
      </c>
      <c r="L955" s="93" t="str">
        <f>HYPERLINK("#'Healthcare'!AJS2","Primary national HMO medical plan in-network copayment: Emergency room")</f>
        <v>Primary national HMO medical plan in-network copayment: Emergency room</v>
      </c>
      <c r="M955" s="6"/>
      <c r="N955" s="7"/>
      <c r="O955" s="6"/>
      <c r="P955" s="7"/>
      <c r="Q955" s="6"/>
      <c r="R955" s="7"/>
      <c r="S955" s="6"/>
      <c r="T955" s="7"/>
      <c r="U955" s="6"/>
      <c r="V955" s="7"/>
      <c r="W955" s="6"/>
      <c r="X955" s="7"/>
    </row>
    <row r="956" spans="1:24" ht="25.5" x14ac:dyDescent="0.2">
      <c r="A956" s="6"/>
      <c r="B956" s="7"/>
      <c r="C956" s="6"/>
      <c r="D956" s="7"/>
      <c r="E956" s="6"/>
      <c r="F956" s="7"/>
      <c r="G956" s="6"/>
      <c r="H956" s="7"/>
      <c r="I956" s="6"/>
      <c r="J956" s="7"/>
      <c r="K956" s="96" t="str">
        <f>HYPERLINK("#'Healthcare'!AJT1","Q6.5.24_5")</f>
        <v>Q6.5.24_5</v>
      </c>
      <c r="L956" s="93" t="str">
        <f>HYPERLINK("#'Healthcare'!AJT2","Primary national HMO medical plan in-network copayment: Urgent office visit")</f>
        <v>Primary national HMO medical plan in-network copayment: Urgent office visit</v>
      </c>
      <c r="M956" s="6"/>
      <c r="N956" s="7"/>
      <c r="O956" s="6"/>
      <c r="P956" s="7"/>
      <c r="Q956" s="6"/>
      <c r="R956" s="7"/>
      <c r="S956" s="6"/>
      <c r="T956" s="7"/>
      <c r="U956" s="6"/>
      <c r="V956" s="7"/>
      <c r="W956" s="6"/>
      <c r="X956" s="7"/>
    </row>
    <row r="957" spans="1:24" ht="25.5" x14ac:dyDescent="0.2">
      <c r="A957" s="6"/>
      <c r="B957" s="7"/>
      <c r="C957" s="6"/>
      <c r="D957" s="7"/>
      <c r="E957" s="6"/>
      <c r="F957" s="7"/>
      <c r="G957" s="6"/>
      <c r="H957" s="7"/>
      <c r="I957" s="6"/>
      <c r="J957" s="7"/>
      <c r="K957" s="96" t="str">
        <f>HYPERLINK("#'Healthcare'!AJU1","Q6.5.24_7")</f>
        <v>Q6.5.24_7</v>
      </c>
      <c r="L957" s="93" t="str">
        <f>HYPERLINK("#'Healthcare'!AJU2","Primary national HMO medical plan in-network copayment: Telehealth")</f>
        <v>Primary national HMO medical plan in-network copayment: Telehealth</v>
      </c>
      <c r="M957" s="6"/>
      <c r="N957" s="7"/>
      <c r="O957" s="6"/>
      <c r="P957" s="7"/>
      <c r="Q957" s="6"/>
      <c r="R957" s="7"/>
      <c r="S957" s="6"/>
      <c r="T957" s="7"/>
      <c r="U957" s="6"/>
      <c r="V957" s="7"/>
      <c r="W957" s="6"/>
      <c r="X957" s="7"/>
    </row>
    <row r="958" spans="1:24" ht="25.5" x14ac:dyDescent="0.2">
      <c r="A958" s="6"/>
      <c r="B958" s="7"/>
      <c r="C958" s="6"/>
      <c r="D958" s="7"/>
      <c r="E958" s="6"/>
      <c r="F958" s="7"/>
      <c r="G958" s="6"/>
      <c r="H958" s="7"/>
      <c r="I958" s="6"/>
      <c r="J958" s="7"/>
      <c r="K958" s="96" t="str">
        <f>HYPERLINK("#'Healthcare'!AJV1","Q6.5.24_6")</f>
        <v>Q6.5.24_6</v>
      </c>
      <c r="L958" s="93" t="str">
        <f>HYPERLINK("#'Healthcare'!AJV2","Primary national HMO medical plan in-network copayment: Other")</f>
        <v>Primary national HMO medical plan in-network copayment: Other</v>
      </c>
      <c r="M958" s="6"/>
      <c r="N958" s="7"/>
      <c r="O958" s="6"/>
      <c r="P958" s="7"/>
      <c r="Q958" s="6"/>
      <c r="R958" s="7"/>
      <c r="S958" s="6"/>
      <c r="T958" s="7"/>
      <c r="U958" s="6"/>
      <c r="V958" s="7"/>
      <c r="W958" s="6"/>
      <c r="X958" s="7"/>
    </row>
    <row r="959" spans="1:24" ht="25.5" x14ac:dyDescent="0.2">
      <c r="A959" s="6"/>
      <c r="B959" s="7"/>
      <c r="C959" s="6"/>
      <c r="D959" s="7"/>
      <c r="E959" s="6"/>
      <c r="F959" s="7"/>
      <c r="G959" s="6"/>
      <c r="H959" s="7"/>
      <c r="I959" s="6"/>
      <c r="J959" s="7"/>
      <c r="K959" s="96" t="str">
        <f>HYPERLINK("#'Healthcare'!AJW1","Q6.5.25_1")</f>
        <v>Q6.5.25_1</v>
      </c>
      <c r="L959" s="93" t="str">
        <f>HYPERLINK("#'Healthcare'!AJW2","Primary national HMO medical plan in-network coinsurance: General/Primary care office visit")</f>
        <v>Primary national HMO medical plan in-network coinsurance: General/Primary care office visit</v>
      </c>
      <c r="M959" s="6"/>
      <c r="N959" s="7"/>
      <c r="O959" s="6"/>
      <c r="P959" s="7"/>
      <c r="Q959" s="6"/>
      <c r="R959" s="7"/>
      <c r="S959" s="6"/>
      <c r="T959" s="7"/>
      <c r="U959" s="6"/>
      <c r="V959" s="7"/>
      <c r="W959" s="6"/>
      <c r="X959" s="7"/>
    </row>
    <row r="960" spans="1:24" ht="25.5" x14ac:dyDescent="0.2">
      <c r="A960" s="6"/>
      <c r="B960" s="7"/>
      <c r="C960" s="6"/>
      <c r="D960" s="7"/>
      <c r="E960" s="6"/>
      <c r="F960" s="7"/>
      <c r="G960" s="6"/>
      <c r="H960" s="7"/>
      <c r="I960" s="6"/>
      <c r="J960" s="7"/>
      <c r="K960" s="96" t="str">
        <f>HYPERLINK("#'Healthcare'!AJX1","Q6.5.25_2")</f>
        <v>Q6.5.25_2</v>
      </c>
      <c r="L960" s="93" t="str">
        <f>HYPERLINK("#'Healthcare'!AJX2","Primary national HMO medical plan in-network coinsurance: Specialist office visit")</f>
        <v>Primary national HMO medical plan in-network coinsurance: Specialist office visit</v>
      </c>
      <c r="M960" s="6"/>
      <c r="N960" s="7"/>
      <c r="O960" s="6"/>
      <c r="P960" s="7"/>
      <c r="Q960" s="6"/>
      <c r="R960" s="7"/>
      <c r="S960" s="6"/>
      <c r="T960" s="7"/>
      <c r="U960" s="6"/>
      <c r="V960" s="7"/>
      <c r="W960" s="6"/>
      <c r="X960" s="7"/>
    </row>
    <row r="961" spans="1:24" ht="38.25" x14ac:dyDescent="0.2">
      <c r="A961" s="6"/>
      <c r="B961" s="7"/>
      <c r="C961" s="6"/>
      <c r="D961" s="7"/>
      <c r="E961" s="6"/>
      <c r="F961" s="7"/>
      <c r="G961" s="6"/>
      <c r="H961" s="7"/>
      <c r="I961" s="6"/>
      <c r="J961" s="7"/>
      <c r="K961" s="96" t="str">
        <f>HYPERLINK("#'Healthcare'!AJY1","Q6.5.25_3")</f>
        <v>Q6.5.25_3</v>
      </c>
      <c r="L961" s="93" t="str">
        <f>HYPERLINK("#'Healthcare'!AJY2","Primary national HMO medical plan in-network coinsurance: Autism/applied behavioral analysis (ABA)")</f>
        <v>Primary national HMO medical plan in-network coinsurance: Autism/applied behavioral analysis (ABA)</v>
      </c>
      <c r="M961" s="6"/>
      <c r="N961" s="7"/>
      <c r="O961" s="6"/>
      <c r="P961" s="7"/>
      <c r="Q961" s="6"/>
      <c r="R961" s="7"/>
      <c r="S961" s="6"/>
      <c r="T961" s="7"/>
      <c r="U961" s="6"/>
      <c r="V961" s="7"/>
      <c r="W961" s="6"/>
      <c r="X961" s="7"/>
    </row>
    <row r="962" spans="1:24" ht="25.5" x14ac:dyDescent="0.2">
      <c r="A962" s="6"/>
      <c r="B962" s="7"/>
      <c r="C962" s="6"/>
      <c r="D962" s="7"/>
      <c r="E962" s="6"/>
      <c r="F962" s="7"/>
      <c r="G962" s="6"/>
      <c r="H962" s="7"/>
      <c r="I962" s="6"/>
      <c r="J962" s="7"/>
      <c r="K962" s="96" t="str">
        <f>HYPERLINK("#'Healthcare'!AJZ1","Q6.5.25_4")</f>
        <v>Q6.5.25_4</v>
      </c>
      <c r="L962" s="93" t="str">
        <f>HYPERLINK("#'Healthcare'!AJZ2","Primary national HMO medical plan in-network coinsurance: Emergency room")</f>
        <v>Primary national HMO medical plan in-network coinsurance: Emergency room</v>
      </c>
      <c r="M962" s="6"/>
      <c r="N962" s="7"/>
      <c r="O962" s="6"/>
      <c r="P962" s="7"/>
      <c r="Q962" s="6"/>
      <c r="R962" s="7"/>
      <c r="S962" s="6"/>
      <c r="T962" s="7"/>
      <c r="U962" s="6"/>
      <c r="V962" s="7"/>
      <c r="W962" s="6"/>
      <c r="X962" s="7"/>
    </row>
    <row r="963" spans="1:24" ht="25.5" x14ac:dyDescent="0.2">
      <c r="A963" s="6"/>
      <c r="B963" s="7"/>
      <c r="C963" s="6"/>
      <c r="D963" s="7"/>
      <c r="E963" s="6"/>
      <c r="F963" s="7"/>
      <c r="G963" s="6"/>
      <c r="H963" s="7"/>
      <c r="I963" s="6"/>
      <c r="J963" s="7"/>
      <c r="K963" s="96" t="str">
        <f>HYPERLINK("#'Healthcare'!AKA1","Q6.5.25_5")</f>
        <v>Q6.5.25_5</v>
      </c>
      <c r="L963" s="93" t="str">
        <f>HYPERLINK("#'Healthcare'!AKA2","Primary national HMO medical plan in-network coinsurance: Urgent office visit")</f>
        <v>Primary national HMO medical plan in-network coinsurance: Urgent office visit</v>
      </c>
      <c r="M963" s="6"/>
      <c r="N963" s="7"/>
      <c r="O963" s="6"/>
      <c r="P963" s="7"/>
      <c r="Q963" s="6"/>
      <c r="R963" s="7"/>
      <c r="S963" s="6"/>
      <c r="T963" s="7"/>
      <c r="U963" s="6"/>
      <c r="V963" s="7"/>
      <c r="W963" s="6"/>
      <c r="X963" s="7"/>
    </row>
    <row r="964" spans="1:24" ht="25.5" x14ac:dyDescent="0.2">
      <c r="A964" s="6"/>
      <c r="B964" s="7"/>
      <c r="C964" s="6"/>
      <c r="D964" s="7"/>
      <c r="E964" s="6"/>
      <c r="F964" s="7"/>
      <c r="G964" s="6"/>
      <c r="H964" s="7"/>
      <c r="I964" s="6"/>
      <c r="J964" s="7"/>
      <c r="K964" s="96" t="str">
        <f>HYPERLINK("#'Healthcare'!AKB1","Q6.5.25_7")</f>
        <v>Q6.5.25_7</v>
      </c>
      <c r="L964" s="93" t="str">
        <f>HYPERLINK("#'Healthcare'!AKB2","Primary national HMO medical plan in-network coinsurance: Telehealth")</f>
        <v>Primary national HMO medical plan in-network coinsurance: Telehealth</v>
      </c>
      <c r="M964" s="6"/>
      <c r="N964" s="7"/>
      <c r="O964" s="6"/>
      <c r="P964" s="7"/>
      <c r="Q964" s="6"/>
      <c r="R964" s="7"/>
      <c r="S964" s="6"/>
      <c r="T964" s="7"/>
      <c r="U964" s="6"/>
      <c r="V964" s="7"/>
      <c r="W964" s="6"/>
      <c r="X964" s="7"/>
    </row>
    <row r="965" spans="1:24" ht="25.5" x14ac:dyDescent="0.2">
      <c r="A965" s="6"/>
      <c r="B965" s="7"/>
      <c r="C965" s="6"/>
      <c r="D965" s="7"/>
      <c r="E965" s="6"/>
      <c r="F965" s="7"/>
      <c r="G965" s="6"/>
      <c r="H965" s="7"/>
      <c r="I965" s="6"/>
      <c r="J965" s="7"/>
      <c r="K965" s="96" t="str">
        <f>HYPERLINK("#'Healthcare'!AKC1","Q6.5.25_6")</f>
        <v>Q6.5.25_6</v>
      </c>
      <c r="L965" s="93" t="str">
        <f>HYPERLINK("#'Healthcare'!AKC2","Primary national HMO medical plan in-network coinsurance: Other")</f>
        <v>Primary national HMO medical plan in-network coinsurance: Other</v>
      </c>
      <c r="M965" s="6"/>
      <c r="N965" s="7"/>
      <c r="O965" s="6"/>
      <c r="P965" s="7"/>
      <c r="Q965" s="6"/>
      <c r="R965" s="7"/>
      <c r="S965" s="6"/>
      <c r="T965" s="7"/>
      <c r="U965" s="6"/>
      <c r="V965" s="7"/>
      <c r="W965" s="6"/>
      <c r="X965" s="7"/>
    </row>
    <row r="966" spans="1:24" ht="38.25" x14ac:dyDescent="0.2">
      <c r="A966" s="6"/>
      <c r="B966" s="7"/>
      <c r="C966" s="6"/>
      <c r="D966" s="7"/>
      <c r="E966" s="6"/>
      <c r="F966" s="7"/>
      <c r="G966" s="6"/>
      <c r="H966" s="7"/>
      <c r="I966" s="6"/>
      <c r="J966" s="7"/>
      <c r="K966" s="96" t="str">
        <f>HYPERLINK("#'Healthcare'!AKD1","Q6.5.26_1")</f>
        <v>Q6.5.26_1</v>
      </c>
      <c r="L966" s="93" t="str">
        <f>HYPERLINK("#'Healthcare'!AKD2","Primary national HMO medical plan out-of-network copayment: General/Primary care office visit")</f>
        <v>Primary national HMO medical plan out-of-network copayment: General/Primary care office visit</v>
      </c>
      <c r="M966" s="6"/>
      <c r="N966" s="7"/>
      <c r="O966" s="6"/>
      <c r="P966" s="7"/>
      <c r="Q966" s="6"/>
      <c r="R966" s="7"/>
      <c r="S966" s="6"/>
      <c r="T966" s="7"/>
      <c r="U966" s="6"/>
      <c r="V966" s="7"/>
      <c r="W966" s="6"/>
      <c r="X966" s="7"/>
    </row>
    <row r="967" spans="1:24" ht="25.5" x14ac:dyDescent="0.2">
      <c r="A967" s="6"/>
      <c r="B967" s="7"/>
      <c r="C967" s="6"/>
      <c r="D967" s="7"/>
      <c r="E967" s="6"/>
      <c r="F967" s="7"/>
      <c r="G967" s="6"/>
      <c r="H967" s="7"/>
      <c r="I967" s="6"/>
      <c r="J967" s="7"/>
      <c r="K967" s="96" t="str">
        <f>HYPERLINK("#'Healthcare'!AKE1","Q6.5.26_2")</f>
        <v>Q6.5.26_2</v>
      </c>
      <c r="L967" s="93" t="str">
        <f>HYPERLINK("#'Healthcare'!AKE2","Primary national HMO medical plan out-of-network copayment: Specialist office visit")</f>
        <v>Primary national HMO medical plan out-of-network copayment: Specialist office visit</v>
      </c>
      <c r="M967" s="6"/>
      <c r="N967" s="7"/>
      <c r="O967" s="6"/>
      <c r="P967" s="7"/>
      <c r="Q967" s="6"/>
      <c r="R967" s="7"/>
      <c r="S967" s="6"/>
      <c r="T967" s="7"/>
      <c r="U967" s="6"/>
      <c r="V967" s="7"/>
      <c r="W967" s="6"/>
      <c r="X967" s="7"/>
    </row>
    <row r="968" spans="1:24" ht="38.25" x14ac:dyDescent="0.2">
      <c r="A968" s="6"/>
      <c r="B968" s="7"/>
      <c r="C968" s="6"/>
      <c r="D968" s="7"/>
      <c r="E968" s="6"/>
      <c r="F968" s="7"/>
      <c r="G968" s="6"/>
      <c r="H968" s="7"/>
      <c r="I968" s="6"/>
      <c r="J968" s="7"/>
      <c r="K968" s="96" t="str">
        <f>HYPERLINK("#'Healthcare'!AKF1","Q6.5.26_3")</f>
        <v>Q6.5.26_3</v>
      </c>
      <c r="L968" s="93" t="str">
        <f>HYPERLINK("#'Healthcare'!AKF2","Primary national HMO medical plan out-of-network copayment: Autism/applied behavioral analysis (ABA)")</f>
        <v>Primary national HMO medical plan out-of-network copayment: Autism/applied behavioral analysis (ABA)</v>
      </c>
      <c r="M968" s="6"/>
      <c r="N968" s="7"/>
      <c r="O968" s="6"/>
      <c r="P968" s="7"/>
      <c r="Q968" s="6"/>
      <c r="R968" s="7"/>
      <c r="S968" s="6"/>
      <c r="T968" s="7"/>
      <c r="U968" s="6"/>
      <c r="V968" s="7"/>
      <c r="W968" s="6"/>
      <c r="X968" s="7"/>
    </row>
    <row r="969" spans="1:24" ht="25.5" x14ac:dyDescent="0.2">
      <c r="A969" s="6"/>
      <c r="B969" s="7"/>
      <c r="C969" s="6"/>
      <c r="D969" s="7"/>
      <c r="E969" s="6"/>
      <c r="F969" s="7"/>
      <c r="G969" s="6"/>
      <c r="H969" s="7"/>
      <c r="I969" s="6"/>
      <c r="J969" s="7"/>
      <c r="K969" s="96" t="str">
        <f>HYPERLINK("#'Healthcare'!AKG1","Q6.5.26_4")</f>
        <v>Q6.5.26_4</v>
      </c>
      <c r="L969" s="93" t="str">
        <f>HYPERLINK("#'Healthcare'!AKG2","Primary national HMO medical plan out-of-network copayment: Emergency room")</f>
        <v>Primary national HMO medical plan out-of-network copayment: Emergency room</v>
      </c>
      <c r="M969" s="6"/>
      <c r="N969" s="7"/>
      <c r="O969" s="6"/>
      <c r="P969" s="7"/>
      <c r="Q969" s="6"/>
      <c r="R969" s="7"/>
      <c r="S969" s="6"/>
      <c r="T969" s="7"/>
      <c r="U969" s="6"/>
      <c r="V969" s="7"/>
      <c r="W969" s="6"/>
      <c r="X969" s="7"/>
    </row>
    <row r="970" spans="1:24" ht="25.5" x14ac:dyDescent="0.2">
      <c r="A970" s="6"/>
      <c r="B970" s="7"/>
      <c r="C970" s="6"/>
      <c r="D970" s="7"/>
      <c r="E970" s="6"/>
      <c r="F970" s="7"/>
      <c r="G970" s="6"/>
      <c r="H970" s="7"/>
      <c r="I970" s="6"/>
      <c r="J970" s="7"/>
      <c r="K970" s="96" t="str">
        <f>HYPERLINK("#'Healthcare'!AKH1","Q6.5.26_5")</f>
        <v>Q6.5.26_5</v>
      </c>
      <c r="L970" s="93" t="str">
        <f>HYPERLINK("#'Healthcare'!AKH2","Primary national HMO medical plan out-of-network copayment: Urgent office visit")</f>
        <v>Primary national HMO medical plan out-of-network copayment: Urgent office visit</v>
      </c>
      <c r="M970" s="6"/>
      <c r="N970" s="7"/>
      <c r="O970" s="6"/>
      <c r="P970" s="7"/>
      <c r="Q970" s="6"/>
      <c r="R970" s="7"/>
      <c r="S970" s="6"/>
      <c r="T970" s="7"/>
      <c r="U970" s="6"/>
      <c r="V970" s="7"/>
      <c r="W970" s="6"/>
      <c r="X970" s="7"/>
    </row>
    <row r="971" spans="1:24" ht="25.5" x14ac:dyDescent="0.2">
      <c r="A971" s="6"/>
      <c r="B971" s="7"/>
      <c r="C971" s="6"/>
      <c r="D971" s="7"/>
      <c r="E971" s="6"/>
      <c r="F971" s="7"/>
      <c r="G971" s="6"/>
      <c r="H971" s="7"/>
      <c r="I971" s="6"/>
      <c r="J971" s="7"/>
      <c r="K971" s="96" t="str">
        <f>HYPERLINK("#'Healthcare'!AKI1","Q6.5.26_7")</f>
        <v>Q6.5.26_7</v>
      </c>
      <c r="L971" s="93" t="str">
        <f>HYPERLINK("#'Healthcare'!AKI2","Primary national HMO medical plan out-of-network copayment: Telehealth")</f>
        <v>Primary national HMO medical plan out-of-network copayment: Telehealth</v>
      </c>
      <c r="M971" s="6"/>
      <c r="N971" s="7"/>
      <c r="O971" s="6"/>
      <c r="P971" s="7"/>
      <c r="Q971" s="6"/>
      <c r="R971" s="7"/>
      <c r="S971" s="6"/>
      <c r="T971" s="7"/>
      <c r="U971" s="6"/>
      <c r="V971" s="7"/>
      <c r="W971" s="6"/>
      <c r="X971" s="7"/>
    </row>
    <row r="972" spans="1:24" ht="25.5" x14ac:dyDescent="0.2">
      <c r="A972" s="6"/>
      <c r="B972" s="7"/>
      <c r="C972" s="6"/>
      <c r="D972" s="7"/>
      <c r="E972" s="6"/>
      <c r="F972" s="7"/>
      <c r="G972" s="6"/>
      <c r="H972" s="7"/>
      <c r="I972" s="6"/>
      <c r="J972" s="7"/>
      <c r="K972" s="96" t="str">
        <f>HYPERLINK("#'Healthcare'!AKJ1","Q6.5.26_6")</f>
        <v>Q6.5.26_6</v>
      </c>
      <c r="L972" s="93" t="str">
        <f>HYPERLINK("#'Healthcare'!AKJ2","Primary national HMO medical plan out-of-network copayment: Other")</f>
        <v>Primary national HMO medical plan out-of-network copayment: Other</v>
      </c>
      <c r="M972" s="6"/>
      <c r="N972" s="7"/>
      <c r="O972" s="6"/>
      <c r="P972" s="7"/>
      <c r="Q972" s="6"/>
      <c r="R972" s="7"/>
      <c r="S972" s="6"/>
      <c r="T972" s="7"/>
      <c r="U972" s="6"/>
      <c r="V972" s="7"/>
      <c r="W972" s="6"/>
      <c r="X972" s="7"/>
    </row>
    <row r="973" spans="1:24" ht="38.25" x14ac:dyDescent="0.2">
      <c r="A973" s="6"/>
      <c r="B973" s="7"/>
      <c r="C973" s="6"/>
      <c r="D973" s="7"/>
      <c r="E973" s="6"/>
      <c r="F973" s="7"/>
      <c r="G973" s="6"/>
      <c r="H973" s="7"/>
      <c r="I973" s="6"/>
      <c r="J973" s="7"/>
      <c r="K973" s="96" t="str">
        <f>HYPERLINK("#'Healthcare'!AKK1","Q6.5.27_1")</f>
        <v>Q6.5.27_1</v>
      </c>
      <c r="L973" s="93" t="str">
        <f>HYPERLINK("#'Healthcare'!AKK2","Primary national HMO medical plan out-of-network coinsurance: General/Primary care office visit")</f>
        <v>Primary national HMO medical plan out-of-network coinsurance: General/Primary care office visit</v>
      </c>
      <c r="M973" s="6"/>
      <c r="N973" s="7"/>
      <c r="O973" s="6"/>
      <c r="P973" s="7"/>
      <c r="Q973" s="6"/>
      <c r="R973" s="7"/>
      <c r="S973" s="6"/>
      <c r="T973" s="7"/>
      <c r="U973" s="6"/>
      <c r="V973" s="7"/>
      <c r="W973" s="6"/>
      <c r="X973" s="7"/>
    </row>
    <row r="974" spans="1:24" ht="25.5" x14ac:dyDescent="0.2">
      <c r="A974" s="6"/>
      <c r="B974" s="7"/>
      <c r="C974" s="6"/>
      <c r="D974" s="7"/>
      <c r="E974" s="6"/>
      <c r="F974" s="7"/>
      <c r="G974" s="6"/>
      <c r="H974" s="7"/>
      <c r="I974" s="6"/>
      <c r="J974" s="7"/>
      <c r="K974" s="96" t="str">
        <f>HYPERLINK("#'Healthcare'!AKL1","Q6.5.27_2")</f>
        <v>Q6.5.27_2</v>
      </c>
      <c r="L974" s="93" t="str">
        <f>HYPERLINK("#'Healthcare'!AKL2","Primary national HMO medical plan out-of-network coinsurance: Specialist office visit")</f>
        <v>Primary national HMO medical plan out-of-network coinsurance: Specialist office visit</v>
      </c>
      <c r="M974" s="6"/>
      <c r="N974" s="7"/>
      <c r="O974" s="6"/>
      <c r="P974" s="7"/>
      <c r="Q974" s="6"/>
      <c r="R974" s="7"/>
      <c r="S974" s="6"/>
      <c r="T974" s="7"/>
      <c r="U974" s="6"/>
      <c r="V974" s="7"/>
      <c r="W974" s="6"/>
      <c r="X974" s="7"/>
    </row>
    <row r="975" spans="1:24" ht="38.25" x14ac:dyDescent="0.2">
      <c r="A975" s="6"/>
      <c r="B975" s="7"/>
      <c r="C975" s="6"/>
      <c r="D975" s="7"/>
      <c r="E975" s="6"/>
      <c r="F975" s="7"/>
      <c r="G975" s="6"/>
      <c r="H975" s="7"/>
      <c r="I975" s="6"/>
      <c r="J975" s="7"/>
      <c r="K975" s="96" t="str">
        <f>HYPERLINK("#'Healthcare'!AKM1","Q6.5.27_3")</f>
        <v>Q6.5.27_3</v>
      </c>
      <c r="L975" s="93" t="str">
        <f>HYPERLINK("#'Healthcare'!AKM2","Primary national HMO medical plan out-of-network coinsurance: Autism/applied behavioral analysis (ABA)")</f>
        <v>Primary national HMO medical plan out-of-network coinsurance: Autism/applied behavioral analysis (ABA)</v>
      </c>
      <c r="M975" s="6"/>
      <c r="N975" s="7"/>
      <c r="O975" s="6"/>
      <c r="P975" s="7"/>
      <c r="Q975" s="6"/>
      <c r="R975" s="7"/>
      <c r="S975" s="6"/>
      <c r="T975" s="7"/>
      <c r="U975" s="6"/>
      <c r="V975" s="7"/>
      <c r="W975" s="6"/>
      <c r="X975" s="7"/>
    </row>
    <row r="976" spans="1:24" ht="25.5" x14ac:dyDescent="0.2">
      <c r="A976" s="6"/>
      <c r="B976" s="7"/>
      <c r="C976" s="6"/>
      <c r="D976" s="7"/>
      <c r="E976" s="6"/>
      <c r="F976" s="7"/>
      <c r="G976" s="6"/>
      <c r="H976" s="7"/>
      <c r="I976" s="6"/>
      <c r="J976" s="7"/>
      <c r="K976" s="96" t="str">
        <f>HYPERLINK("#'Healthcare'!AKN1","Q6.5.27_4")</f>
        <v>Q6.5.27_4</v>
      </c>
      <c r="L976" s="93" t="str">
        <f>HYPERLINK("#'Healthcare'!AKN2","Primary national HMO medical plan out-of-network coinsurance: Emergency room")</f>
        <v>Primary national HMO medical plan out-of-network coinsurance: Emergency room</v>
      </c>
      <c r="M976" s="6"/>
      <c r="N976" s="7"/>
      <c r="O976" s="6"/>
      <c r="P976" s="7"/>
      <c r="Q976" s="6"/>
      <c r="R976" s="7"/>
      <c r="S976" s="6"/>
      <c r="T976" s="7"/>
      <c r="U976" s="6"/>
      <c r="V976" s="7"/>
      <c r="W976" s="6"/>
      <c r="X976" s="7"/>
    </row>
    <row r="977" spans="1:24" ht="25.5" x14ac:dyDescent="0.2">
      <c r="A977" s="6"/>
      <c r="B977" s="7"/>
      <c r="C977" s="6"/>
      <c r="D977" s="7"/>
      <c r="E977" s="6"/>
      <c r="F977" s="7"/>
      <c r="G977" s="6"/>
      <c r="H977" s="7"/>
      <c r="I977" s="6"/>
      <c r="J977" s="7"/>
      <c r="K977" s="96" t="str">
        <f>HYPERLINK("#'Healthcare'!AKO1","Q6.5.27_5")</f>
        <v>Q6.5.27_5</v>
      </c>
      <c r="L977" s="93" t="str">
        <f>HYPERLINK("#'Healthcare'!AKO2","Primary national HMO medical plan out-of-network coinsurance: Urgent office visit")</f>
        <v>Primary national HMO medical plan out-of-network coinsurance: Urgent office visit</v>
      </c>
      <c r="M977" s="6"/>
      <c r="N977" s="7"/>
      <c r="O977" s="6"/>
      <c r="P977" s="7"/>
      <c r="Q977" s="6"/>
      <c r="R977" s="7"/>
      <c r="S977" s="6"/>
      <c r="T977" s="7"/>
      <c r="U977" s="6"/>
      <c r="V977" s="7"/>
      <c r="W977" s="6"/>
      <c r="X977" s="7"/>
    </row>
    <row r="978" spans="1:24" ht="25.5" x14ac:dyDescent="0.2">
      <c r="A978" s="6"/>
      <c r="B978" s="7"/>
      <c r="C978" s="6"/>
      <c r="D978" s="7"/>
      <c r="E978" s="6"/>
      <c r="F978" s="7"/>
      <c r="G978" s="6"/>
      <c r="H978" s="7"/>
      <c r="I978" s="6"/>
      <c r="J978" s="7"/>
      <c r="K978" s="96" t="str">
        <f>HYPERLINK("#'Healthcare'!AKP1","Q6.5.27_7")</f>
        <v>Q6.5.27_7</v>
      </c>
      <c r="L978" s="93" t="str">
        <f>HYPERLINK("#'Healthcare'!AKP2","Primary national HMO medical plan out-of-network coinsurance: Telehealth")</f>
        <v>Primary national HMO medical plan out-of-network coinsurance: Telehealth</v>
      </c>
      <c r="M978" s="6"/>
      <c r="N978" s="7"/>
      <c r="O978" s="6"/>
      <c r="P978" s="7"/>
      <c r="Q978" s="6"/>
      <c r="R978" s="7"/>
      <c r="S978" s="6"/>
      <c r="T978" s="7"/>
      <c r="U978" s="6"/>
      <c r="V978" s="7"/>
      <c r="W978" s="6"/>
      <c r="X978" s="7"/>
    </row>
    <row r="979" spans="1:24" ht="25.5" x14ac:dyDescent="0.2">
      <c r="A979" s="6"/>
      <c r="B979" s="7"/>
      <c r="C979" s="6"/>
      <c r="D979" s="7"/>
      <c r="E979" s="6"/>
      <c r="F979" s="7"/>
      <c r="G979" s="6"/>
      <c r="H979" s="7"/>
      <c r="I979" s="6"/>
      <c r="J979" s="7"/>
      <c r="K979" s="96" t="str">
        <f>HYPERLINK("#'Healthcare'!AKQ1","Q6.5.27_6")</f>
        <v>Q6.5.27_6</v>
      </c>
      <c r="L979" s="93" t="str">
        <f>HYPERLINK("#'Healthcare'!AKQ2","Primary national HMO medical plan out-of-network coinsurance: Other")</f>
        <v>Primary national HMO medical plan out-of-network coinsurance: Other</v>
      </c>
      <c r="M979" s="6"/>
      <c r="N979" s="7"/>
      <c r="O979" s="6"/>
      <c r="P979" s="7"/>
      <c r="Q979" s="6"/>
      <c r="R979" s="7"/>
      <c r="S979" s="6"/>
      <c r="T979" s="7"/>
      <c r="U979" s="6"/>
      <c r="V979" s="7"/>
      <c r="W979" s="6"/>
      <c r="X979" s="7"/>
    </row>
    <row r="980" spans="1:24" ht="38.25" x14ac:dyDescent="0.2">
      <c r="A980" s="6"/>
      <c r="B980" s="7"/>
      <c r="C980" s="6"/>
      <c r="D980" s="7"/>
      <c r="E980" s="6"/>
      <c r="F980" s="7"/>
      <c r="G980" s="6"/>
      <c r="H980" s="7"/>
      <c r="I980" s="6"/>
      <c r="J980" s="7"/>
      <c r="K980" s="96" t="str">
        <f>HYPERLINK("#'Healthcare'!AKR1","Q6.5.28_1")</f>
        <v>Q6.5.28_1</v>
      </c>
      <c r="L980" s="93" t="str">
        <f>HYPERLINK("#'Healthcare'!AKR2","Primary national HMO medical plan out-of-pocket cost share waived or reduced: General/Primary care office visit")</f>
        <v>Primary national HMO medical plan out-of-pocket cost share waived or reduced: General/Primary care office visit</v>
      </c>
      <c r="M980" s="6"/>
      <c r="N980" s="7"/>
      <c r="O980" s="6"/>
      <c r="P980" s="7"/>
      <c r="Q980" s="6"/>
      <c r="R980" s="7"/>
      <c r="S980" s="6"/>
      <c r="T980" s="7"/>
      <c r="U980" s="6"/>
      <c r="V980" s="7"/>
      <c r="W980" s="6"/>
      <c r="X980" s="7"/>
    </row>
    <row r="981" spans="1:24" ht="38.25" x14ac:dyDescent="0.2">
      <c r="A981" s="6"/>
      <c r="B981" s="7"/>
      <c r="C981" s="6"/>
      <c r="D981" s="7"/>
      <c r="E981" s="6"/>
      <c r="F981" s="7"/>
      <c r="G981" s="6"/>
      <c r="H981" s="7"/>
      <c r="I981" s="6"/>
      <c r="J981" s="7"/>
      <c r="K981" s="96" t="str">
        <f>HYPERLINK("#'Healthcare'!AKS1","Q6.5.28_2")</f>
        <v>Q6.5.28_2</v>
      </c>
      <c r="L981" s="93" t="str">
        <f>HYPERLINK("#'Healthcare'!AKS2","Primary national HMO medical plan out-of-pocket cost share waived or reduced: Specialist office visit")</f>
        <v>Primary national HMO medical plan out-of-pocket cost share waived or reduced: Specialist office visit</v>
      </c>
      <c r="M981" s="6"/>
      <c r="N981" s="7"/>
      <c r="O981" s="6"/>
      <c r="P981" s="7"/>
      <c r="Q981" s="6"/>
      <c r="R981" s="7"/>
      <c r="S981" s="6"/>
      <c r="T981" s="7"/>
      <c r="U981" s="6"/>
      <c r="V981" s="7"/>
      <c r="W981" s="6"/>
      <c r="X981" s="7"/>
    </row>
    <row r="982" spans="1:24" ht="38.25" x14ac:dyDescent="0.2">
      <c r="A982" s="6"/>
      <c r="B982" s="7"/>
      <c r="C982" s="6"/>
      <c r="D982" s="7"/>
      <c r="E982" s="6"/>
      <c r="F982" s="7"/>
      <c r="G982" s="6"/>
      <c r="H982" s="7"/>
      <c r="I982" s="6"/>
      <c r="J982" s="7"/>
      <c r="K982" s="96" t="str">
        <f>HYPERLINK("#'Healthcare'!AKT1","Q6.5.28_3")</f>
        <v>Q6.5.28_3</v>
      </c>
      <c r="L982" s="93" t="str">
        <f>HYPERLINK("#'Healthcare'!AKT2","Primary national HMO medical plan out-of-pocket cost share waived or reduced: Autism/applied behavioral analysis (ABA)")</f>
        <v>Primary national HMO medical plan out-of-pocket cost share waived or reduced: Autism/applied behavioral analysis (ABA)</v>
      </c>
      <c r="M982" s="6"/>
      <c r="N982" s="7"/>
      <c r="O982" s="6"/>
      <c r="P982" s="7"/>
      <c r="Q982" s="6"/>
      <c r="R982" s="7"/>
      <c r="S982" s="6"/>
      <c r="T982" s="7"/>
      <c r="U982" s="6"/>
      <c r="V982" s="7"/>
      <c r="W982" s="6"/>
      <c r="X982" s="7"/>
    </row>
    <row r="983" spans="1:24" ht="38.25" x14ac:dyDescent="0.2">
      <c r="A983" s="6"/>
      <c r="B983" s="7"/>
      <c r="C983" s="6"/>
      <c r="D983" s="7"/>
      <c r="E983" s="6"/>
      <c r="F983" s="7"/>
      <c r="G983" s="6"/>
      <c r="H983" s="7"/>
      <c r="I983" s="6"/>
      <c r="J983" s="7"/>
      <c r="K983" s="96" t="str">
        <f>HYPERLINK("#'Healthcare'!AKU1","Q6.5.28_4")</f>
        <v>Q6.5.28_4</v>
      </c>
      <c r="L983" s="93" t="str">
        <f>HYPERLINK("#'Healthcare'!AKU2","Primary national HMO medical plan out-of-pocket cost share waived or reduced: Emergency room")</f>
        <v>Primary national HMO medical plan out-of-pocket cost share waived or reduced: Emergency room</v>
      </c>
      <c r="M983" s="6"/>
      <c r="N983" s="7"/>
      <c r="O983" s="6"/>
      <c r="P983" s="7"/>
      <c r="Q983" s="6"/>
      <c r="R983" s="7"/>
      <c r="S983" s="6"/>
      <c r="T983" s="7"/>
      <c r="U983" s="6"/>
      <c r="V983" s="7"/>
      <c r="W983" s="6"/>
      <c r="X983" s="7"/>
    </row>
    <row r="984" spans="1:24" ht="38.25" x14ac:dyDescent="0.2">
      <c r="A984" s="6"/>
      <c r="B984" s="7"/>
      <c r="C984" s="6"/>
      <c r="D984" s="7"/>
      <c r="E984" s="6"/>
      <c r="F984" s="7"/>
      <c r="G984" s="6"/>
      <c r="H984" s="7"/>
      <c r="I984" s="6"/>
      <c r="J984" s="7"/>
      <c r="K984" s="96" t="str">
        <f>HYPERLINK("#'Healthcare'!AKV1","Q6.5.28_5")</f>
        <v>Q6.5.28_5</v>
      </c>
      <c r="L984" s="93" t="str">
        <f>HYPERLINK("#'Healthcare'!AKV2","Primary national HMO medical plan out-of-pocket cost share waived or reduced: Urgent office visit")</f>
        <v>Primary national HMO medical plan out-of-pocket cost share waived or reduced: Urgent office visit</v>
      </c>
      <c r="M984" s="6"/>
      <c r="N984" s="7"/>
      <c r="O984" s="6"/>
      <c r="P984" s="7"/>
      <c r="Q984" s="6"/>
      <c r="R984" s="7"/>
      <c r="S984" s="6"/>
      <c r="T984" s="7"/>
      <c r="U984" s="6"/>
      <c r="V984" s="7"/>
      <c r="W984" s="6"/>
      <c r="X984" s="7"/>
    </row>
    <row r="985" spans="1:24" ht="38.25" x14ac:dyDescent="0.2">
      <c r="A985" s="6"/>
      <c r="B985" s="7"/>
      <c r="C985" s="6"/>
      <c r="D985" s="7"/>
      <c r="E985" s="6"/>
      <c r="F985" s="7"/>
      <c r="G985" s="6"/>
      <c r="H985" s="7"/>
      <c r="I985" s="6"/>
      <c r="J985" s="7"/>
      <c r="K985" s="96" t="str">
        <f>HYPERLINK("#'Healthcare'!AKW1","Q6.5.28_6")</f>
        <v>Q6.5.28_6</v>
      </c>
      <c r="L985" s="93" t="str">
        <f>HYPERLINK("#'Healthcare'!AKW2","Primary national HMO medical plan out-of-pocket cost share waived or reduced: Telehealth")</f>
        <v>Primary national HMO medical plan out-of-pocket cost share waived or reduced: Telehealth</v>
      </c>
      <c r="M985" s="6"/>
      <c r="N985" s="7"/>
      <c r="O985" s="6"/>
      <c r="P985" s="7"/>
      <c r="Q985" s="6"/>
      <c r="R985" s="7"/>
      <c r="S985" s="6"/>
      <c r="T985" s="7"/>
      <c r="U985" s="6"/>
      <c r="V985" s="7"/>
      <c r="W985" s="6"/>
      <c r="X985" s="7"/>
    </row>
    <row r="986" spans="1:24" ht="25.5" x14ac:dyDescent="0.2">
      <c r="A986" s="6"/>
      <c r="B986" s="7"/>
      <c r="C986" s="6"/>
      <c r="D986" s="7"/>
      <c r="E986" s="6"/>
      <c r="F986" s="7"/>
      <c r="G986" s="6"/>
      <c r="H986" s="7"/>
      <c r="I986" s="6"/>
      <c r="J986" s="7"/>
      <c r="K986" s="96" t="str">
        <f>HYPERLINK("#'Healthcare'!AKX1","Q6.5.28_7")</f>
        <v>Q6.5.28_7</v>
      </c>
      <c r="L986" s="93" t="str">
        <f>HYPERLINK("#'Healthcare'!AKX2","Primary national HMO medical plan out-of-pocket cost share waived or reduced: Other")</f>
        <v>Primary national HMO medical plan out-of-pocket cost share waived or reduced: Other</v>
      </c>
      <c r="M986" s="6"/>
      <c r="N986" s="7"/>
      <c r="O986" s="6"/>
      <c r="P986" s="7"/>
      <c r="Q986" s="6"/>
      <c r="R986" s="7"/>
      <c r="S986" s="6"/>
      <c r="T986" s="7"/>
      <c r="U986" s="6"/>
      <c r="V986" s="7"/>
      <c r="W986" s="6"/>
      <c r="X986" s="7"/>
    </row>
    <row r="987" spans="1:24" ht="51" x14ac:dyDescent="0.2">
      <c r="A987" s="6"/>
      <c r="B987" s="7"/>
      <c r="C987" s="6"/>
      <c r="D987" s="7"/>
      <c r="E987" s="6"/>
      <c r="F987" s="7"/>
      <c r="G987" s="6"/>
      <c r="H987" s="7"/>
      <c r="I987" s="6"/>
      <c r="J987" s="7"/>
      <c r="K987" s="96" t="str">
        <f>HYPERLINK("#'Healthcare'!AKY1","Q6.5.29_1")</f>
        <v>Q6.5.29_1</v>
      </c>
      <c r="L987" s="93" t="str">
        <f>HYPERLINK("#'Healthcare'!AKY2","Primary national HMO medical plan non-authorization/notification/not qualified services penalties applied: General/Primary care office visit")</f>
        <v>Primary national HMO medical plan non-authorization/notification/not qualified services penalties applied: General/Primary care office visit</v>
      </c>
      <c r="M987" s="6"/>
      <c r="N987" s="7"/>
      <c r="O987" s="6"/>
      <c r="P987" s="7"/>
      <c r="Q987" s="6"/>
      <c r="R987" s="7"/>
      <c r="S987" s="6"/>
      <c r="T987" s="7"/>
      <c r="U987" s="6"/>
      <c r="V987" s="7"/>
      <c r="W987" s="6"/>
      <c r="X987" s="7"/>
    </row>
    <row r="988" spans="1:24" ht="38.25" x14ac:dyDescent="0.2">
      <c r="A988" s="6"/>
      <c r="B988" s="7"/>
      <c r="C988" s="6"/>
      <c r="D988" s="7"/>
      <c r="E988" s="6"/>
      <c r="F988" s="7"/>
      <c r="G988" s="6"/>
      <c r="H988" s="7"/>
      <c r="I988" s="6"/>
      <c r="J988" s="7"/>
      <c r="K988" s="96" t="str">
        <f>HYPERLINK("#'Healthcare'!AKZ1","Q6.5.29_2")</f>
        <v>Q6.5.29_2</v>
      </c>
      <c r="L988" s="93" t="str">
        <f>HYPERLINK("#'Healthcare'!AKZ2","Primary national HMO medical plan non-authorization/notification/not qualified services penalties applied: Specialist office visit")</f>
        <v>Primary national HMO medical plan non-authorization/notification/not qualified services penalties applied: Specialist office visit</v>
      </c>
      <c r="M988" s="6"/>
      <c r="N988" s="7"/>
      <c r="O988" s="6"/>
      <c r="P988" s="7"/>
      <c r="Q988" s="6"/>
      <c r="R988" s="7"/>
      <c r="S988" s="6"/>
      <c r="T988" s="7"/>
      <c r="U988" s="6"/>
      <c r="V988" s="7"/>
      <c r="W988" s="6"/>
      <c r="X988" s="7"/>
    </row>
    <row r="989" spans="1:24" ht="51" x14ac:dyDescent="0.2">
      <c r="A989" s="6"/>
      <c r="B989" s="7"/>
      <c r="C989" s="6"/>
      <c r="D989" s="7"/>
      <c r="E989" s="6"/>
      <c r="F989" s="7"/>
      <c r="G989" s="6"/>
      <c r="H989" s="7"/>
      <c r="I989" s="6"/>
      <c r="J989" s="7"/>
      <c r="K989" s="96" t="str">
        <f>HYPERLINK("#'Healthcare'!ALA1","Q6.5.29_3")</f>
        <v>Q6.5.29_3</v>
      </c>
      <c r="L989" s="93" t="str">
        <f>HYPERLINK("#'Healthcare'!ALA2","Primary national HMO medical plan non-authorization/notification/not qualified services penalties applied: Autism/applied behavioral analysis (ABA)")</f>
        <v>Primary national HMO medical plan non-authorization/notification/not qualified services penalties applied: Autism/applied behavioral analysis (ABA)</v>
      </c>
      <c r="M989" s="6"/>
      <c r="N989" s="7"/>
      <c r="O989" s="6"/>
      <c r="P989" s="7"/>
      <c r="Q989" s="6"/>
      <c r="R989" s="7"/>
      <c r="S989" s="6"/>
      <c r="T989" s="7"/>
      <c r="U989" s="6"/>
      <c r="V989" s="7"/>
      <c r="W989" s="6"/>
      <c r="X989" s="7"/>
    </row>
    <row r="990" spans="1:24" ht="38.25" x14ac:dyDescent="0.2">
      <c r="A990" s="6"/>
      <c r="B990" s="7"/>
      <c r="C990" s="6"/>
      <c r="D990" s="7"/>
      <c r="E990" s="6"/>
      <c r="F990" s="7"/>
      <c r="G990" s="6"/>
      <c r="H990" s="7"/>
      <c r="I990" s="6"/>
      <c r="J990" s="7"/>
      <c r="K990" s="96" t="str">
        <f>HYPERLINK("#'Healthcare'!ALB1","Q6.5.29_4")</f>
        <v>Q6.5.29_4</v>
      </c>
      <c r="L990" s="93" t="str">
        <f>HYPERLINK("#'Healthcare'!ALB2","Primary national HMO medical plan non-authorization/notification/not qualified services penalties applied: Emergency room")</f>
        <v>Primary national HMO medical plan non-authorization/notification/not qualified services penalties applied: Emergency room</v>
      </c>
      <c r="M990" s="6"/>
      <c r="N990" s="7"/>
      <c r="O990" s="6"/>
      <c r="P990" s="7"/>
      <c r="Q990" s="6"/>
      <c r="R990" s="7"/>
      <c r="S990" s="6"/>
      <c r="T990" s="7"/>
      <c r="U990" s="6"/>
      <c r="V990" s="7"/>
      <c r="W990" s="6"/>
      <c r="X990" s="7"/>
    </row>
    <row r="991" spans="1:24" ht="38.25" x14ac:dyDescent="0.2">
      <c r="A991" s="6"/>
      <c r="B991" s="7"/>
      <c r="C991" s="6"/>
      <c r="D991" s="7"/>
      <c r="E991" s="6"/>
      <c r="F991" s="7"/>
      <c r="G991" s="6"/>
      <c r="H991" s="7"/>
      <c r="I991" s="6"/>
      <c r="J991" s="7"/>
      <c r="K991" s="96" t="str">
        <f>HYPERLINK("#'Healthcare'!ALC1","Q6.5.29_5")</f>
        <v>Q6.5.29_5</v>
      </c>
      <c r="L991" s="93" t="str">
        <f>HYPERLINK("#'Healthcare'!ALC2","Primary national HMO medical plan non-authorization/notification/not qualified services penalties applied: Urgent office visit")</f>
        <v>Primary national HMO medical plan non-authorization/notification/not qualified services penalties applied: Urgent office visit</v>
      </c>
      <c r="M991" s="6"/>
      <c r="N991" s="7"/>
      <c r="O991" s="6"/>
      <c r="P991" s="7"/>
      <c r="Q991" s="6"/>
      <c r="R991" s="7"/>
      <c r="S991" s="6"/>
      <c r="T991" s="7"/>
      <c r="U991" s="6"/>
      <c r="V991" s="7"/>
      <c r="W991" s="6"/>
      <c r="X991" s="7"/>
    </row>
    <row r="992" spans="1:24" ht="38.25" x14ac:dyDescent="0.2">
      <c r="A992" s="6"/>
      <c r="B992" s="7"/>
      <c r="C992" s="6"/>
      <c r="D992" s="7"/>
      <c r="E992" s="6"/>
      <c r="F992" s="7"/>
      <c r="G992" s="6"/>
      <c r="H992" s="7"/>
      <c r="I992" s="6"/>
      <c r="J992" s="7"/>
      <c r="K992" s="96" t="str">
        <f>HYPERLINK("#'Healthcare'!ALD1","Q6.5.29_6")</f>
        <v>Q6.5.29_6</v>
      </c>
      <c r="L992" s="93" t="str">
        <f>HYPERLINK("#'Healthcare'!ALD2","Primary national HMO medical plan non-authorization/notification/not qualified services penalties applied: Telehealth")</f>
        <v>Primary national HMO medical plan non-authorization/notification/not qualified services penalties applied: Telehealth</v>
      </c>
      <c r="M992" s="6"/>
      <c r="N992" s="7"/>
      <c r="O992" s="6"/>
      <c r="P992" s="7"/>
      <c r="Q992" s="6"/>
      <c r="R992" s="7"/>
      <c r="S992" s="6"/>
      <c r="T992" s="7"/>
      <c r="U992" s="6"/>
      <c r="V992" s="7"/>
      <c r="W992" s="6"/>
      <c r="X992" s="7"/>
    </row>
    <row r="993" spans="1:24" ht="38.25" x14ac:dyDescent="0.2">
      <c r="A993" s="6"/>
      <c r="B993" s="7"/>
      <c r="C993" s="6"/>
      <c r="D993" s="7"/>
      <c r="E993" s="6"/>
      <c r="F993" s="7"/>
      <c r="G993" s="6"/>
      <c r="H993" s="7"/>
      <c r="I993" s="6"/>
      <c r="J993" s="7"/>
      <c r="K993" s="96" t="str">
        <f>HYPERLINK("#'Healthcare'!ALE1","Q6.5.29_7")</f>
        <v>Q6.5.29_7</v>
      </c>
      <c r="L993" s="93" t="str">
        <f>HYPERLINK("#'Healthcare'!ALE2","Primary national HMO medical plan non-authorization/notification/not qualified services penalties applied: Other")</f>
        <v>Primary national HMO medical plan non-authorization/notification/not qualified services penalties applied: Other</v>
      </c>
      <c r="M993" s="6"/>
      <c r="N993" s="7"/>
      <c r="O993" s="6"/>
      <c r="P993" s="7"/>
      <c r="Q993" s="6"/>
      <c r="R993" s="7"/>
      <c r="S993" s="6"/>
      <c r="T993" s="7"/>
      <c r="U993" s="6"/>
      <c r="V993" s="7"/>
      <c r="W993" s="6"/>
      <c r="X993" s="7"/>
    </row>
    <row r="994" spans="1:24" ht="25.5" x14ac:dyDescent="0.2">
      <c r="A994" s="6"/>
      <c r="B994" s="7"/>
      <c r="C994" s="6"/>
      <c r="D994" s="7"/>
      <c r="E994" s="6"/>
      <c r="F994" s="7"/>
      <c r="G994" s="6"/>
      <c r="H994" s="7"/>
      <c r="I994" s="6"/>
      <c r="J994" s="7"/>
      <c r="K994" s="96" t="str">
        <f>HYPERLINK("#'Healthcare'!ALF1","Q6.5.31_1")</f>
        <v>Q6.5.31_1</v>
      </c>
      <c r="L994" s="93" t="str">
        <f>HYPERLINK("#'Healthcare'!ALF2","Primary national HMO medical plan covered drug type: Preventive")</f>
        <v>Primary national HMO medical plan covered drug type: Preventive</v>
      </c>
      <c r="M994" s="6"/>
      <c r="N994" s="7"/>
      <c r="O994" s="6"/>
      <c r="P994" s="7"/>
      <c r="Q994" s="6"/>
      <c r="R994" s="7"/>
      <c r="S994" s="6"/>
      <c r="T994" s="7"/>
      <c r="U994" s="6"/>
      <c r="V994" s="7"/>
      <c r="W994" s="6"/>
      <c r="X994" s="7"/>
    </row>
    <row r="995" spans="1:24" ht="25.5" x14ac:dyDescent="0.2">
      <c r="A995" s="6"/>
      <c r="B995" s="7"/>
      <c r="C995" s="6"/>
      <c r="D995" s="7"/>
      <c r="E995" s="6"/>
      <c r="F995" s="7"/>
      <c r="G995" s="6"/>
      <c r="H995" s="7"/>
      <c r="I995" s="6"/>
      <c r="J995" s="7"/>
      <c r="K995" s="96" t="str">
        <f>HYPERLINK("#'Healthcare'!ALG1","Q6.5.31_2")</f>
        <v>Q6.5.31_2</v>
      </c>
      <c r="L995" s="93" t="str">
        <f>HYPERLINK("#'Healthcare'!ALG2","Primary national HMO medical plan covered drug type: Maintenance")</f>
        <v>Primary national HMO medical plan covered drug type: Maintenance</v>
      </c>
      <c r="M995" s="6"/>
      <c r="N995" s="7"/>
      <c r="O995" s="6"/>
      <c r="P995" s="7"/>
      <c r="Q995" s="6"/>
      <c r="R995" s="7"/>
      <c r="S995" s="6"/>
      <c r="T995" s="7"/>
      <c r="U995" s="6"/>
      <c r="V995" s="7"/>
      <c r="W995" s="6"/>
      <c r="X995" s="7"/>
    </row>
    <row r="996" spans="1:24" ht="25.5" x14ac:dyDescent="0.2">
      <c r="A996" s="6"/>
      <c r="B996" s="7"/>
      <c r="C996" s="6"/>
      <c r="D996" s="7"/>
      <c r="E996" s="6"/>
      <c r="F996" s="7"/>
      <c r="G996" s="6"/>
      <c r="H996" s="7"/>
      <c r="I996" s="6"/>
      <c r="J996" s="7"/>
      <c r="K996" s="96" t="str">
        <f>HYPERLINK("#'Healthcare'!ALH1","Q6.5.31_3")</f>
        <v>Q6.5.31_3</v>
      </c>
      <c r="L996" s="93" t="str">
        <f>HYPERLINK("#'Healthcare'!ALH2","Primary national HMO medical plan covered drug type: Generic")</f>
        <v>Primary national HMO medical plan covered drug type: Generic</v>
      </c>
      <c r="M996" s="6"/>
      <c r="N996" s="7"/>
      <c r="O996" s="6"/>
      <c r="P996" s="7"/>
      <c r="Q996" s="6"/>
      <c r="R996" s="7"/>
      <c r="S996" s="6"/>
      <c r="T996" s="7"/>
      <c r="U996" s="6"/>
      <c r="V996" s="7"/>
      <c r="W996" s="6"/>
      <c r="X996" s="7"/>
    </row>
    <row r="997" spans="1:24" ht="25.5" x14ac:dyDescent="0.2">
      <c r="A997" s="6"/>
      <c r="B997" s="7"/>
      <c r="C997" s="6"/>
      <c r="D997" s="7"/>
      <c r="E997" s="6"/>
      <c r="F997" s="7"/>
      <c r="G997" s="6"/>
      <c r="H997" s="7"/>
      <c r="I997" s="6"/>
      <c r="J997" s="7"/>
      <c r="K997" s="96" t="str">
        <f>HYPERLINK("#'Healthcare'!ALI1","Q6.5.31_4")</f>
        <v>Q6.5.31_4</v>
      </c>
      <c r="L997" s="93" t="str">
        <f>HYPERLINK("#'Healthcare'!ALI2","Primary national HMO medical plan covered drug type: Specialty (includes injectables)")</f>
        <v>Primary national HMO medical plan covered drug type: Specialty (includes injectables)</v>
      </c>
      <c r="M997" s="6"/>
      <c r="N997" s="7"/>
      <c r="O997" s="6"/>
      <c r="P997" s="7"/>
      <c r="Q997" s="6"/>
      <c r="R997" s="7"/>
      <c r="S997" s="6"/>
      <c r="T997" s="7"/>
      <c r="U997" s="6"/>
      <c r="V997" s="7"/>
      <c r="W997" s="6"/>
      <c r="X997" s="7"/>
    </row>
    <row r="998" spans="1:24" ht="25.5" x14ac:dyDescent="0.2">
      <c r="A998" s="6"/>
      <c r="B998" s="7"/>
      <c r="C998" s="6"/>
      <c r="D998" s="7"/>
      <c r="E998" s="6"/>
      <c r="F998" s="7"/>
      <c r="G998" s="6"/>
      <c r="H998" s="7"/>
      <c r="I998" s="6"/>
      <c r="J998" s="7"/>
      <c r="K998" s="96" t="str">
        <f>HYPERLINK("#'Healthcare'!ALJ1","Q6.5.31_5")</f>
        <v>Q6.5.31_5</v>
      </c>
      <c r="L998" s="93" t="str">
        <f>HYPERLINK("#'Healthcare'!ALJ2","Primary national HMO medical plan covered drug type: Lifestyle")</f>
        <v>Primary national HMO medical plan covered drug type: Lifestyle</v>
      </c>
      <c r="M998" s="6"/>
      <c r="N998" s="7"/>
      <c r="O998" s="6"/>
      <c r="P998" s="7"/>
      <c r="Q998" s="6"/>
      <c r="R998" s="7"/>
      <c r="S998" s="6"/>
      <c r="T998" s="7"/>
      <c r="U998" s="6"/>
      <c r="V998" s="7"/>
      <c r="W998" s="6"/>
      <c r="X998" s="7"/>
    </row>
    <row r="999" spans="1:24" ht="25.5" x14ac:dyDescent="0.2">
      <c r="A999" s="6"/>
      <c r="B999" s="7"/>
      <c r="C999" s="6"/>
      <c r="D999" s="7"/>
      <c r="E999" s="6"/>
      <c r="F999" s="7"/>
      <c r="G999" s="6"/>
      <c r="H999" s="7"/>
      <c r="I999" s="6"/>
      <c r="J999" s="7"/>
      <c r="K999" s="96" t="str">
        <f>HYPERLINK("#'Healthcare'!ALK1","Q6.5.31_6")</f>
        <v>Q6.5.31_6</v>
      </c>
      <c r="L999" s="93" t="str">
        <f>HYPERLINK("#'Healthcare'!ALK2","Primary national HMO medical plan covered drug type: Compounds")</f>
        <v>Primary national HMO medical plan covered drug type: Compounds</v>
      </c>
      <c r="M999" s="6"/>
      <c r="N999" s="7"/>
      <c r="O999" s="6"/>
      <c r="P999" s="7"/>
      <c r="Q999" s="6"/>
      <c r="R999" s="7"/>
      <c r="S999" s="6"/>
      <c r="T999" s="7"/>
      <c r="U999" s="6"/>
      <c r="V999" s="7"/>
      <c r="W999" s="6"/>
      <c r="X999" s="7"/>
    </row>
    <row r="1000" spans="1:24" ht="25.5" x14ac:dyDescent="0.2">
      <c r="A1000" s="6"/>
      <c r="B1000" s="7"/>
      <c r="C1000" s="6"/>
      <c r="D1000" s="7"/>
      <c r="E1000" s="6"/>
      <c r="F1000" s="7"/>
      <c r="G1000" s="6"/>
      <c r="H1000" s="7"/>
      <c r="I1000" s="6"/>
      <c r="J1000" s="7"/>
      <c r="K1000" s="96" t="str">
        <f>HYPERLINK("#'Healthcare'!ALL1","Q6.5.31_7")</f>
        <v>Q6.5.31_7</v>
      </c>
      <c r="L1000" s="93" t="str">
        <f>HYPERLINK("#'Healthcare'!ALL2","Primary national HMO medical plan covered drug type: Biosimilars")</f>
        <v>Primary national HMO medical plan covered drug type: Biosimilars</v>
      </c>
      <c r="M1000" s="6"/>
      <c r="N1000" s="7"/>
      <c r="O1000" s="6"/>
      <c r="P1000" s="7"/>
      <c r="Q1000" s="6"/>
      <c r="R1000" s="7"/>
      <c r="S1000" s="6"/>
      <c r="T1000" s="7"/>
      <c r="U1000" s="6"/>
      <c r="V1000" s="7"/>
      <c r="W1000" s="6"/>
      <c r="X1000" s="7"/>
    </row>
    <row r="1001" spans="1:24" ht="25.5" x14ac:dyDescent="0.2">
      <c r="A1001" s="6"/>
      <c r="B1001" s="7"/>
      <c r="C1001" s="6"/>
      <c r="D1001" s="7"/>
      <c r="E1001" s="6"/>
      <c r="F1001" s="7"/>
      <c r="G1001" s="6"/>
      <c r="H1001" s="7"/>
      <c r="I1001" s="6"/>
      <c r="J1001" s="7"/>
      <c r="K1001" s="96" t="str">
        <f>HYPERLINK("#'Healthcare'!ALM1","Q6.5.31_8")</f>
        <v>Q6.5.31_8</v>
      </c>
      <c r="L1001" s="93" t="str">
        <f>HYPERLINK("#'Healthcare'!ALM2","Primary national HMO medical plan covered drug type: Over the counter (OTC) - prescribed")</f>
        <v>Primary national HMO medical plan covered drug type: Over the counter (OTC) - prescribed</v>
      </c>
      <c r="M1001" s="6"/>
      <c r="N1001" s="7"/>
      <c r="O1001" s="6"/>
      <c r="P1001" s="7"/>
      <c r="Q1001" s="6"/>
      <c r="R1001" s="7"/>
      <c r="S1001" s="6"/>
      <c r="T1001" s="7"/>
      <c r="U1001" s="6"/>
      <c r="V1001" s="7"/>
      <c r="W1001" s="6"/>
      <c r="X1001" s="7"/>
    </row>
    <row r="1002" spans="1:24" ht="38.25" x14ac:dyDescent="0.2">
      <c r="A1002" s="6"/>
      <c r="B1002" s="7"/>
      <c r="C1002" s="6"/>
      <c r="D1002" s="7"/>
      <c r="E1002" s="6"/>
      <c r="F1002" s="7"/>
      <c r="G1002" s="6"/>
      <c r="H1002" s="7"/>
      <c r="I1002" s="6"/>
      <c r="J1002" s="7"/>
      <c r="K1002" s="96" t="str">
        <f>HYPERLINK("#'Healthcare'!ALN1","Q6.5.31_9")</f>
        <v>Q6.5.31_9</v>
      </c>
      <c r="L1002" s="93" t="str">
        <f>HYPERLINK("#'Healthcare'!ALN2","Primary national HMO medical plan covered drug type: Over the counter (OTC) - non-prescribed")</f>
        <v>Primary national HMO medical plan covered drug type: Over the counter (OTC) - non-prescribed</v>
      </c>
      <c r="M1002" s="6"/>
      <c r="N1002" s="7"/>
      <c r="O1002" s="6"/>
      <c r="P1002" s="7"/>
      <c r="Q1002" s="6"/>
      <c r="R1002" s="7"/>
      <c r="S1002" s="6"/>
      <c r="T1002" s="7"/>
      <c r="U1002" s="6"/>
      <c r="V1002" s="7"/>
      <c r="W1002" s="6"/>
      <c r="X1002" s="7"/>
    </row>
    <row r="1003" spans="1:24" ht="25.5" x14ac:dyDescent="0.2">
      <c r="A1003" s="6"/>
      <c r="B1003" s="7"/>
      <c r="C1003" s="6"/>
      <c r="D1003" s="7"/>
      <c r="E1003" s="6"/>
      <c r="F1003" s="7"/>
      <c r="G1003" s="6"/>
      <c r="H1003" s="7"/>
      <c r="I1003" s="6"/>
      <c r="J1003" s="7"/>
      <c r="K1003" s="96" t="str">
        <f>HYPERLINK("#'Healthcare'!ALO1","Q6.5.31_10")</f>
        <v>Q6.5.31_10</v>
      </c>
      <c r="L1003" s="93" t="str">
        <f>HYPERLINK("#'Healthcare'!ALO2","Primary national HMO medical plan covered drug type: Other")</f>
        <v>Primary national HMO medical plan covered drug type: Other</v>
      </c>
      <c r="M1003" s="6"/>
      <c r="N1003" s="7"/>
      <c r="O1003" s="6"/>
      <c r="P1003" s="7"/>
      <c r="Q1003" s="6"/>
      <c r="R1003" s="7"/>
      <c r="S1003" s="6"/>
      <c r="T1003" s="7"/>
      <c r="U1003" s="6"/>
      <c r="V1003" s="7"/>
      <c r="W1003" s="6"/>
      <c r="X1003" s="7"/>
    </row>
    <row r="1004" spans="1:24" ht="38.25" x14ac:dyDescent="0.2">
      <c r="A1004" s="6"/>
      <c r="B1004" s="7"/>
      <c r="C1004" s="6"/>
      <c r="D1004" s="7"/>
      <c r="E1004" s="6"/>
      <c r="F1004" s="7"/>
      <c r="G1004" s="6"/>
      <c r="H1004" s="7"/>
      <c r="I1004" s="6"/>
      <c r="J1004" s="7"/>
      <c r="K1004" s="96" t="str">
        <f>HYPERLINK("#'Healthcare'!ALP1","Q6.5.32")</f>
        <v>Q6.5.32</v>
      </c>
      <c r="L1004" s="93" t="str">
        <f>HYPERLINK("#'Healthcare'!ALP2","Primary national HMO medical plan drug limits, exclusions, or required care management features: Preventive")</f>
        <v>Primary national HMO medical plan drug limits, exclusions, or required care management features: Preventive</v>
      </c>
      <c r="M1004" s="6"/>
      <c r="N1004" s="7"/>
      <c r="O1004" s="6"/>
      <c r="P1004" s="7"/>
      <c r="Q1004" s="6"/>
      <c r="R1004" s="7"/>
      <c r="S1004" s="6"/>
      <c r="T1004" s="7"/>
      <c r="U1004" s="6"/>
      <c r="V1004" s="7"/>
      <c r="W1004" s="6"/>
      <c r="X1004" s="7"/>
    </row>
    <row r="1005" spans="1:24" ht="38.25" x14ac:dyDescent="0.2">
      <c r="A1005" s="6"/>
      <c r="B1005" s="7"/>
      <c r="C1005" s="6"/>
      <c r="D1005" s="7"/>
      <c r="E1005" s="6"/>
      <c r="F1005" s="7"/>
      <c r="G1005" s="6"/>
      <c r="H1005" s="7"/>
      <c r="I1005" s="6"/>
      <c r="J1005" s="7"/>
      <c r="K1005" s="96" t="str">
        <f>HYPERLINK("#'Healthcare'!ALQ1","Q6.5.33")</f>
        <v>Q6.5.33</v>
      </c>
      <c r="L1005" s="93" t="str">
        <f>HYPERLINK("#'Healthcare'!ALQ2","Primary national HMO medical plan drug limits, exclusions, or required care management features: Maintenance")</f>
        <v>Primary national HMO medical plan drug limits, exclusions, or required care management features: Maintenance</v>
      </c>
      <c r="M1005" s="6"/>
      <c r="N1005" s="7"/>
      <c r="O1005" s="6"/>
      <c r="P1005" s="7"/>
      <c r="Q1005" s="6"/>
      <c r="R1005" s="7"/>
      <c r="S1005" s="6"/>
      <c r="T1005" s="7"/>
      <c r="U1005" s="6"/>
      <c r="V1005" s="7"/>
      <c r="W1005" s="6"/>
      <c r="X1005" s="7"/>
    </row>
    <row r="1006" spans="1:24" ht="38.25" x14ac:dyDescent="0.2">
      <c r="A1006" s="6"/>
      <c r="B1006" s="7"/>
      <c r="C1006" s="6"/>
      <c r="D1006" s="7"/>
      <c r="E1006" s="6"/>
      <c r="F1006" s="7"/>
      <c r="G1006" s="6"/>
      <c r="H1006" s="7"/>
      <c r="I1006" s="6"/>
      <c r="J1006" s="7"/>
      <c r="K1006" s="96" t="str">
        <f>HYPERLINK("#'Healthcare'!ALR1","Q6.5.34")</f>
        <v>Q6.5.34</v>
      </c>
      <c r="L1006" s="93" t="str">
        <f>HYPERLINK("#'Healthcare'!ALR2","Primary national HMO medical plan drug limits, exclusions, or required care management features: Generic")</f>
        <v>Primary national HMO medical plan drug limits, exclusions, or required care management features: Generic</v>
      </c>
      <c r="M1006" s="6"/>
      <c r="N1006" s="7"/>
      <c r="O1006" s="6"/>
      <c r="P1006" s="7"/>
      <c r="Q1006" s="6"/>
      <c r="R1006" s="7"/>
      <c r="S1006" s="6"/>
      <c r="T1006" s="7"/>
      <c r="U1006" s="6"/>
      <c r="V1006" s="7"/>
      <c r="W1006" s="6"/>
      <c r="X1006" s="7"/>
    </row>
    <row r="1007" spans="1:24" ht="51" x14ac:dyDescent="0.2">
      <c r="A1007" s="6"/>
      <c r="B1007" s="7"/>
      <c r="C1007" s="6"/>
      <c r="D1007" s="7"/>
      <c r="E1007" s="6"/>
      <c r="F1007" s="7"/>
      <c r="G1007" s="6"/>
      <c r="H1007" s="7"/>
      <c r="I1007" s="6"/>
      <c r="J1007" s="7"/>
      <c r="K1007" s="96" t="str">
        <f>HYPERLINK("#'Healthcare'!ALS1","Q6.5.35")</f>
        <v>Q6.5.35</v>
      </c>
      <c r="L1007" s="93" t="str">
        <f>HYPERLINK("#'Healthcare'!ALS2","Primary national HMO medical plan drug limits, exclusions, or required care management features: Specialty and injectables")</f>
        <v>Primary national HMO medical plan drug limits, exclusions, or required care management features: Specialty and injectables</v>
      </c>
      <c r="M1007" s="6"/>
      <c r="N1007" s="7"/>
      <c r="O1007" s="6"/>
      <c r="P1007" s="7"/>
      <c r="Q1007" s="6"/>
      <c r="R1007" s="7"/>
      <c r="S1007" s="6"/>
      <c r="T1007" s="7"/>
      <c r="U1007" s="6"/>
      <c r="V1007" s="7"/>
      <c r="W1007" s="6"/>
      <c r="X1007" s="7"/>
    </row>
    <row r="1008" spans="1:24" ht="38.25" x14ac:dyDescent="0.2">
      <c r="A1008" s="6"/>
      <c r="B1008" s="7"/>
      <c r="C1008" s="6"/>
      <c r="D1008" s="7"/>
      <c r="E1008" s="6"/>
      <c r="F1008" s="7"/>
      <c r="G1008" s="6"/>
      <c r="H1008" s="7"/>
      <c r="I1008" s="6"/>
      <c r="J1008" s="7"/>
      <c r="K1008" s="96" t="str">
        <f>HYPERLINK("#'Healthcare'!ALT1","Q6.5.36")</f>
        <v>Q6.5.36</v>
      </c>
      <c r="L1008" s="93" t="str">
        <f>HYPERLINK("#'Healthcare'!ALT2","Primary national HMO medical plan drug limits, exclusions, or required care management features: Lifestyle")</f>
        <v>Primary national HMO medical plan drug limits, exclusions, or required care management features: Lifestyle</v>
      </c>
      <c r="M1008" s="6"/>
      <c r="N1008" s="7"/>
      <c r="O1008" s="6"/>
      <c r="P1008" s="7"/>
      <c r="Q1008" s="6"/>
      <c r="R1008" s="7"/>
      <c r="S1008" s="6"/>
      <c r="T1008" s="7"/>
      <c r="U1008" s="6"/>
      <c r="V1008" s="7"/>
      <c r="W1008" s="6"/>
      <c r="X1008" s="7"/>
    </row>
    <row r="1009" spans="1:24" ht="38.25" x14ac:dyDescent="0.2">
      <c r="A1009" s="6"/>
      <c r="B1009" s="7"/>
      <c r="C1009" s="6"/>
      <c r="D1009" s="7"/>
      <c r="E1009" s="6"/>
      <c r="F1009" s="7"/>
      <c r="G1009" s="6"/>
      <c r="H1009" s="7"/>
      <c r="I1009" s="6"/>
      <c r="J1009" s="7"/>
      <c r="K1009" s="96" t="str">
        <f>HYPERLINK("#'Healthcare'!ALU1","Q6.5.37")</f>
        <v>Q6.5.37</v>
      </c>
      <c r="L1009" s="93" t="str">
        <f>HYPERLINK("#'Healthcare'!ALU2","Primary national HMO medical plan drug limits, exclusions, or required care management features: Compounds")</f>
        <v>Primary national HMO medical plan drug limits, exclusions, or required care management features: Compounds</v>
      </c>
      <c r="M1009" s="6"/>
      <c r="N1009" s="7"/>
      <c r="O1009" s="6"/>
      <c r="P1009" s="7"/>
      <c r="Q1009" s="6"/>
      <c r="R1009" s="7"/>
      <c r="S1009" s="6"/>
      <c r="T1009" s="7"/>
      <c r="U1009" s="6"/>
      <c r="V1009" s="7"/>
      <c r="W1009" s="6"/>
      <c r="X1009" s="7"/>
    </row>
    <row r="1010" spans="1:24" ht="38.25" x14ac:dyDescent="0.2">
      <c r="A1010" s="6"/>
      <c r="B1010" s="7"/>
      <c r="C1010" s="6"/>
      <c r="D1010" s="7"/>
      <c r="E1010" s="6"/>
      <c r="F1010" s="7"/>
      <c r="G1010" s="6"/>
      <c r="H1010" s="7"/>
      <c r="I1010" s="6"/>
      <c r="J1010" s="7"/>
      <c r="K1010" s="96" t="str">
        <f>HYPERLINK("#'Healthcare'!ALV1","Q6.5.38")</f>
        <v>Q6.5.38</v>
      </c>
      <c r="L1010" s="93" t="str">
        <f>HYPERLINK("#'Healthcare'!ALV2","Primary national HMO medical plan drug limits, exclusions, or required care management features: Biosimilars")</f>
        <v>Primary national HMO medical plan drug limits, exclusions, or required care management features: Biosimilars</v>
      </c>
      <c r="M1010" s="6"/>
      <c r="N1010" s="7"/>
      <c r="O1010" s="6"/>
      <c r="P1010" s="7"/>
      <c r="Q1010" s="6"/>
      <c r="R1010" s="7"/>
      <c r="S1010" s="6"/>
      <c r="T1010" s="7"/>
      <c r="U1010" s="6"/>
      <c r="V1010" s="7"/>
      <c r="W1010" s="6"/>
      <c r="X1010" s="7"/>
    </row>
    <row r="1011" spans="1:24" ht="51" x14ac:dyDescent="0.2">
      <c r="A1011" s="6"/>
      <c r="B1011" s="7"/>
      <c r="C1011" s="6"/>
      <c r="D1011" s="7"/>
      <c r="E1011" s="6"/>
      <c r="F1011" s="7"/>
      <c r="G1011" s="6"/>
      <c r="H1011" s="7"/>
      <c r="I1011" s="6"/>
      <c r="J1011" s="7"/>
      <c r="K1011" s="96" t="str">
        <f>HYPERLINK("#'Healthcare'!ALW1","Q6.5.39")</f>
        <v>Q6.5.39</v>
      </c>
      <c r="L1011" s="93" t="str">
        <f>HYPERLINK("#'Healthcare'!ALW2","Primary national HMO medical plan drug limits, exclusions, or required care management features: Over the counter - prescribed")</f>
        <v>Primary national HMO medical plan drug limits, exclusions, or required care management features: Over the counter - prescribed</v>
      </c>
      <c r="M1011" s="6"/>
      <c r="N1011" s="7"/>
      <c r="O1011" s="6"/>
      <c r="P1011" s="7"/>
      <c r="Q1011" s="6"/>
      <c r="R1011" s="7"/>
      <c r="S1011" s="6"/>
      <c r="T1011" s="7"/>
      <c r="U1011" s="6"/>
      <c r="V1011" s="7"/>
      <c r="W1011" s="6"/>
      <c r="X1011" s="7"/>
    </row>
    <row r="1012" spans="1:24" ht="51" x14ac:dyDescent="0.2">
      <c r="A1012" s="6"/>
      <c r="B1012" s="7"/>
      <c r="C1012" s="6"/>
      <c r="D1012" s="7"/>
      <c r="E1012" s="6"/>
      <c r="F1012" s="7"/>
      <c r="G1012" s="6"/>
      <c r="H1012" s="7"/>
      <c r="I1012" s="6"/>
      <c r="J1012" s="7"/>
      <c r="K1012" s="96" t="str">
        <f>HYPERLINK("#'Healthcare'!ALX1","Q6.5.40")</f>
        <v>Q6.5.40</v>
      </c>
      <c r="L1012" s="93" t="str">
        <f>HYPERLINK("#'Healthcare'!ALX2","Primary national HMO medical plan drug limits, exclusions, or required care management features: Over the counter - non-prescribed")</f>
        <v>Primary national HMO medical plan drug limits, exclusions, or required care management features: Over the counter - non-prescribed</v>
      </c>
      <c r="M1012" s="6"/>
      <c r="N1012" s="7"/>
      <c r="O1012" s="6"/>
      <c r="P1012" s="7"/>
      <c r="Q1012" s="6"/>
      <c r="R1012" s="7"/>
      <c r="S1012" s="6"/>
      <c r="T1012" s="7"/>
      <c r="U1012" s="6"/>
      <c r="V1012" s="7"/>
      <c r="W1012" s="6"/>
      <c r="X1012" s="7"/>
    </row>
    <row r="1013" spans="1:24" ht="25.5" x14ac:dyDescent="0.2">
      <c r="A1013" s="6"/>
      <c r="B1013" s="7"/>
      <c r="C1013" s="6"/>
      <c r="D1013" s="7"/>
      <c r="E1013" s="6"/>
      <c r="F1013" s="7"/>
      <c r="G1013" s="6"/>
      <c r="H1013" s="7"/>
      <c r="I1013" s="6"/>
      <c r="J1013" s="7"/>
      <c r="K1013" s="96" t="str">
        <f>HYPERLINK("#'Healthcare'!ALY1","Q6.5.41_1_1")</f>
        <v>Q6.5.41_1_1</v>
      </c>
      <c r="L1013" s="93" t="str">
        <f>HYPERLINK("#'Healthcare'!ALY2","Primary national HMO medical plan - tier #1 copayment: Retail/pharmacy in-network")</f>
        <v>Primary national HMO medical plan - tier #1 copayment: Retail/pharmacy in-network</v>
      </c>
      <c r="M1013" s="6"/>
      <c r="N1013" s="7"/>
      <c r="O1013" s="6"/>
      <c r="P1013" s="7"/>
      <c r="Q1013" s="6"/>
      <c r="R1013" s="7"/>
      <c r="S1013" s="6"/>
      <c r="T1013" s="7"/>
      <c r="U1013" s="6"/>
      <c r="V1013" s="7"/>
      <c r="W1013" s="6"/>
      <c r="X1013" s="7"/>
    </row>
    <row r="1014" spans="1:24" ht="25.5" x14ac:dyDescent="0.2">
      <c r="A1014" s="6"/>
      <c r="B1014" s="7"/>
      <c r="C1014" s="6"/>
      <c r="D1014" s="7"/>
      <c r="E1014" s="6"/>
      <c r="F1014" s="7"/>
      <c r="G1014" s="6"/>
      <c r="H1014" s="7"/>
      <c r="I1014" s="6"/>
      <c r="J1014" s="7"/>
      <c r="K1014" s="96" t="str">
        <f>HYPERLINK("#'Healthcare'!ALZ1","Q6.5.41_1_2")</f>
        <v>Q6.5.41_1_2</v>
      </c>
      <c r="L1014" s="93" t="str">
        <f>HYPERLINK("#'Healthcare'!ALZ2","Primary national HMO medical plan - tier #1 copayment: Retail/pharmacy out-of-network")</f>
        <v>Primary national HMO medical plan - tier #1 copayment: Retail/pharmacy out-of-network</v>
      </c>
      <c r="M1014" s="6"/>
      <c r="N1014" s="7"/>
      <c r="O1014" s="6"/>
      <c r="P1014" s="7"/>
      <c r="Q1014" s="6"/>
      <c r="R1014" s="7"/>
      <c r="S1014" s="6"/>
      <c r="T1014" s="7"/>
      <c r="U1014" s="6"/>
      <c r="V1014" s="7"/>
      <c r="W1014" s="6"/>
      <c r="X1014" s="7"/>
    </row>
    <row r="1015" spans="1:24" ht="25.5" x14ac:dyDescent="0.2">
      <c r="A1015" s="6"/>
      <c r="B1015" s="7"/>
      <c r="C1015" s="6"/>
      <c r="D1015" s="7"/>
      <c r="E1015" s="6"/>
      <c r="F1015" s="7"/>
      <c r="G1015" s="6"/>
      <c r="H1015" s="7"/>
      <c r="I1015" s="6"/>
      <c r="J1015" s="7"/>
      <c r="K1015" s="96" t="str">
        <f>HYPERLINK("#'Healthcare'!AMA1","Q6.5.41_1_3")</f>
        <v>Q6.5.41_1_3</v>
      </c>
      <c r="L1015" s="93" t="str">
        <f>HYPERLINK("#'Healthcare'!AMA2","Primary national HMO medical plan - tier #1 copayment: Mail order  in-network")</f>
        <v>Primary national HMO medical plan - tier #1 copayment: Mail order  in-network</v>
      </c>
      <c r="M1015" s="6"/>
      <c r="N1015" s="7"/>
      <c r="O1015" s="6"/>
      <c r="P1015" s="7"/>
      <c r="Q1015" s="6"/>
      <c r="R1015" s="7"/>
      <c r="S1015" s="6"/>
      <c r="T1015" s="7"/>
      <c r="U1015" s="6"/>
      <c r="V1015" s="7"/>
      <c r="W1015" s="6"/>
      <c r="X1015" s="7"/>
    </row>
    <row r="1016" spans="1:24" ht="25.5" x14ac:dyDescent="0.2">
      <c r="A1016" s="6"/>
      <c r="B1016" s="7"/>
      <c r="C1016" s="6"/>
      <c r="D1016" s="7"/>
      <c r="E1016" s="6"/>
      <c r="F1016" s="7"/>
      <c r="G1016" s="6"/>
      <c r="H1016" s="7"/>
      <c r="I1016" s="6"/>
      <c r="J1016" s="7"/>
      <c r="K1016" s="96" t="str">
        <f>HYPERLINK("#'Healthcare'!AMB1","Q6.5.41_1_4")</f>
        <v>Q6.5.41_1_4</v>
      </c>
      <c r="L1016" s="93" t="str">
        <f>HYPERLINK("#'Healthcare'!AMB2","Primary national HMO medical plan - tier #1 copayment: Mail order out-of-network")</f>
        <v>Primary national HMO medical plan - tier #1 copayment: Mail order out-of-network</v>
      </c>
      <c r="M1016" s="6"/>
      <c r="N1016" s="7"/>
      <c r="O1016" s="6"/>
      <c r="P1016" s="7"/>
      <c r="Q1016" s="6"/>
      <c r="R1016" s="7"/>
      <c r="S1016" s="6"/>
      <c r="T1016" s="7"/>
      <c r="U1016" s="6"/>
      <c r="V1016" s="7"/>
      <c r="W1016" s="6"/>
      <c r="X1016" s="7"/>
    </row>
    <row r="1017" spans="1:24" ht="25.5" x14ac:dyDescent="0.2">
      <c r="A1017" s="6"/>
      <c r="B1017" s="7"/>
      <c r="C1017" s="6"/>
      <c r="D1017" s="7"/>
      <c r="E1017" s="6"/>
      <c r="F1017" s="7"/>
      <c r="G1017" s="6"/>
      <c r="H1017" s="7"/>
      <c r="I1017" s="6"/>
      <c r="J1017" s="7"/>
      <c r="K1017" s="96" t="str">
        <f>HYPERLINK("#'Healthcare'!AMC1","Q6.5.41_2_1")</f>
        <v>Q6.5.41_2_1</v>
      </c>
      <c r="L1017" s="93" t="str">
        <f>HYPERLINK("#'Healthcare'!AMC2","Primary national HMO medical plan - tier #2 copayment: Retail/pharmacy in-network")</f>
        <v>Primary national HMO medical plan - tier #2 copayment: Retail/pharmacy in-network</v>
      </c>
      <c r="M1017" s="6"/>
      <c r="N1017" s="7"/>
      <c r="O1017" s="6"/>
      <c r="P1017" s="7"/>
      <c r="Q1017" s="6"/>
      <c r="R1017" s="7"/>
      <c r="S1017" s="6"/>
      <c r="T1017" s="7"/>
      <c r="U1017" s="6"/>
      <c r="V1017" s="7"/>
      <c r="W1017" s="6"/>
      <c r="X1017" s="7"/>
    </row>
    <row r="1018" spans="1:24" ht="25.5" x14ac:dyDescent="0.2">
      <c r="A1018" s="6"/>
      <c r="B1018" s="7"/>
      <c r="C1018" s="6"/>
      <c r="D1018" s="7"/>
      <c r="E1018" s="6"/>
      <c r="F1018" s="7"/>
      <c r="G1018" s="6"/>
      <c r="H1018" s="7"/>
      <c r="I1018" s="6"/>
      <c r="J1018" s="7"/>
      <c r="K1018" s="96" t="str">
        <f>HYPERLINK("#'Healthcare'!AMD1","Q6.5.41_2_2")</f>
        <v>Q6.5.41_2_2</v>
      </c>
      <c r="L1018" s="93" t="str">
        <f>HYPERLINK("#'Healthcare'!AMD2","Primary national HMO medical plan - tier #2 copayment: Retail/pharmacy out-of-network")</f>
        <v>Primary national HMO medical plan - tier #2 copayment: Retail/pharmacy out-of-network</v>
      </c>
      <c r="M1018" s="6"/>
      <c r="N1018" s="7"/>
      <c r="O1018" s="6"/>
      <c r="P1018" s="7"/>
      <c r="Q1018" s="6"/>
      <c r="R1018" s="7"/>
      <c r="S1018" s="6"/>
      <c r="T1018" s="7"/>
      <c r="U1018" s="6"/>
      <c r="V1018" s="7"/>
      <c r="W1018" s="6"/>
      <c r="X1018" s="7"/>
    </row>
    <row r="1019" spans="1:24" ht="25.5" x14ac:dyDescent="0.2">
      <c r="A1019" s="6"/>
      <c r="B1019" s="7"/>
      <c r="C1019" s="6"/>
      <c r="D1019" s="7"/>
      <c r="E1019" s="6"/>
      <c r="F1019" s="7"/>
      <c r="G1019" s="6"/>
      <c r="H1019" s="7"/>
      <c r="I1019" s="6"/>
      <c r="J1019" s="7"/>
      <c r="K1019" s="96" t="str">
        <f>HYPERLINK("#'Healthcare'!AME1","Q6.5.41_2_3")</f>
        <v>Q6.5.41_2_3</v>
      </c>
      <c r="L1019" s="93" t="str">
        <f>HYPERLINK("#'Healthcare'!AME2","Primary national HMO medical plan - tier #2 copayment: Mail order  in-network")</f>
        <v>Primary national HMO medical plan - tier #2 copayment: Mail order  in-network</v>
      </c>
      <c r="M1019" s="6"/>
      <c r="N1019" s="7"/>
      <c r="O1019" s="6"/>
      <c r="P1019" s="7"/>
      <c r="Q1019" s="6"/>
      <c r="R1019" s="7"/>
      <c r="S1019" s="6"/>
      <c r="T1019" s="7"/>
      <c r="U1019" s="6"/>
      <c r="V1019" s="7"/>
      <c r="W1019" s="6"/>
      <c r="X1019" s="7"/>
    </row>
    <row r="1020" spans="1:24" ht="25.5" x14ac:dyDescent="0.2">
      <c r="A1020" s="6"/>
      <c r="B1020" s="7"/>
      <c r="C1020" s="6"/>
      <c r="D1020" s="7"/>
      <c r="E1020" s="6"/>
      <c r="F1020" s="7"/>
      <c r="G1020" s="6"/>
      <c r="H1020" s="7"/>
      <c r="I1020" s="6"/>
      <c r="J1020" s="7"/>
      <c r="K1020" s="96" t="str">
        <f>HYPERLINK("#'Healthcare'!AMF1","Q6.5.41_2_4")</f>
        <v>Q6.5.41_2_4</v>
      </c>
      <c r="L1020" s="93" t="str">
        <f>HYPERLINK("#'Healthcare'!AMF2","Primary national HMO medical plan - tier #2 copayment: Mail order out-of-network")</f>
        <v>Primary national HMO medical plan - tier #2 copayment: Mail order out-of-network</v>
      </c>
      <c r="M1020" s="6"/>
      <c r="N1020" s="7"/>
      <c r="O1020" s="6"/>
      <c r="P1020" s="7"/>
      <c r="Q1020" s="6"/>
      <c r="R1020" s="7"/>
      <c r="S1020" s="6"/>
      <c r="T1020" s="7"/>
      <c r="U1020" s="6"/>
      <c r="V1020" s="7"/>
      <c r="W1020" s="6"/>
      <c r="X1020" s="7"/>
    </row>
    <row r="1021" spans="1:24" ht="25.5" x14ac:dyDescent="0.2">
      <c r="A1021" s="6"/>
      <c r="B1021" s="7"/>
      <c r="C1021" s="6"/>
      <c r="D1021" s="7"/>
      <c r="E1021" s="6"/>
      <c r="F1021" s="7"/>
      <c r="G1021" s="6"/>
      <c r="H1021" s="7"/>
      <c r="I1021" s="6"/>
      <c r="J1021" s="7"/>
      <c r="K1021" s="96" t="str">
        <f>HYPERLINK("#'Healthcare'!AMG1","Q6.5.41_3_1")</f>
        <v>Q6.5.41_3_1</v>
      </c>
      <c r="L1021" s="93" t="str">
        <f>HYPERLINK("#'Healthcare'!AMG2","Primary national HMO medical plan - tier #3 copayment: Retail/pharmacy in-network")</f>
        <v>Primary national HMO medical plan - tier #3 copayment: Retail/pharmacy in-network</v>
      </c>
      <c r="M1021" s="6"/>
      <c r="N1021" s="7"/>
      <c r="O1021" s="6"/>
      <c r="P1021" s="7"/>
      <c r="Q1021" s="6"/>
      <c r="R1021" s="7"/>
      <c r="S1021" s="6"/>
      <c r="T1021" s="7"/>
      <c r="U1021" s="6"/>
      <c r="V1021" s="7"/>
      <c r="W1021" s="6"/>
      <c r="X1021" s="7"/>
    </row>
    <row r="1022" spans="1:24" ht="25.5" x14ac:dyDescent="0.2">
      <c r="A1022" s="6"/>
      <c r="B1022" s="7"/>
      <c r="C1022" s="6"/>
      <c r="D1022" s="7"/>
      <c r="E1022" s="6"/>
      <c r="F1022" s="7"/>
      <c r="G1022" s="6"/>
      <c r="H1022" s="7"/>
      <c r="I1022" s="6"/>
      <c r="J1022" s="7"/>
      <c r="K1022" s="96" t="str">
        <f>HYPERLINK("#'Healthcare'!AMH1","Q6.5.41_3_2")</f>
        <v>Q6.5.41_3_2</v>
      </c>
      <c r="L1022" s="93" t="str">
        <f>HYPERLINK("#'Healthcare'!AMH2","Primary national HMO medical plan - tier #3 copayment: Retail/pharmacy out-of-network")</f>
        <v>Primary national HMO medical plan - tier #3 copayment: Retail/pharmacy out-of-network</v>
      </c>
      <c r="M1022" s="6"/>
      <c r="N1022" s="7"/>
      <c r="O1022" s="6"/>
      <c r="P1022" s="7"/>
      <c r="Q1022" s="6"/>
      <c r="R1022" s="7"/>
      <c r="S1022" s="6"/>
      <c r="T1022" s="7"/>
      <c r="U1022" s="6"/>
      <c r="V1022" s="7"/>
      <c r="W1022" s="6"/>
      <c r="X1022" s="7"/>
    </row>
    <row r="1023" spans="1:24" ht="25.5" x14ac:dyDescent="0.2">
      <c r="A1023" s="6"/>
      <c r="B1023" s="7"/>
      <c r="C1023" s="6"/>
      <c r="D1023" s="7"/>
      <c r="E1023" s="6"/>
      <c r="F1023" s="7"/>
      <c r="G1023" s="6"/>
      <c r="H1023" s="7"/>
      <c r="I1023" s="6"/>
      <c r="J1023" s="7"/>
      <c r="K1023" s="96" t="str">
        <f>HYPERLINK("#'Healthcare'!AMI1","Q6.5.41_3_3")</f>
        <v>Q6.5.41_3_3</v>
      </c>
      <c r="L1023" s="93" t="str">
        <f>HYPERLINK("#'Healthcare'!AMI2","Primary national HMO medical plan - tier #3 copayment: Mail order  in-network")</f>
        <v>Primary national HMO medical plan - tier #3 copayment: Mail order  in-network</v>
      </c>
      <c r="M1023" s="6"/>
      <c r="N1023" s="7"/>
      <c r="O1023" s="6"/>
      <c r="P1023" s="7"/>
      <c r="Q1023" s="6"/>
      <c r="R1023" s="7"/>
      <c r="S1023" s="6"/>
      <c r="T1023" s="7"/>
      <c r="U1023" s="6"/>
      <c r="V1023" s="7"/>
      <c r="W1023" s="6"/>
      <c r="X1023" s="7"/>
    </row>
    <row r="1024" spans="1:24" ht="25.5" x14ac:dyDescent="0.2">
      <c r="A1024" s="6"/>
      <c r="B1024" s="7"/>
      <c r="C1024" s="6"/>
      <c r="D1024" s="7"/>
      <c r="E1024" s="6"/>
      <c r="F1024" s="7"/>
      <c r="G1024" s="6"/>
      <c r="H1024" s="7"/>
      <c r="I1024" s="6"/>
      <c r="J1024" s="7"/>
      <c r="K1024" s="96" t="str">
        <f>HYPERLINK("#'Healthcare'!AMJ1","Q6.5.41_3_4")</f>
        <v>Q6.5.41_3_4</v>
      </c>
      <c r="L1024" s="93" t="str">
        <f>HYPERLINK("#'Healthcare'!AMJ2","Primary national HMO medical plan - tier #3 copayment: Mail order out-of-network")</f>
        <v>Primary national HMO medical plan - tier #3 copayment: Mail order out-of-network</v>
      </c>
      <c r="M1024" s="6"/>
      <c r="N1024" s="7"/>
      <c r="O1024" s="6"/>
      <c r="P1024" s="7"/>
      <c r="Q1024" s="6"/>
      <c r="R1024" s="7"/>
      <c r="S1024" s="6"/>
      <c r="T1024" s="7"/>
      <c r="U1024" s="6"/>
      <c r="V1024" s="7"/>
      <c r="W1024" s="6"/>
      <c r="X1024" s="7"/>
    </row>
    <row r="1025" spans="1:24" ht="25.5" x14ac:dyDescent="0.2">
      <c r="A1025" s="6"/>
      <c r="B1025" s="7"/>
      <c r="C1025" s="6"/>
      <c r="D1025" s="7"/>
      <c r="E1025" s="6"/>
      <c r="F1025" s="7"/>
      <c r="G1025" s="6"/>
      <c r="H1025" s="7"/>
      <c r="I1025" s="6"/>
      <c r="J1025" s="7"/>
      <c r="K1025" s="96" t="str">
        <f>HYPERLINK("#'Healthcare'!AMK1","Q6.5.41_4_1")</f>
        <v>Q6.5.41_4_1</v>
      </c>
      <c r="L1025" s="93" t="str">
        <f>HYPERLINK("#'Healthcare'!AMK2","Primary national HMO medical plan - tier #4 copayment: Retail/pharmacy in-network")</f>
        <v>Primary national HMO medical plan - tier #4 copayment: Retail/pharmacy in-network</v>
      </c>
      <c r="M1025" s="6"/>
      <c r="N1025" s="7"/>
      <c r="O1025" s="6"/>
      <c r="P1025" s="7"/>
      <c r="Q1025" s="6"/>
      <c r="R1025" s="7"/>
      <c r="S1025" s="6"/>
      <c r="T1025" s="7"/>
      <c r="U1025" s="6"/>
      <c r="V1025" s="7"/>
      <c r="W1025" s="6"/>
      <c r="X1025" s="7"/>
    </row>
    <row r="1026" spans="1:24" ht="25.5" x14ac:dyDescent="0.2">
      <c r="A1026" s="6"/>
      <c r="B1026" s="7"/>
      <c r="C1026" s="6"/>
      <c r="D1026" s="7"/>
      <c r="E1026" s="6"/>
      <c r="F1026" s="7"/>
      <c r="G1026" s="6"/>
      <c r="H1026" s="7"/>
      <c r="I1026" s="6"/>
      <c r="J1026" s="7"/>
      <c r="K1026" s="96" t="str">
        <f>HYPERLINK("#'Healthcare'!AML1","Q6.5.41_4_2")</f>
        <v>Q6.5.41_4_2</v>
      </c>
      <c r="L1026" s="93" t="str">
        <f>HYPERLINK("#'Healthcare'!AML2","Primary national HMO medical plan - tier #4 copayment: Retail/pharmacy out-of-network")</f>
        <v>Primary national HMO medical plan - tier #4 copayment: Retail/pharmacy out-of-network</v>
      </c>
      <c r="M1026" s="6"/>
      <c r="N1026" s="7"/>
      <c r="O1026" s="6"/>
      <c r="P1026" s="7"/>
      <c r="Q1026" s="6"/>
      <c r="R1026" s="7"/>
      <c r="S1026" s="6"/>
      <c r="T1026" s="7"/>
      <c r="U1026" s="6"/>
      <c r="V1026" s="7"/>
      <c r="W1026" s="6"/>
      <c r="X1026" s="7"/>
    </row>
    <row r="1027" spans="1:24" ht="25.5" x14ac:dyDescent="0.2">
      <c r="A1027" s="6"/>
      <c r="B1027" s="7"/>
      <c r="C1027" s="6"/>
      <c r="D1027" s="7"/>
      <c r="E1027" s="6"/>
      <c r="F1027" s="7"/>
      <c r="G1027" s="6"/>
      <c r="H1027" s="7"/>
      <c r="I1027" s="6"/>
      <c r="J1027" s="7"/>
      <c r="K1027" s="96" t="str">
        <f>HYPERLINK("#'Healthcare'!AMM1","Q6.5.41_4_3")</f>
        <v>Q6.5.41_4_3</v>
      </c>
      <c r="L1027" s="93" t="str">
        <f>HYPERLINK("#'Healthcare'!AMM2","Primary national HMO medical plan - tier #4 copayment: Mail order  in-network")</f>
        <v>Primary national HMO medical plan - tier #4 copayment: Mail order  in-network</v>
      </c>
      <c r="M1027" s="6"/>
      <c r="N1027" s="7"/>
      <c r="O1027" s="6"/>
      <c r="P1027" s="7"/>
      <c r="Q1027" s="6"/>
      <c r="R1027" s="7"/>
      <c r="S1027" s="6"/>
      <c r="T1027" s="7"/>
      <c r="U1027" s="6"/>
      <c r="V1027" s="7"/>
      <c r="W1027" s="6"/>
      <c r="X1027" s="7"/>
    </row>
    <row r="1028" spans="1:24" ht="25.5" x14ac:dyDescent="0.2">
      <c r="A1028" s="6"/>
      <c r="B1028" s="7"/>
      <c r="C1028" s="6"/>
      <c r="D1028" s="7"/>
      <c r="E1028" s="6"/>
      <c r="F1028" s="7"/>
      <c r="G1028" s="6"/>
      <c r="H1028" s="7"/>
      <c r="I1028" s="6"/>
      <c r="J1028" s="7"/>
      <c r="K1028" s="96" t="str">
        <f>HYPERLINK("#'Healthcare'!AMN1","Q6.5.41_4_4")</f>
        <v>Q6.5.41_4_4</v>
      </c>
      <c r="L1028" s="93" t="str">
        <f>HYPERLINK("#'Healthcare'!AMN2","Primary national HMO medical plan - tier #4 copayment: Mail order out-of-network")</f>
        <v>Primary national HMO medical plan - tier #4 copayment: Mail order out-of-network</v>
      </c>
      <c r="M1028" s="6"/>
      <c r="N1028" s="7"/>
      <c r="O1028" s="6"/>
      <c r="P1028" s="7"/>
      <c r="Q1028" s="6"/>
      <c r="R1028" s="7"/>
      <c r="S1028" s="6"/>
      <c r="T1028" s="7"/>
      <c r="U1028" s="6"/>
      <c r="V1028" s="7"/>
      <c r="W1028" s="6"/>
      <c r="X1028" s="7"/>
    </row>
    <row r="1029" spans="1:24" ht="25.5" x14ac:dyDescent="0.2">
      <c r="A1029" s="6"/>
      <c r="B1029" s="7"/>
      <c r="C1029" s="6"/>
      <c r="D1029" s="7"/>
      <c r="E1029" s="6"/>
      <c r="F1029" s="7"/>
      <c r="G1029" s="6"/>
      <c r="H1029" s="7"/>
      <c r="I1029" s="6"/>
      <c r="J1029" s="7"/>
      <c r="K1029" s="96" t="str">
        <f>HYPERLINK("#'Healthcare'!AMO1","Q6.5.41_5_1")</f>
        <v>Q6.5.41_5_1</v>
      </c>
      <c r="L1029" s="93" t="str">
        <f>HYPERLINK("#'Healthcare'!AMO2","Primary national HMO medical plan - tier #5 copayment: Retail/pharmacy in-network")</f>
        <v>Primary national HMO medical plan - tier #5 copayment: Retail/pharmacy in-network</v>
      </c>
      <c r="M1029" s="6"/>
      <c r="N1029" s="7"/>
      <c r="O1029" s="6"/>
      <c r="P1029" s="7"/>
      <c r="Q1029" s="6"/>
      <c r="R1029" s="7"/>
      <c r="S1029" s="6"/>
      <c r="T1029" s="7"/>
      <c r="U1029" s="6"/>
      <c r="V1029" s="7"/>
      <c r="W1029" s="6"/>
      <c r="X1029" s="7"/>
    </row>
    <row r="1030" spans="1:24" ht="25.5" x14ac:dyDescent="0.2">
      <c r="A1030" s="6"/>
      <c r="B1030" s="7"/>
      <c r="C1030" s="6"/>
      <c r="D1030" s="7"/>
      <c r="E1030" s="6"/>
      <c r="F1030" s="7"/>
      <c r="G1030" s="6"/>
      <c r="H1030" s="7"/>
      <c r="I1030" s="6"/>
      <c r="J1030" s="7"/>
      <c r="K1030" s="96" t="str">
        <f>HYPERLINK("#'Healthcare'!AMP1","Q6.5.41_5_2")</f>
        <v>Q6.5.41_5_2</v>
      </c>
      <c r="L1030" s="93" t="str">
        <f>HYPERLINK("#'Healthcare'!AMP2","Primary national HMO medical plan - tier #5 copayment: Retail/pharmacy out-of-network")</f>
        <v>Primary national HMO medical plan - tier #5 copayment: Retail/pharmacy out-of-network</v>
      </c>
      <c r="M1030" s="6"/>
      <c r="N1030" s="7"/>
      <c r="O1030" s="6"/>
      <c r="P1030" s="7"/>
      <c r="Q1030" s="6"/>
      <c r="R1030" s="7"/>
      <c r="S1030" s="6"/>
      <c r="T1030" s="7"/>
      <c r="U1030" s="6"/>
      <c r="V1030" s="7"/>
      <c r="W1030" s="6"/>
      <c r="X1030" s="7"/>
    </row>
    <row r="1031" spans="1:24" ht="25.5" x14ac:dyDescent="0.2">
      <c r="A1031" s="6"/>
      <c r="B1031" s="7"/>
      <c r="C1031" s="6"/>
      <c r="D1031" s="7"/>
      <c r="E1031" s="6"/>
      <c r="F1031" s="7"/>
      <c r="G1031" s="6"/>
      <c r="H1031" s="7"/>
      <c r="I1031" s="6"/>
      <c r="J1031" s="7"/>
      <c r="K1031" s="96" t="str">
        <f>HYPERLINK("#'Healthcare'!AMQ1","Q6.5.41_5_3")</f>
        <v>Q6.5.41_5_3</v>
      </c>
      <c r="L1031" s="93" t="str">
        <f>HYPERLINK("#'Healthcare'!AMQ2","Primary national HMO medical plan - tier #5 copayment: Mail order  in-network")</f>
        <v>Primary national HMO medical plan - tier #5 copayment: Mail order  in-network</v>
      </c>
      <c r="M1031" s="6"/>
      <c r="N1031" s="7"/>
      <c r="O1031" s="6"/>
      <c r="P1031" s="7"/>
      <c r="Q1031" s="6"/>
      <c r="R1031" s="7"/>
      <c r="S1031" s="6"/>
      <c r="T1031" s="7"/>
      <c r="U1031" s="6"/>
      <c r="V1031" s="7"/>
      <c r="W1031" s="6"/>
      <c r="X1031" s="7"/>
    </row>
    <row r="1032" spans="1:24" ht="25.5" x14ac:dyDescent="0.2">
      <c r="A1032" s="6"/>
      <c r="B1032" s="7"/>
      <c r="C1032" s="6"/>
      <c r="D1032" s="7"/>
      <c r="E1032" s="6"/>
      <c r="F1032" s="7"/>
      <c r="G1032" s="6"/>
      <c r="H1032" s="7"/>
      <c r="I1032" s="6"/>
      <c r="J1032" s="7"/>
      <c r="K1032" s="96" t="str">
        <f>HYPERLINK("#'Healthcare'!AMR1","Q6.5.41_5_4")</f>
        <v>Q6.5.41_5_4</v>
      </c>
      <c r="L1032" s="93" t="str">
        <f>HYPERLINK("#'Healthcare'!AMR2","Primary national HMO medical plan - tier #5 copayment: Mail order out-of-network")</f>
        <v>Primary national HMO medical plan - tier #5 copayment: Mail order out-of-network</v>
      </c>
      <c r="M1032" s="6"/>
      <c r="N1032" s="7"/>
      <c r="O1032" s="6"/>
      <c r="P1032" s="7"/>
      <c r="Q1032" s="6"/>
      <c r="R1032" s="7"/>
      <c r="S1032" s="6"/>
      <c r="T1032" s="7"/>
      <c r="U1032" s="6"/>
      <c r="V1032" s="7"/>
      <c r="W1032" s="6"/>
      <c r="X1032" s="7"/>
    </row>
    <row r="1033" spans="1:24" ht="25.5" x14ac:dyDescent="0.2">
      <c r="A1033" s="6"/>
      <c r="B1033" s="7"/>
      <c r="C1033" s="6"/>
      <c r="D1033" s="7"/>
      <c r="E1033" s="6"/>
      <c r="F1033" s="7"/>
      <c r="G1033" s="6"/>
      <c r="H1033" s="7"/>
      <c r="I1033" s="6"/>
      <c r="J1033" s="7"/>
      <c r="K1033" s="96" t="str">
        <f>HYPERLINK("#'Healthcare'!AMS1","Q6.5.41_6_1")</f>
        <v>Q6.5.41_6_1</v>
      </c>
      <c r="L1033" s="93" t="str">
        <f>HYPERLINK("#'Healthcare'!AMS2","Primary national HMO medical plan - specialty copayment: Retail/pharmacy in-network")</f>
        <v>Primary national HMO medical plan - specialty copayment: Retail/pharmacy in-network</v>
      </c>
      <c r="M1033" s="6"/>
      <c r="N1033" s="7"/>
      <c r="O1033" s="6"/>
      <c r="P1033" s="7"/>
      <c r="Q1033" s="6"/>
      <c r="R1033" s="7"/>
      <c r="S1033" s="6"/>
      <c r="T1033" s="7"/>
      <c r="U1033" s="6"/>
      <c r="V1033" s="7"/>
      <c r="W1033" s="6"/>
      <c r="X1033" s="7"/>
    </row>
    <row r="1034" spans="1:24" ht="25.5" x14ac:dyDescent="0.2">
      <c r="A1034" s="6"/>
      <c r="B1034" s="7"/>
      <c r="C1034" s="6"/>
      <c r="D1034" s="7"/>
      <c r="E1034" s="6"/>
      <c r="F1034" s="7"/>
      <c r="G1034" s="6"/>
      <c r="H1034" s="7"/>
      <c r="I1034" s="6"/>
      <c r="J1034" s="7"/>
      <c r="K1034" s="96" t="str">
        <f>HYPERLINK("#'Healthcare'!AMT1","Q6.5.41_6_2")</f>
        <v>Q6.5.41_6_2</v>
      </c>
      <c r="L1034" s="93" t="str">
        <f>HYPERLINK("#'Healthcare'!AMT2","Primary national HMO medical plan - specialty copayment: Retail/pharmacy out-of-network")</f>
        <v>Primary national HMO medical plan - specialty copayment: Retail/pharmacy out-of-network</v>
      </c>
      <c r="M1034" s="6"/>
      <c r="N1034" s="7"/>
      <c r="O1034" s="6"/>
      <c r="P1034" s="7"/>
      <c r="Q1034" s="6"/>
      <c r="R1034" s="7"/>
      <c r="S1034" s="6"/>
      <c r="T1034" s="7"/>
      <c r="U1034" s="6"/>
      <c r="V1034" s="7"/>
      <c r="W1034" s="6"/>
      <c r="X1034" s="7"/>
    </row>
    <row r="1035" spans="1:24" ht="25.5" x14ac:dyDescent="0.2">
      <c r="A1035" s="6"/>
      <c r="B1035" s="7"/>
      <c r="C1035" s="6"/>
      <c r="D1035" s="7"/>
      <c r="E1035" s="6"/>
      <c r="F1035" s="7"/>
      <c r="G1035" s="6"/>
      <c r="H1035" s="7"/>
      <c r="I1035" s="6"/>
      <c r="J1035" s="7"/>
      <c r="K1035" s="96" t="str">
        <f>HYPERLINK("#'Healthcare'!AMU1","Q6.5.41_6_3")</f>
        <v>Q6.5.41_6_3</v>
      </c>
      <c r="L1035" s="93" t="str">
        <f>HYPERLINK("#'Healthcare'!AMU2","Primary national HMO medical plan - specialty copayment: Mail order  in-network")</f>
        <v>Primary national HMO medical plan - specialty copayment: Mail order  in-network</v>
      </c>
      <c r="M1035" s="6"/>
      <c r="N1035" s="7"/>
      <c r="O1035" s="6"/>
      <c r="P1035" s="7"/>
      <c r="Q1035" s="6"/>
      <c r="R1035" s="7"/>
      <c r="S1035" s="6"/>
      <c r="T1035" s="7"/>
      <c r="U1035" s="6"/>
      <c r="V1035" s="7"/>
      <c r="W1035" s="6"/>
      <c r="X1035" s="7"/>
    </row>
    <row r="1036" spans="1:24" ht="25.5" x14ac:dyDescent="0.2">
      <c r="A1036" s="6"/>
      <c r="B1036" s="7"/>
      <c r="C1036" s="6"/>
      <c r="D1036" s="7"/>
      <c r="E1036" s="6"/>
      <c r="F1036" s="7"/>
      <c r="G1036" s="6"/>
      <c r="H1036" s="7"/>
      <c r="I1036" s="6"/>
      <c r="J1036" s="7"/>
      <c r="K1036" s="96" t="str">
        <f>HYPERLINK("#'Healthcare'!AMV1","Q6.5.41_6_4")</f>
        <v>Q6.5.41_6_4</v>
      </c>
      <c r="L1036" s="93" t="str">
        <f>HYPERLINK("#'Healthcare'!AMV2","Primary national HMO medical plan - specialty copayment: Mail order out-of-network")</f>
        <v>Primary national HMO medical plan - specialty copayment: Mail order out-of-network</v>
      </c>
      <c r="M1036" s="6"/>
      <c r="N1036" s="7"/>
      <c r="O1036" s="6"/>
      <c r="P1036" s="7"/>
      <c r="Q1036" s="6"/>
      <c r="R1036" s="7"/>
      <c r="S1036" s="6"/>
      <c r="T1036" s="7"/>
      <c r="U1036" s="6"/>
      <c r="V1036" s="7"/>
      <c r="W1036" s="6"/>
      <c r="X1036" s="7"/>
    </row>
    <row r="1037" spans="1:24" ht="25.5" x14ac:dyDescent="0.2">
      <c r="A1037" s="6"/>
      <c r="B1037" s="7"/>
      <c r="C1037" s="6"/>
      <c r="D1037" s="7"/>
      <c r="E1037" s="6"/>
      <c r="F1037" s="7"/>
      <c r="G1037" s="6"/>
      <c r="H1037" s="7"/>
      <c r="I1037" s="6"/>
      <c r="J1037" s="7"/>
      <c r="K1037" s="96" t="str">
        <f>HYPERLINK("#'Healthcare'!AMW1","Q6.5.41_7_1")</f>
        <v>Q6.5.41_7_1</v>
      </c>
      <c r="L1037" s="93" t="str">
        <f>HYPERLINK("#'Healthcare'!AMW2","Primary national HMO medical plan - Other copayment: Retail/pharmacy in-network")</f>
        <v>Primary national HMO medical plan - Other copayment: Retail/pharmacy in-network</v>
      </c>
      <c r="M1037" s="6"/>
      <c r="N1037" s="7"/>
      <c r="O1037" s="6"/>
      <c r="P1037" s="7"/>
      <c r="Q1037" s="6"/>
      <c r="R1037" s="7"/>
      <c r="S1037" s="6"/>
      <c r="T1037" s="7"/>
      <c r="U1037" s="6"/>
      <c r="V1037" s="7"/>
      <c r="W1037" s="6"/>
      <c r="X1037" s="7"/>
    </row>
    <row r="1038" spans="1:24" ht="25.5" x14ac:dyDescent="0.2">
      <c r="A1038" s="6"/>
      <c r="B1038" s="7"/>
      <c r="C1038" s="6"/>
      <c r="D1038" s="7"/>
      <c r="E1038" s="6"/>
      <c r="F1038" s="7"/>
      <c r="G1038" s="6"/>
      <c r="H1038" s="7"/>
      <c r="I1038" s="6"/>
      <c r="J1038" s="7"/>
      <c r="K1038" s="96" t="str">
        <f>HYPERLINK("#'Healthcare'!AMX1","Q6.5.41_7_2")</f>
        <v>Q6.5.41_7_2</v>
      </c>
      <c r="L1038" s="93" t="str">
        <f>HYPERLINK("#'Healthcare'!AMX2","Primary national HMO medical plan - Other copayment: Retail/pharmacy out-of-network")</f>
        <v>Primary national HMO medical plan - Other copayment: Retail/pharmacy out-of-network</v>
      </c>
      <c r="M1038" s="6"/>
      <c r="N1038" s="7"/>
      <c r="O1038" s="6"/>
      <c r="P1038" s="7"/>
      <c r="Q1038" s="6"/>
      <c r="R1038" s="7"/>
      <c r="S1038" s="6"/>
      <c r="T1038" s="7"/>
      <c r="U1038" s="6"/>
      <c r="V1038" s="7"/>
      <c r="W1038" s="6"/>
      <c r="X1038" s="7"/>
    </row>
    <row r="1039" spans="1:24" ht="25.5" x14ac:dyDescent="0.2">
      <c r="A1039" s="6"/>
      <c r="B1039" s="7"/>
      <c r="C1039" s="6"/>
      <c r="D1039" s="7"/>
      <c r="E1039" s="6"/>
      <c r="F1039" s="7"/>
      <c r="G1039" s="6"/>
      <c r="H1039" s="7"/>
      <c r="I1039" s="6"/>
      <c r="J1039" s="7"/>
      <c r="K1039" s="96" t="str">
        <f>HYPERLINK("#'Healthcare'!AMY1","Q6.5.41_7_3")</f>
        <v>Q6.5.41_7_3</v>
      </c>
      <c r="L1039" s="93" t="str">
        <f>HYPERLINK("#'Healthcare'!AMY2","Primary national HMO medical plan - Other copayment: Mail order  in-network")</f>
        <v>Primary national HMO medical plan - Other copayment: Mail order  in-network</v>
      </c>
      <c r="M1039" s="6"/>
      <c r="N1039" s="7"/>
      <c r="O1039" s="6"/>
      <c r="P1039" s="7"/>
      <c r="Q1039" s="6"/>
      <c r="R1039" s="7"/>
      <c r="S1039" s="6"/>
      <c r="T1039" s="7"/>
      <c r="U1039" s="6"/>
      <c r="V1039" s="7"/>
      <c r="W1039" s="6"/>
      <c r="X1039" s="7"/>
    </row>
    <row r="1040" spans="1:24" ht="25.5" x14ac:dyDescent="0.2">
      <c r="A1040" s="6"/>
      <c r="B1040" s="7"/>
      <c r="C1040" s="6"/>
      <c r="D1040" s="7"/>
      <c r="E1040" s="6"/>
      <c r="F1040" s="7"/>
      <c r="G1040" s="6"/>
      <c r="H1040" s="7"/>
      <c r="I1040" s="6"/>
      <c r="J1040" s="7"/>
      <c r="K1040" s="96" t="str">
        <f>HYPERLINK("#'Healthcare'!AMZ1","Q6.5.41_7_4")</f>
        <v>Q6.5.41_7_4</v>
      </c>
      <c r="L1040" s="93" t="str">
        <f>HYPERLINK("#'Healthcare'!AMZ2","Primary national HMO medical plan - Other copayment: Mail order out-of-network")</f>
        <v>Primary national HMO medical plan - Other copayment: Mail order out-of-network</v>
      </c>
      <c r="M1040" s="6"/>
      <c r="N1040" s="7"/>
      <c r="O1040" s="6"/>
      <c r="P1040" s="7"/>
      <c r="Q1040" s="6"/>
      <c r="R1040" s="7"/>
      <c r="S1040" s="6"/>
      <c r="T1040" s="7"/>
      <c r="U1040" s="6"/>
      <c r="V1040" s="7"/>
      <c r="W1040" s="6"/>
      <c r="X1040" s="7"/>
    </row>
    <row r="1041" spans="1:24" ht="25.5" x14ac:dyDescent="0.2">
      <c r="A1041" s="6"/>
      <c r="B1041" s="7"/>
      <c r="C1041" s="6"/>
      <c r="D1041" s="7"/>
      <c r="E1041" s="6"/>
      <c r="F1041" s="7"/>
      <c r="G1041" s="6"/>
      <c r="H1041" s="7"/>
      <c r="I1041" s="6"/>
      <c r="J1041" s="7"/>
      <c r="K1041" s="96" t="str">
        <f>HYPERLINK("#'Healthcare'!ANA1","Q6.5.42_1_1")</f>
        <v>Q6.5.42_1_1</v>
      </c>
      <c r="L1041" s="93" t="str">
        <f>HYPERLINK("#'Healthcare'!ANA2","Primary national HMO medical plan tier 1 coinsurance: Retail/pharmacy - in-network")</f>
        <v>Primary national HMO medical plan tier 1 coinsurance: Retail/pharmacy - in-network</v>
      </c>
      <c r="M1041" s="6"/>
      <c r="N1041" s="7"/>
      <c r="O1041" s="6"/>
      <c r="P1041" s="7"/>
      <c r="Q1041" s="6"/>
      <c r="R1041" s="7"/>
      <c r="S1041" s="6"/>
      <c r="T1041" s="7"/>
      <c r="U1041" s="6"/>
      <c r="V1041" s="7"/>
      <c r="W1041" s="6"/>
      <c r="X1041" s="7"/>
    </row>
    <row r="1042" spans="1:24" ht="25.5" x14ac:dyDescent="0.2">
      <c r="A1042" s="6"/>
      <c r="B1042" s="7"/>
      <c r="C1042" s="6"/>
      <c r="D1042" s="7"/>
      <c r="E1042" s="6"/>
      <c r="F1042" s="7"/>
      <c r="G1042" s="6"/>
      <c r="H1042" s="7"/>
      <c r="I1042" s="6"/>
      <c r="J1042" s="7"/>
      <c r="K1042" s="96" t="str">
        <f>HYPERLINK("#'Healthcare'!ANB1","Q6.5.42_2_1")</f>
        <v>Q6.5.42_2_1</v>
      </c>
      <c r="L1042" s="93" t="str">
        <f>HYPERLINK("#'Healthcare'!ANB2","Primary national HMO medical plan tier 2 coinsurance: Retail/pharmacy - in-network")</f>
        <v>Primary national HMO medical plan tier 2 coinsurance: Retail/pharmacy - in-network</v>
      </c>
      <c r="M1042" s="6"/>
      <c r="N1042" s="7"/>
      <c r="O1042" s="6"/>
      <c r="P1042" s="7"/>
      <c r="Q1042" s="6"/>
      <c r="R1042" s="7"/>
      <c r="S1042" s="6"/>
      <c r="T1042" s="7"/>
      <c r="U1042" s="6"/>
      <c r="V1042" s="7"/>
      <c r="W1042" s="6"/>
      <c r="X1042" s="7"/>
    </row>
    <row r="1043" spans="1:24" ht="25.5" x14ac:dyDescent="0.2">
      <c r="A1043" s="6"/>
      <c r="B1043" s="7"/>
      <c r="C1043" s="6"/>
      <c r="D1043" s="7"/>
      <c r="E1043" s="6"/>
      <c r="F1043" s="7"/>
      <c r="G1043" s="6"/>
      <c r="H1043" s="7"/>
      <c r="I1043" s="6"/>
      <c r="J1043" s="7"/>
      <c r="K1043" s="96" t="str">
        <f>HYPERLINK("#'Healthcare'!ANC1","Q6.5.42_3_1")</f>
        <v>Q6.5.42_3_1</v>
      </c>
      <c r="L1043" s="93" t="str">
        <f>HYPERLINK("#'Healthcare'!ANC2","Primary national HMO medical plan tier 3 coinsurance: Retail/pharmacy - in-network")</f>
        <v>Primary national HMO medical plan tier 3 coinsurance: Retail/pharmacy - in-network</v>
      </c>
      <c r="M1043" s="6"/>
      <c r="N1043" s="7"/>
      <c r="O1043" s="6"/>
      <c r="P1043" s="7"/>
      <c r="Q1043" s="6"/>
      <c r="R1043" s="7"/>
      <c r="S1043" s="6"/>
      <c r="T1043" s="7"/>
      <c r="U1043" s="6"/>
      <c r="V1043" s="7"/>
      <c r="W1043" s="6"/>
      <c r="X1043" s="7"/>
    </row>
    <row r="1044" spans="1:24" ht="25.5" x14ac:dyDescent="0.2">
      <c r="A1044" s="6"/>
      <c r="B1044" s="7"/>
      <c r="C1044" s="6"/>
      <c r="D1044" s="7"/>
      <c r="E1044" s="6"/>
      <c r="F1044" s="7"/>
      <c r="G1044" s="6"/>
      <c r="H1044" s="7"/>
      <c r="I1044" s="6"/>
      <c r="J1044" s="7"/>
      <c r="K1044" s="96" t="str">
        <f>HYPERLINK("#'Healthcare'!AND1","Q6.5.42_4_1")</f>
        <v>Q6.5.42_4_1</v>
      </c>
      <c r="L1044" s="93" t="str">
        <f>HYPERLINK("#'Healthcare'!AND2","Primary national HMO medical plan tier 4 coinsurance: Retail/pharmacy - in-network")</f>
        <v>Primary national HMO medical plan tier 4 coinsurance: Retail/pharmacy - in-network</v>
      </c>
      <c r="M1044" s="6"/>
      <c r="N1044" s="7"/>
      <c r="O1044" s="6"/>
      <c r="P1044" s="7"/>
      <c r="Q1044" s="6"/>
      <c r="R1044" s="7"/>
      <c r="S1044" s="6"/>
      <c r="T1044" s="7"/>
      <c r="U1044" s="6"/>
      <c r="V1044" s="7"/>
      <c r="W1044" s="6"/>
      <c r="X1044" s="7"/>
    </row>
    <row r="1045" spans="1:24" ht="25.5" x14ac:dyDescent="0.2">
      <c r="A1045" s="6"/>
      <c r="B1045" s="7"/>
      <c r="C1045" s="6"/>
      <c r="D1045" s="7"/>
      <c r="E1045" s="6"/>
      <c r="F1045" s="7"/>
      <c r="G1045" s="6"/>
      <c r="H1045" s="7"/>
      <c r="I1045" s="6"/>
      <c r="J1045" s="7"/>
      <c r="K1045" s="96" t="str">
        <f>HYPERLINK("#'Healthcare'!ANE1","Q6.5.42_5_1")</f>
        <v>Q6.5.42_5_1</v>
      </c>
      <c r="L1045" s="93" t="str">
        <f>HYPERLINK("#'Healthcare'!ANE2","Primary national HMO medical plan tier 5 coinsurance: Retail/pharmacy - in-network")</f>
        <v>Primary national HMO medical plan tier 5 coinsurance: Retail/pharmacy - in-network</v>
      </c>
      <c r="M1045" s="6"/>
      <c r="N1045" s="7"/>
      <c r="O1045" s="6"/>
      <c r="P1045" s="7"/>
      <c r="Q1045" s="6"/>
      <c r="R1045" s="7"/>
      <c r="S1045" s="6"/>
      <c r="T1045" s="7"/>
      <c r="U1045" s="6"/>
      <c r="V1045" s="7"/>
      <c r="W1045" s="6"/>
      <c r="X1045" s="7"/>
    </row>
    <row r="1046" spans="1:24" ht="25.5" x14ac:dyDescent="0.2">
      <c r="A1046" s="6"/>
      <c r="B1046" s="7"/>
      <c r="C1046" s="6"/>
      <c r="D1046" s="7"/>
      <c r="E1046" s="6"/>
      <c r="F1046" s="7"/>
      <c r="G1046" s="6"/>
      <c r="H1046" s="7"/>
      <c r="I1046" s="6"/>
      <c r="J1046" s="7"/>
      <c r="K1046" s="96" t="str">
        <f>HYPERLINK("#'Healthcare'!ANF1","Q6.5.42_6_1")</f>
        <v>Q6.5.42_6_1</v>
      </c>
      <c r="L1046" s="93" t="str">
        <f>HYPERLINK("#'Healthcare'!ANF2","Primary national HMO medical plan specialty coinsurance: Retail/pharmacy - in-network")</f>
        <v>Primary national HMO medical plan specialty coinsurance: Retail/pharmacy - in-network</v>
      </c>
      <c r="M1046" s="6"/>
      <c r="N1046" s="7"/>
      <c r="O1046" s="6"/>
      <c r="P1046" s="7"/>
      <c r="Q1046" s="6"/>
      <c r="R1046" s="7"/>
      <c r="S1046" s="6"/>
      <c r="T1046" s="7"/>
      <c r="U1046" s="6"/>
      <c r="V1046" s="7"/>
      <c r="W1046" s="6"/>
      <c r="X1046" s="7"/>
    </row>
    <row r="1047" spans="1:24" ht="25.5" x14ac:dyDescent="0.2">
      <c r="A1047" s="6"/>
      <c r="B1047" s="7"/>
      <c r="C1047" s="6"/>
      <c r="D1047" s="7"/>
      <c r="E1047" s="6"/>
      <c r="F1047" s="7"/>
      <c r="G1047" s="6"/>
      <c r="H1047" s="7"/>
      <c r="I1047" s="6"/>
      <c r="J1047" s="7"/>
      <c r="K1047" s="96" t="str">
        <f>HYPERLINK("#'Healthcare'!ANG1","Q6.5.42_7_1")</f>
        <v>Q6.5.42_7_1</v>
      </c>
      <c r="L1047" s="93" t="str">
        <f>HYPERLINK("#'Healthcare'!ANG2","Primary national HMO medical plan Other coinsurance: Retail/pharmacy - in-network")</f>
        <v>Primary national HMO medical plan Other coinsurance: Retail/pharmacy - in-network</v>
      </c>
      <c r="M1047" s="6"/>
      <c r="N1047" s="7"/>
      <c r="O1047" s="6"/>
      <c r="P1047" s="7"/>
      <c r="Q1047" s="6"/>
      <c r="R1047" s="7"/>
      <c r="S1047" s="6"/>
      <c r="T1047" s="7"/>
      <c r="U1047" s="6"/>
      <c r="V1047" s="7"/>
      <c r="W1047" s="6"/>
      <c r="X1047" s="7"/>
    </row>
    <row r="1048" spans="1:24" ht="38.25" x14ac:dyDescent="0.2">
      <c r="A1048" s="6"/>
      <c r="B1048" s="7"/>
      <c r="C1048" s="6"/>
      <c r="D1048" s="7"/>
      <c r="E1048" s="6"/>
      <c r="F1048" s="7"/>
      <c r="G1048" s="6"/>
      <c r="H1048" s="7"/>
      <c r="I1048" s="6"/>
      <c r="J1048" s="7"/>
      <c r="K1048" s="96" t="str">
        <f>HYPERLINK("#'Healthcare'!ANH1","Q6.5.43_1_1")</f>
        <v>Q6.5.43_1_1</v>
      </c>
      <c r="L1048" s="93" t="str">
        <f>HYPERLINK("#'Healthcare'!ANH2","Primary national HMO medical plan tier 1 coinsurance minimum: Retail/pharmacy - in-network")</f>
        <v>Primary national HMO medical plan tier 1 coinsurance minimum: Retail/pharmacy - in-network</v>
      </c>
      <c r="M1048" s="6"/>
      <c r="N1048" s="7"/>
      <c r="O1048" s="6"/>
      <c r="P1048" s="7"/>
      <c r="Q1048" s="6"/>
      <c r="R1048" s="7"/>
      <c r="S1048" s="6"/>
      <c r="T1048" s="7"/>
      <c r="U1048" s="6"/>
      <c r="V1048" s="7"/>
      <c r="W1048" s="6"/>
      <c r="X1048" s="7"/>
    </row>
    <row r="1049" spans="1:24" ht="38.25" x14ac:dyDescent="0.2">
      <c r="A1049" s="6"/>
      <c r="B1049" s="7"/>
      <c r="C1049" s="6"/>
      <c r="D1049" s="7"/>
      <c r="E1049" s="6"/>
      <c r="F1049" s="7"/>
      <c r="G1049" s="6"/>
      <c r="H1049" s="7"/>
      <c r="I1049" s="6"/>
      <c r="J1049" s="7"/>
      <c r="K1049" s="96" t="str">
        <f>HYPERLINK("#'Healthcare'!ANI1","Q6.5.43_1_2")</f>
        <v>Q6.5.43_1_2</v>
      </c>
      <c r="L1049" s="93" t="str">
        <f>HYPERLINK("#'Healthcare'!ANI2","Primary national HMO medical plan tier 1 coinsurance maximum: Retail/pharmacy - in-network")</f>
        <v>Primary national HMO medical plan tier 1 coinsurance maximum: Retail/pharmacy - in-network</v>
      </c>
      <c r="M1049" s="6"/>
      <c r="N1049" s="7"/>
      <c r="O1049" s="6"/>
      <c r="P1049" s="7"/>
      <c r="Q1049" s="6"/>
      <c r="R1049" s="7"/>
      <c r="S1049" s="6"/>
      <c r="T1049" s="7"/>
      <c r="U1049" s="6"/>
      <c r="V1049" s="7"/>
      <c r="W1049" s="6"/>
      <c r="X1049" s="7"/>
    </row>
    <row r="1050" spans="1:24" ht="38.25" x14ac:dyDescent="0.2">
      <c r="A1050" s="6"/>
      <c r="B1050" s="7"/>
      <c r="C1050" s="6"/>
      <c r="D1050" s="7"/>
      <c r="E1050" s="6"/>
      <c r="F1050" s="7"/>
      <c r="G1050" s="6"/>
      <c r="H1050" s="7"/>
      <c r="I1050" s="6"/>
      <c r="J1050" s="7"/>
      <c r="K1050" s="96" t="str">
        <f>HYPERLINK("#'Healthcare'!ANJ1","Q6.5.43_2_1")</f>
        <v>Q6.5.43_2_1</v>
      </c>
      <c r="L1050" s="93" t="str">
        <f>HYPERLINK("#'Healthcare'!ANJ2","Primary national HMO medical plan tier 2 coinsurance minimum: Retail/pharmacy - in-network")</f>
        <v>Primary national HMO medical plan tier 2 coinsurance minimum: Retail/pharmacy - in-network</v>
      </c>
      <c r="M1050" s="6"/>
      <c r="N1050" s="7"/>
      <c r="O1050" s="6"/>
      <c r="P1050" s="7"/>
      <c r="Q1050" s="6"/>
      <c r="R1050" s="7"/>
      <c r="S1050" s="6"/>
      <c r="T1050" s="7"/>
      <c r="U1050" s="6"/>
      <c r="V1050" s="7"/>
      <c r="W1050" s="6"/>
      <c r="X1050" s="7"/>
    </row>
    <row r="1051" spans="1:24" ht="38.25" x14ac:dyDescent="0.2">
      <c r="A1051" s="6"/>
      <c r="B1051" s="7"/>
      <c r="C1051" s="6"/>
      <c r="D1051" s="7"/>
      <c r="E1051" s="6"/>
      <c r="F1051" s="7"/>
      <c r="G1051" s="6"/>
      <c r="H1051" s="7"/>
      <c r="I1051" s="6"/>
      <c r="J1051" s="7"/>
      <c r="K1051" s="96" t="str">
        <f>HYPERLINK("#'Healthcare'!ANK1","Q6.5.43_2_2")</f>
        <v>Q6.5.43_2_2</v>
      </c>
      <c r="L1051" s="93" t="str">
        <f>HYPERLINK("#'Healthcare'!ANK2","Primary national HMO medical plan tier 2 coinsurance maximum: Retail/pharmacy - in-network")</f>
        <v>Primary national HMO medical plan tier 2 coinsurance maximum: Retail/pharmacy - in-network</v>
      </c>
      <c r="M1051" s="6"/>
      <c r="N1051" s="7"/>
      <c r="O1051" s="6"/>
      <c r="P1051" s="7"/>
      <c r="Q1051" s="6"/>
      <c r="R1051" s="7"/>
      <c r="S1051" s="6"/>
      <c r="T1051" s="7"/>
      <c r="U1051" s="6"/>
      <c r="V1051" s="7"/>
      <c r="W1051" s="6"/>
      <c r="X1051" s="7"/>
    </row>
    <row r="1052" spans="1:24" ht="38.25" x14ac:dyDescent="0.2">
      <c r="A1052" s="6"/>
      <c r="B1052" s="7"/>
      <c r="C1052" s="6"/>
      <c r="D1052" s="7"/>
      <c r="E1052" s="6"/>
      <c r="F1052" s="7"/>
      <c r="G1052" s="6"/>
      <c r="H1052" s="7"/>
      <c r="I1052" s="6"/>
      <c r="J1052" s="7"/>
      <c r="K1052" s="96" t="str">
        <f>HYPERLINK("#'Healthcare'!ANL1","Q6.5.43_3_1")</f>
        <v>Q6.5.43_3_1</v>
      </c>
      <c r="L1052" s="93" t="str">
        <f>HYPERLINK("#'Healthcare'!ANL2","Primary national HMO medical plan tier 3 coinsurance minimum: Retail/pharmacy - in-network")</f>
        <v>Primary national HMO medical plan tier 3 coinsurance minimum: Retail/pharmacy - in-network</v>
      </c>
      <c r="M1052" s="6"/>
      <c r="N1052" s="7"/>
      <c r="O1052" s="6"/>
      <c r="P1052" s="7"/>
      <c r="Q1052" s="6"/>
      <c r="R1052" s="7"/>
      <c r="S1052" s="6"/>
      <c r="T1052" s="7"/>
      <c r="U1052" s="6"/>
      <c r="V1052" s="7"/>
      <c r="W1052" s="6"/>
      <c r="X1052" s="7"/>
    </row>
    <row r="1053" spans="1:24" ht="38.25" x14ac:dyDescent="0.2">
      <c r="A1053" s="6"/>
      <c r="B1053" s="7"/>
      <c r="C1053" s="6"/>
      <c r="D1053" s="7"/>
      <c r="E1053" s="6"/>
      <c r="F1053" s="7"/>
      <c r="G1053" s="6"/>
      <c r="H1053" s="7"/>
      <c r="I1053" s="6"/>
      <c r="J1053" s="7"/>
      <c r="K1053" s="96" t="str">
        <f>HYPERLINK("#'Healthcare'!ANM1","Q6.5.43_3_2")</f>
        <v>Q6.5.43_3_2</v>
      </c>
      <c r="L1053" s="93" t="str">
        <f>HYPERLINK("#'Healthcare'!ANM2","Primary national HMO medical plan tier 3 coinsurance maximum: Retail/pharmacy - in-network")</f>
        <v>Primary national HMO medical plan tier 3 coinsurance maximum: Retail/pharmacy - in-network</v>
      </c>
      <c r="M1053" s="6"/>
      <c r="N1053" s="7"/>
      <c r="O1053" s="6"/>
      <c r="P1053" s="7"/>
      <c r="Q1053" s="6"/>
      <c r="R1053" s="7"/>
      <c r="S1053" s="6"/>
      <c r="T1053" s="7"/>
      <c r="U1053" s="6"/>
      <c r="V1053" s="7"/>
      <c r="W1053" s="6"/>
      <c r="X1053" s="7"/>
    </row>
    <row r="1054" spans="1:24" ht="38.25" x14ac:dyDescent="0.2">
      <c r="A1054" s="6"/>
      <c r="B1054" s="7"/>
      <c r="C1054" s="6"/>
      <c r="D1054" s="7"/>
      <c r="E1054" s="6"/>
      <c r="F1054" s="7"/>
      <c r="G1054" s="6"/>
      <c r="H1054" s="7"/>
      <c r="I1054" s="6"/>
      <c r="J1054" s="7"/>
      <c r="K1054" s="96" t="str">
        <f>HYPERLINK("#'Healthcare'!ANN1","Q6.5.43_4_1")</f>
        <v>Q6.5.43_4_1</v>
      </c>
      <c r="L1054" s="93" t="str">
        <f>HYPERLINK("#'Healthcare'!ANN2","Primary national HMO medical plan tier 4 coinsurance minimum: Retail/pharmacy - in-network")</f>
        <v>Primary national HMO medical plan tier 4 coinsurance minimum: Retail/pharmacy - in-network</v>
      </c>
      <c r="M1054" s="6"/>
      <c r="N1054" s="7"/>
      <c r="O1054" s="6"/>
      <c r="P1054" s="7"/>
      <c r="Q1054" s="6"/>
      <c r="R1054" s="7"/>
      <c r="S1054" s="6"/>
      <c r="T1054" s="7"/>
      <c r="U1054" s="6"/>
      <c r="V1054" s="7"/>
      <c r="W1054" s="6"/>
      <c r="X1054" s="7"/>
    </row>
    <row r="1055" spans="1:24" ht="38.25" x14ac:dyDescent="0.2">
      <c r="A1055" s="6"/>
      <c r="B1055" s="7"/>
      <c r="C1055" s="6"/>
      <c r="D1055" s="7"/>
      <c r="E1055" s="6"/>
      <c r="F1055" s="7"/>
      <c r="G1055" s="6"/>
      <c r="H1055" s="7"/>
      <c r="I1055" s="6"/>
      <c r="J1055" s="7"/>
      <c r="K1055" s="96" t="str">
        <f>HYPERLINK("#'Healthcare'!ANO1","Q6.5.43_4_2")</f>
        <v>Q6.5.43_4_2</v>
      </c>
      <c r="L1055" s="93" t="str">
        <f>HYPERLINK("#'Healthcare'!ANO2","Primary national HMO medical plan tier 4 coinsurance maximum: Retail/pharmacy - in-network")</f>
        <v>Primary national HMO medical plan tier 4 coinsurance maximum: Retail/pharmacy - in-network</v>
      </c>
      <c r="M1055" s="6"/>
      <c r="N1055" s="7"/>
      <c r="O1055" s="6"/>
      <c r="P1055" s="7"/>
      <c r="Q1055" s="6"/>
      <c r="R1055" s="7"/>
      <c r="S1055" s="6"/>
      <c r="T1055" s="7"/>
      <c r="U1055" s="6"/>
      <c r="V1055" s="7"/>
      <c r="W1055" s="6"/>
      <c r="X1055" s="7"/>
    </row>
    <row r="1056" spans="1:24" ht="38.25" x14ac:dyDescent="0.2">
      <c r="A1056" s="6"/>
      <c r="B1056" s="7"/>
      <c r="C1056" s="6"/>
      <c r="D1056" s="7"/>
      <c r="E1056" s="6"/>
      <c r="F1056" s="7"/>
      <c r="G1056" s="6"/>
      <c r="H1056" s="7"/>
      <c r="I1056" s="6"/>
      <c r="J1056" s="7"/>
      <c r="K1056" s="96" t="str">
        <f>HYPERLINK("#'Healthcare'!ANP1","Q6.5.43_5_1")</f>
        <v>Q6.5.43_5_1</v>
      </c>
      <c r="L1056" s="93" t="str">
        <f>HYPERLINK("#'Healthcare'!ANP2","Primary national HMO medical plan tier 5 coinsurance minimum: Retail/pharmacy - in-network")</f>
        <v>Primary national HMO medical plan tier 5 coinsurance minimum: Retail/pharmacy - in-network</v>
      </c>
      <c r="M1056" s="6"/>
      <c r="N1056" s="7"/>
      <c r="O1056" s="6"/>
      <c r="P1056" s="7"/>
      <c r="Q1056" s="6"/>
      <c r="R1056" s="7"/>
      <c r="S1056" s="6"/>
      <c r="T1056" s="7"/>
      <c r="U1056" s="6"/>
      <c r="V1056" s="7"/>
      <c r="W1056" s="6"/>
      <c r="X1056" s="7"/>
    </row>
    <row r="1057" spans="1:24" ht="38.25" x14ac:dyDescent="0.2">
      <c r="A1057" s="6"/>
      <c r="B1057" s="7"/>
      <c r="C1057" s="6"/>
      <c r="D1057" s="7"/>
      <c r="E1057" s="6"/>
      <c r="F1057" s="7"/>
      <c r="G1057" s="6"/>
      <c r="H1057" s="7"/>
      <c r="I1057" s="6"/>
      <c r="J1057" s="7"/>
      <c r="K1057" s="96" t="str">
        <f>HYPERLINK("#'Healthcare'!ANQ1","Q6.5.43_5_2")</f>
        <v>Q6.5.43_5_2</v>
      </c>
      <c r="L1057" s="93" t="str">
        <f>HYPERLINK("#'Healthcare'!ANQ2","Primary national HMO medical plan tier 5 coinsurance maximum: Retail/pharmacy - in-network")</f>
        <v>Primary national HMO medical plan tier 5 coinsurance maximum: Retail/pharmacy - in-network</v>
      </c>
      <c r="M1057" s="6"/>
      <c r="N1057" s="7"/>
      <c r="O1057" s="6"/>
      <c r="P1057" s="7"/>
      <c r="Q1057" s="6"/>
      <c r="R1057" s="7"/>
      <c r="S1057" s="6"/>
      <c r="T1057" s="7"/>
      <c r="U1057" s="6"/>
      <c r="V1057" s="7"/>
      <c r="W1057" s="6"/>
      <c r="X1057" s="7"/>
    </row>
    <row r="1058" spans="1:24" ht="38.25" x14ac:dyDescent="0.2">
      <c r="A1058" s="6"/>
      <c r="B1058" s="7"/>
      <c r="C1058" s="6"/>
      <c r="D1058" s="7"/>
      <c r="E1058" s="6"/>
      <c r="F1058" s="7"/>
      <c r="G1058" s="6"/>
      <c r="H1058" s="7"/>
      <c r="I1058" s="6"/>
      <c r="J1058" s="7"/>
      <c r="K1058" s="96" t="str">
        <f>HYPERLINK("#'Healthcare'!ANR1","Q6.5.43_6_1")</f>
        <v>Q6.5.43_6_1</v>
      </c>
      <c r="L1058" s="93" t="str">
        <f>HYPERLINK("#'Healthcare'!ANR2","Primary national HMO medical plan specialty coinsurance minimum: Retail/pharmacy - in-network")</f>
        <v>Primary national HMO medical plan specialty coinsurance minimum: Retail/pharmacy - in-network</v>
      </c>
      <c r="M1058" s="6"/>
      <c r="N1058" s="7"/>
      <c r="O1058" s="6"/>
      <c r="P1058" s="7"/>
      <c r="Q1058" s="6"/>
      <c r="R1058" s="7"/>
      <c r="S1058" s="6"/>
      <c r="T1058" s="7"/>
      <c r="U1058" s="6"/>
      <c r="V1058" s="7"/>
      <c r="W1058" s="6"/>
      <c r="X1058" s="7"/>
    </row>
    <row r="1059" spans="1:24" ht="38.25" x14ac:dyDescent="0.2">
      <c r="A1059" s="6"/>
      <c r="B1059" s="7"/>
      <c r="C1059" s="6"/>
      <c r="D1059" s="7"/>
      <c r="E1059" s="6"/>
      <c r="F1059" s="7"/>
      <c r="G1059" s="6"/>
      <c r="H1059" s="7"/>
      <c r="I1059" s="6"/>
      <c r="J1059" s="7"/>
      <c r="K1059" s="96" t="str">
        <f>HYPERLINK("#'Healthcare'!ANS1","Q6.5.43_6_2")</f>
        <v>Q6.5.43_6_2</v>
      </c>
      <c r="L1059" s="93" t="str">
        <f>HYPERLINK("#'Healthcare'!ANS2","Primary national HMO medical plan specialty coinsurance maximum: Retail/pharmacy - in-network")</f>
        <v>Primary national HMO medical plan specialty coinsurance maximum: Retail/pharmacy - in-network</v>
      </c>
      <c r="M1059" s="6"/>
      <c r="N1059" s="7"/>
      <c r="O1059" s="6"/>
      <c r="P1059" s="7"/>
      <c r="Q1059" s="6"/>
      <c r="R1059" s="7"/>
      <c r="S1059" s="6"/>
      <c r="T1059" s="7"/>
      <c r="U1059" s="6"/>
      <c r="V1059" s="7"/>
      <c r="W1059" s="6"/>
      <c r="X1059" s="7"/>
    </row>
    <row r="1060" spans="1:24" ht="38.25" x14ac:dyDescent="0.2">
      <c r="A1060" s="6"/>
      <c r="B1060" s="7"/>
      <c r="C1060" s="6"/>
      <c r="D1060" s="7"/>
      <c r="E1060" s="6"/>
      <c r="F1060" s="7"/>
      <c r="G1060" s="6"/>
      <c r="H1060" s="7"/>
      <c r="I1060" s="6"/>
      <c r="J1060" s="7"/>
      <c r="K1060" s="96" t="str">
        <f>HYPERLINK("#'Healthcare'!ANT1","Q6.5.43_7_1")</f>
        <v>Q6.5.43_7_1</v>
      </c>
      <c r="L1060" s="93" t="str">
        <f>HYPERLINK("#'Healthcare'!ANT2","Primary national HMO medical plan Other coinsurance minimum: Retail/pharmacy - in-network")</f>
        <v>Primary national HMO medical plan Other coinsurance minimum: Retail/pharmacy - in-network</v>
      </c>
      <c r="M1060" s="6"/>
      <c r="N1060" s="7"/>
      <c r="O1060" s="6"/>
      <c r="P1060" s="7"/>
      <c r="Q1060" s="6"/>
      <c r="R1060" s="7"/>
      <c r="S1060" s="6"/>
      <c r="T1060" s="7"/>
      <c r="U1060" s="6"/>
      <c r="V1060" s="7"/>
      <c r="W1060" s="6"/>
      <c r="X1060" s="7"/>
    </row>
    <row r="1061" spans="1:24" ht="38.25" x14ac:dyDescent="0.2">
      <c r="A1061" s="6"/>
      <c r="B1061" s="7"/>
      <c r="C1061" s="6"/>
      <c r="D1061" s="7"/>
      <c r="E1061" s="6"/>
      <c r="F1061" s="7"/>
      <c r="G1061" s="6"/>
      <c r="H1061" s="7"/>
      <c r="I1061" s="6"/>
      <c r="J1061" s="7"/>
      <c r="K1061" s="96" t="str">
        <f>HYPERLINK("#'Healthcare'!ANU1","Q6.5.43_7_2")</f>
        <v>Q6.5.43_7_2</v>
      </c>
      <c r="L1061" s="93" t="str">
        <f>HYPERLINK("#'Healthcare'!ANU2","Primary national HMO medical plan Other coinsurance maximum: Retail/pharmacy - in-network")</f>
        <v>Primary national HMO medical plan Other coinsurance maximum: Retail/pharmacy - in-network</v>
      </c>
      <c r="M1061" s="6"/>
      <c r="N1061" s="7"/>
      <c r="O1061" s="6"/>
      <c r="P1061" s="7"/>
      <c r="Q1061" s="6"/>
      <c r="R1061" s="7"/>
      <c r="S1061" s="6"/>
      <c r="T1061" s="7"/>
      <c r="U1061" s="6"/>
      <c r="V1061" s="7"/>
      <c r="W1061" s="6"/>
      <c r="X1061" s="7"/>
    </row>
    <row r="1062" spans="1:24" ht="25.5" x14ac:dyDescent="0.2">
      <c r="A1062" s="6"/>
      <c r="B1062" s="7"/>
      <c r="C1062" s="6"/>
      <c r="D1062" s="7"/>
      <c r="E1062" s="6"/>
      <c r="F1062" s="7"/>
      <c r="G1062" s="6"/>
      <c r="H1062" s="7"/>
      <c r="I1062" s="6"/>
      <c r="J1062" s="7"/>
      <c r="K1062" s="96" t="str">
        <f>HYPERLINK("#'Healthcare'!ANV1","Q6.5.44_1_1")</f>
        <v>Q6.5.44_1_1</v>
      </c>
      <c r="L1062" s="93" t="str">
        <f>HYPERLINK("#'Healthcare'!ANV2","Primary national HMO medical plan tier 1 coinsurance: Retail/pharmacy - out-of-network")</f>
        <v>Primary national HMO medical plan tier 1 coinsurance: Retail/pharmacy - out-of-network</v>
      </c>
      <c r="M1062" s="6"/>
      <c r="N1062" s="7"/>
      <c r="O1062" s="6"/>
      <c r="P1062" s="7"/>
      <c r="Q1062" s="6"/>
      <c r="R1062" s="7"/>
      <c r="S1062" s="6"/>
      <c r="T1062" s="7"/>
      <c r="U1062" s="6"/>
      <c r="V1062" s="7"/>
      <c r="W1062" s="6"/>
      <c r="X1062" s="7"/>
    </row>
    <row r="1063" spans="1:24" ht="25.5" x14ac:dyDescent="0.2">
      <c r="A1063" s="6"/>
      <c r="B1063" s="7"/>
      <c r="C1063" s="6"/>
      <c r="D1063" s="7"/>
      <c r="E1063" s="6"/>
      <c r="F1063" s="7"/>
      <c r="G1063" s="6"/>
      <c r="H1063" s="7"/>
      <c r="I1063" s="6"/>
      <c r="J1063" s="7"/>
      <c r="K1063" s="96" t="str">
        <f>HYPERLINK("#'Healthcare'!ANW1","Q6.5.44_2_1")</f>
        <v>Q6.5.44_2_1</v>
      </c>
      <c r="L1063" s="93" t="str">
        <f>HYPERLINK("#'Healthcare'!ANW2","Primary national HMO medical plan tier 2 coinsurance: Retail/pharmacy - out-of-network")</f>
        <v>Primary national HMO medical plan tier 2 coinsurance: Retail/pharmacy - out-of-network</v>
      </c>
      <c r="M1063" s="6"/>
      <c r="N1063" s="7"/>
      <c r="O1063" s="6"/>
      <c r="P1063" s="7"/>
      <c r="Q1063" s="6"/>
      <c r="R1063" s="7"/>
      <c r="S1063" s="6"/>
      <c r="T1063" s="7"/>
      <c r="U1063" s="6"/>
      <c r="V1063" s="7"/>
      <c r="W1063" s="6"/>
      <c r="X1063" s="7"/>
    </row>
    <row r="1064" spans="1:24" ht="25.5" x14ac:dyDescent="0.2">
      <c r="A1064" s="6"/>
      <c r="B1064" s="7"/>
      <c r="C1064" s="6"/>
      <c r="D1064" s="7"/>
      <c r="E1064" s="6"/>
      <c r="F1064" s="7"/>
      <c r="G1064" s="6"/>
      <c r="H1064" s="7"/>
      <c r="I1064" s="6"/>
      <c r="J1064" s="7"/>
      <c r="K1064" s="96" t="str">
        <f>HYPERLINK("#'Healthcare'!ANX1","Q6.5.44_3_1")</f>
        <v>Q6.5.44_3_1</v>
      </c>
      <c r="L1064" s="93" t="str">
        <f>HYPERLINK("#'Healthcare'!ANX2","Primary national HMO medical plan tier 3 coinsurance: Retail/pharmacy - out-of-network")</f>
        <v>Primary national HMO medical plan tier 3 coinsurance: Retail/pharmacy - out-of-network</v>
      </c>
      <c r="M1064" s="6"/>
      <c r="N1064" s="7"/>
      <c r="O1064" s="6"/>
      <c r="P1064" s="7"/>
      <c r="Q1064" s="6"/>
      <c r="R1064" s="7"/>
      <c r="S1064" s="6"/>
      <c r="T1064" s="7"/>
      <c r="U1064" s="6"/>
      <c r="V1064" s="7"/>
      <c r="W1064" s="6"/>
      <c r="X1064" s="7"/>
    </row>
    <row r="1065" spans="1:24" ht="25.5" x14ac:dyDescent="0.2">
      <c r="A1065" s="6"/>
      <c r="B1065" s="7"/>
      <c r="C1065" s="6"/>
      <c r="D1065" s="7"/>
      <c r="E1065" s="6"/>
      <c r="F1065" s="7"/>
      <c r="G1065" s="6"/>
      <c r="H1065" s="7"/>
      <c r="I1065" s="6"/>
      <c r="J1065" s="7"/>
      <c r="K1065" s="96" t="str">
        <f>HYPERLINK("#'Healthcare'!ANY1","Q6.5.44_4_1")</f>
        <v>Q6.5.44_4_1</v>
      </c>
      <c r="L1065" s="93" t="str">
        <f>HYPERLINK("#'Healthcare'!ANY2","Primary national HMO medical plan tier 4 coinsurance: Retail/pharmacy - out-of-network")</f>
        <v>Primary national HMO medical plan tier 4 coinsurance: Retail/pharmacy - out-of-network</v>
      </c>
      <c r="M1065" s="6"/>
      <c r="N1065" s="7"/>
      <c r="O1065" s="6"/>
      <c r="P1065" s="7"/>
      <c r="Q1065" s="6"/>
      <c r="R1065" s="7"/>
      <c r="S1065" s="6"/>
      <c r="T1065" s="7"/>
      <c r="U1065" s="6"/>
      <c r="V1065" s="7"/>
      <c r="W1065" s="6"/>
      <c r="X1065" s="7"/>
    </row>
    <row r="1066" spans="1:24" ht="25.5" x14ac:dyDescent="0.2">
      <c r="A1066" s="6"/>
      <c r="B1066" s="7"/>
      <c r="C1066" s="6"/>
      <c r="D1066" s="7"/>
      <c r="E1066" s="6"/>
      <c r="F1066" s="7"/>
      <c r="G1066" s="6"/>
      <c r="H1066" s="7"/>
      <c r="I1066" s="6"/>
      <c r="J1066" s="7"/>
      <c r="K1066" s="96" t="str">
        <f>HYPERLINK("#'Healthcare'!ANZ1","Q6.5.44_5_1")</f>
        <v>Q6.5.44_5_1</v>
      </c>
      <c r="L1066" s="93" t="str">
        <f>HYPERLINK("#'Healthcare'!ANZ2","Primary national HMO medical plan tier 5 coinsurance: Retail/pharmacy - out-of-network")</f>
        <v>Primary national HMO medical plan tier 5 coinsurance: Retail/pharmacy - out-of-network</v>
      </c>
      <c r="M1066" s="6"/>
      <c r="N1066" s="7"/>
      <c r="O1066" s="6"/>
      <c r="P1066" s="7"/>
      <c r="Q1066" s="6"/>
      <c r="R1066" s="7"/>
      <c r="S1066" s="6"/>
      <c r="T1066" s="7"/>
      <c r="U1066" s="6"/>
      <c r="V1066" s="7"/>
      <c r="W1066" s="6"/>
      <c r="X1066" s="7"/>
    </row>
    <row r="1067" spans="1:24" ht="25.5" x14ac:dyDescent="0.2">
      <c r="A1067" s="6"/>
      <c r="B1067" s="7"/>
      <c r="C1067" s="6"/>
      <c r="D1067" s="7"/>
      <c r="E1067" s="6"/>
      <c r="F1067" s="7"/>
      <c r="G1067" s="6"/>
      <c r="H1067" s="7"/>
      <c r="I1067" s="6"/>
      <c r="J1067" s="7"/>
      <c r="K1067" s="96" t="str">
        <f>HYPERLINK("#'Healthcare'!AOA1","Q6.5.44_6_1")</f>
        <v>Q6.5.44_6_1</v>
      </c>
      <c r="L1067" s="93" t="str">
        <f>HYPERLINK("#'Healthcare'!AOA2","Primary national HMO medical plan specialty coinsurance: Retail/pharmacy - out-of-network")</f>
        <v>Primary national HMO medical plan specialty coinsurance: Retail/pharmacy - out-of-network</v>
      </c>
      <c r="M1067" s="6"/>
      <c r="N1067" s="7"/>
      <c r="O1067" s="6"/>
      <c r="P1067" s="7"/>
      <c r="Q1067" s="6"/>
      <c r="R1067" s="7"/>
      <c r="S1067" s="6"/>
      <c r="T1067" s="7"/>
      <c r="U1067" s="6"/>
      <c r="V1067" s="7"/>
      <c r="W1067" s="6"/>
      <c r="X1067" s="7"/>
    </row>
    <row r="1068" spans="1:24" ht="25.5" x14ac:dyDescent="0.2">
      <c r="A1068" s="6"/>
      <c r="B1068" s="7"/>
      <c r="C1068" s="6"/>
      <c r="D1068" s="7"/>
      <c r="E1068" s="6"/>
      <c r="F1068" s="7"/>
      <c r="G1068" s="6"/>
      <c r="H1068" s="7"/>
      <c r="I1068" s="6"/>
      <c r="J1068" s="7"/>
      <c r="K1068" s="96" t="str">
        <f>HYPERLINK("#'Healthcare'!AOB1","Q6.5.44_7_1")</f>
        <v>Q6.5.44_7_1</v>
      </c>
      <c r="L1068" s="93" t="str">
        <f>HYPERLINK("#'Healthcare'!AOB2","Primary national HMO medical plan Other coinsurance: Retail/pharmacy - out-of-network")</f>
        <v>Primary national HMO medical plan Other coinsurance: Retail/pharmacy - out-of-network</v>
      </c>
      <c r="M1068" s="6"/>
      <c r="N1068" s="7"/>
      <c r="O1068" s="6"/>
      <c r="P1068" s="7"/>
      <c r="Q1068" s="6"/>
      <c r="R1068" s="7"/>
      <c r="S1068" s="6"/>
      <c r="T1068" s="7"/>
      <c r="U1068" s="6"/>
      <c r="V1068" s="7"/>
      <c r="W1068" s="6"/>
      <c r="X1068" s="7"/>
    </row>
    <row r="1069" spans="1:24" ht="38.25" x14ac:dyDescent="0.2">
      <c r="A1069" s="6"/>
      <c r="B1069" s="7"/>
      <c r="C1069" s="6"/>
      <c r="D1069" s="7"/>
      <c r="E1069" s="6"/>
      <c r="F1069" s="7"/>
      <c r="G1069" s="6"/>
      <c r="H1069" s="7"/>
      <c r="I1069" s="6"/>
      <c r="J1069" s="7"/>
      <c r="K1069" s="96" t="str">
        <f>HYPERLINK("#'Healthcare'!AOC1","Q6.5.45_1_1")</f>
        <v>Q6.5.45_1_1</v>
      </c>
      <c r="L1069" s="93" t="str">
        <f>HYPERLINK("#'Healthcare'!AOC2","Primary national HMO medical plan tier 1 coinsurance minimum: Retail/pharmacy - out-of-network")</f>
        <v>Primary national HMO medical plan tier 1 coinsurance minimum: Retail/pharmacy - out-of-network</v>
      </c>
      <c r="M1069" s="6"/>
      <c r="N1069" s="7"/>
      <c r="O1069" s="6"/>
      <c r="P1069" s="7"/>
      <c r="Q1069" s="6"/>
      <c r="R1069" s="7"/>
      <c r="S1069" s="6"/>
      <c r="T1069" s="7"/>
      <c r="U1069" s="6"/>
      <c r="V1069" s="7"/>
      <c r="W1069" s="6"/>
      <c r="X1069" s="7"/>
    </row>
    <row r="1070" spans="1:24" ht="38.25" x14ac:dyDescent="0.2">
      <c r="A1070" s="6"/>
      <c r="B1070" s="7"/>
      <c r="C1070" s="6"/>
      <c r="D1070" s="7"/>
      <c r="E1070" s="6"/>
      <c r="F1070" s="7"/>
      <c r="G1070" s="6"/>
      <c r="H1070" s="7"/>
      <c r="I1070" s="6"/>
      <c r="J1070" s="7"/>
      <c r="K1070" s="96" t="str">
        <f>HYPERLINK("#'Healthcare'!AOD1","Q6.5.45_1_2")</f>
        <v>Q6.5.45_1_2</v>
      </c>
      <c r="L1070" s="93" t="str">
        <f>HYPERLINK("#'Healthcare'!AOD2","Primary national HMO medical plan tier 1 coinsurance maximum: Retail/pharmacy - out-of-network")</f>
        <v>Primary national HMO medical plan tier 1 coinsurance maximum: Retail/pharmacy - out-of-network</v>
      </c>
      <c r="M1070" s="6"/>
      <c r="N1070" s="7"/>
      <c r="O1070" s="6"/>
      <c r="P1070" s="7"/>
      <c r="Q1070" s="6"/>
      <c r="R1070" s="7"/>
      <c r="S1070" s="6"/>
      <c r="T1070" s="7"/>
      <c r="U1070" s="6"/>
      <c r="V1070" s="7"/>
      <c r="W1070" s="6"/>
      <c r="X1070" s="7"/>
    </row>
    <row r="1071" spans="1:24" ht="38.25" x14ac:dyDescent="0.2">
      <c r="A1071" s="6"/>
      <c r="B1071" s="7"/>
      <c r="C1071" s="6"/>
      <c r="D1071" s="7"/>
      <c r="E1071" s="6"/>
      <c r="F1071" s="7"/>
      <c r="G1071" s="6"/>
      <c r="H1071" s="7"/>
      <c r="I1071" s="6"/>
      <c r="J1071" s="7"/>
      <c r="K1071" s="96" t="str">
        <f>HYPERLINK("#'Healthcare'!AOE1","Q6.5.45_2_1")</f>
        <v>Q6.5.45_2_1</v>
      </c>
      <c r="L1071" s="93" t="str">
        <f>HYPERLINK("#'Healthcare'!AOE2","Primary national HMO medical plan tier 2 coinsurance minimum: Retail/pharmacy - out-of-network")</f>
        <v>Primary national HMO medical plan tier 2 coinsurance minimum: Retail/pharmacy - out-of-network</v>
      </c>
      <c r="M1071" s="6"/>
      <c r="N1071" s="7"/>
      <c r="O1071" s="6"/>
      <c r="P1071" s="7"/>
      <c r="Q1071" s="6"/>
      <c r="R1071" s="7"/>
      <c r="S1071" s="6"/>
      <c r="T1071" s="7"/>
      <c r="U1071" s="6"/>
      <c r="V1071" s="7"/>
      <c r="W1071" s="6"/>
      <c r="X1071" s="7"/>
    </row>
    <row r="1072" spans="1:24" ht="38.25" x14ac:dyDescent="0.2">
      <c r="A1072" s="6"/>
      <c r="B1072" s="7"/>
      <c r="C1072" s="6"/>
      <c r="D1072" s="7"/>
      <c r="E1072" s="6"/>
      <c r="F1072" s="7"/>
      <c r="G1072" s="6"/>
      <c r="H1072" s="7"/>
      <c r="I1072" s="6"/>
      <c r="J1072" s="7"/>
      <c r="K1072" s="96" t="str">
        <f>HYPERLINK("#'Healthcare'!AOF1","Q6.5.45_2_2")</f>
        <v>Q6.5.45_2_2</v>
      </c>
      <c r="L1072" s="93" t="str">
        <f>HYPERLINK("#'Healthcare'!AOF2","Primary national HMO medical plan tier 2 coinsurance maximum: Retail/pharmacy - out-of-network")</f>
        <v>Primary national HMO medical plan tier 2 coinsurance maximum: Retail/pharmacy - out-of-network</v>
      </c>
      <c r="M1072" s="6"/>
      <c r="N1072" s="7"/>
      <c r="O1072" s="6"/>
      <c r="P1072" s="7"/>
      <c r="Q1072" s="6"/>
      <c r="R1072" s="7"/>
      <c r="S1072" s="6"/>
      <c r="T1072" s="7"/>
      <c r="U1072" s="6"/>
      <c r="V1072" s="7"/>
      <c r="W1072" s="6"/>
      <c r="X1072" s="7"/>
    </row>
    <row r="1073" spans="1:24" ht="38.25" x14ac:dyDescent="0.2">
      <c r="A1073" s="6"/>
      <c r="B1073" s="7"/>
      <c r="C1073" s="6"/>
      <c r="D1073" s="7"/>
      <c r="E1073" s="6"/>
      <c r="F1073" s="7"/>
      <c r="G1073" s="6"/>
      <c r="H1073" s="7"/>
      <c r="I1073" s="6"/>
      <c r="J1073" s="7"/>
      <c r="K1073" s="96" t="str">
        <f>HYPERLINK("#'Healthcare'!AOG1","Q6.5.45_3_1")</f>
        <v>Q6.5.45_3_1</v>
      </c>
      <c r="L1073" s="93" t="str">
        <f>HYPERLINK("#'Healthcare'!AOG2","Primary national HMO medical plan tier 3 coinsurance minimum: Retail/pharmacy - out-of-network")</f>
        <v>Primary national HMO medical plan tier 3 coinsurance minimum: Retail/pharmacy - out-of-network</v>
      </c>
      <c r="M1073" s="6"/>
      <c r="N1073" s="7"/>
      <c r="O1073" s="6"/>
      <c r="P1073" s="7"/>
      <c r="Q1073" s="6"/>
      <c r="R1073" s="7"/>
      <c r="S1073" s="6"/>
      <c r="T1073" s="7"/>
      <c r="U1073" s="6"/>
      <c r="V1073" s="7"/>
      <c r="W1073" s="6"/>
      <c r="X1073" s="7"/>
    </row>
    <row r="1074" spans="1:24" ht="38.25" x14ac:dyDescent="0.2">
      <c r="A1074" s="6"/>
      <c r="B1074" s="7"/>
      <c r="C1074" s="6"/>
      <c r="D1074" s="7"/>
      <c r="E1074" s="6"/>
      <c r="F1074" s="7"/>
      <c r="G1074" s="6"/>
      <c r="H1074" s="7"/>
      <c r="I1074" s="6"/>
      <c r="J1074" s="7"/>
      <c r="K1074" s="96" t="str">
        <f>HYPERLINK("#'Healthcare'!AOH1","Q6.5.45_3_2")</f>
        <v>Q6.5.45_3_2</v>
      </c>
      <c r="L1074" s="93" t="str">
        <f>HYPERLINK("#'Healthcare'!AOH2","Primary national HMO medical plan tier 3 coinsurance maximum: Retail/pharmacy - out-of-network")</f>
        <v>Primary national HMO medical plan tier 3 coinsurance maximum: Retail/pharmacy - out-of-network</v>
      </c>
      <c r="M1074" s="6"/>
      <c r="N1074" s="7"/>
      <c r="O1074" s="6"/>
      <c r="P1074" s="7"/>
      <c r="Q1074" s="6"/>
      <c r="R1074" s="7"/>
      <c r="S1074" s="6"/>
      <c r="T1074" s="7"/>
      <c r="U1074" s="6"/>
      <c r="V1074" s="7"/>
      <c r="W1074" s="6"/>
      <c r="X1074" s="7"/>
    </row>
    <row r="1075" spans="1:24" ht="38.25" x14ac:dyDescent="0.2">
      <c r="A1075" s="6"/>
      <c r="B1075" s="7"/>
      <c r="C1075" s="6"/>
      <c r="D1075" s="7"/>
      <c r="E1075" s="6"/>
      <c r="F1075" s="7"/>
      <c r="G1075" s="6"/>
      <c r="H1075" s="7"/>
      <c r="I1075" s="6"/>
      <c r="J1075" s="7"/>
      <c r="K1075" s="96" t="str">
        <f>HYPERLINK("#'Healthcare'!AOI1","Q6.5.45_4_1")</f>
        <v>Q6.5.45_4_1</v>
      </c>
      <c r="L1075" s="93" t="str">
        <f>HYPERLINK("#'Healthcare'!AOI2","Primary national HMO medical plan tier 4 coinsurance minimum: Retail/pharmacy - out-of-network")</f>
        <v>Primary national HMO medical plan tier 4 coinsurance minimum: Retail/pharmacy - out-of-network</v>
      </c>
      <c r="M1075" s="6"/>
      <c r="N1075" s="7"/>
      <c r="O1075" s="6"/>
      <c r="P1075" s="7"/>
      <c r="Q1075" s="6"/>
      <c r="R1075" s="7"/>
      <c r="S1075" s="6"/>
      <c r="T1075" s="7"/>
      <c r="U1075" s="6"/>
      <c r="V1075" s="7"/>
      <c r="W1075" s="6"/>
      <c r="X1075" s="7"/>
    </row>
    <row r="1076" spans="1:24" ht="38.25" x14ac:dyDescent="0.2">
      <c r="A1076" s="6"/>
      <c r="B1076" s="7"/>
      <c r="C1076" s="6"/>
      <c r="D1076" s="7"/>
      <c r="E1076" s="6"/>
      <c r="F1076" s="7"/>
      <c r="G1076" s="6"/>
      <c r="H1076" s="7"/>
      <c r="I1076" s="6"/>
      <c r="J1076" s="7"/>
      <c r="K1076" s="96" t="str">
        <f>HYPERLINK("#'Healthcare'!AOJ1","Q6.5.45_4_2")</f>
        <v>Q6.5.45_4_2</v>
      </c>
      <c r="L1076" s="93" t="str">
        <f>HYPERLINK("#'Healthcare'!AOJ2","Primary national HMO medical plan tier 4 coinsurance maximum: Retail/pharmacy - out-of-network")</f>
        <v>Primary national HMO medical plan tier 4 coinsurance maximum: Retail/pharmacy - out-of-network</v>
      </c>
      <c r="M1076" s="6"/>
      <c r="N1076" s="7"/>
      <c r="O1076" s="6"/>
      <c r="P1076" s="7"/>
      <c r="Q1076" s="6"/>
      <c r="R1076" s="7"/>
      <c r="S1076" s="6"/>
      <c r="T1076" s="7"/>
      <c r="U1076" s="6"/>
      <c r="V1076" s="7"/>
      <c r="W1076" s="6"/>
      <c r="X1076" s="7"/>
    </row>
    <row r="1077" spans="1:24" ht="38.25" x14ac:dyDescent="0.2">
      <c r="A1077" s="6"/>
      <c r="B1077" s="7"/>
      <c r="C1077" s="6"/>
      <c r="D1077" s="7"/>
      <c r="E1077" s="6"/>
      <c r="F1077" s="7"/>
      <c r="G1077" s="6"/>
      <c r="H1077" s="7"/>
      <c r="I1077" s="6"/>
      <c r="J1077" s="7"/>
      <c r="K1077" s="96" t="str">
        <f>HYPERLINK("#'Healthcare'!AOK1","Q6.5.45_5_1")</f>
        <v>Q6.5.45_5_1</v>
      </c>
      <c r="L1077" s="93" t="str">
        <f>HYPERLINK("#'Healthcare'!AOK2","Primary national HMO medical plan tier 5 coinsurance minimum: Retail/pharmacy - out-of-network")</f>
        <v>Primary national HMO medical plan tier 5 coinsurance minimum: Retail/pharmacy - out-of-network</v>
      </c>
      <c r="M1077" s="6"/>
      <c r="N1077" s="7"/>
      <c r="O1077" s="6"/>
      <c r="P1077" s="7"/>
      <c r="Q1077" s="6"/>
      <c r="R1077" s="7"/>
      <c r="S1077" s="6"/>
      <c r="T1077" s="7"/>
      <c r="U1077" s="6"/>
      <c r="V1077" s="7"/>
      <c r="W1077" s="6"/>
      <c r="X1077" s="7"/>
    </row>
    <row r="1078" spans="1:24" ht="38.25" x14ac:dyDescent="0.2">
      <c r="A1078" s="6"/>
      <c r="B1078" s="7"/>
      <c r="C1078" s="6"/>
      <c r="D1078" s="7"/>
      <c r="E1078" s="6"/>
      <c r="F1078" s="7"/>
      <c r="G1078" s="6"/>
      <c r="H1078" s="7"/>
      <c r="I1078" s="6"/>
      <c r="J1078" s="7"/>
      <c r="K1078" s="96" t="str">
        <f>HYPERLINK("#'Healthcare'!AOL1","Q6.5.45_5_2")</f>
        <v>Q6.5.45_5_2</v>
      </c>
      <c r="L1078" s="93" t="str">
        <f>HYPERLINK("#'Healthcare'!AOL2","Primary national HMO medical plan tier 5 coinsurance maximum: Retail/pharmacy - out-of-network")</f>
        <v>Primary national HMO medical plan tier 5 coinsurance maximum: Retail/pharmacy - out-of-network</v>
      </c>
      <c r="M1078" s="6"/>
      <c r="N1078" s="7"/>
      <c r="O1078" s="6"/>
      <c r="P1078" s="7"/>
      <c r="Q1078" s="6"/>
      <c r="R1078" s="7"/>
      <c r="S1078" s="6"/>
      <c r="T1078" s="7"/>
      <c r="U1078" s="6"/>
      <c r="V1078" s="7"/>
      <c r="W1078" s="6"/>
      <c r="X1078" s="7"/>
    </row>
    <row r="1079" spans="1:24" ht="38.25" x14ac:dyDescent="0.2">
      <c r="A1079" s="6"/>
      <c r="B1079" s="7"/>
      <c r="C1079" s="6"/>
      <c r="D1079" s="7"/>
      <c r="E1079" s="6"/>
      <c r="F1079" s="7"/>
      <c r="G1079" s="6"/>
      <c r="H1079" s="7"/>
      <c r="I1079" s="6"/>
      <c r="J1079" s="7"/>
      <c r="K1079" s="96" t="str">
        <f>HYPERLINK("#'Healthcare'!AOM1","Q6.5.45_6_1")</f>
        <v>Q6.5.45_6_1</v>
      </c>
      <c r="L1079" s="93" t="str">
        <f>HYPERLINK("#'Healthcare'!AOM2","Primary national HMO medical plan specialty coinsurance minimum: Retail/pharmacy - out-of-network")</f>
        <v>Primary national HMO medical plan specialty coinsurance minimum: Retail/pharmacy - out-of-network</v>
      </c>
      <c r="M1079" s="6"/>
      <c r="N1079" s="7"/>
      <c r="O1079" s="6"/>
      <c r="P1079" s="7"/>
      <c r="Q1079" s="6"/>
      <c r="R1079" s="7"/>
      <c r="S1079" s="6"/>
      <c r="T1079" s="7"/>
      <c r="U1079" s="6"/>
      <c r="V1079" s="7"/>
      <c r="W1079" s="6"/>
      <c r="X1079" s="7"/>
    </row>
    <row r="1080" spans="1:24" ht="38.25" x14ac:dyDescent="0.2">
      <c r="A1080" s="6"/>
      <c r="B1080" s="7"/>
      <c r="C1080" s="6"/>
      <c r="D1080" s="7"/>
      <c r="E1080" s="6"/>
      <c r="F1080" s="7"/>
      <c r="G1080" s="6"/>
      <c r="H1080" s="7"/>
      <c r="I1080" s="6"/>
      <c r="J1080" s="7"/>
      <c r="K1080" s="96" t="str">
        <f>HYPERLINK("#'Healthcare'!AON1","Q6.5.45_6_2")</f>
        <v>Q6.5.45_6_2</v>
      </c>
      <c r="L1080" s="93" t="str">
        <f>HYPERLINK("#'Healthcare'!AON2","Primary national HMO medical plan specialty coinsurance maximum: Retail/pharmacy - out-of-network")</f>
        <v>Primary national HMO medical plan specialty coinsurance maximum: Retail/pharmacy - out-of-network</v>
      </c>
      <c r="M1080" s="6"/>
      <c r="N1080" s="7"/>
      <c r="O1080" s="6"/>
      <c r="P1080" s="7"/>
      <c r="Q1080" s="6"/>
      <c r="R1080" s="7"/>
      <c r="S1080" s="6"/>
      <c r="T1080" s="7"/>
      <c r="U1080" s="6"/>
      <c r="V1080" s="7"/>
      <c r="W1080" s="6"/>
      <c r="X1080" s="7"/>
    </row>
    <row r="1081" spans="1:24" ht="38.25" x14ac:dyDescent="0.2">
      <c r="A1081" s="6"/>
      <c r="B1081" s="7"/>
      <c r="C1081" s="6"/>
      <c r="D1081" s="7"/>
      <c r="E1081" s="6"/>
      <c r="F1081" s="7"/>
      <c r="G1081" s="6"/>
      <c r="H1081" s="7"/>
      <c r="I1081" s="6"/>
      <c r="J1081" s="7"/>
      <c r="K1081" s="96" t="str">
        <f>HYPERLINK("#'Healthcare'!AOO1","Q6.5.45_7_1")</f>
        <v>Q6.5.45_7_1</v>
      </c>
      <c r="L1081" s="93" t="str">
        <f>HYPERLINK("#'Healthcare'!AOO2","Primary national HMO medical plan Other coinsurance minimum: Retail/pharmacy - out-of-network")</f>
        <v>Primary national HMO medical plan Other coinsurance minimum: Retail/pharmacy - out-of-network</v>
      </c>
      <c r="M1081" s="6"/>
      <c r="N1081" s="7"/>
      <c r="O1081" s="6"/>
      <c r="P1081" s="7"/>
      <c r="Q1081" s="6"/>
      <c r="R1081" s="7"/>
      <c r="S1081" s="6"/>
      <c r="T1081" s="7"/>
      <c r="U1081" s="6"/>
      <c r="V1081" s="7"/>
      <c r="W1081" s="6"/>
      <c r="X1081" s="7"/>
    </row>
    <row r="1082" spans="1:24" ht="38.25" x14ac:dyDescent="0.2">
      <c r="A1082" s="6"/>
      <c r="B1082" s="7"/>
      <c r="C1082" s="6"/>
      <c r="D1082" s="7"/>
      <c r="E1082" s="6"/>
      <c r="F1082" s="7"/>
      <c r="G1082" s="6"/>
      <c r="H1082" s="7"/>
      <c r="I1082" s="6"/>
      <c r="J1082" s="7"/>
      <c r="K1082" s="96" t="str">
        <f>HYPERLINK("#'Healthcare'!AOP1","Q6.5.45_7_2")</f>
        <v>Q6.5.45_7_2</v>
      </c>
      <c r="L1082" s="93" t="str">
        <f>HYPERLINK("#'Healthcare'!AOP2","Primary national HMO medical plan Other coinsurance maximum: Retail/pharmacy - out-of-network")</f>
        <v>Primary national HMO medical plan Other coinsurance maximum: Retail/pharmacy - out-of-network</v>
      </c>
      <c r="M1082" s="6"/>
      <c r="N1082" s="7"/>
      <c r="O1082" s="6"/>
      <c r="P1082" s="7"/>
      <c r="Q1082" s="6"/>
      <c r="R1082" s="7"/>
      <c r="S1082" s="6"/>
      <c r="T1082" s="7"/>
      <c r="U1082" s="6"/>
      <c r="V1082" s="7"/>
      <c r="W1082" s="6"/>
      <c r="X1082" s="7"/>
    </row>
    <row r="1083" spans="1:24" ht="25.5" x14ac:dyDescent="0.2">
      <c r="A1083" s="6"/>
      <c r="B1083" s="7"/>
      <c r="C1083" s="6"/>
      <c r="D1083" s="7"/>
      <c r="E1083" s="6"/>
      <c r="F1083" s="7"/>
      <c r="G1083" s="6"/>
      <c r="H1083" s="7"/>
      <c r="I1083" s="6"/>
      <c r="J1083" s="7"/>
      <c r="K1083" s="96" t="str">
        <f>HYPERLINK("#'Healthcare'!AOQ1","Q6.5.46_1_1")</f>
        <v>Q6.5.46_1_1</v>
      </c>
      <c r="L1083" s="93" t="str">
        <f>HYPERLINK("#'Healthcare'!AOQ2","Primary national HMO medical plan tier 1 coinsurance: Mail order - in-network")</f>
        <v>Primary national HMO medical plan tier 1 coinsurance: Mail order - in-network</v>
      </c>
      <c r="M1083" s="6"/>
      <c r="N1083" s="7"/>
      <c r="O1083" s="6"/>
      <c r="P1083" s="7"/>
      <c r="Q1083" s="6"/>
      <c r="R1083" s="7"/>
      <c r="S1083" s="6"/>
      <c r="T1083" s="7"/>
      <c r="U1083" s="6"/>
      <c r="V1083" s="7"/>
      <c r="W1083" s="6"/>
      <c r="X1083" s="7"/>
    </row>
    <row r="1084" spans="1:24" ht="25.5" x14ac:dyDescent="0.2">
      <c r="A1084" s="6"/>
      <c r="B1084" s="7"/>
      <c r="C1084" s="6"/>
      <c r="D1084" s="7"/>
      <c r="E1084" s="6"/>
      <c r="F1084" s="7"/>
      <c r="G1084" s="6"/>
      <c r="H1084" s="7"/>
      <c r="I1084" s="6"/>
      <c r="J1084" s="7"/>
      <c r="K1084" s="96" t="str">
        <f>HYPERLINK("#'Healthcare'!AOR1","Q6.5.46_2_1")</f>
        <v>Q6.5.46_2_1</v>
      </c>
      <c r="L1084" s="93" t="str">
        <f>HYPERLINK("#'Healthcare'!AOR2","Primary national HMO medical plan tier 2 coinsurance: Mail order - in-network")</f>
        <v>Primary national HMO medical plan tier 2 coinsurance: Mail order - in-network</v>
      </c>
      <c r="M1084" s="6"/>
      <c r="N1084" s="7"/>
      <c r="O1084" s="6"/>
      <c r="P1084" s="7"/>
      <c r="Q1084" s="6"/>
      <c r="R1084" s="7"/>
      <c r="S1084" s="6"/>
      <c r="T1084" s="7"/>
      <c r="U1084" s="6"/>
      <c r="V1084" s="7"/>
      <c r="W1084" s="6"/>
      <c r="X1084" s="7"/>
    </row>
    <row r="1085" spans="1:24" ht="25.5" x14ac:dyDescent="0.2">
      <c r="A1085" s="6"/>
      <c r="B1085" s="7"/>
      <c r="C1085" s="6"/>
      <c r="D1085" s="7"/>
      <c r="E1085" s="6"/>
      <c r="F1085" s="7"/>
      <c r="G1085" s="6"/>
      <c r="H1085" s="7"/>
      <c r="I1085" s="6"/>
      <c r="J1085" s="7"/>
      <c r="K1085" s="96" t="str">
        <f>HYPERLINK("#'Healthcare'!AOS1","Q6.5.46_3_1")</f>
        <v>Q6.5.46_3_1</v>
      </c>
      <c r="L1085" s="93" t="str">
        <f>HYPERLINK("#'Healthcare'!AOS2","Primary national HMO medical plan tier 3 coinsurance: Mail order - in-network")</f>
        <v>Primary national HMO medical plan tier 3 coinsurance: Mail order - in-network</v>
      </c>
      <c r="M1085" s="6"/>
      <c r="N1085" s="7"/>
      <c r="O1085" s="6"/>
      <c r="P1085" s="7"/>
      <c r="Q1085" s="6"/>
      <c r="R1085" s="7"/>
      <c r="S1085" s="6"/>
      <c r="T1085" s="7"/>
      <c r="U1085" s="6"/>
      <c r="V1085" s="7"/>
      <c r="W1085" s="6"/>
      <c r="X1085" s="7"/>
    </row>
    <row r="1086" spans="1:24" ht="25.5" x14ac:dyDescent="0.2">
      <c r="A1086" s="6"/>
      <c r="B1086" s="7"/>
      <c r="C1086" s="6"/>
      <c r="D1086" s="7"/>
      <c r="E1086" s="6"/>
      <c r="F1086" s="7"/>
      <c r="G1086" s="6"/>
      <c r="H1086" s="7"/>
      <c r="I1086" s="6"/>
      <c r="J1086" s="7"/>
      <c r="K1086" s="96" t="str">
        <f>HYPERLINK("#'Healthcare'!AOT1","Q6.5.46_4_1")</f>
        <v>Q6.5.46_4_1</v>
      </c>
      <c r="L1086" s="93" t="str">
        <f>HYPERLINK("#'Healthcare'!AOT2","Primary national HMO medical plan tier 4 coinsurance: Mail order - in-network")</f>
        <v>Primary national HMO medical plan tier 4 coinsurance: Mail order - in-network</v>
      </c>
      <c r="M1086" s="6"/>
      <c r="N1086" s="7"/>
      <c r="O1086" s="6"/>
      <c r="P1086" s="7"/>
      <c r="Q1086" s="6"/>
      <c r="R1086" s="7"/>
      <c r="S1086" s="6"/>
      <c r="T1086" s="7"/>
      <c r="U1086" s="6"/>
      <c r="V1086" s="7"/>
      <c r="W1086" s="6"/>
      <c r="X1086" s="7"/>
    </row>
    <row r="1087" spans="1:24" ht="25.5" x14ac:dyDescent="0.2">
      <c r="A1087" s="6"/>
      <c r="B1087" s="7"/>
      <c r="C1087" s="6"/>
      <c r="D1087" s="7"/>
      <c r="E1087" s="6"/>
      <c r="F1087" s="7"/>
      <c r="G1087" s="6"/>
      <c r="H1087" s="7"/>
      <c r="I1087" s="6"/>
      <c r="J1087" s="7"/>
      <c r="K1087" s="96" t="str">
        <f>HYPERLINK("#'Healthcare'!AOU1","Q6.5.46_5_1")</f>
        <v>Q6.5.46_5_1</v>
      </c>
      <c r="L1087" s="93" t="str">
        <f>HYPERLINK("#'Healthcare'!AOU2","Primary national HMO medical plan tier 5 coinsurance: Mail order - in-network")</f>
        <v>Primary national HMO medical plan tier 5 coinsurance: Mail order - in-network</v>
      </c>
      <c r="M1087" s="6"/>
      <c r="N1087" s="7"/>
      <c r="O1087" s="6"/>
      <c r="P1087" s="7"/>
      <c r="Q1087" s="6"/>
      <c r="R1087" s="7"/>
      <c r="S1087" s="6"/>
      <c r="T1087" s="7"/>
      <c r="U1087" s="6"/>
      <c r="V1087" s="7"/>
      <c r="W1087" s="6"/>
      <c r="X1087" s="7"/>
    </row>
    <row r="1088" spans="1:24" ht="25.5" x14ac:dyDescent="0.2">
      <c r="A1088" s="6"/>
      <c r="B1088" s="7"/>
      <c r="C1088" s="6"/>
      <c r="D1088" s="7"/>
      <c r="E1088" s="6"/>
      <c r="F1088" s="7"/>
      <c r="G1088" s="6"/>
      <c r="H1088" s="7"/>
      <c r="I1088" s="6"/>
      <c r="J1088" s="7"/>
      <c r="K1088" s="96" t="str">
        <f>HYPERLINK("#'Healthcare'!AOV1","Q6.5.46_6_1")</f>
        <v>Q6.5.46_6_1</v>
      </c>
      <c r="L1088" s="93" t="str">
        <f>HYPERLINK("#'Healthcare'!AOV2","Primary national HMO medical plan specialty coinsurance: Mail order - in-network")</f>
        <v>Primary national HMO medical plan specialty coinsurance: Mail order - in-network</v>
      </c>
      <c r="M1088" s="6"/>
      <c r="N1088" s="7"/>
      <c r="O1088" s="6"/>
      <c r="P1088" s="7"/>
      <c r="Q1088" s="6"/>
      <c r="R1088" s="7"/>
      <c r="S1088" s="6"/>
      <c r="T1088" s="7"/>
      <c r="U1088" s="6"/>
      <c r="V1088" s="7"/>
      <c r="W1088" s="6"/>
      <c r="X1088" s="7"/>
    </row>
    <row r="1089" spans="1:24" ht="25.5" x14ac:dyDescent="0.2">
      <c r="A1089" s="6"/>
      <c r="B1089" s="7"/>
      <c r="C1089" s="6"/>
      <c r="D1089" s="7"/>
      <c r="E1089" s="6"/>
      <c r="F1089" s="7"/>
      <c r="G1089" s="6"/>
      <c r="H1089" s="7"/>
      <c r="I1089" s="6"/>
      <c r="J1089" s="7"/>
      <c r="K1089" s="96" t="str">
        <f>HYPERLINK("#'Healthcare'!AOW1","Q6.5.46_7_1")</f>
        <v>Q6.5.46_7_1</v>
      </c>
      <c r="L1089" s="93" t="str">
        <f>HYPERLINK("#'Healthcare'!AOW2","Primary national HMO medical plan Other coinsurance: Mail order - in-network")</f>
        <v>Primary national HMO medical plan Other coinsurance: Mail order - in-network</v>
      </c>
      <c r="M1089" s="6"/>
      <c r="N1089" s="7"/>
      <c r="O1089" s="6"/>
      <c r="P1089" s="7"/>
      <c r="Q1089" s="6"/>
      <c r="R1089" s="7"/>
      <c r="S1089" s="6"/>
      <c r="T1089" s="7"/>
      <c r="U1089" s="6"/>
      <c r="V1089" s="7"/>
      <c r="W1089" s="6"/>
      <c r="X1089" s="7"/>
    </row>
    <row r="1090" spans="1:24" ht="25.5" x14ac:dyDescent="0.2">
      <c r="A1090" s="6"/>
      <c r="B1090" s="7"/>
      <c r="C1090" s="6"/>
      <c r="D1090" s="7"/>
      <c r="E1090" s="6"/>
      <c r="F1090" s="7"/>
      <c r="G1090" s="6"/>
      <c r="H1090" s="7"/>
      <c r="I1090" s="6"/>
      <c r="J1090" s="7"/>
      <c r="K1090" s="96" t="str">
        <f>HYPERLINK("#'Healthcare'!AOX1","Q6.5.47_1_1")</f>
        <v>Q6.5.47_1_1</v>
      </c>
      <c r="L1090" s="93" t="str">
        <f>HYPERLINK("#'Healthcare'!AOX2","Primary national HMO medical plan tier 1 coinsurance minimum: Mail order - in-network")</f>
        <v>Primary national HMO medical plan tier 1 coinsurance minimum: Mail order - in-network</v>
      </c>
      <c r="M1090" s="6"/>
      <c r="N1090" s="7"/>
      <c r="O1090" s="6"/>
      <c r="P1090" s="7"/>
      <c r="Q1090" s="6"/>
      <c r="R1090" s="7"/>
      <c r="S1090" s="6"/>
      <c r="T1090" s="7"/>
      <c r="U1090" s="6"/>
      <c r="V1090" s="7"/>
      <c r="W1090" s="6"/>
      <c r="X1090" s="7"/>
    </row>
    <row r="1091" spans="1:24" ht="25.5" x14ac:dyDescent="0.2">
      <c r="A1091" s="6"/>
      <c r="B1091" s="7"/>
      <c r="C1091" s="6"/>
      <c r="D1091" s="7"/>
      <c r="E1091" s="6"/>
      <c r="F1091" s="7"/>
      <c r="G1091" s="6"/>
      <c r="H1091" s="7"/>
      <c r="I1091" s="6"/>
      <c r="J1091" s="7"/>
      <c r="K1091" s="96" t="str">
        <f>HYPERLINK("#'Healthcare'!AOY1","Q6.5.47_1_2")</f>
        <v>Q6.5.47_1_2</v>
      </c>
      <c r="L1091" s="93" t="str">
        <f>HYPERLINK("#'Healthcare'!AOY2","Primary national HMO medical plan tier 1 coinsurance maximum: Mail order - in-network")</f>
        <v>Primary national HMO medical plan tier 1 coinsurance maximum: Mail order - in-network</v>
      </c>
      <c r="M1091" s="6"/>
      <c r="N1091" s="7"/>
      <c r="O1091" s="6"/>
      <c r="P1091" s="7"/>
      <c r="Q1091" s="6"/>
      <c r="R1091" s="7"/>
      <c r="S1091" s="6"/>
      <c r="T1091" s="7"/>
      <c r="U1091" s="6"/>
      <c r="V1091" s="7"/>
      <c r="W1091" s="6"/>
      <c r="X1091" s="7"/>
    </row>
    <row r="1092" spans="1:24" ht="25.5" x14ac:dyDescent="0.2">
      <c r="A1092" s="6"/>
      <c r="B1092" s="7"/>
      <c r="C1092" s="6"/>
      <c r="D1092" s="7"/>
      <c r="E1092" s="6"/>
      <c r="F1092" s="7"/>
      <c r="G1092" s="6"/>
      <c r="H1092" s="7"/>
      <c r="I1092" s="6"/>
      <c r="J1092" s="7"/>
      <c r="K1092" s="96" t="str">
        <f>HYPERLINK("#'Healthcare'!AOZ1","Q6.5.47_2_1")</f>
        <v>Q6.5.47_2_1</v>
      </c>
      <c r="L1092" s="93" t="str">
        <f>HYPERLINK("#'Healthcare'!AOZ2","Primary national HMO medical plan tier 2 coinsurance minimum: Mail order - in-network")</f>
        <v>Primary national HMO medical plan tier 2 coinsurance minimum: Mail order - in-network</v>
      </c>
      <c r="M1092" s="6"/>
      <c r="N1092" s="7"/>
      <c r="O1092" s="6"/>
      <c r="P1092" s="7"/>
      <c r="Q1092" s="6"/>
      <c r="R1092" s="7"/>
      <c r="S1092" s="6"/>
      <c r="T1092" s="7"/>
      <c r="U1092" s="6"/>
      <c r="V1092" s="7"/>
      <c r="W1092" s="6"/>
      <c r="X1092" s="7"/>
    </row>
    <row r="1093" spans="1:24" ht="25.5" x14ac:dyDescent="0.2">
      <c r="A1093" s="6"/>
      <c r="B1093" s="7"/>
      <c r="C1093" s="6"/>
      <c r="D1093" s="7"/>
      <c r="E1093" s="6"/>
      <c r="F1093" s="7"/>
      <c r="G1093" s="6"/>
      <c r="H1093" s="7"/>
      <c r="I1093" s="6"/>
      <c r="J1093" s="7"/>
      <c r="K1093" s="96" t="str">
        <f>HYPERLINK("#'Healthcare'!APA1","Q6.5.47_2_2")</f>
        <v>Q6.5.47_2_2</v>
      </c>
      <c r="L1093" s="93" t="str">
        <f>HYPERLINK("#'Healthcare'!APA2","Primary national HMO medical plan tier 2 coinsurance maximum: Mail order - in-network")</f>
        <v>Primary national HMO medical plan tier 2 coinsurance maximum: Mail order - in-network</v>
      </c>
      <c r="M1093" s="6"/>
      <c r="N1093" s="7"/>
      <c r="O1093" s="6"/>
      <c r="P1093" s="7"/>
      <c r="Q1093" s="6"/>
      <c r="R1093" s="7"/>
      <c r="S1093" s="6"/>
      <c r="T1093" s="7"/>
      <c r="U1093" s="6"/>
      <c r="V1093" s="7"/>
      <c r="W1093" s="6"/>
      <c r="X1093" s="7"/>
    </row>
    <row r="1094" spans="1:24" ht="25.5" x14ac:dyDescent="0.2">
      <c r="A1094" s="6"/>
      <c r="B1094" s="7"/>
      <c r="C1094" s="6"/>
      <c r="D1094" s="7"/>
      <c r="E1094" s="6"/>
      <c r="F1094" s="7"/>
      <c r="G1094" s="6"/>
      <c r="H1094" s="7"/>
      <c r="I1094" s="6"/>
      <c r="J1094" s="7"/>
      <c r="K1094" s="96" t="str">
        <f>HYPERLINK("#'Healthcare'!APB1","Q6.5.47_3_1")</f>
        <v>Q6.5.47_3_1</v>
      </c>
      <c r="L1094" s="93" t="str">
        <f>HYPERLINK("#'Healthcare'!APB2","Primary national HMO medical plan tier 3 coinsurance minimum: Mail order - in-network")</f>
        <v>Primary national HMO medical plan tier 3 coinsurance minimum: Mail order - in-network</v>
      </c>
      <c r="M1094" s="6"/>
      <c r="N1094" s="7"/>
      <c r="O1094" s="6"/>
      <c r="P1094" s="7"/>
      <c r="Q1094" s="6"/>
      <c r="R1094" s="7"/>
      <c r="S1094" s="6"/>
      <c r="T1094" s="7"/>
      <c r="U1094" s="6"/>
      <c r="V1094" s="7"/>
      <c r="W1094" s="6"/>
      <c r="X1094" s="7"/>
    </row>
    <row r="1095" spans="1:24" ht="25.5" x14ac:dyDescent="0.2">
      <c r="A1095" s="6"/>
      <c r="B1095" s="7"/>
      <c r="C1095" s="6"/>
      <c r="D1095" s="7"/>
      <c r="E1095" s="6"/>
      <c r="F1095" s="7"/>
      <c r="G1095" s="6"/>
      <c r="H1095" s="7"/>
      <c r="I1095" s="6"/>
      <c r="J1095" s="7"/>
      <c r="K1095" s="96" t="str">
        <f>HYPERLINK("#'Healthcare'!APC1","Q6.5.47_3_2")</f>
        <v>Q6.5.47_3_2</v>
      </c>
      <c r="L1095" s="93" t="str">
        <f>HYPERLINK("#'Healthcare'!APC2","Primary national HMO medical plan tier 3 coinsurance maximum: Mail order - in-network")</f>
        <v>Primary national HMO medical plan tier 3 coinsurance maximum: Mail order - in-network</v>
      </c>
      <c r="M1095" s="6"/>
      <c r="N1095" s="7"/>
      <c r="O1095" s="6"/>
      <c r="P1095" s="7"/>
      <c r="Q1095" s="6"/>
      <c r="R1095" s="7"/>
      <c r="S1095" s="6"/>
      <c r="T1095" s="7"/>
      <c r="U1095" s="6"/>
      <c r="V1095" s="7"/>
      <c r="W1095" s="6"/>
      <c r="X1095" s="7"/>
    </row>
    <row r="1096" spans="1:24" ht="25.5" x14ac:dyDescent="0.2">
      <c r="A1096" s="6"/>
      <c r="B1096" s="7"/>
      <c r="C1096" s="6"/>
      <c r="D1096" s="7"/>
      <c r="E1096" s="6"/>
      <c r="F1096" s="7"/>
      <c r="G1096" s="6"/>
      <c r="H1096" s="7"/>
      <c r="I1096" s="6"/>
      <c r="J1096" s="7"/>
      <c r="K1096" s="96" t="str">
        <f>HYPERLINK("#'Healthcare'!APD1","Q6.5.47_4_1")</f>
        <v>Q6.5.47_4_1</v>
      </c>
      <c r="L1096" s="93" t="str">
        <f>HYPERLINK("#'Healthcare'!APD2","Primary national HMO medical plan tier 4 coinsurance minimum: Mail order - in-network")</f>
        <v>Primary national HMO medical plan tier 4 coinsurance minimum: Mail order - in-network</v>
      </c>
      <c r="M1096" s="6"/>
      <c r="N1096" s="7"/>
      <c r="O1096" s="6"/>
      <c r="P1096" s="7"/>
      <c r="Q1096" s="6"/>
      <c r="R1096" s="7"/>
      <c r="S1096" s="6"/>
      <c r="T1096" s="7"/>
      <c r="U1096" s="6"/>
      <c r="V1096" s="7"/>
      <c r="W1096" s="6"/>
      <c r="X1096" s="7"/>
    </row>
    <row r="1097" spans="1:24" ht="25.5" x14ac:dyDescent="0.2">
      <c r="A1097" s="6"/>
      <c r="B1097" s="7"/>
      <c r="C1097" s="6"/>
      <c r="D1097" s="7"/>
      <c r="E1097" s="6"/>
      <c r="F1097" s="7"/>
      <c r="G1097" s="6"/>
      <c r="H1097" s="7"/>
      <c r="I1097" s="6"/>
      <c r="J1097" s="7"/>
      <c r="K1097" s="96" t="str">
        <f>HYPERLINK("#'Healthcare'!APE1","Q6.5.47_4_2")</f>
        <v>Q6.5.47_4_2</v>
      </c>
      <c r="L1097" s="93" t="str">
        <f>HYPERLINK("#'Healthcare'!APE2","Primary national HMO medical plan tier 4 coinsurance maximum: Mail order - in-network")</f>
        <v>Primary national HMO medical plan tier 4 coinsurance maximum: Mail order - in-network</v>
      </c>
      <c r="M1097" s="6"/>
      <c r="N1097" s="7"/>
      <c r="O1097" s="6"/>
      <c r="P1097" s="7"/>
      <c r="Q1097" s="6"/>
      <c r="R1097" s="7"/>
      <c r="S1097" s="6"/>
      <c r="T1097" s="7"/>
      <c r="U1097" s="6"/>
      <c r="V1097" s="7"/>
      <c r="W1097" s="6"/>
      <c r="X1097" s="7"/>
    </row>
    <row r="1098" spans="1:24" ht="25.5" x14ac:dyDescent="0.2">
      <c r="A1098" s="6"/>
      <c r="B1098" s="7"/>
      <c r="C1098" s="6"/>
      <c r="D1098" s="7"/>
      <c r="E1098" s="6"/>
      <c r="F1098" s="7"/>
      <c r="G1098" s="6"/>
      <c r="H1098" s="7"/>
      <c r="I1098" s="6"/>
      <c r="J1098" s="7"/>
      <c r="K1098" s="96" t="str">
        <f>HYPERLINK("#'Healthcare'!APF1","Q6.5.47_5_1")</f>
        <v>Q6.5.47_5_1</v>
      </c>
      <c r="L1098" s="93" t="str">
        <f>HYPERLINK("#'Healthcare'!APF2","Primary national HMO medical plan tier 5 coinsurance minimum: Mail order - in-network")</f>
        <v>Primary national HMO medical plan tier 5 coinsurance minimum: Mail order - in-network</v>
      </c>
      <c r="M1098" s="6"/>
      <c r="N1098" s="7"/>
      <c r="O1098" s="6"/>
      <c r="P1098" s="7"/>
      <c r="Q1098" s="6"/>
      <c r="R1098" s="7"/>
      <c r="S1098" s="6"/>
      <c r="T1098" s="7"/>
      <c r="U1098" s="6"/>
      <c r="V1098" s="7"/>
      <c r="W1098" s="6"/>
      <c r="X1098" s="7"/>
    </row>
    <row r="1099" spans="1:24" ht="25.5" x14ac:dyDescent="0.2">
      <c r="A1099" s="6"/>
      <c r="B1099" s="7"/>
      <c r="C1099" s="6"/>
      <c r="D1099" s="7"/>
      <c r="E1099" s="6"/>
      <c r="F1099" s="7"/>
      <c r="G1099" s="6"/>
      <c r="H1099" s="7"/>
      <c r="I1099" s="6"/>
      <c r="J1099" s="7"/>
      <c r="K1099" s="96" t="str">
        <f>HYPERLINK("#'Healthcare'!APG1","Q6.5.47_5_2")</f>
        <v>Q6.5.47_5_2</v>
      </c>
      <c r="L1099" s="93" t="str">
        <f>HYPERLINK("#'Healthcare'!APG2","Primary national HMO medical plan tier 5 coinsurance maximum: Mail order - in-network")</f>
        <v>Primary national HMO medical plan tier 5 coinsurance maximum: Mail order - in-network</v>
      </c>
      <c r="M1099" s="6"/>
      <c r="N1099" s="7"/>
      <c r="O1099" s="6"/>
      <c r="P1099" s="7"/>
      <c r="Q1099" s="6"/>
      <c r="R1099" s="7"/>
      <c r="S1099" s="6"/>
      <c r="T1099" s="7"/>
      <c r="U1099" s="6"/>
      <c r="V1099" s="7"/>
      <c r="W1099" s="6"/>
      <c r="X1099" s="7"/>
    </row>
    <row r="1100" spans="1:24" ht="25.5" x14ac:dyDescent="0.2">
      <c r="A1100" s="6"/>
      <c r="B1100" s="7"/>
      <c r="C1100" s="6"/>
      <c r="D1100" s="7"/>
      <c r="E1100" s="6"/>
      <c r="F1100" s="7"/>
      <c r="G1100" s="6"/>
      <c r="H1100" s="7"/>
      <c r="I1100" s="6"/>
      <c r="J1100" s="7"/>
      <c r="K1100" s="96" t="str">
        <f>HYPERLINK("#'Healthcare'!APH1","Q6.5.47_6_1")</f>
        <v>Q6.5.47_6_1</v>
      </c>
      <c r="L1100" s="93" t="str">
        <f>HYPERLINK("#'Healthcare'!APH2","Primary national HMO medical plan specialty coinsurance minimum: Mail order - in-network")</f>
        <v>Primary national HMO medical plan specialty coinsurance minimum: Mail order - in-network</v>
      </c>
      <c r="M1100" s="6"/>
      <c r="N1100" s="7"/>
      <c r="O1100" s="6"/>
      <c r="P1100" s="7"/>
      <c r="Q1100" s="6"/>
      <c r="R1100" s="7"/>
      <c r="S1100" s="6"/>
      <c r="T1100" s="7"/>
      <c r="U1100" s="6"/>
      <c r="V1100" s="7"/>
      <c r="W1100" s="6"/>
      <c r="X1100" s="7"/>
    </row>
    <row r="1101" spans="1:24" ht="25.5" x14ac:dyDescent="0.2">
      <c r="A1101" s="6"/>
      <c r="B1101" s="7"/>
      <c r="C1101" s="6"/>
      <c r="D1101" s="7"/>
      <c r="E1101" s="6"/>
      <c r="F1101" s="7"/>
      <c r="G1101" s="6"/>
      <c r="H1101" s="7"/>
      <c r="I1101" s="6"/>
      <c r="J1101" s="7"/>
      <c r="K1101" s="96" t="str">
        <f>HYPERLINK("#'Healthcare'!API1","Q6.5.47_6_2")</f>
        <v>Q6.5.47_6_2</v>
      </c>
      <c r="L1101" s="93" t="str">
        <f>HYPERLINK("#'Healthcare'!API2","Primary national HMO medical plan specialty coinsurance maximum: Mail order - in-network")</f>
        <v>Primary national HMO medical plan specialty coinsurance maximum: Mail order - in-network</v>
      </c>
      <c r="M1101" s="6"/>
      <c r="N1101" s="7"/>
      <c r="O1101" s="6"/>
      <c r="P1101" s="7"/>
      <c r="Q1101" s="6"/>
      <c r="R1101" s="7"/>
      <c r="S1101" s="6"/>
      <c r="T1101" s="7"/>
      <c r="U1101" s="6"/>
      <c r="V1101" s="7"/>
      <c r="W1101" s="6"/>
      <c r="X1101" s="7"/>
    </row>
    <row r="1102" spans="1:24" ht="25.5" x14ac:dyDescent="0.2">
      <c r="A1102" s="6"/>
      <c r="B1102" s="7"/>
      <c r="C1102" s="6"/>
      <c r="D1102" s="7"/>
      <c r="E1102" s="6"/>
      <c r="F1102" s="7"/>
      <c r="G1102" s="6"/>
      <c r="H1102" s="7"/>
      <c r="I1102" s="6"/>
      <c r="J1102" s="7"/>
      <c r="K1102" s="96" t="str">
        <f>HYPERLINK("#'Healthcare'!APJ1","Q6.5.47_7_1")</f>
        <v>Q6.5.47_7_1</v>
      </c>
      <c r="L1102" s="93" t="str">
        <f>HYPERLINK("#'Healthcare'!APJ2","Primary national HMO medical plan Other coinsurance minimum: Mail order - in-network")</f>
        <v>Primary national HMO medical plan Other coinsurance minimum: Mail order - in-network</v>
      </c>
      <c r="M1102" s="6"/>
      <c r="N1102" s="7"/>
      <c r="O1102" s="6"/>
      <c r="P1102" s="7"/>
      <c r="Q1102" s="6"/>
      <c r="R1102" s="7"/>
      <c r="S1102" s="6"/>
      <c r="T1102" s="7"/>
      <c r="U1102" s="6"/>
      <c r="V1102" s="7"/>
      <c r="W1102" s="6"/>
      <c r="X1102" s="7"/>
    </row>
    <row r="1103" spans="1:24" ht="25.5" x14ac:dyDescent="0.2">
      <c r="A1103" s="6"/>
      <c r="B1103" s="7"/>
      <c r="C1103" s="6"/>
      <c r="D1103" s="7"/>
      <c r="E1103" s="6"/>
      <c r="F1103" s="7"/>
      <c r="G1103" s="6"/>
      <c r="H1103" s="7"/>
      <c r="I1103" s="6"/>
      <c r="J1103" s="7"/>
      <c r="K1103" s="96" t="str">
        <f>HYPERLINK("#'Healthcare'!APK1","Q6.5.47_7_2")</f>
        <v>Q6.5.47_7_2</v>
      </c>
      <c r="L1103" s="93" t="str">
        <f>HYPERLINK("#'Healthcare'!APK2","Primary national HMO medical plan Other coinsurance maximum: Mail order - in-network")</f>
        <v>Primary national HMO medical plan Other coinsurance maximum: Mail order - in-network</v>
      </c>
      <c r="M1103" s="6"/>
      <c r="N1103" s="7"/>
      <c r="O1103" s="6"/>
      <c r="P1103" s="7"/>
      <c r="Q1103" s="6"/>
      <c r="R1103" s="7"/>
      <c r="S1103" s="6"/>
      <c r="T1103" s="7"/>
      <c r="U1103" s="6"/>
      <c r="V1103" s="7"/>
      <c r="W1103" s="6"/>
      <c r="X1103" s="7"/>
    </row>
    <row r="1104" spans="1:24" ht="25.5" x14ac:dyDescent="0.2">
      <c r="A1104" s="6"/>
      <c r="B1104" s="7"/>
      <c r="C1104" s="6"/>
      <c r="D1104" s="7"/>
      <c r="E1104" s="6"/>
      <c r="F1104" s="7"/>
      <c r="G1104" s="6"/>
      <c r="H1104" s="7"/>
      <c r="I1104" s="6"/>
      <c r="J1104" s="7"/>
      <c r="K1104" s="96" t="str">
        <f>HYPERLINK("#'Healthcare'!APL1","Q6.5.48_1_1")</f>
        <v>Q6.5.48_1_1</v>
      </c>
      <c r="L1104" s="93" t="str">
        <f>HYPERLINK("#'Healthcare'!APL2","Primary national HMO medical plan tier 1 coinsurance: Mail order - out-of-network")</f>
        <v>Primary national HMO medical plan tier 1 coinsurance: Mail order - out-of-network</v>
      </c>
      <c r="M1104" s="6"/>
      <c r="N1104" s="7"/>
      <c r="O1104" s="6"/>
      <c r="P1104" s="7"/>
      <c r="Q1104" s="6"/>
      <c r="R1104" s="7"/>
      <c r="S1104" s="6"/>
      <c r="T1104" s="7"/>
      <c r="U1104" s="6"/>
      <c r="V1104" s="7"/>
      <c r="W1104" s="6"/>
      <c r="X1104" s="7"/>
    </row>
    <row r="1105" spans="1:24" ht="25.5" x14ac:dyDescent="0.2">
      <c r="A1105" s="6"/>
      <c r="B1105" s="7"/>
      <c r="C1105" s="6"/>
      <c r="D1105" s="7"/>
      <c r="E1105" s="6"/>
      <c r="F1105" s="7"/>
      <c r="G1105" s="6"/>
      <c r="H1105" s="7"/>
      <c r="I1105" s="6"/>
      <c r="J1105" s="7"/>
      <c r="K1105" s="96" t="str">
        <f>HYPERLINK("#'Healthcare'!APM1","Q6.5.48_2_1")</f>
        <v>Q6.5.48_2_1</v>
      </c>
      <c r="L1105" s="93" t="str">
        <f>HYPERLINK("#'Healthcare'!APM2","Primary national HMO medical plan tier 2 coinsurance: Mail order - out-of-network")</f>
        <v>Primary national HMO medical plan tier 2 coinsurance: Mail order - out-of-network</v>
      </c>
      <c r="M1105" s="6"/>
      <c r="N1105" s="7"/>
      <c r="O1105" s="6"/>
      <c r="P1105" s="7"/>
      <c r="Q1105" s="6"/>
      <c r="R1105" s="7"/>
      <c r="S1105" s="6"/>
      <c r="T1105" s="7"/>
      <c r="U1105" s="6"/>
      <c r="V1105" s="7"/>
      <c r="W1105" s="6"/>
      <c r="X1105" s="7"/>
    </row>
    <row r="1106" spans="1:24" ht="25.5" x14ac:dyDescent="0.2">
      <c r="A1106" s="6"/>
      <c r="B1106" s="7"/>
      <c r="C1106" s="6"/>
      <c r="D1106" s="7"/>
      <c r="E1106" s="6"/>
      <c r="F1106" s="7"/>
      <c r="G1106" s="6"/>
      <c r="H1106" s="7"/>
      <c r="I1106" s="6"/>
      <c r="J1106" s="7"/>
      <c r="K1106" s="96" t="str">
        <f>HYPERLINK("#'Healthcare'!APN1","Q6.5.48_3_1")</f>
        <v>Q6.5.48_3_1</v>
      </c>
      <c r="L1106" s="93" t="str">
        <f>HYPERLINK("#'Healthcare'!APN2","Primary national HMO medical plan tier 3 coinsurance: Mail order - out-of-network")</f>
        <v>Primary national HMO medical plan tier 3 coinsurance: Mail order - out-of-network</v>
      </c>
      <c r="M1106" s="6"/>
      <c r="N1106" s="7"/>
      <c r="O1106" s="6"/>
      <c r="P1106" s="7"/>
      <c r="Q1106" s="6"/>
      <c r="R1106" s="7"/>
      <c r="S1106" s="6"/>
      <c r="T1106" s="7"/>
      <c r="U1106" s="6"/>
      <c r="V1106" s="7"/>
      <c r="W1106" s="6"/>
      <c r="X1106" s="7"/>
    </row>
    <row r="1107" spans="1:24" ht="25.5" x14ac:dyDescent="0.2">
      <c r="A1107" s="6"/>
      <c r="B1107" s="7"/>
      <c r="C1107" s="6"/>
      <c r="D1107" s="7"/>
      <c r="E1107" s="6"/>
      <c r="F1107" s="7"/>
      <c r="G1107" s="6"/>
      <c r="H1107" s="7"/>
      <c r="I1107" s="6"/>
      <c r="J1107" s="7"/>
      <c r="K1107" s="96" t="str">
        <f>HYPERLINK("#'Healthcare'!APO1","Q6.5.48_4_1")</f>
        <v>Q6.5.48_4_1</v>
      </c>
      <c r="L1107" s="93" t="str">
        <f>HYPERLINK("#'Healthcare'!APO2","Primary national HMO medical plan tier 4 coinsurance: Mail order - out-of-network")</f>
        <v>Primary national HMO medical plan tier 4 coinsurance: Mail order - out-of-network</v>
      </c>
      <c r="M1107" s="6"/>
      <c r="N1107" s="7"/>
      <c r="O1107" s="6"/>
      <c r="P1107" s="7"/>
      <c r="Q1107" s="6"/>
      <c r="R1107" s="7"/>
      <c r="S1107" s="6"/>
      <c r="T1107" s="7"/>
      <c r="U1107" s="6"/>
      <c r="V1107" s="7"/>
      <c r="W1107" s="6"/>
      <c r="X1107" s="7"/>
    </row>
    <row r="1108" spans="1:24" ht="25.5" x14ac:dyDescent="0.2">
      <c r="A1108" s="6"/>
      <c r="B1108" s="7"/>
      <c r="C1108" s="6"/>
      <c r="D1108" s="7"/>
      <c r="E1108" s="6"/>
      <c r="F1108" s="7"/>
      <c r="G1108" s="6"/>
      <c r="H1108" s="7"/>
      <c r="I1108" s="6"/>
      <c r="J1108" s="7"/>
      <c r="K1108" s="96" t="str">
        <f>HYPERLINK("#'Healthcare'!APP1","Q6.5.48_5_1")</f>
        <v>Q6.5.48_5_1</v>
      </c>
      <c r="L1108" s="93" t="str">
        <f>HYPERLINK("#'Healthcare'!APP2","Primary national HMO medical plan tier 5 coinsurance: Mail order - out-of-network")</f>
        <v>Primary national HMO medical plan tier 5 coinsurance: Mail order - out-of-network</v>
      </c>
      <c r="M1108" s="6"/>
      <c r="N1108" s="7"/>
      <c r="O1108" s="6"/>
      <c r="P1108" s="7"/>
      <c r="Q1108" s="6"/>
      <c r="R1108" s="7"/>
      <c r="S1108" s="6"/>
      <c r="T1108" s="7"/>
      <c r="U1108" s="6"/>
      <c r="V1108" s="7"/>
      <c r="W1108" s="6"/>
      <c r="X1108" s="7"/>
    </row>
    <row r="1109" spans="1:24" ht="25.5" x14ac:dyDescent="0.2">
      <c r="A1109" s="6"/>
      <c r="B1109" s="7"/>
      <c r="C1109" s="6"/>
      <c r="D1109" s="7"/>
      <c r="E1109" s="6"/>
      <c r="F1109" s="7"/>
      <c r="G1109" s="6"/>
      <c r="H1109" s="7"/>
      <c r="I1109" s="6"/>
      <c r="J1109" s="7"/>
      <c r="K1109" s="96" t="str">
        <f>HYPERLINK("#'Healthcare'!APQ1","Q6.5.48_6_1")</f>
        <v>Q6.5.48_6_1</v>
      </c>
      <c r="L1109" s="93" t="str">
        <f>HYPERLINK("#'Healthcare'!APQ2","Primary national HMO medical plan specialty coinsurance: Mail order - out-of-network")</f>
        <v>Primary national HMO medical plan specialty coinsurance: Mail order - out-of-network</v>
      </c>
      <c r="M1109" s="6"/>
      <c r="N1109" s="7"/>
      <c r="O1109" s="6"/>
      <c r="P1109" s="7"/>
      <c r="Q1109" s="6"/>
      <c r="R1109" s="7"/>
      <c r="S1109" s="6"/>
      <c r="T1109" s="7"/>
      <c r="U1109" s="6"/>
      <c r="V1109" s="7"/>
      <c r="W1109" s="6"/>
      <c r="X1109" s="7"/>
    </row>
    <row r="1110" spans="1:24" ht="25.5" x14ac:dyDescent="0.2">
      <c r="A1110" s="6"/>
      <c r="B1110" s="7"/>
      <c r="C1110" s="6"/>
      <c r="D1110" s="7"/>
      <c r="E1110" s="6"/>
      <c r="F1110" s="7"/>
      <c r="G1110" s="6"/>
      <c r="H1110" s="7"/>
      <c r="I1110" s="6"/>
      <c r="J1110" s="7"/>
      <c r="K1110" s="96" t="str">
        <f>HYPERLINK("#'Healthcare'!APR1","Q6.5.48_7_1")</f>
        <v>Q6.5.48_7_1</v>
      </c>
      <c r="L1110" s="93" t="str">
        <f>HYPERLINK("#'Healthcare'!APR2","Primary national HMO medical plan Other coinsurance: Mail order - out-of-network")</f>
        <v>Primary national HMO medical plan Other coinsurance: Mail order - out-of-network</v>
      </c>
      <c r="M1110" s="6"/>
      <c r="N1110" s="7"/>
      <c r="O1110" s="6"/>
      <c r="P1110" s="7"/>
      <c r="Q1110" s="6"/>
      <c r="R1110" s="7"/>
      <c r="S1110" s="6"/>
      <c r="T1110" s="7"/>
      <c r="U1110" s="6"/>
      <c r="V1110" s="7"/>
      <c r="W1110" s="6"/>
      <c r="X1110" s="7"/>
    </row>
    <row r="1111" spans="1:24" ht="38.25" x14ac:dyDescent="0.2">
      <c r="A1111" s="6"/>
      <c r="B1111" s="7"/>
      <c r="C1111" s="6"/>
      <c r="D1111" s="7"/>
      <c r="E1111" s="6"/>
      <c r="F1111" s="7"/>
      <c r="G1111" s="6"/>
      <c r="H1111" s="7"/>
      <c r="I1111" s="6"/>
      <c r="J1111" s="7"/>
      <c r="K1111" s="96" t="str">
        <f>HYPERLINK("#'Healthcare'!APS1","Q6.5.49_1_1")</f>
        <v>Q6.5.49_1_1</v>
      </c>
      <c r="L1111" s="93" t="str">
        <f>HYPERLINK("#'Healthcare'!APS2","Primary national HMO medical plan tier 1 coinsurance minimum: Mail order - out-of-network")</f>
        <v>Primary national HMO medical plan tier 1 coinsurance minimum: Mail order - out-of-network</v>
      </c>
      <c r="M1111" s="6"/>
      <c r="N1111" s="7"/>
      <c r="O1111" s="6"/>
      <c r="P1111" s="7"/>
      <c r="Q1111" s="6"/>
      <c r="R1111" s="7"/>
      <c r="S1111" s="6"/>
      <c r="T1111" s="7"/>
      <c r="U1111" s="6"/>
      <c r="V1111" s="7"/>
      <c r="W1111" s="6"/>
      <c r="X1111" s="7"/>
    </row>
    <row r="1112" spans="1:24" ht="38.25" x14ac:dyDescent="0.2">
      <c r="A1112" s="6"/>
      <c r="B1112" s="7"/>
      <c r="C1112" s="6"/>
      <c r="D1112" s="7"/>
      <c r="E1112" s="6"/>
      <c r="F1112" s="7"/>
      <c r="G1112" s="6"/>
      <c r="H1112" s="7"/>
      <c r="I1112" s="6"/>
      <c r="J1112" s="7"/>
      <c r="K1112" s="96" t="str">
        <f>HYPERLINK("#'Healthcare'!APT1","Q6.5.49_1_2")</f>
        <v>Q6.5.49_1_2</v>
      </c>
      <c r="L1112" s="93" t="str">
        <f>HYPERLINK("#'Healthcare'!APT2","Primary national HMO medical plan tier 1 coinsurance maximum: Mail order - out-of-network")</f>
        <v>Primary national HMO medical plan tier 1 coinsurance maximum: Mail order - out-of-network</v>
      </c>
      <c r="M1112" s="6"/>
      <c r="N1112" s="7"/>
      <c r="O1112" s="6"/>
      <c r="P1112" s="7"/>
      <c r="Q1112" s="6"/>
      <c r="R1112" s="7"/>
      <c r="S1112" s="6"/>
      <c r="T1112" s="7"/>
      <c r="U1112" s="6"/>
      <c r="V1112" s="7"/>
      <c r="W1112" s="6"/>
      <c r="X1112" s="7"/>
    </row>
    <row r="1113" spans="1:24" ht="38.25" x14ac:dyDescent="0.2">
      <c r="A1113" s="6"/>
      <c r="B1113" s="7"/>
      <c r="C1113" s="6"/>
      <c r="D1113" s="7"/>
      <c r="E1113" s="6"/>
      <c r="F1113" s="7"/>
      <c r="G1113" s="6"/>
      <c r="H1113" s="7"/>
      <c r="I1113" s="6"/>
      <c r="J1113" s="7"/>
      <c r="K1113" s="96" t="str">
        <f>HYPERLINK("#'Healthcare'!APU1","Q6.5.49_2_1")</f>
        <v>Q6.5.49_2_1</v>
      </c>
      <c r="L1113" s="93" t="str">
        <f>HYPERLINK("#'Healthcare'!APU2","Primary national HMO medical plan tier 2 coinsurance minimum: Mail order - out-of-network")</f>
        <v>Primary national HMO medical plan tier 2 coinsurance minimum: Mail order - out-of-network</v>
      </c>
      <c r="M1113" s="6"/>
      <c r="N1113" s="7"/>
      <c r="O1113" s="6"/>
      <c r="P1113" s="7"/>
      <c r="Q1113" s="6"/>
      <c r="R1113" s="7"/>
      <c r="S1113" s="6"/>
      <c r="T1113" s="7"/>
      <c r="U1113" s="6"/>
      <c r="V1113" s="7"/>
      <c r="W1113" s="6"/>
      <c r="X1113" s="7"/>
    </row>
    <row r="1114" spans="1:24" ht="38.25" x14ac:dyDescent="0.2">
      <c r="A1114" s="6"/>
      <c r="B1114" s="7"/>
      <c r="C1114" s="6"/>
      <c r="D1114" s="7"/>
      <c r="E1114" s="6"/>
      <c r="F1114" s="7"/>
      <c r="G1114" s="6"/>
      <c r="H1114" s="7"/>
      <c r="I1114" s="6"/>
      <c r="J1114" s="7"/>
      <c r="K1114" s="96" t="str">
        <f>HYPERLINK("#'Healthcare'!APV1","Q6.5.49_2_2")</f>
        <v>Q6.5.49_2_2</v>
      </c>
      <c r="L1114" s="93" t="str">
        <f>HYPERLINK("#'Healthcare'!APV2","Primary national HMO medical plan tier 2 coinsurance maximum: Mail order - out-of-network")</f>
        <v>Primary national HMO medical plan tier 2 coinsurance maximum: Mail order - out-of-network</v>
      </c>
      <c r="M1114" s="6"/>
      <c r="N1114" s="7"/>
      <c r="O1114" s="6"/>
      <c r="P1114" s="7"/>
      <c r="Q1114" s="6"/>
      <c r="R1114" s="7"/>
      <c r="S1114" s="6"/>
      <c r="T1114" s="7"/>
      <c r="U1114" s="6"/>
      <c r="V1114" s="7"/>
      <c r="W1114" s="6"/>
      <c r="X1114" s="7"/>
    </row>
    <row r="1115" spans="1:24" ht="38.25" x14ac:dyDescent="0.2">
      <c r="A1115" s="6"/>
      <c r="B1115" s="7"/>
      <c r="C1115" s="6"/>
      <c r="D1115" s="7"/>
      <c r="E1115" s="6"/>
      <c r="F1115" s="7"/>
      <c r="G1115" s="6"/>
      <c r="H1115" s="7"/>
      <c r="I1115" s="6"/>
      <c r="J1115" s="7"/>
      <c r="K1115" s="96" t="str">
        <f>HYPERLINK("#'Healthcare'!APW1","Q6.5.49_3_1")</f>
        <v>Q6.5.49_3_1</v>
      </c>
      <c r="L1115" s="93" t="str">
        <f>HYPERLINK("#'Healthcare'!APW2","Primary national HMO medical plan tier 3 coinsurance minimum: Mail order - out-of-network")</f>
        <v>Primary national HMO medical plan tier 3 coinsurance minimum: Mail order - out-of-network</v>
      </c>
      <c r="M1115" s="6"/>
      <c r="N1115" s="7"/>
      <c r="O1115" s="6"/>
      <c r="P1115" s="7"/>
      <c r="Q1115" s="6"/>
      <c r="R1115" s="7"/>
      <c r="S1115" s="6"/>
      <c r="T1115" s="7"/>
      <c r="U1115" s="6"/>
      <c r="V1115" s="7"/>
      <c r="W1115" s="6"/>
      <c r="X1115" s="7"/>
    </row>
    <row r="1116" spans="1:24" ht="38.25" x14ac:dyDescent="0.2">
      <c r="A1116" s="6"/>
      <c r="B1116" s="7"/>
      <c r="C1116" s="6"/>
      <c r="D1116" s="7"/>
      <c r="E1116" s="6"/>
      <c r="F1116" s="7"/>
      <c r="G1116" s="6"/>
      <c r="H1116" s="7"/>
      <c r="I1116" s="6"/>
      <c r="J1116" s="7"/>
      <c r="K1116" s="96" t="str">
        <f>HYPERLINK("#'Healthcare'!APX1","Q6.5.49_3_2")</f>
        <v>Q6.5.49_3_2</v>
      </c>
      <c r="L1116" s="93" t="str">
        <f>HYPERLINK("#'Healthcare'!APX2","Primary national HMO medical plan tier 3 coinsurance maximum: Mail order - out-of-network")</f>
        <v>Primary national HMO medical plan tier 3 coinsurance maximum: Mail order - out-of-network</v>
      </c>
      <c r="M1116" s="6"/>
      <c r="N1116" s="7"/>
      <c r="O1116" s="6"/>
      <c r="P1116" s="7"/>
      <c r="Q1116" s="6"/>
      <c r="R1116" s="7"/>
      <c r="S1116" s="6"/>
      <c r="T1116" s="7"/>
      <c r="U1116" s="6"/>
      <c r="V1116" s="7"/>
      <c r="W1116" s="6"/>
      <c r="X1116" s="7"/>
    </row>
    <row r="1117" spans="1:24" ht="38.25" x14ac:dyDescent="0.2">
      <c r="A1117" s="6"/>
      <c r="B1117" s="7"/>
      <c r="C1117" s="6"/>
      <c r="D1117" s="7"/>
      <c r="E1117" s="6"/>
      <c r="F1117" s="7"/>
      <c r="G1117" s="6"/>
      <c r="H1117" s="7"/>
      <c r="I1117" s="6"/>
      <c r="J1117" s="7"/>
      <c r="K1117" s="96" t="str">
        <f>HYPERLINK("#'Healthcare'!APY1","Q6.5.49_4_1")</f>
        <v>Q6.5.49_4_1</v>
      </c>
      <c r="L1117" s="93" t="str">
        <f>HYPERLINK("#'Healthcare'!APY2","Primary national HMO medical plan tier 4 coinsurance minimum: Mail order - out-of-network")</f>
        <v>Primary national HMO medical plan tier 4 coinsurance minimum: Mail order - out-of-network</v>
      </c>
      <c r="M1117" s="6"/>
      <c r="N1117" s="7"/>
      <c r="O1117" s="6"/>
      <c r="P1117" s="7"/>
      <c r="Q1117" s="6"/>
      <c r="R1117" s="7"/>
      <c r="S1117" s="6"/>
      <c r="T1117" s="7"/>
      <c r="U1117" s="6"/>
      <c r="V1117" s="7"/>
      <c r="W1117" s="6"/>
      <c r="X1117" s="7"/>
    </row>
    <row r="1118" spans="1:24" ht="38.25" x14ac:dyDescent="0.2">
      <c r="A1118" s="6"/>
      <c r="B1118" s="7"/>
      <c r="C1118" s="6"/>
      <c r="D1118" s="7"/>
      <c r="E1118" s="6"/>
      <c r="F1118" s="7"/>
      <c r="G1118" s="6"/>
      <c r="H1118" s="7"/>
      <c r="I1118" s="6"/>
      <c r="J1118" s="7"/>
      <c r="K1118" s="96" t="str">
        <f>HYPERLINK("#'Healthcare'!APZ1","Q6.5.49_4_2")</f>
        <v>Q6.5.49_4_2</v>
      </c>
      <c r="L1118" s="93" t="str">
        <f>HYPERLINK("#'Healthcare'!APZ2","Primary national HMO medical plan tier 4 coinsurance maximum: Mail order - out-of-network")</f>
        <v>Primary national HMO medical plan tier 4 coinsurance maximum: Mail order - out-of-network</v>
      </c>
      <c r="M1118" s="6"/>
      <c r="N1118" s="7"/>
      <c r="O1118" s="6"/>
      <c r="P1118" s="7"/>
      <c r="Q1118" s="6"/>
      <c r="R1118" s="7"/>
      <c r="S1118" s="6"/>
      <c r="T1118" s="7"/>
      <c r="U1118" s="6"/>
      <c r="V1118" s="7"/>
      <c r="W1118" s="6"/>
      <c r="X1118" s="7"/>
    </row>
    <row r="1119" spans="1:24" ht="38.25" x14ac:dyDescent="0.2">
      <c r="A1119" s="6"/>
      <c r="B1119" s="7"/>
      <c r="C1119" s="6"/>
      <c r="D1119" s="7"/>
      <c r="E1119" s="6"/>
      <c r="F1119" s="7"/>
      <c r="G1119" s="6"/>
      <c r="H1119" s="7"/>
      <c r="I1119" s="6"/>
      <c r="J1119" s="7"/>
      <c r="K1119" s="96" t="str">
        <f>HYPERLINK("#'Healthcare'!AQA1","Q6.5.49_5_1")</f>
        <v>Q6.5.49_5_1</v>
      </c>
      <c r="L1119" s="93" t="str">
        <f>HYPERLINK("#'Healthcare'!AQA2","Primary national HMO medical plan tier 5 coinsurance minimum: Mail order - out-of-network")</f>
        <v>Primary national HMO medical plan tier 5 coinsurance minimum: Mail order - out-of-network</v>
      </c>
      <c r="M1119" s="6"/>
      <c r="N1119" s="7"/>
      <c r="O1119" s="6"/>
      <c r="P1119" s="7"/>
      <c r="Q1119" s="6"/>
      <c r="R1119" s="7"/>
      <c r="S1119" s="6"/>
      <c r="T1119" s="7"/>
      <c r="U1119" s="6"/>
      <c r="V1119" s="7"/>
      <c r="W1119" s="6"/>
      <c r="X1119" s="7"/>
    </row>
    <row r="1120" spans="1:24" ht="38.25" x14ac:dyDescent="0.2">
      <c r="A1120" s="6"/>
      <c r="B1120" s="7"/>
      <c r="C1120" s="6"/>
      <c r="D1120" s="7"/>
      <c r="E1120" s="6"/>
      <c r="F1120" s="7"/>
      <c r="G1120" s="6"/>
      <c r="H1120" s="7"/>
      <c r="I1120" s="6"/>
      <c r="J1120" s="7"/>
      <c r="K1120" s="96" t="str">
        <f>HYPERLINK("#'Healthcare'!AQB1","Q6.5.49_5_2")</f>
        <v>Q6.5.49_5_2</v>
      </c>
      <c r="L1120" s="93" t="str">
        <f>HYPERLINK("#'Healthcare'!AQB2","Primary national HMO medical plan tier 5 coinsurance maximum: Mail order - out-of-network")</f>
        <v>Primary national HMO medical plan tier 5 coinsurance maximum: Mail order - out-of-network</v>
      </c>
      <c r="M1120" s="6"/>
      <c r="N1120" s="7"/>
      <c r="O1120" s="6"/>
      <c r="P1120" s="7"/>
      <c r="Q1120" s="6"/>
      <c r="R1120" s="7"/>
      <c r="S1120" s="6"/>
      <c r="T1120" s="7"/>
      <c r="U1120" s="6"/>
      <c r="V1120" s="7"/>
      <c r="W1120" s="6"/>
      <c r="X1120" s="7"/>
    </row>
    <row r="1121" spans="1:24" ht="38.25" x14ac:dyDescent="0.2">
      <c r="A1121" s="6"/>
      <c r="B1121" s="7"/>
      <c r="C1121" s="6"/>
      <c r="D1121" s="7"/>
      <c r="E1121" s="6"/>
      <c r="F1121" s="7"/>
      <c r="G1121" s="6"/>
      <c r="H1121" s="7"/>
      <c r="I1121" s="6"/>
      <c r="J1121" s="7"/>
      <c r="K1121" s="96" t="str">
        <f>HYPERLINK("#'Healthcare'!AQC1","Q6.5.49_6_1")</f>
        <v>Q6.5.49_6_1</v>
      </c>
      <c r="L1121" s="93" t="str">
        <f>HYPERLINK("#'Healthcare'!AQC2","Primary national HMO medical plan specialty coinsurance minimum: Mail order - out-of-network")</f>
        <v>Primary national HMO medical plan specialty coinsurance minimum: Mail order - out-of-network</v>
      </c>
      <c r="M1121" s="6"/>
      <c r="N1121" s="7"/>
      <c r="O1121" s="6"/>
      <c r="P1121" s="7"/>
      <c r="Q1121" s="6"/>
      <c r="R1121" s="7"/>
      <c r="S1121" s="6"/>
      <c r="T1121" s="7"/>
      <c r="U1121" s="6"/>
      <c r="V1121" s="7"/>
      <c r="W1121" s="6"/>
      <c r="X1121" s="7"/>
    </row>
    <row r="1122" spans="1:24" ht="38.25" x14ac:dyDescent="0.2">
      <c r="A1122" s="6"/>
      <c r="B1122" s="7"/>
      <c r="C1122" s="6"/>
      <c r="D1122" s="7"/>
      <c r="E1122" s="6"/>
      <c r="F1122" s="7"/>
      <c r="G1122" s="6"/>
      <c r="H1122" s="7"/>
      <c r="I1122" s="6"/>
      <c r="J1122" s="7"/>
      <c r="K1122" s="96" t="str">
        <f>HYPERLINK("#'Healthcare'!AQD1","Q6.5.49_6_2")</f>
        <v>Q6.5.49_6_2</v>
      </c>
      <c r="L1122" s="93" t="str">
        <f>HYPERLINK("#'Healthcare'!AQD2","Primary national HMO medical plan specialty coinsurance maximum: Mail order - out-of-network")</f>
        <v>Primary national HMO medical plan specialty coinsurance maximum: Mail order - out-of-network</v>
      </c>
      <c r="M1122" s="6"/>
      <c r="N1122" s="7"/>
      <c r="O1122" s="6"/>
      <c r="P1122" s="7"/>
      <c r="Q1122" s="6"/>
      <c r="R1122" s="7"/>
      <c r="S1122" s="6"/>
      <c r="T1122" s="7"/>
      <c r="U1122" s="6"/>
      <c r="V1122" s="7"/>
      <c r="W1122" s="6"/>
      <c r="X1122" s="7"/>
    </row>
    <row r="1123" spans="1:24" ht="38.25" x14ac:dyDescent="0.2">
      <c r="A1123" s="6"/>
      <c r="B1123" s="7"/>
      <c r="C1123" s="6"/>
      <c r="D1123" s="7"/>
      <c r="E1123" s="6"/>
      <c r="F1123" s="7"/>
      <c r="G1123" s="6"/>
      <c r="H1123" s="7"/>
      <c r="I1123" s="6"/>
      <c r="J1123" s="7"/>
      <c r="K1123" s="96" t="str">
        <f>HYPERLINK("#'Healthcare'!AQE1","Q6.5.49_7_1")</f>
        <v>Q6.5.49_7_1</v>
      </c>
      <c r="L1123" s="93" t="str">
        <f>HYPERLINK("#'Healthcare'!AQE2","Primary national HMO medical plan Other coinsurance minimum: Mail order - out-of-network")</f>
        <v>Primary national HMO medical plan Other coinsurance minimum: Mail order - out-of-network</v>
      </c>
      <c r="M1123" s="6"/>
      <c r="N1123" s="7"/>
      <c r="O1123" s="6"/>
      <c r="P1123" s="7"/>
      <c r="Q1123" s="6"/>
      <c r="R1123" s="7"/>
      <c r="S1123" s="6"/>
      <c r="T1123" s="7"/>
      <c r="U1123" s="6"/>
      <c r="V1123" s="7"/>
      <c r="W1123" s="6"/>
      <c r="X1123" s="7"/>
    </row>
    <row r="1124" spans="1:24" ht="38.25" x14ac:dyDescent="0.2">
      <c r="A1124" s="6"/>
      <c r="B1124" s="7"/>
      <c r="C1124" s="6"/>
      <c r="D1124" s="7"/>
      <c r="E1124" s="6"/>
      <c r="F1124" s="7"/>
      <c r="G1124" s="6"/>
      <c r="H1124" s="7"/>
      <c r="I1124" s="6"/>
      <c r="J1124" s="7"/>
      <c r="K1124" s="96" t="str">
        <f>HYPERLINK("#'Healthcare'!AQF1","Q6.5.49_7_2")</f>
        <v>Q6.5.49_7_2</v>
      </c>
      <c r="L1124" s="93" t="str">
        <f>HYPERLINK("#'Healthcare'!AQF2","Primary national HMO medical plan Other coinsurance maximum: Mail order - out-of-network")</f>
        <v>Primary national HMO medical plan Other coinsurance maximum: Mail order - out-of-network</v>
      </c>
      <c r="M1124" s="6"/>
      <c r="N1124" s="7"/>
      <c r="O1124" s="6"/>
      <c r="P1124" s="7"/>
      <c r="Q1124" s="6"/>
      <c r="R1124" s="7"/>
      <c r="S1124" s="6"/>
      <c r="T1124" s="7"/>
      <c r="U1124" s="6"/>
      <c r="V1124" s="7"/>
      <c r="W1124" s="6"/>
      <c r="X1124" s="7"/>
    </row>
    <row r="1125" spans="1:24" ht="25.5" x14ac:dyDescent="0.2">
      <c r="A1125" s="6"/>
      <c r="B1125" s="7"/>
      <c r="C1125" s="6"/>
      <c r="D1125" s="7"/>
      <c r="E1125" s="6"/>
      <c r="F1125" s="7"/>
      <c r="G1125" s="6"/>
      <c r="H1125" s="7"/>
      <c r="I1125" s="6"/>
      <c r="J1125" s="7"/>
      <c r="K1125" s="96" t="str">
        <f>HYPERLINK("#'Healthcare'!AQG1","Q6.5.50")</f>
        <v>Q6.5.50</v>
      </c>
      <c r="L1125" s="93" t="str">
        <f>HYPERLINK("#'Healthcare'!AQG2","Primary national HMO medical plan: Pharmacy benefit manager carved in/out")</f>
        <v>Primary national HMO medical plan: Pharmacy benefit manager carved in/out</v>
      </c>
      <c r="M1125" s="6"/>
      <c r="N1125" s="7"/>
      <c r="O1125" s="6"/>
      <c r="P1125" s="7"/>
      <c r="Q1125" s="6"/>
      <c r="R1125" s="7"/>
      <c r="S1125" s="6"/>
      <c r="T1125" s="7"/>
      <c r="U1125" s="6"/>
      <c r="V1125" s="7"/>
      <c r="W1125" s="6"/>
      <c r="X1125" s="7"/>
    </row>
    <row r="1126" spans="1:24" ht="38.25" x14ac:dyDescent="0.2">
      <c r="A1126" s="6"/>
      <c r="B1126" s="7"/>
      <c r="C1126" s="6"/>
      <c r="D1126" s="7"/>
      <c r="E1126" s="6"/>
      <c r="F1126" s="7"/>
      <c r="G1126" s="6"/>
      <c r="H1126" s="7"/>
      <c r="I1126" s="6"/>
      <c r="J1126" s="7"/>
      <c r="K1126" s="96" t="str">
        <f>HYPERLINK("#'Healthcare'!AQH1","Q6.5.51")</f>
        <v>Q6.5.51</v>
      </c>
      <c r="L1126" s="93" t="str">
        <f>HYPERLINK("#'Healthcare'!AQH2","Primary national HMO medical plan: Drug classes with zero cost share to members (in addition to ACA law requirements)")</f>
        <v>Primary national HMO medical plan: Drug classes with zero cost share to members (in addition to ACA law requirements)</v>
      </c>
      <c r="M1126" s="6"/>
      <c r="N1126" s="7"/>
      <c r="O1126" s="6"/>
      <c r="P1126" s="7"/>
      <c r="Q1126" s="6"/>
      <c r="R1126" s="7"/>
      <c r="S1126" s="6"/>
      <c r="T1126" s="7"/>
      <c r="U1126" s="6"/>
      <c r="V1126" s="7"/>
      <c r="W1126" s="6"/>
      <c r="X1126" s="7"/>
    </row>
    <row r="1127" spans="1:24" ht="51" x14ac:dyDescent="0.2">
      <c r="A1127" s="6"/>
      <c r="B1127" s="7"/>
      <c r="C1127" s="6"/>
      <c r="D1127" s="7"/>
      <c r="E1127" s="6"/>
      <c r="F1127" s="7"/>
      <c r="G1127" s="6"/>
      <c r="H1127" s="7"/>
      <c r="I1127" s="6"/>
      <c r="J1127" s="7"/>
      <c r="K1127" s="96" t="str">
        <f>HYPERLINK("#'Healthcare'!AQI1","Q6.5.52")</f>
        <v>Q6.5.52</v>
      </c>
      <c r="L1127" s="93" t="str">
        <f>HYPERLINK("#'Healthcare'!AQI2","Primary national HMO medical plan: Cost share for individuals who receive infused/injectable medications at preferred care sites")</f>
        <v>Primary national HMO medical plan: Cost share for individuals who receive infused/injectable medications at preferred care sites</v>
      </c>
      <c r="M1127" s="6"/>
      <c r="N1127" s="7"/>
      <c r="O1127" s="6"/>
      <c r="P1127" s="7"/>
      <c r="Q1127" s="6"/>
      <c r="R1127" s="7"/>
      <c r="S1127" s="6"/>
      <c r="T1127" s="7"/>
      <c r="U1127" s="6"/>
      <c r="V1127" s="7"/>
      <c r="W1127" s="6"/>
      <c r="X1127" s="7"/>
    </row>
    <row r="1128" spans="1:24" ht="38.25" x14ac:dyDescent="0.2">
      <c r="A1128" s="6"/>
      <c r="B1128" s="7"/>
      <c r="C1128" s="6"/>
      <c r="D1128" s="7"/>
      <c r="E1128" s="6"/>
      <c r="F1128" s="7"/>
      <c r="G1128" s="6"/>
      <c r="H1128" s="7"/>
      <c r="I1128" s="6"/>
      <c r="J1128" s="7"/>
      <c r="K1128" s="96" t="str">
        <f>HYPERLINK("#'Healthcare'!AQJ1","Q6.6.2")</f>
        <v>Q6.6.2</v>
      </c>
      <c r="L1128" s="93" t="str">
        <f>HYPERLINK("#'Healthcare'!AQJ2","Total number of regional health maintenance organization (regional HMO) medical plans offered")</f>
        <v>Total number of regional health maintenance organization (regional HMO) medical plans offered</v>
      </c>
      <c r="M1128" s="6"/>
      <c r="N1128" s="7"/>
      <c r="O1128" s="6"/>
      <c r="P1128" s="7"/>
      <c r="Q1128" s="6"/>
      <c r="R1128" s="7"/>
      <c r="S1128" s="6"/>
      <c r="T1128" s="7"/>
      <c r="U1128" s="6"/>
      <c r="V1128" s="7"/>
      <c r="W1128" s="6"/>
      <c r="X1128" s="7"/>
    </row>
    <row r="1129" spans="1:24" ht="25.5" x14ac:dyDescent="0.2">
      <c r="A1129" s="6"/>
      <c r="B1129" s="7"/>
      <c r="C1129" s="6"/>
      <c r="D1129" s="7"/>
      <c r="E1129" s="6"/>
      <c r="F1129" s="7"/>
      <c r="G1129" s="6"/>
      <c r="H1129" s="7"/>
      <c r="I1129" s="6"/>
      <c r="J1129" s="7"/>
      <c r="K1129" s="96" t="str">
        <f>HYPERLINK("#'Healthcare'!AQK1","Q6.6.5")</f>
        <v>Q6.6.5</v>
      </c>
      <c r="L1129" s="93" t="str">
        <f>HYPERLINK("#'Healthcare'!AQK2","Regional HMO medical plan with highest enrollment (Primary)")</f>
        <v>Regional HMO medical plan with highest enrollment (Primary)</v>
      </c>
      <c r="M1129" s="6"/>
      <c r="N1129" s="7"/>
      <c r="O1129" s="6"/>
      <c r="P1129" s="7"/>
      <c r="Q1129" s="6"/>
      <c r="R1129" s="7"/>
      <c r="S1129" s="6"/>
      <c r="T1129" s="7"/>
      <c r="U1129" s="6"/>
      <c r="V1129" s="7"/>
      <c r="W1129" s="6"/>
      <c r="X1129" s="7"/>
    </row>
    <row r="1130" spans="1:24" ht="12.75" x14ac:dyDescent="0.2">
      <c r="A1130" s="6"/>
      <c r="B1130" s="7"/>
      <c r="C1130" s="6"/>
      <c r="D1130" s="7"/>
      <c r="E1130" s="6"/>
      <c r="F1130" s="7"/>
      <c r="G1130" s="6"/>
      <c r="H1130" s="7"/>
      <c r="I1130" s="6"/>
      <c r="J1130" s="7"/>
      <c r="K1130" s="96" t="str">
        <f>HYPERLINK("#'Healthcare'!AQL1","Q6.6.6")</f>
        <v>Q6.6.6</v>
      </c>
      <c r="L1130" s="93" t="str">
        <f>HYPERLINK("#'Healthcare'!AQL2","Other regional HMO plans offered")</f>
        <v>Other regional HMO plans offered</v>
      </c>
      <c r="M1130" s="6"/>
      <c r="N1130" s="7"/>
      <c r="O1130" s="6"/>
      <c r="P1130" s="7"/>
      <c r="Q1130" s="6"/>
      <c r="R1130" s="7"/>
      <c r="S1130" s="6"/>
      <c r="T1130" s="7"/>
      <c r="U1130" s="6"/>
      <c r="V1130" s="7"/>
      <c r="W1130" s="6"/>
      <c r="X1130" s="7"/>
    </row>
    <row r="1131" spans="1:24" ht="25.5" x14ac:dyDescent="0.2">
      <c r="A1131" s="6"/>
      <c r="B1131" s="7"/>
      <c r="C1131" s="6"/>
      <c r="D1131" s="7"/>
      <c r="E1131" s="6"/>
      <c r="F1131" s="7"/>
      <c r="G1131" s="6"/>
      <c r="H1131" s="7"/>
      <c r="I1131" s="6"/>
      <c r="J1131" s="7"/>
      <c r="K1131" s="96" t="str">
        <f>HYPERLINK("#'Healthcare'!AQM1","Q6.6.7_1")</f>
        <v>Q6.6.7_1</v>
      </c>
      <c r="L1131" s="93" t="str">
        <f>HYPERLINK("#'Healthcare'!AQM2","Primary regional HMO medical plan: Network out-of-pocket limit per person")</f>
        <v>Primary regional HMO medical plan: Network out-of-pocket limit per person</v>
      </c>
      <c r="M1131" s="6"/>
      <c r="N1131" s="7"/>
      <c r="O1131" s="6"/>
      <c r="P1131" s="7"/>
      <c r="Q1131" s="6"/>
      <c r="R1131" s="7"/>
      <c r="S1131" s="6"/>
      <c r="T1131" s="7"/>
      <c r="U1131" s="6"/>
      <c r="V1131" s="7"/>
      <c r="W1131" s="6"/>
      <c r="X1131" s="7"/>
    </row>
    <row r="1132" spans="1:24" ht="25.5" x14ac:dyDescent="0.2">
      <c r="A1132" s="6"/>
      <c r="B1132" s="7"/>
      <c r="C1132" s="6"/>
      <c r="D1132" s="7"/>
      <c r="E1132" s="6"/>
      <c r="F1132" s="7"/>
      <c r="G1132" s="6"/>
      <c r="H1132" s="7"/>
      <c r="I1132" s="6"/>
      <c r="J1132" s="7"/>
      <c r="K1132" s="96" t="str">
        <f>HYPERLINK("#'Healthcare'!AQN1","Q6.6.7_2")</f>
        <v>Q6.6.7_2</v>
      </c>
      <c r="L1132" s="93" t="str">
        <f>HYPERLINK("#'Healthcare'!AQN2","Primary regional HMO medical plan: Network out-of-pocket limit family")</f>
        <v>Primary regional HMO medical plan: Network out-of-pocket limit family</v>
      </c>
      <c r="M1132" s="6"/>
      <c r="N1132" s="7"/>
      <c r="O1132" s="6"/>
      <c r="P1132" s="7"/>
      <c r="Q1132" s="6"/>
      <c r="R1132" s="7"/>
      <c r="S1132" s="6"/>
      <c r="T1132" s="7"/>
      <c r="U1132" s="6"/>
      <c r="V1132" s="7"/>
      <c r="W1132" s="6"/>
      <c r="X1132" s="7"/>
    </row>
    <row r="1133" spans="1:24" ht="25.5" x14ac:dyDescent="0.2">
      <c r="A1133" s="6"/>
      <c r="B1133" s="7"/>
      <c r="C1133" s="6"/>
      <c r="D1133" s="7"/>
      <c r="E1133" s="6"/>
      <c r="F1133" s="7"/>
      <c r="G1133" s="6"/>
      <c r="H1133" s="7"/>
      <c r="I1133" s="6"/>
      <c r="J1133" s="7"/>
      <c r="K1133" s="96" t="str">
        <f>HYPERLINK("#'Healthcare'!AQO1","Q6.6.7_3")</f>
        <v>Q6.6.7_3</v>
      </c>
      <c r="L1133" s="93" t="str">
        <f>HYPERLINK("#'Healthcare'!AQO2","Primary regional HMO medical plan: Out-of-network out-of-pocket limit per person")</f>
        <v>Primary regional HMO medical plan: Out-of-network out-of-pocket limit per person</v>
      </c>
      <c r="M1133" s="6"/>
      <c r="N1133" s="7"/>
      <c r="O1133" s="6"/>
      <c r="P1133" s="7"/>
      <c r="Q1133" s="6"/>
      <c r="R1133" s="7"/>
      <c r="S1133" s="6"/>
      <c r="T1133" s="7"/>
      <c r="U1133" s="6"/>
      <c r="V1133" s="7"/>
      <c r="W1133" s="6"/>
      <c r="X1133" s="7"/>
    </row>
    <row r="1134" spans="1:24" ht="25.5" x14ac:dyDescent="0.2">
      <c r="A1134" s="6"/>
      <c r="B1134" s="7"/>
      <c r="C1134" s="6"/>
      <c r="D1134" s="7"/>
      <c r="E1134" s="6"/>
      <c r="F1134" s="7"/>
      <c r="G1134" s="6"/>
      <c r="H1134" s="7"/>
      <c r="I1134" s="6"/>
      <c r="J1134" s="7"/>
      <c r="K1134" s="96" t="str">
        <f>HYPERLINK("#'Healthcare'!AQP1","Q6.6.7_4")</f>
        <v>Q6.6.7_4</v>
      </c>
      <c r="L1134" s="93" t="str">
        <f>HYPERLINK("#'Healthcare'!AQP2","Primary regional HMO medical plan: Out-of-network out-of-pocket limit family")</f>
        <v>Primary regional HMO medical plan: Out-of-network out-of-pocket limit family</v>
      </c>
      <c r="M1134" s="6"/>
      <c r="N1134" s="7"/>
      <c r="O1134" s="6"/>
      <c r="P1134" s="7"/>
      <c r="Q1134" s="6"/>
      <c r="R1134" s="7"/>
      <c r="S1134" s="6"/>
      <c r="T1134" s="7"/>
      <c r="U1134" s="6"/>
      <c r="V1134" s="7"/>
      <c r="W1134" s="6"/>
      <c r="X1134" s="7"/>
    </row>
    <row r="1135" spans="1:24" ht="25.5" x14ac:dyDescent="0.2">
      <c r="A1135" s="6"/>
      <c r="B1135" s="7"/>
      <c r="C1135" s="6"/>
      <c r="D1135" s="7"/>
      <c r="E1135" s="6"/>
      <c r="F1135" s="7"/>
      <c r="G1135" s="6"/>
      <c r="H1135" s="7"/>
      <c r="I1135" s="6"/>
      <c r="J1135" s="7"/>
      <c r="K1135" s="96" t="str">
        <f>HYPERLINK("#'Healthcare'!AQQ1","Q6.6.7_5")</f>
        <v>Q6.6.7_5</v>
      </c>
      <c r="L1135" s="93" t="str">
        <f>HYPERLINK("#'Healthcare'!AQQ2","Primary regional HMO medical plan: Out-of-pocket limit - cross apply")</f>
        <v>Primary regional HMO medical plan: Out-of-pocket limit - cross apply</v>
      </c>
      <c r="M1135" s="6"/>
      <c r="N1135" s="7"/>
      <c r="O1135" s="6"/>
      <c r="P1135" s="7"/>
      <c r="Q1135" s="6"/>
      <c r="R1135" s="7"/>
      <c r="S1135" s="6"/>
      <c r="T1135" s="7"/>
      <c r="U1135" s="6"/>
      <c r="V1135" s="7"/>
      <c r="W1135" s="6"/>
      <c r="X1135" s="7"/>
    </row>
    <row r="1136" spans="1:24" ht="25.5" x14ac:dyDescent="0.2">
      <c r="A1136" s="6"/>
      <c r="B1136" s="7"/>
      <c r="C1136" s="6"/>
      <c r="D1136" s="7"/>
      <c r="E1136" s="6"/>
      <c r="F1136" s="7"/>
      <c r="G1136" s="6"/>
      <c r="H1136" s="7"/>
      <c r="I1136" s="6"/>
      <c r="J1136" s="7"/>
      <c r="K1136" s="96" t="str">
        <f>HYPERLINK("#'Healthcare'!AQR1","Q6.6.7_6")</f>
        <v>Q6.6.7_6</v>
      </c>
      <c r="L1136" s="93" t="str">
        <f>HYPERLINK("#'Healthcare'!AQR2","Primary regional HMO medical plan: Out-of-pocket limit - aggregated")</f>
        <v>Primary regional HMO medical plan: Out-of-pocket limit - aggregated</v>
      </c>
      <c r="M1136" s="6"/>
      <c r="N1136" s="7"/>
      <c r="O1136" s="6"/>
      <c r="P1136" s="7"/>
      <c r="Q1136" s="6"/>
      <c r="R1136" s="7"/>
      <c r="S1136" s="6"/>
      <c r="T1136" s="7"/>
      <c r="U1136" s="6"/>
      <c r="V1136" s="7"/>
      <c r="W1136" s="6"/>
      <c r="X1136" s="7"/>
    </row>
    <row r="1137" spans="1:24" ht="25.5" x14ac:dyDescent="0.2">
      <c r="A1137" s="6"/>
      <c r="B1137" s="7"/>
      <c r="C1137" s="6"/>
      <c r="D1137" s="7"/>
      <c r="E1137" s="6"/>
      <c r="F1137" s="7"/>
      <c r="G1137" s="6"/>
      <c r="H1137" s="7"/>
      <c r="I1137" s="6"/>
      <c r="J1137" s="7"/>
      <c r="K1137" s="96" t="str">
        <f>HYPERLINK("#'Healthcare'!AQS1","Q6.6.8")</f>
        <v>Q6.6.8</v>
      </c>
      <c r="L1137" s="93" t="str">
        <f>HYPERLINK("#'Healthcare'!AQS2","Primary regional HMO medical plan: Expenses excluded from out-of-pocket limit")</f>
        <v>Primary regional HMO medical plan: Expenses excluded from out-of-pocket limit</v>
      </c>
      <c r="M1137" s="6"/>
      <c r="N1137" s="7"/>
      <c r="O1137" s="6"/>
      <c r="P1137" s="7"/>
      <c r="Q1137" s="6"/>
      <c r="R1137" s="7"/>
      <c r="S1137" s="6"/>
      <c r="T1137" s="7"/>
      <c r="U1137" s="6"/>
      <c r="V1137" s="7"/>
      <c r="W1137" s="6"/>
      <c r="X1137" s="7"/>
    </row>
    <row r="1138" spans="1:24" ht="38.25" x14ac:dyDescent="0.2">
      <c r="A1138" s="6"/>
      <c r="B1138" s="7"/>
      <c r="C1138" s="6"/>
      <c r="D1138" s="7"/>
      <c r="E1138" s="6"/>
      <c r="F1138" s="7"/>
      <c r="G1138" s="6"/>
      <c r="H1138" s="7"/>
      <c r="I1138" s="6"/>
      <c r="J1138" s="7"/>
      <c r="K1138" s="96" t="str">
        <f>HYPERLINK("#'Healthcare'!AQT1","Q6.6.9_1")</f>
        <v>Q6.6.9_1</v>
      </c>
      <c r="L1138" s="93" t="str">
        <f>HYPERLINK("#'Healthcare'!AQT2","Primary regional HMO medical plan: In-network overall deductible per person (preventive care-N/A)")</f>
        <v>Primary regional HMO medical plan: In-network overall deductible per person (preventive care-N/A)</v>
      </c>
      <c r="M1138" s="6"/>
      <c r="N1138" s="7"/>
      <c r="O1138" s="6"/>
      <c r="P1138" s="7"/>
      <c r="Q1138" s="6"/>
      <c r="R1138" s="7"/>
      <c r="S1138" s="6"/>
      <c r="T1138" s="7"/>
      <c r="U1138" s="6"/>
      <c r="V1138" s="7"/>
      <c r="W1138" s="6"/>
      <c r="X1138" s="7"/>
    </row>
    <row r="1139" spans="1:24" ht="38.25" x14ac:dyDescent="0.2">
      <c r="A1139" s="6"/>
      <c r="B1139" s="7"/>
      <c r="C1139" s="6"/>
      <c r="D1139" s="7"/>
      <c r="E1139" s="6"/>
      <c r="F1139" s="7"/>
      <c r="G1139" s="6"/>
      <c r="H1139" s="7"/>
      <c r="I1139" s="6"/>
      <c r="J1139" s="7"/>
      <c r="K1139" s="96" t="str">
        <f>HYPERLINK("#'Healthcare'!AQU1","Q6.6.9_2")</f>
        <v>Q6.6.9_2</v>
      </c>
      <c r="L1139" s="93" t="str">
        <f>HYPERLINK("#'Healthcare'!AQU2","Primary regional HMO medical plan: In-network overall deductible per family (preventive care-N/A)")</f>
        <v>Primary regional HMO medical plan: In-network overall deductible per family (preventive care-N/A)</v>
      </c>
      <c r="M1139" s="6"/>
      <c r="N1139" s="7"/>
      <c r="O1139" s="6"/>
      <c r="P1139" s="7"/>
      <c r="Q1139" s="6"/>
      <c r="R1139" s="7"/>
      <c r="S1139" s="6"/>
      <c r="T1139" s="7"/>
      <c r="U1139" s="6"/>
      <c r="V1139" s="7"/>
      <c r="W1139" s="6"/>
      <c r="X1139" s="7"/>
    </row>
    <row r="1140" spans="1:24" ht="38.25" x14ac:dyDescent="0.2">
      <c r="A1140" s="6"/>
      <c r="B1140" s="7"/>
      <c r="C1140" s="6"/>
      <c r="D1140" s="7"/>
      <c r="E1140" s="6"/>
      <c r="F1140" s="7"/>
      <c r="G1140" s="6"/>
      <c r="H1140" s="7"/>
      <c r="I1140" s="6"/>
      <c r="J1140" s="7"/>
      <c r="K1140" s="96" t="str">
        <f>HYPERLINK("#'Healthcare'!AQV1","Q6.6.9_3")</f>
        <v>Q6.6.9_3</v>
      </c>
      <c r="L1140" s="93" t="str">
        <f>HYPERLINK("#'Healthcare'!AQV2","Primary regional HMO medical plan: Out-of-network overall deductible per person (preventive care-N/A)")</f>
        <v>Primary regional HMO medical plan: Out-of-network overall deductible per person (preventive care-N/A)</v>
      </c>
      <c r="M1140" s="6"/>
      <c r="N1140" s="7"/>
      <c r="O1140" s="6"/>
      <c r="P1140" s="7"/>
      <c r="Q1140" s="6"/>
      <c r="R1140" s="7"/>
      <c r="S1140" s="6"/>
      <c r="T1140" s="7"/>
      <c r="U1140" s="6"/>
      <c r="V1140" s="7"/>
      <c r="W1140" s="6"/>
      <c r="X1140" s="7"/>
    </row>
    <row r="1141" spans="1:24" ht="38.25" x14ac:dyDescent="0.2">
      <c r="A1141" s="6"/>
      <c r="B1141" s="7"/>
      <c r="C1141" s="6"/>
      <c r="D1141" s="7"/>
      <c r="E1141" s="6"/>
      <c r="F1141" s="7"/>
      <c r="G1141" s="6"/>
      <c r="H1141" s="7"/>
      <c r="I1141" s="6"/>
      <c r="J1141" s="7"/>
      <c r="K1141" s="96" t="str">
        <f>HYPERLINK("#'Healthcare'!AQW1","Q6.6.9_4")</f>
        <v>Q6.6.9_4</v>
      </c>
      <c r="L1141" s="93" t="str">
        <f>HYPERLINK("#'Healthcare'!AQW2","Primary regional HMO medical plan: Out-of-network overall deductible per family (preventive care-N/A)")</f>
        <v>Primary regional HMO medical plan: Out-of-network overall deductible per family (preventive care-N/A)</v>
      </c>
      <c r="M1141" s="6"/>
      <c r="N1141" s="7"/>
      <c r="O1141" s="6"/>
      <c r="P1141" s="7"/>
      <c r="Q1141" s="6"/>
      <c r="R1141" s="7"/>
      <c r="S1141" s="6"/>
      <c r="T1141" s="7"/>
      <c r="U1141" s="6"/>
      <c r="V1141" s="7"/>
      <c r="W1141" s="6"/>
      <c r="X1141" s="7"/>
    </row>
    <row r="1142" spans="1:24" ht="38.25" x14ac:dyDescent="0.2">
      <c r="A1142" s="6"/>
      <c r="B1142" s="7"/>
      <c r="C1142" s="6"/>
      <c r="D1142" s="7"/>
      <c r="E1142" s="6"/>
      <c r="F1142" s="7"/>
      <c r="G1142" s="6"/>
      <c r="H1142" s="7"/>
      <c r="I1142" s="6"/>
      <c r="J1142" s="7"/>
      <c r="K1142" s="96" t="str">
        <f>HYPERLINK("#'Healthcare'!AQX1","Q6.6.10_1")</f>
        <v>Q6.6.10_1</v>
      </c>
      <c r="L1142" s="93" t="str">
        <f>HYPERLINK("#'Healthcare'!AQX2","Primary regional HMO medical plan in-network services with separate deductibles: Not applicable - no separate deductibles")</f>
        <v>Primary regional HMO medical plan in-network services with separate deductibles: Not applicable - no separate deductibles</v>
      </c>
      <c r="M1142" s="6"/>
      <c r="N1142" s="7"/>
      <c r="O1142" s="6"/>
      <c r="P1142" s="7"/>
      <c r="Q1142" s="6"/>
      <c r="R1142" s="7"/>
      <c r="S1142" s="6"/>
      <c r="T1142" s="7"/>
      <c r="U1142" s="6"/>
      <c r="V1142" s="7"/>
      <c r="W1142" s="6"/>
      <c r="X1142" s="7"/>
    </row>
    <row r="1143" spans="1:24" ht="38.25" x14ac:dyDescent="0.2">
      <c r="A1143" s="6"/>
      <c r="B1143" s="7"/>
      <c r="C1143" s="6"/>
      <c r="D1143" s="7"/>
      <c r="E1143" s="6"/>
      <c r="F1143" s="7"/>
      <c r="G1143" s="6"/>
      <c r="H1143" s="7"/>
      <c r="I1143" s="6"/>
      <c r="J1143" s="7"/>
      <c r="K1143" s="96" t="str">
        <f>HYPERLINK("#'Healthcare'!AQY1","Q6.6.10_2")</f>
        <v>Q6.6.10_2</v>
      </c>
      <c r="L1143" s="93" t="str">
        <f>HYPERLINK("#'Healthcare'!AQY2","Primary regional HMO medical plan in-network services with separate deductibles: Acupuncture")</f>
        <v>Primary regional HMO medical plan in-network services with separate deductibles: Acupuncture</v>
      </c>
      <c r="M1143" s="6"/>
      <c r="N1143" s="7"/>
      <c r="O1143" s="6"/>
      <c r="P1143" s="7"/>
      <c r="Q1143" s="6"/>
      <c r="R1143" s="7"/>
      <c r="S1143" s="6"/>
      <c r="T1143" s="7"/>
      <c r="U1143" s="6"/>
      <c r="V1143" s="7"/>
      <c r="W1143" s="6"/>
      <c r="X1143" s="7"/>
    </row>
    <row r="1144" spans="1:24" ht="38.25" x14ac:dyDescent="0.2">
      <c r="A1144" s="6"/>
      <c r="B1144" s="7"/>
      <c r="C1144" s="6"/>
      <c r="D1144" s="7"/>
      <c r="E1144" s="6"/>
      <c r="F1144" s="7"/>
      <c r="G1144" s="6"/>
      <c r="H1144" s="7"/>
      <c r="I1144" s="6"/>
      <c r="J1144" s="7"/>
      <c r="K1144" s="96" t="str">
        <f>HYPERLINK("#'Healthcare'!AQZ1","Q6.6.10_3")</f>
        <v>Q6.6.10_3</v>
      </c>
      <c r="L1144" s="93" t="str">
        <f>HYPERLINK("#'Healthcare'!AQZ2","Primary regional HMO medical plan in-network services with separate deductibles: Chiropractic")</f>
        <v>Primary regional HMO medical plan in-network services with separate deductibles: Chiropractic</v>
      </c>
      <c r="M1144" s="6"/>
      <c r="N1144" s="7"/>
      <c r="O1144" s="6"/>
      <c r="P1144" s="7"/>
      <c r="Q1144" s="6"/>
      <c r="R1144" s="7"/>
      <c r="S1144" s="6"/>
      <c r="T1144" s="7"/>
      <c r="U1144" s="6"/>
      <c r="V1144" s="7"/>
      <c r="W1144" s="6"/>
      <c r="X1144" s="7"/>
    </row>
    <row r="1145" spans="1:24" ht="38.25" x14ac:dyDescent="0.2">
      <c r="A1145" s="6"/>
      <c r="B1145" s="7"/>
      <c r="C1145" s="6"/>
      <c r="D1145" s="7"/>
      <c r="E1145" s="6"/>
      <c r="F1145" s="7"/>
      <c r="G1145" s="6"/>
      <c r="H1145" s="7"/>
      <c r="I1145" s="6"/>
      <c r="J1145" s="7"/>
      <c r="K1145" s="96" t="str">
        <f>HYPERLINK("#'Healthcare'!ARA1","Q6.6.10_4")</f>
        <v>Q6.6.10_4</v>
      </c>
      <c r="L1145" s="93" t="str">
        <f>HYPERLINK("#'Healthcare'!ARA2","Primary regional HMO medical plan in-network services with separate deductibles: Emergency room (true emergency)")</f>
        <v>Primary regional HMO medical plan in-network services with separate deductibles: Emergency room (true emergency)</v>
      </c>
      <c r="M1145" s="6"/>
      <c r="N1145" s="7"/>
      <c r="O1145" s="6"/>
      <c r="P1145" s="7"/>
      <c r="Q1145" s="6"/>
      <c r="R1145" s="7"/>
      <c r="S1145" s="6"/>
      <c r="T1145" s="7"/>
      <c r="U1145" s="6"/>
      <c r="V1145" s="7"/>
      <c r="W1145" s="6"/>
      <c r="X1145" s="7"/>
    </row>
    <row r="1146" spans="1:24" ht="38.25" x14ac:dyDescent="0.2">
      <c r="A1146" s="6"/>
      <c r="B1146" s="7"/>
      <c r="C1146" s="6"/>
      <c r="D1146" s="7"/>
      <c r="E1146" s="6"/>
      <c r="F1146" s="7"/>
      <c r="G1146" s="6"/>
      <c r="H1146" s="7"/>
      <c r="I1146" s="6"/>
      <c r="J1146" s="7"/>
      <c r="K1146" s="96" t="str">
        <f>HYPERLINK("#'Healthcare'!ARB1","Q6.6.10_5")</f>
        <v>Q6.6.10_5</v>
      </c>
      <c r="L1146" s="93" t="str">
        <f>HYPERLINK("#'Healthcare'!ARB2","Primary regional HMO medical plan in-network services with separate deductibles: Emergency room (non-emergency)")</f>
        <v>Primary regional HMO medical plan in-network services with separate deductibles: Emergency room (non-emergency)</v>
      </c>
      <c r="M1146" s="6"/>
      <c r="N1146" s="7"/>
      <c r="O1146" s="6"/>
      <c r="P1146" s="7"/>
      <c r="Q1146" s="6"/>
      <c r="R1146" s="7"/>
      <c r="S1146" s="6"/>
      <c r="T1146" s="7"/>
      <c r="U1146" s="6"/>
      <c r="V1146" s="7"/>
      <c r="W1146" s="6"/>
      <c r="X1146" s="7"/>
    </row>
    <row r="1147" spans="1:24" ht="38.25" x14ac:dyDescent="0.2">
      <c r="A1147" s="6"/>
      <c r="B1147" s="7"/>
      <c r="C1147" s="6"/>
      <c r="D1147" s="7"/>
      <c r="E1147" s="6"/>
      <c r="F1147" s="7"/>
      <c r="G1147" s="6"/>
      <c r="H1147" s="7"/>
      <c r="I1147" s="6"/>
      <c r="J1147" s="7"/>
      <c r="K1147" s="96" t="str">
        <f>HYPERLINK("#'Healthcare'!ARC1","Q6.6.10_6")</f>
        <v>Q6.6.10_6</v>
      </c>
      <c r="L1147" s="93" t="str">
        <f>HYPERLINK("#'Healthcare'!ARC2","Primary regional HMO medical plan in-network services with separate deductibles: Emergency room (with hospital admittance)")</f>
        <v>Primary regional HMO medical plan in-network services with separate deductibles: Emergency room (with hospital admittance)</v>
      </c>
      <c r="M1147" s="6"/>
      <c r="N1147" s="7"/>
      <c r="O1147" s="6"/>
      <c r="P1147" s="7"/>
      <c r="Q1147" s="6"/>
      <c r="R1147" s="7"/>
      <c r="S1147" s="6"/>
      <c r="T1147" s="7"/>
      <c r="U1147" s="6"/>
      <c r="V1147" s="7"/>
      <c r="W1147" s="6"/>
      <c r="X1147" s="7"/>
    </row>
    <row r="1148" spans="1:24" ht="38.25" x14ac:dyDescent="0.2">
      <c r="A1148" s="6"/>
      <c r="B1148" s="7"/>
      <c r="C1148" s="6"/>
      <c r="D1148" s="7"/>
      <c r="E1148" s="6"/>
      <c r="F1148" s="7"/>
      <c r="G1148" s="6"/>
      <c r="H1148" s="7"/>
      <c r="I1148" s="6"/>
      <c r="J1148" s="7"/>
      <c r="K1148" s="96" t="str">
        <f>HYPERLINK("#'Healthcare'!ARD1","Q6.6.10_7")</f>
        <v>Q6.6.10_7</v>
      </c>
      <c r="L1148" s="93" t="str">
        <f>HYPERLINK("#'Healthcare'!ARD2","Primary regional HMO medical plan in-network services with separate deductibles: Inpatient hospital")</f>
        <v>Primary regional HMO medical plan in-network services with separate deductibles: Inpatient hospital</v>
      </c>
      <c r="M1148" s="6"/>
      <c r="N1148" s="7"/>
      <c r="O1148" s="6"/>
      <c r="P1148" s="7"/>
      <c r="Q1148" s="6"/>
      <c r="R1148" s="7"/>
      <c r="S1148" s="6"/>
      <c r="T1148" s="7"/>
      <c r="U1148" s="6"/>
      <c r="V1148" s="7"/>
      <c r="W1148" s="6"/>
      <c r="X1148" s="7"/>
    </row>
    <row r="1149" spans="1:24" ht="38.25" x14ac:dyDescent="0.2">
      <c r="A1149" s="6"/>
      <c r="B1149" s="7"/>
      <c r="C1149" s="6"/>
      <c r="D1149" s="7"/>
      <c r="E1149" s="6"/>
      <c r="F1149" s="7"/>
      <c r="G1149" s="6"/>
      <c r="H1149" s="7"/>
      <c r="I1149" s="6"/>
      <c r="J1149" s="7"/>
      <c r="K1149" s="96" t="str">
        <f>HYPERLINK("#'Healthcare'!ARE1","Q6.6.10_8")</f>
        <v>Q6.6.10_8</v>
      </c>
      <c r="L1149" s="93" t="str">
        <f>HYPERLINK("#'Healthcare'!ARE2","Primary regional HMO medical plan in-network services with separate deductibles: Mental health/substance abuse")</f>
        <v>Primary regional HMO medical plan in-network services with separate deductibles: Mental health/substance abuse</v>
      </c>
      <c r="M1149" s="6"/>
      <c r="N1149" s="7"/>
      <c r="O1149" s="6"/>
      <c r="P1149" s="7"/>
      <c r="Q1149" s="6"/>
      <c r="R1149" s="7"/>
      <c r="S1149" s="6"/>
      <c r="T1149" s="7"/>
      <c r="U1149" s="6"/>
      <c r="V1149" s="7"/>
      <c r="W1149" s="6"/>
      <c r="X1149" s="7"/>
    </row>
    <row r="1150" spans="1:24" ht="38.25" x14ac:dyDescent="0.2">
      <c r="A1150" s="6"/>
      <c r="B1150" s="7"/>
      <c r="C1150" s="6"/>
      <c r="D1150" s="7"/>
      <c r="E1150" s="6"/>
      <c r="F1150" s="7"/>
      <c r="G1150" s="6"/>
      <c r="H1150" s="7"/>
      <c r="I1150" s="6"/>
      <c r="J1150" s="7"/>
      <c r="K1150" s="96" t="str">
        <f>HYPERLINK("#'Healthcare'!ARF1","Q6.6.10_9")</f>
        <v>Q6.6.10_9</v>
      </c>
      <c r="L1150" s="93" t="str">
        <f>HYPERLINK("#'Healthcare'!ARF2","Primary regional HMO medical plan in-network services with separate deductibles: Outpatient surgical center")</f>
        <v>Primary regional HMO medical plan in-network services with separate deductibles: Outpatient surgical center</v>
      </c>
      <c r="M1150" s="6"/>
      <c r="N1150" s="7"/>
      <c r="O1150" s="6"/>
      <c r="P1150" s="7"/>
      <c r="Q1150" s="6"/>
      <c r="R1150" s="7"/>
      <c r="S1150" s="6"/>
      <c r="T1150" s="7"/>
      <c r="U1150" s="6"/>
      <c r="V1150" s="7"/>
      <c r="W1150" s="6"/>
      <c r="X1150" s="7"/>
    </row>
    <row r="1151" spans="1:24" ht="38.25" x14ac:dyDescent="0.2">
      <c r="A1151" s="6"/>
      <c r="B1151" s="7"/>
      <c r="C1151" s="6"/>
      <c r="D1151" s="7"/>
      <c r="E1151" s="6"/>
      <c r="F1151" s="7"/>
      <c r="G1151" s="6"/>
      <c r="H1151" s="7"/>
      <c r="I1151" s="6"/>
      <c r="J1151" s="7"/>
      <c r="K1151" s="96" t="str">
        <f>HYPERLINK("#'Healthcare'!ARG1","Q6.6.10_10")</f>
        <v>Q6.6.10_10</v>
      </c>
      <c r="L1151" s="93" t="str">
        <f>HYPERLINK("#'Healthcare'!ARG2","Primary regional HMO medical plan in-network services with separate deductibles: Prescription drugs (preventive)")</f>
        <v>Primary regional HMO medical plan in-network services with separate deductibles: Prescription drugs (preventive)</v>
      </c>
      <c r="M1151" s="6"/>
      <c r="N1151" s="7"/>
      <c r="O1151" s="6"/>
      <c r="P1151" s="7"/>
      <c r="Q1151" s="6"/>
      <c r="R1151" s="7"/>
      <c r="S1151" s="6"/>
      <c r="T1151" s="7"/>
      <c r="U1151" s="6"/>
      <c r="V1151" s="7"/>
      <c r="W1151" s="6"/>
      <c r="X1151" s="7"/>
    </row>
    <row r="1152" spans="1:24" ht="38.25" x14ac:dyDescent="0.2">
      <c r="A1152" s="6"/>
      <c r="B1152" s="7"/>
      <c r="C1152" s="6"/>
      <c r="D1152" s="7"/>
      <c r="E1152" s="6"/>
      <c r="F1152" s="7"/>
      <c r="G1152" s="6"/>
      <c r="H1152" s="7"/>
      <c r="I1152" s="6"/>
      <c r="J1152" s="7"/>
      <c r="K1152" s="96" t="str">
        <f>HYPERLINK("#'Healthcare'!ARH1","Q6.6.10_11")</f>
        <v>Q6.6.10_11</v>
      </c>
      <c r="L1152" s="93" t="str">
        <f>HYPERLINK("#'Healthcare'!ARH2","Primary regional HMO medical plan in-network services with separate deductibles: Prescription drugs (non-preventive)")</f>
        <v>Primary regional HMO medical plan in-network services with separate deductibles: Prescription drugs (non-preventive)</v>
      </c>
      <c r="M1152" s="6"/>
      <c r="N1152" s="7"/>
      <c r="O1152" s="6"/>
      <c r="P1152" s="7"/>
      <c r="Q1152" s="6"/>
      <c r="R1152" s="7"/>
      <c r="S1152" s="6"/>
      <c r="T1152" s="7"/>
      <c r="U1152" s="6"/>
      <c r="V1152" s="7"/>
      <c r="W1152" s="6"/>
      <c r="X1152" s="7"/>
    </row>
    <row r="1153" spans="1:24" ht="38.25" x14ac:dyDescent="0.2">
      <c r="A1153" s="6"/>
      <c r="B1153" s="7"/>
      <c r="C1153" s="6"/>
      <c r="D1153" s="7"/>
      <c r="E1153" s="6"/>
      <c r="F1153" s="7"/>
      <c r="G1153" s="6"/>
      <c r="H1153" s="7"/>
      <c r="I1153" s="6"/>
      <c r="J1153" s="7"/>
      <c r="K1153" s="96" t="str">
        <f>HYPERLINK("#'Healthcare'!ARI1","Q6.6.10_12")</f>
        <v>Q6.6.10_12</v>
      </c>
      <c r="L1153" s="93" t="str">
        <f>HYPERLINK("#'Healthcare'!ARI2","Primary regional HMO medical plan in-network services with separate deductibles: Therapies (e.g., speech, PT, OT)")</f>
        <v>Primary regional HMO medical plan in-network services with separate deductibles: Therapies (e.g., speech, PT, OT)</v>
      </c>
      <c r="M1153" s="6"/>
      <c r="N1153" s="7"/>
      <c r="O1153" s="6"/>
      <c r="P1153" s="7"/>
      <c r="Q1153" s="6"/>
      <c r="R1153" s="7"/>
      <c r="S1153" s="6"/>
      <c r="T1153" s="7"/>
      <c r="U1153" s="6"/>
      <c r="V1153" s="7"/>
      <c r="W1153" s="6"/>
      <c r="X1153" s="7"/>
    </row>
    <row r="1154" spans="1:24" ht="25.5" x14ac:dyDescent="0.2">
      <c r="A1154" s="6"/>
      <c r="B1154" s="7"/>
      <c r="C1154" s="6"/>
      <c r="D1154" s="7"/>
      <c r="E1154" s="6"/>
      <c r="F1154" s="7"/>
      <c r="G1154" s="6"/>
      <c r="H1154" s="7"/>
      <c r="I1154" s="6"/>
      <c r="J1154" s="7"/>
      <c r="K1154" s="96" t="str">
        <f>HYPERLINK("#'Healthcare'!ARJ1","Q6.6.10_13")</f>
        <v>Q6.6.10_13</v>
      </c>
      <c r="L1154" s="93" t="str">
        <f>HYPERLINK("#'Healthcare'!ARJ2","Primary regional HMO medical plan in-network services with separate deductibles: Other")</f>
        <v>Primary regional HMO medical plan in-network services with separate deductibles: Other</v>
      </c>
      <c r="M1154" s="6"/>
      <c r="N1154" s="7"/>
      <c r="O1154" s="6"/>
      <c r="P1154" s="7"/>
      <c r="Q1154" s="6"/>
      <c r="R1154" s="7"/>
      <c r="S1154" s="6"/>
      <c r="T1154" s="7"/>
      <c r="U1154" s="6"/>
      <c r="V1154" s="7"/>
      <c r="W1154" s="6"/>
      <c r="X1154" s="7"/>
    </row>
    <row r="1155" spans="1:24" ht="38.25" x14ac:dyDescent="0.2">
      <c r="A1155" s="6"/>
      <c r="B1155" s="7"/>
      <c r="C1155" s="6"/>
      <c r="D1155" s="7"/>
      <c r="E1155" s="6"/>
      <c r="F1155" s="7"/>
      <c r="G1155" s="6"/>
      <c r="H1155" s="7"/>
      <c r="I1155" s="6"/>
      <c r="J1155" s="7"/>
      <c r="K1155" s="96" t="str">
        <f>HYPERLINK("#'Healthcare'!ARK1","Q6.6.11_1")</f>
        <v>Q6.6.11_1</v>
      </c>
      <c r="L1155" s="93" t="str">
        <f>HYPERLINK("#'Healthcare'!ARK2","Primary regional HMO medical plan out-of-network services with separate deductibles: Not applicable - no separate deductibles")</f>
        <v>Primary regional HMO medical plan out-of-network services with separate deductibles: Not applicable - no separate deductibles</v>
      </c>
      <c r="M1155" s="6"/>
      <c r="N1155" s="7"/>
      <c r="O1155" s="6"/>
      <c r="P1155" s="7"/>
      <c r="Q1155" s="6"/>
      <c r="R1155" s="7"/>
      <c r="S1155" s="6"/>
      <c r="T1155" s="7"/>
      <c r="U1155" s="6"/>
      <c r="V1155" s="7"/>
      <c r="W1155" s="6"/>
      <c r="X1155" s="7"/>
    </row>
    <row r="1156" spans="1:24" ht="38.25" x14ac:dyDescent="0.2">
      <c r="A1156" s="6"/>
      <c r="B1156" s="7"/>
      <c r="C1156" s="6"/>
      <c r="D1156" s="7"/>
      <c r="E1156" s="6"/>
      <c r="F1156" s="7"/>
      <c r="G1156" s="6"/>
      <c r="H1156" s="7"/>
      <c r="I1156" s="6"/>
      <c r="J1156" s="7"/>
      <c r="K1156" s="96" t="str">
        <f>HYPERLINK("#'Healthcare'!ARL1","Q6.6.11_2")</f>
        <v>Q6.6.11_2</v>
      </c>
      <c r="L1156" s="93" t="str">
        <f>HYPERLINK("#'Healthcare'!ARL2","Primary regional HMO medical plan out-of-network services with separate deductibles: Acupuncture")</f>
        <v>Primary regional HMO medical plan out-of-network services with separate deductibles: Acupuncture</v>
      </c>
      <c r="M1156" s="6"/>
      <c r="N1156" s="7"/>
      <c r="O1156" s="6"/>
      <c r="P1156" s="7"/>
      <c r="Q1156" s="6"/>
      <c r="R1156" s="7"/>
      <c r="S1156" s="6"/>
      <c r="T1156" s="7"/>
      <c r="U1156" s="6"/>
      <c r="V1156" s="7"/>
      <c r="W1156" s="6"/>
      <c r="X1156" s="7"/>
    </row>
    <row r="1157" spans="1:24" ht="38.25" x14ac:dyDescent="0.2">
      <c r="A1157" s="6"/>
      <c r="B1157" s="7"/>
      <c r="C1157" s="6"/>
      <c r="D1157" s="7"/>
      <c r="E1157" s="6"/>
      <c r="F1157" s="7"/>
      <c r="G1157" s="6"/>
      <c r="H1157" s="7"/>
      <c r="I1157" s="6"/>
      <c r="J1157" s="7"/>
      <c r="K1157" s="96" t="str">
        <f>HYPERLINK("#'Healthcare'!ARM1","Q6.6.11_3")</f>
        <v>Q6.6.11_3</v>
      </c>
      <c r="L1157" s="93" t="str">
        <f>HYPERLINK("#'Healthcare'!ARM2","Primary regional HMO medical plan out-of-network services with separate deductibles: Chiropractic")</f>
        <v>Primary regional HMO medical plan out-of-network services with separate deductibles: Chiropractic</v>
      </c>
      <c r="M1157" s="6"/>
      <c r="N1157" s="7"/>
      <c r="O1157" s="6"/>
      <c r="P1157" s="7"/>
      <c r="Q1157" s="6"/>
      <c r="R1157" s="7"/>
      <c r="S1157" s="6"/>
      <c r="T1157" s="7"/>
      <c r="U1157" s="6"/>
      <c r="V1157" s="7"/>
      <c r="W1157" s="6"/>
      <c r="X1157" s="7"/>
    </row>
    <row r="1158" spans="1:24" ht="38.25" x14ac:dyDescent="0.2">
      <c r="A1158" s="6"/>
      <c r="B1158" s="7"/>
      <c r="C1158" s="6"/>
      <c r="D1158" s="7"/>
      <c r="E1158" s="6"/>
      <c r="F1158" s="7"/>
      <c r="G1158" s="6"/>
      <c r="H1158" s="7"/>
      <c r="I1158" s="6"/>
      <c r="J1158" s="7"/>
      <c r="K1158" s="96" t="str">
        <f>HYPERLINK("#'Healthcare'!ARN1","Q6.6.11_4")</f>
        <v>Q6.6.11_4</v>
      </c>
      <c r="L1158" s="93" t="str">
        <f>HYPERLINK("#'Healthcare'!ARN2","Primary regional HMO medical plan out-of-network services with separate deductibles: Emergency room (true emergency)")</f>
        <v>Primary regional HMO medical plan out-of-network services with separate deductibles: Emergency room (true emergency)</v>
      </c>
      <c r="M1158" s="6"/>
      <c r="N1158" s="7"/>
      <c r="O1158" s="6"/>
      <c r="P1158" s="7"/>
      <c r="Q1158" s="6"/>
      <c r="R1158" s="7"/>
      <c r="S1158" s="6"/>
      <c r="T1158" s="7"/>
      <c r="U1158" s="6"/>
      <c r="V1158" s="7"/>
      <c r="W1158" s="6"/>
      <c r="X1158" s="7"/>
    </row>
    <row r="1159" spans="1:24" ht="38.25" x14ac:dyDescent="0.2">
      <c r="A1159" s="6"/>
      <c r="B1159" s="7"/>
      <c r="C1159" s="6"/>
      <c r="D1159" s="7"/>
      <c r="E1159" s="6"/>
      <c r="F1159" s="7"/>
      <c r="G1159" s="6"/>
      <c r="H1159" s="7"/>
      <c r="I1159" s="6"/>
      <c r="J1159" s="7"/>
      <c r="K1159" s="96" t="str">
        <f>HYPERLINK("#'Healthcare'!ARO1","Q6.6.11_5")</f>
        <v>Q6.6.11_5</v>
      </c>
      <c r="L1159" s="93" t="str">
        <f>HYPERLINK("#'Healthcare'!ARO2","Primary regional HMO medical plan out-of-network services with separate deductibles: Emergency room (non-emergency)")</f>
        <v>Primary regional HMO medical plan out-of-network services with separate deductibles: Emergency room (non-emergency)</v>
      </c>
      <c r="M1159" s="6"/>
      <c r="N1159" s="7"/>
      <c r="O1159" s="6"/>
      <c r="P1159" s="7"/>
      <c r="Q1159" s="6"/>
      <c r="R1159" s="7"/>
      <c r="S1159" s="6"/>
      <c r="T1159" s="7"/>
      <c r="U1159" s="6"/>
      <c r="V1159" s="7"/>
      <c r="W1159" s="6"/>
      <c r="X1159" s="7"/>
    </row>
    <row r="1160" spans="1:24" ht="38.25" x14ac:dyDescent="0.2">
      <c r="A1160" s="6"/>
      <c r="B1160" s="7"/>
      <c r="C1160" s="6"/>
      <c r="D1160" s="7"/>
      <c r="E1160" s="6"/>
      <c r="F1160" s="7"/>
      <c r="G1160" s="6"/>
      <c r="H1160" s="7"/>
      <c r="I1160" s="6"/>
      <c r="J1160" s="7"/>
      <c r="K1160" s="96" t="str">
        <f>HYPERLINK("#'Healthcare'!ARP1","Q6.6.11_6")</f>
        <v>Q6.6.11_6</v>
      </c>
      <c r="L1160" s="93" t="str">
        <f>HYPERLINK("#'Healthcare'!ARP2","Primary regional HMO medical plan out-of-network services with separate deductibles: Emergency room (with hospital admittance)")</f>
        <v>Primary regional HMO medical plan out-of-network services with separate deductibles: Emergency room (with hospital admittance)</v>
      </c>
      <c r="M1160" s="6"/>
      <c r="N1160" s="7"/>
      <c r="O1160" s="6"/>
      <c r="P1160" s="7"/>
      <c r="Q1160" s="6"/>
      <c r="R1160" s="7"/>
      <c r="S1160" s="6"/>
      <c r="T1160" s="7"/>
      <c r="U1160" s="6"/>
      <c r="V1160" s="7"/>
      <c r="W1160" s="6"/>
      <c r="X1160" s="7"/>
    </row>
    <row r="1161" spans="1:24" ht="38.25" x14ac:dyDescent="0.2">
      <c r="A1161" s="6"/>
      <c r="B1161" s="7"/>
      <c r="C1161" s="6"/>
      <c r="D1161" s="7"/>
      <c r="E1161" s="6"/>
      <c r="F1161" s="7"/>
      <c r="G1161" s="6"/>
      <c r="H1161" s="7"/>
      <c r="I1161" s="6"/>
      <c r="J1161" s="7"/>
      <c r="K1161" s="96" t="str">
        <f>HYPERLINK("#'Healthcare'!ARQ1","Q6.6.11_7")</f>
        <v>Q6.6.11_7</v>
      </c>
      <c r="L1161" s="93" t="str">
        <f>HYPERLINK("#'Healthcare'!ARQ2","Primary regional HMO medical plan out-of-network services with separate deductibles: Inpatient hospital")</f>
        <v>Primary regional HMO medical plan out-of-network services with separate deductibles: Inpatient hospital</v>
      </c>
      <c r="M1161" s="6"/>
      <c r="N1161" s="7"/>
      <c r="O1161" s="6"/>
      <c r="P1161" s="7"/>
      <c r="Q1161" s="6"/>
      <c r="R1161" s="7"/>
      <c r="S1161" s="6"/>
      <c r="T1161" s="7"/>
      <c r="U1161" s="6"/>
      <c r="V1161" s="7"/>
      <c r="W1161" s="6"/>
      <c r="X1161" s="7"/>
    </row>
    <row r="1162" spans="1:24" ht="38.25" x14ac:dyDescent="0.2">
      <c r="A1162" s="6"/>
      <c r="B1162" s="7"/>
      <c r="C1162" s="6"/>
      <c r="D1162" s="7"/>
      <c r="E1162" s="6"/>
      <c r="F1162" s="7"/>
      <c r="G1162" s="6"/>
      <c r="H1162" s="7"/>
      <c r="I1162" s="6"/>
      <c r="J1162" s="7"/>
      <c r="K1162" s="96" t="str">
        <f>HYPERLINK("#'Healthcare'!ARR1","Q6.6.11_8")</f>
        <v>Q6.6.11_8</v>
      </c>
      <c r="L1162" s="93" t="str">
        <f>HYPERLINK("#'Healthcare'!ARR2","Primary regional HMO medical plan out-of-network services with separate deductibles: Mental health/substance abuse")</f>
        <v>Primary regional HMO medical plan out-of-network services with separate deductibles: Mental health/substance abuse</v>
      </c>
      <c r="M1162" s="6"/>
      <c r="N1162" s="7"/>
      <c r="O1162" s="6"/>
      <c r="P1162" s="7"/>
      <c r="Q1162" s="6"/>
      <c r="R1162" s="7"/>
      <c r="S1162" s="6"/>
      <c r="T1162" s="7"/>
      <c r="U1162" s="6"/>
      <c r="V1162" s="7"/>
      <c r="W1162" s="6"/>
      <c r="X1162" s="7"/>
    </row>
    <row r="1163" spans="1:24" ht="38.25" x14ac:dyDescent="0.2">
      <c r="A1163" s="6"/>
      <c r="B1163" s="7"/>
      <c r="C1163" s="6"/>
      <c r="D1163" s="7"/>
      <c r="E1163" s="6"/>
      <c r="F1163" s="7"/>
      <c r="G1163" s="6"/>
      <c r="H1163" s="7"/>
      <c r="I1163" s="6"/>
      <c r="J1163" s="7"/>
      <c r="K1163" s="96" t="str">
        <f>HYPERLINK("#'Healthcare'!ARS1","Q6.6.11_9")</f>
        <v>Q6.6.11_9</v>
      </c>
      <c r="L1163" s="93" t="str">
        <f>HYPERLINK("#'Healthcare'!ARS2","Primary regional HMO medical plan out-of-network services with separate deductibles: Outpatient surgical center")</f>
        <v>Primary regional HMO medical plan out-of-network services with separate deductibles: Outpatient surgical center</v>
      </c>
      <c r="M1163" s="6"/>
      <c r="N1163" s="7"/>
      <c r="O1163" s="6"/>
      <c r="P1163" s="7"/>
      <c r="Q1163" s="6"/>
      <c r="R1163" s="7"/>
      <c r="S1163" s="6"/>
      <c r="T1163" s="7"/>
      <c r="U1163" s="6"/>
      <c r="V1163" s="7"/>
      <c r="W1163" s="6"/>
      <c r="X1163" s="7"/>
    </row>
    <row r="1164" spans="1:24" ht="38.25" x14ac:dyDescent="0.2">
      <c r="A1164" s="6"/>
      <c r="B1164" s="7"/>
      <c r="C1164" s="6"/>
      <c r="D1164" s="7"/>
      <c r="E1164" s="6"/>
      <c r="F1164" s="7"/>
      <c r="G1164" s="6"/>
      <c r="H1164" s="7"/>
      <c r="I1164" s="6"/>
      <c r="J1164" s="7"/>
      <c r="K1164" s="96" t="str">
        <f>HYPERLINK("#'Healthcare'!ART1","Q6.6.11_10")</f>
        <v>Q6.6.11_10</v>
      </c>
      <c r="L1164" s="93" t="str">
        <f>HYPERLINK("#'Healthcare'!ART2","Primary regional HMO medical plan out-of-network services with separate deductibles: Prescription drugs (preventive)")</f>
        <v>Primary regional HMO medical plan out-of-network services with separate deductibles: Prescription drugs (preventive)</v>
      </c>
      <c r="M1164" s="6"/>
      <c r="N1164" s="7"/>
      <c r="O1164" s="6"/>
      <c r="P1164" s="7"/>
      <c r="Q1164" s="6"/>
      <c r="R1164" s="7"/>
      <c r="S1164" s="6"/>
      <c r="T1164" s="7"/>
      <c r="U1164" s="6"/>
      <c r="V1164" s="7"/>
      <c r="W1164" s="6"/>
      <c r="X1164" s="7"/>
    </row>
    <row r="1165" spans="1:24" ht="38.25" x14ac:dyDescent="0.2">
      <c r="A1165" s="6"/>
      <c r="B1165" s="7"/>
      <c r="C1165" s="6"/>
      <c r="D1165" s="7"/>
      <c r="E1165" s="6"/>
      <c r="F1165" s="7"/>
      <c r="G1165" s="6"/>
      <c r="H1165" s="7"/>
      <c r="I1165" s="6"/>
      <c r="J1165" s="7"/>
      <c r="K1165" s="96" t="str">
        <f>HYPERLINK("#'Healthcare'!ARU1","Q6.6.11_11")</f>
        <v>Q6.6.11_11</v>
      </c>
      <c r="L1165" s="93" t="str">
        <f>HYPERLINK("#'Healthcare'!ARU2","Primary regional HMO medical plan out-of-network services with separate deductibles: Prescription drugs (non-preventive)")</f>
        <v>Primary regional HMO medical plan out-of-network services with separate deductibles: Prescription drugs (non-preventive)</v>
      </c>
      <c r="M1165" s="6"/>
      <c r="N1165" s="7"/>
      <c r="O1165" s="6"/>
      <c r="P1165" s="7"/>
      <c r="Q1165" s="6"/>
      <c r="R1165" s="7"/>
      <c r="S1165" s="6"/>
      <c r="T1165" s="7"/>
      <c r="U1165" s="6"/>
      <c r="V1165" s="7"/>
      <c r="W1165" s="6"/>
      <c r="X1165" s="7"/>
    </row>
    <row r="1166" spans="1:24" ht="38.25" x14ac:dyDescent="0.2">
      <c r="A1166" s="6"/>
      <c r="B1166" s="7"/>
      <c r="C1166" s="6"/>
      <c r="D1166" s="7"/>
      <c r="E1166" s="6"/>
      <c r="F1166" s="7"/>
      <c r="G1166" s="6"/>
      <c r="H1166" s="7"/>
      <c r="I1166" s="6"/>
      <c r="J1166" s="7"/>
      <c r="K1166" s="96" t="str">
        <f>HYPERLINK("#'Healthcare'!ARV1","Q6.6.11_12")</f>
        <v>Q6.6.11_12</v>
      </c>
      <c r="L1166" s="93" t="str">
        <f>HYPERLINK("#'Healthcare'!ARV2","Primary regional HMO medical plan out-of-network services with separate deductibles: Therapies (e.g., speech, PT, OT)")</f>
        <v>Primary regional HMO medical plan out-of-network services with separate deductibles: Therapies (e.g., speech, PT, OT)</v>
      </c>
      <c r="M1166" s="6"/>
      <c r="N1166" s="7"/>
      <c r="O1166" s="6"/>
      <c r="P1166" s="7"/>
      <c r="Q1166" s="6"/>
      <c r="R1166" s="7"/>
      <c r="S1166" s="6"/>
      <c r="T1166" s="7"/>
      <c r="U1166" s="6"/>
      <c r="V1166" s="7"/>
      <c r="W1166" s="6"/>
      <c r="X1166" s="7"/>
    </row>
    <row r="1167" spans="1:24" ht="38.25" x14ac:dyDescent="0.2">
      <c r="A1167" s="6"/>
      <c r="B1167" s="7"/>
      <c r="C1167" s="6"/>
      <c r="D1167" s="7"/>
      <c r="E1167" s="6"/>
      <c r="F1167" s="7"/>
      <c r="G1167" s="6"/>
      <c r="H1167" s="7"/>
      <c r="I1167" s="6"/>
      <c r="J1167" s="7"/>
      <c r="K1167" s="96" t="str">
        <f>HYPERLINK("#'Healthcare'!ARW1","Q6.6.11_13")</f>
        <v>Q6.6.11_13</v>
      </c>
      <c r="L1167" s="93" t="str">
        <f>HYPERLINK("#'Healthcare'!ARW2","Primary regional HMO medical plan out-of-network services with separate deductibles: Other")</f>
        <v>Primary regional HMO medical plan out-of-network services with separate deductibles: Other</v>
      </c>
      <c r="M1167" s="6"/>
      <c r="N1167" s="7"/>
      <c r="O1167" s="6"/>
      <c r="P1167" s="7"/>
      <c r="Q1167" s="6"/>
      <c r="R1167" s="7"/>
      <c r="S1167" s="6"/>
      <c r="T1167" s="7"/>
      <c r="U1167" s="6"/>
      <c r="V1167" s="7"/>
      <c r="W1167" s="6"/>
      <c r="X1167" s="7"/>
    </row>
    <row r="1168" spans="1:24" ht="38.25" x14ac:dyDescent="0.2">
      <c r="A1168" s="6"/>
      <c r="B1168" s="7"/>
      <c r="C1168" s="6"/>
      <c r="D1168" s="7"/>
      <c r="E1168" s="6"/>
      <c r="F1168" s="7"/>
      <c r="G1168" s="6"/>
      <c r="H1168" s="7"/>
      <c r="I1168" s="6"/>
      <c r="J1168" s="7"/>
      <c r="K1168" s="96" t="str">
        <f>HYPERLINK("#'Healthcare'!ARX1","Q6.6.12_1")</f>
        <v>Q6.6.12_1</v>
      </c>
      <c r="L1168" s="93" t="str">
        <f>HYPERLINK("#'Healthcare'!ARX2","Primary regional HMO medical plan in-network deductible per person: Not applicable - no separate deductibles")</f>
        <v>Primary regional HMO medical plan in-network deductible per person: Not applicable - no separate deductibles</v>
      </c>
      <c r="M1168" s="6"/>
      <c r="N1168" s="7"/>
      <c r="O1168" s="6"/>
      <c r="P1168" s="7"/>
      <c r="Q1168" s="6"/>
      <c r="R1168" s="7"/>
      <c r="S1168" s="6"/>
      <c r="T1168" s="7"/>
      <c r="U1168" s="6"/>
      <c r="V1168" s="7"/>
      <c r="W1168" s="6"/>
      <c r="X1168" s="7"/>
    </row>
    <row r="1169" spans="1:24" ht="25.5" x14ac:dyDescent="0.2">
      <c r="A1169" s="6"/>
      <c r="B1169" s="7"/>
      <c r="C1169" s="6"/>
      <c r="D1169" s="7"/>
      <c r="E1169" s="6"/>
      <c r="F1169" s="7"/>
      <c r="G1169" s="6"/>
      <c r="H1169" s="7"/>
      <c r="I1169" s="6"/>
      <c r="J1169" s="7"/>
      <c r="K1169" s="96" t="str">
        <f>HYPERLINK("#'Healthcare'!ARY1","Q6.6.12_5")</f>
        <v>Q6.6.12_5</v>
      </c>
      <c r="L1169" s="93" t="str">
        <f>HYPERLINK("#'Healthcare'!ARY2","Primary regional HMO medical plan in-network deductible per person: Acupuncture")</f>
        <v>Primary regional HMO medical plan in-network deductible per person: Acupuncture</v>
      </c>
      <c r="M1169" s="6"/>
      <c r="N1169" s="7"/>
      <c r="O1169" s="6"/>
      <c r="P1169" s="7"/>
      <c r="Q1169" s="6"/>
      <c r="R1169" s="7"/>
      <c r="S1169" s="6"/>
      <c r="T1169" s="7"/>
      <c r="U1169" s="6"/>
      <c r="V1169" s="7"/>
      <c r="W1169" s="6"/>
      <c r="X1169" s="7"/>
    </row>
    <row r="1170" spans="1:24" ht="25.5" x14ac:dyDescent="0.2">
      <c r="A1170" s="6"/>
      <c r="B1170" s="7"/>
      <c r="C1170" s="6"/>
      <c r="D1170" s="7"/>
      <c r="E1170" s="6"/>
      <c r="F1170" s="7"/>
      <c r="G1170" s="6"/>
      <c r="H1170" s="7"/>
      <c r="I1170" s="6"/>
      <c r="J1170" s="7"/>
      <c r="K1170" s="96" t="str">
        <f>HYPERLINK("#'Healthcare'!ARZ1","Q6.6.12_6")</f>
        <v>Q6.6.12_6</v>
      </c>
      <c r="L1170" s="93" t="str">
        <f>HYPERLINK("#'Healthcare'!ARZ2","Primary regional HMO medical plan in-network deductible per person: Chiropractic")</f>
        <v>Primary regional HMO medical plan in-network deductible per person: Chiropractic</v>
      </c>
      <c r="M1170" s="6"/>
      <c r="N1170" s="7"/>
      <c r="O1170" s="6"/>
      <c r="P1170" s="7"/>
      <c r="Q1170" s="6"/>
      <c r="R1170" s="7"/>
      <c r="S1170" s="6"/>
      <c r="T1170" s="7"/>
      <c r="U1170" s="6"/>
      <c r="V1170" s="7"/>
      <c r="W1170" s="6"/>
      <c r="X1170" s="7"/>
    </row>
    <row r="1171" spans="1:24" ht="38.25" x14ac:dyDescent="0.2">
      <c r="A1171" s="6"/>
      <c r="B1171" s="7"/>
      <c r="C1171" s="6"/>
      <c r="D1171" s="7"/>
      <c r="E1171" s="6"/>
      <c r="F1171" s="7"/>
      <c r="G1171" s="6"/>
      <c r="H1171" s="7"/>
      <c r="I1171" s="6"/>
      <c r="J1171" s="7"/>
      <c r="K1171" s="96" t="str">
        <f>HYPERLINK("#'Healthcare'!ASA1","Q6.6.12_7")</f>
        <v>Q6.6.12_7</v>
      </c>
      <c r="L1171" s="93" t="str">
        <f>HYPERLINK("#'Healthcare'!ASA2","Primary regional HMO medical plan in-network deductible per person: Emergency room (true emergency)")</f>
        <v>Primary regional HMO medical plan in-network deductible per person: Emergency room (true emergency)</v>
      </c>
      <c r="M1171" s="6"/>
      <c r="N1171" s="7"/>
      <c r="O1171" s="6"/>
      <c r="P1171" s="7"/>
      <c r="Q1171" s="6"/>
      <c r="R1171" s="7"/>
      <c r="S1171" s="6"/>
      <c r="T1171" s="7"/>
      <c r="U1171" s="6"/>
      <c r="V1171" s="7"/>
      <c r="W1171" s="6"/>
      <c r="X1171" s="7"/>
    </row>
    <row r="1172" spans="1:24" ht="38.25" x14ac:dyDescent="0.2">
      <c r="A1172" s="6"/>
      <c r="B1172" s="7"/>
      <c r="C1172" s="6"/>
      <c r="D1172" s="7"/>
      <c r="E1172" s="6"/>
      <c r="F1172" s="7"/>
      <c r="G1172" s="6"/>
      <c r="H1172" s="7"/>
      <c r="I1172" s="6"/>
      <c r="J1172" s="7"/>
      <c r="K1172" s="96" t="str">
        <f>HYPERLINK("#'Healthcare'!ASB1","Q6.6.12_8")</f>
        <v>Q6.6.12_8</v>
      </c>
      <c r="L1172" s="93" t="str">
        <f>HYPERLINK("#'Healthcare'!ASB2","Primary regional HMO medical plan in-network deductible per person: Emergency room (non-emergency)")</f>
        <v>Primary regional HMO medical plan in-network deductible per person: Emergency room (non-emergency)</v>
      </c>
      <c r="M1172" s="6"/>
      <c r="N1172" s="7"/>
      <c r="O1172" s="6"/>
      <c r="P1172" s="7"/>
      <c r="Q1172" s="6"/>
      <c r="R1172" s="7"/>
      <c r="S1172" s="6"/>
      <c r="T1172" s="7"/>
      <c r="U1172" s="6"/>
      <c r="V1172" s="7"/>
      <c r="W1172" s="6"/>
      <c r="X1172" s="7"/>
    </row>
    <row r="1173" spans="1:24" ht="38.25" x14ac:dyDescent="0.2">
      <c r="A1173" s="6"/>
      <c r="B1173" s="7"/>
      <c r="C1173" s="6"/>
      <c r="D1173" s="7"/>
      <c r="E1173" s="6"/>
      <c r="F1173" s="7"/>
      <c r="G1173" s="6"/>
      <c r="H1173" s="7"/>
      <c r="I1173" s="6"/>
      <c r="J1173" s="7"/>
      <c r="K1173" s="96" t="str">
        <f>HYPERLINK("#'Healthcare'!ASC1","Q6.6.12_9")</f>
        <v>Q6.6.12_9</v>
      </c>
      <c r="L1173" s="93" t="str">
        <f>HYPERLINK("#'Healthcare'!ASC2","Primary regional HMO medical plan in-network deductible per person: Emergency room (with hospital admittance)")</f>
        <v>Primary regional HMO medical plan in-network deductible per person: Emergency room (with hospital admittance)</v>
      </c>
      <c r="M1173" s="6"/>
      <c r="N1173" s="7"/>
      <c r="O1173" s="6"/>
      <c r="P1173" s="7"/>
      <c r="Q1173" s="6"/>
      <c r="R1173" s="7"/>
      <c r="S1173" s="6"/>
      <c r="T1173" s="7"/>
      <c r="U1173" s="6"/>
      <c r="V1173" s="7"/>
      <c r="W1173" s="6"/>
      <c r="X1173" s="7"/>
    </row>
    <row r="1174" spans="1:24" ht="25.5" x14ac:dyDescent="0.2">
      <c r="A1174" s="6"/>
      <c r="B1174" s="7"/>
      <c r="C1174" s="6"/>
      <c r="D1174" s="7"/>
      <c r="E1174" s="6"/>
      <c r="F1174" s="7"/>
      <c r="G1174" s="6"/>
      <c r="H1174" s="7"/>
      <c r="I1174" s="6"/>
      <c r="J1174" s="7"/>
      <c r="K1174" s="96" t="str">
        <f>HYPERLINK("#'Healthcare'!ASD1","Q6.6.12_10")</f>
        <v>Q6.6.12_10</v>
      </c>
      <c r="L1174" s="93" t="str">
        <f>HYPERLINK("#'Healthcare'!ASD2","Primary regional HMO medical plan in-network deductible per person: In-patient hospital")</f>
        <v>Primary regional HMO medical plan in-network deductible per person: In-patient hospital</v>
      </c>
      <c r="M1174" s="6"/>
      <c r="N1174" s="7"/>
      <c r="O1174" s="6"/>
      <c r="P1174" s="7"/>
      <c r="Q1174" s="6"/>
      <c r="R1174" s="7"/>
      <c r="S1174" s="6"/>
      <c r="T1174" s="7"/>
      <c r="U1174" s="6"/>
      <c r="V1174" s="7"/>
      <c r="W1174" s="6"/>
      <c r="X1174" s="7"/>
    </row>
    <row r="1175" spans="1:24" ht="38.25" x14ac:dyDescent="0.2">
      <c r="A1175" s="6"/>
      <c r="B1175" s="7"/>
      <c r="C1175" s="6"/>
      <c r="D1175" s="7"/>
      <c r="E1175" s="6"/>
      <c r="F1175" s="7"/>
      <c r="G1175" s="6"/>
      <c r="H1175" s="7"/>
      <c r="I1175" s="6"/>
      <c r="J1175" s="7"/>
      <c r="K1175" s="96" t="str">
        <f>HYPERLINK("#'Healthcare'!ASE1","Q6.6.12_11")</f>
        <v>Q6.6.12_11</v>
      </c>
      <c r="L1175" s="93" t="str">
        <f>HYPERLINK("#'Healthcare'!ASE2","Primary regional HMO medical plan in-network deductible per person: Mental health/substance abuse")</f>
        <v>Primary regional HMO medical plan in-network deductible per person: Mental health/substance abuse</v>
      </c>
      <c r="M1175" s="6"/>
      <c r="N1175" s="7"/>
      <c r="O1175" s="6"/>
      <c r="P1175" s="7"/>
      <c r="Q1175" s="6"/>
      <c r="R1175" s="7"/>
      <c r="S1175" s="6"/>
      <c r="T1175" s="7"/>
      <c r="U1175" s="6"/>
      <c r="V1175" s="7"/>
      <c r="W1175" s="6"/>
      <c r="X1175" s="7"/>
    </row>
    <row r="1176" spans="1:24" ht="38.25" x14ac:dyDescent="0.2">
      <c r="A1176" s="6"/>
      <c r="B1176" s="7"/>
      <c r="C1176" s="6"/>
      <c r="D1176" s="7"/>
      <c r="E1176" s="6"/>
      <c r="F1176" s="7"/>
      <c r="G1176" s="6"/>
      <c r="H1176" s="7"/>
      <c r="I1176" s="6"/>
      <c r="J1176" s="7"/>
      <c r="K1176" s="96" t="str">
        <f>HYPERLINK("#'Healthcare'!ASF1","Q6.6.12_12")</f>
        <v>Q6.6.12_12</v>
      </c>
      <c r="L1176" s="93" t="str">
        <f>HYPERLINK("#'Healthcare'!ASF2","Primary regional HMO medical plan in-network deductible per person: Out-patient surgical center")</f>
        <v>Primary regional HMO medical plan in-network deductible per person: Out-patient surgical center</v>
      </c>
      <c r="M1176" s="6"/>
      <c r="N1176" s="7"/>
      <c r="O1176" s="6"/>
      <c r="P1176" s="7"/>
      <c r="Q1176" s="6"/>
      <c r="R1176" s="7"/>
      <c r="S1176" s="6"/>
      <c r="T1176" s="7"/>
      <c r="U1176" s="6"/>
      <c r="V1176" s="7"/>
      <c r="W1176" s="6"/>
      <c r="X1176" s="7"/>
    </row>
    <row r="1177" spans="1:24" ht="38.25" x14ac:dyDescent="0.2">
      <c r="A1177" s="6"/>
      <c r="B1177" s="7"/>
      <c r="C1177" s="6"/>
      <c r="D1177" s="7"/>
      <c r="E1177" s="6"/>
      <c r="F1177" s="7"/>
      <c r="G1177" s="6"/>
      <c r="H1177" s="7"/>
      <c r="I1177" s="6"/>
      <c r="J1177" s="7"/>
      <c r="K1177" s="96" t="str">
        <f>HYPERLINK("#'Healthcare'!ASG1","Q6.6.12_13")</f>
        <v>Q6.6.12_13</v>
      </c>
      <c r="L1177" s="93" t="str">
        <f>HYPERLINK("#'Healthcare'!ASG2","Primary regional HMO medical plan in-network deductible per person: Prescription drugs (preventive)")</f>
        <v>Primary regional HMO medical plan in-network deductible per person: Prescription drugs (preventive)</v>
      </c>
      <c r="M1177" s="6"/>
      <c r="N1177" s="7"/>
      <c r="O1177" s="6"/>
      <c r="P1177" s="7"/>
      <c r="Q1177" s="6"/>
      <c r="R1177" s="7"/>
      <c r="S1177" s="6"/>
      <c r="T1177" s="7"/>
      <c r="U1177" s="6"/>
      <c r="V1177" s="7"/>
      <c r="W1177" s="6"/>
      <c r="X1177" s="7"/>
    </row>
    <row r="1178" spans="1:24" ht="38.25" x14ac:dyDescent="0.2">
      <c r="A1178" s="6"/>
      <c r="B1178" s="7"/>
      <c r="C1178" s="6"/>
      <c r="D1178" s="7"/>
      <c r="E1178" s="6"/>
      <c r="F1178" s="7"/>
      <c r="G1178" s="6"/>
      <c r="H1178" s="7"/>
      <c r="I1178" s="6"/>
      <c r="J1178" s="7"/>
      <c r="K1178" s="96" t="str">
        <f>HYPERLINK("#'Healthcare'!ASH1","Q6.6.12_14")</f>
        <v>Q6.6.12_14</v>
      </c>
      <c r="L1178" s="93" t="str">
        <f>HYPERLINK("#'Healthcare'!ASH2","Primary regional HMO medical plan in-network deductible per person: Prescription drugs (non-preventive)")</f>
        <v>Primary regional HMO medical plan in-network deductible per person: Prescription drugs (non-preventive)</v>
      </c>
      <c r="M1178" s="6"/>
      <c r="N1178" s="7"/>
      <c r="O1178" s="6"/>
      <c r="P1178" s="7"/>
      <c r="Q1178" s="6"/>
      <c r="R1178" s="7"/>
      <c r="S1178" s="6"/>
      <c r="T1178" s="7"/>
      <c r="U1178" s="6"/>
      <c r="V1178" s="7"/>
      <c r="W1178" s="6"/>
      <c r="X1178" s="7"/>
    </row>
    <row r="1179" spans="1:24" ht="38.25" x14ac:dyDescent="0.2">
      <c r="A1179" s="6"/>
      <c r="B1179" s="7"/>
      <c r="C1179" s="6"/>
      <c r="D1179" s="7"/>
      <c r="E1179" s="6"/>
      <c r="F1179" s="7"/>
      <c r="G1179" s="6"/>
      <c r="H1179" s="7"/>
      <c r="I1179" s="6"/>
      <c r="J1179" s="7"/>
      <c r="K1179" s="96" t="str">
        <f>HYPERLINK("#'Healthcare'!ASI1","Q6.6.12_15")</f>
        <v>Q6.6.12_15</v>
      </c>
      <c r="L1179" s="93" t="str">
        <f>HYPERLINK("#'Healthcare'!ASI2","Primary regional HMO medical plan in-network deductible per person: Therapies (speech, PT, OT)")</f>
        <v>Primary regional HMO medical plan in-network deductible per person: Therapies (speech, PT, OT)</v>
      </c>
      <c r="M1179" s="6"/>
      <c r="N1179" s="7"/>
      <c r="O1179" s="6"/>
      <c r="P1179" s="7"/>
      <c r="Q1179" s="6"/>
      <c r="R1179" s="7"/>
      <c r="S1179" s="6"/>
      <c r="T1179" s="7"/>
      <c r="U1179" s="6"/>
      <c r="V1179" s="7"/>
      <c r="W1179" s="6"/>
      <c r="X1179" s="7"/>
    </row>
    <row r="1180" spans="1:24" ht="25.5" x14ac:dyDescent="0.2">
      <c r="A1180" s="6"/>
      <c r="B1180" s="7"/>
      <c r="C1180" s="6"/>
      <c r="D1180" s="7"/>
      <c r="E1180" s="6"/>
      <c r="F1180" s="7"/>
      <c r="G1180" s="6"/>
      <c r="H1180" s="7"/>
      <c r="I1180" s="6"/>
      <c r="J1180" s="7"/>
      <c r="K1180" s="96" t="str">
        <f>HYPERLINK("#'Healthcare'!ASJ1","Q6.6.12_16")</f>
        <v>Q6.6.12_16</v>
      </c>
      <c r="L1180" s="93" t="str">
        <f>HYPERLINK("#'Healthcare'!ASJ2","Primary regional HMO medical plan in-network deductible per person: Other")</f>
        <v>Primary regional HMO medical plan in-network deductible per person: Other</v>
      </c>
      <c r="M1180" s="6"/>
      <c r="N1180" s="7"/>
      <c r="O1180" s="6"/>
      <c r="P1180" s="7"/>
      <c r="Q1180" s="6"/>
      <c r="R1180" s="7"/>
      <c r="S1180" s="6"/>
      <c r="T1180" s="7"/>
      <c r="U1180" s="6"/>
      <c r="V1180" s="7"/>
      <c r="W1180" s="6"/>
      <c r="X1180" s="7"/>
    </row>
    <row r="1181" spans="1:24" ht="38.25" x14ac:dyDescent="0.2">
      <c r="A1181" s="6"/>
      <c r="B1181" s="7"/>
      <c r="C1181" s="6"/>
      <c r="D1181" s="7"/>
      <c r="E1181" s="6"/>
      <c r="F1181" s="7"/>
      <c r="G1181" s="6"/>
      <c r="H1181" s="7"/>
      <c r="I1181" s="6"/>
      <c r="J1181" s="7"/>
      <c r="K1181" s="96" t="str">
        <f>HYPERLINK("#'Healthcare'!ASK1","Q6.6.13_1")</f>
        <v>Q6.6.13_1</v>
      </c>
      <c r="L1181" s="93" t="str">
        <f>HYPERLINK("#'Healthcare'!ASK2","Primary regional HMO medical plan in-network deductible per family: Not applicable - no separate deductibles")</f>
        <v>Primary regional HMO medical plan in-network deductible per family: Not applicable - no separate deductibles</v>
      </c>
      <c r="M1181" s="6"/>
      <c r="N1181" s="7"/>
      <c r="O1181" s="6"/>
      <c r="P1181" s="7"/>
      <c r="Q1181" s="6"/>
      <c r="R1181" s="7"/>
      <c r="S1181" s="6"/>
      <c r="T1181" s="7"/>
      <c r="U1181" s="6"/>
      <c r="V1181" s="7"/>
      <c r="W1181" s="6"/>
      <c r="X1181" s="7"/>
    </row>
    <row r="1182" spans="1:24" ht="25.5" x14ac:dyDescent="0.2">
      <c r="A1182" s="6"/>
      <c r="B1182" s="7"/>
      <c r="C1182" s="6"/>
      <c r="D1182" s="7"/>
      <c r="E1182" s="6"/>
      <c r="F1182" s="7"/>
      <c r="G1182" s="6"/>
      <c r="H1182" s="7"/>
      <c r="I1182" s="6"/>
      <c r="J1182" s="7"/>
      <c r="K1182" s="96" t="str">
        <f>HYPERLINK("#'Healthcare'!ASL1","Q6.6.13_5")</f>
        <v>Q6.6.13_5</v>
      </c>
      <c r="L1182" s="93" t="str">
        <f>HYPERLINK("#'Healthcare'!ASL2","Primary regional HMO medical plan in-network deductible per family: Acupuncture")</f>
        <v>Primary regional HMO medical plan in-network deductible per family: Acupuncture</v>
      </c>
      <c r="M1182" s="6"/>
      <c r="N1182" s="7"/>
      <c r="O1182" s="6"/>
      <c r="P1182" s="7"/>
      <c r="Q1182" s="6"/>
      <c r="R1182" s="7"/>
      <c r="S1182" s="6"/>
      <c r="T1182" s="7"/>
      <c r="U1182" s="6"/>
      <c r="V1182" s="7"/>
      <c r="W1182" s="6"/>
      <c r="X1182" s="7"/>
    </row>
    <row r="1183" spans="1:24" ht="25.5" x14ac:dyDescent="0.2">
      <c r="A1183" s="6"/>
      <c r="B1183" s="7"/>
      <c r="C1183" s="6"/>
      <c r="D1183" s="7"/>
      <c r="E1183" s="6"/>
      <c r="F1183" s="7"/>
      <c r="G1183" s="6"/>
      <c r="H1183" s="7"/>
      <c r="I1183" s="6"/>
      <c r="J1183" s="7"/>
      <c r="K1183" s="96" t="str">
        <f>HYPERLINK("#'Healthcare'!ASM1","Q6.6.13_6")</f>
        <v>Q6.6.13_6</v>
      </c>
      <c r="L1183" s="93" t="str">
        <f>HYPERLINK("#'Healthcare'!ASM2","Primary regional HMO medical plan in-network deductible per family: Chiropractic")</f>
        <v>Primary regional HMO medical plan in-network deductible per family: Chiropractic</v>
      </c>
      <c r="M1183" s="6"/>
      <c r="N1183" s="7"/>
      <c r="O1183" s="6"/>
      <c r="P1183" s="7"/>
      <c r="Q1183" s="6"/>
      <c r="R1183" s="7"/>
      <c r="S1183" s="6"/>
      <c r="T1183" s="7"/>
      <c r="U1183" s="6"/>
      <c r="V1183" s="7"/>
      <c r="W1183" s="6"/>
      <c r="X1183" s="7"/>
    </row>
    <row r="1184" spans="1:24" ht="38.25" x14ac:dyDescent="0.2">
      <c r="A1184" s="6"/>
      <c r="B1184" s="7"/>
      <c r="C1184" s="6"/>
      <c r="D1184" s="7"/>
      <c r="E1184" s="6"/>
      <c r="F1184" s="7"/>
      <c r="G1184" s="6"/>
      <c r="H1184" s="7"/>
      <c r="I1184" s="6"/>
      <c r="J1184" s="7"/>
      <c r="K1184" s="96" t="str">
        <f>HYPERLINK("#'Healthcare'!ASN1","Q6.6.13_7")</f>
        <v>Q6.6.13_7</v>
      </c>
      <c r="L1184" s="93" t="str">
        <f>HYPERLINK("#'Healthcare'!ASN2","Primary regional HMO medical plan in-network deductible per family: Emergency room (true emergency)")</f>
        <v>Primary regional HMO medical plan in-network deductible per family: Emergency room (true emergency)</v>
      </c>
      <c r="M1184" s="6"/>
      <c r="N1184" s="7"/>
      <c r="O1184" s="6"/>
      <c r="P1184" s="7"/>
      <c r="Q1184" s="6"/>
      <c r="R1184" s="7"/>
      <c r="S1184" s="6"/>
      <c r="T1184" s="7"/>
      <c r="U1184" s="6"/>
      <c r="V1184" s="7"/>
      <c r="W1184" s="6"/>
      <c r="X1184" s="7"/>
    </row>
    <row r="1185" spans="1:24" ht="38.25" x14ac:dyDescent="0.2">
      <c r="A1185" s="6"/>
      <c r="B1185" s="7"/>
      <c r="C1185" s="6"/>
      <c r="D1185" s="7"/>
      <c r="E1185" s="6"/>
      <c r="F1185" s="7"/>
      <c r="G1185" s="6"/>
      <c r="H1185" s="7"/>
      <c r="I1185" s="6"/>
      <c r="J1185" s="7"/>
      <c r="K1185" s="96" t="str">
        <f>HYPERLINK("#'Healthcare'!ASO1","Q6.6.13_8")</f>
        <v>Q6.6.13_8</v>
      </c>
      <c r="L1185" s="93" t="str">
        <f>HYPERLINK("#'Healthcare'!ASO2","Primary regional HMO medical plan in-network deductible per family: Emergency room (non-emergency)")</f>
        <v>Primary regional HMO medical plan in-network deductible per family: Emergency room (non-emergency)</v>
      </c>
      <c r="M1185" s="6"/>
      <c r="N1185" s="7"/>
      <c r="O1185" s="6"/>
      <c r="P1185" s="7"/>
      <c r="Q1185" s="6"/>
      <c r="R1185" s="7"/>
      <c r="S1185" s="6"/>
      <c r="T1185" s="7"/>
      <c r="U1185" s="6"/>
      <c r="V1185" s="7"/>
      <c r="W1185" s="6"/>
      <c r="X1185" s="7"/>
    </row>
    <row r="1186" spans="1:24" ht="38.25" x14ac:dyDescent="0.2">
      <c r="A1186" s="6"/>
      <c r="B1186" s="7"/>
      <c r="C1186" s="6"/>
      <c r="D1186" s="7"/>
      <c r="E1186" s="6"/>
      <c r="F1186" s="7"/>
      <c r="G1186" s="6"/>
      <c r="H1186" s="7"/>
      <c r="I1186" s="6"/>
      <c r="J1186" s="7"/>
      <c r="K1186" s="96" t="str">
        <f>HYPERLINK("#'Healthcare'!ASP1","Q6.6.13_9")</f>
        <v>Q6.6.13_9</v>
      </c>
      <c r="L1186" s="93" t="str">
        <f>HYPERLINK("#'Healthcare'!ASP2","Primary regional HMO medical plan in-network deductible per family: Emergency room (with hospital admittance)")</f>
        <v>Primary regional HMO medical plan in-network deductible per family: Emergency room (with hospital admittance)</v>
      </c>
      <c r="M1186" s="6"/>
      <c r="N1186" s="7"/>
      <c r="O1186" s="6"/>
      <c r="P1186" s="7"/>
      <c r="Q1186" s="6"/>
      <c r="R1186" s="7"/>
      <c r="S1186" s="6"/>
      <c r="T1186" s="7"/>
      <c r="U1186" s="6"/>
      <c r="V1186" s="7"/>
      <c r="W1186" s="6"/>
      <c r="X1186" s="7"/>
    </row>
    <row r="1187" spans="1:24" ht="25.5" x14ac:dyDescent="0.2">
      <c r="A1187" s="6"/>
      <c r="B1187" s="7"/>
      <c r="C1187" s="6"/>
      <c r="D1187" s="7"/>
      <c r="E1187" s="6"/>
      <c r="F1187" s="7"/>
      <c r="G1187" s="6"/>
      <c r="H1187" s="7"/>
      <c r="I1187" s="6"/>
      <c r="J1187" s="7"/>
      <c r="K1187" s="96" t="str">
        <f>HYPERLINK("#'Healthcare'!ASQ1","Q6.6.13_10")</f>
        <v>Q6.6.13_10</v>
      </c>
      <c r="L1187" s="93" t="str">
        <f>HYPERLINK("#'Healthcare'!ASQ2","Primary regional HMO medical plan in-network deductible per family: In-patient hospital")</f>
        <v>Primary regional HMO medical plan in-network deductible per family: In-patient hospital</v>
      </c>
      <c r="M1187" s="6"/>
      <c r="N1187" s="7"/>
      <c r="O1187" s="6"/>
      <c r="P1187" s="7"/>
      <c r="Q1187" s="6"/>
      <c r="R1187" s="7"/>
      <c r="S1187" s="6"/>
      <c r="T1187" s="7"/>
      <c r="U1187" s="6"/>
      <c r="V1187" s="7"/>
      <c r="W1187" s="6"/>
      <c r="X1187" s="7"/>
    </row>
    <row r="1188" spans="1:24" ht="38.25" x14ac:dyDescent="0.2">
      <c r="A1188" s="6"/>
      <c r="B1188" s="7"/>
      <c r="C1188" s="6"/>
      <c r="D1188" s="7"/>
      <c r="E1188" s="6"/>
      <c r="F1188" s="7"/>
      <c r="G1188" s="6"/>
      <c r="H1188" s="7"/>
      <c r="I1188" s="6"/>
      <c r="J1188" s="7"/>
      <c r="K1188" s="96" t="str">
        <f>HYPERLINK("#'Healthcare'!ASR1","Q6.6.13_11")</f>
        <v>Q6.6.13_11</v>
      </c>
      <c r="L1188" s="93" t="str">
        <f>HYPERLINK("#'Healthcare'!ASR2","Primary regional HMO medical plan in-network deductible per family: Mental health/substance abuse")</f>
        <v>Primary regional HMO medical plan in-network deductible per family: Mental health/substance abuse</v>
      </c>
      <c r="M1188" s="6"/>
      <c r="N1188" s="7"/>
      <c r="O1188" s="6"/>
      <c r="P1188" s="7"/>
      <c r="Q1188" s="6"/>
      <c r="R1188" s="7"/>
      <c r="S1188" s="6"/>
      <c r="T1188" s="7"/>
      <c r="U1188" s="6"/>
      <c r="V1188" s="7"/>
      <c r="W1188" s="6"/>
      <c r="X1188" s="7"/>
    </row>
    <row r="1189" spans="1:24" ht="38.25" x14ac:dyDescent="0.2">
      <c r="A1189" s="6"/>
      <c r="B1189" s="7"/>
      <c r="C1189" s="6"/>
      <c r="D1189" s="7"/>
      <c r="E1189" s="6"/>
      <c r="F1189" s="7"/>
      <c r="G1189" s="6"/>
      <c r="H1189" s="7"/>
      <c r="I1189" s="6"/>
      <c r="J1189" s="7"/>
      <c r="K1189" s="96" t="str">
        <f>HYPERLINK("#'Healthcare'!ASS1","Q6.6.13_12")</f>
        <v>Q6.6.13_12</v>
      </c>
      <c r="L1189" s="93" t="str">
        <f>HYPERLINK("#'Healthcare'!ASS2","Primary regional HMO medical plan in-network deductible per family: Out-patient surgical center")</f>
        <v>Primary regional HMO medical plan in-network deductible per family: Out-patient surgical center</v>
      </c>
      <c r="M1189" s="6"/>
      <c r="N1189" s="7"/>
      <c r="O1189" s="6"/>
      <c r="P1189" s="7"/>
      <c r="Q1189" s="6"/>
      <c r="R1189" s="7"/>
      <c r="S1189" s="6"/>
      <c r="T1189" s="7"/>
      <c r="U1189" s="6"/>
      <c r="V1189" s="7"/>
      <c r="W1189" s="6"/>
      <c r="X1189" s="7"/>
    </row>
    <row r="1190" spans="1:24" ht="38.25" x14ac:dyDescent="0.2">
      <c r="A1190" s="6"/>
      <c r="B1190" s="7"/>
      <c r="C1190" s="6"/>
      <c r="D1190" s="7"/>
      <c r="E1190" s="6"/>
      <c r="F1190" s="7"/>
      <c r="G1190" s="6"/>
      <c r="H1190" s="7"/>
      <c r="I1190" s="6"/>
      <c r="J1190" s="7"/>
      <c r="K1190" s="96" t="str">
        <f>HYPERLINK("#'Healthcare'!AST1","Q6.6.13_13")</f>
        <v>Q6.6.13_13</v>
      </c>
      <c r="L1190" s="93" t="str">
        <f>HYPERLINK("#'Healthcare'!AST2","Primary regional HMO medical plan in-network deductible per family: Prescription drugs (preventive)")</f>
        <v>Primary regional HMO medical plan in-network deductible per family: Prescription drugs (preventive)</v>
      </c>
      <c r="M1190" s="6"/>
      <c r="N1190" s="7"/>
      <c r="O1190" s="6"/>
      <c r="P1190" s="7"/>
      <c r="Q1190" s="6"/>
      <c r="R1190" s="7"/>
      <c r="S1190" s="6"/>
      <c r="T1190" s="7"/>
      <c r="U1190" s="6"/>
      <c r="V1190" s="7"/>
      <c r="W1190" s="6"/>
      <c r="X1190" s="7"/>
    </row>
    <row r="1191" spans="1:24" ht="38.25" x14ac:dyDescent="0.2">
      <c r="A1191" s="6"/>
      <c r="B1191" s="7"/>
      <c r="C1191" s="6"/>
      <c r="D1191" s="7"/>
      <c r="E1191" s="6"/>
      <c r="F1191" s="7"/>
      <c r="G1191" s="6"/>
      <c r="H1191" s="7"/>
      <c r="I1191" s="6"/>
      <c r="J1191" s="7"/>
      <c r="K1191" s="96" t="str">
        <f>HYPERLINK("#'Healthcare'!ASU1","Q6.6.13_14")</f>
        <v>Q6.6.13_14</v>
      </c>
      <c r="L1191" s="93" t="str">
        <f>HYPERLINK("#'Healthcare'!ASU2","Primary regional HMO medical plan in-network deductible per family: Prescription drugs (non-preventive)")</f>
        <v>Primary regional HMO medical plan in-network deductible per family: Prescription drugs (non-preventive)</v>
      </c>
      <c r="M1191" s="6"/>
      <c r="N1191" s="7"/>
      <c r="O1191" s="6"/>
      <c r="P1191" s="7"/>
      <c r="Q1191" s="6"/>
      <c r="R1191" s="7"/>
      <c r="S1191" s="6"/>
      <c r="T1191" s="7"/>
      <c r="U1191" s="6"/>
      <c r="V1191" s="7"/>
      <c r="W1191" s="6"/>
      <c r="X1191" s="7"/>
    </row>
    <row r="1192" spans="1:24" ht="38.25" x14ac:dyDescent="0.2">
      <c r="A1192" s="6"/>
      <c r="B1192" s="7"/>
      <c r="C1192" s="6"/>
      <c r="D1192" s="7"/>
      <c r="E1192" s="6"/>
      <c r="F1192" s="7"/>
      <c r="G1192" s="6"/>
      <c r="H1192" s="7"/>
      <c r="I1192" s="6"/>
      <c r="J1192" s="7"/>
      <c r="K1192" s="96" t="str">
        <f>HYPERLINK("#'Healthcare'!ASV1","Q6.6.13_15")</f>
        <v>Q6.6.13_15</v>
      </c>
      <c r="L1192" s="93" t="str">
        <f>HYPERLINK("#'Healthcare'!ASV2","Primary regional HMO medical plan in-network deductible per family: Therapies (speech, PT, OT)")</f>
        <v>Primary regional HMO medical plan in-network deductible per family: Therapies (speech, PT, OT)</v>
      </c>
      <c r="M1192" s="6"/>
      <c r="N1192" s="7"/>
      <c r="O1192" s="6"/>
      <c r="P1192" s="7"/>
      <c r="Q1192" s="6"/>
      <c r="R1192" s="7"/>
      <c r="S1192" s="6"/>
      <c r="T1192" s="7"/>
      <c r="U1192" s="6"/>
      <c r="V1192" s="7"/>
      <c r="W1192" s="6"/>
      <c r="X1192" s="7"/>
    </row>
    <row r="1193" spans="1:24" ht="25.5" x14ac:dyDescent="0.2">
      <c r="A1193" s="6"/>
      <c r="B1193" s="7"/>
      <c r="C1193" s="6"/>
      <c r="D1193" s="7"/>
      <c r="E1193" s="6"/>
      <c r="F1193" s="7"/>
      <c r="G1193" s="6"/>
      <c r="H1193" s="7"/>
      <c r="I1193" s="6"/>
      <c r="J1193" s="7"/>
      <c r="K1193" s="96" t="str">
        <f>HYPERLINK("#'Healthcare'!ASW1","Q6.6.13_16")</f>
        <v>Q6.6.13_16</v>
      </c>
      <c r="L1193" s="93" t="str">
        <f>HYPERLINK("#'Healthcare'!ASW2","Primary regional HMO medical plan in-network deductible per family: Other")</f>
        <v>Primary regional HMO medical plan in-network deductible per family: Other</v>
      </c>
      <c r="M1193" s="6"/>
      <c r="N1193" s="7"/>
      <c r="O1193" s="6"/>
      <c r="P1193" s="7"/>
      <c r="Q1193" s="6"/>
      <c r="R1193" s="7"/>
      <c r="S1193" s="6"/>
      <c r="T1193" s="7"/>
      <c r="U1193" s="6"/>
      <c r="V1193" s="7"/>
      <c r="W1193" s="6"/>
      <c r="X1193" s="7"/>
    </row>
    <row r="1194" spans="1:24" ht="38.25" x14ac:dyDescent="0.2">
      <c r="A1194" s="6"/>
      <c r="B1194" s="7"/>
      <c r="C1194" s="6"/>
      <c r="D1194" s="7"/>
      <c r="E1194" s="6"/>
      <c r="F1194" s="7"/>
      <c r="G1194" s="6"/>
      <c r="H1194" s="7"/>
      <c r="I1194" s="6"/>
      <c r="J1194" s="7"/>
      <c r="K1194" s="96" t="str">
        <f>HYPERLINK("#'Healthcare'!ASX1","Q6.6.14_1")</f>
        <v>Q6.6.14_1</v>
      </c>
      <c r="L1194" s="93" t="str">
        <f>HYPERLINK("#'Healthcare'!ASX2","Primary regional HMO medical plan out-of-network deductible per person: Not applicable - no separate deductibles")</f>
        <v>Primary regional HMO medical plan out-of-network deductible per person: Not applicable - no separate deductibles</v>
      </c>
      <c r="M1194" s="6"/>
      <c r="N1194" s="7"/>
      <c r="O1194" s="6"/>
      <c r="P1194" s="7"/>
      <c r="Q1194" s="6"/>
      <c r="R1194" s="7"/>
      <c r="S1194" s="6"/>
      <c r="T1194" s="7"/>
      <c r="U1194" s="6"/>
      <c r="V1194" s="7"/>
      <c r="W1194" s="6"/>
      <c r="X1194" s="7"/>
    </row>
    <row r="1195" spans="1:24" ht="25.5" x14ac:dyDescent="0.2">
      <c r="A1195" s="6"/>
      <c r="B1195" s="7"/>
      <c r="C1195" s="6"/>
      <c r="D1195" s="7"/>
      <c r="E1195" s="6"/>
      <c r="F1195" s="7"/>
      <c r="G1195" s="6"/>
      <c r="H1195" s="7"/>
      <c r="I1195" s="6"/>
      <c r="J1195" s="7"/>
      <c r="K1195" s="96" t="str">
        <f>HYPERLINK("#'Healthcare'!ASY1","Q6.6.14_5")</f>
        <v>Q6.6.14_5</v>
      </c>
      <c r="L1195" s="93" t="str">
        <f>HYPERLINK("#'Healthcare'!ASY2","Primary regional HMO medical plan out-of-network deductible per person: Acupuncture")</f>
        <v>Primary regional HMO medical plan out-of-network deductible per person: Acupuncture</v>
      </c>
      <c r="M1195" s="6"/>
      <c r="N1195" s="7"/>
      <c r="O1195" s="6"/>
      <c r="P1195" s="7"/>
      <c r="Q1195" s="6"/>
      <c r="R1195" s="7"/>
      <c r="S1195" s="6"/>
      <c r="T1195" s="7"/>
      <c r="U1195" s="6"/>
      <c r="V1195" s="7"/>
      <c r="W1195" s="6"/>
      <c r="X1195" s="7"/>
    </row>
    <row r="1196" spans="1:24" ht="25.5" x14ac:dyDescent="0.2">
      <c r="A1196" s="6"/>
      <c r="B1196" s="7"/>
      <c r="C1196" s="6"/>
      <c r="D1196" s="7"/>
      <c r="E1196" s="6"/>
      <c r="F1196" s="7"/>
      <c r="G1196" s="6"/>
      <c r="H1196" s="7"/>
      <c r="I1196" s="6"/>
      <c r="J1196" s="7"/>
      <c r="K1196" s="96" t="str">
        <f>HYPERLINK("#'Healthcare'!ASZ1","Q6.6.14_6")</f>
        <v>Q6.6.14_6</v>
      </c>
      <c r="L1196" s="93" t="str">
        <f>HYPERLINK("#'Healthcare'!ASZ2","Primary regional HMO medical plan out-of-network deductible per person: Chiropractic")</f>
        <v>Primary regional HMO medical plan out-of-network deductible per person: Chiropractic</v>
      </c>
      <c r="M1196" s="6"/>
      <c r="N1196" s="7"/>
      <c r="O1196" s="6"/>
      <c r="P1196" s="7"/>
      <c r="Q1196" s="6"/>
      <c r="R1196" s="7"/>
      <c r="S1196" s="6"/>
      <c r="T1196" s="7"/>
      <c r="U1196" s="6"/>
      <c r="V1196" s="7"/>
      <c r="W1196" s="6"/>
      <c r="X1196" s="7"/>
    </row>
    <row r="1197" spans="1:24" ht="38.25" x14ac:dyDescent="0.2">
      <c r="A1197" s="6"/>
      <c r="B1197" s="7"/>
      <c r="C1197" s="6"/>
      <c r="D1197" s="7"/>
      <c r="E1197" s="6"/>
      <c r="F1197" s="7"/>
      <c r="G1197" s="6"/>
      <c r="H1197" s="7"/>
      <c r="I1197" s="6"/>
      <c r="J1197" s="7"/>
      <c r="K1197" s="96" t="str">
        <f>HYPERLINK("#'Healthcare'!ATA1","Q6.6.14_7")</f>
        <v>Q6.6.14_7</v>
      </c>
      <c r="L1197" s="93" t="str">
        <f>HYPERLINK("#'Healthcare'!ATA2","Primary regional HMO medical plan out-of-network deductible per person: Emergency room (true emergency)")</f>
        <v>Primary regional HMO medical plan out-of-network deductible per person: Emergency room (true emergency)</v>
      </c>
      <c r="M1197" s="6"/>
      <c r="N1197" s="7"/>
      <c r="O1197" s="6"/>
      <c r="P1197" s="7"/>
      <c r="Q1197" s="6"/>
      <c r="R1197" s="7"/>
      <c r="S1197" s="6"/>
      <c r="T1197" s="7"/>
      <c r="U1197" s="6"/>
      <c r="V1197" s="7"/>
      <c r="W1197" s="6"/>
      <c r="X1197" s="7"/>
    </row>
    <row r="1198" spans="1:24" ht="38.25" x14ac:dyDescent="0.2">
      <c r="A1198" s="6"/>
      <c r="B1198" s="7"/>
      <c r="C1198" s="6"/>
      <c r="D1198" s="7"/>
      <c r="E1198" s="6"/>
      <c r="F1198" s="7"/>
      <c r="G1198" s="6"/>
      <c r="H1198" s="7"/>
      <c r="I1198" s="6"/>
      <c r="J1198" s="7"/>
      <c r="K1198" s="96" t="str">
        <f>HYPERLINK("#'Healthcare'!ATB1","Q6.6.14_8")</f>
        <v>Q6.6.14_8</v>
      </c>
      <c r="L1198" s="93" t="str">
        <f>HYPERLINK("#'Healthcare'!ATB2","Primary regional HMO medical plan out-of-network deductible per person: Emergency room (non-emergency)")</f>
        <v>Primary regional HMO medical plan out-of-network deductible per person: Emergency room (non-emergency)</v>
      </c>
      <c r="M1198" s="6"/>
      <c r="N1198" s="7"/>
      <c r="O1198" s="6"/>
      <c r="P1198" s="7"/>
      <c r="Q1198" s="6"/>
      <c r="R1198" s="7"/>
      <c r="S1198" s="6"/>
      <c r="T1198" s="7"/>
      <c r="U1198" s="6"/>
      <c r="V1198" s="7"/>
      <c r="W1198" s="6"/>
      <c r="X1198" s="7"/>
    </row>
    <row r="1199" spans="1:24" ht="38.25" x14ac:dyDescent="0.2">
      <c r="A1199" s="6"/>
      <c r="B1199" s="7"/>
      <c r="C1199" s="6"/>
      <c r="D1199" s="7"/>
      <c r="E1199" s="6"/>
      <c r="F1199" s="7"/>
      <c r="G1199" s="6"/>
      <c r="H1199" s="7"/>
      <c r="I1199" s="6"/>
      <c r="J1199" s="7"/>
      <c r="K1199" s="96" t="str">
        <f>HYPERLINK("#'Healthcare'!ATC1","Q6.6.14_9")</f>
        <v>Q6.6.14_9</v>
      </c>
      <c r="L1199" s="93" t="str">
        <f>HYPERLINK("#'Healthcare'!ATC2","Primary regional HMO medical plan out-of-network deductible per person: Emergency room (with hospital admittance)")</f>
        <v>Primary regional HMO medical plan out-of-network deductible per person: Emergency room (with hospital admittance)</v>
      </c>
      <c r="M1199" s="6"/>
      <c r="N1199" s="7"/>
      <c r="O1199" s="6"/>
      <c r="P1199" s="7"/>
      <c r="Q1199" s="6"/>
      <c r="R1199" s="7"/>
      <c r="S1199" s="6"/>
      <c r="T1199" s="7"/>
      <c r="U1199" s="6"/>
      <c r="V1199" s="7"/>
      <c r="W1199" s="6"/>
      <c r="X1199" s="7"/>
    </row>
    <row r="1200" spans="1:24" ht="38.25" x14ac:dyDescent="0.2">
      <c r="A1200" s="6"/>
      <c r="B1200" s="7"/>
      <c r="C1200" s="6"/>
      <c r="D1200" s="7"/>
      <c r="E1200" s="6"/>
      <c r="F1200" s="7"/>
      <c r="G1200" s="6"/>
      <c r="H1200" s="7"/>
      <c r="I1200" s="6"/>
      <c r="J1200" s="7"/>
      <c r="K1200" s="96" t="str">
        <f>HYPERLINK("#'Healthcare'!ATD1","Q6.6.14_10")</f>
        <v>Q6.6.14_10</v>
      </c>
      <c r="L1200" s="93" t="str">
        <f>HYPERLINK("#'Healthcare'!ATD2","Primary regional HMO medical plan out-of-network deductible per person: In-patient hospital")</f>
        <v>Primary regional HMO medical plan out-of-network deductible per person: In-patient hospital</v>
      </c>
      <c r="M1200" s="6"/>
      <c r="N1200" s="7"/>
      <c r="O1200" s="6"/>
      <c r="P1200" s="7"/>
      <c r="Q1200" s="6"/>
      <c r="R1200" s="7"/>
      <c r="S1200" s="6"/>
      <c r="T1200" s="7"/>
      <c r="U1200" s="6"/>
      <c r="V1200" s="7"/>
      <c r="W1200" s="6"/>
      <c r="X1200" s="7"/>
    </row>
    <row r="1201" spans="1:24" ht="38.25" x14ac:dyDescent="0.2">
      <c r="A1201" s="6"/>
      <c r="B1201" s="7"/>
      <c r="C1201" s="6"/>
      <c r="D1201" s="7"/>
      <c r="E1201" s="6"/>
      <c r="F1201" s="7"/>
      <c r="G1201" s="6"/>
      <c r="H1201" s="7"/>
      <c r="I1201" s="6"/>
      <c r="J1201" s="7"/>
      <c r="K1201" s="96" t="str">
        <f>HYPERLINK("#'Healthcare'!ATE1","Q6.6.14_11")</f>
        <v>Q6.6.14_11</v>
      </c>
      <c r="L1201" s="93" t="str">
        <f>HYPERLINK("#'Healthcare'!ATE2","Primary regional HMO medical plan out-of-network deductible per person: Mental health/substance abuse")</f>
        <v>Primary regional HMO medical plan out-of-network deductible per person: Mental health/substance abuse</v>
      </c>
      <c r="M1201" s="6"/>
      <c r="N1201" s="7"/>
      <c r="O1201" s="6"/>
      <c r="P1201" s="7"/>
      <c r="Q1201" s="6"/>
      <c r="R1201" s="7"/>
      <c r="S1201" s="6"/>
      <c r="T1201" s="7"/>
      <c r="U1201" s="6"/>
      <c r="V1201" s="7"/>
      <c r="W1201" s="6"/>
      <c r="X1201" s="7"/>
    </row>
    <row r="1202" spans="1:24" ht="38.25" x14ac:dyDescent="0.2">
      <c r="A1202" s="6"/>
      <c r="B1202" s="7"/>
      <c r="C1202" s="6"/>
      <c r="D1202" s="7"/>
      <c r="E1202" s="6"/>
      <c r="F1202" s="7"/>
      <c r="G1202" s="6"/>
      <c r="H1202" s="7"/>
      <c r="I1202" s="6"/>
      <c r="J1202" s="7"/>
      <c r="K1202" s="96" t="str">
        <f>HYPERLINK("#'Healthcare'!ATF1","Q6.6.14_12")</f>
        <v>Q6.6.14_12</v>
      </c>
      <c r="L1202" s="93" t="str">
        <f>HYPERLINK("#'Healthcare'!ATF2","Primary regional HMO medical plan out-of-network deductible per person: Out-patient surgical center")</f>
        <v>Primary regional HMO medical plan out-of-network deductible per person: Out-patient surgical center</v>
      </c>
      <c r="M1202" s="6"/>
      <c r="N1202" s="7"/>
      <c r="O1202" s="6"/>
      <c r="P1202" s="7"/>
      <c r="Q1202" s="6"/>
      <c r="R1202" s="7"/>
      <c r="S1202" s="6"/>
      <c r="T1202" s="7"/>
      <c r="U1202" s="6"/>
      <c r="V1202" s="7"/>
      <c r="W1202" s="6"/>
      <c r="X1202" s="7"/>
    </row>
    <row r="1203" spans="1:24" ht="38.25" x14ac:dyDescent="0.2">
      <c r="A1203" s="6"/>
      <c r="B1203" s="7"/>
      <c r="C1203" s="6"/>
      <c r="D1203" s="7"/>
      <c r="E1203" s="6"/>
      <c r="F1203" s="7"/>
      <c r="G1203" s="6"/>
      <c r="H1203" s="7"/>
      <c r="I1203" s="6"/>
      <c r="J1203" s="7"/>
      <c r="K1203" s="96" t="str">
        <f>HYPERLINK("#'Healthcare'!ATG1","Q6.6.14_13")</f>
        <v>Q6.6.14_13</v>
      </c>
      <c r="L1203" s="93" t="str">
        <f>HYPERLINK("#'Healthcare'!ATG2","Primary regional HMO medical plan out-of-network deductible per person: Prescription drugs (preventive)")</f>
        <v>Primary regional HMO medical plan out-of-network deductible per person: Prescription drugs (preventive)</v>
      </c>
      <c r="M1203" s="6"/>
      <c r="N1203" s="7"/>
      <c r="O1203" s="6"/>
      <c r="P1203" s="7"/>
      <c r="Q1203" s="6"/>
      <c r="R1203" s="7"/>
      <c r="S1203" s="6"/>
      <c r="T1203" s="7"/>
      <c r="U1203" s="6"/>
      <c r="V1203" s="7"/>
      <c r="W1203" s="6"/>
      <c r="X1203" s="7"/>
    </row>
    <row r="1204" spans="1:24" ht="38.25" x14ac:dyDescent="0.2">
      <c r="A1204" s="6"/>
      <c r="B1204" s="7"/>
      <c r="C1204" s="6"/>
      <c r="D1204" s="7"/>
      <c r="E1204" s="6"/>
      <c r="F1204" s="7"/>
      <c r="G1204" s="6"/>
      <c r="H1204" s="7"/>
      <c r="I1204" s="6"/>
      <c r="J1204" s="7"/>
      <c r="K1204" s="96" t="str">
        <f>HYPERLINK("#'Healthcare'!ATH1","Q6.6.14_14")</f>
        <v>Q6.6.14_14</v>
      </c>
      <c r="L1204" s="93" t="str">
        <f>HYPERLINK("#'Healthcare'!ATH2","Primary regional HMO medical plan out-of-network deductible per person: Prescription drugs (non-preventive)")</f>
        <v>Primary regional HMO medical plan out-of-network deductible per person: Prescription drugs (non-preventive)</v>
      </c>
      <c r="M1204" s="6"/>
      <c r="N1204" s="7"/>
      <c r="O1204" s="6"/>
      <c r="P1204" s="7"/>
      <c r="Q1204" s="6"/>
      <c r="R1204" s="7"/>
      <c r="S1204" s="6"/>
      <c r="T1204" s="7"/>
      <c r="U1204" s="6"/>
      <c r="V1204" s="7"/>
      <c r="W1204" s="6"/>
      <c r="X1204" s="7"/>
    </row>
    <row r="1205" spans="1:24" ht="38.25" x14ac:dyDescent="0.2">
      <c r="A1205" s="6"/>
      <c r="B1205" s="7"/>
      <c r="C1205" s="6"/>
      <c r="D1205" s="7"/>
      <c r="E1205" s="6"/>
      <c r="F1205" s="7"/>
      <c r="G1205" s="6"/>
      <c r="H1205" s="7"/>
      <c r="I1205" s="6"/>
      <c r="J1205" s="7"/>
      <c r="K1205" s="96" t="str">
        <f>HYPERLINK("#'Healthcare'!ATI1","Q6.6.14_15")</f>
        <v>Q6.6.14_15</v>
      </c>
      <c r="L1205" s="93" t="str">
        <f>HYPERLINK("#'Healthcare'!ATI2","Primary regional HMO medical plan out-of-network deductible per person: Therapies (speech, PT, OT)")</f>
        <v>Primary regional HMO medical plan out-of-network deductible per person: Therapies (speech, PT, OT)</v>
      </c>
      <c r="M1205" s="6"/>
      <c r="N1205" s="7"/>
      <c r="O1205" s="6"/>
      <c r="P1205" s="7"/>
      <c r="Q1205" s="6"/>
      <c r="R1205" s="7"/>
      <c r="S1205" s="6"/>
      <c r="T1205" s="7"/>
      <c r="U1205" s="6"/>
      <c r="V1205" s="7"/>
      <c r="W1205" s="6"/>
      <c r="X1205" s="7"/>
    </row>
    <row r="1206" spans="1:24" ht="25.5" x14ac:dyDescent="0.2">
      <c r="A1206" s="6"/>
      <c r="B1206" s="7"/>
      <c r="C1206" s="6"/>
      <c r="D1206" s="7"/>
      <c r="E1206" s="6"/>
      <c r="F1206" s="7"/>
      <c r="G1206" s="6"/>
      <c r="H1206" s="7"/>
      <c r="I1206" s="6"/>
      <c r="J1206" s="7"/>
      <c r="K1206" s="96" t="str">
        <f>HYPERLINK("#'Healthcare'!ATJ1","Q6.6.14_16")</f>
        <v>Q6.6.14_16</v>
      </c>
      <c r="L1206" s="93" t="str">
        <f>HYPERLINK("#'Healthcare'!ATJ2","Primary regional HMO medical plan out-of-network deductible per person: Other")</f>
        <v>Primary regional HMO medical plan out-of-network deductible per person: Other</v>
      </c>
      <c r="M1206" s="6"/>
      <c r="N1206" s="7"/>
      <c r="O1206" s="6"/>
      <c r="P1206" s="7"/>
      <c r="Q1206" s="6"/>
      <c r="R1206" s="7"/>
      <c r="S1206" s="6"/>
      <c r="T1206" s="7"/>
      <c r="U1206" s="6"/>
      <c r="V1206" s="7"/>
      <c r="W1206" s="6"/>
      <c r="X1206" s="7"/>
    </row>
    <row r="1207" spans="1:24" ht="38.25" x14ac:dyDescent="0.2">
      <c r="A1207" s="6"/>
      <c r="B1207" s="7"/>
      <c r="C1207" s="6"/>
      <c r="D1207" s="7"/>
      <c r="E1207" s="6"/>
      <c r="F1207" s="7"/>
      <c r="G1207" s="6"/>
      <c r="H1207" s="7"/>
      <c r="I1207" s="6"/>
      <c r="J1207" s="7"/>
      <c r="K1207" s="96" t="str">
        <f>HYPERLINK("#'Healthcare'!ATK1","Q6.6.15_1")</f>
        <v>Q6.6.15_1</v>
      </c>
      <c r="L1207" s="93" t="str">
        <f>HYPERLINK("#'Healthcare'!ATK2","Primary regional HMO medical plan out-of-network deductible per family: Not applicable - no separate deductibles")</f>
        <v>Primary regional HMO medical plan out-of-network deductible per family: Not applicable - no separate deductibles</v>
      </c>
      <c r="M1207" s="6"/>
      <c r="N1207" s="7"/>
      <c r="O1207" s="6"/>
      <c r="P1207" s="7"/>
      <c r="Q1207" s="6"/>
      <c r="R1207" s="7"/>
      <c r="S1207" s="6"/>
      <c r="T1207" s="7"/>
      <c r="U1207" s="6"/>
      <c r="V1207" s="7"/>
      <c r="W1207" s="6"/>
      <c r="X1207" s="7"/>
    </row>
    <row r="1208" spans="1:24" ht="25.5" x14ac:dyDescent="0.2">
      <c r="A1208" s="6"/>
      <c r="B1208" s="7"/>
      <c r="C1208" s="6"/>
      <c r="D1208" s="7"/>
      <c r="E1208" s="6"/>
      <c r="F1208" s="7"/>
      <c r="G1208" s="6"/>
      <c r="H1208" s="7"/>
      <c r="I1208" s="6"/>
      <c r="J1208" s="7"/>
      <c r="K1208" s="96" t="str">
        <f>HYPERLINK("#'Healthcare'!ATL1","Q6.6.15_5")</f>
        <v>Q6.6.15_5</v>
      </c>
      <c r="L1208" s="93" t="str">
        <f>HYPERLINK("#'Healthcare'!ATL2","Primary regional HMO medical plan out-of-network deductible per family: Acupuncture")</f>
        <v>Primary regional HMO medical plan out-of-network deductible per family: Acupuncture</v>
      </c>
      <c r="M1208" s="6"/>
      <c r="N1208" s="7"/>
      <c r="O1208" s="6"/>
      <c r="P1208" s="7"/>
      <c r="Q1208" s="6"/>
      <c r="R1208" s="7"/>
      <c r="S1208" s="6"/>
      <c r="T1208" s="7"/>
      <c r="U1208" s="6"/>
      <c r="V1208" s="7"/>
      <c r="W1208" s="6"/>
      <c r="X1208" s="7"/>
    </row>
    <row r="1209" spans="1:24" ht="25.5" x14ac:dyDescent="0.2">
      <c r="A1209" s="6"/>
      <c r="B1209" s="7"/>
      <c r="C1209" s="6"/>
      <c r="D1209" s="7"/>
      <c r="E1209" s="6"/>
      <c r="F1209" s="7"/>
      <c r="G1209" s="6"/>
      <c r="H1209" s="7"/>
      <c r="I1209" s="6"/>
      <c r="J1209" s="7"/>
      <c r="K1209" s="96" t="str">
        <f>HYPERLINK("#'Healthcare'!ATM1","Q6.6.15_6")</f>
        <v>Q6.6.15_6</v>
      </c>
      <c r="L1209" s="93" t="str">
        <f>HYPERLINK("#'Healthcare'!ATM2","Primary regional HMO medical plan out-of-network deductible per family: Chiropractic")</f>
        <v>Primary regional HMO medical plan out-of-network deductible per family: Chiropractic</v>
      </c>
      <c r="M1209" s="6"/>
      <c r="N1209" s="7"/>
      <c r="O1209" s="6"/>
      <c r="P1209" s="7"/>
      <c r="Q1209" s="6"/>
      <c r="R1209" s="7"/>
      <c r="S1209" s="6"/>
      <c r="T1209" s="7"/>
      <c r="U1209" s="6"/>
      <c r="V1209" s="7"/>
      <c r="W1209" s="6"/>
      <c r="X1209" s="7"/>
    </row>
    <row r="1210" spans="1:24" ht="38.25" x14ac:dyDescent="0.2">
      <c r="A1210" s="6"/>
      <c r="B1210" s="7"/>
      <c r="C1210" s="6"/>
      <c r="D1210" s="7"/>
      <c r="E1210" s="6"/>
      <c r="F1210" s="7"/>
      <c r="G1210" s="6"/>
      <c r="H1210" s="7"/>
      <c r="I1210" s="6"/>
      <c r="J1210" s="7"/>
      <c r="K1210" s="96" t="str">
        <f>HYPERLINK("#'Healthcare'!ATN1","Q6.6.15_7")</f>
        <v>Q6.6.15_7</v>
      </c>
      <c r="L1210" s="93" t="str">
        <f>HYPERLINK("#'Healthcare'!ATN2","Primary regional HMO medical plan out-of-network deductible per family: Emergency room (true emergency)")</f>
        <v>Primary regional HMO medical plan out-of-network deductible per family: Emergency room (true emergency)</v>
      </c>
      <c r="M1210" s="6"/>
      <c r="N1210" s="7"/>
      <c r="O1210" s="6"/>
      <c r="P1210" s="7"/>
      <c r="Q1210" s="6"/>
      <c r="R1210" s="7"/>
      <c r="S1210" s="6"/>
      <c r="T1210" s="7"/>
      <c r="U1210" s="6"/>
      <c r="V1210" s="7"/>
      <c r="W1210" s="6"/>
      <c r="X1210" s="7"/>
    </row>
    <row r="1211" spans="1:24" ht="38.25" x14ac:dyDescent="0.2">
      <c r="A1211" s="6"/>
      <c r="B1211" s="7"/>
      <c r="C1211" s="6"/>
      <c r="D1211" s="7"/>
      <c r="E1211" s="6"/>
      <c r="F1211" s="7"/>
      <c r="G1211" s="6"/>
      <c r="H1211" s="7"/>
      <c r="I1211" s="6"/>
      <c r="J1211" s="7"/>
      <c r="K1211" s="96" t="str">
        <f>HYPERLINK("#'Healthcare'!ATO1","Q6.6.15_8")</f>
        <v>Q6.6.15_8</v>
      </c>
      <c r="L1211" s="93" t="str">
        <f>HYPERLINK("#'Healthcare'!ATO2","Primary regional HMO medical plan out-of-network deductible per family: Emergency room (non-emergency)")</f>
        <v>Primary regional HMO medical plan out-of-network deductible per family: Emergency room (non-emergency)</v>
      </c>
      <c r="M1211" s="6"/>
      <c r="N1211" s="7"/>
      <c r="O1211" s="6"/>
      <c r="P1211" s="7"/>
      <c r="Q1211" s="6"/>
      <c r="R1211" s="7"/>
      <c r="S1211" s="6"/>
      <c r="T1211" s="7"/>
      <c r="U1211" s="6"/>
      <c r="V1211" s="7"/>
      <c r="W1211" s="6"/>
      <c r="X1211" s="7"/>
    </row>
    <row r="1212" spans="1:24" ht="38.25" x14ac:dyDescent="0.2">
      <c r="A1212" s="6"/>
      <c r="B1212" s="7"/>
      <c r="C1212" s="6"/>
      <c r="D1212" s="7"/>
      <c r="E1212" s="6"/>
      <c r="F1212" s="7"/>
      <c r="G1212" s="6"/>
      <c r="H1212" s="7"/>
      <c r="I1212" s="6"/>
      <c r="J1212" s="7"/>
      <c r="K1212" s="96" t="str">
        <f>HYPERLINK("#'Healthcare'!ATP1","Q6.6.15_9")</f>
        <v>Q6.6.15_9</v>
      </c>
      <c r="L1212" s="93" t="str">
        <f>HYPERLINK("#'Healthcare'!ATP2","Primary regional HMO medical plan out-of-network deductible per family: Emergency room (with hospital admittance)")</f>
        <v>Primary regional HMO medical plan out-of-network deductible per family: Emergency room (with hospital admittance)</v>
      </c>
      <c r="M1212" s="6"/>
      <c r="N1212" s="7"/>
      <c r="O1212" s="6"/>
      <c r="P1212" s="7"/>
      <c r="Q1212" s="6"/>
      <c r="R1212" s="7"/>
      <c r="S1212" s="6"/>
      <c r="T1212" s="7"/>
      <c r="U1212" s="6"/>
      <c r="V1212" s="7"/>
      <c r="W1212" s="6"/>
      <c r="X1212" s="7"/>
    </row>
    <row r="1213" spans="1:24" ht="38.25" x14ac:dyDescent="0.2">
      <c r="A1213" s="6"/>
      <c r="B1213" s="7"/>
      <c r="C1213" s="6"/>
      <c r="D1213" s="7"/>
      <c r="E1213" s="6"/>
      <c r="F1213" s="7"/>
      <c r="G1213" s="6"/>
      <c r="H1213" s="7"/>
      <c r="I1213" s="6"/>
      <c r="J1213" s="7"/>
      <c r="K1213" s="96" t="str">
        <f>HYPERLINK("#'Healthcare'!ATQ1","Q6.6.15_10")</f>
        <v>Q6.6.15_10</v>
      </c>
      <c r="L1213" s="93" t="str">
        <f>HYPERLINK("#'Healthcare'!ATQ2","Primary regional HMO medical plan out-of-network deductible per family: In-patient hospital")</f>
        <v>Primary regional HMO medical plan out-of-network deductible per family: In-patient hospital</v>
      </c>
      <c r="M1213" s="6"/>
      <c r="N1213" s="7"/>
      <c r="O1213" s="6"/>
      <c r="P1213" s="7"/>
      <c r="Q1213" s="6"/>
      <c r="R1213" s="7"/>
      <c r="S1213" s="6"/>
      <c r="T1213" s="7"/>
      <c r="U1213" s="6"/>
      <c r="V1213" s="7"/>
      <c r="W1213" s="6"/>
      <c r="X1213" s="7"/>
    </row>
    <row r="1214" spans="1:24" ht="38.25" x14ac:dyDescent="0.2">
      <c r="A1214" s="6"/>
      <c r="B1214" s="7"/>
      <c r="C1214" s="6"/>
      <c r="D1214" s="7"/>
      <c r="E1214" s="6"/>
      <c r="F1214" s="7"/>
      <c r="G1214" s="6"/>
      <c r="H1214" s="7"/>
      <c r="I1214" s="6"/>
      <c r="J1214" s="7"/>
      <c r="K1214" s="96" t="str">
        <f>HYPERLINK("#'Healthcare'!ATR1","Q6.6.15_11")</f>
        <v>Q6.6.15_11</v>
      </c>
      <c r="L1214" s="93" t="str">
        <f>HYPERLINK("#'Healthcare'!ATR2","Primary regional HMO medical plan out-of-network deductible per family: Mental health/substance abuse")</f>
        <v>Primary regional HMO medical plan out-of-network deductible per family: Mental health/substance abuse</v>
      </c>
      <c r="M1214" s="6"/>
      <c r="N1214" s="7"/>
      <c r="O1214" s="6"/>
      <c r="P1214" s="7"/>
      <c r="Q1214" s="6"/>
      <c r="R1214" s="7"/>
      <c r="S1214" s="6"/>
      <c r="T1214" s="7"/>
      <c r="U1214" s="6"/>
      <c r="V1214" s="7"/>
      <c r="W1214" s="6"/>
      <c r="X1214" s="7"/>
    </row>
    <row r="1215" spans="1:24" ht="38.25" x14ac:dyDescent="0.2">
      <c r="A1215" s="6"/>
      <c r="B1215" s="7"/>
      <c r="C1215" s="6"/>
      <c r="D1215" s="7"/>
      <c r="E1215" s="6"/>
      <c r="F1215" s="7"/>
      <c r="G1215" s="6"/>
      <c r="H1215" s="7"/>
      <c r="I1215" s="6"/>
      <c r="J1215" s="7"/>
      <c r="K1215" s="96" t="str">
        <f>HYPERLINK("#'Healthcare'!ATS1","Q6.6.15_12")</f>
        <v>Q6.6.15_12</v>
      </c>
      <c r="L1215" s="93" t="str">
        <f>HYPERLINK("#'Healthcare'!ATS2","Primary regional HMO medical plan out-of-network deductible per family: Out-patient surgical center")</f>
        <v>Primary regional HMO medical plan out-of-network deductible per family: Out-patient surgical center</v>
      </c>
      <c r="M1215" s="6"/>
      <c r="N1215" s="7"/>
      <c r="O1215" s="6"/>
      <c r="P1215" s="7"/>
      <c r="Q1215" s="6"/>
      <c r="R1215" s="7"/>
      <c r="S1215" s="6"/>
      <c r="T1215" s="7"/>
      <c r="U1215" s="6"/>
      <c r="V1215" s="7"/>
      <c r="W1215" s="6"/>
      <c r="X1215" s="7"/>
    </row>
    <row r="1216" spans="1:24" ht="38.25" x14ac:dyDescent="0.2">
      <c r="A1216" s="6"/>
      <c r="B1216" s="7"/>
      <c r="C1216" s="6"/>
      <c r="D1216" s="7"/>
      <c r="E1216" s="6"/>
      <c r="F1216" s="7"/>
      <c r="G1216" s="6"/>
      <c r="H1216" s="7"/>
      <c r="I1216" s="6"/>
      <c r="J1216" s="7"/>
      <c r="K1216" s="96" t="str">
        <f>HYPERLINK("#'Healthcare'!ATT1","Q6.6.15_13")</f>
        <v>Q6.6.15_13</v>
      </c>
      <c r="L1216" s="93" t="str">
        <f>HYPERLINK("#'Healthcare'!ATT2","Primary regional HMO medical plan out-of-network deductible per family: Prescription drugs (preventive)")</f>
        <v>Primary regional HMO medical plan out-of-network deductible per family: Prescription drugs (preventive)</v>
      </c>
      <c r="M1216" s="6"/>
      <c r="N1216" s="7"/>
      <c r="O1216" s="6"/>
      <c r="P1216" s="7"/>
      <c r="Q1216" s="6"/>
      <c r="R1216" s="7"/>
      <c r="S1216" s="6"/>
      <c r="T1216" s="7"/>
      <c r="U1216" s="6"/>
      <c r="V1216" s="7"/>
      <c r="W1216" s="6"/>
      <c r="X1216" s="7"/>
    </row>
    <row r="1217" spans="1:24" ht="38.25" x14ac:dyDescent="0.2">
      <c r="A1217" s="6"/>
      <c r="B1217" s="7"/>
      <c r="C1217" s="6"/>
      <c r="D1217" s="7"/>
      <c r="E1217" s="6"/>
      <c r="F1217" s="7"/>
      <c r="G1217" s="6"/>
      <c r="H1217" s="7"/>
      <c r="I1217" s="6"/>
      <c r="J1217" s="7"/>
      <c r="K1217" s="96" t="str">
        <f>HYPERLINK("#'Healthcare'!ATU1","Q6.6.15_14")</f>
        <v>Q6.6.15_14</v>
      </c>
      <c r="L1217" s="93" t="str">
        <f>HYPERLINK("#'Healthcare'!ATU2","Primary regional HMO medical plan out-of-network deductible per family: Prescription drugs (non-preventive)")</f>
        <v>Primary regional HMO medical plan out-of-network deductible per family: Prescription drugs (non-preventive)</v>
      </c>
      <c r="M1217" s="6"/>
      <c r="N1217" s="7"/>
      <c r="O1217" s="6"/>
      <c r="P1217" s="7"/>
      <c r="Q1217" s="6"/>
      <c r="R1217" s="7"/>
      <c r="S1217" s="6"/>
      <c r="T1217" s="7"/>
      <c r="U1217" s="6"/>
      <c r="V1217" s="7"/>
      <c r="W1217" s="6"/>
      <c r="X1217" s="7"/>
    </row>
    <row r="1218" spans="1:24" ht="38.25" x14ac:dyDescent="0.2">
      <c r="A1218" s="6"/>
      <c r="B1218" s="7"/>
      <c r="C1218" s="6"/>
      <c r="D1218" s="7"/>
      <c r="E1218" s="6"/>
      <c r="F1218" s="7"/>
      <c r="G1218" s="6"/>
      <c r="H1218" s="7"/>
      <c r="I1218" s="6"/>
      <c r="J1218" s="7"/>
      <c r="K1218" s="96" t="str">
        <f>HYPERLINK("#'Healthcare'!ATV1","Q6.6.15_15")</f>
        <v>Q6.6.15_15</v>
      </c>
      <c r="L1218" s="93" t="str">
        <f>HYPERLINK("#'Healthcare'!ATV2","Primary regional HMO medical plan out-of-network deductible per family: Therapies (speech, PT, OT)")</f>
        <v>Primary regional HMO medical plan out-of-network deductible per family: Therapies (speech, PT, OT)</v>
      </c>
      <c r="M1218" s="6"/>
      <c r="N1218" s="7"/>
      <c r="O1218" s="6"/>
      <c r="P1218" s="7"/>
      <c r="Q1218" s="6"/>
      <c r="R1218" s="7"/>
      <c r="S1218" s="6"/>
      <c r="T1218" s="7"/>
      <c r="U1218" s="6"/>
      <c r="V1218" s="7"/>
      <c r="W1218" s="6"/>
      <c r="X1218" s="7"/>
    </row>
    <row r="1219" spans="1:24" ht="25.5" x14ac:dyDescent="0.2">
      <c r="A1219" s="6"/>
      <c r="B1219" s="7"/>
      <c r="C1219" s="6"/>
      <c r="D1219" s="7"/>
      <c r="E1219" s="6"/>
      <c r="F1219" s="7"/>
      <c r="G1219" s="6"/>
      <c r="H1219" s="7"/>
      <c r="I1219" s="6"/>
      <c r="J1219" s="7"/>
      <c r="K1219" s="96" t="str">
        <f>HYPERLINK("#'Healthcare'!ATW1","Q6.6.15_16")</f>
        <v>Q6.6.15_16</v>
      </c>
      <c r="L1219" s="93" t="str">
        <f>HYPERLINK("#'Healthcare'!ATW2","Primary regional HMO medical plan out-of-network deductible per family: Other")</f>
        <v>Primary regional HMO medical plan out-of-network deductible per family: Other</v>
      </c>
      <c r="M1219" s="6"/>
      <c r="N1219" s="7"/>
      <c r="O1219" s="6"/>
      <c r="P1219" s="7"/>
      <c r="Q1219" s="6"/>
      <c r="R1219" s="7"/>
      <c r="S1219" s="6"/>
      <c r="T1219" s="7"/>
      <c r="U1219" s="6"/>
      <c r="V1219" s="7"/>
      <c r="W1219" s="6"/>
      <c r="X1219" s="7"/>
    </row>
    <row r="1220" spans="1:24" ht="25.5" x14ac:dyDescent="0.2">
      <c r="A1220" s="6"/>
      <c r="B1220" s="7"/>
      <c r="C1220" s="6"/>
      <c r="D1220" s="7"/>
      <c r="E1220" s="6"/>
      <c r="F1220" s="7"/>
      <c r="G1220" s="6"/>
      <c r="H1220" s="7"/>
      <c r="I1220" s="6"/>
      <c r="J1220" s="7"/>
      <c r="K1220" s="96" t="str">
        <f>HYPERLINK("#'Healthcare'!ATX1","Q6.6.16")</f>
        <v>Q6.6.16</v>
      </c>
      <c r="L1220" s="93" t="str">
        <f>HYPERLINK("#'Healthcare'!ATX2","Primary regional HMO  medical plan: Annual plan limit")</f>
        <v>Primary regional HMO  medical plan: Annual plan limit</v>
      </c>
      <c r="M1220" s="6"/>
      <c r="N1220" s="7"/>
      <c r="O1220" s="6"/>
      <c r="P1220" s="7"/>
      <c r="Q1220" s="6"/>
      <c r="R1220" s="7"/>
      <c r="S1220" s="6"/>
      <c r="T1220" s="7"/>
      <c r="U1220" s="6"/>
      <c r="V1220" s="7"/>
      <c r="W1220" s="6"/>
      <c r="X1220" s="7"/>
    </row>
    <row r="1221" spans="1:24" ht="25.5" x14ac:dyDescent="0.2">
      <c r="A1221" s="6"/>
      <c r="B1221" s="7"/>
      <c r="C1221" s="6"/>
      <c r="D1221" s="7"/>
      <c r="E1221" s="6"/>
      <c r="F1221" s="7"/>
      <c r="G1221" s="6"/>
      <c r="H1221" s="7"/>
      <c r="I1221" s="6"/>
      <c r="J1221" s="7"/>
      <c r="K1221" s="96" t="str">
        <f>HYPERLINK("#'Healthcare'!ATY1","Q6.6.18")</f>
        <v>Q6.6.18</v>
      </c>
      <c r="L1221" s="93" t="str">
        <f>HYPERLINK("#'Healthcare'!ATY2","Primary regional HMO medical plan: Covers emergency services for non-emergencies")</f>
        <v>Primary regional HMO medical plan: Covers emergency services for non-emergencies</v>
      </c>
      <c r="M1221" s="6"/>
      <c r="N1221" s="7"/>
      <c r="O1221" s="6"/>
      <c r="P1221" s="7"/>
      <c r="Q1221" s="6"/>
      <c r="R1221" s="7"/>
      <c r="S1221" s="6"/>
      <c r="T1221" s="7"/>
      <c r="U1221" s="6"/>
      <c r="V1221" s="7"/>
      <c r="W1221" s="6"/>
      <c r="X1221" s="7"/>
    </row>
    <row r="1222" spans="1:24" ht="38.25" x14ac:dyDescent="0.2">
      <c r="A1222" s="6"/>
      <c r="B1222" s="7"/>
      <c r="C1222" s="6"/>
      <c r="D1222" s="7"/>
      <c r="E1222" s="6"/>
      <c r="F1222" s="7"/>
      <c r="G1222" s="6"/>
      <c r="H1222" s="7"/>
      <c r="I1222" s="6"/>
      <c r="J1222" s="7"/>
      <c r="K1222" s="96" t="str">
        <f>HYPERLINK("#'Healthcare'!ATZ1","Q6.6.19")</f>
        <v>Q6.6.19</v>
      </c>
      <c r="L1222" s="93" t="str">
        <f>HYPERLINK("#'Healthcare'!ATZ2","Primary regional HMO medical plan: Covers emergency services for non-emergencies at reduced amount")</f>
        <v>Primary regional HMO medical plan: Covers emergency services for non-emergencies at reduced amount</v>
      </c>
      <c r="M1222" s="6"/>
      <c r="N1222" s="7"/>
      <c r="O1222" s="6"/>
      <c r="P1222" s="7"/>
      <c r="Q1222" s="6"/>
      <c r="R1222" s="7"/>
      <c r="S1222" s="6"/>
      <c r="T1222" s="7"/>
      <c r="U1222" s="6"/>
      <c r="V1222" s="7"/>
      <c r="W1222" s="6"/>
      <c r="X1222" s="7"/>
    </row>
    <row r="1223" spans="1:24" ht="38.25" x14ac:dyDescent="0.2">
      <c r="A1223" s="6"/>
      <c r="B1223" s="7"/>
      <c r="C1223" s="6"/>
      <c r="D1223" s="7"/>
      <c r="E1223" s="6"/>
      <c r="F1223" s="7"/>
      <c r="G1223" s="6"/>
      <c r="H1223" s="7"/>
      <c r="I1223" s="6"/>
      <c r="J1223" s="7"/>
      <c r="K1223" s="96" t="str">
        <f>HYPERLINK("#'Healthcare'!AUA1","Q6.6.20")</f>
        <v>Q6.6.20</v>
      </c>
      <c r="L1223" s="93" t="str">
        <f>HYPERLINK("#'Healthcare'!AUA2","Primary regional HMO medical plan: Covers mental health and substance abuse emergencies differently")</f>
        <v>Primary regional HMO medical plan: Covers mental health and substance abuse emergencies differently</v>
      </c>
      <c r="M1223" s="6"/>
      <c r="N1223" s="7"/>
      <c r="O1223" s="6"/>
      <c r="P1223" s="7"/>
      <c r="Q1223" s="6"/>
      <c r="R1223" s="7"/>
      <c r="S1223" s="6"/>
      <c r="T1223" s="7"/>
      <c r="U1223" s="6"/>
      <c r="V1223" s="7"/>
      <c r="W1223" s="6"/>
      <c r="X1223" s="7"/>
    </row>
    <row r="1224" spans="1:24" ht="38.25" x14ac:dyDescent="0.2">
      <c r="A1224" s="6"/>
      <c r="B1224" s="7"/>
      <c r="C1224" s="6"/>
      <c r="D1224" s="7"/>
      <c r="E1224" s="6"/>
      <c r="F1224" s="7"/>
      <c r="G1224" s="6"/>
      <c r="H1224" s="7"/>
      <c r="I1224" s="6"/>
      <c r="J1224" s="7"/>
      <c r="K1224" s="96" t="str">
        <f>HYPERLINK("#'Healthcare'!AUB1","Q6.6.21")</f>
        <v>Q6.6.21</v>
      </c>
      <c r="L1224" s="93" t="str">
        <f>HYPERLINK("#'Healthcare'!AUB2","Primary regional HMO medical plan: Coverage for mental health and substance abuse emergencies")</f>
        <v>Primary regional HMO medical plan: Coverage for mental health and substance abuse emergencies</v>
      </c>
      <c r="M1224" s="6"/>
      <c r="N1224" s="7"/>
      <c r="O1224" s="6"/>
      <c r="P1224" s="7"/>
      <c r="Q1224" s="6"/>
      <c r="R1224" s="7"/>
      <c r="S1224" s="6"/>
      <c r="T1224" s="7"/>
      <c r="U1224" s="6"/>
      <c r="V1224" s="7"/>
      <c r="W1224" s="6"/>
      <c r="X1224" s="7"/>
    </row>
    <row r="1225" spans="1:24" ht="25.5" x14ac:dyDescent="0.2">
      <c r="A1225" s="6"/>
      <c r="B1225" s="7"/>
      <c r="C1225" s="6"/>
      <c r="D1225" s="7"/>
      <c r="E1225" s="6"/>
      <c r="F1225" s="7"/>
      <c r="G1225" s="6"/>
      <c r="H1225" s="7"/>
      <c r="I1225" s="6"/>
      <c r="J1225" s="7"/>
      <c r="K1225" s="96" t="str">
        <f>HYPERLINK("#'Healthcare'!AUC1","Q6.6.22")</f>
        <v>Q6.6.22</v>
      </c>
      <c r="L1225" s="93" t="str">
        <f>HYPERLINK("#'Healthcare'!AUC2","Primary regional HMO medical plan non-acute care services in-network coverage")</f>
        <v>Primary regional HMO medical plan non-acute care services in-network coverage</v>
      </c>
      <c r="M1225" s="6"/>
      <c r="N1225" s="7"/>
      <c r="O1225" s="6"/>
      <c r="P1225" s="7"/>
      <c r="Q1225" s="6"/>
      <c r="R1225" s="7"/>
      <c r="S1225" s="6"/>
      <c r="T1225" s="7"/>
      <c r="U1225" s="6"/>
      <c r="V1225" s="7"/>
      <c r="W1225" s="6"/>
      <c r="X1225" s="7"/>
    </row>
    <row r="1226" spans="1:24" ht="25.5" x14ac:dyDescent="0.2">
      <c r="A1226" s="6"/>
      <c r="B1226" s="7"/>
      <c r="C1226" s="6"/>
      <c r="D1226" s="7"/>
      <c r="E1226" s="6"/>
      <c r="F1226" s="7"/>
      <c r="G1226" s="6"/>
      <c r="H1226" s="7"/>
      <c r="I1226" s="6"/>
      <c r="J1226" s="7"/>
      <c r="K1226" s="96" t="str">
        <f>HYPERLINK("#'Healthcare'!AUD1","Q6.6.23")</f>
        <v>Q6.6.23</v>
      </c>
      <c r="L1226" s="93" t="str">
        <f>HYPERLINK("#'Healthcare'!AUD2","Primary regional HMO medical plan non-acute care services out-of-network coverage")</f>
        <v>Primary regional HMO medical plan non-acute care services out-of-network coverage</v>
      </c>
      <c r="M1226" s="6"/>
      <c r="N1226" s="7"/>
      <c r="O1226" s="6"/>
      <c r="P1226" s="7"/>
      <c r="Q1226" s="6"/>
      <c r="R1226" s="7"/>
      <c r="S1226" s="6"/>
      <c r="T1226" s="7"/>
      <c r="U1226" s="6"/>
      <c r="V1226" s="7"/>
      <c r="W1226" s="6"/>
      <c r="X1226" s="7"/>
    </row>
    <row r="1227" spans="1:24" ht="25.5" x14ac:dyDescent="0.2">
      <c r="A1227" s="6"/>
      <c r="B1227" s="7"/>
      <c r="C1227" s="6"/>
      <c r="D1227" s="7"/>
      <c r="E1227" s="6"/>
      <c r="F1227" s="7"/>
      <c r="G1227" s="6"/>
      <c r="H1227" s="7"/>
      <c r="I1227" s="6"/>
      <c r="J1227" s="7"/>
      <c r="K1227" s="96" t="str">
        <f>HYPERLINK("#'Healthcare'!AUE1","Q6.6.24_1")</f>
        <v>Q6.6.24_1</v>
      </c>
      <c r="L1227" s="93" t="str">
        <f>HYPERLINK("#'Healthcare'!AUE2","Primary regional HMO medical plan in-network copayment: General/Primary care office visit")</f>
        <v>Primary regional HMO medical plan in-network copayment: General/Primary care office visit</v>
      </c>
      <c r="M1227" s="6"/>
      <c r="N1227" s="7"/>
      <c r="O1227" s="6"/>
      <c r="P1227" s="7"/>
      <c r="Q1227" s="6"/>
      <c r="R1227" s="7"/>
      <c r="S1227" s="6"/>
      <c r="T1227" s="7"/>
      <c r="U1227" s="6"/>
      <c r="V1227" s="7"/>
      <c r="W1227" s="6"/>
      <c r="X1227" s="7"/>
    </row>
    <row r="1228" spans="1:24" ht="25.5" x14ac:dyDescent="0.2">
      <c r="A1228" s="6"/>
      <c r="B1228" s="7"/>
      <c r="C1228" s="6"/>
      <c r="D1228" s="7"/>
      <c r="E1228" s="6"/>
      <c r="F1228" s="7"/>
      <c r="G1228" s="6"/>
      <c r="H1228" s="7"/>
      <c r="I1228" s="6"/>
      <c r="J1228" s="7"/>
      <c r="K1228" s="96" t="str">
        <f>HYPERLINK("#'Healthcare'!AUF1","Q6.6.24_2")</f>
        <v>Q6.6.24_2</v>
      </c>
      <c r="L1228" s="93" t="str">
        <f>HYPERLINK("#'Healthcare'!AUF2","Primary regional HMO medical plan in-network copayment: Specialist office visit")</f>
        <v>Primary regional HMO medical plan in-network copayment: Specialist office visit</v>
      </c>
      <c r="M1228" s="6"/>
      <c r="N1228" s="7"/>
      <c r="O1228" s="6"/>
      <c r="P1228" s="7"/>
      <c r="Q1228" s="6"/>
      <c r="R1228" s="7"/>
      <c r="S1228" s="6"/>
      <c r="T1228" s="7"/>
      <c r="U1228" s="6"/>
      <c r="V1228" s="7"/>
      <c r="W1228" s="6"/>
      <c r="X1228" s="7"/>
    </row>
    <row r="1229" spans="1:24" ht="38.25" x14ac:dyDescent="0.2">
      <c r="A1229" s="6"/>
      <c r="B1229" s="7"/>
      <c r="C1229" s="6"/>
      <c r="D1229" s="7"/>
      <c r="E1229" s="6"/>
      <c r="F1229" s="7"/>
      <c r="G1229" s="6"/>
      <c r="H1229" s="7"/>
      <c r="I1229" s="6"/>
      <c r="J1229" s="7"/>
      <c r="K1229" s="96" t="str">
        <f>HYPERLINK("#'Healthcare'!AUG1","Q6.6.24_3")</f>
        <v>Q6.6.24_3</v>
      </c>
      <c r="L1229" s="93" t="str">
        <f>HYPERLINK("#'Healthcare'!AUG2","Primary regional HMO medical plan in-network copayment: Autism/applied behavioral analysis (ABA)")</f>
        <v>Primary regional HMO medical plan in-network copayment: Autism/applied behavioral analysis (ABA)</v>
      </c>
      <c r="M1229" s="6"/>
      <c r="N1229" s="7"/>
      <c r="O1229" s="6"/>
      <c r="P1229" s="7"/>
      <c r="Q1229" s="6"/>
      <c r="R1229" s="7"/>
      <c r="S1229" s="6"/>
      <c r="T1229" s="7"/>
      <c r="U1229" s="6"/>
      <c r="V1229" s="7"/>
      <c r="W1229" s="6"/>
      <c r="X1229" s="7"/>
    </row>
    <row r="1230" spans="1:24" ht="25.5" x14ac:dyDescent="0.2">
      <c r="A1230" s="6"/>
      <c r="B1230" s="7"/>
      <c r="C1230" s="6"/>
      <c r="D1230" s="7"/>
      <c r="E1230" s="6"/>
      <c r="F1230" s="7"/>
      <c r="G1230" s="6"/>
      <c r="H1230" s="7"/>
      <c r="I1230" s="6"/>
      <c r="J1230" s="7"/>
      <c r="K1230" s="96" t="str">
        <f>HYPERLINK("#'Healthcare'!AUH1","Q6.6.24_4")</f>
        <v>Q6.6.24_4</v>
      </c>
      <c r="L1230" s="93" t="str">
        <f>HYPERLINK("#'Healthcare'!AUH2","Primary regional HMO medical plan in-network copayment: Emergency room")</f>
        <v>Primary regional HMO medical plan in-network copayment: Emergency room</v>
      </c>
      <c r="M1230" s="6"/>
      <c r="N1230" s="7"/>
      <c r="O1230" s="6"/>
      <c r="P1230" s="7"/>
      <c r="Q1230" s="6"/>
      <c r="R1230" s="7"/>
      <c r="S1230" s="6"/>
      <c r="T1230" s="7"/>
      <c r="U1230" s="6"/>
      <c r="V1230" s="7"/>
      <c r="W1230" s="6"/>
      <c r="X1230" s="7"/>
    </row>
    <row r="1231" spans="1:24" ht="25.5" x14ac:dyDescent="0.2">
      <c r="A1231" s="6"/>
      <c r="B1231" s="7"/>
      <c r="C1231" s="6"/>
      <c r="D1231" s="7"/>
      <c r="E1231" s="6"/>
      <c r="F1231" s="7"/>
      <c r="G1231" s="6"/>
      <c r="H1231" s="7"/>
      <c r="I1231" s="6"/>
      <c r="J1231" s="7"/>
      <c r="K1231" s="96" t="str">
        <f>HYPERLINK("#'Healthcare'!AUI1","Q6.6.24_5")</f>
        <v>Q6.6.24_5</v>
      </c>
      <c r="L1231" s="93" t="str">
        <f>HYPERLINK("#'Healthcare'!AUI2","Primary regional HMO medical plan in-network copayment: Urgent office visit")</f>
        <v>Primary regional HMO medical plan in-network copayment: Urgent office visit</v>
      </c>
      <c r="M1231" s="6"/>
      <c r="N1231" s="7"/>
      <c r="O1231" s="6"/>
      <c r="P1231" s="7"/>
      <c r="Q1231" s="6"/>
      <c r="R1231" s="7"/>
      <c r="S1231" s="6"/>
      <c r="T1231" s="7"/>
      <c r="U1231" s="6"/>
      <c r="V1231" s="7"/>
      <c r="W1231" s="6"/>
      <c r="X1231" s="7"/>
    </row>
    <row r="1232" spans="1:24" ht="25.5" x14ac:dyDescent="0.2">
      <c r="A1232" s="6"/>
      <c r="B1232" s="7"/>
      <c r="C1232" s="6"/>
      <c r="D1232" s="7"/>
      <c r="E1232" s="6"/>
      <c r="F1232" s="7"/>
      <c r="G1232" s="6"/>
      <c r="H1232" s="7"/>
      <c r="I1232" s="6"/>
      <c r="J1232" s="7"/>
      <c r="K1232" s="96" t="str">
        <f>HYPERLINK("#'Healthcare'!AUJ1","Q6.6.24_7")</f>
        <v>Q6.6.24_7</v>
      </c>
      <c r="L1232" s="93" t="str">
        <f>HYPERLINK("#'Healthcare'!AUJ2","Primary regional HMO medical plan in-network copayment: Telehealth")</f>
        <v>Primary regional HMO medical plan in-network copayment: Telehealth</v>
      </c>
      <c r="M1232" s="6"/>
      <c r="N1232" s="7"/>
      <c r="O1232" s="6"/>
      <c r="P1232" s="7"/>
      <c r="Q1232" s="6"/>
      <c r="R1232" s="7"/>
      <c r="S1232" s="6"/>
      <c r="T1232" s="7"/>
      <c r="U1232" s="6"/>
      <c r="V1232" s="7"/>
      <c r="W1232" s="6"/>
      <c r="X1232" s="7"/>
    </row>
    <row r="1233" spans="1:24" ht="25.5" x14ac:dyDescent="0.2">
      <c r="A1233" s="6"/>
      <c r="B1233" s="7"/>
      <c r="C1233" s="6"/>
      <c r="D1233" s="7"/>
      <c r="E1233" s="6"/>
      <c r="F1233" s="7"/>
      <c r="G1233" s="6"/>
      <c r="H1233" s="7"/>
      <c r="I1233" s="6"/>
      <c r="J1233" s="7"/>
      <c r="K1233" s="96" t="str">
        <f>HYPERLINK("#'Healthcare'!AUK1","Q6.6.24_6")</f>
        <v>Q6.6.24_6</v>
      </c>
      <c r="L1233" s="93" t="str">
        <f>HYPERLINK("#'Healthcare'!AUK2","Primary regional HMO medical plan in-network copayment: Other")</f>
        <v>Primary regional HMO medical plan in-network copayment: Other</v>
      </c>
      <c r="M1233" s="6"/>
      <c r="N1233" s="7"/>
      <c r="O1233" s="6"/>
      <c r="P1233" s="7"/>
      <c r="Q1233" s="6"/>
      <c r="R1233" s="7"/>
      <c r="S1233" s="6"/>
      <c r="T1233" s="7"/>
      <c r="U1233" s="6"/>
      <c r="V1233" s="7"/>
      <c r="W1233" s="6"/>
      <c r="X1233" s="7"/>
    </row>
    <row r="1234" spans="1:24" ht="25.5" x14ac:dyDescent="0.2">
      <c r="A1234" s="6"/>
      <c r="B1234" s="7"/>
      <c r="C1234" s="6"/>
      <c r="D1234" s="7"/>
      <c r="E1234" s="6"/>
      <c r="F1234" s="7"/>
      <c r="G1234" s="6"/>
      <c r="H1234" s="7"/>
      <c r="I1234" s="6"/>
      <c r="J1234" s="7"/>
      <c r="K1234" s="96" t="str">
        <f>HYPERLINK("#'Healthcare'!AUL1","Q6.6.25_1")</f>
        <v>Q6.6.25_1</v>
      </c>
      <c r="L1234" s="93" t="str">
        <f>HYPERLINK("#'Healthcare'!AUL2","Primary regional HMO medical plan in-network coinsurance: General/Primary care office visit")</f>
        <v>Primary regional HMO medical plan in-network coinsurance: General/Primary care office visit</v>
      </c>
      <c r="M1234" s="6"/>
      <c r="N1234" s="7"/>
      <c r="O1234" s="6"/>
      <c r="P1234" s="7"/>
      <c r="Q1234" s="6"/>
      <c r="R1234" s="7"/>
      <c r="S1234" s="6"/>
      <c r="T1234" s="7"/>
      <c r="U1234" s="6"/>
      <c r="V1234" s="7"/>
      <c r="W1234" s="6"/>
      <c r="X1234" s="7"/>
    </row>
    <row r="1235" spans="1:24" ht="25.5" x14ac:dyDescent="0.2">
      <c r="A1235" s="6"/>
      <c r="B1235" s="7"/>
      <c r="C1235" s="6"/>
      <c r="D1235" s="7"/>
      <c r="E1235" s="6"/>
      <c r="F1235" s="7"/>
      <c r="G1235" s="6"/>
      <c r="H1235" s="7"/>
      <c r="I1235" s="6"/>
      <c r="J1235" s="7"/>
      <c r="K1235" s="96" t="str">
        <f>HYPERLINK("#'Healthcare'!AUM1","Q6.6.25_2")</f>
        <v>Q6.6.25_2</v>
      </c>
      <c r="L1235" s="93" t="str">
        <f>HYPERLINK("#'Healthcare'!AUM2","Primary regional HMO medical plan in-network coinsurance: Specialist office visit")</f>
        <v>Primary regional HMO medical plan in-network coinsurance: Specialist office visit</v>
      </c>
      <c r="M1235" s="6"/>
      <c r="N1235" s="7"/>
      <c r="O1235" s="6"/>
      <c r="P1235" s="7"/>
      <c r="Q1235" s="6"/>
      <c r="R1235" s="7"/>
      <c r="S1235" s="6"/>
      <c r="T1235" s="7"/>
      <c r="U1235" s="6"/>
      <c r="V1235" s="7"/>
      <c r="W1235" s="6"/>
      <c r="X1235" s="7"/>
    </row>
    <row r="1236" spans="1:24" ht="38.25" x14ac:dyDescent="0.2">
      <c r="A1236" s="6"/>
      <c r="B1236" s="7"/>
      <c r="C1236" s="6"/>
      <c r="D1236" s="7"/>
      <c r="E1236" s="6"/>
      <c r="F1236" s="7"/>
      <c r="G1236" s="6"/>
      <c r="H1236" s="7"/>
      <c r="I1236" s="6"/>
      <c r="J1236" s="7"/>
      <c r="K1236" s="96" t="str">
        <f>HYPERLINK("#'Healthcare'!AUN1","Q6.6.25_3")</f>
        <v>Q6.6.25_3</v>
      </c>
      <c r="L1236" s="93" t="str">
        <f>HYPERLINK("#'Healthcare'!AUN2","Primary regional HMO medical plan in-network coinsurance: Autism/applied behavioral analysis (ABA)")</f>
        <v>Primary regional HMO medical plan in-network coinsurance: Autism/applied behavioral analysis (ABA)</v>
      </c>
      <c r="M1236" s="6"/>
      <c r="N1236" s="7"/>
      <c r="O1236" s="6"/>
      <c r="P1236" s="7"/>
      <c r="Q1236" s="6"/>
      <c r="R1236" s="7"/>
      <c r="S1236" s="6"/>
      <c r="T1236" s="7"/>
      <c r="U1236" s="6"/>
      <c r="V1236" s="7"/>
      <c r="W1236" s="6"/>
      <c r="X1236" s="7"/>
    </row>
    <row r="1237" spans="1:24" ht="25.5" x14ac:dyDescent="0.2">
      <c r="A1237" s="6"/>
      <c r="B1237" s="7"/>
      <c r="C1237" s="6"/>
      <c r="D1237" s="7"/>
      <c r="E1237" s="6"/>
      <c r="F1237" s="7"/>
      <c r="G1237" s="6"/>
      <c r="H1237" s="7"/>
      <c r="I1237" s="6"/>
      <c r="J1237" s="7"/>
      <c r="K1237" s="96" t="str">
        <f>HYPERLINK("#'Healthcare'!AUO1","Q6.6.25_4")</f>
        <v>Q6.6.25_4</v>
      </c>
      <c r="L1237" s="93" t="str">
        <f>HYPERLINK("#'Healthcare'!AUO2","Primary regional HMO medical plan in-network coinsurance: Emergency room")</f>
        <v>Primary regional HMO medical plan in-network coinsurance: Emergency room</v>
      </c>
      <c r="M1237" s="6"/>
      <c r="N1237" s="7"/>
      <c r="O1237" s="6"/>
      <c r="P1237" s="7"/>
      <c r="Q1237" s="6"/>
      <c r="R1237" s="7"/>
      <c r="S1237" s="6"/>
      <c r="T1237" s="7"/>
      <c r="U1237" s="6"/>
      <c r="V1237" s="7"/>
      <c r="W1237" s="6"/>
      <c r="X1237" s="7"/>
    </row>
    <row r="1238" spans="1:24" ht="25.5" x14ac:dyDescent="0.2">
      <c r="A1238" s="6"/>
      <c r="B1238" s="7"/>
      <c r="C1238" s="6"/>
      <c r="D1238" s="7"/>
      <c r="E1238" s="6"/>
      <c r="F1238" s="7"/>
      <c r="G1238" s="6"/>
      <c r="H1238" s="7"/>
      <c r="I1238" s="6"/>
      <c r="J1238" s="7"/>
      <c r="K1238" s="96" t="str">
        <f>HYPERLINK("#'Healthcare'!AUP1","Q6.6.25_5")</f>
        <v>Q6.6.25_5</v>
      </c>
      <c r="L1238" s="93" t="str">
        <f>HYPERLINK("#'Healthcare'!AUP2","Primary regional HMO medical plan in-network coinsurance: Urgent office visit")</f>
        <v>Primary regional HMO medical plan in-network coinsurance: Urgent office visit</v>
      </c>
      <c r="M1238" s="6"/>
      <c r="N1238" s="7"/>
      <c r="O1238" s="6"/>
      <c r="P1238" s="7"/>
      <c r="Q1238" s="6"/>
      <c r="R1238" s="7"/>
      <c r="S1238" s="6"/>
      <c r="T1238" s="7"/>
      <c r="U1238" s="6"/>
      <c r="V1238" s="7"/>
      <c r="W1238" s="6"/>
      <c r="X1238" s="7"/>
    </row>
    <row r="1239" spans="1:24" ht="25.5" x14ac:dyDescent="0.2">
      <c r="A1239" s="6"/>
      <c r="B1239" s="7"/>
      <c r="C1239" s="6"/>
      <c r="D1239" s="7"/>
      <c r="E1239" s="6"/>
      <c r="F1239" s="7"/>
      <c r="G1239" s="6"/>
      <c r="H1239" s="7"/>
      <c r="I1239" s="6"/>
      <c r="J1239" s="7"/>
      <c r="K1239" s="96" t="str">
        <f>HYPERLINK("#'Healthcare'!AUQ1","Q6.6.25_7")</f>
        <v>Q6.6.25_7</v>
      </c>
      <c r="L1239" s="93" t="str">
        <f>HYPERLINK("#'Healthcare'!AUQ2","Primary regional HMO medical plan in-network coinsurance: Telehealth")</f>
        <v>Primary regional HMO medical plan in-network coinsurance: Telehealth</v>
      </c>
      <c r="M1239" s="6"/>
      <c r="N1239" s="7"/>
      <c r="O1239" s="6"/>
      <c r="P1239" s="7"/>
      <c r="Q1239" s="6"/>
      <c r="R1239" s="7"/>
      <c r="S1239" s="6"/>
      <c r="T1239" s="7"/>
      <c r="U1239" s="6"/>
      <c r="V1239" s="7"/>
      <c r="W1239" s="6"/>
      <c r="X1239" s="7"/>
    </row>
    <row r="1240" spans="1:24" ht="25.5" x14ac:dyDescent="0.2">
      <c r="A1240" s="6"/>
      <c r="B1240" s="7"/>
      <c r="C1240" s="6"/>
      <c r="D1240" s="7"/>
      <c r="E1240" s="6"/>
      <c r="F1240" s="7"/>
      <c r="G1240" s="6"/>
      <c r="H1240" s="7"/>
      <c r="I1240" s="6"/>
      <c r="J1240" s="7"/>
      <c r="K1240" s="96" t="str">
        <f>HYPERLINK("#'Healthcare'!AUR1","Q6.6.25_6")</f>
        <v>Q6.6.25_6</v>
      </c>
      <c r="L1240" s="93" t="str">
        <f>HYPERLINK("#'Healthcare'!AUR2","Primary regional HMO medical plan in-network coinsurance: Other")</f>
        <v>Primary regional HMO medical plan in-network coinsurance: Other</v>
      </c>
      <c r="M1240" s="6"/>
      <c r="N1240" s="7"/>
      <c r="O1240" s="6"/>
      <c r="P1240" s="7"/>
      <c r="Q1240" s="6"/>
      <c r="R1240" s="7"/>
      <c r="S1240" s="6"/>
      <c r="T1240" s="7"/>
      <c r="U1240" s="6"/>
      <c r="V1240" s="7"/>
      <c r="W1240" s="6"/>
      <c r="X1240" s="7"/>
    </row>
    <row r="1241" spans="1:24" ht="38.25" x14ac:dyDescent="0.2">
      <c r="A1241" s="6"/>
      <c r="B1241" s="7"/>
      <c r="C1241" s="6"/>
      <c r="D1241" s="7"/>
      <c r="E1241" s="6"/>
      <c r="F1241" s="7"/>
      <c r="G1241" s="6"/>
      <c r="H1241" s="7"/>
      <c r="I1241" s="6"/>
      <c r="J1241" s="7"/>
      <c r="K1241" s="96" t="str">
        <f>HYPERLINK("#'Healthcare'!AUS1","Q6.6.26_1")</f>
        <v>Q6.6.26_1</v>
      </c>
      <c r="L1241" s="93" t="str">
        <f>HYPERLINK("#'Healthcare'!AUS2","Primary regional HMO medical plan out-of-network copayment: General/Primary care office visit")</f>
        <v>Primary regional HMO medical plan out-of-network copayment: General/Primary care office visit</v>
      </c>
      <c r="M1241" s="6"/>
      <c r="N1241" s="7"/>
      <c r="O1241" s="6"/>
      <c r="P1241" s="7"/>
      <c r="Q1241" s="6"/>
      <c r="R1241" s="7"/>
      <c r="S1241" s="6"/>
      <c r="T1241" s="7"/>
      <c r="U1241" s="6"/>
      <c r="V1241" s="7"/>
      <c r="W1241" s="6"/>
      <c r="X1241" s="7"/>
    </row>
    <row r="1242" spans="1:24" ht="25.5" x14ac:dyDescent="0.2">
      <c r="A1242" s="6"/>
      <c r="B1242" s="7"/>
      <c r="C1242" s="6"/>
      <c r="D1242" s="7"/>
      <c r="E1242" s="6"/>
      <c r="F1242" s="7"/>
      <c r="G1242" s="6"/>
      <c r="H1242" s="7"/>
      <c r="I1242" s="6"/>
      <c r="J1242" s="7"/>
      <c r="K1242" s="96" t="str">
        <f>HYPERLINK("#'Healthcare'!AUT1","Q6.6.26_2")</f>
        <v>Q6.6.26_2</v>
      </c>
      <c r="L1242" s="93" t="str">
        <f>HYPERLINK("#'Healthcare'!AUT2","Primary regional HMO medical plan out-of-network copayment: Specialist office visit")</f>
        <v>Primary regional HMO medical plan out-of-network copayment: Specialist office visit</v>
      </c>
      <c r="M1242" s="6"/>
      <c r="N1242" s="7"/>
      <c r="O1242" s="6"/>
      <c r="P1242" s="7"/>
      <c r="Q1242" s="6"/>
      <c r="R1242" s="7"/>
      <c r="S1242" s="6"/>
      <c r="T1242" s="7"/>
      <c r="U1242" s="6"/>
      <c r="V1242" s="7"/>
      <c r="W1242" s="6"/>
      <c r="X1242" s="7"/>
    </row>
    <row r="1243" spans="1:24" ht="38.25" x14ac:dyDescent="0.2">
      <c r="A1243" s="6"/>
      <c r="B1243" s="7"/>
      <c r="C1243" s="6"/>
      <c r="D1243" s="7"/>
      <c r="E1243" s="6"/>
      <c r="F1243" s="7"/>
      <c r="G1243" s="6"/>
      <c r="H1243" s="7"/>
      <c r="I1243" s="6"/>
      <c r="J1243" s="7"/>
      <c r="K1243" s="96" t="str">
        <f>HYPERLINK("#'Healthcare'!AUU1","Q6.6.26_3")</f>
        <v>Q6.6.26_3</v>
      </c>
      <c r="L1243" s="93" t="str">
        <f>HYPERLINK("#'Healthcare'!AUU2","Primary regional HMO medical plan out-of-network copayment: Autism/applied behavioral analysis (ABA)")</f>
        <v>Primary regional HMO medical plan out-of-network copayment: Autism/applied behavioral analysis (ABA)</v>
      </c>
      <c r="M1243" s="6"/>
      <c r="N1243" s="7"/>
      <c r="O1243" s="6"/>
      <c r="P1243" s="7"/>
      <c r="Q1243" s="6"/>
      <c r="R1243" s="7"/>
      <c r="S1243" s="6"/>
      <c r="T1243" s="7"/>
      <c r="U1243" s="6"/>
      <c r="V1243" s="7"/>
      <c r="W1243" s="6"/>
      <c r="X1243" s="7"/>
    </row>
    <row r="1244" spans="1:24" ht="25.5" x14ac:dyDescent="0.2">
      <c r="A1244" s="6"/>
      <c r="B1244" s="7"/>
      <c r="C1244" s="6"/>
      <c r="D1244" s="7"/>
      <c r="E1244" s="6"/>
      <c r="F1244" s="7"/>
      <c r="G1244" s="6"/>
      <c r="H1244" s="7"/>
      <c r="I1244" s="6"/>
      <c r="J1244" s="7"/>
      <c r="K1244" s="96" t="str">
        <f>HYPERLINK("#'Healthcare'!AUV1","Q6.6.26_4")</f>
        <v>Q6.6.26_4</v>
      </c>
      <c r="L1244" s="93" t="str">
        <f>HYPERLINK("#'Healthcare'!AUV2","Primary regional HMO medical plan out-of-network copayment: Emergency room")</f>
        <v>Primary regional HMO medical plan out-of-network copayment: Emergency room</v>
      </c>
      <c r="M1244" s="6"/>
      <c r="N1244" s="7"/>
      <c r="O1244" s="6"/>
      <c r="P1244" s="7"/>
      <c r="Q1244" s="6"/>
      <c r="R1244" s="7"/>
      <c r="S1244" s="6"/>
      <c r="T1244" s="7"/>
      <c r="U1244" s="6"/>
      <c r="V1244" s="7"/>
      <c r="W1244" s="6"/>
      <c r="X1244" s="7"/>
    </row>
    <row r="1245" spans="1:24" ht="25.5" x14ac:dyDescent="0.2">
      <c r="A1245" s="6"/>
      <c r="B1245" s="7"/>
      <c r="C1245" s="6"/>
      <c r="D1245" s="7"/>
      <c r="E1245" s="6"/>
      <c r="F1245" s="7"/>
      <c r="G1245" s="6"/>
      <c r="H1245" s="7"/>
      <c r="I1245" s="6"/>
      <c r="J1245" s="7"/>
      <c r="K1245" s="96" t="str">
        <f>HYPERLINK("#'Healthcare'!AUW1","Q6.6.26_5")</f>
        <v>Q6.6.26_5</v>
      </c>
      <c r="L1245" s="93" t="str">
        <f>HYPERLINK("#'Healthcare'!AUW2","Primary regional HMO medical plan out-of-network copayment: Urgent office visit")</f>
        <v>Primary regional HMO medical plan out-of-network copayment: Urgent office visit</v>
      </c>
      <c r="M1245" s="6"/>
      <c r="N1245" s="7"/>
      <c r="O1245" s="6"/>
      <c r="P1245" s="7"/>
      <c r="Q1245" s="6"/>
      <c r="R1245" s="7"/>
      <c r="S1245" s="6"/>
      <c r="T1245" s="7"/>
      <c r="U1245" s="6"/>
      <c r="V1245" s="7"/>
      <c r="W1245" s="6"/>
      <c r="X1245" s="7"/>
    </row>
    <row r="1246" spans="1:24" ht="25.5" x14ac:dyDescent="0.2">
      <c r="A1246" s="6"/>
      <c r="B1246" s="7"/>
      <c r="C1246" s="6"/>
      <c r="D1246" s="7"/>
      <c r="E1246" s="6"/>
      <c r="F1246" s="7"/>
      <c r="G1246" s="6"/>
      <c r="H1246" s="7"/>
      <c r="I1246" s="6"/>
      <c r="J1246" s="7"/>
      <c r="K1246" s="96" t="str">
        <f>HYPERLINK("#'Healthcare'!AUX1","Q6.6.26_7")</f>
        <v>Q6.6.26_7</v>
      </c>
      <c r="L1246" s="93" t="str">
        <f>HYPERLINK("#'Healthcare'!AUX2","Primary regional HMO medical plan out-of-network copayment: Telehealth")</f>
        <v>Primary regional HMO medical plan out-of-network copayment: Telehealth</v>
      </c>
      <c r="M1246" s="6"/>
      <c r="N1246" s="7"/>
      <c r="O1246" s="6"/>
      <c r="P1246" s="7"/>
      <c r="Q1246" s="6"/>
      <c r="R1246" s="7"/>
      <c r="S1246" s="6"/>
      <c r="T1246" s="7"/>
      <c r="U1246" s="6"/>
      <c r="V1246" s="7"/>
      <c r="W1246" s="6"/>
      <c r="X1246" s="7"/>
    </row>
    <row r="1247" spans="1:24" ht="25.5" x14ac:dyDescent="0.2">
      <c r="A1247" s="6"/>
      <c r="B1247" s="7"/>
      <c r="C1247" s="6"/>
      <c r="D1247" s="7"/>
      <c r="E1247" s="6"/>
      <c r="F1247" s="7"/>
      <c r="G1247" s="6"/>
      <c r="H1247" s="7"/>
      <c r="I1247" s="6"/>
      <c r="J1247" s="7"/>
      <c r="K1247" s="96" t="str">
        <f>HYPERLINK("#'Healthcare'!AUY1","Q6.6.26_6")</f>
        <v>Q6.6.26_6</v>
      </c>
      <c r="L1247" s="93" t="str">
        <f>HYPERLINK("#'Healthcare'!AUY2","Primary regional HMO medical plan out-of-network copayment: Other")</f>
        <v>Primary regional HMO medical plan out-of-network copayment: Other</v>
      </c>
      <c r="M1247" s="6"/>
      <c r="N1247" s="7"/>
      <c r="O1247" s="6"/>
      <c r="P1247" s="7"/>
      <c r="Q1247" s="6"/>
      <c r="R1247" s="7"/>
      <c r="S1247" s="6"/>
      <c r="T1247" s="7"/>
      <c r="U1247" s="6"/>
      <c r="V1247" s="7"/>
      <c r="W1247" s="6"/>
      <c r="X1247" s="7"/>
    </row>
    <row r="1248" spans="1:24" ht="38.25" x14ac:dyDescent="0.2">
      <c r="A1248" s="6"/>
      <c r="B1248" s="7"/>
      <c r="C1248" s="6"/>
      <c r="D1248" s="7"/>
      <c r="E1248" s="6"/>
      <c r="F1248" s="7"/>
      <c r="G1248" s="6"/>
      <c r="H1248" s="7"/>
      <c r="I1248" s="6"/>
      <c r="J1248" s="7"/>
      <c r="K1248" s="96" t="str">
        <f>HYPERLINK("#'Healthcare'!AUZ1","Q6.6.27_1")</f>
        <v>Q6.6.27_1</v>
      </c>
      <c r="L1248" s="93" t="str">
        <f>HYPERLINK("#'Healthcare'!AUZ2","Primary regional HMO medical plan out-of-network coinsurance: General/Primary care office visit")</f>
        <v>Primary regional HMO medical plan out-of-network coinsurance: General/Primary care office visit</v>
      </c>
      <c r="M1248" s="6"/>
      <c r="N1248" s="7"/>
      <c r="O1248" s="6"/>
      <c r="P1248" s="7"/>
      <c r="Q1248" s="6"/>
      <c r="R1248" s="7"/>
      <c r="S1248" s="6"/>
      <c r="T1248" s="7"/>
      <c r="U1248" s="6"/>
      <c r="V1248" s="7"/>
      <c r="W1248" s="6"/>
      <c r="X1248" s="7"/>
    </row>
    <row r="1249" spans="1:24" ht="25.5" x14ac:dyDescent="0.2">
      <c r="A1249" s="6"/>
      <c r="B1249" s="7"/>
      <c r="C1249" s="6"/>
      <c r="D1249" s="7"/>
      <c r="E1249" s="6"/>
      <c r="F1249" s="7"/>
      <c r="G1249" s="6"/>
      <c r="H1249" s="7"/>
      <c r="I1249" s="6"/>
      <c r="J1249" s="7"/>
      <c r="K1249" s="96" t="str">
        <f>HYPERLINK("#'Healthcare'!AVA1","Q6.6.27_2")</f>
        <v>Q6.6.27_2</v>
      </c>
      <c r="L1249" s="93" t="str">
        <f>HYPERLINK("#'Healthcare'!AVA2","Primary regional HMO medical plan out-of-network coinsurance: Specialist office visit")</f>
        <v>Primary regional HMO medical plan out-of-network coinsurance: Specialist office visit</v>
      </c>
      <c r="M1249" s="6"/>
      <c r="N1249" s="7"/>
      <c r="O1249" s="6"/>
      <c r="P1249" s="7"/>
      <c r="Q1249" s="6"/>
      <c r="R1249" s="7"/>
      <c r="S1249" s="6"/>
      <c r="T1249" s="7"/>
      <c r="U1249" s="6"/>
      <c r="V1249" s="7"/>
      <c r="W1249" s="6"/>
      <c r="X1249" s="7"/>
    </row>
    <row r="1250" spans="1:24" ht="38.25" x14ac:dyDescent="0.2">
      <c r="A1250" s="6"/>
      <c r="B1250" s="7"/>
      <c r="C1250" s="6"/>
      <c r="D1250" s="7"/>
      <c r="E1250" s="6"/>
      <c r="F1250" s="7"/>
      <c r="G1250" s="6"/>
      <c r="H1250" s="7"/>
      <c r="I1250" s="6"/>
      <c r="J1250" s="7"/>
      <c r="K1250" s="96" t="str">
        <f>HYPERLINK("#'Healthcare'!AVB1","Q6.6.27_3")</f>
        <v>Q6.6.27_3</v>
      </c>
      <c r="L1250" s="93" t="str">
        <f>HYPERLINK("#'Healthcare'!AVB2","Primary regional HMO medical plan out-of-network coinsurance: Autism/applied behavioral analysis (ABA)")</f>
        <v>Primary regional HMO medical plan out-of-network coinsurance: Autism/applied behavioral analysis (ABA)</v>
      </c>
      <c r="M1250" s="6"/>
      <c r="N1250" s="7"/>
      <c r="O1250" s="6"/>
      <c r="P1250" s="7"/>
      <c r="Q1250" s="6"/>
      <c r="R1250" s="7"/>
      <c r="S1250" s="6"/>
      <c r="T1250" s="7"/>
      <c r="U1250" s="6"/>
      <c r="V1250" s="7"/>
      <c r="W1250" s="6"/>
      <c r="X1250" s="7"/>
    </row>
    <row r="1251" spans="1:24" ht="25.5" x14ac:dyDescent="0.2">
      <c r="A1251" s="6"/>
      <c r="B1251" s="7"/>
      <c r="C1251" s="6"/>
      <c r="D1251" s="7"/>
      <c r="E1251" s="6"/>
      <c r="F1251" s="7"/>
      <c r="G1251" s="6"/>
      <c r="H1251" s="7"/>
      <c r="I1251" s="6"/>
      <c r="J1251" s="7"/>
      <c r="K1251" s="96" t="str">
        <f>HYPERLINK("#'Healthcare'!AVC1","Q6.6.27_4")</f>
        <v>Q6.6.27_4</v>
      </c>
      <c r="L1251" s="93" t="str">
        <f>HYPERLINK("#'Healthcare'!AVC2","Primary regional HMO medical plan out-of-network coinsurance: Emergency room")</f>
        <v>Primary regional HMO medical plan out-of-network coinsurance: Emergency room</v>
      </c>
      <c r="M1251" s="6"/>
      <c r="N1251" s="7"/>
      <c r="O1251" s="6"/>
      <c r="P1251" s="7"/>
      <c r="Q1251" s="6"/>
      <c r="R1251" s="7"/>
      <c r="S1251" s="6"/>
      <c r="T1251" s="7"/>
      <c r="U1251" s="6"/>
      <c r="V1251" s="7"/>
      <c r="W1251" s="6"/>
      <c r="X1251" s="7"/>
    </row>
    <row r="1252" spans="1:24" ht="25.5" x14ac:dyDescent="0.2">
      <c r="A1252" s="6"/>
      <c r="B1252" s="7"/>
      <c r="C1252" s="6"/>
      <c r="D1252" s="7"/>
      <c r="E1252" s="6"/>
      <c r="F1252" s="7"/>
      <c r="G1252" s="6"/>
      <c r="H1252" s="7"/>
      <c r="I1252" s="6"/>
      <c r="J1252" s="7"/>
      <c r="K1252" s="96" t="str">
        <f>HYPERLINK("#'Healthcare'!AVD1","Q6.6.27_5")</f>
        <v>Q6.6.27_5</v>
      </c>
      <c r="L1252" s="93" t="str">
        <f>HYPERLINK("#'Healthcare'!AVD2","Primary regional HMO medical plan out-of-network coinsurance: Urgent office visit")</f>
        <v>Primary regional HMO medical plan out-of-network coinsurance: Urgent office visit</v>
      </c>
      <c r="M1252" s="6"/>
      <c r="N1252" s="7"/>
      <c r="O1252" s="6"/>
      <c r="P1252" s="7"/>
      <c r="Q1252" s="6"/>
      <c r="R1252" s="7"/>
      <c r="S1252" s="6"/>
      <c r="T1252" s="7"/>
      <c r="U1252" s="6"/>
      <c r="V1252" s="7"/>
      <c r="W1252" s="6"/>
      <c r="X1252" s="7"/>
    </row>
    <row r="1253" spans="1:24" ht="25.5" x14ac:dyDescent="0.2">
      <c r="A1253" s="6"/>
      <c r="B1253" s="7"/>
      <c r="C1253" s="6"/>
      <c r="D1253" s="7"/>
      <c r="E1253" s="6"/>
      <c r="F1253" s="7"/>
      <c r="G1253" s="6"/>
      <c r="H1253" s="7"/>
      <c r="I1253" s="6"/>
      <c r="J1253" s="7"/>
      <c r="K1253" s="96" t="str">
        <f>HYPERLINK("#'Healthcare'!AVE1","Q6.6.27_7")</f>
        <v>Q6.6.27_7</v>
      </c>
      <c r="L1253" s="93" t="str">
        <f>HYPERLINK("#'Healthcare'!AVE2","Primary regional HMO medical plan out-of-network coinsurance: Telehealth")</f>
        <v>Primary regional HMO medical plan out-of-network coinsurance: Telehealth</v>
      </c>
      <c r="M1253" s="6"/>
      <c r="N1253" s="7"/>
      <c r="O1253" s="6"/>
      <c r="P1253" s="7"/>
      <c r="Q1253" s="6"/>
      <c r="R1253" s="7"/>
      <c r="S1253" s="6"/>
      <c r="T1253" s="7"/>
      <c r="U1253" s="6"/>
      <c r="V1253" s="7"/>
      <c r="W1253" s="6"/>
      <c r="X1253" s="7"/>
    </row>
    <row r="1254" spans="1:24" ht="25.5" x14ac:dyDescent="0.2">
      <c r="A1254" s="6"/>
      <c r="B1254" s="7"/>
      <c r="C1254" s="6"/>
      <c r="D1254" s="7"/>
      <c r="E1254" s="6"/>
      <c r="F1254" s="7"/>
      <c r="G1254" s="6"/>
      <c r="H1254" s="7"/>
      <c r="I1254" s="6"/>
      <c r="J1254" s="7"/>
      <c r="K1254" s="96" t="str">
        <f>HYPERLINK("#'Healthcare'!AVF1","Q6.6.27_6")</f>
        <v>Q6.6.27_6</v>
      </c>
      <c r="L1254" s="93" t="str">
        <f>HYPERLINK("#'Healthcare'!AVF2","Primary regional HMO medical plan out-of-network coinsurance: Other")</f>
        <v>Primary regional HMO medical plan out-of-network coinsurance: Other</v>
      </c>
      <c r="M1254" s="6"/>
      <c r="N1254" s="7"/>
      <c r="O1254" s="6"/>
      <c r="P1254" s="7"/>
      <c r="Q1254" s="6"/>
      <c r="R1254" s="7"/>
      <c r="S1254" s="6"/>
      <c r="T1254" s="7"/>
      <c r="U1254" s="6"/>
      <c r="V1254" s="7"/>
      <c r="W1254" s="6"/>
      <c r="X1254" s="7"/>
    </row>
    <row r="1255" spans="1:24" ht="38.25" x14ac:dyDescent="0.2">
      <c r="A1255" s="6"/>
      <c r="B1255" s="7"/>
      <c r="C1255" s="6"/>
      <c r="D1255" s="7"/>
      <c r="E1255" s="6"/>
      <c r="F1255" s="7"/>
      <c r="G1255" s="6"/>
      <c r="H1255" s="7"/>
      <c r="I1255" s="6"/>
      <c r="J1255" s="7"/>
      <c r="K1255" s="96" t="str">
        <f>HYPERLINK("#'Healthcare'!AVG1","Q6.6.28_1")</f>
        <v>Q6.6.28_1</v>
      </c>
      <c r="L1255" s="93" t="str">
        <f>HYPERLINK("#'Healthcare'!AVG2","Primary regional HMO medical plan out-of-pocket cost share waived or reduced: General/Primary care office visit")</f>
        <v>Primary regional HMO medical plan out-of-pocket cost share waived or reduced: General/Primary care office visit</v>
      </c>
      <c r="M1255" s="6"/>
      <c r="N1255" s="7"/>
      <c r="O1255" s="6"/>
      <c r="P1255" s="7"/>
      <c r="Q1255" s="6"/>
      <c r="R1255" s="7"/>
      <c r="S1255" s="6"/>
      <c r="T1255" s="7"/>
      <c r="U1255" s="6"/>
      <c r="V1255" s="7"/>
      <c r="W1255" s="6"/>
      <c r="X1255" s="7"/>
    </row>
    <row r="1256" spans="1:24" ht="38.25" x14ac:dyDescent="0.2">
      <c r="A1256" s="6"/>
      <c r="B1256" s="7"/>
      <c r="C1256" s="6"/>
      <c r="D1256" s="7"/>
      <c r="E1256" s="6"/>
      <c r="F1256" s="7"/>
      <c r="G1256" s="6"/>
      <c r="H1256" s="7"/>
      <c r="I1256" s="6"/>
      <c r="J1256" s="7"/>
      <c r="K1256" s="96" t="str">
        <f>HYPERLINK("#'Healthcare'!AVH1","Q6.6.28_2")</f>
        <v>Q6.6.28_2</v>
      </c>
      <c r="L1256" s="93" t="str">
        <f>HYPERLINK("#'Healthcare'!AVH2","Primary regional HMO medical plan out-of-pocket cost share waived or reduced: Specialist office visit")</f>
        <v>Primary regional HMO medical plan out-of-pocket cost share waived or reduced: Specialist office visit</v>
      </c>
      <c r="M1256" s="6"/>
      <c r="N1256" s="7"/>
      <c r="O1256" s="6"/>
      <c r="P1256" s="7"/>
      <c r="Q1256" s="6"/>
      <c r="R1256" s="7"/>
      <c r="S1256" s="6"/>
      <c r="T1256" s="7"/>
      <c r="U1256" s="6"/>
      <c r="V1256" s="7"/>
      <c r="W1256" s="6"/>
      <c r="X1256" s="7"/>
    </row>
    <row r="1257" spans="1:24" ht="38.25" x14ac:dyDescent="0.2">
      <c r="A1257" s="6"/>
      <c r="B1257" s="7"/>
      <c r="C1257" s="6"/>
      <c r="D1257" s="7"/>
      <c r="E1257" s="6"/>
      <c r="F1257" s="7"/>
      <c r="G1257" s="6"/>
      <c r="H1257" s="7"/>
      <c r="I1257" s="6"/>
      <c r="J1257" s="7"/>
      <c r="K1257" s="96" t="str">
        <f>HYPERLINK("#'Healthcare'!AVI1","Q6.6.28_3")</f>
        <v>Q6.6.28_3</v>
      </c>
      <c r="L1257" s="93" t="str">
        <f>HYPERLINK("#'Healthcare'!AVI2","Primary regional HMO medical plan out-of-pocket cost share waived or reduced: Autism/applied behavioral analysis (ABA)")</f>
        <v>Primary regional HMO medical plan out-of-pocket cost share waived or reduced: Autism/applied behavioral analysis (ABA)</v>
      </c>
      <c r="M1257" s="6"/>
      <c r="N1257" s="7"/>
      <c r="O1257" s="6"/>
      <c r="P1257" s="7"/>
      <c r="Q1257" s="6"/>
      <c r="R1257" s="7"/>
      <c r="S1257" s="6"/>
      <c r="T1257" s="7"/>
      <c r="U1257" s="6"/>
      <c r="V1257" s="7"/>
      <c r="W1257" s="6"/>
      <c r="X1257" s="7"/>
    </row>
    <row r="1258" spans="1:24" ht="38.25" x14ac:dyDescent="0.2">
      <c r="A1258" s="6"/>
      <c r="B1258" s="7"/>
      <c r="C1258" s="6"/>
      <c r="D1258" s="7"/>
      <c r="E1258" s="6"/>
      <c r="F1258" s="7"/>
      <c r="G1258" s="6"/>
      <c r="H1258" s="7"/>
      <c r="I1258" s="6"/>
      <c r="J1258" s="7"/>
      <c r="K1258" s="96" t="str">
        <f>HYPERLINK("#'Healthcare'!AVJ1","Q6.6.28_4")</f>
        <v>Q6.6.28_4</v>
      </c>
      <c r="L1258" s="93" t="str">
        <f>HYPERLINK("#'Healthcare'!AVJ2","Primary regional HMO medical plan out-of-pocket cost share waived or reduced: Emergency room")</f>
        <v>Primary regional HMO medical plan out-of-pocket cost share waived or reduced: Emergency room</v>
      </c>
      <c r="M1258" s="6"/>
      <c r="N1258" s="7"/>
      <c r="O1258" s="6"/>
      <c r="P1258" s="7"/>
      <c r="Q1258" s="6"/>
      <c r="R1258" s="7"/>
      <c r="S1258" s="6"/>
      <c r="T1258" s="7"/>
      <c r="U1258" s="6"/>
      <c r="V1258" s="7"/>
      <c r="W1258" s="6"/>
      <c r="X1258" s="7"/>
    </row>
    <row r="1259" spans="1:24" ht="38.25" x14ac:dyDescent="0.2">
      <c r="A1259" s="6"/>
      <c r="B1259" s="7"/>
      <c r="C1259" s="6"/>
      <c r="D1259" s="7"/>
      <c r="E1259" s="6"/>
      <c r="F1259" s="7"/>
      <c r="G1259" s="6"/>
      <c r="H1259" s="7"/>
      <c r="I1259" s="6"/>
      <c r="J1259" s="7"/>
      <c r="K1259" s="96" t="str">
        <f>HYPERLINK("#'Healthcare'!AVK1","Q6.6.28_5")</f>
        <v>Q6.6.28_5</v>
      </c>
      <c r="L1259" s="93" t="str">
        <f>HYPERLINK("#'Healthcare'!AVK2","Primary regional HMO medical plan out-of-pocket cost share waived or reduced: Urgent office visit")</f>
        <v>Primary regional HMO medical plan out-of-pocket cost share waived or reduced: Urgent office visit</v>
      </c>
      <c r="M1259" s="6"/>
      <c r="N1259" s="7"/>
      <c r="O1259" s="6"/>
      <c r="P1259" s="7"/>
      <c r="Q1259" s="6"/>
      <c r="R1259" s="7"/>
      <c r="S1259" s="6"/>
      <c r="T1259" s="7"/>
      <c r="U1259" s="6"/>
      <c r="V1259" s="7"/>
      <c r="W1259" s="6"/>
      <c r="X1259" s="7"/>
    </row>
    <row r="1260" spans="1:24" ht="38.25" x14ac:dyDescent="0.2">
      <c r="A1260" s="6"/>
      <c r="B1260" s="7"/>
      <c r="C1260" s="6"/>
      <c r="D1260" s="7"/>
      <c r="E1260" s="6"/>
      <c r="F1260" s="7"/>
      <c r="G1260" s="6"/>
      <c r="H1260" s="7"/>
      <c r="I1260" s="6"/>
      <c r="J1260" s="7"/>
      <c r="K1260" s="96" t="str">
        <f>HYPERLINK("#'Healthcare'!AVL1","Q6.6.28_6")</f>
        <v>Q6.6.28_6</v>
      </c>
      <c r="L1260" s="93" t="str">
        <f>HYPERLINK("#'Healthcare'!AVL2","Primary regional HMO medical plan out-of-pocket cost share waived or reduced: Telehealth")</f>
        <v>Primary regional HMO medical plan out-of-pocket cost share waived or reduced: Telehealth</v>
      </c>
      <c r="M1260" s="6"/>
      <c r="N1260" s="7"/>
      <c r="O1260" s="6"/>
      <c r="P1260" s="7"/>
      <c r="Q1260" s="6"/>
      <c r="R1260" s="7"/>
      <c r="S1260" s="6"/>
      <c r="T1260" s="7"/>
      <c r="U1260" s="6"/>
      <c r="V1260" s="7"/>
      <c r="W1260" s="6"/>
      <c r="X1260" s="7"/>
    </row>
    <row r="1261" spans="1:24" ht="25.5" x14ac:dyDescent="0.2">
      <c r="A1261" s="6"/>
      <c r="B1261" s="7"/>
      <c r="C1261" s="6"/>
      <c r="D1261" s="7"/>
      <c r="E1261" s="6"/>
      <c r="F1261" s="7"/>
      <c r="G1261" s="6"/>
      <c r="H1261" s="7"/>
      <c r="I1261" s="6"/>
      <c r="J1261" s="7"/>
      <c r="K1261" s="96" t="str">
        <f>HYPERLINK("#'Healthcare'!AVM1","Q6.6.28_7")</f>
        <v>Q6.6.28_7</v>
      </c>
      <c r="L1261" s="93" t="str">
        <f>HYPERLINK("#'Healthcare'!AVM2","Primary regional HMO medical plan out-of-pocket cost share waived or reduced: Other")</f>
        <v>Primary regional HMO medical plan out-of-pocket cost share waived or reduced: Other</v>
      </c>
      <c r="M1261" s="6"/>
      <c r="N1261" s="7"/>
      <c r="O1261" s="6"/>
      <c r="P1261" s="7"/>
      <c r="Q1261" s="6"/>
      <c r="R1261" s="7"/>
      <c r="S1261" s="6"/>
      <c r="T1261" s="7"/>
      <c r="U1261" s="6"/>
      <c r="V1261" s="7"/>
      <c r="W1261" s="6"/>
      <c r="X1261" s="7"/>
    </row>
    <row r="1262" spans="1:24" ht="51" x14ac:dyDescent="0.2">
      <c r="A1262" s="6"/>
      <c r="B1262" s="7"/>
      <c r="C1262" s="6"/>
      <c r="D1262" s="7"/>
      <c r="E1262" s="6"/>
      <c r="F1262" s="7"/>
      <c r="G1262" s="6"/>
      <c r="H1262" s="7"/>
      <c r="I1262" s="6"/>
      <c r="J1262" s="7"/>
      <c r="K1262" s="96" t="str">
        <f>HYPERLINK("#'Healthcare'!AVN1","Q6.6.29_1")</f>
        <v>Q6.6.29_1</v>
      </c>
      <c r="L1262" s="93" t="str">
        <f>HYPERLINK("#'Healthcare'!AVN2","Primary regional HMO medical plan non-authorization/notification/not qualified services penalties applied: General/Primary care office visit")</f>
        <v>Primary regional HMO medical plan non-authorization/notification/not qualified services penalties applied: General/Primary care office visit</v>
      </c>
      <c r="M1262" s="6"/>
      <c r="N1262" s="7"/>
      <c r="O1262" s="6"/>
      <c r="P1262" s="7"/>
      <c r="Q1262" s="6"/>
      <c r="R1262" s="7"/>
      <c r="S1262" s="6"/>
      <c r="T1262" s="7"/>
      <c r="U1262" s="6"/>
      <c r="V1262" s="7"/>
      <c r="W1262" s="6"/>
      <c r="X1262" s="7"/>
    </row>
    <row r="1263" spans="1:24" ht="38.25" x14ac:dyDescent="0.2">
      <c r="A1263" s="6"/>
      <c r="B1263" s="7"/>
      <c r="C1263" s="6"/>
      <c r="D1263" s="7"/>
      <c r="E1263" s="6"/>
      <c r="F1263" s="7"/>
      <c r="G1263" s="6"/>
      <c r="H1263" s="7"/>
      <c r="I1263" s="6"/>
      <c r="J1263" s="7"/>
      <c r="K1263" s="96" t="str">
        <f>HYPERLINK("#'Healthcare'!AVO1","Q6.6.29_2")</f>
        <v>Q6.6.29_2</v>
      </c>
      <c r="L1263" s="93" t="str">
        <f>HYPERLINK("#'Healthcare'!AVO2","Primary regional HMO medical plan non-authorization/notification/not qualified services penalties applied: Specialist office visit")</f>
        <v>Primary regional HMO medical plan non-authorization/notification/not qualified services penalties applied: Specialist office visit</v>
      </c>
      <c r="M1263" s="6"/>
      <c r="N1263" s="7"/>
      <c r="O1263" s="6"/>
      <c r="P1263" s="7"/>
      <c r="Q1263" s="6"/>
      <c r="R1263" s="7"/>
      <c r="S1263" s="6"/>
      <c r="T1263" s="7"/>
      <c r="U1263" s="6"/>
      <c r="V1263" s="7"/>
      <c r="W1263" s="6"/>
      <c r="X1263" s="7"/>
    </row>
    <row r="1264" spans="1:24" ht="51" x14ac:dyDescent="0.2">
      <c r="A1264" s="6"/>
      <c r="B1264" s="7"/>
      <c r="C1264" s="6"/>
      <c r="D1264" s="7"/>
      <c r="E1264" s="6"/>
      <c r="F1264" s="7"/>
      <c r="G1264" s="6"/>
      <c r="H1264" s="7"/>
      <c r="I1264" s="6"/>
      <c r="J1264" s="7"/>
      <c r="K1264" s="96" t="str">
        <f>HYPERLINK("#'Healthcare'!AVP1","Q6.6.29_3")</f>
        <v>Q6.6.29_3</v>
      </c>
      <c r="L1264" s="93" t="str">
        <f>HYPERLINK("#'Healthcare'!AVP2","Primary regional HMO medical plan non-authorization/notification/not qualified services penalties applied: Autism/applied behavioral analysis (ABA)")</f>
        <v>Primary regional HMO medical plan non-authorization/notification/not qualified services penalties applied: Autism/applied behavioral analysis (ABA)</v>
      </c>
      <c r="M1264" s="6"/>
      <c r="N1264" s="7"/>
      <c r="O1264" s="6"/>
      <c r="P1264" s="7"/>
      <c r="Q1264" s="6"/>
      <c r="R1264" s="7"/>
      <c r="S1264" s="6"/>
      <c r="T1264" s="7"/>
      <c r="U1264" s="6"/>
      <c r="V1264" s="7"/>
      <c r="W1264" s="6"/>
      <c r="X1264" s="7"/>
    </row>
    <row r="1265" spans="1:24" ht="38.25" x14ac:dyDescent="0.2">
      <c r="A1265" s="6"/>
      <c r="B1265" s="7"/>
      <c r="C1265" s="6"/>
      <c r="D1265" s="7"/>
      <c r="E1265" s="6"/>
      <c r="F1265" s="7"/>
      <c r="G1265" s="6"/>
      <c r="H1265" s="7"/>
      <c r="I1265" s="6"/>
      <c r="J1265" s="7"/>
      <c r="K1265" s="96" t="str">
        <f>HYPERLINK("#'Healthcare'!AVQ1","Q6.6.29_4")</f>
        <v>Q6.6.29_4</v>
      </c>
      <c r="L1265" s="93" t="str">
        <f>HYPERLINK("#'Healthcare'!AVQ2","Primary regional HMO medical plan non-authorization/notification/not qualified services penalties applied: Emergency room")</f>
        <v>Primary regional HMO medical plan non-authorization/notification/not qualified services penalties applied: Emergency room</v>
      </c>
      <c r="M1265" s="6"/>
      <c r="N1265" s="7"/>
      <c r="O1265" s="6"/>
      <c r="P1265" s="7"/>
      <c r="Q1265" s="6"/>
      <c r="R1265" s="7"/>
      <c r="S1265" s="6"/>
      <c r="T1265" s="7"/>
      <c r="U1265" s="6"/>
      <c r="V1265" s="7"/>
      <c r="W1265" s="6"/>
      <c r="X1265" s="7"/>
    </row>
    <row r="1266" spans="1:24" ht="38.25" x14ac:dyDescent="0.2">
      <c r="A1266" s="6"/>
      <c r="B1266" s="7"/>
      <c r="C1266" s="6"/>
      <c r="D1266" s="7"/>
      <c r="E1266" s="6"/>
      <c r="F1266" s="7"/>
      <c r="G1266" s="6"/>
      <c r="H1266" s="7"/>
      <c r="I1266" s="6"/>
      <c r="J1266" s="7"/>
      <c r="K1266" s="96" t="str">
        <f>HYPERLINK("#'Healthcare'!AVR1","Q6.6.29_5")</f>
        <v>Q6.6.29_5</v>
      </c>
      <c r="L1266" s="93" t="str">
        <f>HYPERLINK("#'Healthcare'!AVR2","Primary regional HMO medical plan non-authorization/notification/not qualified services penalties applied: Urgent office visit")</f>
        <v>Primary regional HMO medical plan non-authorization/notification/not qualified services penalties applied: Urgent office visit</v>
      </c>
      <c r="M1266" s="6"/>
      <c r="N1266" s="7"/>
      <c r="O1266" s="6"/>
      <c r="P1266" s="7"/>
      <c r="Q1266" s="6"/>
      <c r="R1266" s="7"/>
      <c r="S1266" s="6"/>
      <c r="T1266" s="7"/>
      <c r="U1266" s="6"/>
      <c r="V1266" s="7"/>
      <c r="W1266" s="6"/>
      <c r="X1266" s="7"/>
    </row>
    <row r="1267" spans="1:24" ht="38.25" x14ac:dyDescent="0.2">
      <c r="A1267" s="6"/>
      <c r="B1267" s="7"/>
      <c r="C1267" s="6"/>
      <c r="D1267" s="7"/>
      <c r="E1267" s="6"/>
      <c r="F1267" s="7"/>
      <c r="G1267" s="6"/>
      <c r="H1267" s="7"/>
      <c r="I1267" s="6"/>
      <c r="J1267" s="7"/>
      <c r="K1267" s="96" t="str">
        <f>HYPERLINK("#'Healthcare'!AVS1","Q6.6.29_6")</f>
        <v>Q6.6.29_6</v>
      </c>
      <c r="L1267" s="93" t="str">
        <f>HYPERLINK("#'Healthcare'!AVS2","Primary regional HMO medical plan non-authorization/notification/not qualified services penalties applied: Telehealth")</f>
        <v>Primary regional HMO medical plan non-authorization/notification/not qualified services penalties applied: Telehealth</v>
      </c>
      <c r="M1267" s="6"/>
      <c r="N1267" s="7"/>
      <c r="O1267" s="6"/>
      <c r="P1267" s="7"/>
      <c r="Q1267" s="6"/>
      <c r="R1267" s="7"/>
      <c r="S1267" s="6"/>
      <c r="T1267" s="7"/>
      <c r="U1267" s="6"/>
      <c r="V1267" s="7"/>
      <c r="W1267" s="6"/>
      <c r="X1267" s="7"/>
    </row>
    <row r="1268" spans="1:24" ht="38.25" x14ac:dyDescent="0.2">
      <c r="A1268" s="6"/>
      <c r="B1268" s="7"/>
      <c r="C1268" s="6"/>
      <c r="D1268" s="7"/>
      <c r="E1268" s="6"/>
      <c r="F1268" s="7"/>
      <c r="G1268" s="6"/>
      <c r="H1268" s="7"/>
      <c r="I1268" s="6"/>
      <c r="J1268" s="7"/>
      <c r="K1268" s="96" t="str">
        <f>HYPERLINK("#'Healthcare'!AVT1","Q6.6.29_7")</f>
        <v>Q6.6.29_7</v>
      </c>
      <c r="L1268" s="93" t="str">
        <f>HYPERLINK("#'Healthcare'!AVT2","Primary regional HMO medical plan non-authorization/notification/not qualified services penalties applied: Other")</f>
        <v>Primary regional HMO medical plan non-authorization/notification/not qualified services penalties applied: Other</v>
      </c>
      <c r="M1268" s="6"/>
      <c r="N1268" s="7"/>
      <c r="O1268" s="6"/>
      <c r="P1268" s="7"/>
      <c r="Q1268" s="6"/>
      <c r="R1268" s="7"/>
      <c r="S1268" s="6"/>
      <c r="T1268" s="7"/>
      <c r="U1268" s="6"/>
      <c r="V1268" s="7"/>
      <c r="W1268" s="6"/>
      <c r="X1268" s="7"/>
    </row>
    <row r="1269" spans="1:24" ht="25.5" x14ac:dyDescent="0.2">
      <c r="A1269" s="6"/>
      <c r="B1269" s="7"/>
      <c r="C1269" s="6"/>
      <c r="D1269" s="7"/>
      <c r="E1269" s="6"/>
      <c r="F1269" s="7"/>
      <c r="G1269" s="6"/>
      <c r="H1269" s="7"/>
      <c r="I1269" s="6"/>
      <c r="J1269" s="7"/>
      <c r="K1269" s="96" t="str">
        <f>HYPERLINK("#'Healthcare'!AVU1","Q6.6.31_1")</f>
        <v>Q6.6.31_1</v>
      </c>
      <c r="L1269" s="93" t="str">
        <f>HYPERLINK("#'Healthcare'!AVU2","Primary regional HMO medical plan covered drug type: Preventive")</f>
        <v>Primary regional HMO medical plan covered drug type: Preventive</v>
      </c>
      <c r="M1269" s="6"/>
      <c r="N1269" s="7"/>
      <c r="O1269" s="6"/>
      <c r="P1269" s="7"/>
      <c r="Q1269" s="6"/>
      <c r="R1269" s="7"/>
      <c r="S1269" s="6"/>
      <c r="T1269" s="7"/>
      <c r="U1269" s="6"/>
      <c r="V1269" s="7"/>
      <c r="W1269" s="6"/>
      <c r="X1269" s="7"/>
    </row>
    <row r="1270" spans="1:24" ht="25.5" x14ac:dyDescent="0.2">
      <c r="A1270" s="6"/>
      <c r="B1270" s="7"/>
      <c r="C1270" s="6"/>
      <c r="D1270" s="7"/>
      <c r="E1270" s="6"/>
      <c r="F1270" s="7"/>
      <c r="G1270" s="6"/>
      <c r="H1270" s="7"/>
      <c r="I1270" s="6"/>
      <c r="J1270" s="7"/>
      <c r="K1270" s="96" t="str">
        <f>HYPERLINK("#'Healthcare'!AVV1","Q6.6.31_2")</f>
        <v>Q6.6.31_2</v>
      </c>
      <c r="L1270" s="93" t="str">
        <f>HYPERLINK("#'Healthcare'!AVV2","Primary regional HMO medical plan covered drug type: Maintenance")</f>
        <v>Primary regional HMO medical plan covered drug type: Maintenance</v>
      </c>
      <c r="M1270" s="6"/>
      <c r="N1270" s="7"/>
      <c r="O1270" s="6"/>
      <c r="P1270" s="7"/>
      <c r="Q1270" s="6"/>
      <c r="R1270" s="7"/>
      <c r="S1270" s="6"/>
      <c r="T1270" s="7"/>
      <c r="U1270" s="6"/>
      <c r="V1270" s="7"/>
      <c r="W1270" s="6"/>
      <c r="X1270" s="7"/>
    </row>
    <row r="1271" spans="1:24" ht="25.5" x14ac:dyDescent="0.2">
      <c r="A1271" s="6"/>
      <c r="B1271" s="7"/>
      <c r="C1271" s="6"/>
      <c r="D1271" s="7"/>
      <c r="E1271" s="6"/>
      <c r="F1271" s="7"/>
      <c r="G1271" s="6"/>
      <c r="H1271" s="7"/>
      <c r="I1271" s="6"/>
      <c r="J1271" s="7"/>
      <c r="K1271" s="96" t="str">
        <f>HYPERLINK("#'Healthcare'!AVW1","Q6.6.31_3")</f>
        <v>Q6.6.31_3</v>
      </c>
      <c r="L1271" s="93" t="str">
        <f>HYPERLINK("#'Healthcare'!AVW2","Primary regional HMO medical plan covered drug type: Generic")</f>
        <v>Primary regional HMO medical plan covered drug type: Generic</v>
      </c>
      <c r="M1271" s="6"/>
      <c r="N1271" s="7"/>
      <c r="O1271" s="6"/>
      <c r="P1271" s="7"/>
      <c r="Q1271" s="6"/>
      <c r="R1271" s="7"/>
      <c r="S1271" s="6"/>
      <c r="T1271" s="7"/>
      <c r="U1271" s="6"/>
      <c r="V1271" s="7"/>
      <c r="W1271" s="6"/>
      <c r="X1271" s="7"/>
    </row>
    <row r="1272" spans="1:24" ht="25.5" x14ac:dyDescent="0.2">
      <c r="A1272" s="6"/>
      <c r="B1272" s="7"/>
      <c r="C1272" s="6"/>
      <c r="D1272" s="7"/>
      <c r="E1272" s="6"/>
      <c r="F1272" s="7"/>
      <c r="G1272" s="6"/>
      <c r="H1272" s="7"/>
      <c r="I1272" s="6"/>
      <c r="J1272" s="7"/>
      <c r="K1272" s="96" t="str">
        <f>HYPERLINK("#'Healthcare'!AVX1","Q6.6.31_4")</f>
        <v>Q6.6.31_4</v>
      </c>
      <c r="L1272" s="93" t="str">
        <f>HYPERLINK("#'Healthcare'!AVX2","Primary regional HMO medical plan covered drug type: Specialty (includes injectables)")</f>
        <v>Primary regional HMO medical plan covered drug type: Specialty (includes injectables)</v>
      </c>
      <c r="M1272" s="6"/>
      <c r="N1272" s="7"/>
      <c r="O1272" s="6"/>
      <c r="P1272" s="7"/>
      <c r="Q1272" s="6"/>
      <c r="R1272" s="7"/>
      <c r="S1272" s="6"/>
      <c r="T1272" s="7"/>
      <c r="U1272" s="6"/>
      <c r="V1272" s="7"/>
      <c r="W1272" s="6"/>
      <c r="X1272" s="7"/>
    </row>
    <row r="1273" spans="1:24" ht="25.5" x14ac:dyDescent="0.2">
      <c r="A1273" s="6"/>
      <c r="B1273" s="7"/>
      <c r="C1273" s="6"/>
      <c r="D1273" s="7"/>
      <c r="E1273" s="6"/>
      <c r="F1273" s="7"/>
      <c r="G1273" s="6"/>
      <c r="H1273" s="7"/>
      <c r="I1273" s="6"/>
      <c r="J1273" s="7"/>
      <c r="K1273" s="96" t="str">
        <f>HYPERLINK("#'Healthcare'!AVY1","Q6.6.31_5")</f>
        <v>Q6.6.31_5</v>
      </c>
      <c r="L1273" s="93" t="str">
        <f>HYPERLINK("#'Healthcare'!AVY2","Primary regional HMO medical plan covered drug type: Lifestyle")</f>
        <v>Primary regional HMO medical plan covered drug type: Lifestyle</v>
      </c>
      <c r="M1273" s="6"/>
      <c r="N1273" s="7"/>
      <c r="O1273" s="6"/>
      <c r="P1273" s="7"/>
      <c r="Q1273" s="6"/>
      <c r="R1273" s="7"/>
      <c r="S1273" s="6"/>
      <c r="T1273" s="7"/>
      <c r="U1273" s="6"/>
      <c r="V1273" s="7"/>
      <c r="W1273" s="6"/>
      <c r="X1273" s="7"/>
    </row>
    <row r="1274" spans="1:24" ht="25.5" x14ac:dyDescent="0.2">
      <c r="A1274" s="6"/>
      <c r="B1274" s="7"/>
      <c r="C1274" s="6"/>
      <c r="D1274" s="7"/>
      <c r="E1274" s="6"/>
      <c r="F1274" s="7"/>
      <c r="G1274" s="6"/>
      <c r="H1274" s="7"/>
      <c r="I1274" s="6"/>
      <c r="J1274" s="7"/>
      <c r="K1274" s="96" t="str">
        <f>HYPERLINK("#'Healthcare'!AVZ1","Q6.6.31_6")</f>
        <v>Q6.6.31_6</v>
      </c>
      <c r="L1274" s="93" t="str">
        <f>HYPERLINK("#'Healthcare'!AVZ2","Primary regional HMO medical plan covered drug type: Compounds")</f>
        <v>Primary regional HMO medical plan covered drug type: Compounds</v>
      </c>
      <c r="M1274" s="6"/>
      <c r="N1274" s="7"/>
      <c r="O1274" s="6"/>
      <c r="P1274" s="7"/>
      <c r="Q1274" s="6"/>
      <c r="R1274" s="7"/>
      <c r="S1274" s="6"/>
      <c r="T1274" s="7"/>
      <c r="U1274" s="6"/>
      <c r="V1274" s="7"/>
      <c r="W1274" s="6"/>
      <c r="X1274" s="7"/>
    </row>
    <row r="1275" spans="1:24" ht="25.5" x14ac:dyDescent="0.2">
      <c r="A1275" s="6"/>
      <c r="B1275" s="7"/>
      <c r="C1275" s="6"/>
      <c r="D1275" s="7"/>
      <c r="E1275" s="6"/>
      <c r="F1275" s="7"/>
      <c r="G1275" s="6"/>
      <c r="H1275" s="7"/>
      <c r="I1275" s="6"/>
      <c r="J1275" s="7"/>
      <c r="K1275" s="96" t="str">
        <f>HYPERLINK("#'Healthcare'!AWA1","Q6.6.31_7")</f>
        <v>Q6.6.31_7</v>
      </c>
      <c r="L1275" s="93" t="str">
        <f>HYPERLINK("#'Healthcare'!AWA2","Primary regional HMO medical plan covered drug type: Biosimilars")</f>
        <v>Primary regional HMO medical plan covered drug type: Biosimilars</v>
      </c>
      <c r="M1275" s="6"/>
      <c r="N1275" s="7"/>
      <c r="O1275" s="6"/>
      <c r="P1275" s="7"/>
      <c r="Q1275" s="6"/>
      <c r="R1275" s="7"/>
      <c r="S1275" s="6"/>
      <c r="T1275" s="7"/>
      <c r="U1275" s="6"/>
      <c r="V1275" s="7"/>
      <c r="W1275" s="6"/>
      <c r="X1275" s="7"/>
    </row>
    <row r="1276" spans="1:24" ht="25.5" x14ac:dyDescent="0.2">
      <c r="A1276" s="6"/>
      <c r="B1276" s="7"/>
      <c r="C1276" s="6"/>
      <c r="D1276" s="7"/>
      <c r="E1276" s="6"/>
      <c r="F1276" s="7"/>
      <c r="G1276" s="6"/>
      <c r="H1276" s="7"/>
      <c r="I1276" s="6"/>
      <c r="J1276" s="7"/>
      <c r="K1276" s="96" t="str">
        <f>HYPERLINK("#'Healthcare'!AWB1","Q6.6.31_8")</f>
        <v>Q6.6.31_8</v>
      </c>
      <c r="L1276" s="93" t="str">
        <f>HYPERLINK("#'Healthcare'!AWB2","Primary regional HMO medical plan covered drug type: Over the counter (OTC) - prescribed")</f>
        <v>Primary regional HMO medical plan covered drug type: Over the counter (OTC) - prescribed</v>
      </c>
      <c r="M1276" s="6"/>
      <c r="N1276" s="7"/>
      <c r="O1276" s="6"/>
      <c r="P1276" s="7"/>
      <c r="Q1276" s="6"/>
      <c r="R1276" s="7"/>
      <c r="S1276" s="6"/>
      <c r="T1276" s="7"/>
      <c r="U1276" s="6"/>
      <c r="V1276" s="7"/>
      <c r="W1276" s="6"/>
      <c r="X1276" s="7"/>
    </row>
    <row r="1277" spans="1:24" ht="38.25" x14ac:dyDescent="0.2">
      <c r="A1277" s="6"/>
      <c r="B1277" s="7"/>
      <c r="C1277" s="6"/>
      <c r="D1277" s="7"/>
      <c r="E1277" s="6"/>
      <c r="F1277" s="7"/>
      <c r="G1277" s="6"/>
      <c r="H1277" s="7"/>
      <c r="I1277" s="6"/>
      <c r="J1277" s="7"/>
      <c r="K1277" s="96" t="str">
        <f>HYPERLINK("#'Healthcare'!AWC1","Q6.6.31_9")</f>
        <v>Q6.6.31_9</v>
      </c>
      <c r="L1277" s="93" t="str">
        <f>HYPERLINK("#'Healthcare'!AWC2","Primary regional HMO medical plan covered drug type: Over the counter (OTC) - non-prescribed")</f>
        <v>Primary regional HMO medical plan covered drug type: Over the counter (OTC) - non-prescribed</v>
      </c>
      <c r="M1277" s="6"/>
      <c r="N1277" s="7"/>
      <c r="O1277" s="6"/>
      <c r="P1277" s="7"/>
      <c r="Q1277" s="6"/>
      <c r="R1277" s="7"/>
      <c r="S1277" s="6"/>
      <c r="T1277" s="7"/>
      <c r="U1277" s="6"/>
      <c r="V1277" s="7"/>
      <c r="W1277" s="6"/>
      <c r="X1277" s="7"/>
    </row>
    <row r="1278" spans="1:24" ht="25.5" x14ac:dyDescent="0.2">
      <c r="A1278" s="6"/>
      <c r="B1278" s="7"/>
      <c r="C1278" s="6"/>
      <c r="D1278" s="7"/>
      <c r="E1278" s="6"/>
      <c r="F1278" s="7"/>
      <c r="G1278" s="6"/>
      <c r="H1278" s="7"/>
      <c r="I1278" s="6"/>
      <c r="J1278" s="7"/>
      <c r="K1278" s="96" t="str">
        <f>HYPERLINK("#'Healthcare'!AWD1","Q6.6.31_10")</f>
        <v>Q6.6.31_10</v>
      </c>
      <c r="L1278" s="93" t="str">
        <f>HYPERLINK("#'Healthcare'!AWD2","Primary regional HMO medical plan covered drug type: Other")</f>
        <v>Primary regional HMO medical plan covered drug type: Other</v>
      </c>
      <c r="M1278" s="6"/>
      <c r="N1278" s="7"/>
      <c r="O1278" s="6"/>
      <c r="P1278" s="7"/>
      <c r="Q1278" s="6"/>
      <c r="R1278" s="7"/>
      <c r="S1278" s="6"/>
      <c r="T1278" s="7"/>
      <c r="U1278" s="6"/>
      <c r="V1278" s="7"/>
      <c r="W1278" s="6"/>
      <c r="X1278" s="7"/>
    </row>
    <row r="1279" spans="1:24" ht="38.25" x14ac:dyDescent="0.2">
      <c r="A1279" s="6"/>
      <c r="B1279" s="7"/>
      <c r="C1279" s="6"/>
      <c r="D1279" s="7"/>
      <c r="E1279" s="6"/>
      <c r="F1279" s="7"/>
      <c r="G1279" s="6"/>
      <c r="H1279" s="7"/>
      <c r="I1279" s="6"/>
      <c r="J1279" s="7"/>
      <c r="K1279" s="96" t="str">
        <f>HYPERLINK("#'Healthcare'!AWE1","Q6.6.32")</f>
        <v>Q6.6.32</v>
      </c>
      <c r="L1279" s="93" t="str">
        <f>HYPERLINK("#'Healthcare'!AWE2","Primary regional HMO medical plan drug limits, exclusions, or required care management features: Preventive")</f>
        <v>Primary regional HMO medical plan drug limits, exclusions, or required care management features: Preventive</v>
      </c>
      <c r="M1279" s="6"/>
      <c r="N1279" s="7"/>
      <c r="O1279" s="6"/>
      <c r="P1279" s="7"/>
      <c r="Q1279" s="6"/>
      <c r="R1279" s="7"/>
      <c r="S1279" s="6"/>
      <c r="T1279" s="7"/>
      <c r="U1279" s="6"/>
      <c r="V1279" s="7"/>
      <c r="W1279" s="6"/>
      <c r="X1279" s="7"/>
    </row>
    <row r="1280" spans="1:24" ht="38.25" x14ac:dyDescent="0.2">
      <c r="A1280" s="6"/>
      <c r="B1280" s="7"/>
      <c r="C1280" s="6"/>
      <c r="D1280" s="7"/>
      <c r="E1280" s="6"/>
      <c r="F1280" s="7"/>
      <c r="G1280" s="6"/>
      <c r="H1280" s="7"/>
      <c r="I1280" s="6"/>
      <c r="J1280" s="7"/>
      <c r="K1280" s="96" t="str">
        <f>HYPERLINK("#'Healthcare'!AWF1","Q6.6.33")</f>
        <v>Q6.6.33</v>
      </c>
      <c r="L1280" s="93" t="str">
        <f>HYPERLINK("#'Healthcare'!AWF2","Primary regional HMO medical plan drug limits, exclusions, or required care management features: Maintenance")</f>
        <v>Primary regional HMO medical plan drug limits, exclusions, or required care management features: Maintenance</v>
      </c>
      <c r="M1280" s="6"/>
      <c r="N1280" s="7"/>
      <c r="O1280" s="6"/>
      <c r="P1280" s="7"/>
      <c r="Q1280" s="6"/>
      <c r="R1280" s="7"/>
      <c r="S1280" s="6"/>
      <c r="T1280" s="7"/>
      <c r="U1280" s="6"/>
      <c r="V1280" s="7"/>
      <c r="W1280" s="6"/>
      <c r="X1280" s="7"/>
    </row>
    <row r="1281" spans="1:24" ht="38.25" x14ac:dyDescent="0.2">
      <c r="A1281" s="6"/>
      <c r="B1281" s="7"/>
      <c r="C1281" s="6"/>
      <c r="D1281" s="7"/>
      <c r="E1281" s="6"/>
      <c r="F1281" s="7"/>
      <c r="G1281" s="6"/>
      <c r="H1281" s="7"/>
      <c r="I1281" s="6"/>
      <c r="J1281" s="7"/>
      <c r="K1281" s="96" t="str">
        <f>HYPERLINK("#'Healthcare'!AWG1","Q6.6.34")</f>
        <v>Q6.6.34</v>
      </c>
      <c r="L1281" s="93" t="str">
        <f>HYPERLINK("#'Healthcare'!AWG2","Primary regional HMO medical plan drug limits, exclusions, or required care management features: Generic")</f>
        <v>Primary regional HMO medical plan drug limits, exclusions, or required care management features: Generic</v>
      </c>
      <c r="M1281" s="6"/>
      <c r="N1281" s="7"/>
      <c r="O1281" s="6"/>
      <c r="P1281" s="7"/>
      <c r="Q1281" s="6"/>
      <c r="R1281" s="7"/>
      <c r="S1281" s="6"/>
      <c r="T1281" s="7"/>
      <c r="U1281" s="6"/>
      <c r="V1281" s="7"/>
      <c r="W1281" s="6"/>
      <c r="X1281" s="7"/>
    </row>
    <row r="1282" spans="1:24" ht="51" x14ac:dyDescent="0.2">
      <c r="A1282" s="6"/>
      <c r="B1282" s="7"/>
      <c r="C1282" s="6"/>
      <c r="D1282" s="7"/>
      <c r="E1282" s="6"/>
      <c r="F1282" s="7"/>
      <c r="G1282" s="6"/>
      <c r="H1282" s="7"/>
      <c r="I1282" s="6"/>
      <c r="J1282" s="7"/>
      <c r="K1282" s="96" t="str">
        <f>HYPERLINK("#'Healthcare'!AWH1","Q6.6.35")</f>
        <v>Q6.6.35</v>
      </c>
      <c r="L1282" s="93" t="str">
        <f>HYPERLINK("#'Healthcare'!AWH2","Primary regional HMO medical plan drug limits, exclusions, or required care management features: Specialty and injectables")</f>
        <v>Primary regional HMO medical plan drug limits, exclusions, or required care management features: Specialty and injectables</v>
      </c>
      <c r="M1282" s="6"/>
      <c r="N1282" s="7"/>
      <c r="O1282" s="6"/>
      <c r="P1282" s="7"/>
      <c r="Q1282" s="6"/>
      <c r="R1282" s="7"/>
      <c r="S1282" s="6"/>
      <c r="T1282" s="7"/>
      <c r="U1282" s="6"/>
      <c r="V1282" s="7"/>
      <c r="W1282" s="6"/>
      <c r="X1282" s="7"/>
    </row>
    <row r="1283" spans="1:24" ht="38.25" x14ac:dyDescent="0.2">
      <c r="A1283" s="6"/>
      <c r="B1283" s="7"/>
      <c r="C1283" s="6"/>
      <c r="D1283" s="7"/>
      <c r="E1283" s="6"/>
      <c r="F1283" s="7"/>
      <c r="G1283" s="6"/>
      <c r="H1283" s="7"/>
      <c r="I1283" s="6"/>
      <c r="J1283" s="7"/>
      <c r="K1283" s="96" t="str">
        <f>HYPERLINK("#'Healthcare'!AWI1","Q6.6.36")</f>
        <v>Q6.6.36</v>
      </c>
      <c r="L1283" s="93" t="str">
        <f>HYPERLINK("#'Healthcare'!AWI2","Primary regional HMO medical plan drug limits, exclusions, or required care management features: Lifestyle")</f>
        <v>Primary regional HMO medical plan drug limits, exclusions, or required care management features: Lifestyle</v>
      </c>
      <c r="M1283" s="6"/>
      <c r="N1283" s="7"/>
      <c r="O1283" s="6"/>
      <c r="P1283" s="7"/>
      <c r="Q1283" s="6"/>
      <c r="R1283" s="7"/>
      <c r="S1283" s="6"/>
      <c r="T1283" s="7"/>
      <c r="U1283" s="6"/>
      <c r="V1283" s="7"/>
      <c r="W1283" s="6"/>
      <c r="X1283" s="7"/>
    </row>
    <row r="1284" spans="1:24" ht="38.25" x14ac:dyDescent="0.2">
      <c r="A1284" s="6"/>
      <c r="B1284" s="7"/>
      <c r="C1284" s="6"/>
      <c r="D1284" s="7"/>
      <c r="E1284" s="6"/>
      <c r="F1284" s="7"/>
      <c r="G1284" s="6"/>
      <c r="H1284" s="7"/>
      <c r="I1284" s="6"/>
      <c r="J1284" s="7"/>
      <c r="K1284" s="96" t="str">
        <f>HYPERLINK("#'Healthcare'!AWJ1","Q6.6.37")</f>
        <v>Q6.6.37</v>
      </c>
      <c r="L1284" s="93" t="str">
        <f>HYPERLINK("#'Healthcare'!AWJ2","Primary regional HMO medical plan drug limits, exclusions, or required care management features: Compounds")</f>
        <v>Primary regional HMO medical plan drug limits, exclusions, or required care management features: Compounds</v>
      </c>
      <c r="M1284" s="6"/>
      <c r="N1284" s="7"/>
      <c r="O1284" s="6"/>
      <c r="P1284" s="7"/>
      <c r="Q1284" s="6"/>
      <c r="R1284" s="7"/>
      <c r="S1284" s="6"/>
      <c r="T1284" s="7"/>
      <c r="U1284" s="6"/>
      <c r="V1284" s="7"/>
      <c r="W1284" s="6"/>
      <c r="X1284" s="7"/>
    </row>
    <row r="1285" spans="1:24" ht="38.25" x14ac:dyDescent="0.2">
      <c r="A1285" s="6"/>
      <c r="B1285" s="7"/>
      <c r="C1285" s="6"/>
      <c r="D1285" s="7"/>
      <c r="E1285" s="6"/>
      <c r="F1285" s="7"/>
      <c r="G1285" s="6"/>
      <c r="H1285" s="7"/>
      <c r="I1285" s="6"/>
      <c r="J1285" s="7"/>
      <c r="K1285" s="96" t="str">
        <f>HYPERLINK("#'Healthcare'!AWK1","Q6.6.38")</f>
        <v>Q6.6.38</v>
      </c>
      <c r="L1285" s="93" t="str">
        <f>HYPERLINK("#'Healthcare'!AWK2","Primary regional HMO medical plan drug limits, exclusions, or required care management features: Biosimilars")</f>
        <v>Primary regional HMO medical plan drug limits, exclusions, or required care management features: Biosimilars</v>
      </c>
      <c r="M1285" s="6"/>
      <c r="N1285" s="7"/>
      <c r="O1285" s="6"/>
      <c r="P1285" s="7"/>
      <c r="Q1285" s="6"/>
      <c r="R1285" s="7"/>
      <c r="S1285" s="6"/>
      <c r="T1285" s="7"/>
      <c r="U1285" s="6"/>
      <c r="V1285" s="7"/>
      <c r="W1285" s="6"/>
      <c r="X1285" s="7"/>
    </row>
    <row r="1286" spans="1:24" ht="51" x14ac:dyDescent="0.2">
      <c r="A1286" s="6"/>
      <c r="B1286" s="7"/>
      <c r="C1286" s="6"/>
      <c r="D1286" s="7"/>
      <c r="E1286" s="6"/>
      <c r="F1286" s="7"/>
      <c r="G1286" s="6"/>
      <c r="H1286" s="7"/>
      <c r="I1286" s="6"/>
      <c r="J1286" s="7"/>
      <c r="K1286" s="96" t="str">
        <f>HYPERLINK("#'Healthcare'!AWL1","Q6.6.39")</f>
        <v>Q6.6.39</v>
      </c>
      <c r="L1286" s="93" t="str">
        <f>HYPERLINK("#'Healthcare'!AWL2","Primary regional HMO medical plan drug limits, exclusions, or required care management features: Over the counter - prescribed")</f>
        <v>Primary regional HMO medical plan drug limits, exclusions, or required care management features: Over the counter - prescribed</v>
      </c>
      <c r="M1286" s="6"/>
      <c r="N1286" s="7"/>
      <c r="O1286" s="6"/>
      <c r="P1286" s="7"/>
      <c r="Q1286" s="6"/>
      <c r="R1286" s="7"/>
      <c r="S1286" s="6"/>
      <c r="T1286" s="7"/>
      <c r="U1286" s="6"/>
      <c r="V1286" s="7"/>
      <c r="W1286" s="6"/>
      <c r="X1286" s="7"/>
    </row>
    <row r="1287" spans="1:24" ht="51" x14ac:dyDescent="0.2">
      <c r="A1287" s="6"/>
      <c r="B1287" s="7"/>
      <c r="C1287" s="6"/>
      <c r="D1287" s="7"/>
      <c r="E1287" s="6"/>
      <c r="F1287" s="7"/>
      <c r="G1287" s="6"/>
      <c r="H1287" s="7"/>
      <c r="I1287" s="6"/>
      <c r="J1287" s="7"/>
      <c r="K1287" s="96" t="str">
        <f>HYPERLINK("#'Healthcare'!AWM1","Q6.6.40")</f>
        <v>Q6.6.40</v>
      </c>
      <c r="L1287" s="93" t="str">
        <f>HYPERLINK("#'Healthcare'!AWM2","Primary regional HMO medical plan drug limits, exclusions, or required care management features: Over the counter - non-prescribed")</f>
        <v>Primary regional HMO medical plan drug limits, exclusions, or required care management features: Over the counter - non-prescribed</v>
      </c>
      <c r="M1287" s="6"/>
      <c r="N1287" s="7"/>
      <c r="O1287" s="6"/>
      <c r="P1287" s="7"/>
      <c r="Q1287" s="6"/>
      <c r="R1287" s="7"/>
      <c r="S1287" s="6"/>
      <c r="T1287" s="7"/>
      <c r="U1287" s="6"/>
      <c r="V1287" s="7"/>
      <c r="W1287" s="6"/>
      <c r="X1287" s="7"/>
    </row>
    <row r="1288" spans="1:24" ht="25.5" x14ac:dyDescent="0.2">
      <c r="A1288" s="6"/>
      <c r="B1288" s="7"/>
      <c r="C1288" s="6"/>
      <c r="D1288" s="7"/>
      <c r="E1288" s="6"/>
      <c r="F1288" s="7"/>
      <c r="G1288" s="6"/>
      <c r="H1288" s="7"/>
      <c r="I1288" s="6"/>
      <c r="J1288" s="7"/>
      <c r="K1288" s="96" t="str">
        <f>HYPERLINK("#'Healthcare'!AWN1","Q6.6.41_1_1")</f>
        <v>Q6.6.41_1_1</v>
      </c>
      <c r="L1288" s="93" t="str">
        <f>HYPERLINK("#'Healthcare'!AWN2","Primary regional HMO medical plan - tier #1 copayment: Retail/pharmacy in-network")</f>
        <v>Primary regional HMO medical plan - tier #1 copayment: Retail/pharmacy in-network</v>
      </c>
      <c r="M1288" s="6"/>
      <c r="N1288" s="7"/>
      <c r="O1288" s="6"/>
      <c r="P1288" s="7"/>
      <c r="Q1288" s="6"/>
      <c r="R1288" s="7"/>
      <c r="S1288" s="6"/>
      <c r="T1288" s="7"/>
      <c r="U1288" s="6"/>
      <c r="V1288" s="7"/>
      <c r="W1288" s="6"/>
      <c r="X1288" s="7"/>
    </row>
    <row r="1289" spans="1:24" ht="25.5" x14ac:dyDescent="0.2">
      <c r="A1289" s="6"/>
      <c r="B1289" s="7"/>
      <c r="C1289" s="6"/>
      <c r="D1289" s="7"/>
      <c r="E1289" s="6"/>
      <c r="F1289" s="7"/>
      <c r="G1289" s="6"/>
      <c r="H1289" s="7"/>
      <c r="I1289" s="6"/>
      <c r="J1289" s="7"/>
      <c r="K1289" s="96" t="str">
        <f>HYPERLINK("#'Healthcare'!AWO1","Q6.6.41_1_2")</f>
        <v>Q6.6.41_1_2</v>
      </c>
      <c r="L1289" s="93" t="str">
        <f>HYPERLINK("#'Healthcare'!AWO2","Primary regional HMO medical plan - tier #1 copayment: Retail/pharmacy out-of-network")</f>
        <v>Primary regional HMO medical plan - tier #1 copayment: Retail/pharmacy out-of-network</v>
      </c>
      <c r="M1289" s="6"/>
      <c r="N1289" s="7"/>
      <c r="O1289" s="6"/>
      <c r="P1289" s="7"/>
      <c r="Q1289" s="6"/>
      <c r="R1289" s="7"/>
      <c r="S1289" s="6"/>
      <c r="T1289" s="7"/>
      <c r="U1289" s="6"/>
      <c r="V1289" s="7"/>
      <c r="W1289" s="6"/>
      <c r="X1289" s="7"/>
    </row>
    <row r="1290" spans="1:24" ht="25.5" x14ac:dyDescent="0.2">
      <c r="A1290" s="6"/>
      <c r="B1290" s="7"/>
      <c r="C1290" s="6"/>
      <c r="D1290" s="7"/>
      <c r="E1290" s="6"/>
      <c r="F1290" s="7"/>
      <c r="G1290" s="6"/>
      <c r="H1290" s="7"/>
      <c r="I1290" s="6"/>
      <c r="J1290" s="7"/>
      <c r="K1290" s="96" t="str">
        <f>HYPERLINK("#'Healthcare'!AWP1","Q6.6.41_1_3")</f>
        <v>Q6.6.41_1_3</v>
      </c>
      <c r="L1290" s="93" t="str">
        <f>HYPERLINK("#'Healthcare'!AWP2","Primary regional HMO medical plan - tier #1 copayment: Mail order  in-network")</f>
        <v>Primary regional HMO medical plan - tier #1 copayment: Mail order  in-network</v>
      </c>
      <c r="M1290" s="6"/>
      <c r="N1290" s="7"/>
      <c r="O1290" s="6"/>
      <c r="P1290" s="7"/>
      <c r="Q1290" s="6"/>
      <c r="R1290" s="7"/>
      <c r="S1290" s="6"/>
      <c r="T1290" s="7"/>
      <c r="U1290" s="6"/>
      <c r="V1290" s="7"/>
      <c r="W1290" s="6"/>
      <c r="X1290" s="7"/>
    </row>
    <row r="1291" spans="1:24" ht="25.5" x14ac:dyDescent="0.2">
      <c r="A1291" s="6"/>
      <c r="B1291" s="7"/>
      <c r="C1291" s="6"/>
      <c r="D1291" s="7"/>
      <c r="E1291" s="6"/>
      <c r="F1291" s="7"/>
      <c r="G1291" s="6"/>
      <c r="H1291" s="7"/>
      <c r="I1291" s="6"/>
      <c r="J1291" s="7"/>
      <c r="K1291" s="96" t="str">
        <f>HYPERLINK("#'Healthcare'!AWQ1","Q6.6.41_1_4")</f>
        <v>Q6.6.41_1_4</v>
      </c>
      <c r="L1291" s="93" t="str">
        <f>HYPERLINK("#'Healthcare'!AWQ2","Primary regional HMO medical plan - tier #1 copayment: Mail order out-of-network")</f>
        <v>Primary regional HMO medical plan - tier #1 copayment: Mail order out-of-network</v>
      </c>
      <c r="M1291" s="6"/>
      <c r="N1291" s="7"/>
      <c r="O1291" s="6"/>
      <c r="P1291" s="7"/>
      <c r="Q1291" s="6"/>
      <c r="R1291" s="7"/>
      <c r="S1291" s="6"/>
      <c r="T1291" s="7"/>
      <c r="U1291" s="6"/>
      <c r="V1291" s="7"/>
      <c r="W1291" s="6"/>
      <c r="X1291" s="7"/>
    </row>
    <row r="1292" spans="1:24" ht="25.5" x14ac:dyDescent="0.2">
      <c r="A1292" s="6"/>
      <c r="B1292" s="7"/>
      <c r="C1292" s="6"/>
      <c r="D1292" s="7"/>
      <c r="E1292" s="6"/>
      <c r="F1292" s="7"/>
      <c r="G1292" s="6"/>
      <c r="H1292" s="7"/>
      <c r="I1292" s="6"/>
      <c r="J1292" s="7"/>
      <c r="K1292" s="96" t="str">
        <f>HYPERLINK("#'Healthcare'!AWR1","Q6.6.41_2_1")</f>
        <v>Q6.6.41_2_1</v>
      </c>
      <c r="L1292" s="93" t="str">
        <f>HYPERLINK("#'Healthcare'!AWR2","Primary regional HMO medical plan - tier #2 copayment: Retail/pharmacy in-network")</f>
        <v>Primary regional HMO medical plan - tier #2 copayment: Retail/pharmacy in-network</v>
      </c>
      <c r="M1292" s="6"/>
      <c r="N1292" s="7"/>
      <c r="O1292" s="6"/>
      <c r="P1292" s="7"/>
      <c r="Q1292" s="6"/>
      <c r="R1292" s="7"/>
      <c r="S1292" s="6"/>
      <c r="T1292" s="7"/>
      <c r="U1292" s="6"/>
      <c r="V1292" s="7"/>
      <c r="W1292" s="6"/>
      <c r="X1292" s="7"/>
    </row>
    <row r="1293" spans="1:24" ht="25.5" x14ac:dyDescent="0.2">
      <c r="A1293" s="6"/>
      <c r="B1293" s="7"/>
      <c r="C1293" s="6"/>
      <c r="D1293" s="7"/>
      <c r="E1293" s="6"/>
      <c r="F1293" s="7"/>
      <c r="G1293" s="6"/>
      <c r="H1293" s="7"/>
      <c r="I1293" s="6"/>
      <c r="J1293" s="7"/>
      <c r="K1293" s="96" t="str">
        <f>HYPERLINK("#'Healthcare'!AWS1","Q6.6.41_2_2")</f>
        <v>Q6.6.41_2_2</v>
      </c>
      <c r="L1293" s="93" t="str">
        <f>HYPERLINK("#'Healthcare'!AWS2","Primary regional HMO medical plan - tier #2 copayment: Retail/pharmacy out-of-network")</f>
        <v>Primary regional HMO medical plan - tier #2 copayment: Retail/pharmacy out-of-network</v>
      </c>
      <c r="M1293" s="6"/>
      <c r="N1293" s="7"/>
      <c r="O1293" s="6"/>
      <c r="P1293" s="7"/>
      <c r="Q1293" s="6"/>
      <c r="R1293" s="7"/>
      <c r="S1293" s="6"/>
      <c r="T1293" s="7"/>
      <c r="U1293" s="6"/>
      <c r="V1293" s="7"/>
      <c r="W1293" s="6"/>
      <c r="X1293" s="7"/>
    </row>
    <row r="1294" spans="1:24" ht="25.5" x14ac:dyDescent="0.2">
      <c r="A1294" s="6"/>
      <c r="B1294" s="7"/>
      <c r="C1294" s="6"/>
      <c r="D1294" s="7"/>
      <c r="E1294" s="6"/>
      <c r="F1294" s="7"/>
      <c r="G1294" s="6"/>
      <c r="H1294" s="7"/>
      <c r="I1294" s="6"/>
      <c r="J1294" s="7"/>
      <c r="K1294" s="96" t="str">
        <f>HYPERLINK("#'Healthcare'!AWT1","Q6.6.41_2_3")</f>
        <v>Q6.6.41_2_3</v>
      </c>
      <c r="L1294" s="93" t="str">
        <f>HYPERLINK("#'Healthcare'!AWT2","Primary regional HMO medical plan - tier #2 copayment: Mail order  in-network")</f>
        <v>Primary regional HMO medical plan - tier #2 copayment: Mail order  in-network</v>
      </c>
      <c r="M1294" s="6"/>
      <c r="N1294" s="7"/>
      <c r="O1294" s="6"/>
      <c r="P1294" s="7"/>
      <c r="Q1294" s="6"/>
      <c r="R1294" s="7"/>
      <c r="S1294" s="6"/>
      <c r="T1294" s="7"/>
      <c r="U1294" s="6"/>
      <c r="V1294" s="7"/>
      <c r="W1294" s="6"/>
      <c r="X1294" s="7"/>
    </row>
    <row r="1295" spans="1:24" ht="25.5" x14ac:dyDescent="0.2">
      <c r="A1295" s="6"/>
      <c r="B1295" s="7"/>
      <c r="C1295" s="6"/>
      <c r="D1295" s="7"/>
      <c r="E1295" s="6"/>
      <c r="F1295" s="7"/>
      <c r="G1295" s="6"/>
      <c r="H1295" s="7"/>
      <c r="I1295" s="6"/>
      <c r="J1295" s="7"/>
      <c r="K1295" s="96" t="str">
        <f>HYPERLINK("#'Healthcare'!AWU1","Q6.6.41_2_4")</f>
        <v>Q6.6.41_2_4</v>
      </c>
      <c r="L1295" s="93" t="str">
        <f>HYPERLINK("#'Healthcare'!AWU2","Primary regional HMO medical plan - tier #2 copayment: Mail order out-of-network")</f>
        <v>Primary regional HMO medical plan - tier #2 copayment: Mail order out-of-network</v>
      </c>
      <c r="M1295" s="6"/>
      <c r="N1295" s="7"/>
      <c r="O1295" s="6"/>
      <c r="P1295" s="7"/>
      <c r="Q1295" s="6"/>
      <c r="R1295" s="7"/>
      <c r="S1295" s="6"/>
      <c r="T1295" s="7"/>
      <c r="U1295" s="6"/>
      <c r="V1295" s="7"/>
      <c r="W1295" s="6"/>
      <c r="X1295" s="7"/>
    </row>
    <row r="1296" spans="1:24" ht="25.5" x14ac:dyDescent="0.2">
      <c r="A1296" s="6"/>
      <c r="B1296" s="7"/>
      <c r="C1296" s="6"/>
      <c r="D1296" s="7"/>
      <c r="E1296" s="6"/>
      <c r="F1296" s="7"/>
      <c r="G1296" s="6"/>
      <c r="H1296" s="7"/>
      <c r="I1296" s="6"/>
      <c r="J1296" s="7"/>
      <c r="K1296" s="96" t="str">
        <f>HYPERLINK("#'Healthcare'!AWV1","Q6.6.41_3_1")</f>
        <v>Q6.6.41_3_1</v>
      </c>
      <c r="L1296" s="93" t="str">
        <f>HYPERLINK("#'Healthcare'!AWV2","Primary regional HMO medical plan - tier #3 copayment: Retail/pharmacy in-network")</f>
        <v>Primary regional HMO medical plan - tier #3 copayment: Retail/pharmacy in-network</v>
      </c>
      <c r="M1296" s="6"/>
      <c r="N1296" s="7"/>
      <c r="O1296" s="6"/>
      <c r="P1296" s="7"/>
      <c r="Q1296" s="6"/>
      <c r="R1296" s="7"/>
      <c r="S1296" s="6"/>
      <c r="T1296" s="7"/>
      <c r="U1296" s="6"/>
      <c r="V1296" s="7"/>
      <c r="W1296" s="6"/>
      <c r="X1296" s="7"/>
    </row>
    <row r="1297" spans="1:24" ht="25.5" x14ac:dyDescent="0.2">
      <c r="A1297" s="6"/>
      <c r="B1297" s="7"/>
      <c r="C1297" s="6"/>
      <c r="D1297" s="7"/>
      <c r="E1297" s="6"/>
      <c r="F1297" s="7"/>
      <c r="G1297" s="6"/>
      <c r="H1297" s="7"/>
      <c r="I1297" s="6"/>
      <c r="J1297" s="7"/>
      <c r="K1297" s="96" t="str">
        <f>HYPERLINK("#'Healthcare'!AWW1","Q6.6.41_3_2")</f>
        <v>Q6.6.41_3_2</v>
      </c>
      <c r="L1297" s="93" t="str">
        <f>HYPERLINK("#'Healthcare'!AWW2","Primary regional HMO medical plan - tier #3 copayment: Retail/pharmacy out-of-network")</f>
        <v>Primary regional HMO medical plan - tier #3 copayment: Retail/pharmacy out-of-network</v>
      </c>
      <c r="M1297" s="6"/>
      <c r="N1297" s="7"/>
      <c r="O1297" s="6"/>
      <c r="P1297" s="7"/>
      <c r="Q1297" s="6"/>
      <c r="R1297" s="7"/>
      <c r="S1297" s="6"/>
      <c r="T1297" s="7"/>
      <c r="U1297" s="6"/>
      <c r="V1297" s="7"/>
      <c r="W1297" s="6"/>
      <c r="X1297" s="7"/>
    </row>
    <row r="1298" spans="1:24" ht="25.5" x14ac:dyDescent="0.2">
      <c r="A1298" s="6"/>
      <c r="B1298" s="7"/>
      <c r="C1298" s="6"/>
      <c r="D1298" s="7"/>
      <c r="E1298" s="6"/>
      <c r="F1298" s="7"/>
      <c r="G1298" s="6"/>
      <c r="H1298" s="7"/>
      <c r="I1298" s="6"/>
      <c r="J1298" s="7"/>
      <c r="K1298" s="96" t="str">
        <f>HYPERLINK("#'Healthcare'!AWX1","Q6.6.41_3_3")</f>
        <v>Q6.6.41_3_3</v>
      </c>
      <c r="L1298" s="93" t="str">
        <f>HYPERLINK("#'Healthcare'!AWX2","Primary regional HMO medical plan - tier #3 copayment: Mail order  in-network")</f>
        <v>Primary regional HMO medical plan - tier #3 copayment: Mail order  in-network</v>
      </c>
      <c r="M1298" s="6"/>
      <c r="N1298" s="7"/>
      <c r="O1298" s="6"/>
      <c r="P1298" s="7"/>
      <c r="Q1298" s="6"/>
      <c r="R1298" s="7"/>
      <c r="S1298" s="6"/>
      <c r="T1298" s="7"/>
      <c r="U1298" s="6"/>
      <c r="V1298" s="7"/>
      <c r="W1298" s="6"/>
      <c r="X1298" s="7"/>
    </row>
    <row r="1299" spans="1:24" ht="25.5" x14ac:dyDescent="0.2">
      <c r="A1299" s="6"/>
      <c r="B1299" s="7"/>
      <c r="C1299" s="6"/>
      <c r="D1299" s="7"/>
      <c r="E1299" s="6"/>
      <c r="F1299" s="7"/>
      <c r="G1299" s="6"/>
      <c r="H1299" s="7"/>
      <c r="I1299" s="6"/>
      <c r="J1299" s="7"/>
      <c r="K1299" s="96" t="str">
        <f>HYPERLINK("#'Healthcare'!AWY1","Q6.6.41_3_4")</f>
        <v>Q6.6.41_3_4</v>
      </c>
      <c r="L1299" s="93" t="str">
        <f>HYPERLINK("#'Healthcare'!AWY2","Primary regional HMO medical plan - tier #3 copayment: Mail order out-of-network")</f>
        <v>Primary regional HMO medical plan - tier #3 copayment: Mail order out-of-network</v>
      </c>
      <c r="M1299" s="6"/>
      <c r="N1299" s="7"/>
      <c r="O1299" s="6"/>
      <c r="P1299" s="7"/>
      <c r="Q1299" s="6"/>
      <c r="R1299" s="7"/>
      <c r="S1299" s="6"/>
      <c r="T1299" s="7"/>
      <c r="U1299" s="6"/>
      <c r="V1299" s="7"/>
      <c r="W1299" s="6"/>
      <c r="X1299" s="7"/>
    </row>
    <row r="1300" spans="1:24" ht="25.5" x14ac:dyDescent="0.2">
      <c r="A1300" s="6"/>
      <c r="B1300" s="7"/>
      <c r="C1300" s="6"/>
      <c r="D1300" s="7"/>
      <c r="E1300" s="6"/>
      <c r="F1300" s="7"/>
      <c r="G1300" s="6"/>
      <c r="H1300" s="7"/>
      <c r="I1300" s="6"/>
      <c r="J1300" s="7"/>
      <c r="K1300" s="96" t="str">
        <f>HYPERLINK("#'Healthcare'!AWZ1","Q6.6.41_4_1")</f>
        <v>Q6.6.41_4_1</v>
      </c>
      <c r="L1300" s="93" t="str">
        <f>HYPERLINK("#'Healthcare'!AWZ2","Primary regional HMO medical plan - tier #4 copayment: Retail/pharmacy in-network")</f>
        <v>Primary regional HMO medical plan - tier #4 copayment: Retail/pharmacy in-network</v>
      </c>
      <c r="M1300" s="6"/>
      <c r="N1300" s="7"/>
      <c r="O1300" s="6"/>
      <c r="P1300" s="7"/>
      <c r="Q1300" s="6"/>
      <c r="R1300" s="7"/>
      <c r="S1300" s="6"/>
      <c r="T1300" s="7"/>
      <c r="U1300" s="6"/>
      <c r="V1300" s="7"/>
      <c r="W1300" s="6"/>
      <c r="X1300" s="7"/>
    </row>
    <row r="1301" spans="1:24" ht="25.5" x14ac:dyDescent="0.2">
      <c r="A1301" s="6"/>
      <c r="B1301" s="7"/>
      <c r="C1301" s="6"/>
      <c r="D1301" s="7"/>
      <c r="E1301" s="6"/>
      <c r="F1301" s="7"/>
      <c r="G1301" s="6"/>
      <c r="H1301" s="7"/>
      <c r="I1301" s="6"/>
      <c r="J1301" s="7"/>
      <c r="K1301" s="96" t="str">
        <f>HYPERLINK("#'Healthcare'!AXA1","Q6.6.41_4_2")</f>
        <v>Q6.6.41_4_2</v>
      </c>
      <c r="L1301" s="93" t="str">
        <f>HYPERLINK("#'Healthcare'!AXA2","Primary regional HMO medical plan - tier #4 copayment: Retail/pharmacy out-of-network")</f>
        <v>Primary regional HMO medical plan - tier #4 copayment: Retail/pharmacy out-of-network</v>
      </c>
      <c r="M1301" s="6"/>
      <c r="N1301" s="7"/>
      <c r="O1301" s="6"/>
      <c r="P1301" s="7"/>
      <c r="Q1301" s="6"/>
      <c r="R1301" s="7"/>
      <c r="S1301" s="6"/>
      <c r="T1301" s="7"/>
      <c r="U1301" s="6"/>
      <c r="V1301" s="7"/>
      <c r="W1301" s="6"/>
      <c r="X1301" s="7"/>
    </row>
    <row r="1302" spans="1:24" ht="25.5" x14ac:dyDescent="0.2">
      <c r="A1302" s="6"/>
      <c r="B1302" s="7"/>
      <c r="C1302" s="6"/>
      <c r="D1302" s="7"/>
      <c r="E1302" s="6"/>
      <c r="F1302" s="7"/>
      <c r="G1302" s="6"/>
      <c r="H1302" s="7"/>
      <c r="I1302" s="6"/>
      <c r="J1302" s="7"/>
      <c r="K1302" s="96" t="str">
        <f>HYPERLINK("#'Healthcare'!AXB1","Q6.6.41_4_3")</f>
        <v>Q6.6.41_4_3</v>
      </c>
      <c r="L1302" s="93" t="str">
        <f>HYPERLINK("#'Healthcare'!AXB2","Primary regional HMO medical plan - tier #4 copayment: Mail order  in-network")</f>
        <v>Primary regional HMO medical plan - tier #4 copayment: Mail order  in-network</v>
      </c>
      <c r="M1302" s="6"/>
      <c r="N1302" s="7"/>
      <c r="O1302" s="6"/>
      <c r="P1302" s="7"/>
      <c r="Q1302" s="6"/>
      <c r="R1302" s="7"/>
      <c r="S1302" s="6"/>
      <c r="T1302" s="7"/>
      <c r="U1302" s="6"/>
      <c r="V1302" s="7"/>
      <c r="W1302" s="6"/>
      <c r="X1302" s="7"/>
    </row>
    <row r="1303" spans="1:24" ht="25.5" x14ac:dyDescent="0.2">
      <c r="A1303" s="6"/>
      <c r="B1303" s="7"/>
      <c r="C1303" s="6"/>
      <c r="D1303" s="7"/>
      <c r="E1303" s="6"/>
      <c r="F1303" s="7"/>
      <c r="G1303" s="6"/>
      <c r="H1303" s="7"/>
      <c r="I1303" s="6"/>
      <c r="J1303" s="7"/>
      <c r="K1303" s="96" t="str">
        <f>HYPERLINK("#'Healthcare'!AXC1","Q6.6.41_4_4")</f>
        <v>Q6.6.41_4_4</v>
      </c>
      <c r="L1303" s="93" t="str">
        <f>HYPERLINK("#'Healthcare'!AXC2","Primary regional HMO medical plan - tier #4 copayment: Mail order out-of-network")</f>
        <v>Primary regional HMO medical plan - tier #4 copayment: Mail order out-of-network</v>
      </c>
      <c r="M1303" s="6"/>
      <c r="N1303" s="7"/>
      <c r="O1303" s="6"/>
      <c r="P1303" s="7"/>
      <c r="Q1303" s="6"/>
      <c r="R1303" s="7"/>
      <c r="S1303" s="6"/>
      <c r="T1303" s="7"/>
      <c r="U1303" s="6"/>
      <c r="V1303" s="7"/>
      <c r="W1303" s="6"/>
      <c r="X1303" s="7"/>
    </row>
    <row r="1304" spans="1:24" ht="25.5" x14ac:dyDescent="0.2">
      <c r="A1304" s="6"/>
      <c r="B1304" s="7"/>
      <c r="C1304" s="6"/>
      <c r="D1304" s="7"/>
      <c r="E1304" s="6"/>
      <c r="F1304" s="7"/>
      <c r="G1304" s="6"/>
      <c r="H1304" s="7"/>
      <c r="I1304" s="6"/>
      <c r="J1304" s="7"/>
      <c r="K1304" s="96" t="str">
        <f>HYPERLINK("#'Healthcare'!AXD1","Q6.6.41_5_1")</f>
        <v>Q6.6.41_5_1</v>
      </c>
      <c r="L1304" s="93" t="str">
        <f>HYPERLINK("#'Healthcare'!AXD2","Primary regional HMO medical plan - tier #5 copayment: Retail/pharmacy in-network")</f>
        <v>Primary regional HMO medical plan - tier #5 copayment: Retail/pharmacy in-network</v>
      </c>
      <c r="M1304" s="6"/>
      <c r="N1304" s="7"/>
      <c r="O1304" s="6"/>
      <c r="P1304" s="7"/>
      <c r="Q1304" s="6"/>
      <c r="R1304" s="7"/>
      <c r="S1304" s="6"/>
      <c r="T1304" s="7"/>
      <c r="U1304" s="6"/>
      <c r="V1304" s="7"/>
      <c r="W1304" s="6"/>
      <c r="X1304" s="7"/>
    </row>
    <row r="1305" spans="1:24" ht="25.5" x14ac:dyDescent="0.2">
      <c r="A1305" s="6"/>
      <c r="B1305" s="7"/>
      <c r="C1305" s="6"/>
      <c r="D1305" s="7"/>
      <c r="E1305" s="6"/>
      <c r="F1305" s="7"/>
      <c r="G1305" s="6"/>
      <c r="H1305" s="7"/>
      <c r="I1305" s="6"/>
      <c r="J1305" s="7"/>
      <c r="K1305" s="96" t="str">
        <f>HYPERLINK("#'Healthcare'!AXE1","Q6.6.41_5_2")</f>
        <v>Q6.6.41_5_2</v>
      </c>
      <c r="L1305" s="93" t="str">
        <f>HYPERLINK("#'Healthcare'!AXE2","Primary regional HMO medical plan - tier #5 copayment: Retail/pharmacy out-of-network")</f>
        <v>Primary regional HMO medical plan - tier #5 copayment: Retail/pharmacy out-of-network</v>
      </c>
      <c r="M1305" s="6"/>
      <c r="N1305" s="7"/>
      <c r="O1305" s="6"/>
      <c r="P1305" s="7"/>
      <c r="Q1305" s="6"/>
      <c r="R1305" s="7"/>
      <c r="S1305" s="6"/>
      <c r="T1305" s="7"/>
      <c r="U1305" s="6"/>
      <c r="V1305" s="7"/>
      <c r="W1305" s="6"/>
      <c r="X1305" s="7"/>
    </row>
    <row r="1306" spans="1:24" ht="25.5" x14ac:dyDescent="0.2">
      <c r="A1306" s="6"/>
      <c r="B1306" s="7"/>
      <c r="C1306" s="6"/>
      <c r="D1306" s="7"/>
      <c r="E1306" s="6"/>
      <c r="F1306" s="7"/>
      <c r="G1306" s="6"/>
      <c r="H1306" s="7"/>
      <c r="I1306" s="6"/>
      <c r="J1306" s="7"/>
      <c r="K1306" s="96" t="str">
        <f>HYPERLINK("#'Healthcare'!AXF1","Q6.6.41_5_3")</f>
        <v>Q6.6.41_5_3</v>
      </c>
      <c r="L1306" s="93" t="str">
        <f>HYPERLINK("#'Healthcare'!AXF2","Primary regional HMO medical plan - tier #5 copayment: Mail order  in-network")</f>
        <v>Primary regional HMO medical plan - tier #5 copayment: Mail order  in-network</v>
      </c>
      <c r="M1306" s="6"/>
      <c r="N1306" s="7"/>
      <c r="O1306" s="6"/>
      <c r="P1306" s="7"/>
      <c r="Q1306" s="6"/>
      <c r="R1306" s="7"/>
      <c r="S1306" s="6"/>
      <c r="T1306" s="7"/>
      <c r="U1306" s="6"/>
      <c r="V1306" s="7"/>
      <c r="W1306" s="6"/>
      <c r="X1306" s="7"/>
    </row>
    <row r="1307" spans="1:24" ht="25.5" x14ac:dyDescent="0.2">
      <c r="A1307" s="6"/>
      <c r="B1307" s="7"/>
      <c r="C1307" s="6"/>
      <c r="D1307" s="7"/>
      <c r="E1307" s="6"/>
      <c r="F1307" s="7"/>
      <c r="G1307" s="6"/>
      <c r="H1307" s="7"/>
      <c r="I1307" s="6"/>
      <c r="J1307" s="7"/>
      <c r="K1307" s="96" t="str">
        <f>HYPERLINK("#'Healthcare'!AXG1","Q6.6.41_5_4")</f>
        <v>Q6.6.41_5_4</v>
      </c>
      <c r="L1307" s="93" t="str">
        <f>HYPERLINK("#'Healthcare'!AXG2","Primary regional HMO medical plan - tier #5 copayment: Mail order out-of-network")</f>
        <v>Primary regional HMO medical plan - tier #5 copayment: Mail order out-of-network</v>
      </c>
      <c r="M1307" s="6"/>
      <c r="N1307" s="7"/>
      <c r="O1307" s="6"/>
      <c r="P1307" s="7"/>
      <c r="Q1307" s="6"/>
      <c r="R1307" s="7"/>
      <c r="S1307" s="6"/>
      <c r="T1307" s="7"/>
      <c r="U1307" s="6"/>
      <c r="V1307" s="7"/>
      <c r="W1307" s="6"/>
      <c r="X1307" s="7"/>
    </row>
    <row r="1308" spans="1:24" ht="25.5" x14ac:dyDescent="0.2">
      <c r="A1308" s="6"/>
      <c r="B1308" s="7"/>
      <c r="C1308" s="6"/>
      <c r="D1308" s="7"/>
      <c r="E1308" s="6"/>
      <c r="F1308" s="7"/>
      <c r="G1308" s="6"/>
      <c r="H1308" s="7"/>
      <c r="I1308" s="6"/>
      <c r="J1308" s="7"/>
      <c r="K1308" s="96" t="str">
        <f>HYPERLINK("#'Healthcare'!AXH1","Q6.6.41_6_1")</f>
        <v>Q6.6.41_6_1</v>
      </c>
      <c r="L1308" s="93" t="str">
        <f>HYPERLINK("#'Healthcare'!AXH2","Primary regional HMO medical plan - specialty copayment: Retail/pharmacy in-network")</f>
        <v>Primary regional HMO medical plan - specialty copayment: Retail/pharmacy in-network</v>
      </c>
      <c r="M1308" s="6"/>
      <c r="N1308" s="7"/>
      <c r="O1308" s="6"/>
      <c r="P1308" s="7"/>
      <c r="Q1308" s="6"/>
      <c r="R1308" s="7"/>
      <c r="S1308" s="6"/>
      <c r="T1308" s="7"/>
      <c r="U1308" s="6"/>
      <c r="V1308" s="7"/>
      <c r="W1308" s="6"/>
      <c r="X1308" s="7"/>
    </row>
    <row r="1309" spans="1:24" ht="25.5" x14ac:dyDescent="0.2">
      <c r="A1309" s="6"/>
      <c r="B1309" s="7"/>
      <c r="C1309" s="6"/>
      <c r="D1309" s="7"/>
      <c r="E1309" s="6"/>
      <c r="F1309" s="7"/>
      <c r="G1309" s="6"/>
      <c r="H1309" s="7"/>
      <c r="I1309" s="6"/>
      <c r="J1309" s="7"/>
      <c r="K1309" s="96" t="str">
        <f>HYPERLINK("#'Healthcare'!AXI1","Q6.6.41_6_2")</f>
        <v>Q6.6.41_6_2</v>
      </c>
      <c r="L1309" s="93" t="str">
        <f>HYPERLINK("#'Healthcare'!AXI2","Primary regional HMO medical plan - specialty copayment: Retail/pharmacy out-of-network")</f>
        <v>Primary regional HMO medical plan - specialty copayment: Retail/pharmacy out-of-network</v>
      </c>
      <c r="M1309" s="6"/>
      <c r="N1309" s="7"/>
      <c r="O1309" s="6"/>
      <c r="P1309" s="7"/>
      <c r="Q1309" s="6"/>
      <c r="R1309" s="7"/>
      <c r="S1309" s="6"/>
      <c r="T1309" s="7"/>
      <c r="U1309" s="6"/>
      <c r="V1309" s="7"/>
      <c r="W1309" s="6"/>
      <c r="X1309" s="7"/>
    </row>
    <row r="1310" spans="1:24" ht="25.5" x14ac:dyDescent="0.2">
      <c r="A1310" s="6"/>
      <c r="B1310" s="7"/>
      <c r="C1310" s="6"/>
      <c r="D1310" s="7"/>
      <c r="E1310" s="6"/>
      <c r="F1310" s="7"/>
      <c r="G1310" s="6"/>
      <c r="H1310" s="7"/>
      <c r="I1310" s="6"/>
      <c r="J1310" s="7"/>
      <c r="K1310" s="96" t="str">
        <f>HYPERLINK("#'Healthcare'!AXJ1","Q6.6.41_6_3")</f>
        <v>Q6.6.41_6_3</v>
      </c>
      <c r="L1310" s="93" t="str">
        <f>HYPERLINK("#'Healthcare'!AXJ2","Primary regional HMO medical plan - specialty copayment: Mail order  in-network")</f>
        <v>Primary regional HMO medical plan - specialty copayment: Mail order  in-network</v>
      </c>
      <c r="M1310" s="6"/>
      <c r="N1310" s="7"/>
      <c r="O1310" s="6"/>
      <c r="P1310" s="7"/>
      <c r="Q1310" s="6"/>
      <c r="R1310" s="7"/>
      <c r="S1310" s="6"/>
      <c r="T1310" s="7"/>
      <c r="U1310" s="6"/>
      <c r="V1310" s="7"/>
      <c r="W1310" s="6"/>
      <c r="X1310" s="7"/>
    </row>
    <row r="1311" spans="1:24" ht="25.5" x14ac:dyDescent="0.2">
      <c r="A1311" s="6"/>
      <c r="B1311" s="7"/>
      <c r="C1311" s="6"/>
      <c r="D1311" s="7"/>
      <c r="E1311" s="6"/>
      <c r="F1311" s="7"/>
      <c r="G1311" s="6"/>
      <c r="H1311" s="7"/>
      <c r="I1311" s="6"/>
      <c r="J1311" s="7"/>
      <c r="K1311" s="96" t="str">
        <f>HYPERLINK("#'Healthcare'!AXK1","Q6.6.41_6_4")</f>
        <v>Q6.6.41_6_4</v>
      </c>
      <c r="L1311" s="93" t="str">
        <f>HYPERLINK("#'Healthcare'!AXK2","Primary regional HMO medical plan - specialty copayment: Mail order out-of-network")</f>
        <v>Primary regional HMO medical plan - specialty copayment: Mail order out-of-network</v>
      </c>
      <c r="M1311" s="6"/>
      <c r="N1311" s="7"/>
      <c r="O1311" s="6"/>
      <c r="P1311" s="7"/>
      <c r="Q1311" s="6"/>
      <c r="R1311" s="7"/>
      <c r="S1311" s="6"/>
      <c r="T1311" s="7"/>
      <c r="U1311" s="6"/>
      <c r="V1311" s="7"/>
      <c r="W1311" s="6"/>
      <c r="X1311" s="7"/>
    </row>
    <row r="1312" spans="1:24" ht="25.5" x14ac:dyDescent="0.2">
      <c r="A1312" s="6"/>
      <c r="B1312" s="7"/>
      <c r="C1312" s="6"/>
      <c r="D1312" s="7"/>
      <c r="E1312" s="6"/>
      <c r="F1312" s="7"/>
      <c r="G1312" s="6"/>
      <c r="H1312" s="7"/>
      <c r="I1312" s="6"/>
      <c r="J1312" s="7"/>
      <c r="K1312" s="96" t="str">
        <f>HYPERLINK("#'Healthcare'!AXL1","Q6.6.41_7_1")</f>
        <v>Q6.6.41_7_1</v>
      </c>
      <c r="L1312" s="93" t="str">
        <f>HYPERLINK("#'Healthcare'!AXL2","Primary regional HMO medical plan - Other copayment: Retail/pharmacy in-network")</f>
        <v>Primary regional HMO medical plan - Other copayment: Retail/pharmacy in-network</v>
      </c>
      <c r="M1312" s="6"/>
      <c r="N1312" s="7"/>
      <c r="O1312" s="6"/>
      <c r="P1312" s="7"/>
      <c r="Q1312" s="6"/>
      <c r="R1312" s="7"/>
      <c r="S1312" s="6"/>
      <c r="T1312" s="7"/>
      <c r="U1312" s="6"/>
      <c r="V1312" s="7"/>
      <c r="W1312" s="6"/>
      <c r="X1312" s="7"/>
    </row>
    <row r="1313" spans="1:24" ht="25.5" x14ac:dyDescent="0.2">
      <c r="A1313" s="6"/>
      <c r="B1313" s="7"/>
      <c r="C1313" s="6"/>
      <c r="D1313" s="7"/>
      <c r="E1313" s="6"/>
      <c r="F1313" s="7"/>
      <c r="G1313" s="6"/>
      <c r="H1313" s="7"/>
      <c r="I1313" s="6"/>
      <c r="J1313" s="7"/>
      <c r="K1313" s="96" t="str">
        <f>HYPERLINK("#'Healthcare'!AXM1","Q6.6.41_7_2")</f>
        <v>Q6.6.41_7_2</v>
      </c>
      <c r="L1313" s="93" t="str">
        <f>HYPERLINK("#'Healthcare'!AXM2","Primary regional HMO medical plan - Other copayment: Retail/pharmacy out-of-network")</f>
        <v>Primary regional HMO medical plan - Other copayment: Retail/pharmacy out-of-network</v>
      </c>
      <c r="M1313" s="6"/>
      <c r="N1313" s="7"/>
      <c r="O1313" s="6"/>
      <c r="P1313" s="7"/>
      <c r="Q1313" s="6"/>
      <c r="R1313" s="7"/>
      <c r="S1313" s="6"/>
      <c r="T1313" s="7"/>
      <c r="U1313" s="6"/>
      <c r="V1313" s="7"/>
      <c r="W1313" s="6"/>
      <c r="X1313" s="7"/>
    </row>
    <row r="1314" spans="1:24" ht="25.5" x14ac:dyDescent="0.2">
      <c r="A1314" s="6"/>
      <c r="B1314" s="7"/>
      <c r="C1314" s="6"/>
      <c r="D1314" s="7"/>
      <c r="E1314" s="6"/>
      <c r="F1314" s="7"/>
      <c r="G1314" s="6"/>
      <c r="H1314" s="7"/>
      <c r="I1314" s="6"/>
      <c r="J1314" s="7"/>
      <c r="K1314" s="96" t="str">
        <f>HYPERLINK("#'Healthcare'!AXN1","Q6.6.41_7_3")</f>
        <v>Q6.6.41_7_3</v>
      </c>
      <c r="L1314" s="93" t="str">
        <f>HYPERLINK("#'Healthcare'!AXN2","Primary regional HMO medical plan - Other copayment: Mail order  in-network")</f>
        <v>Primary regional HMO medical plan - Other copayment: Mail order  in-network</v>
      </c>
      <c r="M1314" s="6"/>
      <c r="N1314" s="7"/>
      <c r="O1314" s="6"/>
      <c r="P1314" s="7"/>
      <c r="Q1314" s="6"/>
      <c r="R1314" s="7"/>
      <c r="S1314" s="6"/>
      <c r="T1314" s="7"/>
      <c r="U1314" s="6"/>
      <c r="V1314" s="7"/>
      <c r="W1314" s="6"/>
      <c r="X1314" s="7"/>
    </row>
    <row r="1315" spans="1:24" ht="25.5" x14ac:dyDescent="0.2">
      <c r="A1315" s="6"/>
      <c r="B1315" s="7"/>
      <c r="C1315" s="6"/>
      <c r="D1315" s="7"/>
      <c r="E1315" s="6"/>
      <c r="F1315" s="7"/>
      <c r="G1315" s="6"/>
      <c r="H1315" s="7"/>
      <c r="I1315" s="6"/>
      <c r="J1315" s="7"/>
      <c r="K1315" s="96" t="str">
        <f>HYPERLINK("#'Healthcare'!AXO1","Q6.6.41_7_4")</f>
        <v>Q6.6.41_7_4</v>
      </c>
      <c r="L1315" s="93" t="str">
        <f>HYPERLINK("#'Healthcare'!AXO2","Primary regional HMO medical plan - Other copayment: Mail order out-of-network")</f>
        <v>Primary regional HMO medical plan - Other copayment: Mail order out-of-network</v>
      </c>
      <c r="M1315" s="6"/>
      <c r="N1315" s="7"/>
      <c r="O1315" s="6"/>
      <c r="P1315" s="7"/>
      <c r="Q1315" s="6"/>
      <c r="R1315" s="7"/>
      <c r="S1315" s="6"/>
      <c r="T1315" s="7"/>
      <c r="U1315" s="6"/>
      <c r="V1315" s="7"/>
      <c r="W1315" s="6"/>
      <c r="X1315" s="7"/>
    </row>
    <row r="1316" spans="1:24" ht="25.5" x14ac:dyDescent="0.2">
      <c r="A1316" s="6"/>
      <c r="B1316" s="7"/>
      <c r="C1316" s="6"/>
      <c r="D1316" s="7"/>
      <c r="E1316" s="6"/>
      <c r="F1316" s="7"/>
      <c r="G1316" s="6"/>
      <c r="H1316" s="7"/>
      <c r="I1316" s="6"/>
      <c r="J1316" s="7"/>
      <c r="K1316" s="96" t="str">
        <f>HYPERLINK("#'Healthcare'!AXP1","Q6.6.42_1_1")</f>
        <v>Q6.6.42_1_1</v>
      </c>
      <c r="L1316" s="93" t="str">
        <f>HYPERLINK("#'Healthcare'!AXP2","Primary regional HMO medical plan tier 1 coinsurance: Retail/pharmacy - in-network")</f>
        <v>Primary regional HMO medical plan tier 1 coinsurance: Retail/pharmacy - in-network</v>
      </c>
      <c r="M1316" s="6"/>
      <c r="N1316" s="7"/>
      <c r="O1316" s="6"/>
      <c r="P1316" s="7"/>
      <c r="Q1316" s="6"/>
      <c r="R1316" s="7"/>
      <c r="S1316" s="6"/>
      <c r="T1316" s="7"/>
      <c r="U1316" s="6"/>
      <c r="V1316" s="7"/>
      <c r="W1316" s="6"/>
      <c r="X1316" s="7"/>
    </row>
    <row r="1317" spans="1:24" ht="25.5" x14ac:dyDescent="0.2">
      <c r="A1317" s="6"/>
      <c r="B1317" s="7"/>
      <c r="C1317" s="6"/>
      <c r="D1317" s="7"/>
      <c r="E1317" s="6"/>
      <c r="F1317" s="7"/>
      <c r="G1317" s="6"/>
      <c r="H1317" s="7"/>
      <c r="I1317" s="6"/>
      <c r="J1317" s="7"/>
      <c r="K1317" s="96" t="str">
        <f>HYPERLINK("#'Healthcare'!AXQ1","Q6.6.42_2_1")</f>
        <v>Q6.6.42_2_1</v>
      </c>
      <c r="L1317" s="93" t="str">
        <f>HYPERLINK("#'Healthcare'!AXQ2","Primary regional HMO medical plan tier 2 coinsurance: Retail/pharmacy - in-network")</f>
        <v>Primary regional HMO medical plan tier 2 coinsurance: Retail/pharmacy - in-network</v>
      </c>
      <c r="M1317" s="6"/>
      <c r="N1317" s="7"/>
      <c r="O1317" s="6"/>
      <c r="P1317" s="7"/>
      <c r="Q1317" s="6"/>
      <c r="R1317" s="7"/>
      <c r="S1317" s="6"/>
      <c r="T1317" s="7"/>
      <c r="U1317" s="6"/>
      <c r="V1317" s="7"/>
      <c r="W1317" s="6"/>
      <c r="X1317" s="7"/>
    </row>
    <row r="1318" spans="1:24" ht="25.5" x14ac:dyDescent="0.2">
      <c r="A1318" s="6"/>
      <c r="B1318" s="7"/>
      <c r="C1318" s="6"/>
      <c r="D1318" s="7"/>
      <c r="E1318" s="6"/>
      <c r="F1318" s="7"/>
      <c r="G1318" s="6"/>
      <c r="H1318" s="7"/>
      <c r="I1318" s="6"/>
      <c r="J1318" s="7"/>
      <c r="K1318" s="96" t="str">
        <f>HYPERLINK("#'Healthcare'!AXR1","Q6.6.42_3_1")</f>
        <v>Q6.6.42_3_1</v>
      </c>
      <c r="L1318" s="93" t="str">
        <f>HYPERLINK("#'Healthcare'!AXR2","Primary regional HMO medical plan tier 3 coinsurance: Retail/pharmacy - in-network")</f>
        <v>Primary regional HMO medical plan tier 3 coinsurance: Retail/pharmacy - in-network</v>
      </c>
      <c r="M1318" s="6"/>
      <c r="N1318" s="7"/>
      <c r="O1318" s="6"/>
      <c r="P1318" s="7"/>
      <c r="Q1318" s="6"/>
      <c r="R1318" s="7"/>
      <c r="S1318" s="6"/>
      <c r="T1318" s="7"/>
      <c r="U1318" s="6"/>
      <c r="V1318" s="7"/>
      <c r="W1318" s="6"/>
      <c r="X1318" s="7"/>
    </row>
    <row r="1319" spans="1:24" ht="25.5" x14ac:dyDescent="0.2">
      <c r="A1319" s="6"/>
      <c r="B1319" s="7"/>
      <c r="C1319" s="6"/>
      <c r="D1319" s="7"/>
      <c r="E1319" s="6"/>
      <c r="F1319" s="7"/>
      <c r="G1319" s="6"/>
      <c r="H1319" s="7"/>
      <c r="I1319" s="6"/>
      <c r="J1319" s="7"/>
      <c r="K1319" s="96" t="str">
        <f>HYPERLINK("#'Healthcare'!AXS1","Q6.6.42_4_1")</f>
        <v>Q6.6.42_4_1</v>
      </c>
      <c r="L1319" s="93" t="str">
        <f>HYPERLINK("#'Healthcare'!AXS2","Primary regional HMO medical plan tier 4 coinsurance: Retail/pharmacy - in-network")</f>
        <v>Primary regional HMO medical plan tier 4 coinsurance: Retail/pharmacy - in-network</v>
      </c>
      <c r="M1319" s="6"/>
      <c r="N1319" s="7"/>
      <c r="O1319" s="6"/>
      <c r="P1319" s="7"/>
      <c r="Q1319" s="6"/>
      <c r="R1319" s="7"/>
      <c r="S1319" s="6"/>
      <c r="T1319" s="7"/>
      <c r="U1319" s="6"/>
      <c r="V1319" s="7"/>
      <c r="W1319" s="6"/>
      <c r="X1319" s="7"/>
    </row>
    <row r="1320" spans="1:24" ht="25.5" x14ac:dyDescent="0.2">
      <c r="A1320" s="6"/>
      <c r="B1320" s="7"/>
      <c r="C1320" s="6"/>
      <c r="D1320" s="7"/>
      <c r="E1320" s="6"/>
      <c r="F1320" s="7"/>
      <c r="G1320" s="6"/>
      <c r="H1320" s="7"/>
      <c r="I1320" s="6"/>
      <c r="J1320" s="7"/>
      <c r="K1320" s="96" t="str">
        <f>HYPERLINK("#'Healthcare'!AXT1","Q6.6.42_5_1")</f>
        <v>Q6.6.42_5_1</v>
      </c>
      <c r="L1320" s="93" t="str">
        <f>HYPERLINK("#'Healthcare'!AXT2","Primary regional HMO medical plan tier 5 coinsurance: Retail/pharmacy - in-network")</f>
        <v>Primary regional HMO medical plan tier 5 coinsurance: Retail/pharmacy - in-network</v>
      </c>
      <c r="M1320" s="6"/>
      <c r="N1320" s="7"/>
      <c r="O1320" s="6"/>
      <c r="P1320" s="7"/>
      <c r="Q1320" s="6"/>
      <c r="R1320" s="7"/>
      <c r="S1320" s="6"/>
      <c r="T1320" s="7"/>
      <c r="U1320" s="6"/>
      <c r="V1320" s="7"/>
      <c r="W1320" s="6"/>
      <c r="X1320" s="7"/>
    </row>
    <row r="1321" spans="1:24" ht="25.5" x14ac:dyDescent="0.2">
      <c r="A1321" s="6"/>
      <c r="B1321" s="7"/>
      <c r="C1321" s="6"/>
      <c r="D1321" s="7"/>
      <c r="E1321" s="6"/>
      <c r="F1321" s="7"/>
      <c r="G1321" s="6"/>
      <c r="H1321" s="7"/>
      <c r="I1321" s="6"/>
      <c r="J1321" s="7"/>
      <c r="K1321" s="96" t="str">
        <f>HYPERLINK("#'Healthcare'!AXU1","Q6.6.42_6_1")</f>
        <v>Q6.6.42_6_1</v>
      </c>
      <c r="L1321" s="93" t="str">
        <f>HYPERLINK("#'Healthcare'!AXU2","Primary regional HMO medical plan specialty coinsurance: Retail/pharmacy - in-network")</f>
        <v>Primary regional HMO medical plan specialty coinsurance: Retail/pharmacy - in-network</v>
      </c>
      <c r="M1321" s="6"/>
      <c r="N1321" s="7"/>
      <c r="O1321" s="6"/>
      <c r="P1321" s="7"/>
      <c r="Q1321" s="6"/>
      <c r="R1321" s="7"/>
      <c r="S1321" s="6"/>
      <c r="T1321" s="7"/>
      <c r="U1321" s="6"/>
      <c r="V1321" s="7"/>
      <c r="W1321" s="6"/>
      <c r="X1321" s="7"/>
    </row>
    <row r="1322" spans="1:24" ht="25.5" x14ac:dyDescent="0.2">
      <c r="A1322" s="6"/>
      <c r="B1322" s="7"/>
      <c r="C1322" s="6"/>
      <c r="D1322" s="7"/>
      <c r="E1322" s="6"/>
      <c r="F1322" s="7"/>
      <c r="G1322" s="6"/>
      <c r="H1322" s="7"/>
      <c r="I1322" s="6"/>
      <c r="J1322" s="7"/>
      <c r="K1322" s="96" t="str">
        <f>HYPERLINK("#'Healthcare'!AXV1","Q6.6.42_7_1")</f>
        <v>Q6.6.42_7_1</v>
      </c>
      <c r="L1322" s="93" t="str">
        <f>HYPERLINK("#'Healthcare'!AXV2","Primary regional HMO medical plan Other coinsurance: Retail/pharmacy - in-network")</f>
        <v>Primary regional HMO medical plan Other coinsurance: Retail/pharmacy - in-network</v>
      </c>
      <c r="M1322" s="6"/>
      <c r="N1322" s="7"/>
      <c r="O1322" s="6"/>
      <c r="P1322" s="7"/>
      <c r="Q1322" s="6"/>
      <c r="R1322" s="7"/>
      <c r="S1322" s="6"/>
      <c r="T1322" s="7"/>
      <c r="U1322" s="6"/>
      <c r="V1322" s="7"/>
      <c r="W1322" s="6"/>
      <c r="X1322" s="7"/>
    </row>
    <row r="1323" spans="1:24" ht="38.25" x14ac:dyDescent="0.2">
      <c r="A1323" s="6"/>
      <c r="B1323" s="7"/>
      <c r="C1323" s="6"/>
      <c r="D1323" s="7"/>
      <c r="E1323" s="6"/>
      <c r="F1323" s="7"/>
      <c r="G1323" s="6"/>
      <c r="H1323" s="7"/>
      <c r="I1323" s="6"/>
      <c r="J1323" s="7"/>
      <c r="K1323" s="96" t="str">
        <f>HYPERLINK("#'Healthcare'!AXW1","Q6.6.43_1_1")</f>
        <v>Q6.6.43_1_1</v>
      </c>
      <c r="L1323" s="93" t="str">
        <f>HYPERLINK("#'Healthcare'!AXW2","Primary regional HMO medical plan tier 1 coinsurance minimum: Retail/pharmacy - in-network")</f>
        <v>Primary regional HMO medical plan tier 1 coinsurance minimum: Retail/pharmacy - in-network</v>
      </c>
      <c r="M1323" s="6"/>
      <c r="N1323" s="7"/>
      <c r="O1323" s="6"/>
      <c r="P1323" s="7"/>
      <c r="Q1323" s="6"/>
      <c r="R1323" s="7"/>
      <c r="S1323" s="6"/>
      <c r="T1323" s="7"/>
      <c r="U1323" s="6"/>
      <c r="V1323" s="7"/>
      <c r="W1323" s="6"/>
      <c r="X1323" s="7"/>
    </row>
    <row r="1324" spans="1:24" ht="38.25" x14ac:dyDescent="0.2">
      <c r="A1324" s="6"/>
      <c r="B1324" s="7"/>
      <c r="C1324" s="6"/>
      <c r="D1324" s="7"/>
      <c r="E1324" s="6"/>
      <c r="F1324" s="7"/>
      <c r="G1324" s="6"/>
      <c r="H1324" s="7"/>
      <c r="I1324" s="6"/>
      <c r="J1324" s="7"/>
      <c r="K1324" s="96" t="str">
        <f>HYPERLINK("#'Healthcare'!AXX1","Q6.6.43_1_2")</f>
        <v>Q6.6.43_1_2</v>
      </c>
      <c r="L1324" s="93" t="str">
        <f>HYPERLINK("#'Healthcare'!AXX2","Primary regional HMO medical plan tier 1 coinsurance maximum: Retail/pharmacy - in-network")</f>
        <v>Primary regional HMO medical plan tier 1 coinsurance maximum: Retail/pharmacy - in-network</v>
      </c>
      <c r="M1324" s="6"/>
      <c r="N1324" s="7"/>
      <c r="O1324" s="6"/>
      <c r="P1324" s="7"/>
      <c r="Q1324" s="6"/>
      <c r="R1324" s="7"/>
      <c r="S1324" s="6"/>
      <c r="T1324" s="7"/>
      <c r="U1324" s="6"/>
      <c r="V1324" s="7"/>
      <c r="W1324" s="6"/>
      <c r="X1324" s="7"/>
    </row>
    <row r="1325" spans="1:24" ht="38.25" x14ac:dyDescent="0.2">
      <c r="A1325" s="6"/>
      <c r="B1325" s="7"/>
      <c r="C1325" s="6"/>
      <c r="D1325" s="7"/>
      <c r="E1325" s="6"/>
      <c r="F1325" s="7"/>
      <c r="G1325" s="6"/>
      <c r="H1325" s="7"/>
      <c r="I1325" s="6"/>
      <c r="J1325" s="7"/>
      <c r="K1325" s="96" t="str">
        <f>HYPERLINK("#'Healthcare'!AXY1","Q6.6.43_2_1")</f>
        <v>Q6.6.43_2_1</v>
      </c>
      <c r="L1325" s="93" t="str">
        <f>HYPERLINK("#'Healthcare'!AXY2","Primary regional HMO medical plan tier 2 coinsurance minimum: Retail/pharmacy - in-network")</f>
        <v>Primary regional HMO medical plan tier 2 coinsurance minimum: Retail/pharmacy - in-network</v>
      </c>
      <c r="M1325" s="6"/>
      <c r="N1325" s="7"/>
      <c r="O1325" s="6"/>
      <c r="P1325" s="7"/>
      <c r="Q1325" s="6"/>
      <c r="R1325" s="7"/>
      <c r="S1325" s="6"/>
      <c r="T1325" s="7"/>
      <c r="U1325" s="6"/>
      <c r="V1325" s="7"/>
      <c r="W1325" s="6"/>
      <c r="X1325" s="7"/>
    </row>
    <row r="1326" spans="1:24" ht="38.25" x14ac:dyDescent="0.2">
      <c r="A1326" s="6"/>
      <c r="B1326" s="7"/>
      <c r="C1326" s="6"/>
      <c r="D1326" s="7"/>
      <c r="E1326" s="6"/>
      <c r="F1326" s="7"/>
      <c r="G1326" s="6"/>
      <c r="H1326" s="7"/>
      <c r="I1326" s="6"/>
      <c r="J1326" s="7"/>
      <c r="K1326" s="96" t="str">
        <f>HYPERLINK("#'Healthcare'!AXZ1","Q6.6.43_2_2")</f>
        <v>Q6.6.43_2_2</v>
      </c>
      <c r="L1326" s="93" t="str">
        <f>HYPERLINK("#'Healthcare'!AXZ2","Primary regional HMO medical plan tier 2 coinsurance maximum: Retail/pharmacy - in-network")</f>
        <v>Primary regional HMO medical plan tier 2 coinsurance maximum: Retail/pharmacy - in-network</v>
      </c>
      <c r="M1326" s="6"/>
      <c r="N1326" s="7"/>
      <c r="O1326" s="6"/>
      <c r="P1326" s="7"/>
      <c r="Q1326" s="6"/>
      <c r="R1326" s="7"/>
      <c r="S1326" s="6"/>
      <c r="T1326" s="7"/>
      <c r="U1326" s="6"/>
      <c r="V1326" s="7"/>
      <c r="W1326" s="6"/>
      <c r="X1326" s="7"/>
    </row>
    <row r="1327" spans="1:24" ht="38.25" x14ac:dyDescent="0.2">
      <c r="A1327" s="6"/>
      <c r="B1327" s="7"/>
      <c r="C1327" s="6"/>
      <c r="D1327" s="7"/>
      <c r="E1327" s="6"/>
      <c r="F1327" s="7"/>
      <c r="G1327" s="6"/>
      <c r="H1327" s="7"/>
      <c r="I1327" s="6"/>
      <c r="J1327" s="7"/>
      <c r="K1327" s="96" t="str">
        <f>HYPERLINK("#'Healthcare'!AYA1","Q6.6.43_3_1")</f>
        <v>Q6.6.43_3_1</v>
      </c>
      <c r="L1327" s="93" t="str">
        <f>HYPERLINK("#'Healthcare'!AYA2","Primary regional HMO medical plan tier 3 coinsurance minimum: Retail/pharmacy - in-network")</f>
        <v>Primary regional HMO medical plan tier 3 coinsurance minimum: Retail/pharmacy - in-network</v>
      </c>
      <c r="M1327" s="6"/>
      <c r="N1327" s="7"/>
      <c r="O1327" s="6"/>
      <c r="P1327" s="7"/>
      <c r="Q1327" s="6"/>
      <c r="R1327" s="7"/>
      <c r="S1327" s="6"/>
      <c r="T1327" s="7"/>
      <c r="U1327" s="6"/>
      <c r="V1327" s="7"/>
      <c r="W1327" s="6"/>
      <c r="X1327" s="7"/>
    </row>
    <row r="1328" spans="1:24" ht="38.25" x14ac:dyDescent="0.2">
      <c r="A1328" s="6"/>
      <c r="B1328" s="7"/>
      <c r="C1328" s="6"/>
      <c r="D1328" s="7"/>
      <c r="E1328" s="6"/>
      <c r="F1328" s="7"/>
      <c r="G1328" s="6"/>
      <c r="H1328" s="7"/>
      <c r="I1328" s="6"/>
      <c r="J1328" s="7"/>
      <c r="K1328" s="96" t="str">
        <f>HYPERLINK("#'Healthcare'!AYB1","Q6.6.43_3_2")</f>
        <v>Q6.6.43_3_2</v>
      </c>
      <c r="L1328" s="93" t="str">
        <f>HYPERLINK("#'Healthcare'!AYB2","Primary regional HMO medical plan tier 3 coinsurance maximum: Retail/pharmacy - in-network")</f>
        <v>Primary regional HMO medical plan tier 3 coinsurance maximum: Retail/pharmacy - in-network</v>
      </c>
      <c r="M1328" s="6"/>
      <c r="N1328" s="7"/>
      <c r="O1328" s="6"/>
      <c r="P1328" s="7"/>
      <c r="Q1328" s="6"/>
      <c r="R1328" s="7"/>
      <c r="S1328" s="6"/>
      <c r="T1328" s="7"/>
      <c r="U1328" s="6"/>
      <c r="V1328" s="7"/>
      <c r="W1328" s="6"/>
      <c r="X1328" s="7"/>
    </row>
    <row r="1329" spans="1:24" ht="38.25" x14ac:dyDescent="0.2">
      <c r="A1329" s="6"/>
      <c r="B1329" s="7"/>
      <c r="C1329" s="6"/>
      <c r="D1329" s="7"/>
      <c r="E1329" s="6"/>
      <c r="F1329" s="7"/>
      <c r="G1329" s="6"/>
      <c r="H1329" s="7"/>
      <c r="I1329" s="6"/>
      <c r="J1329" s="7"/>
      <c r="K1329" s="96" t="str">
        <f>HYPERLINK("#'Healthcare'!AYC1","Q6.6.43_4_1")</f>
        <v>Q6.6.43_4_1</v>
      </c>
      <c r="L1329" s="93" t="str">
        <f>HYPERLINK("#'Healthcare'!AYC2","Primary regional HMO medical plan tier 4 coinsurance minimum: Retail/pharmacy - in-network")</f>
        <v>Primary regional HMO medical plan tier 4 coinsurance minimum: Retail/pharmacy - in-network</v>
      </c>
      <c r="M1329" s="6"/>
      <c r="N1329" s="7"/>
      <c r="O1329" s="6"/>
      <c r="P1329" s="7"/>
      <c r="Q1329" s="6"/>
      <c r="R1329" s="7"/>
      <c r="S1329" s="6"/>
      <c r="T1329" s="7"/>
      <c r="U1329" s="6"/>
      <c r="V1329" s="7"/>
      <c r="W1329" s="6"/>
      <c r="X1329" s="7"/>
    </row>
    <row r="1330" spans="1:24" ht="38.25" x14ac:dyDescent="0.2">
      <c r="A1330" s="6"/>
      <c r="B1330" s="7"/>
      <c r="C1330" s="6"/>
      <c r="D1330" s="7"/>
      <c r="E1330" s="6"/>
      <c r="F1330" s="7"/>
      <c r="G1330" s="6"/>
      <c r="H1330" s="7"/>
      <c r="I1330" s="6"/>
      <c r="J1330" s="7"/>
      <c r="K1330" s="96" t="str">
        <f>HYPERLINK("#'Healthcare'!AYD1","Q6.6.43_4_2")</f>
        <v>Q6.6.43_4_2</v>
      </c>
      <c r="L1330" s="93" t="str">
        <f>HYPERLINK("#'Healthcare'!AYD2","Primary regional HMO medical plan tier 4 coinsurance maximum: Retail/pharmacy - in-network")</f>
        <v>Primary regional HMO medical plan tier 4 coinsurance maximum: Retail/pharmacy - in-network</v>
      </c>
      <c r="M1330" s="6"/>
      <c r="N1330" s="7"/>
      <c r="O1330" s="6"/>
      <c r="P1330" s="7"/>
      <c r="Q1330" s="6"/>
      <c r="R1330" s="7"/>
      <c r="S1330" s="6"/>
      <c r="T1330" s="7"/>
      <c r="U1330" s="6"/>
      <c r="V1330" s="7"/>
      <c r="W1330" s="6"/>
      <c r="X1330" s="7"/>
    </row>
    <row r="1331" spans="1:24" ht="38.25" x14ac:dyDescent="0.2">
      <c r="A1331" s="6"/>
      <c r="B1331" s="7"/>
      <c r="C1331" s="6"/>
      <c r="D1331" s="7"/>
      <c r="E1331" s="6"/>
      <c r="F1331" s="7"/>
      <c r="G1331" s="6"/>
      <c r="H1331" s="7"/>
      <c r="I1331" s="6"/>
      <c r="J1331" s="7"/>
      <c r="K1331" s="96" t="str">
        <f>HYPERLINK("#'Healthcare'!AYE1","Q6.6.43_5_1")</f>
        <v>Q6.6.43_5_1</v>
      </c>
      <c r="L1331" s="93" t="str">
        <f>HYPERLINK("#'Healthcare'!AYE2","Primary regional HMO medical plan tier 5 coinsurance minimum: Retail/pharmacy - in-network")</f>
        <v>Primary regional HMO medical plan tier 5 coinsurance minimum: Retail/pharmacy - in-network</v>
      </c>
      <c r="M1331" s="6"/>
      <c r="N1331" s="7"/>
      <c r="O1331" s="6"/>
      <c r="P1331" s="7"/>
      <c r="Q1331" s="6"/>
      <c r="R1331" s="7"/>
      <c r="S1331" s="6"/>
      <c r="T1331" s="7"/>
      <c r="U1331" s="6"/>
      <c r="V1331" s="7"/>
      <c r="W1331" s="6"/>
      <c r="X1331" s="7"/>
    </row>
    <row r="1332" spans="1:24" ht="38.25" x14ac:dyDescent="0.2">
      <c r="A1332" s="6"/>
      <c r="B1332" s="7"/>
      <c r="C1332" s="6"/>
      <c r="D1332" s="7"/>
      <c r="E1332" s="6"/>
      <c r="F1332" s="7"/>
      <c r="G1332" s="6"/>
      <c r="H1332" s="7"/>
      <c r="I1332" s="6"/>
      <c r="J1332" s="7"/>
      <c r="K1332" s="96" t="str">
        <f>HYPERLINK("#'Healthcare'!AYF1","Q6.6.43_5_2")</f>
        <v>Q6.6.43_5_2</v>
      </c>
      <c r="L1332" s="93" t="str">
        <f>HYPERLINK("#'Healthcare'!AYF2","Primary regional HMO medical plan tier 5 coinsurance maximum: Retail/pharmacy - in-network")</f>
        <v>Primary regional HMO medical plan tier 5 coinsurance maximum: Retail/pharmacy - in-network</v>
      </c>
      <c r="M1332" s="6"/>
      <c r="N1332" s="7"/>
      <c r="O1332" s="6"/>
      <c r="P1332" s="7"/>
      <c r="Q1332" s="6"/>
      <c r="R1332" s="7"/>
      <c r="S1332" s="6"/>
      <c r="T1332" s="7"/>
      <c r="U1332" s="6"/>
      <c r="V1332" s="7"/>
      <c r="W1332" s="6"/>
      <c r="X1332" s="7"/>
    </row>
    <row r="1333" spans="1:24" ht="38.25" x14ac:dyDescent="0.2">
      <c r="A1333" s="6"/>
      <c r="B1333" s="7"/>
      <c r="C1333" s="6"/>
      <c r="D1333" s="7"/>
      <c r="E1333" s="6"/>
      <c r="F1333" s="7"/>
      <c r="G1333" s="6"/>
      <c r="H1333" s="7"/>
      <c r="I1333" s="6"/>
      <c r="J1333" s="7"/>
      <c r="K1333" s="96" t="str">
        <f>HYPERLINK("#'Healthcare'!AYG1","Q6.6.43_6_1")</f>
        <v>Q6.6.43_6_1</v>
      </c>
      <c r="L1333" s="93" t="str">
        <f>HYPERLINK("#'Healthcare'!AYG2","Primary regional HMO medical plan specialty coinsurance minimum: Retail/pharmacy - in-network")</f>
        <v>Primary regional HMO medical plan specialty coinsurance minimum: Retail/pharmacy - in-network</v>
      </c>
      <c r="M1333" s="6"/>
      <c r="N1333" s="7"/>
      <c r="O1333" s="6"/>
      <c r="P1333" s="7"/>
      <c r="Q1333" s="6"/>
      <c r="R1333" s="7"/>
      <c r="S1333" s="6"/>
      <c r="T1333" s="7"/>
      <c r="U1333" s="6"/>
      <c r="V1333" s="7"/>
      <c r="W1333" s="6"/>
      <c r="X1333" s="7"/>
    </row>
    <row r="1334" spans="1:24" ht="38.25" x14ac:dyDescent="0.2">
      <c r="A1334" s="6"/>
      <c r="B1334" s="7"/>
      <c r="C1334" s="6"/>
      <c r="D1334" s="7"/>
      <c r="E1334" s="6"/>
      <c r="F1334" s="7"/>
      <c r="G1334" s="6"/>
      <c r="H1334" s="7"/>
      <c r="I1334" s="6"/>
      <c r="J1334" s="7"/>
      <c r="K1334" s="96" t="str">
        <f>HYPERLINK("#'Healthcare'!AYH1","Q6.6.43_6_2")</f>
        <v>Q6.6.43_6_2</v>
      </c>
      <c r="L1334" s="93" t="str">
        <f>HYPERLINK("#'Healthcare'!AYH2","Primary regional HMO medical plan specialty coinsurance maximum: Retail/pharmacy - in-network")</f>
        <v>Primary regional HMO medical plan specialty coinsurance maximum: Retail/pharmacy - in-network</v>
      </c>
      <c r="M1334" s="6"/>
      <c r="N1334" s="7"/>
      <c r="O1334" s="6"/>
      <c r="P1334" s="7"/>
      <c r="Q1334" s="6"/>
      <c r="R1334" s="7"/>
      <c r="S1334" s="6"/>
      <c r="T1334" s="7"/>
      <c r="U1334" s="6"/>
      <c r="V1334" s="7"/>
      <c r="W1334" s="6"/>
      <c r="X1334" s="7"/>
    </row>
    <row r="1335" spans="1:24" ht="38.25" x14ac:dyDescent="0.2">
      <c r="A1335" s="6"/>
      <c r="B1335" s="7"/>
      <c r="C1335" s="6"/>
      <c r="D1335" s="7"/>
      <c r="E1335" s="6"/>
      <c r="F1335" s="7"/>
      <c r="G1335" s="6"/>
      <c r="H1335" s="7"/>
      <c r="I1335" s="6"/>
      <c r="J1335" s="7"/>
      <c r="K1335" s="96" t="str">
        <f>HYPERLINK("#'Healthcare'!AYI1","Q6.6.43_7_1")</f>
        <v>Q6.6.43_7_1</v>
      </c>
      <c r="L1335" s="93" t="str">
        <f>HYPERLINK("#'Healthcare'!AYI2","Primary regional HMO medical plan Other coinsurance minimum: Retail/pharmacy - in-network")</f>
        <v>Primary regional HMO medical plan Other coinsurance minimum: Retail/pharmacy - in-network</v>
      </c>
      <c r="M1335" s="6"/>
      <c r="N1335" s="7"/>
      <c r="O1335" s="6"/>
      <c r="P1335" s="7"/>
      <c r="Q1335" s="6"/>
      <c r="R1335" s="7"/>
      <c r="S1335" s="6"/>
      <c r="T1335" s="7"/>
      <c r="U1335" s="6"/>
      <c r="V1335" s="7"/>
      <c r="W1335" s="6"/>
      <c r="X1335" s="7"/>
    </row>
    <row r="1336" spans="1:24" ht="38.25" x14ac:dyDescent="0.2">
      <c r="A1336" s="6"/>
      <c r="B1336" s="7"/>
      <c r="C1336" s="6"/>
      <c r="D1336" s="7"/>
      <c r="E1336" s="6"/>
      <c r="F1336" s="7"/>
      <c r="G1336" s="6"/>
      <c r="H1336" s="7"/>
      <c r="I1336" s="6"/>
      <c r="J1336" s="7"/>
      <c r="K1336" s="96" t="str">
        <f>HYPERLINK("#'Healthcare'!AYJ1","Q6.6.43_7_2")</f>
        <v>Q6.6.43_7_2</v>
      </c>
      <c r="L1336" s="93" t="str">
        <f>HYPERLINK("#'Healthcare'!AYJ2","Primary regional HMO medical plan Other coinsurance maximum: Retail/pharmacy - in-network")</f>
        <v>Primary regional HMO medical plan Other coinsurance maximum: Retail/pharmacy - in-network</v>
      </c>
      <c r="M1336" s="6"/>
      <c r="N1336" s="7"/>
      <c r="O1336" s="6"/>
      <c r="P1336" s="7"/>
      <c r="Q1336" s="6"/>
      <c r="R1336" s="7"/>
      <c r="S1336" s="6"/>
      <c r="T1336" s="7"/>
      <c r="U1336" s="6"/>
      <c r="V1336" s="7"/>
      <c r="W1336" s="6"/>
      <c r="X1336" s="7"/>
    </row>
    <row r="1337" spans="1:24" ht="25.5" x14ac:dyDescent="0.2">
      <c r="A1337" s="6"/>
      <c r="B1337" s="7"/>
      <c r="C1337" s="6"/>
      <c r="D1337" s="7"/>
      <c r="E1337" s="6"/>
      <c r="F1337" s="7"/>
      <c r="G1337" s="6"/>
      <c r="H1337" s="7"/>
      <c r="I1337" s="6"/>
      <c r="J1337" s="7"/>
      <c r="K1337" s="96" t="str">
        <f>HYPERLINK("#'Healthcare'!AYK1","Q6.6.44_1_1")</f>
        <v>Q6.6.44_1_1</v>
      </c>
      <c r="L1337" s="93" t="str">
        <f>HYPERLINK("#'Healthcare'!AYK2","Primary regional HMO medical plan tier 1 coinsurance: Retail/pharmacy - out-of-network")</f>
        <v>Primary regional HMO medical plan tier 1 coinsurance: Retail/pharmacy - out-of-network</v>
      </c>
      <c r="M1337" s="6"/>
      <c r="N1337" s="7"/>
      <c r="O1337" s="6"/>
      <c r="P1337" s="7"/>
      <c r="Q1337" s="6"/>
      <c r="R1337" s="7"/>
      <c r="S1337" s="6"/>
      <c r="T1337" s="7"/>
      <c r="U1337" s="6"/>
      <c r="V1337" s="7"/>
      <c r="W1337" s="6"/>
      <c r="X1337" s="7"/>
    </row>
    <row r="1338" spans="1:24" ht="25.5" x14ac:dyDescent="0.2">
      <c r="A1338" s="6"/>
      <c r="B1338" s="7"/>
      <c r="C1338" s="6"/>
      <c r="D1338" s="7"/>
      <c r="E1338" s="6"/>
      <c r="F1338" s="7"/>
      <c r="G1338" s="6"/>
      <c r="H1338" s="7"/>
      <c r="I1338" s="6"/>
      <c r="J1338" s="7"/>
      <c r="K1338" s="96" t="str">
        <f>HYPERLINK("#'Healthcare'!AYL1","Q6.6.44_2_1")</f>
        <v>Q6.6.44_2_1</v>
      </c>
      <c r="L1338" s="93" t="str">
        <f>HYPERLINK("#'Healthcare'!AYL2","Primary regional HMO medical plan tier 2 coinsurance: Retail/pharmacy - out-of-network")</f>
        <v>Primary regional HMO medical plan tier 2 coinsurance: Retail/pharmacy - out-of-network</v>
      </c>
      <c r="M1338" s="6"/>
      <c r="N1338" s="7"/>
      <c r="O1338" s="6"/>
      <c r="P1338" s="7"/>
      <c r="Q1338" s="6"/>
      <c r="R1338" s="7"/>
      <c r="S1338" s="6"/>
      <c r="T1338" s="7"/>
      <c r="U1338" s="6"/>
      <c r="V1338" s="7"/>
      <c r="W1338" s="6"/>
      <c r="X1338" s="7"/>
    </row>
    <row r="1339" spans="1:24" ht="25.5" x14ac:dyDescent="0.2">
      <c r="A1339" s="6"/>
      <c r="B1339" s="7"/>
      <c r="C1339" s="6"/>
      <c r="D1339" s="7"/>
      <c r="E1339" s="6"/>
      <c r="F1339" s="7"/>
      <c r="G1339" s="6"/>
      <c r="H1339" s="7"/>
      <c r="I1339" s="6"/>
      <c r="J1339" s="7"/>
      <c r="K1339" s="96" t="str">
        <f>HYPERLINK("#'Healthcare'!AYM1","Q6.6.44_3_1")</f>
        <v>Q6.6.44_3_1</v>
      </c>
      <c r="L1339" s="93" t="str">
        <f>HYPERLINK("#'Healthcare'!AYM2","Primary regional HMO medical plan tier 3 coinsurance: Retail/pharmacy - out-of-network")</f>
        <v>Primary regional HMO medical plan tier 3 coinsurance: Retail/pharmacy - out-of-network</v>
      </c>
      <c r="M1339" s="6"/>
      <c r="N1339" s="7"/>
      <c r="O1339" s="6"/>
      <c r="P1339" s="7"/>
      <c r="Q1339" s="6"/>
      <c r="R1339" s="7"/>
      <c r="S1339" s="6"/>
      <c r="T1339" s="7"/>
      <c r="U1339" s="6"/>
      <c r="V1339" s="7"/>
      <c r="W1339" s="6"/>
      <c r="X1339" s="7"/>
    </row>
    <row r="1340" spans="1:24" ht="25.5" x14ac:dyDescent="0.2">
      <c r="A1340" s="6"/>
      <c r="B1340" s="7"/>
      <c r="C1340" s="6"/>
      <c r="D1340" s="7"/>
      <c r="E1340" s="6"/>
      <c r="F1340" s="7"/>
      <c r="G1340" s="6"/>
      <c r="H1340" s="7"/>
      <c r="I1340" s="6"/>
      <c r="J1340" s="7"/>
      <c r="K1340" s="96" t="str">
        <f>HYPERLINK("#'Healthcare'!AYN1","Q6.6.44_4_1")</f>
        <v>Q6.6.44_4_1</v>
      </c>
      <c r="L1340" s="93" t="str">
        <f>HYPERLINK("#'Healthcare'!AYN2","Primary regional HMO medical plan tier 4 coinsurance: Retail/pharmacy - out-of-network")</f>
        <v>Primary regional HMO medical plan tier 4 coinsurance: Retail/pharmacy - out-of-network</v>
      </c>
      <c r="M1340" s="6"/>
      <c r="N1340" s="7"/>
      <c r="O1340" s="6"/>
      <c r="P1340" s="7"/>
      <c r="Q1340" s="6"/>
      <c r="R1340" s="7"/>
      <c r="S1340" s="6"/>
      <c r="T1340" s="7"/>
      <c r="U1340" s="6"/>
      <c r="V1340" s="7"/>
      <c r="W1340" s="6"/>
      <c r="X1340" s="7"/>
    </row>
    <row r="1341" spans="1:24" ht="25.5" x14ac:dyDescent="0.2">
      <c r="A1341" s="6"/>
      <c r="B1341" s="7"/>
      <c r="C1341" s="6"/>
      <c r="D1341" s="7"/>
      <c r="E1341" s="6"/>
      <c r="F1341" s="7"/>
      <c r="G1341" s="6"/>
      <c r="H1341" s="7"/>
      <c r="I1341" s="6"/>
      <c r="J1341" s="7"/>
      <c r="K1341" s="96" t="str">
        <f>HYPERLINK("#'Healthcare'!AYO1","Q6.6.44_5_1")</f>
        <v>Q6.6.44_5_1</v>
      </c>
      <c r="L1341" s="93" t="str">
        <f>HYPERLINK("#'Healthcare'!AYO2","Primary regional HMO medical plan tier 5 coinsurance: Retail/pharmacy - out-of-network")</f>
        <v>Primary regional HMO medical plan tier 5 coinsurance: Retail/pharmacy - out-of-network</v>
      </c>
      <c r="M1341" s="6"/>
      <c r="N1341" s="7"/>
      <c r="O1341" s="6"/>
      <c r="P1341" s="7"/>
      <c r="Q1341" s="6"/>
      <c r="R1341" s="7"/>
      <c r="S1341" s="6"/>
      <c r="T1341" s="7"/>
      <c r="U1341" s="6"/>
      <c r="V1341" s="7"/>
      <c r="W1341" s="6"/>
      <c r="X1341" s="7"/>
    </row>
    <row r="1342" spans="1:24" ht="25.5" x14ac:dyDescent="0.2">
      <c r="A1342" s="6"/>
      <c r="B1342" s="7"/>
      <c r="C1342" s="6"/>
      <c r="D1342" s="7"/>
      <c r="E1342" s="6"/>
      <c r="F1342" s="7"/>
      <c r="G1342" s="6"/>
      <c r="H1342" s="7"/>
      <c r="I1342" s="6"/>
      <c r="J1342" s="7"/>
      <c r="K1342" s="96" t="str">
        <f>HYPERLINK("#'Healthcare'!AYP1","Q6.6.44_6_1")</f>
        <v>Q6.6.44_6_1</v>
      </c>
      <c r="L1342" s="93" t="str">
        <f>HYPERLINK("#'Healthcare'!AYP2","Primary regional HMO medical plan specialty coinsurance: Retail/pharmacy - out-of-network")</f>
        <v>Primary regional HMO medical plan specialty coinsurance: Retail/pharmacy - out-of-network</v>
      </c>
      <c r="M1342" s="6"/>
      <c r="N1342" s="7"/>
      <c r="O1342" s="6"/>
      <c r="P1342" s="7"/>
      <c r="Q1342" s="6"/>
      <c r="R1342" s="7"/>
      <c r="S1342" s="6"/>
      <c r="T1342" s="7"/>
      <c r="U1342" s="6"/>
      <c r="V1342" s="7"/>
      <c r="W1342" s="6"/>
      <c r="X1342" s="7"/>
    </row>
    <row r="1343" spans="1:24" ht="25.5" x14ac:dyDescent="0.2">
      <c r="A1343" s="6"/>
      <c r="B1343" s="7"/>
      <c r="C1343" s="6"/>
      <c r="D1343" s="7"/>
      <c r="E1343" s="6"/>
      <c r="F1343" s="7"/>
      <c r="G1343" s="6"/>
      <c r="H1343" s="7"/>
      <c r="I1343" s="6"/>
      <c r="J1343" s="7"/>
      <c r="K1343" s="96" t="str">
        <f>HYPERLINK("#'Healthcare'!AYQ1","Q6.6.44_7_1")</f>
        <v>Q6.6.44_7_1</v>
      </c>
      <c r="L1343" s="93" t="str">
        <f>HYPERLINK("#'Healthcare'!AYQ2","Primary regional HMO medical plan Other coinsurance: Retail/pharmacy - out-of-network")</f>
        <v>Primary regional HMO medical plan Other coinsurance: Retail/pharmacy - out-of-network</v>
      </c>
      <c r="M1343" s="6"/>
      <c r="N1343" s="7"/>
      <c r="O1343" s="6"/>
      <c r="P1343" s="7"/>
      <c r="Q1343" s="6"/>
      <c r="R1343" s="7"/>
      <c r="S1343" s="6"/>
      <c r="T1343" s="7"/>
      <c r="U1343" s="6"/>
      <c r="V1343" s="7"/>
      <c r="W1343" s="6"/>
      <c r="X1343" s="7"/>
    </row>
    <row r="1344" spans="1:24" ht="38.25" x14ac:dyDescent="0.2">
      <c r="A1344" s="6"/>
      <c r="B1344" s="7"/>
      <c r="C1344" s="6"/>
      <c r="D1344" s="7"/>
      <c r="E1344" s="6"/>
      <c r="F1344" s="7"/>
      <c r="G1344" s="6"/>
      <c r="H1344" s="7"/>
      <c r="I1344" s="6"/>
      <c r="J1344" s="7"/>
      <c r="K1344" s="96" t="str">
        <f>HYPERLINK("#'Healthcare'!AYR1","Q6.6.45_1_1")</f>
        <v>Q6.6.45_1_1</v>
      </c>
      <c r="L1344" s="93" t="str">
        <f>HYPERLINK("#'Healthcare'!AYR2","Primary regional HMO medical plan tier 1 coinsurance minimum: Retail/pharmacy - out-of-network")</f>
        <v>Primary regional HMO medical plan tier 1 coinsurance minimum: Retail/pharmacy - out-of-network</v>
      </c>
      <c r="M1344" s="6"/>
      <c r="N1344" s="7"/>
      <c r="O1344" s="6"/>
      <c r="P1344" s="7"/>
      <c r="Q1344" s="6"/>
      <c r="R1344" s="7"/>
      <c r="S1344" s="6"/>
      <c r="T1344" s="7"/>
      <c r="U1344" s="6"/>
      <c r="V1344" s="7"/>
      <c r="W1344" s="6"/>
      <c r="X1344" s="7"/>
    </row>
    <row r="1345" spans="1:24" ht="38.25" x14ac:dyDescent="0.2">
      <c r="A1345" s="6"/>
      <c r="B1345" s="7"/>
      <c r="C1345" s="6"/>
      <c r="D1345" s="7"/>
      <c r="E1345" s="6"/>
      <c r="F1345" s="7"/>
      <c r="G1345" s="6"/>
      <c r="H1345" s="7"/>
      <c r="I1345" s="6"/>
      <c r="J1345" s="7"/>
      <c r="K1345" s="96" t="str">
        <f>HYPERLINK("#'Healthcare'!AYS1","Q6.6.45_1_2")</f>
        <v>Q6.6.45_1_2</v>
      </c>
      <c r="L1345" s="93" t="str">
        <f>HYPERLINK("#'Healthcare'!AYS2","Primary regional HMO medical plan tier 1 coinsurance maximum: Retail/pharmacy - out-of-network")</f>
        <v>Primary regional HMO medical plan tier 1 coinsurance maximum: Retail/pharmacy - out-of-network</v>
      </c>
      <c r="M1345" s="6"/>
      <c r="N1345" s="7"/>
      <c r="O1345" s="6"/>
      <c r="P1345" s="7"/>
      <c r="Q1345" s="6"/>
      <c r="R1345" s="7"/>
      <c r="S1345" s="6"/>
      <c r="T1345" s="7"/>
      <c r="U1345" s="6"/>
      <c r="V1345" s="7"/>
      <c r="W1345" s="6"/>
      <c r="X1345" s="7"/>
    </row>
    <row r="1346" spans="1:24" ht="38.25" x14ac:dyDescent="0.2">
      <c r="A1346" s="6"/>
      <c r="B1346" s="7"/>
      <c r="C1346" s="6"/>
      <c r="D1346" s="7"/>
      <c r="E1346" s="6"/>
      <c r="F1346" s="7"/>
      <c r="G1346" s="6"/>
      <c r="H1346" s="7"/>
      <c r="I1346" s="6"/>
      <c r="J1346" s="7"/>
      <c r="K1346" s="96" t="str">
        <f>HYPERLINK("#'Healthcare'!AYT1","Q6.6.45_2_1")</f>
        <v>Q6.6.45_2_1</v>
      </c>
      <c r="L1346" s="93" t="str">
        <f>HYPERLINK("#'Healthcare'!AYT2","Primary regional HMO medical plan tier 2 coinsurance minimum: Retail/pharmacy - out-of-network")</f>
        <v>Primary regional HMO medical plan tier 2 coinsurance minimum: Retail/pharmacy - out-of-network</v>
      </c>
      <c r="M1346" s="6"/>
      <c r="N1346" s="7"/>
      <c r="O1346" s="6"/>
      <c r="P1346" s="7"/>
      <c r="Q1346" s="6"/>
      <c r="R1346" s="7"/>
      <c r="S1346" s="6"/>
      <c r="T1346" s="7"/>
      <c r="U1346" s="6"/>
      <c r="V1346" s="7"/>
      <c r="W1346" s="6"/>
      <c r="X1346" s="7"/>
    </row>
    <row r="1347" spans="1:24" ht="38.25" x14ac:dyDescent="0.2">
      <c r="A1347" s="6"/>
      <c r="B1347" s="7"/>
      <c r="C1347" s="6"/>
      <c r="D1347" s="7"/>
      <c r="E1347" s="6"/>
      <c r="F1347" s="7"/>
      <c r="G1347" s="6"/>
      <c r="H1347" s="7"/>
      <c r="I1347" s="6"/>
      <c r="J1347" s="7"/>
      <c r="K1347" s="96" t="str">
        <f>HYPERLINK("#'Healthcare'!AYU1","Q6.6.45_2_2")</f>
        <v>Q6.6.45_2_2</v>
      </c>
      <c r="L1347" s="93" t="str">
        <f>HYPERLINK("#'Healthcare'!AYU2","Primary regional HMO medical plan tier 2 coinsurance maximum: Retail/pharmacy - out-of-network")</f>
        <v>Primary regional HMO medical plan tier 2 coinsurance maximum: Retail/pharmacy - out-of-network</v>
      </c>
      <c r="M1347" s="6"/>
      <c r="N1347" s="7"/>
      <c r="O1347" s="6"/>
      <c r="P1347" s="7"/>
      <c r="Q1347" s="6"/>
      <c r="R1347" s="7"/>
      <c r="S1347" s="6"/>
      <c r="T1347" s="7"/>
      <c r="U1347" s="6"/>
      <c r="V1347" s="7"/>
      <c r="W1347" s="6"/>
      <c r="X1347" s="7"/>
    </row>
    <row r="1348" spans="1:24" ht="38.25" x14ac:dyDescent="0.2">
      <c r="A1348" s="6"/>
      <c r="B1348" s="7"/>
      <c r="C1348" s="6"/>
      <c r="D1348" s="7"/>
      <c r="E1348" s="6"/>
      <c r="F1348" s="7"/>
      <c r="G1348" s="6"/>
      <c r="H1348" s="7"/>
      <c r="I1348" s="6"/>
      <c r="J1348" s="7"/>
      <c r="K1348" s="96" t="str">
        <f>HYPERLINK("#'Healthcare'!AYV1","Q6.6.45_3_1")</f>
        <v>Q6.6.45_3_1</v>
      </c>
      <c r="L1348" s="93" t="str">
        <f>HYPERLINK("#'Healthcare'!AYV2","Primary regional HMO medical plan tier 3 coinsurance minimum: Retail/pharmacy - out-of-network")</f>
        <v>Primary regional HMO medical plan tier 3 coinsurance minimum: Retail/pharmacy - out-of-network</v>
      </c>
      <c r="M1348" s="6"/>
      <c r="N1348" s="7"/>
      <c r="O1348" s="6"/>
      <c r="P1348" s="7"/>
      <c r="Q1348" s="6"/>
      <c r="R1348" s="7"/>
      <c r="S1348" s="6"/>
      <c r="T1348" s="7"/>
      <c r="U1348" s="6"/>
      <c r="V1348" s="7"/>
      <c r="W1348" s="6"/>
      <c r="X1348" s="7"/>
    </row>
    <row r="1349" spans="1:24" ht="38.25" x14ac:dyDescent="0.2">
      <c r="A1349" s="6"/>
      <c r="B1349" s="7"/>
      <c r="C1349" s="6"/>
      <c r="D1349" s="7"/>
      <c r="E1349" s="6"/>
      <c r="F1349" s="7"/>
      <c r="G1349" s="6"/>
      <c r="H1349" s="7"/>
      <c r="I1349" s="6"/>
      <c r="J1349" s="7"/>
      <c r="K1349" s="96" t="str">
        <f>HYPERLINK("#'Healthcare'!AYW1","Q6.6.45_3_2")</f>
        <v>Q6.6.45_3_2</v>
      </c>
      <c r="L1349" s="93" t="str">
        <f>HYPERLINK("#'Healthcare'!AYW2","Primary regional HMO medical plan tier 3 coinsurance maximum: Retail/pharmacy - out-of-network")</f>
        <v>Primary regional HMO medical plan tier 3 coinsurance maximum: Retail/pharmacy - out-of-network</v>
      </c>
      <c r="M1349" s="6"/>
      <c r="N1349" s="7"/>
      <c r="O1349" s="6"/>
      <c r="P1349" s="7"/>
      <c r="Q1349" s="6"/>
      <c r="R1349" s="7"/>
      <c r="S1349" s="6"/>
      <c r="T1349" s="7"/>
      <c r="U1349" s="6"/>
      <c r="V1349" s="7"/>
      <c r="W1349" s="6"/>
      <c r="X1349" s="7"/>
    </row>
    <row r="1350" spans="1:24" ht="38.25" x14ac:dyDescent="0.2">
      <c r="A1350" s="6"/>
      <c r="B1350" s="7"/>
      <c r="C1350" s="6"/>
      <c r="D1350" s="7"/>
      <c r="E1350" s="6"/>
      <c r="F1350" s="7"/>
      <c r="G1350" s="6"/>
      <c r="H1350" s="7"/>
      <c r="I1350" s="6"/>
      <c r="J1350" s="7"/>
      <c r="K1350" s="96" t="str">
        <f>HYPERLINK("#'Healthcare'!AYX1","Q6.6.45_4_1")</f>
        <v>Q6.6.45_4_1</v>
      </c>
      <c r="L1350" s="93" t="str">
        <f>HYPERLINK("#'Healthcare'!AYX2","Primary regional HMO medical plan tier 4 coinsurance minimum: Retail/pharmacy - out-of-network")</f>
        <v>Primary regional HMO medical plan tier 4 coinsurance minimum: Retail/pharmacy - out-of-network</v>
      </c>
      <c r="M1350" s="6"/>
      <c r="N1350" s="7"/>
      <c r="O1350" s="6"/>
      <c r="P1350" s="7"/>
      <c r="Q1350" s="6"/>
      <c r="R1350" s="7"/>
      <c r="S1350" s="6"/>
      <c r="T1350" s="7"/>
      <c r="U1350" s="6"/>
      <c r="V1350" s="7"/>
      <c r="W1350" s="6"/>
      <c r="X1350" s="7"/>
    </row>
    <row r="1351" spans="1:24" ht="38.25" x14ac:dyDescent="0.2">
      <c r="A1351" s="6"/>
      <c r="B1351" s="7"/>
      <c r="C1351" s="6"/>
      <c r="D1351" s="7"/>
      <c r="E1351" s="6"/>
      <c r="F1351" s="7"/>
      <c r="G1351" s="6"/>
      <c r="H1351" s="7"/>
      <c r="I1351" s="6"/>
      <c r="J1351" s="7"/>
      <c r="K1351" s="96" t="str">
        <f>HYPERLINK("#'Healthcare'!AYY1","Q6.6.45_4_2")</f>
        <v>Q6.6.45_4_2</v>
      </c>
      <c r="L1351" s="93" t="str">
        <f>HYPERLINK("#'Healthcare'!AYY2","Primary regional HMO medical plan tier 4 coinsurance maximum: Retail/pharmacy - out-of-network")</f>
        <v>Primary regional HMO medical plan tier 4 coinsurance maximum: Retail/pharmacy - out-of-network</v>
      </c>
      <c r="M1351" s="6"/>
      <c r="N1351" s="7"/>
      <c r="O1351" s="6"/>
      <c r="P1351" s="7"/>
      <c r="Q1351" s="6"/>
      <c r="R1351" s="7"/>
      <c r="S1351" s="6"/>
      <c r="T1351" s="7"/>
      <c r="U1351" s="6"/>
      <c r="V1351" s="7"/>
      <c r="W1351" s="6"/>
      <c r="X1351" s="7"/>
    </row>
    <row r="1352" spans="1:24" ht="38.25" x14ac:dyDescent="0.2">
      <c r="A1352" s="6"/>
      <c r="B1352" s="7"/>
      <c r="C1352" s="6"/>
      <c r="D1352" s="7"/>
      <c r="E1352" s="6"/>
      <c r="F1352" s="7"/>
      <c r="G1352" s="6"/>
      <c r="H1352" s="7"/>
      <c r="I1352" s="6"/>
      <c r="J1352" s="7"/>
      <c r="K1352" s="96" t="str">
        <f>HYPERLINK("#'Healthcare'!AYZ1","Q6.6.45_5_1")</f>
        <v>Q6.6.45_5_1</v>
      </c>
      <c r="L1352" s="93" t="str">
        <f>HYPERLINK("#'Healthcare'!AYZ2","Primary regional HMO medical plan tier 5 coinsurance minimum: Retail/pharmacy - out-of-network")</f>
        <v>Primary regional HMO medical plan tier 5 coinsurance minimum: Retail/pharmacy - out-of-network</v>
      </c>
      <c r="M1352" s="6"/>
      <c r="N1352" s="7"/>
      <c r="O1352" s="6"/>
      <c r="P1352" s="7"/>
      <c r="Q1352" s="6"/>
      <c r="R1352" s="7"/>
      <c r="S1352" s="6"/>
      <c r="T1352" s="7"/>
      <c r="U1352" s="6"/>
      <c r="V1352" s="7"/>
      <c r="W1352" s="6"/>
      <c r="X1352" s="7"/>
    </row>
    <row r="1353" spans="1:24" ht="38.25" x14ac:dyDescent="0.2">
      <c r="A1353" s="6"/>
      <c r="B1353" s="7"/>
      <c r="C1353" s="6"/>
      <c r="D1353" s="7"/>
      <c r="E1353" s="6"/>
      <c r="F1353" s="7"/>
      <c r="G1353" s="6"/>
      <c r="H1353" s="7"/>
      <c r="I1353" s="6"/>
      <c r="J1353" s="7"/>
      <c r="K1353" s="96" t="str">
        <f>HYPERLINK("#'Healthcare'!AZA1","Q6.6.45_5_2")</f>
        <v>Q6.6.45_5_2</v>
      </c>
      <c r="L1353" s="93" t="str">
        <f>HYPERLINK("#'Healthcare'!AZA2","Primary regional HMO medical plan tier 5 coinsurance maximum: Retail/pharmacy - out-of-network")</f>
        <v>Primary regional HMO medical plan tier 5 coinsurance maximum: Retail/pharmacy - out-of-network</v>
      </c>
      <c r="M1353" s="6"/>
      <c r="N1353" s="7"/>
      <c r="O1353" s="6"/>
      <c r="P1353" s="7"/>
      <c r="Q1353" s="6"/>
      <c r="R1353" s="7"/>
      <c r="S1353" s="6"/>
      <c r="T1353" s="7"/>
      <c r="U1353" s="6"/>
      <c r="V1353" s="7"/>
      <c r="W1353" s="6"/>
      <c r="X1353" s="7"/>
    </row>
    <row r="1354" spans="1:24" ht="38.25" x14ac:dyDescent="0.2">
      <c r="A1354" s="6"/>
      <c r="B1354" s="7"/>
      <c r="C1354" s="6"/>
      <c r="D1354" s="7"/>
      <c r="E1354" s="6"/>
      <c r="F1354" s="7"/>
      <c r="G1354" s="6"/>
      <c r="H1354" s="7"/>
      <c r="I1354" s="6"/>
      <c r="J1354" s="7"/>
      <c r="K1354" s="96" t="str">
        <f>HYPERLINK("#'Healthcare'!AZB1","Q6.6.45_6_1")</f>
        <v>Q6.6.45_6_1</v>
      </c>
      <c r="L1354" s="93" t="str">
        <f>HYPERLINK("#'Healthcare'!AZB2","Primary regional HMO medical plan specialty coinsurance minimum: Retail/pharmacy - out-of-network")</f>
        <v>Primary regional HMO medical plan specialty coinsurance minimum: Retail/pharmacy - out-of-network</v>
      </c>
      <c r="M1354" s="6"/>
      <c r="N1354" s="7"/>
      <c r="O1354" s="6"/>
      <c r="P1354" s="7"/>
      <c r="Q1354" s="6"/>
      <c r="R1354" s="7"/>
      <c r="S1354" s="6"/>
      <c r="T1354" s="7"/>
      <c r="U1354" s="6"/>
      <c r="V1354" s="7"/>
      <c r="W1354" s="6"/>
      <c r="X1354" s="7"/>
    </row>
    <row r="1355" spans="1:24" ht="38.25" x14ac:dyDescent="0.2">
      <c r="A1355" s="6"/>
      <c r="B1355" s="7"/>
      <c r="C1355" s="6"/>
      <c r="D1355" s="7"/>
      <c r="E1355" s="6"/>
      <c r="F1355" s="7"/>
      <c r="G1355" s="6"/>
      <c r="H1355" s="7"/>
      <c r="I1355" s="6"/>
      <c r="J1355" s="7"/>
      <c r="K1355" s="96" t="str">
        <f>HYPERLINK("#'Healthcare'!AZC1","Q6.6.45_6_2")</f>
        <v>Q6.6.45_6_2</v>
      </c>
      <c r="L1355" s="93" t="str">
        <f>HYPERLINK("#'Healthcare'!AZC2","Primary regional HMO medical plan specialty coinsurance maximum: Retail/pharmacy - out-of-network")</f>
        <v>Primary regional HMO medical plan specialty coinsurance maximum: Retail/pharmacy - out-of-network</v>
      </c>
      <c r="M1355" s="6"/>
      <c r="N1355" s="7"/>
      <c r="O1355" s="6"/>
      <c r="P1355" s="7"/>
      <c r="Q1355" s="6"/>
      <c r="R1355" s="7"/>
      <c r="S1355" s="6"/>
      <c r="T1355" s="7"/>
      <c r="U1355" s="6"/>
      <c r="V1355" s="7"/>
      <c r="W1355" s="6"/>
      <c r="X1355" s="7"/>
    </row>
    <row r="1356" spans="1:24" ht="38.25" x14ac:dyDescent="0.2">
      <c r="A1356" s="6"/>
      <c r="B1356" s="7"/>
      <c r="C1356" s="6"/>
      <c r="D1356" s="7"/>
      <c r="E1356" s="6"/>
      <c r="F1356" s="7"/>
      <c r="G1356" s="6"/>
      <c r="H1356" s="7"/>
      <c r="I1356" s="6"/>
      <c r="J1356" s="7"/>
      <c r="K1356" s="96" t="str">
        <f>HYPERLINK("#'Healthcare'!AZD1","Q6.6.45_7_1")</f>
        <v>Q6.6.45_7_1</v>
      </c>
      <c r="L1356" s="93" t="str">
        <f>HYPERLINK("#'Healthcare'!AZD2","Primary regional HMO medical plan Other coinsurance minimum: Retail/pharmacy - out-of-network")</f>
        <v>Primary regional HMO medical plan Other coinsurance minimum: Retail/pharmacy - out-of-network</v>
      </c>
      <c r="M1356" s="6"/>
      <c r="N1356" s="7"/>
      <c r="O1356" s="6"/>
      <c r="P1356" s="7"/>
      <c r="Q1356" s="6"/>
      <c r="R1356" s="7"/>
      <c r="S1356" s="6"/>
      <c r="T1356" s="7"/>
      <c r="U1356" s="6"/>
      <c r="V1356" s="7"/>
      <c r="W1356" s="6"/>
      <c r="X1356" s="7"/>
    </row>
    <row r="1357" spans="1:24" ht="38.25" x14ac:dyDescent="0.2">
      <c r="A1357" s="6"/>
      <c r="B1357" s="7"/>
      <c r="C1357" s="6"/>
      <c r="D1357" s="7"/>
      <c r="E1357" s="6"/>
      <c r="F1357" s="7"/>
      <c r="G1357" s="6"/>
      <c r="H1357" s="7"/>
      <c r="I1357" s="6"/>
      <c r="J1357" s="7"/>
      <c r="K1357" s="96" t="str">
        <f>HYPERLINK("#'Healthcare'!AZE1","Q6.6.45_7_2")</f>
        <v>Q6.6.45_7_2</v>
      </c>
      <c r="L1357" s="93" t="str">
        <f>HYPERLINK("#'Healthcare'!AZE2","Primary regional HMO medical plan Other coinsurance maximum: Retail/pharmacy - out-of-network")</f>
        <v>Primary regional HMO medical plan Other coinsurance maximum: Retail/pharmacy - out-of-network</v>
      </c>
      <c r="M1357" s="6"/>
      <c r="N1357" s="7"/>
      <c r="O1357" s="6"/>
      <c r="P1357" s="7"/>
      <c r="Q1357" s="6"/>
      <c r="R1357" s="7"/>
      <c r="S1357" s="6"/>
      <c r="T1357" s="7"/>
      <c r="U1357" s="6"/>
      <c r="V1357" s="7"/>
      <c r="W1357" s="6"/>
      <c r="X1357" s="7"/>
    </row>
    <row r="1358" spans="1:24" ht="25.5" x14ac:dyDescent="0.2">
      <c r="A1358" s="6"/>
      <c r="B1358" s="7"/>
      <c r="C1358" s="6"/>
      <c r="D1358" s="7"/>
      <c r="E1358" s="6"/>
      <c r="F1358" s="7"/>
      <c r="G1358" s="6"/>
      <c r="H1358" s="7"/>
      <c r="I1358" s="6"/>
      <c r="J1358" s="7"/>
      <c r="K1358" s="96" t="str">
        <f>HYPERLINK("#'Healthcare'!AZF1","Q6.6.46_1_1")</f>
        <v>Q6.6.46_1_1</v>
      </c>
      <c r="L1358" s="93" t="str">
        <f>HYPERLINK("#'Healthcare'!AZF2","Primary regional HMO medical plan tier 1 coinsurance: Mail order - in-network")</f>
        <v>Primary regional HMO medical plan tier 1 coinsurance: Mail order - in-network</v>
      </c>
      <c r="M1358" s="6"/>
      <c r="N1358" s="7"/>
      <c r="O1358" s="6"/>
      <c r="P1358" s="7"/>
      <c r="Q1358" s="6"/>
      <c r="R1358" s="7"/>
      <c r="S1358" s="6"/>
      <c r="T1358" s="7"/>
      <c r="U1358" s="6"/>
      <c r="V1358" s="7"/>
      <c r="W1358" s="6"/>
      <c r="X1358" s="7"/>
    </row>
    <row r="1359" spans="1:24" ht="25.5" x14ac:dyDescent="0.2">
      <c r="A1359" s="6"/>
      <c r="B1359" s="7"/>
      <c r="C1359" s="6"/>
      <c r="D1359" s="7"/>
      <c r="E1359" s="6"/>
      <c r="F1359" s="7"/>
      <c r="G1359" s="6"/>
      <c r="H1359" s="7"/>
      <c r="I1359" s="6"/>
      <c r="J1359" s="7"/>
      <c r="K1359" s="96" t="str">
        <f>HYPERLINK("#'Healthcare'!AZG1","Q6.6.46_2_1")</f>
        <v>Q6.6.46_2_1</v>
      </c>
      <c r="L1359" s="93" t="str">
        <f>HYPERLINK("#'Healthcare'!AZG2","Primary regional HMO medical plan tier 2 coinsurance: Mail order - in-network")</f>
        <v>Primary regional HMO medical plan tier 2 coinsurance: Mail order - in-network</v>
      </c>
      <c r="M1359" s="6"/>
      <c r="N1359" s="7"/>
      <c r="O1359" s="6"/>
      <c r="P1359" s="7"/>
      <c r="Q1359" s="6"/>
      <c r="R1359" s="7"/>
      <c r="S1359" s="6"/>
      <c r="T1359" s="7"/>
      <c r="U1359" s="6"/>
      <c r="V1359" s="7"/>
      <c r="W1359" s="6"/>
      <c r="X1359" s="7"/>
    </row>
    <row r="1360" spans="1:24" ht="25.5" x14ac:dyDescent="0.2">
      <c r="A1360" s="6"/>
      <c r="B1360" s="7"/>
      <c r="C1360" s="6"/>
      <c r="D1360" s="7"/>
      <c r="E1360" s="6"/>
      <c r="F1360" s="7"/>
      <c r="G1360" s="6"/>
      <c r="H1360" s="7"/>
      <c r="I1360" s="6"/>
      <c r="J1360" s="7"/>
      <c r="K1360" s="96" t="str">
        <f>HYPERLINK("#'Healthcare'!AZH1","Q6.6.46_3_1")</f>
        <v>Q6.6.46_3_1</v>
      </c>
      <c r="L1360" s="93" t="str">
        <f>HYPERLINK("#'Healthcare'!AZH2","Primary regional HMO medical plan tier 3 coinsurance: Mail order - in-network")</f>
        <v>Primary regional HMO medical plan tier 3 coinsurance: Mail order - in-network</v>
      </c>
      <c r="M1360" s="6"/>
      <c r="N1360" s="7"/>
      <c r="O1360" s="6"/>
      <c r="P1360" s="7"/>
      <c r="Q1360" s="6"/>
      <c r="R1360" s="7"/>
      <c r="S1360" s="6"/>
      <c r="T1360" s="7"/>
      <c r="U1360" s="6"/>
      <c r="V1360" s="7"/>
      <c r="W1360" s="6"/>
      <c r="X1360" s="7"/>
    </row>
    <row r="1361" spans="1:24" ht="25.5" x14ac:dyDescent="0.2">
      <c r="A1361" s="6"/>
      <c r="B1361" s="7"/>
      <c r="C1361" s="6"/>
      <c r="D1361" s="7"/>
      <c r="E1361" s="6"/>
      <c r="F1361" s="7"/>
      <c r="G1361" s="6"/>
      <c r="H1361" s="7"/>
      <c r="I1361" s="6"/>
      <c r="J1361" s="7"/>
      <c r="K1361" s="96" t="str">
        <f>HYPERLINK("#'Healthcare'!AZI1","Q6.6.46_4_1")</f>
        <v>Q6.6.46_4_1</v>
      </c>
      <c r="L1361" s="93" t="str">
        <f>HYPERLINK("#'Healthcare'!AZI2","Primary regional HMO medical plan tier 4 coinsurance: Mail order - in-network")</f>
        <v>Primary regional HMO medical plan tier 4 coinsurance: Mail order - in-network</v>
      </c>
      <c r="M1361" s="6"/>
      <c r="N1361" s="7"/>
      <c r="O1361" s="6"/>
      <c r="P1361" s="7"/>
      <c r="Q1361" s="6"/>
      <c r="R1361" s="7"/>
      <c r="S1361" s="6"/>
      <c r="T1361" s="7"/>
      <c r="U1361" s="6"/>
      <c r="V1361" s="7"/>
      <c r="W1361" s="6"/>
      <c r="X1361" s="7"/>
    </row>
    <row r="1362" spans="1:24" ht="25.5" x14ac:dyDescent="0.2">
      <c r="A1362" s="6"/>
      <c r="B1362" s="7"/>
      <c r="C1362" s="6"/>
      <c r="D1362" s="7"/>
      <c r="E1362" s="6"/>
      <c r="F1362" s="7"/>
      <c r="G1362" s="6"/>
      <c r="H1362" s="7"/>
      <c r="I1362" s="6"/>
      <c r="J1362" s="7"/>
      <c r="K1362" s="96" t="str">
        <f>HYPERLINK("#'Healthcare'!AZJ1","Q6.6.46_5_1")</f>
        <v>Q6.6.46_5_1</v>
      </c>
      <c r="L1362" s="93" t="str">
        <f>HYPERLINK("#'Healthcare'!AZJ2","Primary regional HMO medical plan tier 5 coinsurance: Mail order - in-network")</f>
        <v>Primary regional HMO medical plan tier 5 coinsurance: Mail order - in-network</v>
      </c>
      <c r="M1362" s="6"/>
      <c r="N1362" s="7"/>
      <c r="O1362" s="6"/>
      <c r="P1362" s="7"/>
      <c r="Q1362" s="6"/>
      <c r="R1362" s="7"/>
      <c r="S1362" s="6"/>
      <c r="T1362" s="7"/>
      <c r="U1362" s="6"/>
      <c r="V1362" s="7"/>
      <c r="W1362" s="6"/>
      <c r="X1362" s="7"/>
    </row>
    <row r="1363" spans="1:24" ht="25.5" x14ac:dyDescent="0.2">
      <c r="A1363" s="6"/>
      <c r="B1363" s="7"/>
      <c r="C1363" s="6"/>
      <c r="D1363" s="7"/>
      <c r="E1363" s="6"/>
      <c r="F1363" s="7"/>
      <c r="G1363" s="6"/>
      <c r="H1363" s="7"/>
      <c r="I1363" s="6"/>
      <c r="J1363" s="7"/>
      <c r="K1363" s="96" t="str">
        <f>HYPERLINK("#'Healthcare'!AZK1","Q6.6.46_6_1")</f>
        <v>Q6.6.46_6_1</v>
      </c>
      <c r="L1363" s="93" t="str">
        <f>HYPERLINK("#'Healthcare'!AZK2","Primary regional HMO medical plan specialty coinsurance: Mail order - in-network")</f>
        <v>Primary regional HMO medical plan specialty coinsurance: Mail order - in-network</v>
      </c>
      <c r="M1363" s="6"/>
      <c r="N1363" s="7"/>
      <c r="O1363" s="6"/>
      <c r="P1363" s="7"/>
      <c r="Q1363" s="6"/>
      <c r="R1363" s="7"/>
      <c r="S1363" s="6"/>
      <c r="T1363" s="7"/>
      <c r="U1363" s="6"/>
      <c r="V1363" s="7"/>
      <c r="W1363" s="6"/>
      <c r="X1363" s="7"/>
    </row>
    <row r="1364" spans="1:24" ht="25.5" x14ac:dyDescent="0.2">
      <c r="A1364" s="6"/>
      <c r="B1364" s="7"/>
      <c r="C1364" s="6"/>
      <c r="D1364" s="7"/>
      <c r="E1364" s="6"/>
      <c r="F1364" s="7"/>
      <c r="G1364" s="6"/>
      <c r="H1364" s="7"/>
      <c r="I1364" s="6"/>
      <c r="J1364" s="7"/>
      <c r="K1364" s="96" t="str">
        <f>HYPERLINK("#'Healthcare'!AZL1","Q6.6.46_7_1")</f>
        <v>Q6.6.46_7_1</v>
      </c>
      <c r="L1364" s="93" t="str">
        <f>HYPERLINK("#'Healthcare'!AZL2","Primary regional HMO medical plan Other coinsurance: Mail order - in-network")</f>
        <v>Primary regional HMO medical plan Other coinsurance: Mail order - in-network</v>
      </c>
      <c r="M1364" s="6"/>
      <c r="N1364" s="7"/>
      <c r="O1364" s="6"/>
      <c r="P1364" s="7"/>
      <c r="Q1364" s="6"/>
      <c r="R1364" s="7"/>
      <c r="S1364" s="6"/>
      <c r="T1364" s="7"/>
      <c r="U1364" s="6"/>
      <c r="V1364" s="7"/>
      <c r="W1364" s="6"/>
      <c r="X1364" s="7"/>
    </row>
    <row r="1365" spans="1:24" ht="25.5" x14ac:dyDescent="0.2">
      <c r="A1365" s="6"/>
      <c r="B1365" s="7"/>
      <c r="C1365" s="6"/>
      <c r="D1365" s="7"/>
      <c r="E1365" s="6"/>
      <c r="F1365" s="7"/>
      <c r="G1365" s="6"/>
      <c r="H1365" s="7"/>
      <c r="I1365" s="6"/>
      <c r="J1365" s="7"/>
      <c r="K1365" s="96" t="str">
        <f>HYPERLINK("#'Healthcare'!AZM1","Q6.6.47_1_1")</f>
        <v>Q6.6.47_1_1</v>
      </c>
      <c r="L1365" s="93" t="str">
        <f>HYPERLINK("#'Healthcare'!AZM2","Primary regional HMO medical plan tier 1 coinsurance minimum: Mail order - in-network")</f>
        <v>Primary regional HMO medical plan tier 1 coinsurance minimum: Mail order - in-network</v>
      </c>
      <c r="M1365" s="6"/>
      <c r="N1365" s="7"/>
      <c r="O1365" s="6"/>
      <c r="P1365" s="7"/>
      <c r="Q1365" s="6"/>
      <c r="R1365" s="7"/>
      <c r="S1365" s="6"/>
      <c r="T1365" s="7"/>
      <c r="U1365" s="6"/>
      <c r="V1365" s="7"/>
      <c r="W1365" s="6"/>
      <c r="X1365" s="7"/>
    </row>
    <row r="1366" spans="1:24" ht="25.5" x14ac:dyDescent="0.2">
      <c r="A1366" s="6"/>
      <c r="B1366" s="7"/>
      <c r="C1366" s="6"/>
      <c r="D1366" s="7"/>
      <c r="E1366" s="6"/>
      <c r="F1366" s="7"/>
      <c r="G1366" s="6"/>
      <c r="H1366" s="7"/>
      <c r="I1366" s="6"/>
      <c r="J1366" s="7"/>
      <c r="K1366" s="96" t="str">
        <f>HYPERLINK("#'Healthcare'!AZN1","Q6.6.47_1_2")</f>
        <v>Q6.6.47_1_2</v>
      </c>
      <c r="L1366" s="93" t="str">
        <f>HYPERLINK("#'Healthcare'!AZN2","Primary regional HMO medical plan tier 1 coinsurance maximum: Mail order - in-network")</f>
        <v>Primary regional HMO medical plan tier 1 coinsurance maximum: Mail order - in-network</v>
      </c>
      <c r="M1366" s="6"/>
      <c r="N1366" s="7"/>
      <c r="O1366" s="6"/>
      <c r="P1366" s="7"/>
      <c r="Q1366" s="6"/>
      <c r="R1366" s="7"/>
      <c r="S1366" s="6"/>
      <c r="T1366" s="7"/>
      <c r="U1366" s="6"/>
      <c r="V1366" s="7"/>
      <c r="W1366" s="6"/>
      <c r="X1366" s="7"/>
    </row>
    <row r="1367" spans="1:24" ht="25.5" x14ac:dyDescent="0.2">
      <c r="A1367" s="6"/>
      <c r="B1367" s="7"/>
      <c r="C1367" s="6"/>
      <c r="D1367" s="7"/>
      <c r="E1367" s="6"/>
      <c r="F1367" s="7"/>
      <c r="G1367" s="6"/>
      <c r="H1367" s="7"/>
      <c r="I1367" s="6"/>
      <c r="J1367" s="7"/>
      <c r="K1367" s="96" t="str">
        <f>HYPERLINK("#'Healthcare'!AZO1","Q6.6.47_2_1")</f>
        <v>Q6.6.47_2_1</v>
      </c>
      <c r="L1367" s="93" t="str">
        <f>HYPERLINK("#'Healthcare'!AZO2","Primary regional HMO medical plan tier 2 coinsurance minimum: Mail order - in-network")</f>
        <v>Primary regional HMO medical plan tier 2 coinsurance minimum: Mail order - in-network</v>
      </c>
      <c r="M1367" s="6"/>
      <c r="N1367" s="7"/>
      <c r="O1367" s="6"/>
      <c r="P1367" s="7"/>
      <c r="Q1367" s="6"/>
      <c r="R1367" s="7"/>
      <c r="S1367" s="6"/>
      <c r="T1367" s="7"/>
      <c r="U1367" s="6"/>
      <c r="V1367" s="7"/>
      <c r="W1367" s="6"/>
      <c r="X1367" s="7"/>
    </row>
    <row r="1368" spans="1:24" ht="25.5" x14ac:dyDescent="0.2">
      <c r="A1368" s="6"/>
      <c r="B1368" s="7"/>
      <c r="C1368" s="6"/>
      <c r="D1368" s="7"/>
      <c r="E1368" s="6"/>
      <c r="F1368" s="7"/>
      <c r="G1368" s="6"/>
      <c r="H1368" s="7"/>
      <c r="I1368" s="6"/>
      <c r="J1368" s="7"/>
      <c r="K1368" s="96" t="str">
        <f>HYPERLINK("#'Healthcare'!AZP1","Q6.6.47_2_2")</f>
        <v>Q6.6.47_2_2</v>
      </c>
      <c r="L1368" s="93" t="str">
        <f>HYPERLINK("#'Healthcare'!AZP2","Primary regional HMO medical plan tier 2 coinsurance maximum: Mail order - in-network")</f>
        <v>Primary regional HMO medical plan tier 2 coinsurance maximum: Mail order - in-network</v>
      </c>
      <c r="M1368" s="6"/>
      <c r="N1368" s="7"/>
      <c r="O1368" s="6"/>
      <c r="P1368" s="7"/>
      <c r="Q1368" s="6"/>
      <c r="R1368" s="7"/>
      <c r="S1368" s="6"/>
      <c r="T1368" s="7"/>
      <c r="U1368" s="6"/>
      <c r="V1368" s="7"/>
      <c r="W1368" s="6"/>
      <c r="X1368" s="7"/>
    </row>
    <row r="1369" spans="1:24" ht="25.5" x14ac:dyDescent="0.2">
      <c r="A1369" s="6"/>
      <c r="B1369" s="7"/>
      <c r="C1369" s="6"/>
      <c r="D1369" s="7"/>
      <c r="E1369" s="6"/>
      <c r="F1369" s="7"/>
      <c r="G1369" s="6"/>
      <c r="H1369" s="7"/>
      <c r="I1369" s="6"/>
      <c r="J1369" s="7"/>
      <c r="K1369" s="96" t="str">
        <f>HYPERLINK("#'Healthcare'!AZQ1","Q6.6.47_3_1")</f>
        <v>Q6.6.47_3_1</v>
      </c>
      <c r="L1369" s="93" t="str">
        <f>HYPERLINK("#'Healthcare'!AZQ2","Primary regional HMO medical plan tier 3 coinsurance minimum: Mail order - in-network")</f>
        <v>Primary regional HMO medical plan tier 3 coinsurance minimum: Mail order - in-network</v>
      </c>
      <c r="M1369" s="6"/>
      <c r="N1369" s="7"/>
      <c r="O1369" s="6"/>
      <c r="P1369" s="7"/>
      <c r="Q1369" s="6"/>
      <c r="R1369" s="7"/>
      <c r="S1369" s="6"/>
      <c r="T1369" s="7"/>
      <c r="U1369" s="6"/>
      <c r="V1369" s="7"/>
      <c r="W1369" s="6"/>
      <c r="X1369" s="7"/>
    </row>
    <row r="1370" spans="1:24" ht="25.5" x14ac:dyDescent="0.2">
      <c r="A1370" s="6"/>
      <c r="B1370" s="7"/>
      <c r="C1370" s="6"/>
      <c r="D1370" s="7"/>
      <c r="E1370" s="6"/>
      <c r="F1370" s="7"/>
      <c r="G1370" s="6"/>
      <c r="H1370" s="7"/>
      <c r="I1370" s="6"/>
      <c r="J1370" s="7"/>
      <c r="K1370" s="96" t="str">
        <f>HYPERLINK("#'Healthcare'!AZR1","Q6.6.47_3_2")</f>
        <v>Q6.6.47_3_2</v>
      </c>
      <c r="L1370" s="93" t="str">
        <f>HYPERLINK("#'Healthcare'!AZR2","Primary regional HMO medical plan tier 3 coinsurance maximum: Mail order - in-network")</f>
        <v>Primary regional HMO medical plan tier 3 coinsurance maximum: Mail order - in-network</v>
      </c>
      <c r="M1370" s="6"/>
      <c r="N1370" s="7"/>
      <c r="O1370" s="6"/>
      <c r="P1370" s="7"/>
      <c r="Q1370" s="6"/>
      <c r="R1370" s="7"/>
      <c r="S1370" s="6"/>
      <c r="T1370" s="7"/>
      <c r="U1370" s="6"/>
      <c r="V1370" s="7"/>
      <c r="W1370" s="6"/>
      <c r="X1370" s="7"/>
    </row>
    <row r="1371" spans="1:24" ht="25.5" x14ac:dyDescent="0.2">
      <c r="A1371" s="6"/>
      <c r="B1371" s="7"/>
      <c r="C1371" s="6"/>
      <c r="D1371" s="7"/>
      <c r="E1371" s="6"/>
      <c r="F1371" s="7"/>
      <c r="G1371" s="6"/>
      <c r="H1371" s="7"/>
      <c r="I1371" s="6"/>
      <c r="J1371" s="7"/>
      <c r="K1371" s="96" t="str">
        <f>HYPERLINK("#'Healthcare'!AZS1","Q6.6.47_4_1")</f>
        <v>Q6.6.47_4_1</v>
      </c>
      <c r="L1371" s="93" t="str">
        <f>HYPERLINK("#'Healthcare'!AZS2","Primary regional HMO medical plan tier 4 coinsurance minimum: Mail order - in-network")</f>
        <v>Primary regional HMO medical plan tier 4 coinsurance minimum: Mail order - in-network</v>
      </c>
      <c r="M1371" s="6"/>
      <c r="N1371" s="7"/>
      <c r="O1371" s="6"/>
      <c r="P1371" s="7"/>
      <c r="Q1371" s="6"/>
      <c r="R1371" s="7"/>
      <c r="S1371" s="6"/>
      <c r="T1371" s="7"/>
      <c r="U1371" s="6"/>
      <c r="V1371" s="7"/>
      <c r="W1371" s="6"/>
      <c r="X1371" s="7"/>
    </row>
    <row r="1372" spans="1:24" ht="25.5" x14ac:dyDescent="0.2">
      <c r="A1372" s="6"/>
      <c r="B1372" s="7"/>
      <c r="C1372" s="6"/>
      <c r="D1372" s="7"/>
      <c r="E1372" s="6"/>
      <c r="F1372" s="7"/>
      <c r="G1372" s="6"/>
      <c r="H1372" s="7"/>
      <c r="I1372" s="6"/>
      <c r="J1372" s="7"/>
      <c r="K1372" s="96" t="str">
        <f>HYPERLINK("#'Healthcare'!AZT1","Q6.6.47_4_2")</f>
        <v>Q6.6.47_4_2</v>
      </c>
      <c r="L1372" s="93" t="str">
        <f>HYPERLINK("#'Healthcare'!AZT2","Primary regional HMO medical plan tier 4 coinsurance maximum: Mail order - in-network")</f>
        <v>Primary regional HMO medical plan tier 4 coinsurance maximum: Mail order - in-network</v>
      </c>
      <c r="M1372" s="6"/>
      <c r="N1372" s="7"/>
      <c r="O1372" s="6"/>
      <c r="P1372" s="7"/>
      <c r="Q1372" s="6"/>
      <c r="R1372" s="7"/>
      <c r="S1372" s="6"/>
      <c r="T1372" s="7"/>
      <c r="U1372" s="6"/>
      <c r="V1372" s="7"/>
      <c r="W1372" s="6"/>
      <c r="X1372" s="7"/>
    </row>
    <row r="1373" spans="1:24" ht="25.5" x14ac:dyDescent="0.2">
      <c r="A1373" s="6"/>
      <c r="B1373" s="7"/>
      <c r="C1373" s="6"/>
      <c r="D1373" s="7"/>
      <c r="E1373" s="6"/>
      <c r="F1373" s="7"/>
      <c r="G1373" s="6"/>
      <c r="H1373" s="7"/>
      <c r="I1373" s="6"/>
      <c r="J1373" s="7"/>
      <c r="K1373" s="96" t="str">
        <f>HYPERLINK("#'Healthcare'!AZU1","Q6.6.47_5_1")</f>
        <v>Q6.6.47_5_1</v>
      </c>
      <c r="L1373" s="93" t="str">
        <f>HYPERLINK("#'Healthcare'!AZU2","Primary regional HMO medical plan tier 5 coinsurance minimum: Mail order - in-network")</f>
        <v>Primary regional HMO medical plan tier 5 coinsurance minimum: Mail order - in-network</v>
      </c>
      <c r="M1373" s="6"/>
      <c r="N1373" s="7"/>
      <c r="O1373" s="6"/>
      <c r="P1373" s="7"/>
      <c r="Q1373" s="6"/>
      <c r="R1373" s="7"/>
      <c r="S1373" s="6"/>
      <c r="T1373" s="7"/>
      <c r="U1373" s="6"/>
      <c r="V1373" s="7"/>
      <c r="W1373" s="6"/>
      <c r="X1373" s="7"/>
    </row>
    <row r="1374" spans="1:24" ht="25.5" x14ac:dyDescent="0.2">
      <c r="A1374" s="6"/>
      <c r="B1374" s="7"/>
      <c r="C1374" s="6"/>
      <c r="D1374" s="7"/>
      <c r="E1374" s="6"/>
      <c r="F1374" s="7"/>
      <c r="G1374" s="6"/>
      <c r="H1374" s="7"/>
      <c r="I1374" s="6"/>
      <c r="J1374" s="7"/>
      <c r="K1374" s="96" t="str">
        <f>HYPERLINK("#'Healthcare'!AZV1","Q6.6.47_5_2")</f>
        <v>Q6.6.47_5_2</v>
      </c>
      <c r="L1374" s="93" t="str">
        <f>HYPERLINK("#'Healthcare'!AZV2","Primary regional HMO medical plan tier 5 coinsurance maximum: Mail order - in-network")</f>
        <v>Primary regional HMO medical plan tier 5 coinsurance maximum: Mail order - in-network</v>
      </c>
      <c r="M1374" s="6"/>
      <c r="N1374" s="7"/>
      <c r="O1374" s="6"/>
      <c r="P1374" s="7"/>
      <c r="Q1374" s="6"/>
      <c r="R1374" s="7"/>
      <c r="S1374" s="6"/>
      <c r="T1374" s="7"/>
      <c r="U1374" s="6"/>
      <c r="V1374" s="7"/>
      <c r="W1374" s="6"/>
      <c r="X1374" s="7"/>
    </row>
    <row r="1375" spans="1:24" ht="25.5" x14ac:dyDescent="0.2">
      <c r="A1375" s="6"/>
      <c r="B1375" s="7"/>
      <c r="C1375" s="6"/>
      <c r="D1375" s="7"/>
      <c r="E1375" s="6"/>
      <c r="F1375" s="7"/>
      <c r="G1375" s="6"/>
      <c r="H1375" s="7"/>
      <c r="I1375" s="6"/>
      <c r="J1375" s="7"/>
      <c r="K1375" s="96" t="str">
        <f>HYPERLINK("#'Healthcare'!AZW1","Q6.6.47_6_1")</f>
        <v>Q6.6.47_6_1</v>
      </c>
      <c r="L1375" s="93" t="str">
        <f>HYPERLINK("#'Healthcare'!AZW2","Primary regional HMO medical plan specialty coinsurance minimum: Mail order - in-network")</f>
        <v>Primary regional HMO medical plan specialty coinsurance minimum: Mail order - in-network</v>
      </c>
      <c r="M1375" s="6"/>
      <c r="N1375" s="7"/>
      <c r="O1375" s="6"/>
      <c r="P1375" s="7"/>
      <c r="Q1375" s="6"/>
      <c r="R1375" s="7"/>
      <c r="S1375" s="6"/>
      <c r="T1375" s="7"/>
      <c r="U1375" s="6"/>
      <c r="V1375" s="7"/>
      <c r="W1375" s="6"/>
      <c r="X1375" s="7"/>
    </row>
    <row r="1376" spans="1:24" ht="25.5" x14ac:dyDescent="0.2">
      <c r="A1376" s="6"/>
      <c r="B1376" s="7"/>
      <c r="C1376" s="6"/>
      <c r="D1376" s="7"/>
      <c r="E1376" s="6"/>
      <c r="F1376" s="7"/>
      <c r="G1376" s="6"/>
      <c r="H1376" s="7"/>
      <c r="I1376" s="6"/>
      <c r="J1376" s="7"/>
      <c r="K1376" s="96" t="str">
        <f>HYPERLINK("#'Healthcare'!AZX1","Q6.6.47_6_2")</f>
        <v>Q6.6.47_6_2</v>
      </c>
      <c r="L1376" s="93" t="str">
        <f>HYPERLINK("#'Healthcare'!AZX2","Primary regional HMO medical plan specialty coinsurance maximum: Mail order - in-network")</f>
        <v>Primary regional HMO medical plan specialty coinsurance maximum: Mail order - in-network</v>
      </c>
      <c r="M1376" s="6"/>
      <c r="N1376" s="7"/>
      <c r="O1376" s="6"/>
      <c r="P1376" s="7"/>
      <c r="Q1376" s="6"/>
      <c r="R1376" s="7"/>
      <c r="S1376" s="6"/>
      <c r="T1376" s="7"/>
      <c r="U1376" s="6"/>
      <c r="V1376" s="7"/>
      <c r="W1376" s="6"/>
      <c r="X1376" s="7"/>
    </row>
    <row r="1377" spans="1:24" ht="25.5" x14ac:dyDescent="0.2">
      <c r="A1377" s="6"/>
      <c r="B1377" s="7"/>
      <c r="C1377" s="6"/>
      <c r="D1377" s="7"/>
      <c r="E1377" s="6"/>
      <c r="F1377" s="7"/>
      <c r="G1377" s="6"/>
      <c r="H1377" s="7"/>
      <c r="I1377" s="6"/>
      <c r="J1377" s="7"/>
      <c r="K1377" s="96" t="str">
        <f>HYPERLINK("#'Healthcare'!AZY1","Q6.6.47_7_1")</f>
        <v>Q6.6.47_7_1</v>
      </c>
      <c r="L1377" s="93" t="str">
        <f>HYPERLINK("#'Healthcare'!AZY2","Primary regional HMO medical plan Other coinsurance minimum: Mail order - in-network")</f>
        <v>Primary regional HMO medical plan Other coinsurance minimum: Mail order - in-network</v>
      </c>
      <c r="M1377" s="6"/>
      <c r="N1377" s="7"/>
      <c r="O1377" s="6"/>
      <c r="P1377" s="7"/>
      <c r="Q1377" s="6"/>
      <c r="R1377" s="7"/>
      <c r="S1377" s="6"/>
      <c r="T1377" s="7"/>
      <c r="U1377" s="6"/>
      <c r="V1377" s="7"/>
      <c r="W1377" s="6"/>
      <c r="X1377" s="7"/>
    </row>
    <row r="1378" spans="1:24" ht="25.5" x14ac:dyDescent="0.2">
      <c r="A1378" s="6"/>
      <c r="B1378" s="7"/>
      <c r="C1378" s="6"/>
      <c r="D1378" s="7"/>
      <c r="E1378" s="6"/>
      <c r="F1378" s="7"/>
      <c r="G1378" s="6"/>
      <c r="H1378" s="7"/>
      <c r="I1378" s="6"/>
      <c r="J1378" s="7"/>
      <c r="K1378" s="96" t="str">
        <f>HYPERLINK("#'Healthcare'!AZZ1","Q6.6.47_7_2")</f>
        <v>Q6.6.47_7_2</v>
      </c>
      <c r="L1378" s="93" t="str">
        <f>HYPERLINK("#'Healthcare'!AZZ2","Primary regional HMO medical plan Other coinsurance maximum: Mail order - in-network")</f>
        <v>Primary regional HMO medical plan Other coinsurance maximum: Mail order - in-network</v>
      </c>
      <c r="M1378" s="6"/>
      <c r="N1378" s="7"/>
      <c r="O1378" s="6"/>
      <c r="P1378" s="7"/>
      <c r="Q1378" s="6"/>
      <c r="R1378" s="7"/>
      <c r="S1378" s="6"/>
      <c r="T1378" s="7"/>
      <c r="U1378" s="6"/>
      <c r="V1378" s="7"/>
      <c r="W1378" s="6"/>
      <c r="X1378" s="7"/>
    </row>
    <row r="1379" spans="1:24" ht="25.5" x14ac:dyDescent="0.2">
      <c r="A1379" s="6"/>
      <c r="B1379" s="7"/>
      <c r="C1379" s="6"/>
      <c r="D1379" s="7"/>
      <c r="E1379" s="6"/>
      <c r="F1379" s="7"/>
      <c r="G1379" s="6"/>
      <c r="H1379" s="7"/>
      <c r="I1379" s="6"/>
      <c r="J1379" s="7"/>
      <c r="K1379" s="96" t="str">
        <f>HYPERLINK("#'Healthcare'!BAA1","Q6.6.48_1_1")</f>
        <v>Q6.6.48_1_1</v>
      </c>
      <c r="L1379" s="93" t="str">
        <f>HYPERLINK("#'Healthcare'!BAA2","Primary regional HMO medical plan tier 1 coinsurance: Mail order - out-of-network")</f>
        <v>Primary regional HMO medical plan tier 1 coinsurance: Mail order - out-of-network</v>
      </c>
      <c r="M1379" s="6"/>
      <c r="N1379" s="7"/>
      <c r="O1379" s="6"/>
      <c r="P1379" s="7"/>
      <c r="Q1379" s="6"/>
      <c r="R1379" s="7"/>
      <c r="S1379" s="6"/>
      <c r="T1379" s="7"/>
      <c r="U1379" s="6"/>
      <c r="V1379" s="7"/>
      <c r="W1379" s="6"/>
      <c r="X1379" s="7"/>
    </row>
    <row r="1380" spans="1:24" ht="25.5" x14ac:dyDescent="0.2">
      <c r="A1380" s="6"/>
      <c r="B1380" s="7"/>
      <c r="C1380" s="6"/>
      <c r="D1380" s="7"/>
      <c r="E1380" s="6"/>
      <c r="F1380" s="7"/>
      <c r="G1380" s="6"/>
      <c r="H1380" s="7"/>
      <c r="I1380" s="6"/>
      <c r="J1380" s="7"/>
      <c r="K1380" s="96" t="str">
        <f>HYPERLINK("#'Healthcare'!BAB1","Q6.6.48_2_1")</f>
        <v>Q6.6.48_2_1</v>
      </c>
      <c r="L1380" s="93" t="str">
        <f>HYPERLINK("#'Healthcare'!BAB2","Primary regional HMO medical plan tier 2 coinsurance: Mail order - out-of-network")</f>
        <v>Primary regional HMO medical plan tier 2 coinsurance: Mail order - out-of-network</v>
      </c>
      <c r="M1380" s="6"/>
      <c r="N1380" s="7"/>
      <c r="O1380" s="6"/>
      <c r="P1380" s="7"/>
      <c r="Q1380" s="6"/>
      <c r="R1380" s="7"/>
      <c r="S1380" s="6"/>
      <c r="T1380" s="7"/>
      <c r="U1380" s="6"/>
      <c r="V1380" s="7"/>
      <c r="W1380" s="6"/>
      <c r="X1380" s="7"/>
    </row>
    <row r="1381" spans="1:24" ht="25.5" x14ac:dyDescent="0.2">
      <c r="A1381" s="6"/>
      <c r="B1381" s="7"/>
      <c r="C1381" s="6"/>
      <c r="D1381" s="7"/>
      <c r="E1381" s="6"/>
      <c r="F1381" s="7"/>
      <c r="G1381" s="6"/>
      <c r="H1381" s="7"/>
      <c r="I1381" s="6"/>
      <c r="J1381" s="7"/>
      <c r="K1381" s="96" t="str">
        <f>HYPERLINK("#'Healthcare'!BAC1","Q6.6.48_3_1")</f>
        <v>Q6.6.48_3_1</v>
      </c>
      <c r="L1381" s="93" t="str">
        <f>HYPERLINK("#'Healthcare'!BAC2","Primary regional HMO medical plan tier 3 coinsurance: Mail order - out-of-network")</f>
        <v>Primary regional HMO medical plan tier 3 coinsurance: Mail order - out-of-network</v>
      </c>
      <c r="M1381" s="6"/>
      <c r="N1381" s="7"/>
      <c r="O1381" s="6"/>
      <c r="P1381" s="7"/>
      <c r="Q1381" s="6"/>
      <c r="R1381" s="7"/>
      <c r="S1381" s="6"/>
      <c r="T1381" s="7"/>
      <c r="U1381" s="6"/>
      <c r="V1381" s="7"/>
      <c r="W1381" s="6"/>
      <c r="X1381" s="7"/>
    </row>
    <row r="1382" spans="1:24" ht="25.5" x14ac:dyDescent="0.2">
      <c r="A1382" s="6"/>
      <c r="B1382" s="7"/>
      <c r="C1382" s="6"/>
      <c r="D1382" s="7"/>
      <c r="E1382" s="6"/>
      <c r="F1382" s="7"/>
      <c r="G1382" s="6"/>
      <c r="H1382" s="7"/>
      <c r="I1382" s="6"/>
      <c r="J1382" s="7"/>
      <c r="K1382" s="96" t="str">
        <f>HYPERLINK("#'Healthcare'!BAD1","Q6.6.48_4_1")</f>
        <v>Q6.6.48_4_1</v>
      </c>
      <c r="L1382" s="93" t="str">
        <f>HYPERLINK("#'Healthcare'!BAD2","Primary regional HMO medical plan tier 4 coinsurance: Mail order - out-of-network")</f>
        <v>Primary regional HMO medical plan tier 4 coinsurance: Mail order - out-of-network</v>
      </c>
      <c r="M1382" s="6"/>
      <c r="N1382" s="7"/>
      <c r="O1382" s="6"/>
      <c r="P1382" s="7"/>
      <c r="Q1382" s="6"/>
      <c r="R1382" s="7"/>
      <c r="S1382" s="6"/>
      <c r="T1382" s="7"/>
      <c r="U1382" s="6"/>
      <c r="V1382" s="7"/>
      <c r="W1382" s="6"/>
      <c r="X1382" s="7"/>
    </row>
    <row r="1383" spans="1:24" ht="25.5" x14ac:dyDescent="0.2">
      <c r="A1383" s="6"/>
      <c r="B1383" s="7"/>
      <c r="C1383" s="6"/>
      <c r="D1383" s="7"/>
      <c r="E1383" s="6"/>
      <c r="F1383" s="7"/>
      <c r="G1383" s="6"/>
      <c r="H1383" s="7"/>
      <c r="I1383" s="6"/>
      <c r="J1383" s="7"/>
      <c r="K1383" s="96" t="str">
        <f>HYPERLINK("#'Healthcare'!BAE1","Q6.6.48_5_1")</f>
        <v>Q6.6.48_5_1</v>
      </c>
      <c r="L1383" s="93" t="str">
        <f>HYPERLINK("#'Healthcare'!BAE2","Primary regional HMO medical plan tier 5 coinsurance: Mail order - out-of-network")</f>
        <v>Primary regional HMO medical plan tier 5 coinsurance: Mail order - out-of-network</v>
      </c>
      <c r="M1383" s="6"/>
      <c r="N1383" s="7"/>
      <c r="O1383" s="6"/>
      <c r="P1383" s="7"/>
      <c r="Q1383" s="6"/>
      <c r="R1383" s="7"/>
      <c r="S1383" s="6"/>
      <c r="T1383" s="7"/>
      <c r="U1383" s="6"/>
      <c r="V1383" s="7"/>
      <c r="W1383" s="6"/>
      <c r="X1383" s="7"/>
    </row>
    <row r="1384" spans="1:24" ht="25.5" x14ac:dyDescent="0.2">
      <c r="A1384" s="6"/>
      <c r="B1384" s="7"/>
      <c r="C1384" s="6"/>
      <c r="D1384" s="7"/>
      <c r="E1384" s="6"/>
      <c r="F1384" s="7"/>
      <c r="G1384" s="6"/>
      <c r="H1384" s="7"/>
      <c r="I1384" s="6"/>
      <c r="J1384" s="7"/>
      <c r="K1384" s="96" t="str">
        <f>HYPERLINK("#'Healthcare'!BAF1","Q6.6.48_6_1")</f>
        <v>Q6.6.48_6_1</v>
      </c>
      <c r="L1384" s="93" t="str">
        <f>HYPERLINK("#'Healthcare'!BAF2","Primary regional HMO medical plan specialty coinsurance: Mail order - out-of-network")</f>
        <v>Primary regional HMO medical plan specialty coinsurance: Mail order - out-of-network</v>
      </c>
      <c r="M1384" s="6"/>
      <c r="N1384" s="7"/>
      <c r="O1384" s="6"/>
      <c r="P1384" s="7"/>
      <c r="Q1384" s="6"/>
      <c r="R1384" s="7"/>
      <c r="S1384" s="6"/>
      <c r="T1384" s="7"/>
      <c r="U1384" s="6"/>
      <c r="V1384" s="7"/>
      <c r="W1384" s="6"/>
      <c r="X1384" s="7"/>
    </row>
    <row r="1385" spans="1:24" ht="25.5" x14ac:dyDescent="0.2">
      <c r="A1385" s="6"/>
      <c r="B1385" s="7"/>
      <c r="C1385" s="6"/>
      <c r="D1385" s="7"/>
      <c r="E1385" s="6"/>
      <c r="F1385" s="7"/>
      <c r="G1385" s="6"/>
      <c r="H1385" s="7"/>
      <c r="I1385" s="6"/>
      <c r="J1385" s="7"/>
      <c r="K1385" s="96" t="str">
        <f>HYPERLINK("#'Healthcare'!BAG1","Q6.6.48_7_1")</f>
        <v>Q6.6.48_7_1</v>
      </c>
      <c r="L1385" s="93" t="str">
        <f>HYPERLINK("#'Healthcare'!BAG2","Primary regional HMO medical plan Other coinsurance: Mail order - out-of-network")</f>
        <v>Primary regional HMO medical plan Other coinsurance: Mail order - out-of-network</v>
      </c>
      <c r="M1385" s="6"/>
      <c r="N1385" s="7"/>
      <c r="O1385" s="6"/>
      <c r="P1385" s="7"/>
      <c r="Q1385" s="6"/>
      <c r="R1385" s="7"/>
      <c r="S1385" s="6"/>
      <c r="T1385" s="7"/>
      <c r="U1385" s="6"/>
      <c r="V1385" s="7"/>
      <c r="W1385" s="6"/>
      <c r="X1385" s="7"/>
    </row>
    <row r="1386" spans="1:24" ht="38.25" x14ac:dyDescent="0.2">
      <c r="A1386" s="6"/>
      <c r="B1386" s="7"/>
      <c r="C1386" s="6"/>
      <c r="D1386" s="7"/>
      <c r="E1386" s="6"/>
      <c r="F1386" s="7"/>
      <c r="G1386" s="6"/>
      <c r="H1386" s="7"/>
      <c r="I1386" s="6"/>
      <c r="J1386" s="7"/>
      <c r="K1386" s="96" t="str">
        <f>HYPERLINK("#'Healthcare'!BAH1","Q6.6.49_1_1")</f>
        <v>Q6.6.49_1_1</v>
      </c>
      <c r="L1386" s="93" t="str">
        <f>HYPERLINK("#'Healthcare'!BAH2","Primary regional HMO medical plan tier 1 coinsurance minimum: Mail order - out-of-network")</f>
        <v>Primary regional HMO medical plan tier 1 coinsurance minimum: Mail order - out-of-network</v>
      </c>
      <c r="M1386" s="6"/>
      <c r="N1386" s="7"/>
      <c r="O1386" s="6"/>
      <c r="P1386" s="7"/>
      <c r="Q1386" s="6"/>
      <c r="R1386" s="7"/>
      <c r="S1386" s="6"/>
      <c r="T1386" s="7"/>
      <c r="U1386" s="6"/>
      <c r="V1386" s="7"/>
      <c r="W1386" s="6"/>
      <c r="X1386" s="7"/>
    </row>
    <row r="1387" spans="1:24" ht="38.25" x14ac:dyDescent="0.2">
      <c r="A1387" s="6"/>
      <c r="B1387" s="7"/>
      <c r="C1387" s="6"/>
      <c r="D1387" s="7"/>
      <c r="E1387" s="6"/>
      <c r="F1387" s="7"/>
      <c r="G1387" s="6"/>
      <c r="H1387" s="7"/>
      <c r="I1387" s="6"/>
      <c r="J1387" s="7"/>
      <c r="K1387" s="96" t="str">
        <f>HYPERLINK("#'Healthcare'!BAI1","Q6.6.49_1_2")</f>
        <v>Q6.6.49_1_2</v>
      </c>
      <c r="L1387" s="93" t="str">
        <f>HYPERLINK("#'Healthcare'!BAI2","Primary regional HMO medical plan tier 1 coinsurance maximum: Mail order - out-of-network")</f>
        <v>Primary regional HMO medical plan tier 1 coinsurance maximum: Mail order - out-of-network</v>
      </c>
      <c r="M1387" s="6"/>
      <c r="N1387" s="7"/>
      <c r="O1387" s="6"/>
      <c r="P1387" s="7"/>
      <c r="Q1387" s="6"/>
      <c r="R1387" s="7"/>
      <c r="S1387" s="6"/>
      <c r="T1387" s="7"/>
      <c r="U1387" s="6"/>
      <c r="V1387" s="7"/>
      <c r="W1387" s="6"/>
      <c r="X1387" s="7"/>
    </row>
    <row r="1388" spans="1:24" ht="38.25" x14ac:dyDescent="0.2">
      <c r="A1388" s="6"/>
      <c r="B1388" s="7"/>
      <c r="C1388" s="6"/>
      <c r="D1388" s="7"/>
      <c r="E1388" s="6"/>
      <c r="F1388" s="7"/>
      <c r="G1388" s="6"/>
      <c r="H1388" s="7"/>
      <c r="I1388" s="6"/>
      <c r="J1388" s="7"/>
      <c r="K1388" s="96" t="str">
        <f>HYPERLINK("#'Healthcare'!BAJ1","Q6.6.49_2_1")</f>
        <v>Q6.6.49_2_1</v>
      </c>
      <c r="L1388" s="93" t="str">
        <f>HYPERLINK("#'Healthcare'!BAJ2","Primary regional HMO medical plan tier 2 coinsurance minimum: Mail order - out-of-network")</f>
        <v>Primary regional HMO medical plan tier 2 coinsurance minimum: Mail order - out-of-network</v>
      </c>
      <c r="M1388" s="6"/>
      <c r="N1388" s="7"/>
      <c r="O1388" s="6"/>
      <c r="P1388" s="7"/>
      <c r="Q1388" s="6"/>
      <c r="R1388" s="7"/>
      <c r="S1388" s="6"/>
      <c r="T1388" s="7"/>
      <c r="U1388" s="6"/>
      <c r="V1388" s="7"/>
      <c r="W1388" s="6"/>
      <c r="X1388" s="7"/>
    </row>
    <row r="1389" spans="1:24" ht="38.25" x14ac:dyDescent="0.2">
      <c r="A1389" s="6"/>
      <c r="B1389" s="7"/>
      <c r="C1389" s="6"/>
      <c r="D1389" s="7"/>
      <c r="E1389" s="6"/>
      <c r="F1389" s="7"/>
      <c r="G1389" s="6"/>
      <c r="H1389" s="7"/>
      <c r="I1389" s="6"/>
      <c r="J1389" s="7"/>
      <c r="K1389" s="96" t="str">
        <f>HYPERLINK("#'Healthcare'!BAK1","Q6.6.49_2_2")</f>
        <v>Q6.6.49_2_2</v>
      </c>
      <c r="L1389" s="93" t="str">
        <f>HYPERLINK("#'Healthcare'!BAK2","Primary regional HMO medical plan tier 2 coinsurance maximum: Mail order - out-of-network")</f>
        <v>Primary regional HMO medical plan tier 2 coinsurance maximum: Mail order - out-of-network</v>
      </c>
      <c r="M1389" s="6"/>
      <c r="N1389" s="7"/>
      <c r="O1389" s="6"/>
      <c r="P1389" s="7"/>
      <c r="Q1389" s="6"/>
      <c r="R1389" s="7"/>
      <c r="S1389" s="6"/>
      <c r="T1389" s="7"/>
      <c r="U1389" s="6"/>
      <c r="V1389" s="7"/>
      <c r="W1389" s="6"/>
      <c r="X1389" s="7"/>
    </row>
    <row r="1390" spans="1:24" ht="38.25" x14ac:dyDescent="0.2">
      <c r="A1390" s="6"/>
      <c r="B1390" s="7"/>
      <c r="C1390" s="6"/>
      <c r="D1390" s="7"/>
      <c r="E1390" s="6"/>
      <c r="F1390" s="7"/>
      <c r="G1390" s="6"/>
      <c r="H1390" s="7"/>
      <c r="I1390" s="6"/>
      <c r="J1390" s="7"/>
      <c r="K1390" s="96" t="str">
        <f>HYPERLINK("#'Healthcare'!BAL1","Q6.6.49_3_1")</f>
        <v>Q6.6.49_3_1</v>
      </c>
      <c r="L1390" s="93" t="str">
        <f>HYPERLINK("#'Healthcare'!BAL2","Primary regional HMO medical plan tier 3 coinsurance minimum: Mail order - out-of-network")</f>
        <v>Primary regional HMO medical plan tier 3 coinsurance minimum: Mail order - out-of-network</v>
      </c>
      <c r="M1390" s="6"/>
      <c r="N1390" s="7"/>
      <c r="O1390" s="6"/>
      <c r="P1390" s="7"/>
      <c r="Q1390" s="6"/>
      <c r="R1390" s="7"/>
      <c r="S1390" s="6"/>
      <c r="T1390" s="7"/>
      <c r="U1390" s="6"/>
      <c r="V1390" s="7"/>
      <c r="W1390" s="6"/>
      <c r="X1390" s="7"/>
    </row>
    <row r="1391" spans="1:24" ht="38.25" x14ac:dyDescent="0.2">
      <c r="A1391" s="6"/>
      <c r="B1391" s="7"/>
      <c r="C1391" s="6"/>
      <c r="D1391" s="7"/>
      <c r="E1391" s="6"/>
      <c r="F1391" s="7"/>
      <c r="G1391" s="6"/>
      <c r="H1391" s="7"/>
      <c r="I1391" s="6"/>
      <c r="J1391" s="7"/>
      <c r="K1391" s="96" t="str">
        <f>HYPERLINK("#'Healthcare'!BAM1","Q6.6.49_3_2")</f>
        <v>Q6.6.49_3_2</v>
      </c>
      <c r="L1391" s="93" t="str">
        <f>HYPERLINK("#'Healthcare'!BAM2","Primary regional HMO medical plan tier 3 coinsurance maximum: Mail order - out-of-network")</f>
        <v>Primary regional HMO medical plan tier 3 coinsurance maximum: Mail order - out-of-network</v>
      </c>
      <c r="M1391" s="6"/>
      <c r="N1391" s="7"/>
      <c r="O1391" s="6"/>
      <c r="P1391" s="7"/>
      <c r="Q1391" s="6"/>
      <c r="R1391" s="7"/>
      <c r="S1391" s="6"/>
      <c r="T1391" s="7"/>
      <c r="U1391" s="6"/>
      <c r="V1391" s="7"/>
      <c r="W1391" s="6"/>
      <c r="X1391" s="7"/>
    </row>
    <row r="1392" spans="1:24" ht="38.25" x14ac:dyDescent="0.2">
      <c r="A1392" s="6"/>
      <c r="B1392" s="7"/>
      <c r="C1392" s="6"/>
      <c r="D1392" s="7"/>
      <c r="E1392" s="6"/>
      <c r="F1392" s="7"/>
      <c r="G1392" s="6"/>
      <c r="H1392" s="7"/>
      <c r="I1392" s="6"/>
      <c r="J1392" s="7"/>
      <c r="K1392" s="96" t="str">
        <f>HYPERLINK("#'Healthcare'!BAN1","Q6.6.49_4_1")</f>
        <v>Q6.6.49_4_1</v>
      </c>
      <c r="L1392" s="93" t="str">
        <f>HYPERLINK("#'Healthcare'!BAN2","Primary regional HMO medical plan tier 4 coinsurance minimum: Mail order - out-of-network")</f>
        <v>Primary regional HMO medical plan tier 4 coinsurance minimum: Mail order - out-of-network</v>
      </c>
      <c r="M1392" s="6"/>
      <c r="N1392" s="7"/>
      <c r="O1392" s="6"/>
      <c r="P1392" s="7"/>
      <c r="Q1392" s="6"/>
      <c r="R1392" s="7"/>
      <c r="S1392" s="6"/>
      <c r="T1392" s="7"/>
      <c r="U1392" s="6"/>
      <c r="V1392" s="7"/>
      <c r="W1392" s="6"/>
      <c r="X1392" s="7"/>
    </row>
    <row r="1393" spans="1:24" ht="38.25" x14ac:dyDescent="0.2">
      <c r="A1393" s="6"/>
      <c r="B1393" s="7"/>
      <c r="C1393" s="6"/>
      <c r="D1393" s="7"/>
      <c r="E1393" s="6"/>
      <c r="F1393" s="7"/>
      <c r="G1393" s="6"/>
      <c r="H1393" s="7"/>
      <c r="I1393" s="6"/>
      <c r="J1393" s="7"/>
      <c r="K1393" s="96" t="str">
        <f>HYPERLINK("#'Healthcare'!BAO1","Q6.6.49_4_2")</f>
        <v>Q6.6.49_4_2</v>
      </c>
      <c r="L1393" s="93" t="str">
        <f>HYPERLINK("#'Healthcare'!BAO2","Primary regional HMO medical plan tier 4 coinsurance maximum: Mail order - out-of-network")</f>
        <v>Primary regional HMO medical plan tier 4 coinsurance maximum: Mail order - out-of-network</v>
      </c>
      <c r="M1393" s="6"/>
      <c r="N1393" s="7"/>
      <c r="O1393" s="6"/>
      <c r="P1393" s="7"/>
      <c r="Q1393" s="6"/>
      <c r="R1393" s="7"/>
      <c r="S1393" s="6"/>
      <c r="T1393" s="7"/>
      <c r="U1393" s="6"/>
      <c r="V1393" s="7"/>
      <c r="W1393" s="6"/>
      <c r="X1393" s="7"/>
    </row>
    <row r="1394" spans="1:24" ht="38.25" x14ac:dyDescent="0.2">
      <c r="A1394" s="6"/>
      <c r="B1394" s="7"/>
      <c r="C1394" s="6"/>
      <c r="D1394" s="7"/>
      <c r="E1394" s="6"/>
      <c r="F1394" s="7"/>
      <c r="G1394" s="6"/>
      <c r="H1394" s="7"/>
      <c r="I1394" s="6"/>
      <c r="J1394" s="7"/>
      <c r="K1394" s="96" t="str">
        <f>HYPERLINK("#'Healthcare'!BAP1","Q6.6.49_5_1")</f>
        <v>Q6.6.49_5_1</v>
      </c>
      <c r="L1394" s="93" t="str">
        <f>HYPERLINK("#'Healthcare'!BAP2","Primary regional HMO medical plan tier 5 coinsurance minimum: Mail order - out-of-network")</f>
        <v>Primary regional HMO medical plan tier 5 coinsurance minimum: Mail order - out-of-network</v>
      </c>
      <c r="M1394" s="6"/>
      <c r="N1394" s="7"/>
      <c r="O1394" s="6"/>
      <c r="P1394" s="7"/>
      <c r="Q1394" s="6"/>
      <c r="R1394" s="7"/>
      <c r="S1394" s="6"/>
      <c r="T1394" s="7"/>
      <c r="U1394" s="6"/>
      <c r="V1394" s="7"/>
      <c r="W1394" s="6"/>
      <c r="X1394" s="7"/>
    </row>
    <row r="1395" spans="1:24" ht="38.25" x14ac:dyDescent="0.2">
      <c r="A1395" s="6"/>
      <c r="B1395" s="7"/>
      <c r="C1395" s="6"/>
      <c r="D1395" s="7"/>
      <c r="E1395" s="6"/>
      <c r="F1395" s="7"/>
      <c r="G1395" s="6"/>
      <c r="H1395" s="7"/>
      <c r="I1395" s="6"/>
      <c r="J1395" s="7"/>
      <c r="K1395" s="96" t="str">
        <f>HYPERLINK("#'Healthcare'!BAQ1","Q6.6.49_5_2")</f>
        <v>Q6.6.49_5_2</v>
      </c>
      <c r="L1395" s="93" t="str">
        <f>HYPERLINK("#'Healthcare'!BAQ2","Primary regional HMO medical plan tier 5 coinsurance maximum: Mail order - out-of-network")</f>
        <v>Primary regional HMO medical plan tier 5 coinsurance maximum: Mail order - out-of-network</v>
      </c>
      <c r="M1395" s="6"/>
      <c r="N1395" s="7"/>
      <c r="O1395" s="6"/>
      <c r="P1395" s="7"/>
      <c r="Q1395" s="6"/>
      <c r="R1395" s="7"/>
      <c r="S1395" s="6"/>
      <c r="T1395" s="7"/>
      <c r="U1395" s="6"/>
      <c r="V1395" s="7"/>
      <c r="W1395" s="6"/>
      <c r="X1395" s="7"/>
    </row>
    <row r="1396" spans="1:24" ht="38.25" x14ac:dyDescent="0.2">
      <c r="A1396" s="6"/>
      <c r="B1396" s="7"/>
      <c r="C1396" s="6"/>
      <c r="D1396" s="7"/>
      <c r="E1396" s="6"/>
      <c r="F1396" s="7"/>
      <c r="G1396" s="6"/>
      <c r="H1396" s="7"/>
      <c r="I1396" s="6"/>
      <c r="J1396" s="7"/>
      <c r="K1396" s="96" t="str">
        <f>HYPERLINK("#'Healthcare'!BAR1","Q6.6.49_6_1")</f>
        <v>Q6.6.49_6_1</v>
      </c>
      <c r="L1396" s="93" t="str">
        <f>HYPERLINK("#'Healthcare'!BAR2","Primary regional HMO medical plan specialty coinsurance minimum: Mail order - out-of-network")</f>
        <v>Primary regional HMO medical plan specialty coinsurance minimum: Mail order - out-of-network</v>
      </c>
      <c r="M1396" s="6"/>
      <c r="N1396" s="7"/>
      <c r="O1396" s="6"/>
      <c r="P1396" s="7"/>
      <c r="Q1396" s="6"/>
      <c r="R1396" s="7"/>
      <c r="S1396" s="6"/>
      <c r="T1396" s="7"/>
      <c r="U1396" s="6"/>
      <c r="V1396" s="7"/>
      <c r="W1396" s="6"/>
      <c r="X1396" s="7"/>
    </row>
    <row r="1397" spans="1:24" ht="38.25" x14ac:dyDescent="0.2">
      <c r="A1397" s="6"/>
      <c r="B1397" s="7"/>
      <c r="C1397" s="6"/>
      <c r="D1397" s="7"/>
      <c r="E1397" s="6"/>
      <c r="F1397" s="7"/>
      <c r="G1397" s="6"/>
      <c r="H1397" s="7"/>
      <c r="I1397" s="6"/>
      <c r="J1397" s="7"/>
      <c r="K1397" s="96" t="str">
        <f>HYPERLINK("#'Healthcare'!BAS1","Q6.6.49_6_2")</f>
        <v>Q6.6.49_6_2</v>
      </c>
      <c r="L1397" s="93" t="str">
        <f>HYPERLINK("#'Healthcare'!BAS2","Primary regional HMO medical plan specialty coinsurance maximum: Mail order - out-of-network")</f>
        <v>Primary regional HMO medical plan specialty coinsurance maximum: Mail order - out-of-network</v>
      </c>
      <c r="M1397" s="6"/>
      <c r="N1397" s="7"/>
      <c r="O1397" s="6"/>
      <c r="P1397" s="7"/>
      <c r="Q1397" s="6"/>
      <c r="R1397" s="7"/>
      <c r="S1397" s="6"/>
      <c r="T1397" s="7"/>
      <c r="U1397" s="6"/>
      <c r="V1397" s="7"/>
      <c r="W1397" s="6"/>
      <c r="X1397" s="7"/>
    </row>
    <row r="1398" spans="1:24" ht="38.25" x14ac:dyDescent="0.2">
      <c r="A1398" s="6"/>
      <c r="B1398" s="7"/>
      <c r="C1398" s="6"/>
      <c r="D1398" s="7"/>
      <c r="E1398" s="6"/>
      <c r="F1398" s="7"/>
      <c r="G1398" s="6"/>
      <c r="H1398" s="7"/>
      <c r="I1398" s="6"/>
      <c r="J1398" s="7"/>
      <c r="K1398" s="96" t="str">
        <f>HYPERLINK("#'Healthcare'!BAT1","Q6.6.49_7_1")</f>
        <v>Q6.6.49_7_1</v>
      </c>
      <c r="L1398" s="93" t="str">
        <f>HYPERLINK("#'Healthcare'!BAT2","Primary regional HMO medical plan Other coinsurance minimum: Mail order - out-of-network")</f>
        <v>Primary regional HMO medical plan Other coinsurance minimum: Mail order - out-of-network</v>
      </c>
      <c r="M1398" s="6"/>
      <c r="N1398" s="7"/>
      <c r="O1398" s="6"/>
      <c r="P1398" s="7"/>
      <c r="Q1398" s="6"/>
      <c r="R1398" s="7"/>
      <c r="S1398" s="6"/>
      <c r="T1398" s="7"/>
      <c r="U1398" s="6"/>
      <c r="V1398" s="7"/>
      <c r="W1398" s="6"/>
      <c r="X1398" s="7"/>
    </row>
    <row r="1399" spans="1:24" ht="38.25" x14ac:dyDescent="0.2">
      <c r="A1399" s="6"/>
      <c r="B1399" s="7"/>
      <c r="C1399" s="6"/>
      <c r="D1399" s="7"/>
      <c r="E1399" s="6"/>
      <c r="F1399" s="7"/>
      <c r="G1399" s="6"/>
      <c r="H1399" s="7"/>
      <c r="I1399" s="6"/>
      <c r="J1399" s="7"/>
      <c r="K1399" s="96" t="str">
        <f>HYPERLINK("#'Healthcare'!BAU1","Q6.6.49_7_2")</f>
        <v>Q6.6.49_7_2</v>
      </c>
      <c r="L1399" s="93" t="str">
        <f>HYPERLINK("#'Healthcare'!BAU2","Primary regional HMO medical plan Other coinsurance maximum: Mail order - out-of-network")</f>
        <v>Primary regional HMO medical plan Other coinsurance maximum: Mail order - out-of-network</v>
      </c>
      <c r="M1399" s="6"/>
      <c r="N1399" s="7"/>
      <c r="O1399" s="6"/>
      <c r="P1399" s="7"/>
      <c r="Q1399" s="6"/>
      <c r="R1399" s="7"/>
      <c r="S1399" s="6"/>
      <c r="T1399" s="7"/>
      <c r="U1399" s="6"/>
      <c r="V1399" s="7"/>
      <c r="W1399" s="6"/>
      <c r="X1399" s="7"/>
    </row>
    <row r="1400" spans="1:24" ht="25.5" x14ac:dyDescent="0.2">
      <c r="A1400" s="6"/>
      <c r="B1400" s="7"/>
      <c r="C1400" s="6"/>
      <c r="D1400" s="7"/>
      <c r="E1400" s="6"/>
      <c r="F1400" s="7"/>
      <c r="G1400" s="6"/>
      <c r="H1400" s="7"/>
      <c r="I1400" s="6"/>
      <c r="J1400" s="7"/>
      <c r="K1400" s="96" t="str">
        <f>HYPERLINK("#'Healthcare'!BAV1","Q6.6.50")</f>
        <v>Q6.6.50</v>
      </c>
      <c r="L1400" s="93" t="str">
        <f>HYPERLINK("#'Healthcare'!BAV2","Primary regional HMO medical plan: Pharmacy benefit manager carved in/out")</f>
        <v>Primary regional HMO medical plan: Pharmacy benefit manager carved in/out</v>
      </c>
      <c r="M1400" s="6"/>
      <c r="N1400" s="7"/>
      <c r="O1400" s="6"/>
      <c r="P1400" s="7"/>
      <c r="Q1400" s="6"/>
      <c r="R1400" s="7"/>
      <c r="S1400" s="6"/>
      <c r="T1400" s="7"/>
      <c r="U1400" s="6"/>
      <c r="V1400" s="7"/>
      <c r="W1400" s="6"/>
      <c r="X1400" s="7"/>
    </row>
    <row r="1401" spans="1:24" ht="38.25" x14ac:dyDescent="0.2">
      <c r="A1401" s="6"/>
      <c r="B1401" s="7"/>
      <c r="C1401" s="6"/>
      <c r="D1401" s="7"/>
      <c r="E1401" s="6"/>
      <c r="F1401" s="7"/>
      <c r="G1401" s="6"/>
      <c r="H1401" s="7"/>
      <c r="I1401" s="6"/>
      <c r="J1401" s="7"/>
      <c r="K1401" s="96" t="str">
        <f>HYPERLINK("#'Healthcare'!BAW1","Q6.6.51")</f>
        <v>Q6.6.51</v>
      </c>
      <c r="L1401" s="93" t="str">
        <f>HYPERLINK("#'Healthcare'!BAW2","Primary regional HMO medical plan: Drug classes with zero cost share to members (in addition to ACA law requirements)")</f>
        <v>Primary regional HMO medical plan: Drug classes with zero cost share to members (in addition to ACA law requirements)</v>
      </c>
      <c r="M1401" s="6"/>
      <c r="N1401" s="7"/>
      <c r="O1401" s="6"/>
      <c r="P1401" s="7"/>
      <c r="Q1401" s="6"/>
      <c r="R1401" s="7"/>
      <c r="S1401" s="6"/>
      <c r="T1401" s="7"/>
      <c r="U1401" s="6"/>
      <c r="V1401" s="7"/>
      <c r="W1401" s="6"/>
      <c r="X1401" s="7"/>
    </row>
    <row r="1402" spans="1:24" ht="51" x14ac:dyDescent="0.2">
      <c r="A1402" s="6"/>
      <c r="B1402" s="7"/>
      <c r="C1402" s="6"/>
      <c r="D1402" s="7"/>
      <c r="E1402" s="6"/>
      <c r="F1402" s="7"/>
      <c r="G1402" s="6"/>
      <c r="H1402" s="7"/>
      <c r="I1402" s="6"/>
      <c r="J1402" s="7"/>
      <c r="K1402" s="96" t="str">
        <f>HYPERLINK("#'Healthcare'!BAX1","Q6.6.52")</f>
        <v>Q6.6.52</v>
      </c>
      <c r="L1402" s="93" t="str">
        <f>HYPERLINK("#'Healthcare'!BAX2","Primary regional HMO medical plan: Cost share for individuals who receive infused/injectable medications at preferred care sites")</f>
        <v>Primary regional HMO medical plan: Cost share for individuals who receive infused/injectable medications at preferred care sites</v>
      </c>
      <c r="M1402" s="6"/>
      <c r="N1402" s="7"/>
      <c r="O1402" s="6"/>
      <c r="P1402" s="7"/>
      <c r="Q1402" s="6"/>
      <c r="R1402" s="7"/>
      <c r="S1402" s="6"/>
      <c r="T1402" s="7"/>
      <c r="U1402" s="6"/>
      <c r="V1402" s="7"/>
      <c r="W1402" s="6"/>
      <c r="X1402" s="7"/>
    </row>
    <row r="1403" spans="1:24" ht="25.5" x14ac:dyDescent="0.2">
      <c r="A1403" s="6"/>
      <c r="B1403" s="7"/>
      <c r="C1403" s="6"/>
      <c r="D1403" s="7"/>
      <c r="E1403" s="6"/>
      <c r="F1403" s="7"/>
      <c r="G1403" s="6"/>
      <c r="H1403" s="7"/>
      <c r="I1403" s="6"/>
      <c r="J1403" s="7"/>
      <c r="K1403" s="96" t="str">
        <f>HYPERLINK("#'Healthcare'!BAY1","Q6.7.2")</f>
        <v>Q6.7.2</v>
      </c>
      <c r="L1403" s="93" t="str">
        <f>HYPERLINK("#'Healthcare'!BAY2","Total number of national point of service (POS) medical plans offered")</f>
        <v>Total number of national point of service (POS) medical plans offered</v>
      </c>
      <c r="M1403" s="6"/>
      <c r="N1403" s="7"/>
      <c r="O1403" s="6"/>
      <c r="P1403" s="7"/>
      <c r="Q1403" s="6"/>
      <c r="R1403" s="7"/>
      <c r="S1403" s="6"/>
      <c r="T1403" s="7"/>
      <c r="U1403" s="6"/>
      <c r="V1403" s="7"/>
      <c r="W1403" s="6"/>
      <c r="X1403" s="7"/>
    </row>
    <row r="1404" spans="1:24" ht="25.5" x14ac:dyDescent="0.2">
      <c r="A1404" s="6"/>
      <c r="B1404" s="7"/>
      <c r="C1404" s="6"/>
      <c r="D1404" s="7"/>
      <c r="E1404" s="6"/>
      <c r="F1404" s="7"/>
      <c r="G1404" s="6"/>
      <c r="H1404" s="7"/>
      <c r="I1404" s="6"/>
      <c r="J1404" s="7"/>
      <c r="K1404" s="96" t="str">
        <f>HYPERLINK("#'Healthcare'!BAZ1","Q6.7.5")</f>
        <v>Q6.7.5</v>
      </c>
      <c r="L1404" s="93" t="str">
        <f>HYPERLINK("#'Healthcare'!BAZ2","POS medical plan with highest enrollment (Primary)")</f>
        <v>POS medical plan with highest enrollment (Primary)</v>
      </c>
      <c r="M1404" s="6"/>
      <c r="N1404" s="7"/>
      <c r="O1404" s="6"/>
      <c r="P1404" s="7"/>
      <c r="Q1404" s="6"/>
      <c r="R1404" s="7"/>
      <c r="S1404" s="6"/>
      <c r="T1404" s="7"/>
      <c r="U1404" s="6"/>
      <c r="V1404" s="7"/>
      <c r="W1404" s="6"/>
      <c r="X1404" s="7"/>
    </row>
    <row r="1405" spans="1:24" ht="12.75" x14ac:dyDescent="0.2">
      <c r="A1405" s="6"/>
      <c r="B1405" s="7"/>
      <c r="C1405" s="6"/>
      <c r="D1405" s="7"/>
      <c r="E1405" s="6"/>
      <c r="F1405" s="7"/>
      <c r="G1405" s="6"/>
      <c r="H1405" s="7"/>
      <c r="I1405" s="6"/>
      <c r="J1405" s="7"/>
      <c r="K1405" s="96" t="str">
        <f>HYPERLINK("#'Healthcare'!BBA1","Q6.7.6")</f>
        <v>Q6.7.6</v>
      </c>
      <c r="L1405" s="93" t="str">
        <f>HYPERLINK("#'Healthcare'!BBA2","Other POS plans offered")</f>
        <v>Other POS plans offered</v>
      </c>
      <c r="M1405" s="6"/>
      <c r="N1405" s="7"/>
      <c r="O1405" s="6"/>
      <c r="P1405" s="7"/>
      <c r="Q1405" s="6"/>
      <c r="R1405" s="7"/>
      <c r="S1405" s="6"/>
      <c r="T1405" s="7"/>
      <c r="U1405" s="6"/>
      <c r="V1405" s="7"/>
      <c r="W1405" s="6"/>
      <c r="X1405" s="7"/>
    </row>
    <row r="1406" spans="1:24" ht="25.5" x14ac:dyDescent="0.2">
      <c r="A1406" s="6"/>
      <c r="B1406" s="7"/>
      <c r="C1406" s="6"/>
      <c r="D1406" s="7"/>
      <c r="E1406" s="6"/>
      <c r="F1406" s="7"/>
      <c r="G1406" s="6"/>
      <c r="H1406" s="7"/>
      <c r="I1406" s="6"/>
      <c r="J1406" s="7"/>
      <c r="K1406" s="96" t="str">
        <f>HYPERLINK("#'Healthcare'!BBB1","Q6.7.7_1")</f>
        <v>Q6.7.7_1</v>
      </c>
      <c r="L1406" s="93" t="str">
        <f>HYPERLINK("#'Healthcare'!BBB2","Primary POS medical plan: Network out-of-pocket limit per person")</f>
        <v>Primary POS medical plan: Network out-of-pocket limit per person</v>
      </c>
      <c r="M1406" s="6"/>
      <c r="N1406" s="7"/>
      <c r="O1406" s="6"/>
      <c r="P1406" s="7"/>
      <c r="Q1406" s="6"/>
      <c r="R1406" s="7"/>
      <c r="S1406" s="6"/>
      <c r="T1406" s="7"/>
      <c r="U1406" s="6"/>
      <c r="V1406" s="7"/>
      <c r="W1406" s="6"/>
      <c r="X1406" s="7"/>
    </row>
    <row r="1407" spans="1:24" ht="25.5" x14ac:dyDescent="0.2">
      <c r="A1407" s="6"/>
      <c r="B1407" s="7"/>
      <c r="C1407" s="6"/>
      <c r="D1407" s="7"/>
      <c r="E1407" s="6"/>
      <c r="F1407" s="7"/>
      <c r="G1407" s="6"/>
      <c r="H1407" s="7"/>
      <c r="I1407" s="6"/>
      <c r="J1407" s="7"/>
      <c r="K1407" s="96" t="str">
        <f>HYPERLINK("#'Healthcare'!BBC1","Q6.7.7_2")</f>
        <v>Q6.7.7_2</v>
      </c>
      <c r="L1407" s="93" t="str">
        <f>HYPERLINK("#'Healthcare'!BBC2","Primary POS medical plan: Network out-of-pocket limit family")</f>
        <v>Primary POS medical plan: Network out-of-pocket limit family</v>
      </c>
      <c r="M1407" s="6"/>
      <c r="N1407" s="7"/>
      <c r="O1407" s="6"/>
      <c r="P1407" s="7"/>
      <c r="Q1407" s="6"/>
      <c r="R1407" s="7"/>
      <c r="S1407" s="6"/>
      <c r="T1407" s="7"/>
      <c r="U1407" s="6"/>
      <c r="V1407" s="7"/>
      <c r="W1407" s="6"/>
      <c r="X1407" s="7"/>
    </row>
    <row r="1408" spans="1:24" ht="25.5" x14ac:dyDescent="0.2">
      <c r="A1408" s="6"/>
      <c r="B1408" s="7"/>
      <c r="C1408" s="6"/>
      <c r="D1408" s="7"/>
      <c r="E1408" s="6"/>
      <c r="F1408" s="7"/>
      <c r="G1408" s="6"/>
      <c r="H1408" s="7"/>
      <c r="I1408" s="6"/>
      <c r="J1408" s="7"/>
      <c r="K1408" s="96" t="str">
        <f>HYPERLINK("#'Healthcare'!BBD1","Q6.7.7_3")</f>
        <v>Q6.7.7_3</v>
      </c>
      <c r="L1408" s="93" t="str">
        <f>HYPERLINK("#'Healthcare'!BBD2","Primary POS medical plan: Out-of-network out-of-pocket limit per person")</f>
        <v>Primary POS medical plan: Out-of-network out-of-pocket limit per person</v>
      </c>
      <c r="M1408" s="6"/>
      <c r="N1408" s="7"/>
      <c r="O1408" s="6"/>
      <c r="P1408" s="7"/>
      <c r="Q1408" s="6"/>
      <c r="R1408" s="7"/>
      <c r="S1408" s="6"/>
      <c r="T1408" s="7"/>
      <c r="U1408" s="6"/>
      <c r="V1408" s="7"/>
      <c r="W1408" s="6"/>
      <c r="X1408" s="7"/>
    </row>
    <row r="1409" spans="1:24" ht="25.5" x14ac:dyDescent="0.2">
      <c r="A1409" s="6"/>
      <c r="B1409" s="7"/>
      <c r="C1409" s="6"/>
      <c r="D1409" s="7"/>
      <c r="E1409" s="6"/>
      <c r="F1409" s="7"/>
      <c r="G1409" s="6"/>
      <c r="H1409" s="7"/>
      <c r="I1409" s="6"/>
      <c r="J1409" s="7"/>
      <c r="K1409" s="96" t="str">
        <f>HYPERLINK("#'Healthcare'!BBE1","Q6.7.7_4")</f>
        <v>Q6.7.7_4</v>
      </c>
      <c r="L1409" s="93" t="str">
        <f>HYPERLINK("#'Healthcare'!BBE2","Primary POS medical plan: Out-of-network out-of-pocket limit family")</f>
        <v>Primary POS medical plan: Out-of-network out-of-pocket limit family</v>
      </c>
      <c r="M1409" s="6"/>
      <c r="N1409" s="7"/>
      <c r="O1409" s="6"/>
      <c r="P1409" s="7"/>
      <c r="Q1409" s="6"/>
      <c r="R1409" s="7"/>
      <c r="S1409" s="6"/>
      <c r="T1409" s="7"/>
      <c r="U1409" s="6"/>
      <c r="V1409" s="7"/>
      <c r="W1409" s="6"/>
      <c r="X1409" s="7"/>
    </row>
    <row r="1410" spans="1:24" ht="25.5" x14ac:dyDescent="0.2">
      <c r="A1410" s="6"/>
      <c r="B1410" s="7"/>
      <c r="C1410" s="6"/>
      <c r="D1410" s="7"/>
      <c r="E1410" s="6"/>
      <c r="F1410" s="7"/>
      <c r="G1410" s="6"/>
      <c r="H1410" s="7"/>
      <c r="I1410" s="6"/>
      <c r="J1410" s="7"/>
      <c r="K1410" s="96" t="str">
        <f>HYPERLINK("#'Healthcare'!BBF1","Q6.7.7_5")</f>
        <v>Q6.7.7_5</v>
      </c>
      <c r="L1410" s="93" t="str">
        <f>HYPERLINK("#'Healthcare'!BBF2","Primary POS medical plan: Out-of-pocket limit - cross apply")</f>
        <v>Primary POS medical plan: Out-of-pocket limit - cross apply</v>
      </c>
      <c r="M1410" s="6"/>
      <c r="N1410" s="7"/>
      <c r="O1410" s="6"/>
      <c r="P1410" s="7"/>
      <c r="Q1410" s="6"/>
      <c r="R1410" s="7"/>
      <c r="S1410" s="6"/>
      <c r="T1410" s="7"/>
      <c r="U1410" s="6"/>
      <c r="V1410" s="7"/>
      <c r="W1410" s="6"/>
      <c r="X1410" s="7"/>
    </row>
    <row r="1411" spans="1:24" ht="25.5" x14ac:dyDescent="0.2">
      <c r="A1411" s="6"/>
      <c r="B1411" s="7"/>
      <c r="C1411" s="6"/>
      <c r="D1411" s="7"/>
      <c r="E1411" s="6"/>
      <c r="F1411" s="7"/>
      <c r="G1411" s="6"/>
      <c r="H1411" s="7"/>
      <c r="I1411" s="6"/>
      <c r="J1411" s="7"/>
      <c r="K1411" s="96" t="str">
        <f>HYPERLINK("#'Healthcare'!BBG1","Q6.7.7_6")</f>
        <v>Q6.7.7_6</v>
      </c>
      <c r="L1411" s="93" t="str">
        <f>HYPERLINK("#'Healthcare'!BBG2","Primary POS medical plan: Out-of-pocket limit - aggregated")</f>
        <v>Primary POS medical plan: Out-of-pocket limit - aggregated</v>
      </c>
      <c r="M1411" s="6"/>
      <c r="N1411" s="7"/>
      <c r="O1411" s="6"/>
      <c r="P1411" s="7"/>
      <c r="Q1411" s="6"/>
      <c r="R1411" s="7"/>
      <c r="S1411" s="6"/>
      <c r="T1411" s="7"/>
      <c r="U1411" s="6"/>
      <c r="V1411" s="7"/>
      <c r="W1411" s="6"/>
      <c r="X1411" s="7"/>
    </row>
    <row r="1412" spans="1:24" ht="25.5" x14ac:dyDescent="0.2">
      <c r="A1412" s="6"/>
      <c r="B1412" s="7"/>
      <c r="C1412" s="6"/>
      <c r="D1412" s="7"/>
      <c r="E1412" s="6"/>
      <c r="F1412" s="7"/>
      <c r="G1412" s="6"/>
      <c r="H1412" s="7"/>
      <c r="I1412" s="6"/>
      <c r="J1412" s="7"/>
      <c r="K1412" s="96" t="str">
        <f>HYPERLINK("#'Healthcare'!BBH1","Q6.7.8")</f>
        <v>Q6.7.8</v>
      </c>
      <c r="L1412" s="93" t="str">
        <f>HYPERLINK("#'Healthcare'!BBH2","Primary POS medical plan: Expenses excluded from out-of-pocket limit ")</f>
        <v xml:space="preserve">Primary POS medical plan: Expenses excluded from out-of-pocket limit </v>
      </c>
      <c r="M1412" s="6"/>
      <c r="N1412" s="7"/>
      <c r="O1412" s="6"/>
      <c r="P1412" s="7"/>
      <c r="Q1412" s="6"/>
      <c r="R1412" s="7"/>
      <c r="S1412" s="6"/>
      <c r="T1412" s="7"/>
      <c r="U1412" s="6"/>
      <c r="V1412" s="7"/>
      <c r="W1412" s="6"/>
      <c r="X1412" s="7"/>
    </row>
    <row r="1413" spans="1:24" ht="25.5" x14ac:dyDescent="0.2">
      <c r="A1413" s="6"/>
      <c r="B1413" s="7"/>
      <c r="C1413" s="6"/>
      <c r="D1413" s="7"/>
      <c r="E1413" s="6"/>
      <c r="F1413" s="7"/>
      <c r="G1413" s="6"/>
      <c r="H1413" s="7"/>
      <c r="I1413" s="6"/>
      <c r="J1413" s="7"/>
      <c r="K1413" s="96" t="str">
        <f>HYPERLINK("#'Healthcare'!BBI1","Q6.7.9_1")</f>
        <v>Q6.7.9_1</v>
      </c>
      <c r="L1413" s="93" t="str">
        <f>HYPERLINK("#'Healthcare'!BBI2","Primary POS medical plan: In-network overall deductible per person (preventive care-N/A)")</f>
        <v>Primary POS medical plan: In-network overall deductible per person (preventive care-N/A)</v>
      </c>
      <c r="M1413" s="6"/>
      <c r="N1413" s="7"/>
      <c r="O1413" s="6"/>
      <c r="P1413" s="7"/>
      <c r="Q1413" s="6"/>
      <c r="R1413" s="7"/>
      <c r="S1413" s="6"/>
      <c r="T1413" s="7"/>
      <c r="U1413" s="6"/>
      <c r="V1413" s="7"/>
      <c r="W1413" s="6"/>
      <c r="X1413" s="7"/>
    </row>
    <row r="1414" spans="1:24" ht="25.5" x14ac:dyDescent="0.2">
      <c r="A1414" s="6"/>
      <c r="B1414" s="7"/>
      <c r="C1414" s="6"/>
      <c r="D1414" s="7"/>
      <c r="E1414" s="6"/>
      <c r="F1414" s="7"/>
      <c r="G1414" s="6"/>
      <c r="H1414" s="7"/>
      <c r="I1414" s="6"/>
      <c r="J1414" s="7"/>
      <c r="K1414" s="96" t="str">
        <f>HYPERLINK("#'Healthcare'!BBJ1","Q6.7.9_2")</f>
        <v>Q6.7.9_2</v>
      </c>
      <c r="L1414" s="93" t="str">
        <f>HYPERLINK("#'Healthcare'!BBJ2","Primary POS medical plan: In-network overall deductible per family (preventive care-N/A)")</f>
        <v>Primary POS medical plan: In-network overall deductible per family (preventive care-N/A)</v>
      </c>
      <c r="M1414" s="6"/>
      <c r="N1414" s="7"/>
      <c r="O1414" s="6"/>
      <c r="P1414" s="7"/>
      <c r="Q1414" s="6"/>
      <c r="R1414" s="7"/>
      <c r="S1414" s="6"/>
      <c r="T1414" s="7"/>
      <c r="U1414" s="6"/>
      <c r="V1414" s="7"/>
      <c r="W1414" s="6"/>
      <c r="X1414" s="7"/>
    </row>
    <row r="1415" spans="1:24" ht="38.25" x14ac:dyDescent="0.2">
      <c r="A1415" s="6"/>
      <c r="B1415" s="7"/>
      <c r="C1415" s="6"/>
      <c r="D1415" s="7"/>
      <c r="E1415" s="6"/>
      <c r="F1415" s="7"/>
      <c r="G1415" s="6"/>
      <c r="H1415" s="7"/>
      <c r="I1415" s="6"/>
      <c r="J1415" s="7"/>
      <c r="K1415" s="96" t="str">
        <f>HYPERLINK("#'Healthcare'!BBK1","Q6.7.9_3")</f>
        <v>Q6.7.9_3</v>
      </c>
      <c r="L1415" s="93" t="str">
        <f>HYPERLINK("#'Healthcare'!BBK2","Primary POS medical plan: Out-of-network overall deductible per person (preventive care-N/A)")</f>
        <v>Primary POS medical plan: Out-of-network overall deductible per person (preventive care-N/A)</v>
      </c>
      <c r="M1415" s="6"/>
      <c r="N1415" s="7"/>
      <c r="O1415" s="6"/>
      <c r="P1415" s="7"/>
      <c r="Q1415" s="6"/>
      <c r="R1415" s="7"/>
      <c r="S1415" s="6"/>
      <c r="T1415" s="7"/>
      <c r="U1415" s="6"/>
      <c r="V1415" s="7"/>
      <c r="W1415" s="6"/>
      <c r="X1415" s="7"/>
    </row>
    <row r="1416" spans="1:24" ht="38.25" x14ac:dyDescent="0.2">
      <c r="A1416" s="6"/>
      <c r="B1416" s="7"/>
      <c r="C1416" s="6"/>
      <c r="D1416" s="7"/>
      <c r="E1416" s="6"/>
      <c r="F1416" s="7"/>
      <c r="G1416" s="6"/>
      <c r="H1416" s="7"/>
      <c r="I1416" s="6"/>
      <c r="J1416" s="7"/>
      <c r="K1416" s="96" t="str">
        <f>HYPERLINK("#'Healthcare'!BBL1","Q6.7.9_4")</f>
        <v>Q6.7.9_4</v>
      </c>
      <c r="L1416" s="93" t="str">
        <f>HYPERLINK("#'Healthcare'!BBL2","Primary POS medical plan: Out-of-network overall deductible per family (preventive care-N/A)")</f>
        <v>Primary POS medical plan: Out-of-network overall deductible per family (preventive care-N/A)</v>
      </c>
      <c r="M1416" s="6"/>
      <c r="N1416" s="7"/>
      <c r="O1416" s="6"/>
      <c r="P1416" s="7"/>
      <c r="Q1416" s="6"/>
      <c r="R1416" s="7"/>
      <c r="S1416" s="6"/>
      <c r="T1416" s="7"/>
      <c r="U1416" s="6"/>
      <c r="V1416" s="7"/>
      <c r="W1416" s="6"/>
      <c r="X1416" s="7"/>
    </row>
    <row r="1417" spans="1:24" ht="38.25" x14ac:dyDescent="0.2">
      <c r="A1417" s="6"/>
      <c r="B1417" s="7"/>
      <c r="C1417" s="6"/>
      <c r="D1417" s="7"/>
      <c r="E1417" s="6"/>
      <c r="F1417" s="7"/>
      <c r="G1417" s="6"/>
      <c r="H1417" s="7"/>
      <c r="I1417" s="6"/>
      <c r="J1417" s="7"/>
      <c r="K1417" s="96" t="str">
        <f>HYPERLINK("#'Healthcare'!BBM1","Q6.7.10_1")</f>
        <v>Q6.7.10_1</v>
      </c>
      <c r="L1417" s="93" t="str">
        <f>HYPERLINK("#'Healthcare'!BBM2","Primary POS medical plan in-network services with separate deductibles: Not applicable - no separate deductibles")</f>
        <v>Primary POS medical plan in-network services with separate deductibles: Not applicable - no separate deductibles</v>
      </c>
      <c r="M1417" s="6"/>
      <c r="N1417" s="7"/>
      <c r="O1417" s="6"/>
      <c r="P1417" s="7"/>
      <c r="Q1417" s="6"/>
      <c r="R1417" s="7"/>
      <c r="S1417" s="6"/>
      <c r="T1417" s="7"/>
      <c r="U1417" s="6"/>
      <c r="V1417" s="7"/>
      <c r="W1417" s="6"/>
      <c r="X1417" s="7"/>
    </row>
    <row r="1418" spans="1:24" ht="25.5" x14ac:dyDescent="0.2">
      <c r="A1418" s="6"/>
      <c r="B1418" s="7"/>
      <c r="C1418" s="6"/>
      <c r="D1418" s="7"/>
      <c r="E1418" s="6"/>
      <c r="F1418" s="7"/>
      <c r="G1418" s="6"/>
      <c r="H1418" s="7"/>
      <c r="I1418" s="6"/>
      <c r="J1418" s="7"/>
      <c r="K1418" s="96" t="str">
        <f>HYPERLINK("#'Healthcare'!BBN1","Q6.7.10_2")</f>
        <v>Q6.7.10_2</v>
      </c>
      <c r="L1418" s="93" t="str">
        <f>HYPERLINK("#'Healthcare'!BBN2","Primary POS medical plan in-network services with separate deductibles: Acupuncture")</f>
        <v>Primary POS medical plan in-network services with separate deductibles: Acupuncture</v>
      </c>
      <c r="M1418" s="6"/>
      <c r="N1418" s="7"/>
      <c r="O1418" s="6"/>
      <c r="P1418" s="7"/>
      <c r="Q1418" s="6"/>
      <c r="R1418" s="7"/>
      <c r="S1418" s="6"/>
      <c r="T1418" s="7"/>
      <c r="U1418" s="6"/>
      <c r="V1418" s="7"/>
      <c r="W1418" s="6"/>
      <c r="X1418" s="7"/>
    </row>
    <row r="1419" spans="1:24" ht="25.5" x14ac:dyDescent="0.2">
      <c r="A1419" s="6"/>
      <c r="B1419" s="7"/>
      <c r="C1419" s="6"/>
      <c r="D1419" s="7"/>
      <c r="E1419" s="6"/>
      <c r="F1419" s="7"/>
      <c r="G1419" s="6"/>
      <c r="H1419" s="7"/>
      <c r="I1419" s="6"/>
      <c r="J1419" s="7"/>
      <c r="K1419" s="96" t="str">
        <f>HYPERLINK("#'Healthcare'!BBO1","Q6.7.10_3")</f>
        <v>Q6.7.10_3</v>
      </c>
      <c r="L1419" s="93" t="str">
        <f>HYPERLINK("#'Healthcare'!BBO2","Primary POS medical plan in-network services with separate deductibles: Chiropractic")</f>
        <v>Primary POS medical plan in-network services with separate deductibles: Chiropractic</v>
      </c>
      <c r="M1419" s="6"/>
      <c r="N1419" s="7"/>
      <c r="O1419" s="6"/>
      <c r="P1419" s="7"/>
      <c r="Q1419" s="6"/>
      <c r="R1419" s="7"/>
      <c r="S1419" s="6"/>
      <c r="T1419" s="7"/>
      <c r="U1419" s="6"/>
      <c r="V1419" s="7"/>
      <c r="W1419" s="6"/>
      <c r="X1419" s="7"/>
    </row>
    <row r="1420" spans="1:24" ht="38.25" x14ac:dyDescent="0.2">
      <c r="A1420" s="6"/>
      <c r="B1420" s="7"/>
      <c r="C1420" s="6"/>
      <c r="D1420" s="7"/>
      <c r="E1420" s="6"/>
      <c r="F1420" s="7"/>
      <c r="G1420" s="6"/>
      <c r="H1420" s="7"/>
      <c r="I1420" s="6"/>
      <c r="J1420" s="7"/>
      <c r="K1420" s="96" t="str">
        <f>HYPERLINK("#'Healthcare'!BBP1","Q6.7.10_4")</f>
        <v>Q6.7.10_4</v>
      </c>
      <c r="L1420" s="93" t="str">
        <f>HYPERLINK("#'Healthcare'!BBP2","Primary POS medical plan in-network services with separate deductibles: Emergency room (true emergency)")</f>
        <v>Primary POS medical plan in-network services with separate deductibles: Emergency room (true emergency)</v>
      </c>
      <c r="M1420" s="6"/>
      <c r="N1420" s="7"/>
      <c r="O1420" s="6"/>
      <c r="P1420" s="7"/>
      <c r="Q1420" s="6"/>
      <c r="R1420" s="7"/>
      <c r="S1420" s="6"/>
      <c r="T1420" s="7"/>
      <c r="U1420" s="6"/>
      <c r="V1420" s="7"/>
      <c r="W1420" s="6"/>
      <c r="X1420" s="7"/>
    </row>
    <row r="1421" spans="1:24" ht="38.25" x14ac:dyDescent="0.2">
      <c r="A1421" s="6"/>
      <c r="B1421" s="7"/>
      <c r="C1421" s="6"/>
      <c r="D1421" s="7"/>
      <c r="E1421" s="6"/>
      <c r="F1421" s="7"/>
      <c r="G1421" s="6"/>
      <c r="H1421" s="7"/>
      <c r="I1421" s="6"/>
      <c r="J1421" s="7"/>
      <c r="K1421" s="96" t="str">
        <f>HYPERLINK("#'Healthcare'!BBQ1","Q6.7.10_5")</f>
        <v>Q6.7.10_5</v>
      </c>
      <c r="L1421" s="93" t="str">
        <f>HYPERLINK("#'Healthcare'!BBQ2","Primary POS medical plan in-network services with separate deductibles: Emergency room (non-emergency)")</f>
        <v>Primary POS medical plan in-network services with separate deductibles: Emergency room (non-emergency)</v>
      </c>
      <c r="M1421" s="6"/>
      <c r="N1421" s="7"/>
      <c r="O1421" s="6"/>
      <c r="P1421" s="7"/>
      <c r="Q1421" s="6"/>
      <c r="R1421" s="7"/>
      <c r="S1421" s="6"/>
      <c r="T1421" s="7"/>
      <c r="U1421" s="6"/>
      <c r="V1421" s="7"/>
      <c r="W1421" s="6"/>
      <c r="X1421" s="7"/>
    </row>
    <row r="1422" spans="1:24" ht="38.25" x14ac:dyDescent="0.2">
      <c r="A1422" s="6"/>
      <c r="B1422" s="7"/>
      <c r="C1422" s="6"/>
      <c r="D1422" s="7"/>
      <c r="E1422" s="6"/>
      <c r="F1422" s="7"/>
      <c r="G1422" s="6"/>
      <c r="H1422" s="7"/>
      <c r="I1422" s="6"/>
      <c r="J1422" s="7"/>
      <c r="K1422" s="96" t="str">
        <f>HYPERLINK("#'Healthcare'!BBR1","Q6.7.10_6")</f>
        <v>Q6.7.10_6</v>
      </c>
      <c r="L1422" s="93" t="str">
        <f>HYPERLINK("#'Healthcare'!BBR2","Primary POS medical plan in-network services with separate deductibles: Emergency room (with hospital admittance)")</f>
        <v>Primary POS medical plan in-network services with separate deductibles: Emergency room (with hospital admittance)</v>
      </c>
      <c r="M1422" s="6"/>
      <c r="N1422" s="7"/>
      <c r="O1422" s="6"/>
      <c r="P1422" s="7"/>
      <c r="Q1422" s="6"/>
      <c r="R1422" s="7"/>
      <c r="S1422" s="6"/>
      <c r="T1422" s="7"/>
      <c r="U1422" s="6"/>
      <c r="V1422" s="7"/>
      <c r="W1422" s="6"/>
      <c r="X1422" s="7"/>
    </row>
    <row r="1423" spans="1:24" ht="25.5" x14ac:dyDescent="0.2">
      <c r="A1423" s="6"/>
      <c r="B1423" s="7"/>
      <c r="C1423" s="6"/>
      <c r="D1423" s="7"/>
      <c r="E1423" s="6"/>
      <c r="F1423" s="7"/>
      <c r="G1423" s="6"/>
      <c r="H1423" s="7"/>
      <c r="I1423" s="6"/>
      <c r="J1423" s="7"/>
      <c r="K1423" s="96" t="str">
        <f>HYPERLINK("#'Healthcare'!BBS1","Q6.7.10_7")</f>
        <v>Q6.7.10_7</v>
      </c>
      <c r="L1423" s="93" t="str">
        <f>HYPERLINK("#'Healthcare'!BBS2","Primary POS medical plan in-network services with separate deductibles: Inpatient hospital")</f>
        <v>Primary POS medical plan in-network services with separate deductibles: Inpatient hospital</v>
      </c>
      <c r="M1423" s="6"/>
      <c r="N1423" s="7"/>
      <c r="O1423" s="6"/>
      <c r="P1423" s="7"/>
      <c r="Q1423" s="6"/>
      <c r="R1423" s="7"/>
      <c r="S1423" s="6"/>
      <c r="T1423" s="7"/>
      <c r="U1423" s="6"/>
      <c r="V1423" s="7"/>
      <c r="W1423" s="6"/>
      <c r="X1423" s="7"/>
    </row>
    <row r="1424" spans="1:24" ht="38.25" x14ac:dyDescent="0.2">
      <c r="A1424" s="6"/>
      <c r="B1424" s="7"/>
      <c r="C1424" s="6"/>
      <c r="D1424" s="7"/>
      <c r="E1424" s="6"/>
      <c r="F1424" s="7"/>
      <c r="G1424" s="6"/>
      <c r="H1424" s="7"/>
      <c r="I1424" s="6"/>
      <c r="J1424" s="7"/>
      <c r="K1424" s="96" t="str">
        <f>HYPERLINK("#'Healthcare'!BBT1","Q6.7.10_8")</f>
        <v>Q6.7.10_8</v>
      </c>
      <c r="L1424" s="93" t="str">
        <f>HYPERLINK("#'Healthcare'!BBT2","Primary POS medical plan in-network services with separate deductibles: Mental health/substance abuse")</f>
        <v>Primary POS medical plan in-network services with separate deductibles: Mental health/substance abuse</v>
      </c>
      <c r="M1424" s="6"/>
      <c r="N1424" s="7"/>
      <c r="O1424" s="6"/>
      <c r="P1424" s="7"/>
      <c r="Q1424" s="6"/>
      <c r="R1424" s="7"/>
      <c r="S1424" s="6"/>
      <c r="T1424" s="7"/>
      <c r="U1424" s="6"/>
      <c r="V1424" s="7"/>
      <c r="W1424" s="6"/>
      <c r="X1424" s="7"/>
    </row>
    <row r="1425" spans="1:24" ht="38.25" x14ac:dyDescent="0.2">
      <c r="A1425" s="6"/>
      <c r="B1425" s="7"/>
      <c r="C1425" s="6"/>
      <c r="D1425" s="7"/>
      <c r="E1425" s="6"/>
      <c r="F1425" s="7"/>
      <c r="G1425" s="6"/>
      <c r="H1425" s="7"/>
      <c r="I1425" s="6"/>
      <c r="J1425" s="7"/>
      <c r="K1425" s="96" t="str">
        <f>HYPERLINK("#'Healthcare'!BBU1","Q6.7.10_9")</f>
        <v>Q6.7.10_9</v>
      </c>
      <c r="L1425" s="93" t="str">
        <f>HYPERLINK("#'Healthcare'!BBU2","Primary POS medical plan in-network services with separate deductibles: Outpatient surgical center")</f>
        <v>Primary POS medical plan in-network services with separate deductibles: Outpatient surgical center</v>
      </c>
      <c r="M1425" s="6"/>
      <c r="N1425" s="7"/>
      <c r="O1425" s="6"/>
      <c r="P1425" s="7"/>
      <c r="Q1425" s="6"/>
      <c r="R1425" s="7"/>
      <c r="S1425" s="6"/>
      <c r="T1425" s="7"/>
      <c r="U1425" s="6"/>
      <c r="V1425" s="7"/>
      <c r="W1425" s="6"/>
      <c r="X1425" s="7"/>
    </row>
    <row r="1426" spans="1:24" ht="38.25" x14ac:dyDescent="0.2">
      <c r="A1426" s="6"/>
      <c r="B1426" s="7"/>
      <c r="C1426" s="6"/>
      <c r="D1426" s="7"/>
      <c r="E1426" s="6"/>
      <c r="F1426" s="7"/>
      <c r="G1426" s="6"/>
      <c r="H1426" s="7"/>
      <c r="I1426" s="6"/>
      <c r="J1426" s="7"/>
      <c r="K1426" s="96" t="str">
        <f>HYPERLINK("#'Healthcare'!BBV1","Q6.7.10_10")</f>
        <v>Q6.7.10_10</v>
      </c>
      <c r="L1426" s="93" t="str">
        <f>HYPERLINK("#'Healthcare'!BBV2","Primary POS medical plan in-network services with separate deductibles: Prescription drugs (preventive)")</f>
        <v>Primary POS medical plan in-network services with separate deductibles: Prescription drugs (preventive)</v>
      </c>
      <c r="M1426" s="6"/>
      <c r="N1426" s="7"/>
      <c r="O1426" s="6"/>
      <c r="P1426" s="7"/>
      <c r="Q1426" s="6"/>
      <c r="R1426" s="7"/>
      <c r="S1426" s="6"/>
      <c r="T1426" s="7"/>
      <c r="U1426" s="6"/>
      <c r="V1426" s="7"/>
      <c r="W1426" s="6"/>
      <c r="X1426" s="7"/>
    </row>
    <row r="1427" spans="1:24" ht="38.25" x14ac:dyDescent="0.2">
      <c r="A1427" s="6"/>
      <c r="B1427" s="7"/>
      <c r="C1427" s="6"/>
      <c r="D1427" s="7"/>
      <c r="E1427" s="6"/>
      <c r="F1427" s="7"/>
      <c r="G1427" s="6"/>
      <c r="H1427" s="7"/>
      <c r="I1427" s="6"/>
      <c r="J1427" s="7"/>
      <c r="K1427" s="96" t="str">
        <f>HYPERLINK("#'Healthcare'!BBW1","Q6.7.10_11")</f>
        <v>Q6.7.10_11</v>
      </c>
      <c r="L1427" s="93" t="str">
        <f>HYPERLINK("#'Healthcare'!BBW2","Primary POS medical plan in-network services with separate deductibles: Prescription drugs (non-preventive)")</f>
        <v>Primary POS medical plan in-network services with separate deductibles: Prescription drugs (non-preventive)</v>
      </c>
      <c r="M1427" s="6"/>
      <c r="N1427" s="7"/>
      <c r="O1427" s="6"/>
      <c r="P1427" s="7"/>
      <c r="Q1427" s="6"/>
      <c r="R1427" s="7"/>
      <c r="S1427" s="6"/>
      <c r="T1427" s="7"/>
      <c r="U1427" s="6"/>
      <c r="V1427" s="7"/>
      <c r="W1427" s="6"/>
      <c r="X1427" s="7"/>
    </row>
    <row r="1428" spans="1:24" ht="38.25" x14ac:dyDescent="0.2">
      <c r="A1428" s="6"/>
      <c r="B1428" s="7"/>
      <c r="C1428" s="6"/>
      <c r="D1428" s="7"/>
      <c r="E1428" s="6"/>
      <c r="F1428" s="7"/>
      <c r="G1428" s="6"/>
      <c r="H1428" s="7"/>
      <c r="I1428" s="6"/>
      <c r="J1428" s="7"/>
      <c r="K1428" s="96" t="str">
        <f>HYPERLINK("#'Healthcare'!BBX1","Q6.7.10_12")</f>
        <v>Q6.7.10_12</v>
      </c>
      <c r="L1428" s="93" t="str">
        <f>HYPERLINK("#'Healthcare'!BBX2","Primary POS medical plan in-network services with separate deductibles: Therapies (e.g., speech, PT, OT)")</f>
        <v>Primary POS medical plan in-network services with separate deductibles: Therapies (e.g., speech, PT, OT)</v>
      </c>
      <c r="M1428" s="6"/>
      <c r="N1428" s="7"/>
      <c r="O1428" s="6"/>
      <c r="P1428" s="7"/>
      <c r="Q1428" s="6"/>
      <c r="R1428" s="7"/>
      <c r="S1428" s="6"/>
      <c r="T1428" s="7"/>
      <c r="U1428" s="6"/>
      <c r="V1428" s="7"/>
      <c r="W1428" s="6"/>
      <c r="X1428" s="7"/>
    </row>
    <row r="1429" spans="1:24" ht="25.5" x14ac:dyDescent="0.2">
      <c r="A1429" s="6"/>
      <c r="B1429" s="7"/>
      <c r="C1429" s="6"/>
      <c r="D1429" s="7"/>
      <c r="E1429" s="6"/>
      <c r="F1429" s="7"/>
      <c r="G1429" s="6"/>
      <c r="H1429" s="7"/>
      <c r="I1429" s="6"/>
      <c r="J1429" s="7"/>
      <c r="K1429" s="96" t="str">
        <f>HYPERLINK("#'Healthcare'!BBY1","Q6.7.10_13")</f>
        <v>Q6.7.10_13</v>
      </c>
      <c r="L1429" s="93" t="str">
        <f>HYPERLINK("#'Healthcare'!BBY2","Primary POS medical plan in-network services with separate deductibles: Other")</f>
        <v>Primary POS medical plan in-network services with separate deductibles: Other</v>
      </c>
      <c r="M1429" s="6"/>
      <c r="N1429" s="7"/>
      <c r="O1429" s="6"/>
      <c r="P1429" s="7"/>
      <c r="Q1429" s="6"/>
      <c r="R1429" s="7"/>
      <c r="S1429" s="6"/>
      <c r="T1429" s="7"/>
      <c r="U1429" s="6"/>
      <c r="V1429" s="7"/>
      <c r="W1429" s="6"/>
      <c r="X1429" s="7"/>
    </row>
    <row r="1430" spans="1:24" ht="38.25" x14ac:dyDescent="0.2">
      <c r="A1430" s="6"/>
      <c r="B1430" s="7"/>
      <c r="C1430" s="6"/>
      <c r="D1430" s="7"/>
      <c r="E1430" s="6"/>
      <c r="F1430" s="7"/>
      <c r="G1430" s="6"/>
      <c r="H1430" s="7"/>
      <c r="I1430" s="6"/>
      <c r="J1430" s="7"/>
      <c r="K1430" s="96" t="str">
        <f>HYPERLINK("#'Healthcare'!BBZ1","Q6.7.11_1")</f>
        <v>Q6.7.11_1</v>
      </c>
      <c r="L1430" s="93" t="str">
        <f>HYPERLINK("#'Healthcare'!BBZ2","Primary POS medical plan out-of-network services with separate deductibles: Not applicable - no separate deductibles")</f>
        <v>Primary POS medical plan out-of-network services with separate deductibles: Not applicable - no separate deductibles</v>
      </c>
      <c r="M1430" s="6"/>
      <c r="N1430" s="7"/>
      <c r="O1430" s="6"/>
      <c r="P1430" s="7"/>
      <c r="Q1430" s="6"/>
      <c r="R1430" s="7"/>
      <c r="S1430" s="6"/>
      <c r="T1430" s="7"/>
      <c r="U1430" s="6"/>
      <c r="V1430" s="7"/>
      <c r="W1430" s="6"/>
      <c r="X1430" s="7"/>
    </row>
    <row r="1431" spans="1:24" ht="38.25" x14ac:dyDescent="0.2">
      <c r="A1431" s="6"/>
      <c r="B1431" s="7"/>
      <c r="C1431" s="6"/>
      <c r="D1431" s="7"/>
      <c r="E1431" s="6"/>
      <c r="F1431" s="7"/>
      <c r="G1431" s="6"/>
      <c r="H1431" s="7"/>
      <c r="I1431" s="6"/>
      <c r="J1431" s="7"/>
      <c r="K1431" s="96" t="str">
        <f>HYPERLINK("#'Healthcare'!BCA1","Q6.7.11_2")</f>
        <v>Q6.7.11_2</v>
      </c>
      <c r="L1431" s="93" t="str">
        <f>HYPERLINK("#'Healthcare'!BCA2","Primary POS medical plan out-of-network services with separate deductibles: Acupuncture")</f>
        <v>Primary POS medical plan out-of-network services with separate deductibles: Acupuncture</v>
      </c>
      <c r="M1431" s="6"/>
      <c r="N1431" s="7"/>
      <c r="O1431" s="6"/>
      <c r="P1431" s="7"/>
      <c r="Q1431" s="6"/>
      <c r="R1431" s="7"/>
      <c r="S1431" s="6"/>
      <c r="T1431" s="7"/>
      <c r="U1431" s="6"/>
      <c r="V1431" s="7"/>
      <c r="W1431" s="6"/>
      <c r="X1431" s="7"/>
    </row>
    <row r="1432" spans="1:24" ht="38.25" x14ac:dyDescent="0.2">
      <c r="A1432" s="6"/>
      <c r="B1432" s="7"/>
      <c r="C1432" s="6"/>
      <c r="D1432" s="7"/>
      <c r="E1432" s="6"/>
      <c r="F1432" s="7"/>
      <c r="G1432" s="6"/>
      <c r="H1432" s="7"/>
      <c r="I1432" s="6"/>
      <c r="J1432" s="7"/>
      <c r="K1432" s="96" t="str">
        <f>HYPERLINK("#'Healthcare'!BCB1","Q6.7.11_3")</f>
        <v>Q6.7.11_3</v>
      </c>
      <c r="L1432" s="93" t="str">
        <f>HYPERLINK("#'Healthcare'!BCB2","Primary POS medical plan out-of-network services with separate deductibles: Chiropractic")</f>
        <v>Primary POS medical plan out-of-network services with separate deductibles: Chiropractic</v>
      </c>
      <c r="M1432" s="6"/>
      <c r="N1432" s="7"/>
      <c r="O1432" s="6"/>
      <c r="P1432" s="7"/>
      <c r="Q1432" s="6"/>
      <c r="R1432" s="7"/>
      <c r="S1432" s="6"/>
      <c r="T1432" s="7"/>
      <c r="U1432" s="6"/>
      <c r="V1432" s="7"/>
      <c r="W1432" s="6"/>
      <c r="X1432" s="7"/>
    </row>
    <row r="1433" spans="1:24" ht="38.25" x14ac:dyDescent="0.2">
      <c r="A1433" s="6"/>
      <c r="B1433" s="7"/>
      <c r="C1433" s="6"/>
      <c r="D1433" s="7"/>
      <c r="E1433" s="6"/>
      <c r="F1433" s="7"/>
      <c r="G1433" s="6"/>
      <c r="H1433" s="7"/>
      <c r="I1433" s="6"/>
      <c r="J1433" s="7"/>
      <c r="K1433" s="96" t="str">
        <f>HYPERLINK("#'Healthcare'!BCC1","Q6.7.11_4")</f>
        <v>Q6.7.11_4</v>
      </c>
      <c r="L1433" s="93" t="str">
        <f>HYPERLINK("#'Healthcare'!BCC2","Primary POS medical plan out-of-network services with separate deductibles: Emergency room (true emergency)")</f>
        <v>Primary POS medical plan out-of-network services with separate deductibles: Emergency room (true emergency)</v>
      </c>
      <c r="M1433" s="6"/>
      <c r="N1433" s="7"/>
      <c r="O1433" s="6"/>
      <c r="P1433" s="7"/>
      <c r="Q1433" s="6"/>
      <c r="R1433" s="7"/>
      <c r="S1433" s="6"/>
      <c r="T1433" s="7"/>
      <c r="U1433" s="6"/>
      <c r="V1433" s="7"/>
      <c r="W1433" s="6"/>
      <c r="X1433" s="7"/>
    </row>
    <row r="1434" spans="1:24" ht="38.25" x14ac:dyDescent="0.2">
      <c r="A1434" s="6"/>
      <c r="B1434" s="7"/>
      <c r="C1434" s="6"/>
      <c r="D1434" s="7"/>
      <c r="E1434" s="6"/>
      <c r="F1434" s="7"/>
      <c r="G1434" s="6"/>
      <c r="H1434" s="7"/>
      <c r="I1434" s="6"/>
      <c r="J1434" s="7"/>
      <c r="K1434" s="96" t="str">
        <f>HYPERLINK("#'Healthcare'!BCD1","Q6.7.11_5")</f>
        <v>Q6.7.11_5</v>
      </c>
      <c r="L1434" s="93" t="str">
        <f>HYPERLINK("#'Healthcare'!BCD2","Primary POS medical plan out-of-network services with separate deductibles: Emergency room (non-emergency)")</f>
        <v>Primary POS medical plan out-of-network services with separate deductibles: Emergency room (non-emergency)</v>
      </c>
      <c r="M1434" s="6"/>
      <c r="N1434" s="7"/>
      <c r="O1434" s="6"/>
      <c r="P1434" s="7"/>
      <c r="Q1434" s="6"/>
      <c r="R1434" s="7"/>
      <c r="S1434" s="6"/>
      <c r="T1434" s="7"/>
      <c r="U1434" s="6"/>
      <c r="V1434" s="7"/>
      <c r="W1434" s="6"/>
      <c r="X1434" s="7"/>
    </row>
    <row r="1435" spans="1:24" ht="38.25" x14ac:dyDescent="0.2">
      <c r="A1435" s="6"/>
      <c r="B1435" s="7"/>
      <c r="C1435" s="6"/>
      <c r="D1435" s="7"/>
      <c r="E1435" s="6"/>
      <c r="F1435" s="7"/>
      <c r="G1435" s="6"/>
      <c r="H1435" s="7"/>
      <c r="I1435" s="6"/>
      <c r="J1435" s="7"/>
      <c r="K1435" s="96" t="str">
        <f>HYPERLINK("#'Healthcare'!BCE1","Q6.7.11_6")</f>
        <v>Q6.7.11_6</v>
      </c>
      <c r="L1435" s="93" t="str">
        <f>HYPERLINK("#'Healthcare'!BCE2","Primary POS medical plan out-of-network services with separate deductibles: Emergency room (with hospital admittance)")</f>
        <v>Primary POS medical plan out-of-network services with separate deductibles: Emergency room (with hospital admittance)</v>
      </c>
      <c r="M1435" s="6"/>
      <c r="N1435" s="7"/>
      <c r="O1435" s="6"/>
      <c r="P1435" s="7"/>
      <c r="Q1435" s="6"/>
      <c r="R1435" s="7"/>
      <c r="S1435" s="6"/>
      <c r="T1435" s="7"/>
      <c r="U1435" s="6"/>
      <c r="V1435" s="7"/>
      <c r="W1435" s="6"/>
      <c r="X1435" s="7"/>
    </row>
    <row r="1436" spans="1:24" ht="38.25" x14ac:dyDescent="0.2">
      <c r="A1436" s="6"/>
      <c r="B1436" s="7"/>
      <c r="C1436" s="6"/>
      <c r="D1436" s="7"/>
      <c r="E1436" s="6"/>
      <c r="F1436" s="7"/>
      <c r="G1436" s="6"/>
      <c r="H1436" s="7"/>
      <c r="I1436" s="6"/>
      <c r="J1436" s="7"/>
      <c r="K1436" s="96" t="str">
        <f>HYPERLINK("#'Healthcare'!BCF1","Q6.7.11_7")</f>
        <v>Q6.7.11_7</v>
      </c>
      <c r="L1436" s="93" t="str">
        <f>HYPERLINK("#'Healthcare'!BCF2","Primary POS medical plan out-of-network services with separate deductibles: Inpatient hospital")</f>
        <v>Primary POS medical plan out-of-network services with separate deductibles: Inpatient hospital</v>
      </c>
      <c r="M1436" s="6"/>
      <c r="N1436" s="7"/>
      <c r="O1436" s="6"/>
      <c r="P1436" s="7"/>
      <c r="Q1436" s="6"/>
      <c r="R1436" s="7"/>
      <c r="S1436" s="6"/>
      <c r="T1436" s="7"/>
      <c r="U1436" s="6"/>
      <c r="V1436" s="7"/>
      <c r="W1436" s="6"/>
      <c r="X1436" s="7"/>
    </row>
    <row r="1437" spans="1:24" ht="38.25" x14ac:dyDescent="0.2">
      <c r="A1437" s="6"/>
      <c r="B1437" s="7"/>
      <c r="C1437" s="6"/>
      <c r="D1437" s="7"/>
      <c r="E1437" s="6"/>
      <c r="F1437" s="7"/>
      <c r="G1437" s="6"/>
      <c r="H1437" s="7"/>
      <c r="I1437" s="6"/>
      <c r="J1437" s="7"/>
      <c r="K1437" s="96" t="str">
        <f>HYPERLINK("#'Healthcare'!BCG1","Q6.7.11_8")</f>
        <v>Q6.7.11_8</v>
      </c>
      <c r="L1437" s="93" t="str">
        <f>HYPERLINK("#'Healthcare'!BCG2","Primary POS medical plan out-of-network services with separate deductibles: Mental health/substance abuse")</f>
        <v>Primary POS medical plan out-of-network services with separate deductibles: Mental health/substance abuse</v>
      </c>
      <c r="M1437" s="6"/>
      <c r="N1437" s="7"/>
      <c r="O1437" s="6"/>
      <c r="P1437" s="7"/>
      <c r="Q1437" s="6"/>
      <c r="R1437" s="7"/>
      <c r="S1437" s="6"/>
      <c r="T1437" s="7"/>
      <c r="U1437" s="6"/>
      <c r="V1437" s="7"/>
      <c r="W1437" s="6"/>
      <c r="X1437" s="7"/>
    </row>
    <row r="1438" spans="1:24" ht="38.25" x14ac:dyDescent="0.2">
      <c r="A1438" s="6"/>
      <c r="B1438" s="7"/>
      <c r="C1438" s="6"/>
      <c r="D1438" s="7"/>
      <c r="E1438" s="6"/>
      <c r="F1438" s="7"/>
      <c r="G1438" s="6"/>
      <c r="H1438" s="7"/>
      <c r="I1438" s="6"/>
      <c r="J1438" s="7"/>
      <c r="K1438" s="96" t="str">
        <f>HYPERLINK("#'Healthcare'!BCH1","Q6.7.11_9")</f>
        <v>Q6.7.11_9</v>
      </c>
      <c r="L1438" s="93" t="str">
        <f>HYPERLINK("#'Healthcare'!BCH2","Primary POS medical plan out-of-network services with separate deductibles: Outpatient surgical center")</f>
        <v>Primary POS medical plan out-of-network services with separate deductibles: Outpatient surgical center</v>
      </c>
      <c r="M1438" s="6"/>
      <c r="N1438" s="7"/>
      <c r="O1438" s="6"/>
      <c r="P1438" s="7"/>
      <c r="Q1438" s="6"/>
      <c r="R1438" s="7"/>
      <c r="S1438" s="6"/>
      <c r="T1438" s="7"/>
      <c r="U1438" s="6"/>
      <c r="V1438" s="7"/>
      <c r="W1438" s="6"/>
      <c r="X1438" s="7"/>
    </row>
    <row r="1439" spans="1:24" ht="38.25" x14ac:dyDescent="0.2">
      <c r="A1439" s="6"/>
      <c r="B1439" s="7"/>
      <c r="C1439" s="6"/>
      <c r="D1439" s="7"/>
      <c r="E1439" s="6"/>
      <c r="F1439" s="7"/>
      <c r="G1439" s="6"/>
      <c r="H1439" s="7"/>
      <c r="I1439" s="6"/>
      <c r="J1439" s="7"/>
      <c r="K1439" s="96" t="str">
        <f>HYPERLINK("#'Healthcare'!BCI1","Q6.7.11_10")</f>
        <v>Q6.7.11_10</v>
      </c>
      <c r="L1439" s="93" t="str">
        <f>HYPERLINK("#'Healthcare'!BCI2","Primary POS medical plan out-of-network services with separate deductibles: Prescription drugs (preventive)")</f>
        <v>Primary POS medical plan out-of-network services with separate deductibles: Prescription drugs (preventive)</v>
      </c>
      <c r="M1439" s="6"/>
      <c r="N1439" s="7"/>
      <c r="O1439" s="6"/>
      <c r="P1439" s="7"/>
      <c r="Q1439" s="6"/>
      <c r="R1439" s="7"/>
      <c r="S1439" s="6"/>
      <c r="T1439" s="7"/>
      <c r="U1439" s="6"/>
      <c r="V1439" s="7"/>
      <c r="W1439" s="6"/>
      <c r="X1439" s="7"/>
    </row>
    <row r="1440" spans="1:24" ht="38.25" x14ac:dyDescent="0.2">
      <c r="A1440" s="6"/>
      <c r="B1440" s="7"/>
      <c r="C1440" s="6"/>
      <c r="D1440" s="7"/>
      <c r="E1440" s="6"/>
      <c r="F1440" s="7"/>
      <c r="G1440" s="6"/>
      <c r="H1440" s="7"/>
      <c r="I1440" s="6"/>
      <c r="J1440" s="7"/>
      <c r="K1440" s="96" t="str">
        <f>HYPERLINK("#'Healthcare'!BCJ1","Q6.7.11_11")</f>
        <v>Q6.7.11_11</v>
      </c>
      <c r="L1440" s="93" t="str">
        <f>HYPERLINK("#'Healthcare'!BCJ2","Primary POS medical plan out-of-network services with separate deductibles: Prescription drugs (non-preventive)")</f>
        <v>Primary POS medical plan out-of-network services with separate deductibles: Prescription drugs (non-preventive)</v>
      </c>
      <c r="M1440" s="6"/>
      <c r="N1440" s="7"/>
      <c r="O1440" s="6"/>
      <c r="P1440" s="7"/>
      <c r="Q1440" s="6"/>
      <c r="R1440" s="7"/>
      <c r="S1440" s="6"/>
      <c r="T1440" s="7"/>
      <c r="U1440" s="6"/>
      <c r="V1440" s="7"/>
      <c r="W1440" s="6"/>
      <c r="X1440" s="7"/>
    </row>
    <row r="1441" spans="1:24" ht="38.25" x14ac:dyDescent="0.2">
      <c r="A1441" s="6"/>
      <c r="B1441" s="7"/>
      <c r="C1441" s="6"/>
      <c r="D1441" s="7"/>
      <c r="E1441" s="6"/>
      <c r="F1441" s="7"/>
      <c r="G1441" s="6"/>
      <c r="H1441" s="7"/>
      <c r="I1441" s="6"/>
      <c r="J1441" s="7"/>
      <c r="K1441" s="96" t="str">
        <f>HYPERLINK("#'Healthcare'!BCK1","Q6.7.11_12")</f>
        <v>Q6.7.11_12</v>
      </c>
      <c r="L1441" s="93" t="str">
        <f>HYPERLINK("#'Healthcare'!BCK2","Primary POS medical plan out-of-network services with separate deductibles: Therapies (e.g., speech, PT, OT)")</f>
        <v>Primary POS medical plan out-of-network services with separate deductibles: Therapies (e.g., speech, PT, OT)</v>
      </c>
      <c r="M1441" s="6"/>
      <c r="N1441" s="7"/>
      <c r="O1441" s="6"/>
      <c r="P1441" s="7"/>
      <c r="Q1441" s="6"/>
      <c r="R1441" s="7"/>
      <c r="S1441" s="6"/>
      <c r="T1441" s="7"/>
      <c r="U1441" s="6"/>
      <c r="V1441" s="7"/>
      <c r="W1441" s="6"/>
      <c r="X1441" s="7"/>
    </row>
    <row r="1442" spans="1:24" ht="25.5" x14ac:dyDescent="0.2">
      <c r="A1442" s="6"/>
      <c r="B1442" s="7"/>
      <c r="C1442" s="6"/>
      <c r="D1442" s="7"/>
      <c r="E1442" s="6"/>
      <c r="F1442" s="7"/>
      <c r="G1442" s="6"/>
      <c r="H1442" s="7"/>
      <c r="I1442" s="6"/>
      <c r="J1442" s="7"/>
      <c r="K1442" s="96" t="str">
        <f>HYPERLINK("#'Healthcare'!BCL1","Q6.7.11_13")</f>
        <v>Q6.7.11_13</v>
      </c>
      <c r="L1442" s="93" t="str">
        <f>HYPERLINK("#'Healthcare'!BCL2","Primary POS medical plan out-of-network services with separate deductibles: Other")</f>
        <v>Primary POS medical plan out-of-network services with separate deductibles: Other</v>
      </c>
      <c r="M1442" s="6"/>
      <c r="N1442" s="7"/>
      <c r="O1442" s="6"/>
      <c r="P1442" s="7"/>
      <c r="Q1442" s="6"/>
      <c r="R1442" s="7"/>
      <c r="S1442" s="6"/>
      <c r="T1442" s="7"/>
      <c r="U1442" s="6"/>
      <c r="V1442" s="7"/>
      <c r="W1442" s="6"/>
      <c r="X1442" s="7"/>
    </row>
    <row r="1443" spans="1:24" ht="38.25" x14ac:dyDescent="0.2">
      <c r="A1443" s="6"/>
      <c r="B1443" s="7"/>
      <c r="C1443" s="6"/>
      <c r="D1443" s="7"/>
      <c r="E1443" s="6"/>
      <c r="F1443" s="7"/>
      <c r="G1443" s="6"/>
      <c r="H1443" s="7"/>
      <c r="I1443" s="6"/>
      <c r="J1443" s="7"/>
      <c r="K1443" s="96" t="str">
        <f>HYPERLINK("#'Healthcare'!BCM1","Q6.7.12_1")</f>
        <v>Q6.7.12_1</v>
      </c>
      <c r="L1443" s="93" t="str">
        <f>HYPERLINK("#'Healthcare'!BCM2","Primary POS medical plan in-network deductible per person: Not applicable - no separate deductibles")</f>
        <v>Primary POS medical plan in-network deductible per person: Not applicable - no separate deductibles</v>
      </c>
      <c r="M1443" s="6"/>
      <c r="N1443" s="7"/>
      <c r="O1443" s="6"/>
      <c r="P1443" s="7"/>
      <c r="Q1443" s="6"/>
      <c r="R1443" s="7"/>
      <c r="S1443" s="6"/>
      <c r="T1443" s="7"/>
      <c r="U1443" s="6"/>
      <c r="V1443" s="7"/>
      <c r="W1443" s="6"/>
      <c r="X1443" s="7"/>
    </row>
    <row r="1444" spans="1:24" ht="25.5" x14ac:dyDescent="0.2">
      <c r="A1444" s="6"/>
      <c r="B1444" s="7"/>
      <c r="C1444" s="6"/>
      <c r="D1444" s="7"/>
      <c r="E1444" s="6"/>
      <c r="F1444" s="7"/>
      <c r="G1444" s="6"/>
      <c r="H1444" s="7"/>
      <c r="I1444" s="6"/>
      <c r="J1444" s="7"/>
      <c r="K1444" s="96" t="str">
        <f>HYPERLINK("#'Healthcare'!BCN1","Q6.7.12_5")</f>
        <v>Q6.7.12_5</v>
      </c>
      <c r="L1444" s="93" t="str">
        <f>HYPERLINK("#'Healthcare'!BCN2","Primary POS medical plan in-network deductible per person: Acupuncture")</f>
        <v>Primary POS medical plan in-network deductible per person: Acupuncture</v>
      </c>
      <c r="M1444" s="6"/>
      <c r="N1444" s="7"/>
      <c r="O1444" s="6"/>
      <c r="P1444" s="7"/>
      <c r="Q1444" s="6"/>
      <c r="R1444" s="7"/>
      <c r="S1444" s="6"/>
      <c r="T1444" s="7"/>
      <c r="U1444" s="6"/>
      <c r="V1444" s="7"/>
      <c r="W1444" s="6"/>
      <c r="X1444" s="7"/>
    </row>
    <row r="1445" spans="1:24" ht="25.5" x14ac:dyDescent="0.2">
      <c r="A1445" s="6"/>
      <c r="B1445" s="7"/>
      <c r="C1445" s="6"/>
      <c r="D1445" s="7"/>
      <c r="E1445" s="6"/>
      <c r="F1445" s="7"/>
      <c r="G1445" s="6"/>
      <c r="H1445" s="7"/>
      <c r="I1445" s="6"/>
      <c r="J1445" s="7"/>
      <c r="K1445" s="96" t="str">
        <f>HYPERLINK("#'Healthcare'!BCO1","Q6.7.12_6")</f>
        <v>Q6.7.12_6</v>
      </c>
      <c r="L1445" s="93" t="str">
        <f>HYPERLINK("#'Healthcare'!BCO2","Primary POS medical plan in-network deductible per person: Chiropractic")</f>
        <v>Primary POS medical plan in-network deductible per person: Chiropractic</v>
      </c>
      <c r="M1445" s="6"/>
      <c r="N1445" s="7"/>
      <c r="O1445" s="6"/>
      <c r="P1445" s="7"/>
      <c r="Q1445" s="6"/>
      <c r="R1445" s="7"/>
      <c r="S1445" s="6"/>
      <c r="T1445" s="7"/>
      <c r="U1445" s="6"/>
      <c r="V1445" s="7"/>
      <c r="W1445" s="6"/>
      <c r="X1445" s="7"/>
    </row>
    <row r="1446" spans="1:24" ht="38.25" x14ac:dyDescent="0.2">
      <c r="A1446" s="6"/>
      <c r="B1446" s="7"/>
      <c r="C1446" s="6"/>
      <c r="D1446" s="7"/>
      <c r="E1446" s="6"/>
      <c r="F1446" s="7"/>
      <c r="G1446" s="6"/>
      <c r="H1446" s="7"/>
      <c r="I1446" s="6"/>
      <c r="J1446" s="7"/>
      <c r="K1446" s="96" t="str">
        <f>HYPERLINK("#'Healthcare'!BCP1","Q6.7.12_7")</f>
        <v>Q6.7.12_7</v>
      </c>
      <c r="L1446" s="93" t="str">
        <f>HYPERLINK("#'Healthcare'!BCP2","Primary POS medical plan in-network deductible per person: Emergency room (true emergency)")</f>
        <v>Primary POS medical plan in-network deductible per person: Emergency room (true emergency)</v>
      </c>
      <c r="M1446" s="6"/>
      <c r="N1446" s="7"/>
      <c r="O1446" s="6"/>
      <c r="P1446" s="7"/>
      <c r="Q1446" s="6"/>
      <c r="R1446" s="7"/>
      <c r="S1446" s="6"/>
      <c r="T1446" s="7"/>
      <c r="U1446" s="6"/>
      <c r="V1446" s="7"/>
      <c r="W1446" s="6"/>
      <c r="X1446" s="7"/>
    </row>
    <row r="1447" spans="1:24" ht="38.25" x14ac:dyDescent="0.2">
      <c r="A1447" s="6"/>
      <c r="B1447" s="7"/>
      <c r="C1447" s="6"/>
      <c r="D1447" s="7"/>
      <c r="E1447" s="6"/>
      <c r="F1447" s="7"/>
      <c r="G1447" s="6"/>
      <c r="H1447" s="7"/>
      <c r="I1447" s="6"/>
      <c r="J1447" s="7"/>
      <c r="K1447" s="96" t="str">
        <f>HYPERLINK("#'Healthcare'!BCQ1","Q6.7.12_8")</f>
        <v>Q6.7.12_8</v>
      </c>
      <c r="L1447" s="93" t="str">
        <f>HYPERLINK("#'Healthcare'!BCQ2","Primary POS medical plan in-network deductible per person: Emergency room (non-emergency)")</f>
        <v>Primary POS medical plan in-network deductible per person: Emergency room (non-emergency)</v>
      </c>
      <c r="M1447" s="6"/>
      <c r="N1447" s="7"/>
      <c r="O1447" s="6"/>
      <c r="P1447" s="7"/>
      <c r="Q1447" s="6"/>
      <c r="R1447" s="7"/>
      <c r="S1447" s="6"/>
      <c r="T1447" s="7"/>
      <c r="U1447" s="6"/>
      <c r="V1447" s="7"/>
      <c r="W1447" s="6"/>
      <c r="X1447" s="7"/>
    </row>
    <row r="1448" spans="1:24" ht="38.25" x14ac:dyDescent="0.2">
      <c r="A1448" s="6"/>
      <c r="B1448" s="7"/>
      <c r="C1448" s="6"/>
      <c r="D1448" s="7"/>
      <c r="E1448" s="6"/>
      <c r="F1448" s="7"/>
      <c r="G1448" s="6"/>
      <c r="H1448" s="7"/>
      <c r="I1448" s="6"/>
      <c r="J1448" s="7"/>
      <c r="K1448" s="96" t="str">
        <f>HYPERLINK("#'Healthcare'!BCR1","Q6.7.12_9")</f>
        <v>Q6.7.12_9</v>
      </c>
      <c r="L1448" s="93" t="str">
        <f>HYPERLINK("#'Healthcare'!BCR2","Primary POS medical plan in-network deductible per person: Emergency room (with hospital admittance)")</f>
        <v>Primary POS medical plan in-network deductible per person: Emergency room (with hospital admittance)</v>
      </c>
      <c r="M1448" s="6"/>
      <c r="N1448" s="7"/>
      <c r="O1448" s="6"/>
      <c r="P1448" s="7"/>
      <c r="Q1448" s="6"/>
      <c r="R1448" s="7"/>
      <c r="S1448" s="6"/>
      <c r="T1448" s="7"/>
      <c r="U1448" s="6"/>
      <c r="V1448" s="7"/>
      <c r="W1448" s="6"/>
      <c r="X1448" s="7"/>
    </row>
    <row r="1449" spans="1:24" ht="25.5" x14ac:dyDescent="0.2">
      <c r="A1449" s="6"/>
      <c r="B1449" s="7"/>
      <c r="C1449" s="6"/>
      <c r="D1449" s="7"/>
      <c r="E1449" s="6"/>
      <c r="F1449" s="7"/>
      <c r="G1449" s="6"/>
      <c r="H1449" s="7"/>
      <c r="I1449" s="6"/>
      <c r="J1449" s="7"/>
      <c r="K1449" s="96" t="str">
        <f>HYPERLINK("#'Healthcare'!BCS1","Q6.7.12_10")</f>
        <v>Q6.7.12_10</v>
      </c>
      <c r="L1449" s="93" t="str">
        <f>HYPERLINK("#'Healthcare'!BCS2","Primary POS medical plan in-network deductible per person: In-patient hospital")</f>
        <v>Primary POS medical plan in-network deductible per person: In-patient hospital</v>
      </c>
      <c r="M1449" s="6"/>
      <c r="N1449" s="7"/>
      <c r="O1449" s="6"/>
      <c r="P1449" s="7"/>
      <c r="Q1449" s="6"/>
      <c r="R1449" s="7"/>
      <c r="S1449" s="6"/>
      <c r="T1449" s="7"/>
      <c r="U1449" s="6"/>
      <c r="V1449" s="7"/>
      <c r="W1449" s="6"/>
      <c r="X1449" s="7"/>
    </row>
    <row r="1450" spans="1:24" ht="38.25" x14ac:dyDescent="0.2">
      <c r="A1450" s="6"/>
      <c r="B1450" s="7"/>
      <c r="C1450" s="6"/>
      <c r="D1450" s="7"/>
      <c r="E1450" s="6"/>
      <c r="F1450" s="7"/>
      <c r="G1450" s="6"/>
      <c r="H1450" s="7"/>
      <c r="I1450" s="6"/>
      <c r="J1450" s="7"/>
      <c r="K1450" s="96" t="str">
        <f>HYPERLINK("#'Healthcare'!BCT1","Q6.7.12_11")</f>
        <v>Q6.7.12_11</v>
      </c>
      <c r="L1450" s="93" t="str">
        <f>HYPERLINK("#'Healthcare'!BCT2","Primary POS medical plan in-network deductible per person: Mental health/substance abuse")</f>
        <v>Primary POS medical plan in-network deductible per person: Mental health/substance abuse</v>
      </c>
      <c r="M1450" s="6"/>
      <c r="N1450" s="7"/>
      <c r="O1450" s="6"/>
      <c r="P1450" s="7"/>
      <c r="Q1450" s="6"/>
      <c r="R1450" s="7"/>
      <c r="S1450" s="6"/>
      <c r="T1450" s="7"/>
      <c r="U1450" s="6"/>
      <c r="V1450" s="7"/>
      <c r="W1450" s="6"/>
      <c r="X1450" s="7"/>
    </row>
    <row r="1451" spans="1:24" ht="38.25" x14ac:dyDescent="0.2">
      <c r="A1451" s="6"/>
      <c r="B1451" s="7"/>
      <c r="C1451" s="6"/>
      <c r="D1451" s="7"/>
      <c r="E1451" s="6"/>
      <c r="F1451" s="7"/>
      <c r="G1451" s="6"/>
      <c r="H1451" s="7"/>
      <c r="I1451" s="6"/>
      <c r="J1451" s="7"/>
      <c r="K1451" s="96" t="str">
        <f>HYPERLINK("#'Healthcare'!BCU1","Q6.7.12_12")</f>
        <v>Q6.7.12_12</v>
      </c>
      <c r="L1451" s="93" t="str">
        <f>HYPERLINK("#'Healthcare'!BCU2","Primary POS medical plan in-network deductible per person: Out-patient surgical center")</f>
        <v>Primary POS medical plan in-network deductible per person: Out-patient surgical center</v>
      </c>
      <c r="M1451" s="6"/>
      <c r="N1451" s="7"/>
      <c r="O1451" s="6"/>
      <c r="P1451" s="7"/>
      <c r="Q1451" s="6"/>
      <c r="R1451" s="7"/>
      <c r="S1451" s="6"/>
      <c r="T1451" s="7"/>
      <c r="U1451" s="6"/>
      <c r="V1451" s="7"/>
      <c r="W1451" s="6"/>
      <c r="X1451" s="7"/>
    </row>
    <row r="1452" spans="1:24" ht="38.25" x14ac:dyDescent="0.2">
      <c r="A1452" s="6"/>
      <c r="B1452" s="7"/>
      <c r="C1452" s="6"/>
      <c r="D1452" s="7"/>
      <c r="E1452" s="6"/>
      <c r="F1452" s="7"/>
      <c r="G1452" s="6"/>
      <c r="H1452" s="7"/>
      <c r="I1452" s="6"/>
      <c r="J1452" s="7"/>
      <c r="K1452" s="96" t="str">
        <f>HYPERLINK("#'Healthcare'!BCV1","Q6.7.12_13")</f>
        <v>Q6.7.12_13</v>
      </c>
      <c r="L1452" s="93" t="str">
        <f>HYPERLINK("#'Healthcare'!BCV2","Primary POS medical plan in-network deductible per person: Prescription drugs (preventive)")</f>
        <v>Primary POS medical plan in-network deductible per person: Prescription drugs (preventive)</v>
      </c>
      <c r="M1452" s="6"/>
      <c r="N1452" s="7"/>
      <c r="O1452" s="6"/>
      <c r="P1452" s="7"/>
      <c r="Q1452" s="6"/>
      <c r="R1452" s="7"/>
      <c r="S1452" s="6"/>
      <c r="T1452" s="7"/>
      <c r="U1452" s="6"/>
      <c r="V1452" s="7"/>
      <c r="W1452" s="6"/>
      <c r="X1452" s="7"/>
    </row>
    <row r="1453" spans="1:24" ht="38.25" x14ac:dyDescent="0.2">
      <c r="A1453" s="6"/>
      <c r="B1453" s="7"/>
      <c r="C1453" s="6"/>
      <c r="D1453" s="7"/>
      <c r="E1453" s="6"/>
      <c r="F1453" s="7"/>
      <c r="G1453" s="6"/>
      <c r="H1453" s="7"/>
      <c r="I1453" s="6"/>
      <c r="J1453" s="7"/>
      <c r="K1453" s="96" t="str">
        <f>HYPERLINK("#'Healthcare'!BCW1","Q6.7.12_14")</f>
        <v>Q6.7.12_14</v>
      </c>
      <c r="L1453" s="93" t="str">
        <f>HYPERLINK("#'Healthcare'!BCW2","Primary POS medical plan in-network deductible per person: Prescription drugs (non-preventive)")</f>
        <v>Primary POS medical plan in-network deductible per person: Prescription drugs (non-preventive)</v>
      </c>
      <c r="M1453" s="6"/>
      <c r="N1453" s="7"/>
      <c r="O1453" s="6"/>
      <c r="P1453" s="7"/>
      <c r="Q1453" s="6"/>
      <c r="R1453" s="7"/>
      <c r="S1453" s="6"/>
      <c r="T1453" s="7"/>
      <c r="U1453" s="6"/>
      <c r="V1453" s="7"/>
      <c r="W1453" s="6"/>
      <c r="X1453" s="7"/>
    </row>
    <row r="1454" spans="1:24" ht="38.25" x14ac:dyDescent="0.2">
      <c r="A1454" s="6"/>
      <c r="B1454" s="7"/>
      <c r="C1454" s="6"/>
      <c r="D1454" s="7"/>
      <c r="E1454" s="6"/>
      <c r="F1454" s="7"/>
      <c r="G1454" s="6"/>
      <c r="H1454" s="7"/>
      <c r="I1454" s="6"/>
      <c r="J1454" s="7"/>
      <c r="K1454" s="96" t="str">
        <f>HYPERLINK("#'Healthcare'!BCX1","Q6.7.12_15")</f>
        <v>Q6.7.12_15</v>
      </c>
      <c r="L1454" s="93" t="str">
        <f>HYPERLINK("#'Healthcare'!BCX2","Primary POS medical plan in-network deductible per person: Therapies (speech, PT, OT)")</f>
        <v>Primary POS medical plan in-network deductible per person: Therapies (speech, PT, OT)</v>
      </c>
      <c r="M1454" s="6"/>
      <c r="N1454" s="7"/>
      <c r="O1454" s="6"/>
      <c r="P1454" s="7"/>
      <c r="Q1454" s="6"/>
      <c r="R1454" s="7"/>
      <c r="S1454" s="6"/>
      <c r="T1454" s="7"/>
      <c r="U1454" s="6"/>
      <c r="V1454" s="7"/>
      <c r="W1454" s="6"/>
      <c r="X1454" s="7"/>
    </row>
    <row r="1455" spans="1:24" ht="25.5" x14ac:dyDescent="0.2">
      <c r="A1455" s="6"/>
      <c r="B1455" s="7"/>
      <c r="C1455" s="6"/>
      <c r="D1455" s="7"/>
      <c r="E1455" s="6"/>
      <c r="F1455" s="7"/>
      <c r="G1455" s="6"/>
      <c r="H1455" s="7"/>
      <c r="I1455" s="6"/>
      <c r="J1455" s="7"/>
      <c r="K1455" s="96" t="str">
        <f>HYPERLINK("#'Healthcare'!BCY1","Q6.7.12_16")</f>
        <v>Q6.7.12_16</v>
      </c>
      <c r="L1455" s="93" t="str">
        <f>HYPERLINK("#'Healthcare'!BCY2","Primary POS medical plan in-network deductible per person: Other")</f>
        <v>Primary POS medical plan in-network deductible per person: Other</v>
      </c>
      <c r="M1455" s="6"/>
      <c r="N1455" s="7"/>
      <c r="O1455" s="6"/>
      <c r="P1455" s="7"/>
      <c r="Q1455" s="6"/>
      <c r="R1455" s="7"/>
      <c r="S1455" s="6"/>
      <c r="T1455" s="7"/>
      <c r="U1455" s="6"/>
      <c r="V1455" s="7"/>
      <c r="W1455" s="6"/>
      <c r="X1455" s="7"/>
    </row>
    <row r="1456" spans="1:24" ht="38.25" x14ac:dyDescent="0.2">
      <c r="A1456" s="6"/>
      <c r="B1456" s="7"/>
      <c r="C1456" s="6"/>
      <c r="D1456" s="7"/>
      <c r="E1456" s="6"/>
      <c r="F1456" s="7"/>
      <c r="G1456" s="6"/>
      <c r="H1456" s="7"/>
      <c r="I1456" s="6"/>
      <c r="J1456" s="7"/>
      <c r="K1456" s="96" t="str">
        <f>HYPERLINK("#'Healthcare'!BCZ1","Q6.7.13_1")</f>
        <v>Q6.7.13_1</v>
      </c>
      <c r="L1456" s="93" t="str">
        <f>HYPERLINK("#'Healthcare'!BCZ2","Primary POS medical plan in-network deductible per family: Not applicable - no separate deductibles")</f>
        <v>Primary POS medical plan in-network deductible per family: Not applicable - no separate deductibles</v>
      </c>
      <c r="M1456" s="6"/>
      <c r="N1456" s="7"/>
      <c r="O1456" s="6"/>
      <c r="P1456" s="7"/>
      <c r="Q1456" s="6"/>
      <c r="R1456" s="7"/>
      <c r="S1456" s="6"/>
      <c r="T1456" s="7"/>
      <c r="U1456" s="6"/>
      <c r="V1456" s="7"/>
      <c r="W1456" s="6"/>
      <c r="X1456" s="7"/>
    </row>
    <row r="1457" spans="1:24" ht="25.5" x14ac:dyDescent="0.2">
      <c r="A1457" s="6"/>
      <c r="B1457" s="7"/>
      <c r="C1457" s="6"/>
      <c r="D1457" s="7"/>
      <c r="E1457" s="6"/>
      <c r="F1457" s="7"/>
      <c r="G1457" s="6"/>
      <c r="H1457" s="7"/>
      <c r="I1457" s="6"/>
      <c r="J1457" s="7"/>
      <c r="K1457" s="96" t="str">
        <f>HYPERLINK("#'Healthcare'!BDA1","Q6.7.13_5")</f>
        <v>Q6.7.13_5</v>
      </c>
      <c r="L1457" s="93" t="str">
        <f>HYPERLINK("#'Healthcare'!BDA2","Primary POS medical plan in-network deductible per family: Acupuncture")</f>
        <v>Primary POS medical plan in-network deductible per family: Acupuncture</v>
      </c>
      <c r="M1457" s="6"/>
      <c r="N1457" s="7"/>
      <c r="O1457" s="6"/>
      <c r="P1457" s="7"/>
      <c r="Q1457" s="6"/>
      <c r="R1457" s="7"/>
      <c r="S1457" s="6"/>
      <c r="T1457" s="7"/>
      <c r="U1457" s="6"/>
      <c r="V1457" s="7"/>
      <c r="W1457" s="6"/>
      <c r="X1457" s="7"/>
    </row>
    <row r="1458" spans="1:24" ht="25.5" x14ac:dyDescent="0.2">
      <c r="A1458" s="6"/>
      <c r="B1458" s="7"/>
      <c r="C1458" s="6"/>
      <c r="D1458" s="7"/>
      <c r="E1458" s="6"/>
      <c r="F1458" s="7"/>
      <c r="G1458" s="6"/>
      <c r="H1458" s="7"/>
      <c r="I1458" s="6"/>
      <c r="J1458" s="7"/>
      <c r="K1458" s="96" t="str">
        <f>HYPERLINK("#'Healthcare'!BDB1","Q6.7.13_6")</f>
        <v>Q6.7.13_6</v>
      </c>
      <c r="L1458" s="93" t="str">
        <f>HYPERLINK("#'Healthcare'!BDB2","Primary POS medical plan in-network deductible per family: Chiropractic")</f>
        <v>Primary POS medical plan in-network deductible per family: Chiropractic</v>
      </c>
      <c r="M1458" s="6"/>
      <c r="N1458" s="7"/>
      <c r="O1458" s="6"/>
      <c r="P1458" s="7"/>
      <c r="Q1458" s="6"/>
      <c r="R1458" s="7"/>
      <c r="S1458" s="6"/>
      <c r="T1458" s="7"/>
      <c r="U1458" s="6"/>
      <c r="V1458" s="7"/>
      <c r="W1458" s="6"/>
      <c r="X1458" s="7"/>
    </row>
    <row r="1459" spans="1:24" ht="38.25" x14ac:dyDescent="0.2">
      <c r="A1459" s="6"/>
      <c r="B1459" s="7"/>
      <c r="C1459" s="6"/>
      <c r="D1459" s="7"/>
      <c r="E1459" s="6"/>
      <c r="F1459" s="7"/>
      <c r="G1459" s="6"/>
      <c r="H1459" s="7"/>
      <c r="I1459" s="6"/>
      <c r="J1459" s="7"/>
      <c r="K1459" s="96" t="str">
        <f>HYPERLINK("#'Healthcare'!BDC1","Q6.7.13_7")</f>
        <v>Q6.7.13_7</v>
      </c>
      <c r="L1459" s="93" t="str">
        <f>HYPERLINK("#'Healthcare'!BDC2","Primary POS medical plan in-network deductible per family: Emergency room (true emergency)")</f>
        <v>Primary POS medical plan in-network deductible per family: Emergency room (true emergency)</v>
      </c>
      <c r="M1459" s="6"/>
      <c r="N1459" s="7"/>
      <c r="O1459" s="6"/>
      <c r="P1459" s="7"/>
      <c r="Q1459" s="6"/>
      <c r="R1459" s="7"/>
      <c r="S1459" s="6"/>
      <c r="T1459" s="7"/>
      <c r="U1459" s="6"/>
      <c r="V1459" s="7"/>
      <c r="W1459" s="6"/>
      <c r="X1459" s="7"/>
    </row>
    <row r="1460" spans="1:24" ht="38.25" x14ac:dyDescent="0.2">
      <c r="A1460" s="6"/>
      <c r="B1460" s="7"/>
      <c r="C1460" s="6"/>
      <c r="D1460" s="7"/>
      <c r="E1460" s="6"/>
      <c r="F1460" s="7"/>
      <c r="G1460" s="6"/>
      <c r="H1460" s="7"/>
      <c r="I1460" s="6"/>
      <c r="J1460" s="7"/>
      <c r="K1460" s="96" t="str">
        <f>HYPERLINK("#'Healthcare'!BDD1","Q6.7.13_8")</f>
        <v>Q6.7.13_8</v>
      </c>
      <c r="L1460" s="93" t="str">
        <f>HYPERLINK("#'Healthcare'!BDD2","Primary POS medical plan in-network deductible per family: Emergency room (non-emergency)")</f>
        <v>Primary POS medical plan in-network deductible per family: Emergency room (non-emergency)</v>
      </c>
      <c r="M1460" s="6"/>
      <c r="N1460" s="7"/>
      <c r="O1460" s="6"/>
      <c r="P1460" s="7"/>
      <c r="Q1460" s="6"/>
      <c r="R1460" s="7"/>
      <c r="S1460" s="6"/>
      <c r="T1460" s="7"/>
      <c r="U1460" s="6"/>
      <c r="V1460" s="7"/>
      <c r="W1460" s="6"/>
      <c r="X1460" s="7"/>
    </row>
    <row r="1461" spans="1:24" ht="38.25" x14ac:dyDescent="0.2">
      <c r="A1461" s="6"/>
      <c r="B1461" s="7"/>
      <c r="C1461" s="6"/>
      <c r="D1461" s="7"/>
      <c r="E1461" s="6"/>
      <c r="F1461" s="7"/>
      <c r="G1461" s="6"/>
      <c r="H1461" s="7"/>
      <c r="I1461" s="6"/>
      <c r="J1461" s="7"/>
      <c r="K1461" s="96" t="str">
        <f>HYPERLINK("#'Healthcare'!BDE1","Q6.7.13_9")</f>
        <v>Q6.7.13_9</v>
      </c>
      <c r="L1461" s="93" t="str">
        <f>HYPERLINK("#'Healthcare'!BDE2","Primary POS medical plan in-network deductible per family: Emergency room (with hospital admittance)")</f>
        <v>Primary POS medical plan in-network deductible per family: Emergency room (with hospital admittance)</v>
      </c>
      <c r="M1461" s="6"/>
      <c r="N1461" s="7"/>
      <c r="O1461" s="6"/>
      <c r="P1461" s="7"/>
      <c r="Q1461" s="6"/>
      <c r="R1461" s="7"/>
      <c r="S1461" s="6"/>
      <c r="T1461" s="7"/>
      <c r="U1461" s="6"/>
      <c r="V1461" s="7"/>
      <c r="W1461" s="6"/>
      <c r="X1461" s="7"/>
    </row>
    <row r="1462" spans="1:24" ht="25.5" x14ac:dyDescent="0.2">
      <c r="A1462" s="6"/>
      <c r="B1462" s="7"/>
      <c r="C1462" s="6"/>
      <c r="D1462" s="7"/>
      <c r="E1462" s="6"/>
      <c r="F1462" s="7"/>
      <c r="G1462" s="6"/>
      <c r="H1462" s="7"/>
      <c r="I1462" s="6"/>
      <c r="J1462" s="7"/>
      <c r="K1462" s="96" t="str">
        <f>HYPERLINK("#'Healthcare'!BDF1","Q6.7.13_10")</f>
        <v>Q6.7.13_10</v>
      </c>
      <c r="L1462" s="93" t="str">
        <f>HYPERLINK("#'Healthcare'!BDF2","Primary POS medical plan in-network deductible per family: In-patient hospital")</f>
        <v>Primary POS medical plan in-network deductible per family: In-patient hospital</v>
      </c>
      <c r="M1462" s="6"/>
      <c r="N1462" s="7"/>
      <c r="O1462" s="6"/>
      <c r="P1462" s="7"/>
      <c r="Q1462" s="6"/>
      <c r="R1462" s="7"/>
      <c r="S1462" s="6"/>
      <c r="T1462" s="7"/>
      <c r="U1462" s="6"/>
      <c r="V1462" s="7"/>
      <c r="W1462" s="6"/>
      <c r="X1462" s="7"/>
    </row>
    <row r="1463" spans="1:24" ht="38.25" x14ac:dyDescent="0.2">
      <c r="A1463" s="6"/>
      <c r="B1463" s="7"/>
      <c r="C1463" s="6"/>
      <c r="D1463" s="7"/>
      <c r="E1463" s="6"/>
      <c r="F1463" s="7"/>
      <c r="G1463" s="6"/>
      <c r="H1463" s="7"/>
      <c r="I1463" s="6"/>
      <c r="J1463" s="7"/>
      <c r="K1463" s="96" t="str">
        <f>HYPERLINK("#'Healthcare'!BDG1","Q6.7.13_11")</f>
        <v>Q6.7.13_11</v>
      </c>
      <c r="L1463" s="93" t="str">
        <f>HYPERLINK("#'Healthcare'!BDG2","Primary POS medical plan in-network deductible per family: Mental health/substance abuse")</f>
        <v>Primary POS medical plan in-network deductible per family: Mental health/substance abuse</v>
      </c>
      <c r="M1463" s="6"/>
      <c r="N1463" s="7"/>
      <c r="O1463" s="6"/>
      <c r="P1463" s="7"/>
      <c r="Q1463" s="6"/>
      <c r="R1463" s="7"/>
      <c r="S1463" s="6"/>
      <c r="T1463" s="7"/>
      <c r="U1463" s="6"/>
      <c r="V1463" s="7"/>
      <c r="W1463" s="6"/>
      <c r="X1463" s="7"/>
    </row>
    <row r="1464" spans="1:24" ht="38.25" x14ac:dyDescent="0.2">
      <c r="A1464" s="6"/>
      <c r="B1464" s="7"/>
      <c r="C1464" s="6"/>
      <c r="D1464" s="7"/>
      <c r="E1464" s="6"/>
      <c r="F1464" s="7"/>
      <c r="G1464" s="6"/>
      <c r="H1464" s="7"/>
      <c r="I1464" s="6"/>
      <c r="J1464" s="7"/>
      <c r="K1464" s="96" t="str">
        <f>HYPERLINK("#'Healthcare'!BDH1","Q6.7.13_12")</f>
        <v>Q6.7.13_12</v>
      </c>
      <c r="L1464" s="93" t="str">
        <f>HYPERLINK("#'Healthcare'!BDH2","Primary POS medical plan in-network deductible per family: Out-patient surgical center")</f>
        <v>Primary POS medical plan in-network deductible per family: Out-patient surgical center</v>
      </c>
      <c r="M1464" s="6"/>
      <c r="N1464" s="7"/>
      <c r="O1464" s="6"/>
      <c r="P1464" s="7"/>
      <c r="Q1464" s="6"/>
      <c r="R1464" s="7"/>
      <c r="S1464" s="6"/>
      <c r="T1464" s="7"/>
      <c r="U1464" s="6"/>
      <c r="V1464" s="7"/>
      <c r="W1464" s="6"/>
      <c r="X1464" s="7"/>
    </row>
    <row r="1465" spans="1:24" ht="38.25" x14ac:dyDescent="0.2">
      <c r="A1465" s="6"/>
      <c r="B1465" s="7"/>
      <c r="C1465" s="6"/>
      <c r="D1465" s="7"/>
      <c r="E1465" s="6"/>
      <c r="F1465" s="7"/>
      <c r="G1465" s="6"/>
      <c r="H1465" s="7"/>
      <c r="I1465" s="6"/>
      <c r="J1465" s="7"/>
      <c r="K1465" s="96" t="str">
        <f>HYPERLINK("#'Healthcare'!BDI1","Q6.7.13_13")</f>
        <v>Q6.7.13_13</v>
      </c>
      <c r="L1465" s="93" t="str">
        <f>HYPERLINK("#'Healthcare'!BDI2","Primary POS medical plan in-network deductible per family: Prescription drugs (preventive)")</f>
        <v>Primary POS medical plan in-network deductible per family: Prescription drugs (preventive)</v>
      </c>
      <c r="M1465" s="6"/>
      <c r="N1465" s="7"/>
      <c r="O1465" s="6"/>
      <c r="P1465" s="7"/>
      <c r="Q1465" s="6"/>
      <c r="R1465" s="7"/>
      <c r="S1465" s="6"/>
      <c r="T1465" s="7"/>
      <c r="U1465" s="6"/>
      <c r="V1465" s="7"/>
      <c r="W1465" s="6"/>
      <c r="X1465" s="7"/>
    </row>
    <row r="1466" spans="1:24" ht="38.25" x14ac:dyDescent="0.2">
      <c r="A1466" s="6"/>
      <c r="B1466" s="7"/>
      <c r="C1466" s="6"/>
      <c r="D1466" s="7"/>
      <c r="E1466" s="6"/>
      <c r="F1466" s="7"/>
      <c r="G1466" s="6"/>
      <c r="H1466" s="7"/>
      <c r="I1466" s="6"/>
      <c r="J1466" s="7"/>
      <c r="K1466" s="96" t="str">
        <f>HYPERLINK("#'Healthcare'!BDJ1","Q6.7.13_14")</f>
        <v>Q6.7.13_14</v>
      </c>
      <c r="L1466" s="93" t="str">
        <f>HYPERLINK("#'Healthcare'!BDJ2","Primary POS medical plan in-network deductible per family: Prescription drugs (non-preventive)")</f>
        <v>Primary POS medical plan in-network deductible per family: Prescription drugs (non-preventive)</v>
      </c>
      <c r="M1466" s="6"/>
      <c r="N1466" s="7"/>
      <c r="O1466" s="6"/>
      <c r="P1466" s="7"/>
      <c r="Q1466" s="6"/>
      <c r="R1466" s="7"/>
      <c r="S1466" s="6"/>
      <c r="T1466" s="7"/>
      <c r="U1466" s="6"/>
      <c r="V1466" s="7"/>
      <c r="W1466" s="6"/>
      <c r="X1466" s="7"/>
    </row>
    <row r="1467" spans="1:24" ht="38.25" x14ac:dyDescent="0.2">
      <c r="A1467" s="6"/>
      <c r="B1467" s="7"/>
      <c r="C1467" s="6"/>
      <c r="D1467" s="7"/>
      <c r="E1467" s="6"/>
      <c r="F1467" s="7"/>
      <c r="G1467" s="6"/>
      <c r="H1467" s="7"/>
      <c r="I1467" s="6"/>
      <c r="J1467" s="7"/>
      <c r="K1467" s="96" t="str">
        <f>HYPERLINK("#'Healthcare'!BDK1","Q6.7.13_15")</f>
        <v>Q6.7.13_15</v>
      </c>
      <c r="L1467" s="93" t="str">
        <f>HYPERLINK("#'Healthcare'!BDK2","Primary POS medical plan in-network deductible per family: Therapies (speech, PT, OT)")</f>
        <v>Primary POS medical plan in-network deductible per family: Therapies (speech, PT, OT)</v>
      </c>
      <c r="M1467" s="6"/>
      <c r="N1467" s="7"/>
      <c r="O1467" s="6"/>
      <c r="P1467" s="7"/>
      <c r="Q1467" s="6"/>
      <c r="R1467" s="7"/>
      <c r="S1467" s="6"/>
      <c r="T1467" s="7"/>
      <c r="U1467" s="6"/>
      <c r="V1467" s="7"/>
      <c r="W1467" s="6"/>
      <c r="X1467" s="7"/>
    </row>
    <row r="1468" spans="1:24" ht="25.5" x14ac:dyDescent="0.2">
      <c r="A1468" s="6"/>
      <c r="B1468" s="7"/>
      <c r="C1468" s="6"/>
      <c r="D1468" s="7"/>
      <c r="E1468" s="6"/>
      <c r="F1468" s="7"/>
      <c r="G1468" s="6"/>
      <c r="H1468" s="7"/>
      <c r="I1468" s="6"/>
      <c r="J1468" s="7"/>
      <c r="K1468" s="96" t="str">
        <f>HYPERLINK("#'Healthcare'!BDL1","Q6.7.13_16")</f>
        <v>Q6.7.13_16</v>
      </c>
      <c r="L1468" s="93" t="str">
        <f>HYPERLINK("#'Healthcare'!BDL2","Primary POS medical plan in-network deductible per family: Other")</f>
        <v>Primary POS medical plan in-network deductible per family: Other</v>
      </c>
      <c r="M1468" s="6"/>
      <c r="N1468" s="7"/>
      <c r="O1468" s="6"/>
      <c r="P1468" s="7"/>
      <c r="Q1468" s="6"/>
      <c r="R1468" s="7"/>
      <c r="S1468" s="6"/>
      <c r="T1468" s="7"/>
      <c r="U1468" s="6"/>
      <c r="V1468" s="7"/>
      <c r="W1468" s="6"/>
      <c r="X1468" s="7"/>
    </row>
    <row r="1469" spans="1:24" ht="38.25" x14ac:dyDescent="0.2">
      <c r="A1469" s="6"/>
      <c r="B1469" s="7"/>
      <c r="C1469" s="6"/>
      <c r="D1469" s="7"/>
      <c r="E1469" s="6"/>
      <c r="F1469" s="7"/>
      <c r="G1469" s="6"/>
      <c r="H1469" s="7"/>
      <c r="I1469" s="6"/>
      <c r="J1469" s="7"/>
      <c r="K1469" s="96" t="str">
        <f>HYPERLINK("#'Healthcare'!BDM1","Q6.7.14_1")</f>
        <v>Q6.7.14_1</v>
      </c>
      <c r="L1469" s="93" t="str">
        <f>HYPERLINK("#'Healthcare'!BDM2","Primary POS medical plan out-of-network deductible per person: Not applicable - no separate deductibles")</f>
        <v>Primary POS medical plan out-of-network deductible per person: Not applicable - no separate deductibles</v>
      </c>
      <c r="M1469" s="6"/>
      <c r="N1469" s="7"/>
      <c r="O1469" s="6"/>
      <c r="P1469" s="7"/>
      <c r="Q1469" s="6"/>
      <c r="R1469" s="7"/>
      <c r="S1469" s="6"/>
      <c r="T1469" s="7"/>
      <c r="U1469" s="6"/>
      <c r="V1469" s="7"/>
      <c r="W1469" s="6"/>
      <c r="X1469" s="7"/>
    </row>
    <row r="1470" spans="1:24" ht="25.5" x14ac:dyDescent="0.2">
      <c r="A1470" s="6"/>
      <c r="B1470" s="7"/>
      <c r="C1470" s="6"/>
      <c r="D1470" s="7"/>
      <c r="E1470" s="6"/>
      <c r="F1470" s="7"/>
      <c r="G1470" s="6"/>
      <c r="H1470" s="7"/>
      <c r="I1470" s="6"/>
      <c r="J1470" s="7"/>
      <c r="K1470" s="96" t="str">
        <f>HYPERLINK("#'Healthcare'!BDN1","Q6.7.14_5")</f>
        <v>Q6.7.14_5</v>
      </c>
      <c r="L1470" s="93" t="str">
        <f>HYPERLINK("#'Healthcare'!BDN2","Primary POS medical plan out-of-network deductible per person: Acupuncture")</f>
        <v>Primary POS medical plan out-of-network deductible per person: Acupuncture</v>
      </c>
      <c r="M1470" s="6"/>
      <c r="N1470" s="7"/>
      <c r="O1470" s="6"/>
      <c r="P1470" s="7"/>
      <c r="Q1470" s="6"/>
      <c r="R1470" s="7"/>
      <c r="S1470" s="6"/>
      <c r="T1470" s="7"/>
      <c r="U1470" s="6"/>
      <c r="V1470" s="7"/>
      <c r="W1470" s="6"/>
      <c r="X1470" s="7"/>
    </row>
    <row r="1471" spans="1:24" ht="25.5" x14ac:dyDescent="0.2">
      <c r="A1471" s="6"/>
      <c r="B1471" s="7"/>
      <c r="C1471" s="6"/>
      <c r="D1471" s="7"/>
      <c r="E1471" s="6"/>
      <c r="F1471" s="7"/>
      <c r="G1471" s="6"/>
      <c r="H1471" s="7"/>
      <c r="I1471" s="6"/>
      <c r="J1471" s="7"/>
      <c r="K1471" s="96" t="str">
        <f>HYPERLINK("#'Healthcare'!BDO1","Q6.7.14_6")</f>
        <v>Q6.7.14_6</v>
      </c>
      <c r="L1471" s="93" t="str">
        <f>HYPERLINK("#'Healthcare'!BDO2","Primary POS medical plan out-of-network deductible per person: Chiropractic")</f>
        <v>Primary POS medical plan out-of-network deductible per person: Chiropractic</v>
      </c>
      <c r="M1471" s="6"/>
      <c r="N1471" s="7"/>
      <c r="O1471" s="6"/>
      <c r="P1471" s="7"/>
      <c r="Q1471" s="6"/>
      <c r="R1471" s="7"/>
      <c r="S1471" s="6"/>
      <c r="T1471" s="7"/>
      <c r="U1471" s="6"/>
      <c r="V1471" s="7"/>
      <c r="W1471" s="6"/>
      <c r="X1471" s="7"/>
    </row>
    <row r="1472" spans="1:24" ht="38.25" x14ac:dyDescent="0.2">
      <c r="A1472" s="6"/>
      <c r="B1472" s="7"/>
      <c r="C1472" s="6"/>
      <c r="D1472" s="7"/>
      <c r="E1472" s="6"/>
      <c r="F1472" s="7"/>
      <c r="G1472" s="6"/>
      <c r="H1472" s="7"/>
      <c r="I1472" s="6"/>
      <c r="J1472" s="7"/>
      <c r="K1472" s="96" t="str">
        <f>HYPERLINK("#'Healthcare'!BDP1","Q6.7.14_7")</f>
        <v>Q6.7.14_7</v>
      </c>
      <c r="L1472" s="93" t="str">
        <f>HYPERLINK("#'Healthcare'!BDP2","Primary POS medical plan out-of-network deductible per person: Emergency room (true emergency)")</f>
        <v>Primary POS medical plan out-of-network deductible per person: Emergency room (true emergency)</v>
      </c>
      <c r="M1472" s="6"/>
      <c r="N1472" s="7"/>
      <c r="O1472" s="6"/>
      <c r="P1472" s="7"/>
      <c r="Q1472" s="6"/>
      <c r="R1472" s="7"/>
      <c r="S1472" s="6"/>
      <c r="T1472" s="7"/>
      <c r="U1472" s="6"/>
      <c r="V1472" s="7"/>
      <c r="W1472" s="6"/>
      <c r="X1472" s="7"/>
    </row>
    <row r="1473" spans="1:24" ht="38.25" x14ac:dyDescent="0.2">
      <c r="A1473" s="6"/>
      <c r="B1473" s="7"/>
      <c r="C1473" s="6"/>
      <c r="D1473" s="7"/>
      <c r="E1473" s="6"/>
      <c r="F1473" s="7"/>
      <c r="G1473" s="6"/>
      <c r="H1473" s="7"/>
      <c r="I1473" s="6"/>
      <c r="J1473" s="7"/>
      <c r="K1473" s="96" t="str">
        <f>HYPERLINK("#'Healthcare'!BDQ1","Q6.7.14_8")</f>
        <v>Q6.7.14_8</v>
      </c>
      <c r="L1473" s="93" t="str">
        <f>HYPERLINK("#'Healthcare'!BDQ2","Primary POS medical plan out-of-network deductible per person: Emergency room (non-emergency)")</f>
        <v>Primary POS medical plan out-of-network deductible per person: Emergency room (non-emergency)</v>
      </c>
      <c r="M1473" s="6"/>
      <c r="N1473" s="7"/>
      <c r="O1473" s="6"/>
      <c r="P1473" s="7"/>
      <c r="Q1473" s="6"/>
      <c r="R1473" s="7"/>
      <c r="S1473" s="6"/>
      <c r="T1473" s="7"/>
      <c r="U1473" s="6"/>
      <c r="V1473" s="7"/>
      <c r="W1473" s="6"/>
      <c r="X1473" s="7"/>
    </row>
    <row r="1474" spans="1:24" ht="38.25" x14ac:dyDescent="0.2">
      <c r="A1474" s="6"/>
      <c r="B1474" s="7"/>
      <c r="C1474" s="6"/>
      <c r="D1474" s="7"/>
      <c r="E1474" s="6"/>
      <c r="F1474" s="7"/>
      <c r="G1474" s="6"/>
      <c r="H1474" s="7"/>
      <c r="I1474" s="6"/>
      <c r="J1474" s="7"/>
      <c r="K1474" s="96" t="str">
        <f>HYPERLINK("#'Healthcare'!BDR1","Q6.7.14_9")</f>
        <v>Q6.7.14_9</v>
      </c>
      <c r="L1474" s="93" t="str">
        <f>HYPERLINK("#'Healthcare'!BDR2","Primary POS medical plan out-of-network deductible per person: Emergency room (with hospital admittance)")</f>
        <v>Primary POS medical plan out-of-network deductible per person: Emergency room (with hospital admittance)</v>
      </c>
      <c r="M1474" s="6"/>
      <c r="N1474" s="7"/>
      <c r="O1474" s="6"/>
      <c r="P1474" s="7"/>
      <c r="Q1474" s="6"/>
      <c r="R1474" s="7"/>
      <c r="S1474" s="6"/>
      <c r="T1474" s="7"/>
      <c r="U1474" s="6"/>
      <c r="V1474" s="7"/>
      <c r="W1474" s="6"/>
      <c r="X1474" s="7"/>
    </row>
    <row r="1475" spans="1:24" ht="25.5" x14ac:dyDescent="0.2">
      <c r="A1475" s="6"/>
      <c r="B1475" s="7"/>
      <c r="C1475" s="6"/>
      <c r="D1475" s="7"/>
      <c r="E1475" s="6"/>
      <c r="F1475" s="7"/>
      <c r="G1475" s="6"/>
      <c r="H1475" s="7"/>
      <c r="I1475" s="6"/>
      <c r="J1475" s="7"/>
      <c r="K1475" s="96" t="str">
        <f>HYPERLINK("#'Healthcare'!BDS1","Q6.7.14_10")</f>
        <v>Q6.7.14_10</v>
      </c>
      <c r="L1475" s="93" t="str">
        <f>HYPERLINK("#'Healthcare'!BDS2","Primary POS medical plan out-of-network deductible per person: In-patient hospital")</f>
        <v>Primary POS medical plan out-of-network deductible per person: In-patient hospital</v>
      </c>
      <c r="M1475" s="6"/>
      <c r="N1475" s="7"/>
      <c r="O1475" s="6"/>
      <c r="P1475" s="7"/>
      <c r="Q1475" s="6"/>
      <c r="R1475" s="7"/>
      <c r="S1475" s="6"/>
      <c r="T1475" s="7"/>
      <c r="U1475" s="6"/>
      <c r="V1475" s="7"/>
      <c r="W1475" s="6"/>
      <c r="X1475" s="7"/>
    </row>
    <row r="1476" spans="1:24" ht="38.25" x14ac:dyDescent="0.2">
      <c r="A1476" s="6"/>
      <c r="B1476" s="7"/>
      <c r="C1476" s="6"/>
      <c r="D1476" s="7"/>
      <c r="E1476" s="6"/>
      <c r="F1476" s="7"/>
      <c r="G1476" s="6"/>
      <c r="H1476" s="7"/>
      <c r="I1476" s="6"/>
      <c r="J1476" s="7"/>
      <c r="K1476" s="96" t="str">
        <f>HYPERLINK("#'Healthcare'!BDT1","Q6.7.14_11")</f>
        <v>Q6.7.14_11</v>
      </c>
      <c r="L1476" s="93" t="str">
        <f>HYPERLINK("#'Healthcare'!BDT2","Primary POS medical plan out-of-network deductible per person: Mental health/substance abuse")</f>
        <v>Primary POS medical plan out-of-network deductible per person: Mental health/substance abuse</v>
      </c>
      <c r="M1476" s="6"/>
      <c r="N1476" s="7"/>
      <c r="O1476" s="6"/>
      <c r="P1476" s="7"/>
      <c r="Q1476" s="6"/>
      <c r="R1476" s="7"/>
      <c r="S1476" s="6"/>
      <c r="T1476" s="7"/>
      <c r="U1476" s="6"/>
      <c r="V1476" s="7"/>
      <c r="W1476" s="6"/>
      <c r="X1476" s="7"/>
    </row>
    <row r="1477" spans="1:24" ht="38.25" x14ac:dyDescent="0.2">
      <c r="A1477" s="6"/>
      <c r="B1477" s="7"/>
      <c r="C1477" s="6"/>
      <c r="D1477" s="7"/>
      <c r="E1477" s="6"/>
      <c r="F1477" s="7"/>
      <c r="G1477" s="6"/>
      <c r="H1477" s="7"/>
      <c r="I1477" s="6"/>
      <c r="J1477" s="7"/>
      <c r="K1477" s="96" t="str">
        <f>HYPERLINK("#'Healthcare'!BDU1","Q6.7.14_12")</f>
        <v>Q6.7.14_12</v>
      </c>
      <c r="L1477" s="93" t="str">
        <f>HYPERLINK("#'Healthcare'!BDU2","Primary POS medical plan out-of-network deductible per person: Out-patient surgical center")</f>
        <v>Primary POS medical plan out-of-network deductible per person: Out-patient surgical center</v>
      </c>
      <c r="M1477" s="6"/>
      <c r="N1477" s="7"/>
      <c r="O1477" s="6"/>
      <c r="P1477" s="7"/>
      <c r="Q1477" s="6"/>
      <c r="R1477" s="7"/>
      <c r="S1477" s="6"/>
      <c r="T1477" s="7"/>
      <c r="U1477" s="6"/>
      <c r="V1477" s="7"/>
      <c r="W1477" s="6"/>
      <c r="X1477" s="7"/>
    </row>
    <row r="1478" spans="1:24" ht="38.25" x14ac:dyDescent="0.2">
      <c r="A1478" s="6"/>
      <c r="B1478" s="7"/>
      <c r="C1478" s="6"/>
      <c r="D1478" s="7"/>
      <c r="E1478" s="6"/>
      <c r="F1478" s="7"/>
      <c r="G1478" s="6"/>
      <c r="H1478" s="7"/>
      <c r="I1478" s="6"/>
      <c r="J1478" s="7"/>
      <c r="K1478" s="96" t="str">
        <f>HYPERLINK("#'Healthcare'!BDV1","Q6.7.14_13")</f>
        <v>Q6.7.14_13</v>
      </c>
      <c r="L1478" s="93" t="str">
        <f>HYPERLINK("#'Healthcare'!BDV2","Primary POS medical plan out-of-network deductible per person: Prescription drugs (preventive)")</f>
        <v>Primary POS medical plan out-of-network deductible per person: Prescription drugs (preventive)</v>
      </c>
      <c r="M1478" s="6"/>
      <c r="N1478" s="7"/>
      <c r="O1478" s="6"/>
      <c r="P1478" s="7"/>
      <c r="Q1478" s="6"/>
      <c r="R1478" s="7"/>
      <c r="S1478" s="6"/>
      <c r="T1478" s="7"/>
      <c r="U1478" s="6"/>
      <c r="V1478" s="7"/>
      <c r="W1478" s="6"/>
      <c r="X1478" s="7"/>
    </row>
    <row r="1479" spans="1:24" ht="38.25" x14ac:dyDescent="0.2">
      <c r="A1479" s="6"/>
      <c r="B1479" s="7"/>
      <c r="C1479" s="6"/>
      <c r="D1479" s="7"/>
      <c r="E1479" s="6"/>
      <c r="F1479" s="7"/>
      <c r="G1479" s="6"/>
      <c r="H1479" s="7"/>
      <c r="I1479" s="6"/>
      <c r="J1479" s="7"/>
      <c r="K1479" s="96" t="str">
        <f>HYPERLINK("#'Healthcare'!BDW1","Q6.7.14_14")</f>
        <v>Q6.7.14_14</v>
      </c>
      <c r="L1479" s="93" t="str">
        <f>HYPERLINK("#'Healthcare'!BDW2","Primary POS medical plan out-of-network deductible per person: Prescription drugs (non-preventive)")</f>
        <v>Primary POS medical plan out-of-network deductible per person: Prescription drugs (non-preventive)</v>
      </c>
      <c r="M1479" s="6"/>
      <c r="N1479" s="7"/>
      <c r="O1479" s="6"/>
      <c r="P1479" s="7"/>
      <c r="Q1479" s="6"/>
      <c r="R1479" s="7"/>
      <c r="S1479" s="6"/>
      <c r="T1479" s="7"/>
      <c r="U1479" s="6"/>
      <c r="V1479" s="7"/>
      <c r="W1479" s="6"/>
      <c r="X1479" s="7"/>
    </row>
    <row r="1480" spans="1:24" ht="38.25" x14ac:dyDescent="0.2">
      <c r="A1480" s="6"/>
      <c r="B1480" s="7"/>
      <c r="C1480" s="6"/>
      <c r="D1480" s="7"/>
      <c r="E1480" s="6"/>
      <c r="F1480" s="7"/>
      <c r="G1480" s="6"/>
      <c r="H1480" s="7"/>
      <c r="I1480" s="6"/>
      <c r="J1480" s="7"/>
      <c r="K1480" s="96" t="str">
        <f>HYPERLINK("#'Healthcare'!BDX1","Q6.7.14_15")</f>
        <v>Q6.7.14_15</v>
      </c>
      <c r="L1480" s="93" t="str">
        <f>HYPERLINK("#'Healthcare'!BDX2","Primary POS medical plan out-of-network deductible per person: Therapies (speech, PT, OT)")</f>
        <v>Primary POS medical plan out-of-network deductible per person: Therapies (speech, PT, OT)</v>
      </c>
      <c r="M1480" s="6"/>
      <c r="N1480" s="7"/>
      <c r="O1480" s="6"/>
      <c r="P1480" s="7"/>
      <c r="Q1480" s="6"/>
      <c r="R1480" s="7"/>
      <c r="S1480" s="6"/>
      <c r="T1480" s="7"/>
      <c r="U1480" s="6"/>
      <c r="V1480" s="7"/>
      <c r="W1480" s="6"/>
      <c r="X1480" s="7"/>
    </row>
    <row r="1481" spans="1:24" ht="25.5" x14ac:dyDescent="0.2">
      <c r="A1481" s="6"/>
      <c r="B1481" s="7"/>
      <c r="C1481" s="6"/>
      <c r="D1481" s="7"/>
      <c r="E1481" s="6"/>
      <c r="F1481" s="7"/>
      <c r="G1481" s="6"/>
      <c r="H1481" s="7"/>
      <c r="I1481" s="6"/>
      <c r="J1481" s="7"/>
      <c r="K1481" s="96" t="str">
        <f>HYPERLINK("#'Healthcare'!BDY1","Q6.7.14_16")</f>
        <v>Q6.7.14_16</v>
      </c>
      <c r="L1481" s="93" t="str">
        <f>HYPERLINK("#'Healthcare'!BDY2","Primary POS medical plan out-of-network deductible per person: Other")</f>
        <v>Primary POS medical plan out-of-network deductible per person: Other</v>
      </c>
      <c r="M1481" s="6"/>
      <c r="N1481" s="7"/>
      <c r="O1481" s="6"/>
      <c r="P1481" s="7"/>
      <c r="Q1481" s="6"/>
      <c r="R1481" s="7"/>
      <c r="S1481" s="6"/>
      <c r="T1481" s="7"/>
      <c r="U1481" s="6"/>
      <c r="V1481" s="7"/>
      <c r="W1481" s="6"/>
      <c r="X1481" s="7"/>
    </row>
    <row r="1482" spans="1:24" ht="38.25" x14ac:dyDescent="0.2">
      <c r="A1482" s="6"/>
      <c r="B1482" s="7"/>
      <c r="C1482" s="6"/>
      <c r="D1482" s="7"/>
      <c r="E1482" s="6"/>
      <c r="F1482" s="7"/>
      <c r="G1482" s="6"/>
      <c r="H1482" s="7"/>
      <c r="I1482" s="6"/>
      <c r="J1482" s="7"/>
      <c r="K1482" s="96" t="str">
        <f>HYPERLINK("#'Healthcare'!BDZ1","Q6.7.15_1")</f>
        <v>Q6.7.15_1</v>
      </c>
      <c r="L1482" s="93" t="str">
        <f>HYPERLINK("#'Healthcare'!BDZ2","Primary POS medical plan out-of-network deductible per family: Not applicable - no separate deductibles")</f>
        <v>Primary POS medical plan out-of-network deductible per family: Not applicable - no separate deductibles</v>
      </c>
      <c r="M1482" s="6"/>
      <c r="N1482" s="7"/>
      <c r="O1482" s="6"/>
      <c r="P1482" s="7"/>
      <c r="Q1482" s="6"/>
      <c r="R1482" s="7"/>
      <c r="S1482" s="6"/>
      <c r="T1482" s="7"/>
      <c r="U1482" s="6"/>
      <c r="V1482" s="7"/>
      <c r="W1482" s="6"/>
      <c r="X1482" s="7"/>
    </row>
    <row r="1483" spans="1:24" ht="25.5" x14ac:dyDescent="0.2">
      <c r="A1483" s="6"/>
      <c r="B1483" s="7"/>
      <c r="C1483" s="6"/>
      <c r="D1483" s="7"/>
      <c r="E1483" s="6"/>
      <c r="F1483" s="7"/>
      <c r="G1483" s="6"/>
      <c r="H1483" s="7"/>
      <c r="I1483" s="6"/>
      <c r="J1483" s="7"/>
      <c r="K1483" s="96" t="str">
        <f>HYPERLINK("#'Healthcare'!BEA1","Q6.7.15_5")</f>
        <v>Q6.7.15_5</v>
      </c>
      <c r="L1483" s="93" t="str">
        <f>HYPERLINK("#'Healthcare'!BEA2","Primary POS medical plan out-of-network deductible per family: Acupuncture")</f>
        <v>Primary POS medical plan out-of-network deductible per family: Acupuncture</v>
      </c>
      <c r="M1483" s="6"/>
      <c r="N1483" s="7"/>
      <c r="O1483" s="6"/>
      <c r="P1483" s="7"/>
      <c r="Q1483" s="6"/>
      <c r="R1483" s="7"/>
      <c r="S1483" s="6"/>
      <c r="T1483" s="7"/>
      <c r="U1483" s="6"/>
      <c r="V1483" s="7"/>
      <c r="W1483" s="6"/>
      <c r="X1483" s="7"/>
    </row>
    <row r="1484" spans="1:24" ht="25.5" x14ac:dyDescent="0.2">
      <c r="A1484" s="6"/>
      <c r="B1484" s="7"/>
      <c r="C1484" s="6"/>
      <c r="D1484" s="7"/>
      <c r="E1484" s="6"/>
      <c r="F1484" s="7"/>
      <c r="G1484" s="6"/>
      <c r="H1484" s="7"/>
      <c r="I1484" s="6"/>
      <c r="J1484" s="7"/>
      <c r="K1484" s="96" t="str">
        <f>HYPERLINK("#'Healthcare'!BEB1","Q6.7.15_6")</f>
        <v>Q6.7.15_6</v>
      </c>
      <c r="L1484" s="93" t="str">
        <f>HYPERLINK("#'Healthcare'!BEB2","Primary POS medical plan out-of-network deductible per family: Chiropractic")</f>
        <v>Primary POS medical plan out-of-network deductible per family: Chiropractic</v>
      </c>
      <c r="M1484" s="6"/>
      <c r="N1484" s="7"/>
      <c r="O1484" s="6"/>
      <c r="P1484" s="7"/>
      <c r="Q1484" s="6"/>
      <c r="R1484" s="7"/>
      <c r="S1484" s="6"/>
      <c r="T1484" s="7"/>
      <c r="U1484" s="6"/>
      <c r="V1484" s="7"/>
      <c r="W1484" s="6"/>
      <c r="X1484" s="7"/>
    </row>
    <row r="1485" spans="1:24" ht="38.25" x14ac:dyDescent="0.2">
      <c r="A1485" s="6"/>
      <c r="B1485" s="7"/>
      <c r="C1485" s="6"/>
      <c r="D1485" s="7"/>
      <c r="E1485" s="6"/>
      <c r="F1485" s="7"/>
      <c r="G1485" s="6"/>
      <c r="H1485" s="7"/>
      <c r="I1485" s="6"/>
      <c r="J1485" s="7"/>
      <c r="K1485" s="96" t="str">
        <f>HYPERLINK("#'Healthcare'!BEC1","Q6.7.15_7")</f>
        <v>Q6.7.15_7</v>
      </c>
      <c r="L1485" s="93" t="str">
        <f>HYPERLINK("#'Healthcare'!BEC2","Primary POS medical plan out-of-network deductible per family: Emergency room (true emergency)")</f>
        <v>Primary POS medical plan out-of-network deductible per family: Emergency room (true emergency)</v>
      </c>
      <c r="M1485" s="6"/>
      <c r="N1485" s="7"/>
      <c r="O1485" s="6"/>
      <c r="P1485" s="7"/>
      <c r="Q1485" s="6"/>
      <c r="R1485" s="7"/>
      <c r="S1485" s="6"/>
      <c r="T1485" s="7"/>
      <c r="U1485" s="6"/>
      <c r="V1485" s="7"/>
      <c r="W1485" s="6"/>
      <c r="X1485" s="7"/>
    </row>
    <row r="1486" spans="1:24" ht="38.25" x14ac:dyDescent="0.2">
      <c r="A1486" s="6"/>
      <c r="B1486" s="7"/>
      <c r="C1486" s="6"/>
      <c r="D1486" s="7"/>
      <c r="E1486" s="6"/>
      <c r="F1486" s="7"/>
      <c r="G1486" s="6"/>
      <c r="H1486" s="7"/>
      <c r="I1486" s="6"/>
      <c r="J1486" s="7"/>
      <c r="K1486" s="96" t="str">
        <f>HYPERLINK("#'Healthcare'!BED1","Q6.7.15_8")</f>
        <v>Q6.7.15_8</v>
      </c>
      <c r="L1486" s="93" t="str">
        <f>HYPERLINK("#'Healthcare'!BED2","Primary POS medical plan out-of-network deductible per family: Emergency room (non-emergency)")</f>
        <v>Primary POS medical plan out-of-network deductible per family: Emergency room (non-emergency)</v>
      </c>
      <c r="M1486" s="6"/>
      <c r="N1486" s="7"/>
      <c r="O1486" s="6"/>
      <c r="P1486" s="7"/>
      <c r="Q1486" s="6"/>
      <c r="R1486" s="7"/>
      <c r="S1486" s="6"/>
      <c r="T1486" s="7"/>
      <c r="U1486" s="6"/>
      <c r="V1486" s="7"/>
      <c r="W1486" s="6"/>
      <c r="X1486" s="7"/>
    </row>
    <row r="1487" spans="1:24" ht="38.25" x14ac:dyDescent="0.2">
      <c r="A1487" s="6"/>
      <c r="B1487" s="7"/>
      <c r="C1487" s="6"/>
      <c r="D1487" s="7"/>
      <c r="E1487" s="6"/>
      <c r="F1487" s="7"/>
      <c r="G1487" s="6"/>
      <c r="H1487" s="7"/>
      <c r="I1487" s="6"/>
      <c r="J1487" s="7"/>
      <c r="K1487" s="96" t="str">
        <f>HYPERLINK("#'Healthcare'!BEE1","Q6.7.15_9")</f>
        <v>Q6.7.15_9</v>
      </c>
      <c r="L1487" s="93" t="str">
        <f>HYPERLINK("#'Healthcare'!BEE2","Primary POS medical plan out-of-network deductible per family: Emergency room (with hospital admittance)")</f>
        <v>Primary POS medical plan out-of-network deductible per family: Emergency room (with hospital admittance)</v>
      </c>
      <c r="M1487" s="6"/>
      <c r="N1487" s="7"/>
      <c r="O1487" s="6"/>
      <c r="P1487" s="7"/>
      <c r="Q1487" s="6"/>
      <c r="R1487" s="7"/>
      <c r="S1487" s="6"/>
      <c r="T1487" s="7"/>
      <c r="U1487" s="6"/>
      <c r="V1487" s="7"/>
      <c r="W1487" s="6"/>
      <c r="X1487" s="7"/>
    </row>
    <row r="1488" spans="1:24" ht="25.5" x14ac:dyDescent="0.2">
      <c r="A1488" s="6"/>
      <c r="B1488" s="7"/>
      <c r="C1488" s="6"/>
      <c r="D1488" s="7"/>
      <c r="E1488" s="6"/>
      <c r="F1488" s="7"/>
      <c r="G1488" s="6"/>
      <c r="H1488" s="7"/>
      <c r="I1488" s="6"/>
      <c r="J1488" s="7"/>
      <c r="K1488" s="96" t="str">
        <f>HYPERLINK("#'Healthcare'!BEF1","Q6.7.15_10")</f>
        <v>Q6.7.15_10</v>
      </c>
      <c r="L1488" s="93" t="str">
        <f>HYPERLINK("#'Healthcare'!BEF2","Primary POS medical plan out-of-network deductible per family: In-patient hospital")</f>
        <v>Primary POS medical plan out-of-network deductible per family: In-patient hospital</v>
      </c>
      <c r="M1488" s="6"/>
      <c r="N1488" s="7"/>
      <c r="O1488" s="6"/>
      <c r="P1488" s="7"/>
      <c r="Q1488" s="6"/>
      <c r="R1488" s="7"/>
      <c r="S1488" s="6"/>
      <c r="T1488" s="7"/>
      <c r="U1488" s="6"/>
      <c r="V1488" s="7"/>
      <c r="W1488" s="6"/>
      <c r="X1488" s="7"/>
    </row>
    <row r="1489" spans="1:24" ht="38.25" x14ac:dyDescent="0.2">
      <c r="A1489" s="6"/>
      <c r="B1489" s="7"/>
      <c r="C1489" s="6"/>
      <c r="D1489" s="7"/>
      <c r="E1489" s="6"/>
      <c r="F1489" s="7"/>
      <c r="G1489" s="6"/>
      <c r="H1489" s="7"/>
      <c r="I1489" s="6"/>
      <c r="J1489" s="7"/>
      <c r="K1489" s="96" t="str">
        <f>HYPERLINK("#'Healthcare'!BEG1","Q6.7.15_11")</f>
        <v>Q6.7.15_11</v>
      </c>
      <c r="L1489" s="93" t="str">
        <f>HYPERLINK("#'Healthcare'!BEG2","Primary POS medical plan out-of-network deductible per family: Mental health/substance abuse")</f>
        <v>Primary POS medical plan out-of-network deductible per family: Mental health/substance abuse</v>
      </c>
      <c r="M1489" s="6"/>
      <c r="N1489" s="7"/>
      <c r="O1489" s="6"/>
      <c r="P1489" s="7"/>
      <c r="Q1489" s="6"/>
      <c r="R1489" s="7"/>
      <c r="S1489" s="6"/>
      <c r="T1489" s="7"/>
      <c r="U1489" s="6"/>
      <c r="V1489" s="7"/>
      <c r="W1489" s="6"/>
      <c r="X1489" s="7"/>
    </row>
    <row r="1490" spans="1:24" ht="38.25" x14ac:dyDescent="0.2">
      <c r="A1490" s="6"/>
      <c r="B1490" s="7"/>
      <c r="C1490" s="6"/>
      <c r="D1490" s="7"/>
      <c r="E1490" s="6"/>
      <c r="F1490" s="7"/>
      <c r="G1490" s="6"/>
      <c r="H1490" s="7"/>
      <c r="I1490" s="6"/>
      <c r="J1490" s="7"/>
      <c r="K1490" s="96" t="str">
        <f>HYPERLINK("#'Healthcare'!BEH1","Q6.7.15_12")</f>
        <v>Q6.7.15_12</v>
      </c>
      <c r="L1490" s="93" t="str">
        <f>HYPERLINK("#'Healthcare'!BEH2","Primary POS medical plan out-of-network deductible per family: Out-patient surgical center")</f>
        <v>Primary POS medical plan out-of-network deductible per family: Out-patient surgical center</v>
      </c>
      <c r="M1490" s="6"/>
      <c r="N1490" s="7"/>
      <c r="O1490" s="6"/>
      <c r="P1490" s="7"/>
      <c r="Q1490" s="6"/>
      <c r="R1490" s="7"/>
      <c r="S1490" s="6"/>
      <c r="T1490" s="7"/>
      <c r="U1490" s="6"/>
      <c r="V1490" s="7"/>
      <c r="W1490" s="6"/>
      <c r="X1490" s="7"/>
    </row>
    <row r="1491" spans="1:24" ht="38.25" x14ac:dyDescent="0.2">
      <c r="A1491" s="6"/>
      <c r="B1491" s="7"/>
      <c r="C1491" s="6"/>
      <c r="D1491" s="7"/>
      <c r="E1491" s="6"/>
      <c r="F1491" s="7"/>
      <c r="G1491" s="6"/>
      <c r="H1491" s="7"/>
      <c r="I1491" s="6"/>
      <c r="J1491" s="7"/>
      <c r="K1491" s="96" t="str">
        <f>HYPERLINK("#'Healthcare'!BEI1","Q6.7.15_13")</f>
        <v>Q6.7.15_13</v>
      </c>
      <c r="L1491" s="93" t="str">
        <f>HYPERLINK("#'Healthcare'!BEI2","Primary POS medical plan out-of-network deductible per family: Prescription drugs (preventive)")</f>
        <v>Primary POS medical plan out-of-network deductible per family: Prescription drugs (preventive)</v>
      </c>
      <c r="M1491" s="6"/>
      <c r="N1491" s="7"/>
      <c r="O1491" s="6"/>
      <c r="P1491" s="7"/>
      <c r="Q1491" s="6"/>
      <c r="R1491" s="7"/>
      <c r="S1491" s="6"/>
      <c r="T1491" s="7"/>
      <c r="U1491" s="6"/>
      <c r="V1491" s="7"/>
      <c r="W1491" s="6"/>
      <c r="X1491" s="7"/>
    </row>
    <row r="1492" spans="1:24" ht="38.25" x14ac:dyDescent="0.2">
      <c r="A1492" s="6"/>
      <c r="B1492" s="7"/>
      <c r="C1492" s="6"/>
      <c r="D1492" s="7"/>
      <c r="E1492" s="6"/>
      <c r="F1492" s="7"/>
      <c r="G1492" s="6"/>
      <c r="H1492" s="7"/>
      <c r="I1492" s="6"/>
      <c r="J1492" s="7"/>
      <c r="K1492" s="96" t="str">
        <f>HYPERLINK("#'Healthcare'!BEJ1","Q6.7.15_14")</f>
        <v>Q6.7.15_14</v>
      </c>
      <c r="L1492" s="93" t="str">
        <f>HYPERLINK("#'Healthcare'!BEJ2","Primary POS medical plan out-of-network deductible per family: Prescription drugs (non-preventive)")</f>
        <v>Primary POS medical plan out-of-network deductible per family: Prescription drugs (non-preventive)</v>
      </c>
      <c r="M1492" s="6"/>
      <c r="N1492" s="7"/>
      <c r="O1492" s="6"/>
      <c r="P1492" s="7"/>
      <c r="Q1492" s="6"/>
      <c r="R1492" s="7"/>
      <c r="S1492" s="6"/>
      <c r="T1492" s="7"/>
      <c r="U1492" s="6"/>
      <c r="V1492" s="7"/>
      <c r="W1492" s="6"/>
      <c r="X1492" s="7"/>
    </row>
    <row r="1493" spans="1:24" ht="38.25" x14ac:dyDescent="0.2">
      <c r="A1493" s="6"/>
      <c r="B1493" s="7"/>
      <c r="C1493" s="6"/>
      <c r="D1493" s="7"/>
      <c r="E1493" s="6"/>
      <c r="F1493" s="7"/>
      <c r="G1493" s="6"/>
      <c r="H1493" s="7"/>
      <c r="I1493" s="6"/>
      <c r="J1493" s="7"/>
      <c r="K1493" s="96" t="str">
        <f>HYPERLINK("#'Healthcare'!BEK1","Q6.7.15_15")</f>
        <v>Q6.7.15_15</v>
      </c>
      <c r="L1493" s="93" t="str">
        <f>HYPERLINK("#'Healthcare'!BEK2","Primary POS medical plan out-of-network deductible per family: Therapies (speech, PT, OT)")</f>
        <v>Primary POS medical plan out-of-network deductible per family: Therapies (speech, PT, OT)</v>
      </c>
      <c r="M1493" s="6"/>
      <c r="N1493" s="7"/>
      <c r="O1493" s="6"/>
      <c r="P1493" s="7"/>
      <c r="Q1493" s="6"/>
      <c r="R1493" s="7"/>
      <c r="S1493" s="6"/>
      <c r="T1493" s="7"/>
      <c r="U1493" s="6"/>
      <c r="V1493" s="7"/>
      <c r="W1493" s="6"/>
      <c r="X1493" s="7"/>
    </row>
    <row r="1494" spans="1:24" ht="25.5" x14ac:dyDescent="0.2">
      <c r="A1494" s="6"/>
      <c r="B1494" s="7"/>
      <c r="C1494" s="6"/>
      <c r="D1494" s="7"/>
      <c r="E1494" s="6"/>
      <c r="F1494" s="7"/>
      <c r="G1494" s="6"/>
      <c r="H1494" s="7"/>
      <c r="I1494" s="6"/>
      <c r="J1494" s="7"/>
      <c r="K1494" s="96" t="str">
        <f>HYPERLINK("#'Healthcare'!BEL1","Q6.7.15_16")</f>
        <v>Q6.7.15_16</v>
      </c>
      <c r="L1494" s="93" t="str">
        <f>HYPERLINK("#'Healthcare'!BEL2","Primary POS medical plan out-of-network deductible per family: Other")</f>
        <v>Primary POS medical plan out-of-network deductible per family: Other</v>
      </c>
      <c r="M1494" s="6"/>
      <c r="N1494" s="7"/>
      <c r="O1494" s="6"/>
      <c r="P1494" s="7"/>
      <c r="Q1494" s="6"/>
      <c r="R1494" s="7"/>
      <c r="S1494" s="6"/>
      <c r="T1494" s="7"/>
      <c r="U1494" s="6"/>
      <c r="V1494" s="7"/>
      <c r="W1494" s="6"/>
      <c r="X1494" s="7"/>
    </row>
    <row r="1495" spans="1:24" ht="12.75" x14ac:dyDescent="0.2">
      <c r="A1495" s="6"/>
      <c r="B1495" s="7"/>
      <c r="C1495" s="6"/>
      <c r="D1495" s="7"/>
      <c r="E1495" s="6"/>
      <c r="F1495" s="7"/>
      <c r="G1495" s="6"/>
      <c r="H1495" s="7"/>
      <c r="I1495" s="6"/>
      <c r="J1495" s="7"/>
      <c r="K1495" s="96" t="str">
        <f>HYPERLINK("#'Healthcare'!BEM1","Q6.7.16")</f>
        <v>Q6.7.16</v>
      </c>
      <c r="L1495" s="93" t="str">
        <f>HYPERLINK("#'Healthcare'!BEM2","Primary POS  medical plan: Annual plan limit")</f>
        <v>Primary POS  medical plan: Annual plan limit</v>
      </c>
      <c r="M1495" s="6"/>
      <c r="N1495" s="7"/>
      <c r="O1495" s="6"/>
      <c r="P1495" s="7"/>
      <c r="Q1495" s="6"/>
      <c r="R1495" s="7"/>
      <c r="S1495" s="6"/>
      <c r="T1495" s="7"/>
      <c r="U1495" s="6"/>
      <c r="V1495" s="7"/>
      <c r="W1495" s="6"/>
      <c r="X1495" s="7"/>
    </row>
    <row r="1496" spans="1:24" ht="25.5" x14ac:dyDescent="0.2">
      <c r="A1496" s="6"/>
      <c r="B1496" s="7"/>
      <c r="C1496" s="6"/>
      <c r="D1496" s="7"/>
      <c r="E1496" s="6"/>
      <c r="F1496" s="7"/>
      <c r="G1496" s="6"/>
      <c r="H1496" s="7"/>
      <c r="I1496" s="6"/>
      <c r="J1496" s="7"/>
      <c r="K1496" s="96" t="str">
        <f>HYPERLINK("#'Healthcare'!BEN1","Q6.7.18")</f>
        <v>Q6.7.18</v>
      </c>
      <c r="L1496" s="93" t="str">
        <f>HYPERLINK("#'Healthcare'!BEN2","Primary POS medical plan: Covers emergency services for non-emergencies")</f>
        <v>Primary POS medical plan: Covers emergency services for non-emergencies</v>
      </c>
      <c r="M1496" s="6"/>
      <c r="N1496" s="7"/>
      <c r="O1496" s="6"/>
      <c r="P1496" s="7"/>
      <c r="Q1496" s="6"/>
      <c r="R1496" s="7"/>
      <c r="S1496" s="6"/>
      <c r="T1496" s="7"/>
      <c r="U1496" s="6"/>
      <c r="V1496" s="7"/>
      <c r="W1496" s="6"/>
      <c r="X1496" s="7"/>
    </row>
    <row r="1497" spans="1:24" ht="38.25" x14ac:dyDescent="0.2">
      <c r="A1497" s="6"/>
      <c r="B1497" s="7"/>
      <c r="C1497" s="6"/>
      <c r="D1497" s="7"/>
      <c r="E1497" s="6"/>
      <c r="F1497" s="7"/>
      <c r="G1497" s="6"/>
      <c r="H1497" s="7"/>
      <c r="I1497" s="6"/>
      <c r="J1497" s="7"/>
      <c r="K1497" s="96" t="str">
        <f>HYPERLINK("#'Healthcare'!BEO1","Q6.7.19")</f>
        <v>Q6.7.19</v>
      </c>
      <c r="L1497" s="93" t="str">
        <f>HYPERLINK("#'Healthcare'!BEO2","Primary POS medical plan: Covers emergency services for non-emergencies at reduced amount")</f>
        <v>Primary POS medical plan: Covers emergency services for non-emergencies at reduced amount</v>
      </c>
      <c r="M1497" s="6"/>
      <c r="N1497" s="7"/>
      <c r="O1497" s="6"/>
      <c r="P1497" s="7"/>
      <c r="Q1497" s="6"/>
      <c r="R1497" s="7"/>
      <c r="S1497" s="6"/>
      <c r="T1497" s="7"/>
      <c r="U1497" s="6"/>
      <c r="V1497" s="7"/>
      <c r="W1497" s="6"/>
      <c r="X1497" s="7"/>
    </row>
    <row r="1498" spans="1:24" ht="38.25" x14ac:dyDescent="0.2">
      <c r="A1498" s="6"/>
      <c r="B1498" s="7"/>
      <c r="C1498" s="6"/>
      <c r="D1498" s="7"/>
      <c r="E1498" s="6"/>
      <c r="F1498" s="7"/>
      <c r="G1498" s="6"/>
      <c r="H1498" s="7"/>
      <c r="I1498" s="6"/>
      <c r="J1498" s="7"/>
      <c r="K1498" s="96" t="str">
        <f>HYPERLINK("#'Healthcare'!BEP1","Q6.7.20")</f>
        <v>Q6.7.20</v>
      </c>
      <c r="L1498" s="93" t="str">
        <f>HYPERLINK("#'Healthcare'!BEP2","Primary POS medical plan: Covers mental health and substance abuse emergencies differently")</f>
        <v>Primary POS medical plan: Covers mental health and substance abuse emergencies differently</v>
      </c>
      <c r="M1498" s="6"/>
      <c r="N1498" s="7"/>
      <c r="O1498" s="6"/>
      <c r="P1498" s="7"/>
      <c r="Q1498" s="6"/>
      <c r="R1498" s="7"/>
      <c r="S1498" s="6"/>
      <c r="T1498" s="7"/>
      <c r="U1498" s="6"/>
      <c r="V1498" s="7"/>
      <c r="W1498" s="6"/>
      <c r="X1498" s="7"/>
    </row>
    <row r="1499" spans="1:24" ht="38.25" x14ac:dyDescent="0.2">
      <c r="A1499" s="6"/>
      <c r="B1499" s="7"/>
      <c r="C1499" s="6"/>
      <c r="D1499" s="7"/>
      <c r="E1499" s="6"/>
      <c r="F1499" s="7"/>
      <c r="G1499" s="6"/>
      <c r="H1499" s="7"/>
      <c r="I1499" s="6"/>
      <c r="J1499" s="7"/>
      <c r="K1499" s="96" t="str">
        <f>HYPERLINK("#'Healthcare'!BEQ1","Q6.7.21")</f>
        <v>Q6.7.21</v>
      </c>
      <c r="L1499" s="93" t="str">
        <f>HYPERLINK("#'Healthcare'!BEQ2","Primary POS medical plan: Coverage for mental health and substance abuse emergencies")</f>
        <v>Primary POS medical plan: Coverage for mental health and substance abuse emergencies</v>
      </c>
      <c r="M1499" s="6"/>
      <c r="N1499" s="7"/>
      <c r="O1499" s="6"/>
      <c r="P1499" s="7"/>
      <c r="Q1499" s="6"/>
      <c r="R1499" s="7"/>
      <c r="S1499" s="6"/>
      <c r="T1499" s="7"/>
      <c r="U1499" s="6"/>
      <c r="V1499" s="7"/>
      <c r="W1499" s="6"/>
      <c r="X1499" s="7"/>
    </row>
    <row r="1500" spans="1:24" ht="25.5" x14ac:dyDescent="0.2">
      <c r="A1500" s="6"/>
      <c r="B1500" s="7"/>
      <c r="C1500" s="6"/>
      <c r="D1500" s="7"/>
      <c r="E1500" s="6"/>
      <c r="F1500" s="7"/>
      <c r="G1500" s="6"/>
      <c r="H1500" s="7"/>
      <c r="I1500" s="6"/>
      <c r="J1500" s="7"/>
      <c r="K1500" s="96" t="str">
        <f>HYPERLINK("#'Healthcare'!BER1","Q6.7.22")</f>
        <v>Q6.7.22</v>
      </c>
      <c r="L1500" s="93" t="str">
        <f>HYPERLINK("#'Healthcare'!BER2","Primary POS medical plan non-acute care services in-network coverage")</f>
        <v>Primary POS medical plan non-acute care services in-network coverage</v>
      </c>
      <c r="M1500" s="6"/>
      <c r="N1500" s="7"/>
      <c r="O1500" s="6"/>
      <c r="P1500" s="7"/>
      <c r="Q1500" s="6"/>
      <c r="R1500" s="7"/>
      <c r="S1500" s="6"/>
      <c r="T1500" s="7"/>
      <c r="U1500" s="6"/>
      <c r="V1500" s="7"/>
      <c r="W1500" s="6"/>
      <c r="X1500" s="7"/>
    </row>
    <row r="1501" spans="1:24" ht="25.5" x14ac:dyDescent="0.2">
      <c r="A1501" s="6"/>
      <c r="B1501" s="7"/>
      <c r="C1501" s="6"/>
      <c r="D1501" s="7"/>
      <c r="E1501" s="6"/>
      <c r="F1501" s="7"/>
      <c r="G1501" s="6"/>
      <c r="H1501" s="7"/>
      <c r="I1501" s="6"/>
      <c r="J1501" s="7"/>
      <c r="K1501" s="96" t="str">
        <f>HYPERLINK("#'Healthcare'!BES1","Q6.7.23")</f>
        <v>Q6.7.23</v>
      </c>
      <c r="L1501" s="93" t="str">
        <f>HYPERLINK("#'Healthcare'!BES2","Primary POS medical plan non-acute care services out-of-network coverage")</f>
        <v>Primary POS medical plan non-acute care services out-of-network coverage</v>
      </c>
      <c r="M1501" s="6"/>
      <c r="N1501" s="7"/>
      <c r="O1501" s="6"/>
      <c r="P1501" s="7"/>
      <c r="Q1501" s="6"/>
      <c r="R1501" s="7"/>
      <c r="S1501" s="6"/>
      <c r="T1501" s="7"/>
      <c r="U1501" s="6"/>
      <c r="V1501" s="7"/>
      <c r="W1501" s="6"/>
      <c r="X1501" s="7"/>
    </row>
    <row r="1502" spans="1:24" ht="25.5" x14ac:dyDescent="0.2">
      <c r="A1502" s="6"/>
      <c r="B1502" s="7"/>
      <c r="C1502" s="6"/>
      <c r="D1502" s="7"/>
      <c r="E1502" s="6"/>
      <c r="F1502" s="7"/>
      <c r="G1502" s="6"/>
      <c r="H1502" s="7"/>
      <c r="I1502" s="6"/>
      <c r="J1502" s="7"/>
      <c r="K1502" s="96" t="str">
        <f>HYPERLINK("#'Healthcare'!BET1","Q6.7.24_1")</f>
        <v>Q6.7.24_1</v>
      </c>
      <c r="L1502" s="93" t="str">
        <f>HYPERLINK("#'Healthcare'!BET2","Primary POS medical plan in-network copayment: General/Primary care office visit")</f>
        <v>Primary POS medical plan in-network copayment: General/Primary care office visit</v>
      </c>
      <c r="M1502" s="6"/>
      <c r="N1502" s="7"/>
      <c r="O1502" s="6"/>
      <c r="P1502" s="7"/>
      <c r="Q1502" s="6"/>
      <c r="R1502" s="7"/>
      <c r="S1502" s="6"/>
      <c r="T1502" s="7"/>
      <c r="U1502" s="6"/>
      <c r="V1502" s="7"/>
      <c r="W1502" s="6"/>
      <c r="X1502" s="7"/>
    </row>
    <row r="1503" spans="1:24" ht="25.5" x14ac:dyDescent="0.2">
      <c r="A1503" s="6"/>
      <c r="B1503" s="7"/>
      <c r="C1503" s="6"/>
      <c r="D1503" s="7"/>
      <c r="E1503" s="6"/>
      <c r="F1503" s="7"/>
      <c r="G1503" s="6"/>
      <c r="H1503" s="7"/>
      <c r="I1503" s="6"/>
      <c r="J1503" s="7"/>
      <c r="K1503" s="96" t="str">
        <f>HYPERLINK("#'Healthcare'!BEU1","Q6.7.24_2")</f>
        <v>Q6.7.24_2</v>
      </c>
      <c r="L1503" s="93" t="str">
        <f>HYPERLINK("#'Healthcare'!BEU2","Primary POS medical plan in-network copayment: Specialist office visit")</f>
        <v>Primary POS medical plan in-network copayment: Specialist office visit</v>
      </c>
      <c r="M1503" s="6"/>
      <c r="N1503" s="7"/>
      <c r="O1503" s="6"/>
      <c r="P1503" s="7"/>
      <c r="Q1503" s="6"/>
      <c r="R1503" s="7"/>
      <c r="S1503" s="6"/>
      <c r="T1503" s="7"/>
      <c r="U1503" s="6"/>
      <c r="V1503" s="7"/>
      <c r="W1503" s="6"/>
      <c r="X1503" s="7"/>
    </row>
    <row r="1504" spans="1:24" ht="38.25" x14ac:dyDescent="0.2">
      <c r="A1504" s="6"/>
      <c r="B1504" s="7"/>
      <c r="C1504" s="6"/>
      <c r="D1504" s="7"/>
      <c r="E1504" s="6"/>
      <c r="F1504" s="7"/>
      <c r="G1504" s="6"/>
      <c r="H1504" s="7"/>
      <c r="I1504" s="6"/>
      <c r="J1504" s="7"/>
      <c r="K1504" s="96" t="str">
        <f>HYPERLINK("#'Healthcare'!BEV1","Q6.7.24_3")</f>
        <v>Q6.7.24_3</v>
      </c>
      <c r="L1504" s="93" t="str">
        <f>HYPERLINK("#'Healthcare'!BEV2","Primary POS medical plan in-network copayment: Autism/applied behavioral analysis (ABA)")</f>
        <v>Primary POS medical plan in-network copayment: Autism/applied behavioral analysis (ABA)</v>
      </c>
      <c r="M1504" s="6"/>
      <c r="N1504" s="7"/>
      <c r="O1504" s="6"/>
      <c r="P1504" s="7"/>
      <c r="Q1504" s="6"/>
      <c r="R1504" s="7"/>
      <c r="S1504" s="6"/>
      <c r="T1504" s="7"/>
      <c r="U1504" s="6"/>
      <c r="V1504" s="7"/>
      <c r="W1504" s="6"/>
      <c r="X1504" s="7"/>
    </row>
    <row r="1505" spans="1:24" ht="25.5" x14ac:dyDescent="0.2">
      <c r="A1505" s="6"/>
      <c r="B1505" s="7"/>
      <c r="C1505" s="6"/>
      <c r="D1505" s="7"/>
      <c r="E1505" s="6"/>
      <c r="F1505" s="7"/>
      <c r="G1505" s="6"/>
      <c r="H1505" s="7"/>
      <c r="I1505" s="6"/>
      <c r="J1505" s="7"/>
      <c r="K1505" s="96" t="str">
        <f>HYPERLINK("#'Healthcare'!BEW1","Q6.7.24_4")</f>
        <v>Q6.7.24_4</v>
      </c>
      <c r="L1505" s="93" t="str">
        <f>HYPERLINK("#'Healthcare'!BEW2","Primary POS medical plan in-network copayment: Emergency room")</f>
        <v>Primary POS medical plan in-network copayment: Emergency room</v>
      </c>
      <c r="M1505" s="6"/>
      <c r="N1505" s="7"/>
      <c r="O1505" s="6"/>
      <c r="P1505" s="7"/>
      <c r="Q1505" s="6"/>
      <c r="R1505" s="7"/>
      <c r="S1505" s="6"/>
      <c r="T1505" s="7"/>
      <c r="U1505" s="6"/>
      <c r="V1505" s="7"/>
      <c r="W1505" s="6"/>
      <c r="X1505" s="7"/>
    </row>
    <row r="1506" spans="1:24" ht="25.5" x14ac:dyDescent="0.2">
      <c r="A1506" s="6"/>
      <c r="B1506" s="7"/>
      <c r="C1506" s="6"/>
      <c r="D1506" s="7"/>
      <c r="E1506" s="6"/>
      <c r="F1506" s="7"/>
      <c r="G1506" s="6"/>
      <c r="H1506" s="7"/>
      <c r="I1506" s="6"/>
      <c r="J1506" s="7"/>
      <c r="K1506" s="96" t="str">
        <f>HYPERLINK("#'Healthcare'!BEX1","Q6.7.24_5")</f>
        <v>Q6.7.24_5</v>
      </c>
      <c r="L1506" s="93" t="str">
        <f>HYPERLINK("#'Healthcare'!BEX2","Primary POS medical plan in-network copayment: Urgent office visit")</f>
        <v>Primary POS medical plan in-network copayment: Urgent office visit</v>
      </c>
      <c r="M1506" s="6"/>
      <c r="N1506" s="7"/>
      <c r="O1506" s="6"/>
      <c r="P1506" s="7"/>
      <c r="Q1506" s="6"/>
      <c r="R1506" s="7"/>
      <c r="S1506" s="6"/>
      <c r="T1506" s="7"/>
      <c r="U1506" s="6"/>
      <c r="V1506" s="7"/>
      <c r="W1506" s="6"/>
      <c r="X1506" s="7"/>
    </row>
    <row r="1507" spans="1:24" ht="25.5" x14ac:dyDescent="0.2">
      <c r="A1507" s="6"/>
      <c r="B1507" s="7"/>
      <c r="C1507" s="6"/>
      <c r="D1507" s="7"/>
      <c r="E1507" s="6"/>
      <c r="F1507" s="7"/>
      <c r="G1507" s="6"/>
      <c r="H1507" s="7"/>
      <c r="I1507" s="6"/>
      <c r="J1507" s="7"/>
      <c r="K1507" s="96" t="str">
        <f>HYPERLINK("#'Healthcare'!BEY1","Q6.7.24_7")</f>
        <v>Q6.7.24_7</v>
      </c>
      <c r="L1507" s="93" t="str">
        <f>HYPERLINK("#'Healthcare'!BEY2","Primary POS medical plan in-network copayment: Telehealth")</f>
        <v>Primary POS medical plan in-network copayment: Telehealth</v>
      </c>
      <c r="M1507" s="6"/>
      <c r="N1507" s="7"/>
      <c r="O1507" s="6"/>
      <c r="P1507" s="7"/>
      <c r="Q1507" s="6"/>
      <c r="R1507" s="7"/>
      <c r="S1507" s="6"/>
      <c r="T1507" s="7"/>
      <c r="U1507" s="6"/>
      <c r="V1507" s="7"/>
      <c r="W1507" s="6"/>
      <c r="X1507" s="7"/>
    </row>
    <row r="1508" spans="1:24" ht="25.5" x14ac:dyDescent="0.2">
      <c r="A1508" s="6"/>
      <c r="B1508" s="7"/>
      <c r="C1508" s="6"/>
      <c r="D1508" s="7"/>
      <c r="E1508" s="6"/>
      <c r="F1508" s="7"/>
      <c r="G1508" s="6"/>
      <c r="H1508" s="7"/>
      <c r="I1508" s="6"/>
      <c r="J1508" s="7"/>
      <c r="K1508" s="96" t="str">
        <f>HYPERLINK("#'Healthcare'!BEZ1","Q6.7.24_6")</f>
        <v>Q6.7.24_6</v>
      </c>
      <c r="L1508" s="93" t="str">
        <f>HYPERLINK("#'Healthcare'!BEZ2","Primary POS medical plan in-network copayment: Other")</f>
        <v>Primary POS medical plan in-network copayment: Other</v>
      </c>
      <c r="M1508" s="6"/>
      <c r="N1508" s="7"/>
      <c r="O1508" s="6"/>
      <c r="P1508" s="7"/>
      <c r="Q1508" s="6"/>
      <c r="R1508" s="7"/>
      <c r="S1508" s="6"/>
      <c r="T1508" s="7"/>
      <c r="U1508" s="6"/>
      <c r="V1508" s="7"/>
      <c r="W1508" s="6"/>
      <c r="X1508" s="7"/>
    </row>
    <row r="1509" spans="1:24" ht="25.5" x14ac:dyDescent="0.2">
      <c r="A1509" s="6"/>
      <c r="B1509" s="7"/>
      <c r="C1509" s="6"/>
      <c r="D1509" s="7"/>
      <c r="E1509" s="6"/>
      <c r="F1509" s="7"/>
      <c r="G1509" s="6"/>
      <c r="H1509" s="7"/>
      <c r="I1509" s="6"/>
      <c r="J1509" s="7"/>
      <c r="K1509" s="96" t="str">
        <f>HYPERLINK("#'Healthcare'!BFA1","Q6.7.25_1")</f>
        <v>Q6.7.25_1</v>
      </c>
      <c r="L1509" s="93" t="str">
        <f>HYPERLINK("#'Healthcare'!BFA2","Primary POS medical plan in-network coinsurance: General/Primary care office visit")</f>
        <v>Primary POS medical plan in-network coinsurance: General/Primary care office visit</v>
      </c>
      <c r="M1509" s="6"/>
      <c r="N1509" s="7"/>
      <c r="O1509" s="6"/>
      <c r="P1509" s="7"/>
      <c r="Q1509" s="6"/>
      <c r="R1509" s="7"/>
      <c r="S1509" s="6"/>
      <c r="T1509" s="7"/>
      <c r="U1509" s="6"/>
      <c r="V1509" s="7"/>
      <c r="W1509" s="6"/>
      <c r="X1509" s="7"/>
    </row>
    <row r="1510" spans="1:24" ht="25.5" x14ac:dyDescent="0.2">
      <c r="A1510" s="6"/>
      <c r="B1510" s="7"/>
      <c r="C1510" s="6"/>
      <c r="D1510" s="7"/>
      <c r="E1510" s="6"/>
      <c r="F1510" s="7"/>
      <c r="G1510" s="6"/>
      <c r="H1510" s="7"/>
      <c r="I1510" s="6"/>
      <c r="J1510" s="7"/>
      <c r="K1510" s="96" t="str">
        <f>HYPERLINK("#'Healthcare'!BFB1","Q6.7.25_2")</f>
        <v>Q6.7.25_2</v>
      </c>
      <c r="L1510" s="93" t="str">
        <f>HYPERLINK("#'Healthcare'!BFB2","Primary POS medical plan in-network coinsurance: Specialist office visit")</f>
        <v>Primary POS medical plan in-network coinsurance: Specialist office visit</v>
      </c>
      <c r="M1510" s="6"/>
      <c r="N1510" s="7"/>
      <c r="O1510" s="6"/>
      <c r="P1510" s="7"/>
      <c r="Q1510" s="6"/>
      <c r="R1510" s="7"/>
      <c r="S1510" s="6"/>
      <c r="T1510" s="7"/>
      <c r="U1510" s="6"/>
      <c r="V1510" s="7"/>
      <c r="W1510" s="6"/>
      <c r="X1510" s="7"/>
    </row>
    <row r="1511" spans="1:24" ht="38.25" x14ac:dyDescent="0.2">
      <c r="A1511" s="6"/>
      <c r="B1511" s="7"/>
      <c r="C1511" s="6"/>
      <c r="D1511" s="7"/>
      <c r="E1511" s="6"/>
      <c r="F1511" s="7"/>
      <c r="G1511" s="6"/>
      <c r="H1511" s="7"/>
      <c r="I1511" s="6"/>
      <c r="J1511" s="7"/>
      <c r="K1511" s="96" t="str">
        <f>HYPERLINK("#'Healthcare'!BFC1","Q6.7.25_3")</f>
        <v>Q6.7.25_3</v>
      </c>
      <c r="L1511" s="93" t="str">
        <f>HYPERLINK("#'Healthcare'!BFC2","Primary POS medical plan in-network coinsurance: Autism/applied behavioral analysis (ABA)")</f>
        <v>Primary POS medical plan in-network coinsurance: Autism/applied behavioral analysis (ABA)</v>
      </c>
      <c r="M1511" s="6"/>
      <c r="N1511" s="7"/>
      <c r="O1511" s="6"/>
      <c r="P1511" s="7"/>
      <c r="Q1511" s="6"/>
      <c r="R1511" s="7"/>
      <c r="S1511" s="6"/>
      <c r="T1511" s="7"/>
      <c r="U1511" s="6"/>
      <c r="V1511" s="7"/>
      <c r="W1511" s="6"/>
      <c r="X1511" s="7"/>
    </row>
    <row r="1512" spans="1:24" ht="25.5" x14ac:dyDescent="0.2">
      <c r="A1512" s="6"/>
      <c r="B1512" s="7"/>
      <c r="C1512" s="6"/>
      <c r="D1512" s="7"/>
      <c r="E1512" s="6"/>
      <c r="F1512" s="7"/>
      <c r="G1512" s="6"/>
      <c r="H1512" s="7"/>
      <c r="I1512" s="6"/>
      <c r="J1512" s="7"/>
      <c r="K1512" s="96" t="str">
        <f>HYPERLINK("#'Healthcare'!BFD1","Q6.7.25_4")</f>
        <v>Q6.7.25_4</v>
      </c>
      <c r="L1512" s="93" t="str">
        <f>HYPERLINK("#'Healthcare'!BFD2","Primary POS medical plan in-network coinsurance: Emergency room")</f>
        <v>Primary POS medical plan in-network coinsurance: Emergency room</v>
      </c>
      <c r="M1512" s="6"/>
      <c r="N1512" s="7"/>
      <c r="O1512" s="6"/>
      <c r="P1512" s="7"/>
      <c r="Q1512" s="6"/>
      <c r="R1512" s="7"/>
      <c r="S1512" s="6"/>
      <c r="T1512" s="7"/>
      <c r="U1512" s="6"/>
      <c r="V1512" s="7"/>
      <c r="W1512" s="6"/>
      <c r="X1512" s="7"/>
    </row>
    <row r="1513" spans="1:24" ht="25.5" x14ac:dyDescent="0.2">
      <c r="A1513" s="6"/>
      <c r="B1513" s="7"/>
      <c r="C1513" s="6"/>
      <c r="D1513" s="7"/>
      <c r="E1513" s="6"/>
      <c r="F1513" s="7"/>
      <c r="G1513" s="6"/>
      <c r="H1513" s="7"/>
      <c r="I1513" s="6"/>
      <c r="J1513" s="7"/>
      <c r="K1513" s="96" t="str">
        <f>HYPERLINK("#'Healthcare'!BFE1","Q6.7.25_5")</f>
        <v>Q6.7.25_5</v>
      </c>
      <c r="L1513" s="93" t="str">
        <f>HYPERLINK("#'Healthcare'!BFE2","Primary POS medical plan in-network coinsurance: Urgent office visit")</f>
        <v>Primary POS medical plan in-network coinsurance: Urgent office visit</v>
      </c>
      <c r="M1513" s="6"/>
      <c r="N1513" s="7"/>
      <c r="O1513" s="6"/>
      <c r="P1513" s="7"/>
      <c r="Q1513" s="6"/>
      <c r="R1513" s="7"/>
      <c r="S1513" s="6"/>
      <c r="T1513" s="7"/>
      <c r="U1513" s="6"/>
      <c r="V1513" s="7"/>
      <c r="W1513" s="6"/>
      <c r="X1513" s="7"/>
    </row>
    <row r="1514" spans="1:24" ht="25.5" x14ac:dyDescent="0.2">
      <c r="A1514" s="6"/>
      <c r="B1514" s="7"/>
      <c r="C1514" s="6"/>
      <c r="D1514" s="7"/>
      <c r="E1514" s="6"/>
      <c r="F1514" s="7"/>
      <c r="G1514" s="6"/>
      <c r="H1514" s="7"/>
      <c r="I1514" s="6"/>
      <c r="J1514" s="7"/>
      <c r="K1514" s="96" t="str">
        <f>HYPERLINK("#'Healthcare'!BFF1","Q6.7.25_7")</f>
        <v>Q6.7.25_7</v>
      </c>
      <c r="L1514" s="93" t="str">
        <f>HYPERLINK("#'Healthcare'!BFF2","Primary POS medical plan in-network coinsurance: Telehealth")</f>
        <v>Primary POS medical plan in-network coinsurance: Telehealth</v>
      </c>
      <c r="M1514" s="6"/>
      <c r="N1514" s="7"/>
      <c r="O1514" s="6"/>
      <c r="P1514" s="7"/>
      <c r="Q1514" s="6"/>
      <c r="R1514" s="7"/>
      <c r="S1514" s="6"/>
      <c r="T1514" s="7"/>
      <c r="U1514" s="6"/>
      <c r="V1514" s="7"/>
      <c r="W1514" s="6"/>
      <c r="X1514" s="7"/>
    </row>
    <row r="1515" spans="1:24" ht="25.5" x14ac:dyDescent="0.2">
      <c r="A1515" s="6"/>
      <c r="B1515" s="7"/>
      <c r="C1515" s="6"/>
      <c r="D1515" s="7"/>
      <c r="E1515" s="6"/>
      <c r="F1515" s="7"/>
      <c r="G1515" s="6"/>
      <c r="H1515" s="7"/>
      <c r="I1515" s="6"/>
      <c r="J1515" s="7"/>
      <c r="K1515" s="96" t="str">
        <f>HYPERLINK("#'Healthcare'!BFG1","Q6.7.25_6")</f>
        <v>Q6.7.25_6</v>
      </c>
      <c r="L1515" s="93" t="str">
        <f>HYPERLINK("#'Healthcare'!BFG2","Primary POS medical plan in-network coinsurance: Other")</f>
        <v>Primary POS medical plan in-network coinsurance: Other</v>
      </c>
      <c r="M1515" s="6"/>
      <c r="N1515" s="7"/>
      <c r="O1515" s="6"/>
      <c r="P1515" s="7"/>
      <c r="Q1515" s="6"/>
      <c r="R1515" s="7"/>
      <c r="S1515" s="6"/>
      <c r="T1515" s="7"/>
      <c r="U1515" s="6"/>
      <c r="V1515" s="7"/>
      <c r="W1515" s="6"/>
      <c r="X1515" s="7"/>
    </row>
    <row r="1516" spans="1:24" ht="25.5" x14ac:dyDescent="0.2">
      <c r="A1516" s="6"/>
      <c r="B1516" s="7"/>
      <c r="C1516" s="6"/>
      <c r="D1516" s="7"/>
      <c r="E1516" s="6"/>
      <c r="F1516" s="7"/>
      <c r="G1516" s="6"/>
      <c r="H1516" s="7"/>
      <c r="I1516" s="6"/>
      <c r="J1516" s="7"/>
      <c r="K1516" s="96" t="str">
        <f>HYPERLINK("#'Healthcare'!BFH1","Q6.7.26_1")</f>
        <v>Q6.7.26_1</v>
      </c>
      <c r="L1516" s="93" t="str">
        <f>HYPERLINK("#'Healthcare'!BFH2","Primary POS medical plan out-of-network copayment: General/Primary care office visit")</f>
        <v>Primary POS medical plan out-of-network copayment: General/Primary care office visit</v>
      </c>
      <c r="M1516" s="6"/>
      <c r="N1516" s="7"/>
      <c r="O1516" s="6"/>
      <c r="P1516" s="7"/>
      <c r="Q1516" s="6"/>
      <c r="R1516" s="7"/>
      <c r="S1516" s="6"/>
      <c r="T1516" s="7"/>
      <c r="U1516" s="6"/>
      <c r="V1516" s="7"/>
      <c r="W1516" s="6"/>
      <c r="X1516" s="7"/>
    </row>
    <row r="1517" spans="1:24" ht="25.5" x14ac:dyDescent="0.2">
      <c r="A1517" s="6"/>
      <c r="B1517" s="7"/>
      <c r="C1517" s="6"/>
      <c r="D1517" s="7"/>
      <c r="E1517" s="6"/>
      <c r="F1517" s="7"/>
      <c r="G1517" s="6"/>
      <c r="H1517" s="7"/>
      <c r="I1517" s="6"/>
      <c r="J1517" s="7"/>
      <c r="K1517" s="96" t="str">
        <f>HYPERLINK("#'Healthcare'!BFI1","Q6.7.26_2")</f>
        <v>Q6.7.26_2</v>
      </c>
      <c r="L1517" s="93" t="str">
        <f>HYPERLINK("#'Healthcare'!BFI2","Primary POS medical plan out-of-network copayment: Specialist office visit")</f>
        <v>Primary POS medical plan out-of-network copayment: Specialist office visit</v>
      </c>
      <c r="M1517" s="6"/>
      <c r="N1517" s="7"/>
      <c r="O1517" s="6"/>
      <c r="P1517" s="7"/>
      <c r="Q1517" s="6"/>
      <c r="R1517" s="7"/>
      <c r="S1517" s="6"/>
      <c r="T1517" s="7"/>
      <c r="U1517" s="6"/>
      <c r="V1517" s="7"/>
      <c r="W1517" s="6"/>
      <c r="X1517" s="7"/>
    </row>
    <row r="1518" spans="1:24" ht="38.25" x14ac:dyDescent="0.2">
      <c r="A1518" s="6"/>
      <c r="B1518" s="7"/>
      <c r="C1518" s="6"/>
      <c r="D1518" s="7"/>
      <c r="E1518" s="6"/>
      <c r="F1518" s="7"/>
      <c r="G1518" s="6"/>
      <c r="H1518" s="7"/>
      <c r="I1518" s="6"/>
      <c r="J1518" s="7"/>
      <c r="K1518" s="96" t="str">
        <f>HYPERLINK("#'Healthcare'!BFJ1","Q6.7.26_3")</f>
        <v>Q6.7.26_3</v>
      </c>
      <c r="L1518" s="93" t="str">
        <f>HYPERLINK("#'Healthcare'!BFJ2","Primary POS medical plan out-of-network copayment: Autism/applied behavioral analysis (ABA)")</f>
        <v>Primary POS medical plan out-of-network copayment: Autism/applied behavioral analysis (ABA)</v>
      </c>
      <c r="M1518" s="6"/>
      <c r="N1518" s="7"/>
      <c r="O1518" s="6"/>
      <c r="P1518" s="7"/>
      <c r="Q1518" s="6"/>
      <c r="R1518" s="7"/>
      <c r="S1518" s="6"/>
      <c r="T1518" s="7"/>
      <c r="U1518" s="6"/>
      <c r="V1518" s="7"/>
      <c r="W1518" s="6"/>
      <c r="X1518" s="7"/>
    </row>
    <row r="1519" spans="1:24" ht="25.5" x14ac:dyDescent="0.2">
      <c r="A1519" s="6"/>
      <c r="B1519" s="7"/>
      <c r="C1519" s="6"/>
      <c r="D1519" s="7"/>
      <c r="E1519" s="6"/>
      <c r="F1519" s="7"/>
      <c r="G1519" s="6"/>
      <c r="H1519" s="7"/>
      <c r="I1519" s="6"/>
      <c r="J1519" s="7"/>
      <c r="K1519" s="96" t="str">
        <f>HYPERLINK("#'Healthcare'!BFK1","Q6.7.26_4")</f>
        <v>Q6.7.26_4</v>
      </c>
      <c r="L1519" s="93" t="str">
        <f>HYPERLINK("#'Healthcare'!BFK2","Primary POS medical plan out-of-network copayment: Emergency room")</f>
        <v>Primary POS medical plan out-of-network copayment: Emergency room</v>
      </c>
      <c r="M1519" s="6"/>
      <c r="N1519" s="7"/>
      <c r="O1519" s="6"/>
      <c r="P1519" s="7"/>
      <c r="Q1519" s="6"/>
      <c r="R1519" s="7"/>
      <c r="S1519" s="6"/>
      <c r="T1519" s="7"/>
      <c r="U1519" s="6"/>
      <c r="V1519" s="7"/>
      <c r="W1519" s="6"/>
      <c r="X1519" s="7"/>
    </row>
    <row r="1520" spans="1:24" ht="25.5" x14ac:dyDescent="0.2">
      <c r="A1520" s="6"/>
      <c r="B1520" s="7"/>
      <c r="C1520" s="6"/>
      <c r="D1520" s="7"/>
      <c r="E1520" s="6"/>
      <c r="F1520" s="7"/>
      <c r="G1520" s="6"/>
      <c r="H1520" s="7"/>
      <c r="I1520" s="6"/>
      <c r="J1520" s="7"/>
      <c r="K1520" s="96" t="str">
        <f>HYPERLINK("#'Healthcare'!BFL1","Q6.7.26_5")</f>
        <v>Q6.7.26_5</v>
      </c>
      <c r="L1520" s="93" t="str">
        <f>HYPERLINK("#'Healthcare'!BFL2","Primary POS medical plan out-of-network copayment: Urgent office visit")</f>
        <v>Primary POS medical plan out-of-network copayment: Urgent office visit</v>
      </c>
      <c r="M1520" s="6"/>
      <c r="N1520" s="7"/>
      <c r="O1520" s="6"/>
      <c r="P1520" s="7"/>
      <c r="Q1520" s="6"/>
      <c r="R1520" s="7"/>
      <c r="S1520" s="6"/>
      <c r="T1520" s="7"/>
      <c r="U1520" s="6"/>
      <c r="V1520" s="7"/>
      <c r="W1520" s="6"/>
      <c r="X1520" s="7"/>
    </row>
    <row r="1521" spans="1:24" ht="25.5" x14ac:dyDescent="0.2">
      <c r="A1521" s="6"/>
      <c r="B1521" s="7"/>
      <c r="C1521" s="6"/>
      <c r="D1521" s="7"/>
      <c r="E1521" s="6"/>
      <c r="F1521" s="7"/>
      <c r="G1521" s="6"/>
      <c r="H1521" s="7"/>
      <c r="I1521" s="6"/>
      <c r="J1521" s="7"/>
      <c r="K1521" s="96" t="str">
        <f>HYPERLINK("#'Healthcare'!BFM1","Q6.7.26_7")</f>
        <v>Q6.7.26_7</v>
      </c>
      <c r="L1521" s="93" t="str">
        <f>HYPERLINK("#'Healthcare'!BFM2","Primary POS medical plan out-of-network copayment: Telehealth")</f>
        <v>Primary POS medical plan out-of-network copayment: Telehealth</v>
      </c>
      <c r="M1521" s="6"/>
      <c r="N1521" s="7"/>
      <c r="O1521" s="6"/>
      <c r="P1521" s="7"/>
      <c r="Q1521" s="6"/>
      <c r="R1521" s="7"/>
      <c r="S1521" s="6"/>
      <c r="T1521" s="7"/>
      <c r="U1521" s="6"/>
      <c r="V1521" s="7"/>
      <c r="W1521" s="6"/>
      <c r="X1521" s="7"/>
    </row>
    <row r="1522" spans="1:24" ht="25.5" x14ac:dyDescent="0.2">
      <c r="A1522" s="6"/>
      <c r="B1522" s="7"/>
      <c r="C1522" s="6"/>
      <c r="D1522" s="7"/>
      <c r="E1522" s="6"/>
      <c r="F1522" s="7"/>
      <c r="G1522" s="6"/>
      <c r="H1522" s="7"/>
      <c r="I1522" s="6"/>
      <c r="J1522" s="7"/>
      <c r="K1522" s="96" t="str">
        <f>HYPERLINK("#'Healthcare'!BFN1","Q6.7.26_6")</f>
        <v>Q6.7.26_6</v>
      </c>
      <c r="L1522" s="93" t="str">
        <f>HYPERLINK("#'Healthcare'!BFN2","Primary POS medical plan out-of-network copayment: Other")</f>
        <v>Primary POS medical plan out-of-network copayment: Other</v>
      </c>
      <c r="M1522" s="6"/>
      <c r="N1522" s="7"/>
      <c r="O1522" s="6"/>
      <c r="P1522" s="7"/>
      <c r="Q1522" s="6"/>
      <c r="R1522" s="7"/>
      <c r="S1522" s="6"/>
      <c r="T1522" s="7"/>
      <c r="U1522" s="6"/>
      <c r="V1522" s="7"/>
      <c r="W1522" s="6"/>
      <c r="X1522" s="7"/>
    </row>
    <row r="1523" spans="1:24" ht="25.5" x14ac:dyDescent="0.2">
      <c r="A1523" s="6"/>
      <c r="B1523" s="7"/>
      <c r="C1523" s="6"/>
      <c r="D1523" s="7"/>
      <c r="E1523" s="6"/>
      <c r="F1523" s="7"/>
      <c r="G1523" s="6"/>
      <c r="H1523" s="7"/>
      <c r="I1523" s="6"/>
      <c r="J1523" s="7"/>
      <c r="K1523" s="96" t="str">
        <f>HYPERLINK("#'Healthcare'!BFO1","Q6.7.27_1")</f>
        <v>Q6.7.27_1</v>
      </c>
      <c r="L1523" s="93" t="str">
        <f>HYPERLINK("#'Healthcare'!BFO2","Primary POS medical plan out-of-network coinsurance: General/Primary care office visit")</f>
        <v>Primary POS medical plan out-of-network coinsurance: General/Primary care office visit</v>
      </c>
      <c r="M1523" s="6"/>
      <c r="N1523" s="7"/>
      <c r="O1523" s="6"/>
      <c r="P1523" s="7"/>
      <c r="Q1523" s="6"/>
      <c r="R1523" s="7"/>
      <c r="S1523" s="6"/>
      <c r="T1523" s="7"/>
      <c r="U1523" s="6"/>
      <c r="V1523" s="7"/>
      <c r="W1523" s="6"/>
      <c r="X1523" s="7"/>
    </row>
    <row r="1524" spans="1:24" ht="25.5" x14ac:dyDescent="0.2">
      <c r="A1524" s="6"/>
      <c r="B1524" s="7"/>
      <c r="C1524" s="6"/>
      <c r="D1524" s="7"/>
      <c r="E1524" s="6"/>
      <c r="F1524" s="7"/>
      <c r="G1524" s="6"/>
      <c r="H1524" s="7"/>
      <c r="I1524" s="6"/>
      <c r="J1524" s="7"/>
      <c r="K1524" s="96" t="str">
        <f>HYPERLINK("#'Healthcare'!BFP1","Q6.7.27_2")</f>
        <v>Q6.7.27_2</v>
      </c>
      <c r="L1524" s="93" t="str">
        <f>HYPERLINK("#'Healthcare'!BFP2","Primary POS medical plan out-of-network coinsurance: Specialist office visit")</f>
        <v>Primary POS medical plan out-of-network coinsurance: Specialist office visit</v>
      </c>
      <c r="M1524" s="6"/>
      <c r="N1524" s="7"/>
      <c r="O1524" s="6"/>
      <c r="P1524" s="7"/>
      <c r="Q1524" s="6"/>
      <c r="R1524" s="7"/>
      <c r="S1524" s="6"/>
      <c r="T1524" s="7"/>
      <c r="U1524" s="6"/>
      <c r="V1524" s="7"/>
      <c r="W1524" s="6"/>
      <c r="X1524" s="7"/>
    </row>
    <row r="1525" spans="1:24" ht="38.25" x14ac:dyDescent="0.2">
      <c r="A1525" s="6"/>
      <c r="B1525" s="7"/>
      <c r="C1525" s="6"/>
      <c r="D1525" s="7"/>
      <c r="E1525" s="6"/>
      <c r="F1525" s="7"/>
      <c r="G1525" s="6"/>
      <c r="H1525" s="7"/>
      <c r="I1525" s="6"/>
      <c r="J1525" s="7"/>
      <c r="K1525" s="96" t="str">
        <f>HYPERLINK("#'Healthcare'!BFQ1","Q6.7.27_3")</f>
        <v>Q6.7.27_3</v>
      </c>
      <c r="L1525" s="93" t="str">
        <f>HYPERLINK("#'Healthcare'!BFQ2","Primary POS medical plan out-of-network coinsurance: Autism/applied behavioral analysis (ABA)")</f>
        <v>Primary POS medical plan out-of-network coinsurance: Autism/applied behavioral analysis (ABA)</v>
      </c>
      <c r="M1525" s="6"/>
      <c r="N1525" s="7"/>
      <c r="O1525" s="6"/>
      <c r="P1525" s="7"/>
      <c r="Q1525" s="6"/>
      <c r="R1525" s="7"/>
      <c r="S1525" s="6"/>
      <c r="T1525" s="7"/>
      <c r="U1525" s="6"/>
      <c r="V1525" s="7"/>
      <c r="W1525" s="6"/>
      <c r="X1525" s="7"/>
    </row>
    <row r="1526" spans="1:24" ht="25.5" x14ac:dyDescent="0.2">
      <c r="A1526" s="6"/>
      <c r="B1526" s="7"/>
      <c r="C1526" s="6"/>
      <c r="D1526" s="7"/>
      <c r="E1526" s="6"/>
      <c r="F1526" s="7"/>
      <c r="G1526" s="6"/>
      <c r="H1526" s="7"/>
      <c r="I1526" s="6"/>
      <c r="J1526" s="7"/>
      <c r="K1526" s="96" t="str">
        <f>HYPERLINK("#'Healthcare'!BFR1","Q6.7.27_4")</f>
        <v>Q6.7.27_4</v>
      </c>
      <c r="L1526" s="93" t="str">
        <f>HYPERLINK("#'Healthcare'!BFR2","Primary POS medical plan out-of-network coinsurance: Emergency room")</f>
        <v>Primary POS medical plan out-of-network coinsurance: Emergency room</v>
      </c>
      <c r="M1526" s="6"/>
      <c r="N1526" s="7"/>
      <c r="O1526" s="6"/>
      <c r="P1526" s="7"/>
      <c r="Q1526" s="6"/>
      <c r="R1526" s="7"/>
      <c r="S1526" s="6"/>
      <c r="T1526" s="7"/>
      <c r="U1526" s="6"/>
      <c r="V1526" s="7"/>
      <c r="W1526" s="6"/>
      <c r="X1526" s="7"/>
    </row>
    <row r="1527" spans="1:24" ht="25.5" x14ac:dyDescent="0.2">
      <c r="A1527" s="6"/>
      <c r="B1527" s="7"/>
      <c r="C1527" s="6"/>
      <c r="D1527" s="7"/>
      <c r="E1527" s="6"/>
      <c r="F1527" s="7"/>
      <c r="G1527" s="6"/>
      <c r="H1527" s="7"/>
      <c r="I1527" s="6"/>
      <c r="J1527" s="7"/>
      <c r="K1527" s="96" t="str">
        <f>HYPERLINK("#'Healthcare'!BFS1","Q6.7.27_5")</f>
        <v>Q6.7.27_5</v>
      </c>
      <c r="L1527" s="93" t="str">
        <f>HYPERLINK("#'Healthcare'!BFS2","Primary POS medical plan out-of-network coinsurance: Urgent office visit")</f>
        <v>Primary POS medical plan out-of-network coinsurance: Urgent office visit</v>
      </c>
      <c r="M1527" s="6"/>
      <c r="N1527" s="7"/>
      <c r="O1527" s="6"/>
      <c r="P1527" s="7"/>
      <c r="Q1527" s="6"/>
      <c r="R1527" s="7"/>
      <c r="S1527" s="6"/>
      <c r="T1527" s="7"/>
      <c r="U1527" s="6"/>
      <c r="V1527" s="7"/>
      <c r="W1527" s="6"/>
      <c r="X1527" s="7"/>
    </row>
    <row r="1528" spans="1:24" ht="25.5" x14ac:dyDescent="0.2">
      <c r="A1528" s="6"/>
      <c r="B1528" s="7"/>
      <c r="C1528" s="6"/>
      <c r="D1528" s="7"/>
      <c r="E1528" s="6"/>
      <c r="F1528" s="7"/>
      <c r="G1528" s="6"/>
      <c r="H1528" s="7"/>
      <c r="I1528" s="6"/>
      <c r="J1528" s="7"/>
      <c r="K1528" s="96" t="str">
        <f>HYPERLINK("#'Healthcare'!BFT1","Q6.7.27_7")</f>
        <v>Q6.7.27_7</v>
      </c>
      <c r="L1528" s="93" t="str">
        <f>HYPERLINK("#'Healthcare'!BFT2","Primary POS medical plan out-of-network coinsurance: Telehealth")</f>
        <v>Primary POS medical plan out-of-network coinsurance: Telehealth</v>
      </c>
      <c r="M1528" s="6"/>
      <c r="N1528" s="7"/>
      <c r="O1528" s="6"/>
      <c r="P1528" s="7"/>
      <c r="Q1528" s="6"/>
      <c r="R1528" s="7"/>
      <c r="S1528" s="6"/>
      <c r="T1528" s="7"/>
      <c r="U1528" s="6"/>
      <c r="V1528" s="7"/>
      <c r="W1528" s="6"/>
      <c r="X1528" s="7"/>
    </row>
    <row r="1529" spans="1:24" ht="25.5" x14ac:dyDescent="0.2">
      <c r="A1529" s="6"/>
      <c r="B1529" s="7"/>
      <c r="C1529" s="6"/>
      <c r="D1529" s="7"/>
      <c r="E1529" s="6"/>
      <c r="F1529" s="7"/>
      <c r="G1529" s="6"/>
      <c r="H1529" s="7"/>
      <c r="I1529" s="6"/>
      <c r="J1529" s="7"/>
      <c r="K1529" s="96" t="str">
        <f>HYPERLINK("#'Healthcare'!BFU1","Q6.7.27_6")</f>
        <v>Q6.7.27_6</v>
      </c>
      <c r="L1529" s="93" t="str">
        <f>HYPERLINK("#'Healthcare'!BFU2","Primary POS medical plan out-of-network coinsurance: Other")</f>
        <v>Primary POS medical plan out-of-network coinsurance: Other</v>
      </c>
      <c r="M1529" s="6"/>
      <c r="N1529" s="7"/>
      <c r="O1529" s="6"/>
      <c r="P1529" s="7"/>
      <c r="Q1529" s="6"/>
      <c r="R1529" s="7"/>
      <c r="S1529" s="6"/>
      <c r="T1529" s="7"/>
      <c r="U1529" s="6"/>
      <c r="V1529" s="7"/>
      <c r="W1529" s="6"/>
      <c r="X1529" s="7"/>
    </row>
    <row r="1530" spans="1:24" ht="38.25" x14ac:dyDescent="0.2">
      <c r="A1530" s="6"/>
      <c r="B1530" s="7"/>
      <c r="C1530" s="6"/>
      <c r="D1530" s="7"/>
      <c r="E1530" s="6"/>
      <c r="F1530" s="7"/>
      <c r="G1530" s="6"/>
      <c r="H1530" s="7"/>
      <c r="I1530" s="6"/>
      <c r="J1530" s="7"/>
      <c r="K1530" s="96" t="str">
        <f>HYPERLINK("#'Healthcare'!BFV1","Q6.7.28_1")</f>
        <v>Q6.7.28_1</v>
      </c>
      <c r="L1530" s="93" t="str">
        <f>HYPERLINK("#'Healthcare'!BFV2","Primary POS medical plan out-of-pocket cost share waived or reduced: General/Primary care office visit")</f>
        <v>Primary POS medical plan out-of-pocket cost share waived or reduced: General/Primary care office visit</v>
      </c>
      <c r="M1530" s="6"/>
      <c r="N1530" s="7"/>
      <c r="O1530" s="6"/>
      <c r="P1530" s="7"/>
      <c r="Q1530" s="6"/>
      <c r="R1530" s="7"/>
      <c r="S1530" s="6"/>
      <c r="T1530" s="7"/>
      <c r="U1530" s="6"/>
      <c r="V1530" s="7"/>
      <c r="W1530" s="6"/>
      <c r="X1530" s="7"/>
    </row>
    <row r="1531" spans="1:24" ht="25.5" x14ac:dyDescent="0.2">
      <c r="A1531" s="6"/>
      <c r="B1531" s="7"/>
      <c r="C1531" s="6"/>
      <c r="D1531" s="7"/>
      <c r="E1531" s="6"/>
      <c r="F1531" s="7"/>
      <c r="G1531" s="6"/>
      <c r="H1531" s="7"/>
      <c r="I1531" s="6"/>
      <c r="J1531" s="7"/>
      <c r="K1531" s="96" t="str">
        <f>HYPERLINK("#'Healthcare'!BFW1","Q6.7.28_2")</f>
        <v>Q6.7.28_2</v>
      </c>
      <c r="L1531" s="93" t="str">
        <f>HYPERLINK("#'Healthcare'!BFW2","Primary POS medical plan out-of-pocket cost share waived or reduced: Specialist office visit")</f>
        <v>Primary POS medical plan out-of-pocket cost share waived or reduced: Specialist office visit</v>
      </c>
      <c r="M1531" s="6"/>
      <c r="N1531" s="7"/>
      <c r="O1531" s="6"/>
      <c r="P1531" s="7"/>
      <c r="Q1531" s="6"/>
      <c r="R1531" s="7"/>
      <c r="S1531" s="6"/>
      <c r="T1531" s="7"/>
      <c r="U1531" s="6"/>
      <c r="V1531" s="7"/>
      <c r="W1531" s="6"/>
      <c r="X1531" s="7"/>
    </row>
    <row r="1532" spans="1:24" ht="38.25" x14ac:dyDescent="0.2">
      <c r="A1532" s="6"/>
      <c r="B1532" s="7"/>
      <c r="C1532" s="6"/>
      <c r="D1532" s="7"/>
      <c r="E1532" s="6"/>
      <c r="F1532" s="7"/>
      <c r="G1532" s="6"/>
      <c r="H1532" s="7"/>
      <c r="I1532" s="6"/>
      <c r="J1532" s="7"/>
      <c r="K1532" s="96" t="str">
        <f>HYPERLINK("#'Healthcare'!BFX1","Q6.7.28_3")</f>
        <v>Q6.7.28_3</v>
      </c>
      <c r="L1532" s="93" t="str">
        <f>HYPERLINK("#'Healthcare'!BFX2","Primary POS medical plan out-of-pocket cost share waived or reduced: Autism/applied behavioral analysis (ABA)")</f>
        <v>Primary POS medical plan out-of-pocket cost share waived or reduced: Autism/applied behavioral analysis (ABA)</v>
      </c>
      <c r="M1532" s="6"/>
      <c r="N1532" s="7"/>
      <c r="O1532" s="6"/>
      <c r="P1532" s="7"/>
      <c r="Q1532" s="6"/>
      <c r="R1532" s="7"/>
      <c r="S1532" s="6"/>
      <c r="T1532" s="7"/>
      <c r="U1532" s="6"/>
      <c r="V1532" s="7"/>
      <c r="W1532" s="6"/>
      <c r="X1532" s="7"/>
    </row>
    <row r="1533" spans="1:24" ht="25.5" x14ac:dyDescent="0.2">
      <c r="A1533" s="6"/>
      <c r="B1533" s="7"/>
      <c r="C1533" s="6"/>
      <c r="D1533" s="7"/>
      <c r="E1533" s="6"/>
      <c r="F1533" s="7"/>
      <c r="G1533" s="6"/>
      <c r="H1533" s="7"/>
      <c r="I1533" s="6"/>
      <c r="J1533" s="7"/>
      <c r="K1533" s="96" t="str">
        <f>HYPERLINK("#'Healthcare'!BFY1","Q6.7.28_4")</f>
        <v>Q6.7.28_4</v>
      </c>
      <c r="L1533" s="93" t="str">
        <f>HYPERLINK("#'Healthcare'!BFY2","Primary POS medical plan out-of-pocket cost share waived or reduced: Emergency room")</f>
        <v>Primary POS medical plan out-of-pocket cost share waived or reduced: Emergency room</v>
      </c>
      <c r="M1533" s="6"/>
      <c r="N1533" s="7"/>
      <c r="O1533" s="6"/>
      <c r="P1533" s="7"/>
      <c r="Q1533" s="6"/>
      <c r="R1533" s="7"/>
      <c r="S1533" s="6"/>
      <c r="T1533" s="7"/>
      <c r="U1533" s="6"/>
      <c r="V1533" s="7"/>
      <c r="W1533" s="6"/>
      <c r="X1533" s="7"/>
    </row>
    <row r="1534" spans="1:24" ht="25.5" x14ac:dyDescent="0.2">
      <c r="A1534" s="6"/>
      <c r="B1534" s="7"/>
      <c r="C1534" s="6"/>
      <c r="D1534" s="7"/>
      <c r="E1534" s="6"/>
      <c r="F1534" s="7"/>
      <c r="G1534" s="6"/>
      <c r="H1534" s="7"/>
      <c r="I1534" s="6"/>
      <c r="J1534" s="7"/>
      <c r="K1534" s="96" t="str">
        <f>HYPERLINK("#'Healthcare'!BFZ1","Q6.7.28_5")</f>
        <v>Q6.7.28_5</v>
      </c>
      <c r="L1534" s="93" t="str">
        <f>HYPERLINK("#'Healthcare'!BFZ2","Primary POS medical plan out-of-pocket cost share waived or reduced: Urgent office visit")</f>
        <v>Primary POS medical plan out-of-pocket cost share waived or reduced: Urgent office visit</v>
      </c>
      <c r="M1534" s="6"/>
      <c r="N1534" s="7"/>
      <c r="O1534" s="6"/>
      <c r="P1534" s="7"/>
      <c r="Q1534" s="6"/>
      <c r="R1534" s="7"/>
      <c r="S1534" s="6"/>
      <c r="T1534" s="7"/>
      <c r="U1534" s="6"/>
      <c r="V1534" s="7"/>
      <c r="W1534" s="6"/>
      <c r="X1534" s="7"/>
    </row>
    <row r="1535" spans="1:24" ht="25.5" x14ac:dyDescent="0.2">
      <c r="A1535" s="6"/>
      <c r="B1535" s="7"/>
      <c r="C1535" s="6"/>
      <c r="D1535" s="7"/>
      <c r="E1535" s="6"/>
      <c r="F1535" s="7"/>
      <c r="G1535" s="6"/>
      <c r="H1535" s="7"/>
      <c r="I1535" s="6"/>
      <c r="J1535" s="7"/>
      <c r="K1535" s="96" t="str">
        <f>HYPERLINK("#'Healthcare'!BGA1","Q6.7.28_6")</f>
        <v>Q6.7.28_6</v>
      </c>
      <c r="L1535" s="93" t="str">
        <f>HYPERLINK("#'Healthcare'!BGA2","Primary POS medical plan out-of-pocket cost share waived or reduced: Telehealth")</f>
        <v>Primary POS medical plan out-of-pocket cost share waived or reduced: Telehealth</v>
      </c>
      <c r="M1535" s="6"/>
      <c r="N1535" s="7"/>
      <c r="O1535" s="6"/>
      <c r="P1535" s="7"/>
      <c r="Q1535" s="6"/>
      <c r="R1535" s="7"/>
      <c r="S1535" s="6"/>
      <c r="T1535" s="7"/>
      <c r="U1535" s="6"/>
      <c r="V1535" s="7"/>
      <c r="W1535" s="6"/>
      <c r="X1535" s="7"/>
    </row>
    <row r="1536" spans="1:24" ht="25.5" x14ac:dyDescent="0.2">
      <c r="A1536" s="6"/>
      <c r="B1536" s="7"/>
      <c r="C1536" s="6"/>
      <c r="D1536" s="7"/>
      <c r="E1536" s="6"/>
      <c r="F1536" s="7"/>
      <c r="G1536" s="6"/>
      <c r="H1536" s="7"/>
      <c r="I1536" s="6"/>
      <c r="J1536" s="7"/>
      <c r="K1536" s="96" t="str">
        <f>HYPERLINK("#'Healthcare'!BGB1","Q6.7.28_7")</f>
        <v>Q6.7.28_7</v>
      </c>
      <c r="L1536" s="93" t="str">
        <f>HYPERLINK("#'Healthcare'!BGB2","Primary POS medical plan out-of-pocket cost share waived or reduced: Other")</f>
        <v>Primary POS medical plan out-of-pocket cost share waived or reduced: Other</v>
      </c>
      <c r="M1536" s="6"/>
      <c r="N1536" s="7"/>
      <c r="O1536" s="6"/>
      <c r="P1536" s="7"/>
      <c r="Q1536" s="6"/>
      <c r="R1536" s="7"/>
      <c r="S1536" s="6"/>
      <c r="T1536" s="7"/>
      <c r="U1536" s="6"/>
      <c r="V1536" s="7"/>
      <c r="W1536" s="6"/>
      <c r="X1536" s="7"/>
    </row>
    <row r="1537" spans="1:24" ht="51" x14ac:dyDescent="0.2">
      <c r="A1537" s="6"/>
      <c r="B1537" s="7"/>
      <c r="C1537" s="6"/>
      <c r="D1537" s="7"/>
      <c r="E1537" s="6"/>
      <c r="F1537" s="7"/>
      <c r="G1537" s="6"/>
      <c r="H1537" s="7"/>
      <c r="I1537" s="6"/>
      <c r="J1537" s="7"/>
      <c r="K1537" s="96" t="str">
        <f>HYPERLINK("#'Healthcare'!BGC1","Q6.7.29_1")</f>
        <v>Q6.7.29_1</v>
      </c>
      <c r="L1537" s="93" t="str">
        <f>HYPERLINK("#'Healthcare'!BGC2","Primary POS medical plan non-authorization/notification/not qualified services penalties applied: General/Primary care office visit")</f>
        <v>Primary POS medical plan non-authorization/notification/not qualified services penalties applied: General/Primary care office visit</v>
      </c>
      <c r="M1537" s="6"/>
      <c r="N1537" s="7"/>
      <c r="O1537" s="6"/>
      <c r="P1537" s="7"/>
      <c r="Q1537" s="6"/>
      <c r="R1537" s="7"/>
      <c r="S1537" s="6"/>
      <c r="T1537" s="7"/>
      <c r="U1537" s="6"/>
      <c r="V1537" s="7"/>
      <c r="W1537" s="6"/>
      <c r="X1537" s="7"/>
    </row>
    <row r="1538" spans="1:24" ht="38.25" x14ac:dyDescent="0.2">
      <c r="A1538" s="6"/>
      <c r="B1538" s="7"/>
      <c r="C1538" s="6"/>
      <c r="D1538" s="7"/>
      <c r="E1538" s="6"/>
      <c r="F1538" s="7"/>
      <c r="G1538" s="6"/>
      <c r="H1538" s="7"/>
      <c r="I1538" s="6"/>
      <c r="J1538" s="7"/>
      <c r="K1538" s="96" t="str">
        <f>HYPERLINK("#'Healthcare'!BGD1","Q6.7.29_2")</f>
        <v>Q6.7.29_2</v>
      </c>
      <c r="L1538" s="93" t="str">
        <f>HYPERLINK("#'Healthcare'!BGD2","Primary POS medical plan non-authorization/notification/not qualified services penalties applied: Specialist office visit")</f>
        <v>Primary POS medical plan non-authorization/notification/not qualified services penalties applied: Specialist office visit</v>
      </c>
      <c r="M1538" s="6"/>
      <c r="N1538" s="7"/>
      <c r="O1538" s="6"/>
      <c r="P1538" s="7"/>
      <c r="Q1538" s="6"/>
      <c r="R1538" s="7"/>
      <c r="S1538" s="6"/>
      <c r="T1538" s="7"/>
      <c r="U1538" s="6"/>
      <c r="V1538" s="7"/>
      <c r="W1538" s="6"/>
      <c r="X1538" s="7"/>
    </row>
    <row r="1539" spans="1:24" ht="51" x14ac:dyDescent="0.2">
      <c r="A1539" s="6"/>
      <c r="B1539" s="7"/>
      <c r="C1539" s="6"/>
      <c r="D1539" s="7"/>
      <c r="E1539" s="6"/>
      <c r="F1539" s="7"/>
      <c r="G1539" s="6"/>
      <c r="H1539" s="7"/>
      <c r="I1539" s="6"/>
      <c r="J1539" s="7"/>
      <c r="K1539" s="96" t="str">
        <f>HYPERLINK("#'Healthcare'!BGE1","Q6.7.29_3")</f>
        <v>Q6.7.29_3</v>
      </c>
      <c r="L1539" s="93" t="str">
        <f>HYPERLINK("#'Healthcare'!BGE2","Primary POS medical plan non-authorization/notification/not qualified services penalties applied: Autism/applied behavioral analysis (ABA)")</f>
        <v>Primary POS medical plan non-authorization/notification/not qualified services penalties applied: Autism/applied behavioral analysis (ABA)</v>
      </c>
      <c r="M1539" s="6"/>
      <c r="N1539" s="7"/>
      <c r="O1539" s="6"/>
      <c r="P1539" s="7"/>
      <c r="Q1539" s="6"/>
      <c r="R1539" s="7"/>
      <c r="S1539" s="6"/>
      <c r="T1539" s="7"/>
      <c r="U1539" s="6"/>
      <c r="V1539" s="7"/>
      <c r="W1539" s="6"/>
      <c r="X1539" s="7"/>
    </row>
    <row r="1540" spans="1:24" ht="38.25" x14ac:dyDescent="0.2">
      <c r="A1540" s="6"/>
      <c r="B1540" s="7"/>
      <c r="C1540" s="6"/>
      <c r="D1540" s="7"/>
      <c r="E1540" s="6"/>
      <c r="F1540" s="7"/>
      <c r="G1540" s="6"/>
      <c r="H1540" s="7"/>
      <c r="I1540" s="6"/>
      <c r="J1540" s="7"/>
      <c r="K1540" s="96" t="str">
        <f>HYPERLINK("#'Healthcare'!BGF1","Q6.7.29_4")</f>
        <v>Q6.7.29_4</v>
      </c>
      <c r="L1540" s="93" t="str">
        <f>HYPERLINK("#'Healthcare'!BGF2","Primary POS medical plan non-authorization/notification/not qualified services penalties applied: Emergency room")</f>
        <v>Primary POS medical plan non-authorization/notification/not qualified services penalties applied: Emergency room</v>
      </c>
      <c r="M1540" s="6"/>
      <c r="N1540" s="7"/>
      <c r="O1540" s="6"/>
      <c r="P1540" s="7"/>
      <c r="Q1540" s="6"/>
      <c r="R1540" s="7"/>
      <c r="S1540" s="6"/>
      <c r="T1540" s="7"/>
      <c r="U1540" s="6"/>
      <c r="V1540" s="7"/>
      <c r="W1540" s="6"/>
      <c r="X1540" s="7"/>
    </row>
    <row r="1541" spans="1:24" ht="38.25" x14ac:dyDescent="0.2">
      <c r="A1541" s="6"/>
      <c r="B1541" s="7"/>
      <c r="C1541" s="6"/>
      <c r="D1541" s="7"/>
      <c r="E1541" s="6"/>
      <c r="F1541" s="7"/>
      <c r="G1541" s="6"/>
      <c r="H1541" s="7"/>
      <c r="I1541" s="6"/>
      <c r="J1541" s="7"/>
      <c r="K1541" s="96" t="str">
        <f>HYPERLINK("#'Healthcare'!BGG1","Q6.7.29_5")</f>
        <v>Q6.7.29_5</v>
      </c>
      <c r="L1541" s="93" t="str">
        <f>HYPERLINK("#'Healthcare'!BGG2","Primary POS medical plan non-authorization/notification/not qualified services penalties applied: Urgent office visit")</f>
        <v>Primary POS medical plan non-authorization/notification/not qualified services penalties applied: Urgent office visit</v>
      </c>
      <c r="M1541" s="6"/>
      <c r="N1541" s="7"/>
      <c r="O1541" s="6"/>
      <c r="P1541" s="7"/>
      <c r="Q1541" s="6"/>
      <c r="R1541" s="7"/>
      <c r="S1541" s="6"/>
      <c r="T1541" s="7"/>
      <c r="U1541" s="6"/>
      <c r="V1541" s="7"/>
      <c r="W1541" s="6"/>
      <c r="X1541" s="7"/>
    </row>
    <row r="1542" spans="1:24" ht="38.25" x14ac:dyDescent="0.2">
      <c r="A1542" s="6"/>
      <c r="B1542" s="7"/>
      <c r="C1542" s="6"/>
      <c r="D1542" s="7"/>
      <c r="E1542" s="6"/>
      <c r="F1542" s="7"/>
      <c r="G1542" s="6"/>
      <c r="H1542" s="7"/>
      <c r="I1542" s="6"/>
      <c r="J1542" s="7"/>
      <c r="K1542" s="96" t="str">
        <f>HYPERLINK("#'Healthcare'!BGH1","Q6.7.29_6")</f>
        <v>Q6.7.29_6</v>
      </c>
      <c r="L1542" s="93" t="str">
        <f>HYPERLINK("#'Healthcare'!BGH2","Primary POS medical plan non-authorization/notification/not qualified services penalties applied: Telehealth")</f>
        <v>Primary POS medical plan non-authorization/notification/not qualified services penalties applied: Telehealth</v>
      </c>
      <c r="M1542" s="6"/>
      <c r="N1542" s="7"/>
      <c r="O1542" s="6"/>
      <c r="P1542" s="7"/>
      <c r="Q1542" s="6"/>
      <c r="R1542" s="7"/>
      <c r="S1542" s="6"/>
      <c r="T1542" s="7"/>
      <c r="U1542" s="6"/>
      <c r="V1542" s="7"/>
      <c r="W1542" s="6"/>
      <c r="X1542" s="7"/>
    </row>
    <row r="1543" spans="1:24" ht="38.25" x14ac:dyDescent="0.2">
      <c r="A1543" s="6"/>
      <c r="B1543" s="7"/>
      <c r="C1543" s="6"/>
      <c r="D1543" s="7"/>
      <c r="E1543" s="6"/>
      <c r="F1543" s="7"/>
      <c r="G1543" s="6"/>
      <c r="H1543" s="7"/>
      <c r="I1543" s="6"/>
      <c r="J1543" s="7"/>
      <c r="K1543" s="96" t="str">
        <f>HYPERLINK("#'Healthcare'!BGI1","Q6.7.29_7")</f>
        <v>Q6.7.29_7</v>
      </c>
      <c r="L1543" s="93" t="str">
        <f>HYPERLINK("#'Healthcare'!BGI2","Primary POS medical plan non-authorization/notification/not qualified services penalties applied: Other")</f>
        <v>Primary POS medical plan non-authorization/notification/not qualified services penalties applied: Other</v>
      </c>
      <c r="M1543" s="6"/>
      <c r="N1543" s="7"/>
      <c r="O1543" s="6"/>
      <c r="P1543" s="7"/>
      <c r="Q1543" s="6"/>
      <c r="R1543" s="7"/>
      <c r="S1543" s="6"/>
      <c r="T1543" s="7"/>
      <c r="U1543" s="6"/>
      <c r="V1543" s="7"/>
      <c r="W1543" s="6"/>
      <c r="X1543" s="7"/>
    </row>
    <row r="1544" spans="1:24" ht="25.5" x14ac:dyDescent="0.2">
      <c r="A1544" s="6"/>
      <c r="B1544" s="7"/>
      <c r="C1544" s="6"/>
      <c r="D1544" s="7"/>
      <c r="E1544" s="6"/>
      <c r="F1544" s="7"/>
      <c r="G1544" s="6"/>
      <c r="H1544" s="7"/>
      <c r="I1544" s="6"/>
      <c r="J1544" s="7"/>
      <c r="K1544" s="96" t="str">
        <f>HYPERLINK("#'Healthcare'!BGJ1","Q6.7.31_1")</f>
        <v>Q6.7.31_1</v>
      </c>
      <c r="L1544" s="93" t="str">
        <f>HYPERLINK("#'Healthcare'!BGJ2","Primary POS medical plan covered drug type: Preventive")</f>
        <v>Primary POS medical plan covered drug type: Preventive</v>
      </c>
      <c r="M1544" s="6"/>
      <c r="N1544" s="7"/>
      <c r="O1544" s="6"/>
      <c r="P1544" s="7"/>
      <c r="Q1544" s="6"/>
      <c r="R1544" s="7"/>
      <c r="S1544" s="6"/>
      <c r="T1544" s="7"/>
      <c r="U1544" s="6"/>
      <c r="V1544" s="7"/>
      <c r="W1544" s="6"/>
      <c r="X1544" s="7"/>
    </row>
    <row r="1545" spans="1:24" ht="25.5" x14ac:dyDescent="0.2">
      <c r="A1545" s="6"/>
      <c r="B1545" s="7"/>
      <c r="C1545" s="6"/>
      <c r="D1545" s="7"/>
      <c r="E1545" s="6"/>
      <c r="F1545" s="7"/>
      <c r="G1545" s="6"/>
      <c r="H1545" s="7"/>
      <c r="I1545" s="6"/>
      <c r="J1545" s="7"/>
      <c r="K1545" s="96" t="str">
        <f>HYPERLINK("#'Healthcare'!BGK1","Q6.7.31_2")</f>
        <v>Q6.7.31_2</v>
      </c>
      <c r="L1545" s="93" t="str">
        <f>HYPERLINK("#'Healthcare'!BGK2","Primary POS medical plan covered drug type: Maintenance")</f>
        <v>Primary POS medical plan covered drug type: Maintenance</v>
      </c>
      <c r="M1545" s="6"/>
      <c r="N1545" s="7"/>
      <c r="O1545" s="6"/>
      <c r="P1545" s="7"/>
      <c r="Q1545" s="6"/>
      <c r="R1545" s="7"/>
      <c r="S1545" s="6"/>
      <c r="T1545" s="7"/>
      <c r="U1545" s="6"/>
      <c r="V1545" s="7"/>
      <c r="W1545" s="6"/>
      <c r="X1545" s="7"/>
    </row>
    <row r="1546" spans="1:24" ht="25.5" x14ac:dyDescent="0.2">
      <c r="A1546" s="6"/>
      <c r="B1546" s="7"/>
      <c r="C1546" s="6"/>
      <c r="D1546" s="7"/>
      <c r="E1546" s="6"/>
      <c r="F1546" s="7"/>
      <c r="G1546" s="6"/>
      <c r="H1546" s="7"/>
      <c r="I1546" s="6"/>
      <c r="J1546" s="7"/>
      <c r="K1546" s="96" t="str">
        <f>HYPERLINK("#'Healthcare'!BGL1","Q6.7.31_3")</f>
        <v>Q6.7.31_3</v>
      </c>
      <c r="L1546" s="93" t="str">
        <f>HYPERLINK("#'Healthcare'!BGL2","Primary POS medical plan covered drug type: Generic")</f>
        <v>Primary POS medical plan covered drug type: Generic</v>
      </c>
      <c r="M1546" s="6"/>
      <c r="N1546" s="7"/>
      <c r="O1546" s="6"/>
      <c r="P1546" s="7"/>
      <c r="Q1546" s="6"/>
      <c r="R1546" s="7"/>
      <c r="S1546" s="6"/>
      <c r="T1546" s="7"/>
      <c r="U1546" s="6"/>
      <c r="V1546" s="7"/>
      <c r="W1546" s="6"/>
      <c r="X1546" s="7"/>
    </row>
    <row r="1547" spans="1:24" ht="25.5" x14ac:dyDescent="0.2">
      <c r="A1547" s="6"/>
      <c r="B1547" s="7"/>
      <c r="C1547" s="6"/>
      <c r="D1547" s="7"/>
      <c r="E1547" s="6"/>
      <c r="F1547" s="7"/>
      <c r="G1547" s="6"/>
      <c r="H1547" s="7"/>
      <c r="I1547" s="6"/>
      <c r="J1547" s="7"/>
      <c r="K1547" s="96" t="str">
        <f>HYPERLINK("#'Healthcare'!BGM1","Q6.7.31_4")</f>
        <v>Q6.7.31_4</v>
      </c>
      <c r="L1547" s="93" t="str">
        <f>HYPERLINK("#'Healthcare'!BGM2","Primary POS medical plan covered drug type: Specialty (includes injectables)")</f>
        <v>Primary POS medical plan covered drug type: Specialty (includes injectables)</v>
      </c>
      <c r="M1547" s="6"/>
      <c r="N1547" s="7"/>
      <c r="O1547" s="6"/>
      <c r="P1547" s="7"/>
      <c r="Q1547" s="6"/>
      <c r="R1547" s="7"/>
      <c r="S1547" s="6"/>
      <c r="T1547" s="7"/>
      <c r="U1547" s="6"/>
      <c r="V1547" s="7"/>
      <c r="W1547" s="6"/>
      <c r="X1547" s="7"/>
    </row>
    <row r="1548" spans="1:24" ht="25.5" x14ac:dyDescent="0.2">
      <c r="A1548" s="6"/>
      <c r="B1548" s="7"/>
      <c r="C1548" s="6"/>
      <c r="D1548" s="7"/>
      <c r="E1548" s="6"/>
      <c r="F1548" s="7"/>
      <c r="G1548" s="6"/>
      <c r="H1548" s="7"/>
      <c r="I1548" s="6"/>
      <c r="J1548" s="7"/>
      <c r="K1548" s="96" t="str">
        <f>HYPERLINK("#'Healthcare'!BGN1","Q6.7.31_5")</f>
        <v>Q6.7.31_5</v>
      </c>
      <c r="L1548" s="93" t="str">
        <f>HYPERLINK("#'Healthcare'!BGN2","Primary POS medical plan covered drug type: Lifestyle")</f>
        <v>Primary POS medical plan covered drug type: Lifestyle</v>
      </c>
      <c r="M1548" s="6"/>
      <c r="N1548" s="7"/>
      <c r="O1548" s="6"/>
      <c r="P1548" s="7"/>
      <c r="Q1548" s="6"/>
      <c r="R1548" s="7"/>
      <c r="S1548" s="6"/>
      <c r="T1548" s="7"/>
      <c r="U1548" s="6"/>
      <c r="V1548" s="7"/>
      <c r="W1548" s="6"/>
      <c r="X1548" s="7"/>
    </row>
    <row r="1549" spans="1:24" ht="25.5" x14ac:dyDescent="0.2">
      <c r="A1549" s="6"/>
      <c r="B1549" s="7"/>
      <c r="C1549" s="6"/>
      <c r="D1549" s="7"/>
      <c r="E1549" s="6"/>
      <c r="F1549" s="7"/>
      <c r="G1549" s="6"/>
      <c r="H1549" s="7"/>
      <c r="I1549" s="6"/>
      <c r="J1549" s="7"/>
      <c r="K1549" s="96" t="str">
        <f>HYPERLINK("#'Healthcare'!BGO1","Q6.7.31_6")</f>
        <v>Q6.7.31_6</v>
      </c>
      <c r="L1549" s="93" t="str">
        <f>HYPERLINK("#'Healthcare'!BGO2","Primary POS medical plan covered drug type: Compounds")</f>
        <v>Primary POS medical plan covered drug type: Compounds</v>
      </c>
      <c r="M1549" s="6"/>
      <c r="N1549" s="7"/>
      <c r="O1549" s="6"/>
      <c r="P1549" s="7"/>
      <c r="Q1549" s="6"/>
      <c r="R1549" s="7"/>
      <c r="S1549" s="6"/>
      <c r="T1549" s="7"/>
      <c r="U1549" s="6"/>
      <c r="V1549" s="7"/>
      <c r="W1549" s="6"/>
      <c r="X1549" s="7"/>
    </row>
    <row r="1550" spans="1:24" ht="25.5" x14ac:dyDescent="0.2">
      <c r="A1550" s="6"/>
      <c r="B1550" s="7"/>
      <c r="C1550" s="6"/>
      <c r="D1550" s="7"/>
      <c r="E1550" s="6"/>
      <c r="F1550" s="7"/>
      <c r="G1550" s="6"/>
      <c r="H1550" s="7"/>
      <c r="I1550" s="6"/>
      <c r="J1550" s="7"/>
      <c r="K1550" s="96" t="str">
        <f>HYPERLINK("#'Healthcare'!BGP1","Q6.7.31_7")</f>
        <v>Q6.7.31_7</v>
      </c>
      <c r="L1550" s="93" t="str">
        <f>HYPERLINK("#'Healthcare'!BGP2","Primary POS medical plan covered drug type: Biosimilars")</f>
        <v>Primary POS medical plan covered drug type: Biosimilars</v>
      </c>
      <c r="M1550" s="6"/>
      <c r="N1550" s="7"/>
      <c r="O1550" s="6"/>
      <c r="P1550" s="7"/>
      <c r="Q1550" s="6"/>
      <c r="R1550" s="7"/>
      <c r="S1550" s="6"/>
      <c r="T1550" s="7"/>
      <c r="U1550" s="6"/>
      <c r="V1550" s="7"/>
      <c r="W1550" s="6"/>
      <c r="X1550" s="7"/>
    </row>
    <row r="1551" spans="1:24" ht="25.5" x14ac:dyDescent="0.2">
      <c r="A1551" s="6"/>
      <c r="B1551" s="7"/>
      <c r="C1551" s="6"/>
      <c r="D1551" s="7"/>
      <c r="E1551" s="6"/>
      <c r="F1551" s="7"/>
      <c r="G1551" s="6"/>
      <c r="H1551" s="7"/>
      <c r="I1551" s="6"/>
      <c r="J1551" s="7"/>
      <c r="K1551" s="96" t="str">
        <f>HYPERLINK("#'Healthcare'!BGQ1","Q6.7.31_8")</f>
        <v>Q6.7.31_8</v>
      </c>
      <c r="L1551" s="93" t="str">
        <f>HYPERLINK("#'Healthcare'!BGQ2","Primary POS medical plan covered drug type: Over the counter (OTC) - prescribed")</f>
        <v>Primary POS medical plan covered drug type: Over the counter (OTC) - prescribed</v>
      </c>
      <c r="M1551" s="6"/>
      <c r="N1551" s="7"/>
      <c r="O1551" s="6"/>
      <c r="P1551" s="7"/>
      <c r="Q1551" s="6"/>
      <c r="R1551" s="7"/>
      <c r="S1551" s="6"/>
      <c r="T1551" s="7"/>
      <c r="U1551" s="6"/>
      <c r="V1551" s="7"/>
      <c r="W1551" s="6"/>
      <c r="X1551" s="7"/>
    </row>
    <row r="1552" spans="1:24" ht="25.5" x14ac:dyDescent="0.2">
      <c r="A1552" s="6"/>
      <c r="B1552" s="7"/>
      <c r="C1552" s="6"/>
      <c r="D1552" s="7"/>
      <c r="E1552" s="6"/>
      <c r="F1552" s="7"/>
      <c r="G1552" s="6"/>
      <c r="H1552" s="7"/>
      <c r="I1552" s="6"/>
      <c r="J1552" s="7"/>
      <c r="K1552" s="96" t="str">
        <f>HYPERLINK("#'Healthcare'!BGR1","Q6.7.31_9")</f>
        <v>Q6.7.31_9</v>
      </c>
      <c r="L1552" s="93" t="str">
        <f>HYPERLINK("#'Healthcare'!BGR2","Primary POS medical plan covered drug type: Over the counter (OTC) - non-prescribed")</f>
        <v>Primary POS medical plan covered drug type: Over the counter (OTC) - non-prescribed</v>
      </c>
      <c r="M1552" s="6"/>
      <c r="N1552" s="7"/>
      <c r="O1552" s="6"/>
      <c r="P1552" s="7"/>
      <c r="Q1552" s="6"/>
      <c r="R1552" s="7"/>
      <c r="S1552" s="6"/>
      <c r="T1552" s="7"/>
      <c r="U1552" s="6"/>
      <c r="V1552" s="7"/>
      <c r="W1552" s="6"/>
      <c r="X1552" s="7"/>
    </row>
    <row r="1553" spans="1:24" ht="25.5" x14ac:dyDescent="0.2">
      <c r="A1553" s="6"/>
      <c r="B1553" s="7"/>
      <c r="C1553" s="6"/>
      <c r="D1553" s="7"/>
      <c r="E1553" s="6"/>
      <c r="F1553" s="7"/>
      <c r="G1553" s="6"/>
      <c r="H1553" s="7"/>
      <c r="I1553" s="6"/>
      <c r="J1553" s="7"/>
      <c r="K1553" s="96" t="str">
        <f>HYPERLINK("#'Healthcare'!BGS1","Q6.7.31_10")</f>
        <v>Q6.7.31_10</v>
      </c>
      <c r="L1553" s="93" t="str">
        <f>HYPERLINK("#'Healthcare'!BGS2","Primary POS medical plan covered drug type: Other")</f>
        <v>Primary POS medical plan covered drug type: Other</v>
      </c>
      <c r="M1553" s="6"/>
      <c r="N1553" s="7"/>
      <c r="O1553" s="6"/>
      <c r="P1553" s="7"/>
      <c r="Q1553" s="6"/>
      <c r="R1553" s="7"/>
      <c r="S1553" s="6"/>
      <c r="T1553" s="7"/>
      <c r="U1553" s="6"/>
      <c r="V1553" s="7"/>
      <c r="W1553" s="6"/>
      <c r="X1553" s="7"/>
    </row>
    <row r="1554" spans="1:24" ht="38.25" x14ac:dyDescent="0.2">
      <c r="A1554" s="6"/>
      <c r="B1554" s="7"/>
      <c r="C1554" s="6"/>
      <c r="D1554" s="7"/>
      <c r="E1554" s="6"/>
      <c r="F1554" s="7"/>
      <c r="G1554" s="6"/>
      <c r="H1554" s="7"/>
      <c r="I1554" s="6"/>
      <c r="J1554" s="7"/>
      <c r="K1554" s="96" t="str">
        <f>HYPERLINK("#'Healthcare'!BGT1","Q6.7.32")</f>
        <v>Q6.7.32</v>
      </c>
      <c r="L1554" s="93" t="str">
        <f>HYPERLINK("#'Healthcare'!BGT2","Primary POS medical plan drug limits, exclusions, or required care management features: Preventive")</f>
        <v>Primary POS medical plan drug limits, exclusions, or required care management features: Preventive</v>
      </c>
      <c r="M1554" s="6"/>
      <c r="N1554" s="7"/>
      <c r="O1554" s="6"/>
      <c r="P1554" s="7"/>
      <c r="Q1554" s="6"/>
      <c r="R1554" s="7"/>
      <c r="S1554" s="6"/>
      <c r="T1554" s="7"/>
      <c r="U1554" s="6"/>
      <c r="V1554" s="7"/>
      <c r="W1554" s="6"/>
      <c r="X1554" s="7"/>
    </row>
    <row r="1555" spans="1:24" ht="38.25" x14ac:dyDescent="0.2">
      <c r="A1555" s="6"/>
      <c r="B1555" s="7"/>
      <c r="C1555" s="6"/>
      <c r="D1555" s="7"/>
      <c r="E1555" s="6"/>
      <c r="F1555" s="7"/>
      <c r="G1555" s="6"/>
      <c r="H1555" s="7"/>
      <c r="I1555" s="6"/>
      <c r="J1555" s="7"/>
      <c r="K1555" s="96" t="str">
        <f>HYPERLINK("#'Healthcare'!BGU1","Q6.7.33")</f>
        <v>Q6.7.33</v>
      </c>
      <c r="L1555" s="93" t="str">
        <f>HYPERLINK("#'Healthcare'!BGU2","Primary POS medical plan drug limits, exclusions, or required care management features: Maintenance")</f>
        <v>Primary POS medical plan drug limits, exclusions, or required care management features: Maintenance</v>
      </c>
      <c r="M1555" s="6"/>
      <c r="N1555" s="7"/>
      <c r="O1555" s="6"/>
      <c r="P1555" s="7"/>
      <c r="Q1555" s="6"/>
      <c r="R1555" s="7"/>
      <c r="S1555" s="6"/>
      <c r="T1555" s="7"/>
      <c r="U1555" s="6"/>
      <c r="V1555" s="7"/>
      <c r="W1555" s="6"/>
      <c r="X1555" s="7"/>
    </row>
    <row r="1556" spans="1:24" ht="38.25" x14ac:dyDescent="0.2">
      <c r="A1556" s="6"/>
      <c r="B1556" s="7"/>
      <c r="C1556" s="6"/>
      <c r="D1556" s="7"/>
      <c r="E1556" s="6"/>
      <c r="F1556" s="7"/>
      <c r="G1556" s="6"/>
      <c r="H1556" s="7"/>
      <c r="I1556" s="6"/>
      <c r="J1556" s="7"/>
      <c r="K1556" s="96" t="str">
        <f>HYPERLINK("#'Healthcare'!BGV1","Q6.7.34")</f>
        <v>Q6.7.34</v>
      </c>
      <c r="L1556" s="93" t="str">
        <f>HYPERLINK("#'Healthcare'!BGV2","Primary POS medical plan drug limits, exclusions, or required care management features: Generic")</f>
        <v>Primary POS medical plan drug limits, exclusions, or required care management features: Generic</v>
      </c>
      <c r="M1556" s="6"/>
      <c r="N1556" s="7"/>
      <c r="O1556" s="6"/>
      <c r="P1556" s="7"/>
      <c r="Q1556" s="6"/>
      <c r="R1556" s="7"/>
      <c r="S1556" s="6"/>
      <c r="T1556" s="7"/>
      <c r="U1556" s="6"/>
      <c r="V1556" s="7"/>
      <c r="W1556" s="6"/>
      <c r="X1556" s="7"/>
    </row>
    <row r="1557" spans="1:24" ht="38.25" x14ac:dyDescent="0.2">
      <c r="A1557" s="6"/>
      <c r="B1557" s="7"/>
      <c r="C1557" s="6"/>
      <c r="D1557" s="7"/>
      <c r="E1557" s="6"/>
      <c r="F1557" s="7"/>
      <c r="G1557" s="6"/>
      <c r="H1557" s="7"/>
      <c r="I1557" s="6"/>
      <c r="J1557" s="7"/>
      <c r="K1557" s="96" t="str">
        <f>HYPERLINK("#'Healthcare'!BGW1","Q6.7.35")</f>
        <v>Q6.7.35</v>
      </c>
      <c r="L1557" s="93" t="str">
        <f>HYPERLINK("#'Healthcare'!BGW2","Primary POS medical plan drug limits, exclusions, or required care management features: Specialty and injectables")</f>
        <v>Primary POS medical plan drug limits, exclusions, or required care management features: Specialty and injectables</v>
      </c>
      <c r="M1557" s="6"/>
      <c r="N1557" s="7"/>
      <c r="O1557" s="6"/>
      <c r="P1557" s="7"/>
      <c r="Q1557" s="6"/>
      <c r="R1557" s="7"/>
      <c r="S1557" s="6"/>
      <c r="T1557" s="7"/>
      <c r="U1557" s="6"/>
      <c r="V1557" s="7"/>
      <c r="W1557" s="6"/>
      <c r="X1557" s="7"/>
    </row>
    <row r="1558" spans="1:24" ht="38.25" x14ac:dyDescent="0.2">
      <c r="A1558" s="6"/>
      <c r="B1558" s="7"/>
      <c r="C1558" s="6"/>
      <c r="D1558" s="7"/>
      <c r="E1558" s="6"/>
      <c r="F1558" s="7"/>
      <c r="G1558" s="6"/>
      <c r="H1558" s="7"/>
      <c r="I1558" s="6"/>
      <c r="J1558" s="7"/>
      <c r="K1558" s="96" t="str">
        <f>HYPERLINK("#'Healthcare'!BGX1","Q6.7.36")</f>
        <v>Q6.7.36</v>
      </c>
      <c r="L1558" s="93" t="str">
        <f>HYPERLINK("#'Healthcare'!BGX2","Primary POS medical plan drug limits, exclusions, or required care management features: Lifestyle")</f>
        <v>Primary POS medical plan drug limits, exclusions, or required care management features: Lifestyle</v>
      </c>
      <c r="M1558" s="6"/>
      <c r="N1558" s="7"/>
      <c r="O1558" s="6"/>
      <c r="P1558" s="7"/>
      <c r="Q1558" s="6"/>
      <c r="R1558" s="7"/>
      <c r="S1558" s="6"/>
      <c r="T1558" s="7"/>
      <c r="U1558" s="6"/>
      <c r="V1558" s="7"/>
      <c r="W1558" s="6"/>
      <c r="X1558" s="7"/>
    </row>
    <row r="1559" spans="1:24" ht="38.25" x14ac:dyDescent="0.2">
      <c r="A1559" s="6"/>
      <c r="B1559" s="7"/>
      <c r="C1559" s="6"/>
      <c r="D1559" s="7"/>
      <c r="E1559" s="6"/>
      <c r="F1559" s="7"/>
      <c r="G1559" s="6"/>
      <c r="H1559" s="7"/>
      <c r="I1559" s="6"/>
      <c r="J1559" s="7"/>
      <c r="K1559" s="96" t="str">
        <f>HYPERLINK("#'Healthcare'!BGY1","Q6.7.37")</f>
        <v>Q6.7.37</v>
      </c>
      <c r="L1559" s="93" t="str">
        <f>HYPERLINK("#'Healthcare'!BGY2","Primary POS medical plan drug limits, exclusions, or required care management features: Compounds")</f>
        <v>Primary POS medical plan drug limits, exclusions, or required care management features: Compounds</v>
      </c>
      <c r="M1559" s="6"/>
      <c r="N1559" s="7"/>
      <c r="O1559" s="6"/>
      <c r="P1559" s="7"/>
      <c r="Q1559" s="6"/>
      <c r="R1559" s="7"/>
      <c r="S1559" s="6"/>
      <c r="T1559" s="7"/>
      <c r="U1559" s="6"/>
      <c r="V1559" s="7"/>
      <c r="W1559" s="6"/>
      <c r="X1559" s="7"/>
    </row>
    <row r="1560" spans="1:24" ht="38.25" x14ac:dyDescent="0.2">
      <c r="A1560" s="6"/>
      <c r="B1560" s="7"/>
      <c r="C1560" s="6"/>
      <c r="D1560" s="7"/>
      <c r="E1560" s="6"/>
      <c r="F1560" s="7"/>
      <c r="G1560" s="6"/>
      <c r="H1560" s="7"/>
      <c r="I1560" s="6"/>
      <c r="J1560" s="7"/>
      <c r="K1560" s="96" t="str">
        <f>HYPERLINK("#'Healthcare'!BGZ1","Q6.7.38")</f>
        <v>Q6.7.38</v>
      </c>
      <c r="L1560" s="93" t="str">
        <f>HYPERLINK("#'Healthcare'!BGZ2","Primary POS medical plan drug limits, exclusions, or required care management features: Biosimilars")</f>
        <v>Primary POS medical plan drug limits, exclusions, or required care management features: Biosimilars</v>
      </c>
      <c r="M1560" s="6"/>
      <c r="N1560" s="7"/>
      <c r="O1560" s="6"/>
      <c r="P1560" s="7"/>
      <c r="Q1560" s="6"/>
      <c r="R1560" s="7"/>
      <c r="S1560" s="6"/>
      <c r="T1560" s="7"/>
      <c r="U1560" s="6"/>
      <c r="V1560" s="7"/>
      <c r="W1560" s="6"/>
      <c r="X1560" s="7"/>
    </row>
    <row r="1561" spans="1:24" ht="38.25" x14ac:dyDescent="0.2">
      <c r="A1561" s="6"/>
      <c r="B1561" s="7"/>
      <c r="C1561" s="6"/>
      <c r="D1561" s="7"/>
      <c r="E1561" s="6"/>
      <c r="F1561" s="7"/>
      <c r="G1561" s="6"/>
      <c r="H1561" s="7"/>
      <c r="I1561" s="6"/>
      <c r="J1561" s="7"/>
      <c r="K1561" s="96" t="str">
        <f>HYPERLINK("#'Healthcare'!BHA1","Q6.7.39")</f>
        <v>Q6.7.39</v>
      </c>
      <c r="L1561" s="93" t="str">
        <f>HYPERLINK("#'Healthcare'!BHA2","Primary POS medical plan drug limits, exclusions, or required care management features: Over the counter - prescribed")</f>
        <v>Primary POS medical plan drug limits, exclusions, or required care management features: Over the counter - prescribed</v>
      </c>
      <c r="M1561" s="6"/>
      <c r="N1561" s="7"/>
      <c r="O1561" s="6"/>
      <c r="P1561" s="7"/>
      <c r="Q1561" s="6"/>
      <c r="R1561" s="7"/>
      <c r="S1561" s="6"/>
      <c r="T1561" s="7"/>
      <c r="U1561" s="6"/>
      <c r="V1561" s="7"/>
      <c r="W1561" s="6"/>
      <c r="X1561" s="7"/>
    </row>
    <row r="1562" spans="1:24" ht="38.25" x14ac:dyDescent="0.2">
      <c r="A1562" s="6"/>
      <c r="B1562" s="7"/>
      <c r="C1562" s="6"/>
      <c r="D1562" s="7"/>
      <c r="E1562" s="6"/>
      <c r="F1562" s="7"/>
      <c r="G1562" s="6"/>
      <c r="H1562" s="7"/>
      <c r="I1562" s="6"/>
      <c r="J1562" s="7"/>
      <c r="K1562" s="96" t="str">
        <f>HYPERLINK("#'Healthcare'!BHB1","Q6.7.40")</f>
        <v>Q6.7.40</v>
      </c>
      <c r="L1562" s="93" t="str">
        <f>HYPERLINK("#'Healthcare'!BHB2","Primary POS medical plan drug limits, exclusions, or required care management features: Over the counter - non-prescribed")</f>
        <v>Primary POS medical plan drug limits, exclusions, or required care management features: Over the counter - non-prescribed</v>
      </c>
      <c r="M1562" s="6"/>
      <c r="N1562" s="7"/>
      <c r="O1562" s="6"/>
      <c r="P1562" s="7"/>
      <c r="Q1562" s="6"/>
      <c r="R1562" s="7"/>
      <c r="S1562" s="6"/>
      <c r="T1562" s="7"/>
      <c r="U1562" s="6"/>
      <c r="V1562" s="7"/>
      <c r="W1562" s="6"/>
      <c r="X1562" s="7"/>
    </row>
    <row r="1563" spans="1:24" ht="25.5" x14ac:dyDescent="0.2">
      <c r="A1563" s="6"/>
      <c r="B1563" s="7"/>
      <c r="C1563" s="6"/>
      <c r="D1563" s="7"/>
      <c r="E1563" s="6"/>
      <c r="F1563" s="7"/>
      <c r="G1563" s="6"/>
      <c r="H1563" s="7"/>
      <c r="I1563" s="6"/>
      <c r="J1563" s="7"/>
      <c r="K1563" s="96" t="str">
        <f>HYPERLINK("#'Healthcare'!BHC1","Q6.7.41_1_1")</f>
        <v>Q6.7.41_1_1</v>
      </c>
      <c r="L1563" s="93" t="str">
        <f>HYPERLINK("#'Healthcare'!BHC2","Primary POS medical plan - tier #1 copayment: Retail/pharmacy in-network")</f>
        <v>Primary POS medical plan - tier #1 copayment: Retail/pharmacy in-network</v>
      </c>
      <c r="M1563" s="6"/>
      <c r="N1563" s="7"/>
      <c r="O1563" s="6"/>
      <c r="P1563" s="7"/>
      <c r="Q1563" s="6"/>
      <c r="R1563" s="7"/>
      <c r="S1563" s="6"/>
      <c r="T1563" s="7"/>
      <c r="U1563" s="6"/>
      <c r="V1563" s="7"/>
      <c r="W1563" s="6"/>
      <c r="X1563" s="7"/>
    </row>
    <row r="1564" spans="1:24" ht="25.5" x14ac:dyDescent="0.2">
      <c r="A1564" s="6"/>
      <c r="B1564" s="7"/>
      <c r="C1564" s="6"/>
      <c r="D1564" s="7"/>
      <c r="E1564" s="6"/>
      <c r="F1564" s="7"/>
      <c r="G1564" s="6"/>
      <c r="H1564" s="7"/>
      <c r="I1564" s="6"/>
      <c r="J1564" s="7"/>
      <c r="K1564" s="96" t="str">
        <f>HYPERLINK("#'Healthcare'!BHD1","Q6.7.41_1_2")</f>
        <v>Q6.7.41_1_2</v>
      </c>
      <c r="L1564" s="93" t="str">
        <f>HYPERLINK("#'Healthcare'!BHD2","Primary POS medical plan - tier #1 copayment: Retail/pharmacy out-of-network")</f>
        <v>Primary POS medical plan - tier #1 copayment: Retail/pharmacy out-of-network</v>
      </c>
      <c r="M1564" s="6"/>
      <c r="N1564" s="7"/>
      <c r="O1564" s="6"/>
      <c r="P1564" s="7"/>
      <c r="Q1564" s="6"/>
      <c r="R1564" s="7"/>
      <c r="S1564" s="6"/>
      <c r="T1564" s="7"/>
      <c r="U1564" s="6"/>
      <c r="V1564" s="7"/>
      <c r="W1564" s="6"/>
      <c r="X1564" s="7"/>
    </row>
    <row r="1565" spans="1:24" ht="25.5" x14ac:dyDescent="0.2">
      <c r="A1565" s="6"/>
      <c r="B1565" s="7"/>
      <c r="C1565" s="6"/>
      <c r="D1565" s="7"/>
      <c r="E1565" s="6"/>
      <c r="F1565" s="7"/>
      <c r="G1565" s="6"/>
      <c r="H1565" s="7"/>
      <c r="I1565" s="6"/>
      <c r="J1565" s="7"/>
      <c r="K1565" s="96" t="str">
        <f>HYPERLINK("#'Healthcare'!BHE1","Q6.7.41_1_3")</f>
        <v>Q6.7.41_1_3</v>
      </c>
      <c r="L1565" s="93" t="str">
        <f>HYPERLINK("#'Healthcare'!BHE2","Primary POS medical plan - tier #1 copayment: Mail order  in-network")</f>
        <v>Primary POS medical plan - tier #1 copayment: Mail order  in-network</v>
      </c>
      <c r="M1565" s="6"/>
      <c r="N1565" s="7"/>
      <c r="O1565" s="6"/>
      <c r="P1565" s="7"/>
      <c r="Q1565" s="6"/>
      <c r="R1565" s="7"/>
      <c r="S1565" s="6"/>
      <c r="T1565" s="7"/>
      <c r="U1565" s="6"/>
      <c r="V1565" s="7"/>
      <c r="W1565" s="6"/>
      <c r="X1565" s="7"/>
    </row>
    <row r="1566" spans="1:24" ht="25.5" x14ac:dyDescent="0.2">
      <c r="A1566" s="6"/>
      <c r="B1566" s="7"/>
      <c r="C1566" s="6"/>
      <c r="D1566" s="7"/>
      <c r="E1566" s="6"/>
      <c r="F1566" s="7"/>
      <c r="G1566" s="6"/>
      <c r="H1566" s="7"/>
      <c r="I1566" s="6"/>
      <c r="J1566" s="7"/>
      <c r="K1566" s="96" t="str">
        <f>HYPERLINK("#'Healthcare'!BHF1","Q6.7.41_1_4")</f>
        <v>Q6.7.41_1_4</v>
      </c>
      <c r="L1566" s="93" t="str">
        <f>HYPERLINK("#'Healthcare'!BHF2","Primary POS medical plan - tier #1 copayment: Mail order out-of-network")</f>
        <v>Primary POS medical plan - tier #1 copayment: Mail order out-of-network</v>
      </c>
      <c r="M1566" s="6"/>
      <c r="N1566" s="7"/>
      <c r="O1566" s="6"/>
      <c r="P1566" s="7"/>
      <c r="Q1566" s="6"/>
      <c r="R1566" s="7"/>
      <c r="S1566" s="6"/>
      <c r="T1566" s="7"/>
      <c r="U1566" s="6"/>
      <c r="V1566" s="7"/>
      <c r="W1566" s="6"/>
      <c r="X1566" s="7"/>
    </row>
    <row r="1567" spans="1:24" ht="25.5" x14ac:dyDescent="0.2">
      <c r="A1567" s="6"/>
      <c r="B1567" s="7"/>
      <c r="C1567" s="6"/>
      <c r="D1567" s="7"/>
      <c r="E1567" s="6"/>
      <c r="F1567" s="7"/>
      <c r="G1567" s="6"/>
      <c r="H1567" s="7"/>
      <c r="I1567" s="6"/>
      <c r="J1567" s="7"/>
      <c r="K1567" s="96" t="str">
        <f>HYPERLINK("#'Healthcare'!BHG1","Q6.7.41_2_1")</f>
        <v>Q6.7.41_2_1</v>
      </c>
      <c r="L1567" s="93" t="str">
        <f>HYPERLINK("#'Healthcare'!BHG2","Primary POS medical plan - tier #2 copayment: Retail/pharmacy in-network")</f>
        <v>Primary POS medical plan - tier #2 copayment: Retail/pharmacy in-network</v>
      </c>
      <c r="M1567" s="6"/>
      <c r="N1567" s="7"/>
      <c r="O1567" s="6"/>
      <c r="P1567" s="7"/>
      <c r="Q1567" s="6"/>
      <c r="R1567" s="7"/>
      <c r="S1567" s="6"/>
      <c r="T1567" s="7"/>
      <c r="U1567" s="6"/>
      <c r="V1567" s="7"/>
      <c r="W1567" s="6"/>
      <c r="X1567" s="7"/>
    </row>
    <row r="1568" spans="1:24" ht="25.5" x14ac:dyDescent="0.2">
      <c r="A1568" s="6"/>
      <c r="B1568" s="7"/>
      <c r="C1568" s="6"/>
      <c r="D1568" s="7"/>
      <c r="E1568" s="6"/>
      <c r="F1568" s="7"/>
      <c r="G1568" s="6"/>
      <c r="H1568" s="7"/>
      <c r="I1568" s="6"/>
      <c r="J1568" s="7"/>
      <c r="K1568" s="96" t="str">
        <f>HYPERLINK("#'Healthcare'!BHH1","Q6.7.41_2_2")</f>
        <v>Q6.7.41_2_2</v>
      </c>
      <c r="L1568" s="93" t="str">
        <f>HYPERLINK("#'Healthcare'!BHH2","Primary POS medical plan - tier #2 copayment: Retail/pharmacy out-of-network")</f>
        <v>Primary POS medical plan - tier #2 copayment: Retail/pharmacy out-of-network</v>
      </c>
      <c r="M1568" s="6"/>
      <c r="N1568" s="7"/>
      <c r="O1568" s="6"/>
      <c r="P1568" s="7"/>
      <c r="Q1568" s="6"/>
      <c r="R1568" s="7"/>
      <c r="S1568" s="6"/>
      <c r="T1568" s="7"/>
      <c r="U1568" s="6"/>
      <c r="V1568" s="7"/>
      <c r="W1568" s="6"/>
      <c r="X1568" s="7"/>
    </row>
    <row r="1569" spans="1:24" ht="25.5" x14ac:dyDescent="0.2">
      <c r="A1569" s="6"/>
      <c r="B1569" s="7"/>
      <c r="C1569" s="6"/>
      <c r="D1569" s="7"/>
      <c r="E1569" s="6"/>
      <c r="F1569" s="7"/>
      <c r="G1569" s="6"/>
      <c r="H1569" s="7"/>
      <c r="I1569" s="6"/>
      <c r="J1569" s="7"/>
      <c r="K1569" s="96" t="str">
        <f>HYPERLINK("#'Healthcare'!BHI1","Q6.7.41_2_3")</f>
        <v>Q6.7.41_2_3</v>
      </c>
      <c r="L1569" s="93" t="str">
        <f>HYPERLINK("#'Healthcare'!BHI2","Primary POS medical plan - tier #2 copayment: Mail order  in-network")</f>
        <v>Primary POS medical plan - tier #2 copayment: Mail order  in-network</v>
      </c>
      <c r="M1569" s="6"/>
      <c r="N1569" s="7"/>
      <c r="O1569" s="6"/>
      <c r="P1569" s="7"/>
      <c r="Q1569" s="6"/>
      <c r="R1569" s="7"/>
      <c r="S1569" s="6"/>
      <c r="T1569" s="7"/>
      <c r="U1569" s="6"/>
      <c r="V1569" s="7"/>
      <c r="W1569" s="6"/>
      <c r="X1569" s="7"/>
    </row>
    <row r="1570" spans="1:24" ht="25.5" x14ac:dyDescent="0.2">
      <c r="A1570" s="6"/>
      <c r="B1570" s="7"/>
      <c r="C1570" s="6"/>
      <c r="D1570" s="7"/>
      <c r="E1570" s="6"/>
      <c r="F1570" s="7"/>
      <c r="G1570" s="6"/>
      <c r="H1570" s="7"/>
      <c r="I1570" s="6"/>
      <c r="J1570" s="7"/>
      <c r="K1570" s="96" t="str">
        <f>HYPERLINK("#'Healthcare'!BHJ1","Q6.7.41_2_4")</f>
        <v>Q6.7.41_2_4</v>
      </c>
      <c r="L1570" s="93" t="str">
        <f>HYPERLINK("#'Healthcare'!BHJ2","Primary POS medical plan - tier #2 copayment: Mail order out-of-network")</f>
        <v>Primary POS medical plan - tier #2 copayment: Mail order out-of-network</v>
      </c>
      <c r="M1570" s="6"/>
      <c r="N1570" s="7"/>
      <c r="O1570" s="6"/>
      <c r="P1570" s="7"/>
      <c r="Q1570" s="6"/>
      <c r="R1570" s="7"/>
      <c r="S1570" s="6"/>
      <c r="T1570" s="7"/>
      <c r="U1570" s="6"/>
      <c r="V1570" s="7"/>
      <c r="W1570" s="6"/>
      <c r="X1570" s="7"/>
    </row>
    <row r="1571" spans="1:24" ht="25.5" x14ac:dyDescent="0.2">
      <c r="A1571" s="6"/>
      <c r="B1571" s="7"/>
      <c r="C1571" s="6"/>
      <c r="D1571" s="7"/>
      <c r="E1571" s="6"/>
      <c r="F1571" s="7"/>
      <c r="G1571" s="6"/>
      <c r="H1571" s="7"/>
      <c r="I1571" s="6"/>
      <c r="J1571" s="7"/>
      <c r="K1571" s="96" t="str">
        <f>HYPERLINK("#'Healthcare'!BHK1","Q6.7.41_3_1")</f>
        <v>Q6.7.41_3_1</v>
      </c>
      <c r="L1571" s="93" t="str">
        <f>HYPERLINK("#'Healthcare'!BHK2","Primary POS medical plan - tier #3 copayment: Retail/pharmacy in-network")</f>
        <v>Primary POS medical plan - tier #3 copayment: Retail/pharmacy in-network</v>
      </c>
      <c r="M1571" s="6"/>
      <c r="N1571" s="7"/>
      <c r="O1571" s="6"/>
      <c r="P1571" s="7"/>
      <c r="Q1571" s="6"/>
      <c r="R1571" s="7"/>
      <c r="S1571" s="6"/>
      <c r="T1571" s="7"/>
      <c r="U1571" s="6"/>
      <c r="V1571" s="7"/>
      <c r="W1571" s="6"/>
      <c r="X1571" s="7"/>
    </row>
    <row r="1572" spans="1:24" ht="25.5" x14ac:dyDescent="0.2">
      <c r="A1572" s="6"/>
      <c r="B1572" s="7"/>
      <c r="C1572" s="6"/>
      <c r="D1572" s="7"/>
      <c r="E1572" s="6"/>
      <c r="F1572" s="7"/>
      <c r="G1572" s="6"/>
      <c r="H1572" s="7"/>
      <c r="I1572" s="6"/>
      <c r="J1572" s="7"/>
      <c r="K1572" s="96" t="str">
        <f>HYPERLINK("#'Healthcare'!BHL1","Q6.7.41_3_2")</f>
        <v>Q6.7.41_3_2</v>
      </c>
      <c r="L1572" s="93" t="str">
        <f>HYPERLINK("#'Healthcare'!BHL2","Primary POS medical plan - tier #3 copayment: Retail/pharmacy out-of-network")</f>
        <v>Primary POS medical plan - tier #3 copayment: Retail/pharmacy out-of-network</v>
      </c>
      <c r="M1572" s="6"/>
      <c r="N1572" s="7"/>
      <c r="O1572" s="6"/>
      <c r="P1572" s="7"/>
      <c r="Q1572" s="6"/>
      <c r="R1572" s="7"/>
      <c r="S1572" s="6"/>
      <c r="T1572" s="7"/>
      <c r="U1572" s="6"/>
      <c r="V1572" s="7"/>
      <c r="W1572" s="6"/>
      <c r="X1572" s="7"/>
    </row>
    <row r="1573" spans="1:24" ht="25.5" x14ac:dyDescent="0.2">
      <c r="A1573" s="6"/>
      <c r="B1573" s="7"/>
      <c r="C1573" s="6"/>
      <c r="D1573" s="7"/>
      <c r="E1573" s="6"/>
      <c r="F1573" s="7"/>
      <c r="G1573" s="6"/>
      <c r="H1573" s="7"/>
      <c r="I1573" s="6"/>
      <c r="J1573" s="7"/>
      <c r="K1573" s="96" t="str">
        <f>HYPERLINK("#'Healthcare'!BHM1","Q6.7.41_3_3")</f>
        <v>Q6.7.41_3_3</v>
      </c>
      <c r="L1573" s="93" t="str">
        <f>HYPERLINK("#'Healthcare'!BHM2","Primary POS medical plan - tier #3 copayment: Mail order  in-network")</f>
        <v>Primary POS medical plan - tier #3 copayment: Mail order  in-network</v>
      </c>
      <c r="M1573" s="6"/>
      <c r="N1573" s="7"/>
      <c r="O1573" s="6"/>
      <c r="P1573" s="7"/>
      <c r="Q1573" s="6"/>
      <c r="R1573" s="7"/>
      <c r="S1573" s="6"/>
      <c r="T1573" s="7"/>
      <c r="U1573" s="6"/>
      <c r="V1573" s="7"/>
      <c r="W1573" s="6"/>
      <c r="X1573" s="7"/>
    </row>
    <row r="1574" spans="1:24" ht="25.5" x14ac:dyDescent="0.2">
      <c r="A1574" s="6"/>
      <c r="B1574" s="7"/>
      <c r="C1574" s="6"/>
      <c r="D1574" s="7"/>
      <c r="E1574" s="6"/>
      <c r="F1574" s="7"/>
      <c r="G1574" s="6"/>
      <c r="H1574" s="7"/>
      <c r="I1574" s="6"/>
      <c r="J1574" s="7"/>
      <c r="K1574" s="96" t="str">
        <f>HYPERLINK("#'Healthcare'!BHN1","Q6.7.41_3_4")</f>
        <v>Q6.7.41_3_4</v>
      </c>
      <c r="L1574" s="93" t="str">
        <f>HYPERLINK("#'Healthcare'!BHN2","Primary POS medical plan - tier #3 copayment: Mail order out-of-network")</f>
        <v>Primary POS medical plan - tier #3 copayment: Mail order out-of-network</v>
      </c>
      <c r="M1574" s="6"/>
      <c r="N1574" s="7"/>
      <c r="O1574" s="6"/>
      <c r="P1574" s="7"/>
      <c r="Q1574" s="6"/>
      <c r="R1574" s="7"/>
      <c r="S1574" s="6"/>
      <c r="T1574" s="7"/>
      <c r="U1574" s="6"/>
      <c r="V1574" s="7"/>
      <c r="W1574" s="6"/>
      <c r="X1574" s="7"/>
    </row>
    <row r="1575" spans="1:24" ht="25.5" x14ac:dyDescent="0.2">
      <c r="A1575" s="6"/>
      <c r="B1575" s="7"/>
      <c r="C1575" s="6"/>
      <c r="D1575" s="7"/>
      <c r="E1575" s="6"/>
      <c r="F1575" s="7"/>
      <c r="G1575" s="6"/>
      <c r="H1575" s="7"/>
      <c r="I1575" s="6"/>
      <c r="J1575" s="7"/>
      <c r="K1575" s="96" t="str">
        <f>HYPERLINK("#'Healthcare'!BHO1","Q6.7.41_4_1")</f>
        <v>Q6.7.41_4_1</v>
      </c>
      <c r="L1575" s="93" t="str">
        <f>HYPERLINK("#'Healthcare'!BHO2","Primary POS medical plan - tier #4 copayment: Retail/pharmacy in-network")</f>
        <v>Primary POS medical plan - tier #4 copayment: Retail/pharmacy in-network</v>
      </c>
      <c r="M1575" s="6"/>
      <c r="N1575" s="7"/>
      <c r="O1575" s="6"/>
      <c r="P1575" s="7"/>
      <c r="Q1575" s="6"/>
      <c r="R1575" s="7"/>
      <c r="S1575" s="6"/>
      <c r="T1575" s="7"/>
      <c r="U1575" s="6"/>
      <c r="V1575" s="7"/>
      <c r="W1575" s="6"/>
      <c r="X1575" s="7"/>
    </row>
    <row r="1576" spans="1:24" ht="25.5" x14ac:dyDescent="0.2">
      <c r="A1576" s="6"/>
      <c r="B1576" s="7"/>
      <c r="C1576" s="6"/>
      <c r="D1576" s="7"/>
      <c r="E1576" s="6"/>
      <c r="F1576" s="7"/>
      <c r="G1576" s="6"/>
      <c r="H1576" s="7"/>
      <c r="I1576" s="6"/>
      <c r="J1576" s="7"/>
      <c r="K1576" s="96" t="str">
        <f>HYPERLINK("#'Healthcare'!BHP1","Q6.7.41_4_2")</f>
        <v>Q6.7.41_4_2</v>
      </c>
      <c r="L1576" s="93" t="str">
        <f>HYPERLINK("#'Healthcare'!BHP2","Primary POS medical plan - tier #4 copayment: Retail/pharmacy out-of-network")</f>
        <v>Primary POS medical plan - tier #4 copayment: Retail/pharmacy out-of-network</v>
      </c>
      <c r="M1576" s="6"/>
      <c r="N1576" s="7"/>
      <c r="O1576" s="6"/>
      <c r="P1576" s="7"/>
      <c r="Q1576" s="6"/>
      <c r="R1576" s="7"/>
      <c r="S1576" s="6"/>
      <c r="T1576" s="7"/>
      <c r="U1576" s="6"/>
      <c r="V1576" s="7"/>
      <c r="W1576" s="6"/>
      <c r="X1576" s="7"/>
    </row>
    <row r="1577" spans="1:24" ht="25.5" x14ac:dyDescent="0.2">
      <c r="A1577" s="6"/>
      <c r="B1577" s="7"/>
      <c r="C1577" s="6"/>
      <c r="D1577" s="7"/>
      <c r="E1577" s="6"/>
      <c r="F1577" s="7"/>
      <c r="G1577" s="6"/>
      <c r="H1577" s="7"/>
      <c r="I1577" s="6"/>
      <c r="J1577" s="7"/>
      <c r="K1577" s="96" t="str">
        <f>HYPERLINK("#'Healthcare'!BHQ1","Q6.7.41_4_3")</f>
        <v>Q6.7.41_4_3</v>
      </c>
      <c r="L1577" s="93" t="str">
        <f>HYPERLINK("#'Healthcare'!BHQ2","Primary POS medical plan - tier #4 copayment: Mail order  in-network")</f>
        <v>Primary POS medical plan - tier #4 copayment: Mail order  in-network</v>
      </c>
      <c r="M1577" s="6"/>
      <c r="N1577" s="7"/>
      <c r="O1577" s="6"/>
      <c r="P1577" s="7"/>
      <c r="Q1577" s="6"/>
      <c r="R1577" s="7"/>
      <c r="S1577" s="6"/>
      <c r="T1577" s="7"/>
      <c r="U1577" s="6"/>
      <c r="V1577" s="7"/>
      <c r="W1577" s="6"/>
      <c r="X1577" s="7"/>
    </row>
    <row r="1578" spans="1:24" ht="25.5" x14ac:dyDescent="0.2">
      <c r="A1578" s="6"/>
      <c r="B1578" s="7"/>
      <c r="C1578" s="6"/>
      <c r="D1578" s="7"/>
      <c r="E1578" s="6"/>
      <c r="F1578" s="7"/>
      <c r="G1578" s="6"/>
      <c r="H1578" s="7"/>
      <c r="I1578" s="6"/>
      <c r="J1578" s="7"/>
      <c r="K1578" s="96" t="str">
        <f>HYPERLINK("#'Healthcare'!BHR1","Q6.7.41_4_4")</f>
        <v>Q6.7.41_4_4</v>
      </c>
      <c r="L1578" s="93" t="str">
        <f>HYPERLINK("#'Healthcare'!BHR2","Primary POS medical plan - tier #4 copayment: Mail order out-of-network")</f>
        <v>Primary POS medical plan - tier #4 copayment: Mail order out-of-network</v>
      </c>
      <c r="M1578" s="6"/>
      <c r="N1578" s="7"/>
      <c r="O1578" s="6"/>
      <c r="P1578" s="7"/>
      <c r="Q1578" s="6"/>
      <c r="R1578" s="7"/>
      <c r="S1578" s="6"/>
      <c r="T1578" s="7"/>
      <c r="U1578" s="6"/>
      <c r="V1578" s="7"/>
      <c r="W1578" s="6"/>
      <c r="X1578" s="7"/>
    </row>
    <row r="1579" spans="1:24" ht="25.5" x14ac:dyDescent="0.2">
      <c r="A1579" s="6"/>
      <c r="B1579" s="7"/>
      <c r="C1579" s="6"/>
      <c r="D1579" s="7"/>
      <c r="E1579" s="6"/>
      <c r="F1579" s="7"/>
      <c r="G1579" s="6"/>
      <c r="H1579" s="7"/>
      <c r="I1579" s="6"/>
      <c r="J1579" s="7"/>
      <c r="K1579" s="96" t="str">
        <f>HYPERLINK("#'Healthcare'!BHS1","Q6.7.41_5_1")</f>
        <v>Q6.7.41_5_1</v>
      </c>
      <c r="L1579" s="93" t="str">
        <f>HYPERLINK("#'Healthcare'!BHS2","Primary POS medical plan - tier #5 copayment: Retail/pharmacy in-network")</f>
        <v>Primary POS medical plan - tier #5 copayment: Retail/pharmacy in-network</v>
      </c>
      <c r="M1579" s="6"/>
      <c r="N1579" s="7"/>
      <c r="O1579" s="6"/>
      <c r="P1579" s="7"/>
      <c r="Q1579" s="6"/>
      <c r="R1579" s="7"/>
      <c r="S1579" s="6"/>
      <c r="T1579" s="7"/>
      <c r="U1579" s="6"/>
      <c r="V1579" s="7"/>
      <c r="W1579" s="6"/>
      <c r="X1579" s="7"/>
    </row>
    <row r="1580" spans="1:24" ht="25.5" x14ac:dyDescent="0.2">
      <c r="A1580" s="6"/>
      <c r="B1580" s="7"/>
      <c r="C1580" s="6"/>
      <c r="D1580" s="7"/>
      <c r="E1580" s="6"/>
      <c r="F1580" s="7"/>
      <c r="G1580" s="6"/>
      <c r="H1580" s="7"/>
      <c r="I1580" s="6"/>
      <c r="J1580" s="7"/>
      <c r="K1580" s="96" t="str">
        <f>HYPERLINK("#'Healthcare'!BHT1","Q6.7.41_5_2")</f>
        <v>Q6.7.41_5_2</v>
      </c>
      <c r="L1580" s="93" t="str">
        <f>HYPERLINK("#'Healthcare'!BHT2","Primary POS medical plan - tier #5 copayment: Retail/pharmacy out-of-network")</f>
        <v>Primary POS medical plan - tier #5 copayment: Retail/pharmacy out-of-network</v>
      </c>
      <c r="M1580" s="6"/>
      <c r="N1580" s="7"/>
      <c r="O1580" s="6"/>
      <c r="P1580" s="7"/>
      <c r="Q1580" s="6"/>
      <c r="R1580" s="7"/>
      <c r="S1580" s="6"/>
      <c r="T1580" s="7"/>
      <c r="U1580" s="6"/>
      <c r="V1580" s="7"/>
      <c r="W1580" s="6"/>
      <c r="X1580" s="7"/>
    </row>
    <row r="1581" spans="1:24" ht="25.5" x14ac:dyDescent="0.2">
      <c r="A1581" s="6"/>
      <c r="B1581" s="7"/>
      <c r="C1581" s="6"/>
      <c r="D1581" s="7"/>
      <c r="E1581" s="6"/>
      <c r="F1581" s="7"/>
      <c r="G1581" s="6"/>
      <c r="H1581" s="7"/>
      <c r="I1581" s="6"/>
      <c r="J1581" s="7"/>
      <c r="K1581" s="96" t="str">
        <f>HYPERLINK("#'Healthcare'!BHU1","Q6.7.41_5_3")</f>
        <v>Q6.7.41_5_3</v>
      </c>
      <c r="L1581" s="93" t="str">
        <f>HYPERLINK("#'Healthcare'!BHU2","Primary POS medical plan - tier #5 copayment: Mail order  in-network")</f>
        <v>Primary POS medical plan - tier #5 copayment: Mail order  in-network</v>
      </c>
      <c r="M1581" s="6"/>
      <c r="N1581" s="7"/>
      <c r="O1581" s="6"/>
      <c r="P1581" s="7"/>
      <c r="Q1581" s="6"/>
      <c r="R1581" s="7"/>
      <c r="S1581" s="6"/>
      <c r="T1581" s="7"/>
      <c r="U1581" s="6"/>
      <c r="V1581" s="7"/>
      <c r="W1581" s="6"/>
      <c r="X1581" s="7"/>
    </row>
    <row r="1582" spans="1:24" ht="25.5" x14ac:dyDescent="0.2">
      <c r="A1582" s="6"/>
      <c r="B1582" s="7"/>
      <c r="C1582" s="6"/>
      <c r="D1582" s="7"/>
      <c r="E1582" s="6"/>
      <c r="F1582" s="7"/>
      <c r="G1582" s="6"/>
      <c r="H1582" s="7"/>
      <c r="I1582" s="6"/>
      <c r="J1582" s="7"/>
      <c r="K1582" s="96" t="str">
        <f>HYPERLINK("#'Healthcare'!BHV1","Q6.7.41_5_4")</f>
        <v>Q6.7.41_5_4</v>
      </c>
      <c r="L1582" s="93" t="str">
        <f>HYPERLINK("#'Healthcare'!BHV2","Primary POS medical plan - tier #5 copayment: Mail order out-of-network")</f>
        <v>Primary POS medical plan - tier #5 copayment: Mail order out-of-network</v>
      </c>
      <c r="M1582" s="6"/>
      <c r="N1582" s="7"/>
      <c r="O1582" s="6"/>
      <c r="P1582" s="7"/>
      <c r="Q1582" s="6"/>
      <c r="R1582" s="7"/>
      <c r="S1582" s="6"/>
      <c r="T1582" s="7"/>
      <c r="U1582" s="6"/>
      <c r="V1582" s="7"/>
      <c r="W1582" s="6"/>
      <c r="X1582" s="7"/>
    </row>
    <row r="1583" spans="1:24" ht="25.5" x14ac:dyDescent="0.2">
      <c r="A1583" s="6"/>
      <c r="B1583" s="7"/>
      <c r="C1583" s="6"/>
      <c r="D1583" s="7"/>
      <c r="E1583" s="6"/>
      <c r="F1583" s="7"/>
      <c r="G1583" s="6"/>
      <c r="H1583" s="7"/>
      <c r="I1583" s="6"/>
      <c r="J1583" s="7"/>
      <c r="K1583" s="96" t="str">
        <f>HYPERLINK("#'Healthcare'!BHW1","Q6.7.41_6_1")</f>
        <v>Q6.7.41_6_1</v>
      </c>
      <c r="L1583" s="93" t="str">
        <f>HYPERLINK("#'Healthcare'!BHW2","Primary POS medical plan - specialty copayment: Retail/pharmacy in-network")</f>
        <v>Primary POS medical plan - specialty copayment: Retail/pharmacy in-network</v>
      </c>
      <c r="M1583" s="6"/>
      <c r="N1583" s="7"/>
      <c r="O1583" s="6"/>
      <c r="P1583" s="7"/>
      <c r="Q1583" s="6"/>
      <c r="R1583" s="7"/>
      <c r="S1583" s="6"/>
      <c r="T1583" s="7"/>
      <c r="U1583" s="6"/>
      <c r="V1583" s="7"/>
      <c r="W1583" s="6"/>
      <c r="X1583" s="7"/>
    </row>
    <row r="1584" spans="1:24" ht="25.5" x14ac:dyDescent="0.2">
      <c r="A1584" s="6"/>
      <c r="B1584" s="7"/>
      <c r="C1584" s="6"/>
      <c r="D1584" s="7"/>
      <c r="E1584" s="6"/>
      <c r="F1584" s="7"/>
      <c r="G1584" s="6"/>
      <c r="H1584" s="7"/>
      <c r="I1584" s="6"/>
      <c r="J1584" s="7"/>
      <c r="K1584" s="96" t="str">
        <f>HYPERLINK("#'Healthcare'!BHX1","Q6.7.41_6_2")</f>
        <v>Q6.7.41_6_2</v>
      </c>
      <c r="L1584" s="93" t="str">
        <f>HYPERLINK("#'Healthcare'!BHX2","Primary POS medical plan - specialty copayment: Retail/pharmacy out-of-network")</f>
        <v>Primary POS medical plan - specialty copayment: Retail/pharmacy out-of-network</v>
      </c>
      <c r="M1584" s="6"/>
      <c r="N1584" s="7"/>
      <c r="O1584" s="6"/>
      <c r="P1584" s="7"/>
      <c r="Q1584" s="6"/>
      <c r="R1584" s="7"/>
      <c r="S1584" s="6"/>
      <c r="T1584" s="7"/>
      <c r="U1584" s="6"/>
      <c r="V1584" s="7"/>
      <c r="W1584" s="6"/>
      <c r="X1584" s="7"/>
    </row>
    <row r="1585" spans="1:24" ht="25.5" x14ac:dyDescent="0.2">
      <c r="A1585" s="6"/>
      <c r="B1585" s="7"/>
      <c r="C1585" s="6"/>
      <c r="D1585" s="7"/>
      <c r="E1585" s="6"/>
      <c r="F1585" s="7"/>
      <c r="G1585" s="6"/>
      <c r="H1585" s="7"/>
      <c r="I1585" s="6"/>
      <c r="J1585" s="7"/>
      <c r="K1585" s="96" t="str">
        <f>HYPERLINK("#'Healthcare'!BHY1","Q6.7.41_6_3")</f>
        <v>Q6.7.41_6_3</v>
      </c>
      <c r="L1585" s="93" t="str">
        <f>HYPERLINK("#'Healthcare'!BHY2","Primary POS medical plan - specialty copayment: Mail order  in-network")</f>
        <v>Primary POS medical plan - specialty copayment: Mail order  in-network</v>
      </c>
      <c r="M1585" s="6"/>
      <c r="N1585" s="7"/>
      <c r="O1585" s="6"/>
      <c r="P1585" s="7"/>
      <c r="Q1585" s="6"/>
      <c r="R1585" s="7"/>
      <c r="S1585" s="6"/>
      <c r="T1585" s="7"/>
      <c r="U1585" s="6"/>
      <c r="V1585" s="7"/>
      <c r="W1585" s="6"/>
      <c r="X1585" s="7"/>
    </row>
    <row r="1586" spans="1:24" ht="25.5" x14ac:dyDescent="0.2">
      <c r="A1586" s="6"/>
      <c r="B1586" s="7"/>
      <c r="C1586" s="6"/>
      <c r="D1586" s="7"/>
      <c r="E1586" s="6"/>
      <c r="F1586" s="7"/>
      <c r="G1586" s="6"/>
      <c r="H1586" s="7"/>
      <c r="I1586" s="6"/>
      <c r="J1586" s="7"/>
      <c r="K1586" s="96" t="str">
        <f>HYPERLINK("#'Healthcare'!BHZ1","Q6.7.41_6_4")</f>
        <v>Q6.7.41_6_4</v>
      </c>
      <c r="L1586" s="93" t="str">
        <f>HYPERLINK("#'Healthcare'!BHZ2","Primary POS medical plan - specialty copayment: Mail order out-of-network")</f>
        <v>Primary POS medical plan - specialty copayment: Mail order out-of-network</v>
      </c>
      <c r="M1586" s="6"/>
      <c r="N1586" s="7"/>
      <c r="O1586" s="6"/>
      <c r="P1586" s="7"/>
      <c r="Q1586" s="6"/>
      <c r="R1586" s="7"/>
      <c r="S1586" s="6"/>
      <c r="T1586" s="7"/>
      <c r="U1586" s="6"/>
      <c r="V1586" s="7"/>
      <c r="W1586" s="6"/>
      <c r="X1586" s="7"/>
    </row>
    <row r="1587" spans="1:24" ht="25.5" x14ac:dyDescent="0.2">
      <c r="A1587" s="6"/>
      <c r="B1587" s="7"/>
      <c r="C1587" s="6"/>
      <c r="D1587" s="7"/>
      <c r="E1587" s="6"/>
      <c r="F1587" s="7"/>
      <c r="G1587" s="6"/>
      <c r="H1587" s="7"/>
      <c r="I1587" s="6"/>
      <c r="J1587" s="7"/>
      <c r="K1587" s="96" t="str">
        <f>HYPERLINK("#'Healthcare'!BIA1","Q6.7.41_7_1")</f>
        <v>Q6.7.41_7_1</v>
      </c>
      <c r="L1587" s="93" t="str">
        <f>HYPERLINK("#'Healthcare'!BIA2","Primary POS medical plan - Other copayment: Retail/pharmacy in-network")</f>
        <v>Primary POS medical plan - Other copayment: Retail/pharmacy in-network</v>
      </c>
      <c r="M1587" s="6"/>
      <c r="N1587" s="7"/>
      <c r="O1587" s="6"/>
      <c r="P1587" s="7"/>
      <c r="Q1587" s="6"/>
      <c r="R1587" s="7"/>
      <c r="S1587" s="6"/>
      <c r="T1587" s="7"/>
      <c r="U1587" s="6"/>
      <c r="V1587" s="7"/>
      <c r="W1587" s="6"/>
      <c r="X1587" s="7"/>
    </row>
    <row r="1588" spans="1:24" ht="25.5" x14ac:dyDescent="0.2">
      <c r="A1588" s="6"/>
      <c r="B1588" s="7"/>
      <c r="C1588" s="6"/>
      <c r="D1588" s="7"/>
      <c r="E1588" s="6"/>
      <c r="F1588" s="7"/>
      <c r="G1588" s="6"/>
      <c r="H1588" s="7"/>
      <c r="I1588" s="6"/>
      <c r="J1588" s="7"/>
      <c r="K1588" s="96" t="str">
        <f>HYPERLINK("#'Healthcare'!BIB1","Q6.7.41_7_2")</f>
        <v>Q6.7.41_7_2</v>
      </c>
      <c r="L1588" s="93" t="str">
        <f>HYPERLINK("#'Healthcare'!BIB2","Primary POS medical plan - Other copayment: Retail/pharmacy out-of-network")</f>
        <v>Primary POS medical plan - Other copayment: Retail/pharmacy out-of-network</v>
      </c>
      <c r="M1588" s="6"/>
      <c r="N1588" s="7"/>
      <c r="O1588" s="6"/>
      <c r="P1588" s="7"/>
      <c r="Q1588" s="6"/>
      <c r="R1588" s="7"/>
      <c r="S1588" s="6"/>
      <c r="T1588" s="7"/>
      <c r="U1588" s="6"/>
      <c r="V1588" s="7"/>
      <c r="W1588" s="6"/>
      <c r="X1588" s="7"/>
    </row>
    <row r="1589" spans="1:24" ht="25.5" x14ac:dyDescent="0.2">
      <c r="A1589" s="6"/>
      <c r="B1589" s="7"/>
      <c r="C1589" s="6"/>
      <c r="D1589" s="7"/>
      <c r="E1589" s="6"/>
      <c r="F1589" s="7"/>
      <c r="G1589" s="6"/>
      <c r="H1589" s="7"/>
      <c r="I1589" s="6"/>
      <c r="J1589" s="7"/>
      <c r="K1589" s="96" t="str">
        <f>HYPERLINK("#'Healthcare'!BIC1","Q6.7.41_7_3")</f>
        <v>Q6.7.41_7_3</v>
      </c>
      <c r="L1589" s="93" t="str">
        <f>HYPERLINK("#'Healthcare'!BIC2","Primary POS medical plan - Other copayment: Mail order  in-network")</f>
        <v>Primary POS medical plan - Other copayment: Mail order  in-network</v>
      </c>
      <c r="M1589" s="6"/>
      <c r="N1589" s="7"/>
      <c r="O1589" s="6"/>
      <c r="P1589" s="7"/>
      <c r="Q1589" s="6"/>
      <c r="R1589" s="7"/>
      <c r="S1589" s="6"/>
      <c r="T1589" s="7"/>
      <c r="U1589" s="6"/>
      <c r="V1589" s="7"/>
      <c r="W1589" s="6"/>
      <c r="X1589" s="7"/>
    </row>
    <row r="1590" spans="1:24" ht="25.5" x14ac:dyDescent="0.2">
      <c r="A1590" s="6"/>
      <c r="B1590" s="7"/>
      <c r="C1590" s="6"/>
      <c r="D1590" s="7"/>
      <c r="E1590" s="6"/>
      <c r="F1590" s="7"/>
      <c r="G1590" s="6"/>
      <c r="H1590" s="7"/>
      <c r="I1590" s="6"/>
      <c r="J1590" s="7"/>
      <c r="K1590" s="96" t="str">
        <f>HYPERLINK("#'Healthcare'!BID1","Q6.7.41_7_4")</f>
        <v>Q6.7.41_7_4</v>
      </c>
      <c r="L1590" s="93" t="str">
        <f>HYPERLINK("#'Healthcare'!BID2","Primary POS medical plan - Other copayment: Mail order out-of-network")</f>
        <v>Primary POS medical plan - Other copayment: Mail order out-of-network</v>
      </c>
      <c r="M1590" s="6"/>
      <c r="N1590" s="7"/>
      <c r="O1590" s="6"/>
      <c r="P1590" s="7"/>
      <c r="Q1590" s="6"/>
      <c r="R1590" s="7"/>
      <c r="S1590" s="6"/>
      <c r="T1590" s="7"/>
      <c r="U1590" s="6"/>
      <c r="V1590" s="7"/>
      <c r="W1590" s="6"/>
      <c r="X1590" s="7"/>
    </row>
    <row r="1591" spans="1:24" ht="25.5" x14ac:dyDescent="0.2">
      <c r="A1591" s="6"/>
      <c r="B1591" s="7"/>
      <c r="C1591" s="6"/>
      <c r="D1591" s="7"/>
      <c r="E1591" s="6"/>
      <c r="F1591" s="7"/>
      <c r="G1591" s="6"/>
      <c r="H1591" s="7"/>
      <c r="I1591" s="6"/>
      <c r="J1591" s="7"/>
      <c r="K1591" s="96" t="str">
        <f>HYPERLINK("#'Healthcare'!BIE1","Q6.7.42_1_1")</f>
        <v>Q6.7.42_1_1</v>
      </c>
      <c r="L1591" s="93" t="str">
        <f>HYPERLINK("#'Healthcare'!BIE2","Primary POS medical plan tier 1 coinsurance: Retail/pharmacy - in-network")</f>
        <v>Primary POS medical plan tier 1 coinsurance: Retail/pharmacy - in-network</v>
      </c>
      <c r="M1591" s="6"/>
      <c r="N1591" s="7"/>
      <c r="O1591" s="6"/>
      <c r="P1591" s="7"/>
      <c r="Q1591" s="6"/>
      <c r="R1591" s="7"/>
      <c r="S1591" s="6"/>
      <c r="T1591" s="7"/>
      <c r="U1591" s="6"/>
      <c r="V1591" s="7"/>
      <c r="W1591" s="6"/>
      <c r="X1591" s="7"/>
    </row>
    <row r="1592" spans="1:24" ht="25.5" x14ac:dyDescent="0.2">
      <c r="A1592" s="6"/>
      <c r="B1592" s="7"/>
      <c r="C1592" s="6"/>
      <c r="D1592" s="7"/>
      <c r="E1592" s="6"/>
      <c r="F1592" s="7"/>
      <c r="G1592" s="6"/>
      <c r="H1592" s="7"/>
      <c r="I1592" s="6"/>
      <c r="J1592" s="7"/>
      <c r="K1592" s="96" t="str">
        <f>HYPERLINK("#'Healthcare'!BIF1","Q6.7.42_2_1")</f>
        <v>Q6.7.42_2_1</v>
      </c>
      <c r="L1592" s="93" t="str">
        <f>HYPERLINK("#'Healthcare'!BIF2","Primary POS medical plan tier 2 coinsurance: Retail/pharmacy - in-network")</f>
        <v>Primary POS medical plan tier 2 coinsurance: Retail/pharmacy - in-network</v>
      </c>
      <c r="M1592" s="6"/>
      <c r="N1592" s="7"/>
      <c r="O1592" s="6"/>
      <c r="P1592" s="7"/>
      <c r="Q1592" s="6"/>
      <c r="R1592" s="7"/>
      <c r="S1592" s="6"/>
      <c r="T1592" s="7"/>
      <c r="U1592" s="6"/>
      <c r="V1592" s="7"/>
      <c r="W1592" s="6"/>
      <c r="X1592" s="7"/>
    </row>
    <row r="1593" spans="1:24" ht="25.5" x14ac:dyDescent="0.2">
      <c r="A1593" s="6"/>
      <c r="B1593" s="7"/>
      <c r="C1593" s="6"/>
      <c r="D1593" s="7"/>
      <c r="E1593" s="6"/>
      <c r="F1593" s="7"/>
      <c r="G1593" s="6"/>
      <c r="H1593" s="7"/>
      <c r="I1593" s="6"/>
      <c r="J1593" s="7"/>
      <c r="K1593" s="96" t="str">
        <f>HYPERLINK("#'Healthcare'!BIG1","Q6.7.42_3_1")</f>
        <v>Q6.7.42_3_1</v>
      </c>
      <c r="L1593" s="93" t="str">
        <f>HYPERLINK("#'Healthcare'!BIG2","Primary POS medical plan tier 3 coinsurance: Retail/pharmacy - in-network")</f>
        <v>Primary POS medical plan tier 3 coinsurance: Retail/pharmacy - in-network</v>
      </c>
      <c r="M1593" s="6"/>
      <c r="N1593" s="7"/>
      <c r="O1593" s="6"/>
      <c r="P1593" s="7"/>
      <c r="Q1593" s="6"/>
      <c r="R1593" s="7"/>
      <c r="S1593" s="6"/>
      <c r="T1593" s="7"/>
      <c r="U1593" s="6"/>
      <c r="V1593" s="7"/>
      <c r="W1593" s="6"/>
      <c r="X1593" s="7"/>
    </row>
    <row r="1594" spans="1:24" ht="25.5" x14ac:dyDescent="0.2">
      <c r="A1594" s="6"/>
      <c r="B1594" s="7"/>
      <c r="C1594" s="6"/>
      <c r="D1594" s="7"/>
      <c r="E1594" s="6"/>
      <c r="F1594" s="7"/>
      <c r="G1594" s="6"/>
      <c r="H1594" s="7"/>
      <c r="I1594" s="6"/>
      <c r="J1594" s="7"/>
      <c r="K1594" s="96" t="str">
        <f>HYPERLINK("#'Healthcare'!BIH1","Q6.7.42_4_1")</f>
        <v>Q6.7.42_4_1</v>
      </c>
      <c r="L1594" s="93" t="str">
        <f>HYPERLINK("#'Healthcare'!BIH2","Primary POS medical plan tier 4 coinsurance: Retail/pharmacy - in-network")</f>
        <v>Primary POS medical plan tier 4 coinsurance: Retail/pharmacy - in-network</v>
      </c>
      <c r="M1594" s="6"/>
      <c r="N1594" s="7"/>
      <c r="O1594" s="6"/>
      <c r="P1594" s="7"/>
      <c r="Q1594" s="6"/>
      <c r="R1594" s="7"/>
      <c r="S1594" s="6"/>
      <c r="T1594" s="7"/>
      <c r="U1594" s="6"/>
      <c r="V1594" s="7"/>
      <c r="W1594" s="6"/>
      <c r="X1594" s="7"/>
    </row>
    <row r="1595" spans="1:24" ht="25.5" x14ac:dyDescent="0.2">
      <c r="A1595" s="6"/>
      <c r="B1595" s="7"/>
      <c r="C1595" s="6"/>
      <c r="D1595" s="7"/>
      <c r="E1595" s="6"/>
      <c r="F1595" s="7"/>
      <c r="G1595" s="6"/>
      <c r="H1595" s="7"/>
      <c r="I1595" s="6"/>
      <c r="J1595" s="7"/>
      <c r="K1595" s="96" t="str">
        <f>HYPERLINK("#'Healthcare'!BII1","Q6.7.42_5_1")</f>
        <v>Q6.7.42_5_1</v>
      </c>
      <c r="L1595" s="93" t="str">
        <f>HYPERLINK("#'Healthcare'!BII2","Primary POS medical plan tier 5 coinsurance: Retail/pharmacy - in-network")</f>
        <v>Primary POS medical plan tier 5 coinsurance: Retail/pharmacy - in-network</v>
      </c>
      <c r="M1595" s="6"/>
      <c r="N1595" s="7"/>
      <c r="O1595" s="6"/>
      <c r="P1595" s="7"/>
      <c r="Q1595" s="6"/>
      <c r="R1595" s="7"/>
      <c r="S1595" s="6"/>
      <c r="T1595" s="7"/>
      <c r="U1595" s="6"/>
      <c r="V1595" s="7"/>
      <c r="W1595" s="6"/>
      <c r="X1595" s="7"/>
    </row>
    <row r="1596" spans="1:24" ht="25.5" x14ac:dyDescent="0.2">
      <c r="A1596" s="6"/>
      <c r="B1596" s="7"/>
      <c r="C1596" s="6"/>
      <c r="D1596" s="7"/>
      <c r="E1596" s="6"/>
      <c r="F1596" s="7"/>
      <c r="G1596" s="6"/>
      <c r="H1596" s="7"/>
      <c r="I1596" s="6"/>
      <c r="J1596" s="7"/>
      <c r="K1596" s="96" t="str">
        <f>HYPERLINK("#'Healthcare'!BIJ1","Q6.7.42_6_1")</f>
        <v>Q6.7.42_6_1</v>
      </c>
      <c r="L1596" s="93" t="str">
        <f>HYPERLINK("#'Healthcare'!BIJ2","Primary POS medical plan specialty coinsurance: Retail/pharmacy - in-network")</f>
        <v>Primary POS medical plan specialty coinsurance: Retail/pharmacy - in-network</v>
      </c>
      <c r="M1596" s="6"/>
      <c r="N1596" s="7"/>
      <c r="O1596" s="6"/>
      <c r="P1596" s="7"/>
      <c r="Q1596" s="6"/>
      <c r="R1596" s="7"/>
      <c r="S1596" s="6"/>
      <c r="T1596" s="7"/>
      <c r="U1596" s="6"/>
      <c r="V1596" s="7"/>
      <c r="W1596" s="6"/>
      <c r="X1596" s="7"/>
    </row>
    <row r="1597" spans="1:24" ht="25.5" x14ac:dyDescent="0.2">
      <c r="A1597" s="6"/>
      <c r="B1597" s="7"/>
      <c r="C1597" s="6"/>
      <c r="D1597" s="7"/>
      <c r="E1597" s="6"/>
      <c r="F1597" s="7"/>
      <c r="G1597" s="6"/>
      <c r="H1597" s="7"/>
      <c r="I1597" s="6"/>
      <c r="J1597" s="7"/>
      <c r="K1597" s="96" t="str">
        <f>HYPERLINK("#'Healthcare'!BIK1","Q6.7.42_7_1")</f>
        <v>Q6.7.42_7_1</v>
      </c>
      <c r="L1597" s="93" t="str">
        <f>HYPERLINK("#'Healthcare'!BIK2","Primary POS medical plan Other coinsurance: Retail/pharmacy - in-network")</f>
        <v>Primary POS medical plan Other coinsurance: Retail/pharmacy - in-network</v>
      </c>
      <c r="M1597" s="6"/>
      <c r="N1597" s="7"/>
      <c r="O1597" s="6"/>
      <c r="P1597" s="7"/>
      <c r="Q1597" s="6"/>
      <c r="R1597" s="7"/>
      <c r="S1597" s="6"/>
      <c r="T1597" s="7"/>
      <c r="U1597" s="6"/>
      <c r="V1597" s="7"/>
      <c r="W1597" s="6"/>
      <c r="X1597" s="7"/>
    </row>
    <row r="1598" spans="1:24" ht="25.5" x14ac:dyDescent="0.2">
      <c r="A1598" s="6"/>
      <c r="B1598" s="7"/>
      <c r="C1598" s="6"/>
      <c r="D1598" s="7"/>
      <c r="E1598" s="6"/>
      <c r="F1598" s="7"/>
      <c r="G1598" s="6"/>
      <c r="H1598" s="7"/>
      <c r="I1598" s="6"/>
      <c r="J1598" s="7"/>
      <c r="K1598" s="96" t="str">
        <f>HYPERLINK("#'Healthcare'!BIL1","Q6.7.43_1_1")</f>
        <v>Q6.7.43_1_1</v>
      </c>
      <c r="L1598" s="93" t="str">
        <f>HYPERLINK("#'Healthcare'!BIL2","Primary POS medical plan tier 1 coinsurance minimum: Retail/pharmacy - in-network")</f>
        <v>Primary POS medical plan tier 1 coinsurance minimum: Retail/pharmacy - in-network</v>
      </c>
      <c r="M1598" s="6"/>
      <c r="N1598" s="7"/>
      <c r="O1598" s="6"/>
      <c r="P1598" s="7"/>
      <c r="Q1598" s="6"/>
      <c r="R1598" s="7"/>
      <c r="S1598" s="6"/>
      <c r="T1598" s="7"/>
      <c r="U1598" s="6"/>
      <c r="V1598" s="7"/>
      <c r="W1598" s="6"/>
      <c r="X1598" s="7"/>
    </row>
    <row r="1599" spans="1:24" ht="25.5" x14ac:dyDescent="0.2">
      <c r="A1599" s="6"/>
      <c r="B1599" s="7"/>
      <c r="C1599" s="6"/>
      <c r="D1599" s="7"/>
      <c r="E1599" s="6"/>
      <c r="F1599" s="7"/>
      <c r="G1599" s="6"/>
      <c r="H1599" s="7"/>
      <c r="I1599" s="6"/>
      <c r="J1599" s="7"/>
      <c r="K1599" s="96" t="str">
        <f>HYPERLINK("#'Healthcare'!BIM1","Q6.7.43_1_2")</f>
        <v>Q6.7.43_1_2</v>
      </c>
      <c r="L1599" s="93" t="str">
        <f>HYPERLINK("#'Healthcare'!BIM2","Primary POS medical plan tier 1 coinsurance maximum: Retail/pharmacy - in-network")</f>
        <v>Primary POS medical plan tier 1 coinsurance maximum: Retail/pharmacy - in-network</v>
      </c>
      <c r="M1599" s="6"/>
      <c r="N1599" s="7"/>
      <c r="O1599" s="6"/>
      <c r="P1599" s="7"/>
      <c r="Q1599" s="6"/>
      <c r="R1599" s="7"/>
      <c r="S1599" s="6"/>
      <c r="T1599" s="7"/>
      <c r="U1599" s="6"/>
      <c r="V1599" s="7"/>
      <c r="W1599" s="6"/>
      <c r="X1599" s="7"/>
    </row>
    <row r="1600" spans="1:24" ht="25.5" x14ac:dyDescent="0.2">
      <c r="A1600" s="6"/>
      <c r="B1600" s="7"/>
      <c r="C1600" s="6"/>
      <c r="D1600" s="7"/>
      <c r="E1600" s="6"/>
      <c r="F1600" s="7"/>
      <c r="G1600" s="6"/>
      <c r="H1600" s="7"/>
      <c r="I1600" s="6"/>
      <c r="J1600" s="7"/>
      <c r="K1600" s="96" t="str">
        <f>HYPERLINK("#'Healthcare'!BIN1","Q6.7.43_2_1")</f>
        <v>Q6.7.43_2_1</v>
      </c>
      <c r="L1600" s="93" t="str">
        <f>HYPERLINK("#'Healthcare'!BIN2","Primary POS medical plan tier 2 coinsurance minimum: Retail/pharmacy - in-network")</f>
        <v>Primary POS medical plan tier 2 coinsurance minimum: Retail/pharmacy - in-network</v>
      </c>
      <c r="M1600" s="6"/>
      <c r="N1600" s="7"/>
      <c r="O1600" s="6"/>
      <c r="P1600" s="7"/>
      <c r="Q1600" s="6"/>
      <c r="R1600" s="7"/>
      <c r="S1600" s="6"/>
      <c r="T1600" s="7"/>
      <c r="U1600" s="6"/>
      <c r="V1600" s="7"/>
      <c r="W1600" s="6"/>
      <c r="X1600" s="7"/>
    </row>
    <row r="1601" spans="1:24" ht="25.5" x14ac:dyDescent="0.2">
      <c r="A1601" s="6"/>
      <c r="B1601" s="7"/>
      <c r="C1601" s="6"/>
      <c r="D1601" s="7"/>
      <c r="E1601" s="6"/>
      <c r="F1601" s="7"/>
      <c r="G1601" s="6"/>
      <c r="H1601" s="7"/>
      <c r="I1601" s="6"/>
      <c r="J1601" s="7"/>
      <c r="K1601" s="96" t="str">
        <f>HYPERLINK("#'Healthcare'!BIO1","Q6.7.43_2_2")</f>
        <v>Q6.7.43_2_2</v>
      </c>
      <c r="L1601" s="93" t="str">
        <f>HYPERLINK("#'Healthcare'!BIO2","Primary POS medical plan tier 2 coinsurance maximum: Retail/pharmacy - in-network")</f>
        <v>Primary POS medical plan tier 2 coinsurance maximum: Retail/pharmacy - in-network</v>
      </c>
      <c r="M1601" s="6"/>
      <c r="N1601" s="7"/>
      <c r="O1601" s="6"/>
      <c r="P1601" s="7"/>
      <c r="Q1601" s="6"/>
      <c r="R1601" s="7"/>
      <c r="S1601" s="6"/>
      <c r="T1601" s="7"/>
      <c r="U1601" s="6"/>
      <c r="V1601" s="7"/>
      <c r="W1601" s="6"/>
      <c r="X1601" s="7"/>
    </row>
    <row r="1602" spans="1:24" ht="25.5" x14ac:dyDescent="0.2">
      <c r="A1602" s="6"/>
      <c r="B1602" s="7"/>
      <c r="C1602" s="6"/>
      <c r="D1602" s="7"/>
      <c r="E1602" s="6"/>
      <c r="F1602" s="7"/>
      <c r="G1602" s="6"/>
      <c r="H1602" s="7"/>
      <c r="I1602" s="6"/>
      <c r="J1602" s="7"/>
      <c r="K1602" s="96" t="str">
        <f>HYPERLINK("#'Healthcare'!BIP1","Q6.7.43_3_1")</f>
        <v>Q6.7.43_3_1</v>
      </c>
      <c r="L1602" s="93" t="str">
        <f>HYPERLINK("#'Healthcare'!BIP2","Primary POS medical plan tier 3 coinsurance minimum: Retail/pharmacy - in-network")</f>
        <v>Primary POS medical plan tier 3 coinsurance minimum: Retail/pharmacy - in-network</v>
      </c>
      <c r="M1602" s="6"/>
      <c r="N1602" s="7"/>
      <c r="O1602" s="6"/>
      <c r="P1602" s="7"/>
      <c r="Q1602" s="6"/>
      <c r="R1602" s="7"/>
      <c r="S1602" s="6"/>
      <c r="T1602" s="7"/>
      <c r="U1602" s="6"/>
      <c r="V1602" s="7"/>
      <c r="W1602" s="6"/>
      <c r="X1602" s="7"/>
    </row>
    <row r="1603" spans="1:24" ht="25.5" x14ac:dyDescent="0.2">
      <c r="A1603" s="6"/>
      <c r="B1603" s="7"/>
      <c r="C1603" s="6"/>
      <c r="D1603" s="7"/>
      <c r="E1603" s="6"/>
      <c r="F1603" s="7"/>
      <c r="G1603" s="6"/>
      <c r="H1603" s="7"/>
      <c r="I1603" s="6"/>
      <c r="J1603" s="7"/>
      <c r="K1603" s="96" t="str">
        <f>HYPERLINK("#'Healthcare'!BIQ1","Q6.7.43_3_2")</f>
        <v>Q6.7.43_3_2</v>
      </c>
      <c r="L1603" s="93" t="str">
        <f>HYPERLINK("#'Healthcare'!BIQ2","Primary POS medical plan tier 3 coinsurance maximum: Retail/pharmacy - in-network")</f>
        <v>Primary POS medical plan tier 3 coinsurance maximum: Retail/pharmacy - in-network</v>
      </c>
      <c r="M1603" s="6"/>
      <c r="N1603" s="7"/>
      <c r="O1603" s="6"/>
      <c r="P1603" s="7"/>
      <c r="Q1603" s="6"/>
      <c r="R1603" s="7"/>
      <c r="S1603" s="6"/>
      <c r="T1603" s="7"/>
      <c r="U1603" s="6"/>
      <c r="V1603" s="7"/>
      <c r="W1603" s="6"/>
      <c r="X1603" s="7"/>
    </row>
    <row r="1604" spans="1:24" ht="25.5" x14ac:dyDescent="0.2">
      <c r="A1604" s="6"/>
      <c r="B1604" s="7"/>
      <c r="C1604" s="6"/>
      <c r="D1604" s="7"/>
      <c r="E1604" s="6"/>
      <c r="F1604" s="7"/>
      <c r="G1604" s="6"/>
      <c r="H1604" s="7"/>
      <c r="I1604" s="6"/>
      <c r="J1604" s="7"/>
      <c r="K1604" s="96" t="str">
        <f>HYPERLINK("#'Healthcare'!BIR1","Q6.7.43_4_1")</f>
        <v>Q6.7.43_4_1</v>
      </c>
      <c r="L1604" s="93" t="str">
        <f>HYPERLINK("#'Healthcare'!BIR2","Primary POS medical plan tier 4 coinsurance minimum: Retail/pharmacy - in-network")</f>
        <v>Primary POS medical plan tier 4 coinsurance minimum: Retail/pharmacy - in-network</v>
      </c>
      <c r="M1604" s="6"/>
      <c r="N1604" s="7"/>
      <c r="O1604" s="6"/>
      <c r="P1604" s="7"/>
      <c r="Q1604" s="6"/>
      <c r="R1604" s="7"/>
      <c r="S1604" s="6"/>
      <c r="T1604" s="7"/>
      <c r="U1604" s="6"/>
      <c r="V1604" s="7"/>
      <c r="W1604" s="6"/>
      <c r="X1604" s="7"/>
    </row>
    <row r="1605" spans="1:24" ht="25.5" x14ac:dyDescent="0.2">
      <c r="A1605" s="6"/>
      <c r="B1605" s="7"/>
      <c r="C1605" s="6"/>
      <c r="D1605" s="7"/>
      <c r="E1605" s="6"/>
      <c r="F1605" s="7"/>
      <c r="G1605" s="6"/>
      <c r="H1605" s="7"/>
      <c r="I1605" s="6"/>
      <c r="J1605" s="7"/>
      <c r="K1605" s="96" t="str">
        <f>HYPERLINK("#'Healthcare'!BIS1","Q6.7.43_4_2")</f>
        <v>Q6.7.43_4_2</v>
      </c>
      <c r="L1605" s="93" t="str">
        <f>HYPERLINK("#'Healthcare'!BIS2","Primary POS medical plan tier 4 coinsurance maximum: Retail/pharmacy - in-network")</f>
        <v>Primary POS medical plan tier 4 coinsurance maximum: Retail/pharmacy - in-network</v>
      </c>
      <c r="M1605" s="6"/>
      <c r="N1605" s="7"/>
      <c r="O1605" s="6"/>
      <c r="P1605" s="7"/>
      <c r="Q1605" s="6"/>
      <c r="R1605" s="7"/>
      <c r="S1605" s="6"/>
      <c r="T1605" s="7"/>
      <c r="U1605" s="6"/>
      <c r="V1605" s="7"/>
      <c r="W1605" s="6"/>
      <c r="X1605" s="7"/>
    </row>
    <row r="1606" spans="1:24" ht="25.5" x14ac:dyDescent="0.2">
      <c r="A1606" s="6"/>
      <c r="B1606" s="7"/>
      <c r="C1606" s="6"/>
      <c r="D1606" s="7"/>
      <c r="E1606" s="6"/>
      <c r="F1606" s="7"/>
      <c r="G1606" s="6"/>
      <c r="H1606" s="7"/>
      <c r="I1606" s="6"/>
      <c r="J1606" s="7"/>
      <c r="K1606" s="96" t="str">
        <f>HYPERLINK("#'Healthcare'!BIT1","Q6.7.43_5_1")</f>
        <v>Q6.7.43_5_1</v>
      </c>
      <c r="L1606" s="93" t="str">
        <f>HYPERLINK("#'Healthcare'!BIT2","Primary POS medical plan tier 5 coinsurance minimum: Retail/pharmacy - in-network")</f>
        <v>Primary POS medical plan tier 5 coinsurance minimum: Retail/pharmacy - in-network</v>
      </c>
      <c r="M1606" s="6"/>
      <c r="N1606" s="7"/>
      <c r="O1606" s="6"/>
      <c r="P1606" s="7"/>
      <c r="Q1606" s="6"/>
      <c r="R1606" s="7"/>
      <c r="S1606" s="6"/>
      <c r="T1606" s="7"/>
      <c r="U1606" s="6"/>
      <c r="V1606" s="7"/>
      <c r="W1606" s="6"/>
      <c r="X1606" s="7"/>
    </row>
    <row r="1607" spans="1:24" ht="25.5" x14ac:dyDescent="0.2">
      <c r="A1607" s="6"/>
      <c r="B1607" s="7"/>
      <c r="C1607" s="6"/>
      <c r="D1607" s="7"/>
      <c r="E1607" s="6"/>
      <c r="F1607" s="7"/>
      <c r="G1607" s="6"/>
      <c r="H1607" s="7"/>
      <c r="I1607" s="6"/>
      <c r="J1607" s="7"/>
      <c r="K1607" s="96" t="str">
        <f>HYPERLINK("#'Healthcare'!BIU1","Q6.7.43_5_2")</f>
        <v>Q6.7.43_5_2</v>
      </c>
      <c r="L1607" s="93" t="str">
        <f>HYPERLINK("#'Healthcare'!BIU2","Primary POS medical plan tier 5 coinsurance maximum: Retail/pharmacy - in-network")</f>
        <v>Primary POS medical plan tier 5 coinsurance maximum: Retail/pharmacy - in-network</v>
      </c>
      <c r="M1607" s="6"/>
      <c r="N1607" s="7"/>
      <c r="O1607" s="6"/>
      <c r="P1607" s="7"/>
      <c r="Q1607" s="6"/>
      <c r="R1607" s="7"/>
      <c r="S1607" s="6"/>
      <c r="T1607" s="7"/>
      <c r="U1607" s="6"/>
      <c r="V1607" s="7"/>
      <c r="W1607" s="6"/>
      <c r="X1607" s="7"/>
    </row>
    <row r="1608" spans="1:24" ht="38.25" x14ac:dyDescent="0.2">
      <c r="A1608" s="6"/>
      <c r="B1608" s="7"/>
      <c r="C1608" s="6"/>
      <c r="D1608" s="7"/>
      <c r="E1608" s="6"/>
      <c r="F1608" s="7"/>
      <c r="G1608" s="6"/>
      <c r="H1608" s="7"/>
      <c r="I1608" s="6"/>
      <c r="J1608" s="7"/>
      <c r="K1608" s="96" t="str">
        <f>HYPERLINK("#'Healthcare'!BIV1","Q6.7.43_6_1")</f>
        <v>Q6.7.43_6_1</v>
      </c>
      <c r="L1608" s="93" t="str">
        <f>HYPERLINK("#'Healthcare'!BIV2","Primary POS medical plan specialty coinsurance minimum: Retail/pharmacy - in-network")</f>
        <v>Primary POS medical plan specialty coinsurance minimum: Retail/pharmacy - in-network</v>
      </c>
      <c r="M1608" s="6"/>
      <c r="N1608" s="7"/>
      <c r="O1608" s="6"/>
      <c r="P1608" s="7"/>
      <c r="Q1608" s="6"/>
      <c r="R1608" s="7"/>
      <c r="S1608" s="6"/>
      <c r="T1608" s="7"/>
      <c r="U1608" s="6"/>
      <c r="V1608" s="7"/>
      <c r="W1608" s="6"/>
      <c r="X1608" s="7"/>
    </row>
    <row r="1609" spans="1:24" ht="38.25" x14ac:dyDescent="0.2">
      <c r="A1609" s="6"/>
      <c r="B1609" s="7"/>
      <c r="C1609" s="6"/>
      <c r="D1609" s="7"/>
      <c r="E1609" s="6"/>
      <c r="F1609" s="7"/>
      <c r="G1609" s="6"/>
      <c r="H1609" s="7"/>
      <c r="I1609" s="6"/>
      <c r="J1609" s="7"/>
      <c r="K1609" s="96" t="str">
        <f>HYPERLINK("#'Healthcare'!BIW1","Q6.7.43_6_2")</f>
        <v>Q6.7.43_6_2</v>
      </c>
      <c r="L1609" s="93" t="str">
        <f>HYPERLINK("#'Healthcare'!BIW2","Primary POS medical plan specialty coinsurance maximum: Retail/pharmacy - in-network")</f>
        <v>Primary POS medical plan specialty coinsurance maximum: Retail/pharmacy - in-network</v>
      </c>
      <c r="M1609" s="6"/>
      <c r="N1609" s="7"/>
      <c r="O1609" s="6"/>
      <c r="P1609" s="7"/>
      <c r="Q1609" s="6"/>
      <c r="R1609" s="7"/>
      <c r="S1609" s="6"/>
      <c r="T1609" s="7"/>
      <c r="U1609" s="6"/>
      <c r="V1609" s="7"/>
      <c r="W1609" s="6"/>
      <c r="X1609" s="7"/>
    </row>
    <row r="1610" spans="1:24" ht="25.5" x14ac:dyDescent="0.2">
      <c r="A1610" s="6"/>
      <c r="B1610" s="7"/>
      <c r="C1610" s="6"/>
      <c r="D1610" s="7"/>
      <c r="E1610" s="6"/>
      <c r="F1610" s="7"/>
      <c r="G1610" s="6"/>
      <c r="H1610" s="7"/>
      <c r="I1610" s="6"/>
      <c r="J1610" s="7"/>
      <c r="K1610" s="96" t="str">
        <f>HYPERLINK("#'Healthcare'!BIX1","Q6.7.43_7_1")</f>
        <v>Q6.7.43_7_1</v>
      </c>
      <c r="L1610" s="93" t="str">
        <f>HYPERLINK("#'Healthcare'!BIX2","Primary POS medical plan Other coinsurance minimum: Retail/pharmacy - in-network")</f>
        <v>Primary POS medical plan Other coinsurance minimum: Retail/pharmacy - in-network</v>
      </c>
      <c r="M1610" s="6"/>
      <c r="N1610" s="7"/>
      <c r="O1610" s="6"/>
      <c r="P1610" s="7"/>
      <c r="Q1610" s="6"/>
      <c r="R1610" s="7"/>
      <c r="S1610" s="6"/>
      <c r="T1610" s="7"/>
      <c r="U1610" s="6"/>
      <c r="V1610" s="7"/>
      <c r="W1610" s="6"/>
      <c r="X1610" s="7"/>
    </row>
    <row r="1611" spans="1:24" ht="25.5" x14ac:dyDescent="0.2">
      <c r="A1611" s="6"/>
      <c r="B1611" s="7"/>
      <c r="C1611" s="6"/>
      <c r="D1611" s="7"/>
      <c r="E1611" s="6"/>
      <c r="F1611" s="7"/>
      <c r="G1611" s="6"/>
      <c r="H1611" s="7"/>
      <c r="I1611" s="6"/>
      <c r="J1611" s="7"/>
      <c r="K1611" s="96" t="str">
        <f>HYPERLINK("#'Healthcare'!BIY1","Q6.7.43_7_2")</f>
        <v>Q6.7.43_7_2</v>
      </c>
      <c r="L1611" s="93" t="str">
        <f>HYPERLINK("#'Healthcare'!BIY2","Primary POS medical plan Other coinsurance maximum: Retail/pharmacy - in-network")</f>
        <v>Primary POS medical plan Other coinsurance maximum: Retail/pharmacy - in-network</v>
      </c>
      <c r="M1611" s="6"/>
      <c r="N1611" s="7"/>
      <c r="O1611" s="6"/>
      <c r="P1611" s="7"/>
      <c r="Q1611" s="6"/>
      <c r="R1611" s="7"/>
      <c r="S1611" s="6"/>
      <c r="T1611" s="7"/>
      <c r="U1611" s="6"/>
      <c r="V1611" s="7"/>
      <c r="W1611" s="6"/>
      <c r="X1611" s="7"/>
    </row>
    <row r="1612" spans="1:24" ht="25.5" x14ac:dyDescent="0.2">
      <c r="A1612" s="6"/>
      <c r="B1612" s="7"/>
      <c r="C1612" s="6"/>
      <c r="D1612" s="7"/>
      <c r="E1612" s="6"/>
      <c r="F1612" s="7"/>
      <c r="G1612" s="6"/>
      <c r="H1612" s="7"/>
      <c r="I1612" s="6"/>
      <c r="J1612" s="7"/>
      <c r="K1612" s="96" t="str">
        <f>HYPERLINK("#'Healthcare'!BIZ1","Q6.7.44_1_1")</f>
        <v>Q6.7.44_1_1</v>
      </c>
      <c r="L1612" s="93" t="str">
        <f>HYPERLINK("#'Healthcare'!BIZ2","Primary POS medical plan tier 1 coinsurance: Retail/pharmacy - out-of-network")</f>
        <v>Primary POS medical plan tier 1 coinsurance: Retail/pharmacy - out-of-network</v>
      </c>
      <c r="M1612" s="6"/>
      <c r="N1612" s="7"/>
      <c r="O1612" s="6"/>
      <c r="P1612" s="7"/>
      <c r="Q1612" s="6"/>
      <c r="R1612" s="7"/>
      <c r="S1612" s="6"/>
      <c r="T1612" s="7"/>
      <c r="U1612" s="6"/>
      <c r="V1612" s="7"/>
      <c r="W1612" s="6"/>
      <c r="X1612" s="7"/>
    </row>
    <row r="1613" spans="1:24" ht="25.5" x14ac:dyDescent="0.2">
      <c r="A1613" s="6"/>
      <c r="B1613" s="7"/>
      <c r="C1613" s="6"/>
      <c r="D1613" s="7"/>
      <c r="E1613" s="6"/>
      <c r="F1613" s="7"/>
      <c r="G1613" s="6"/>
      <c r="H1613" s="7"/>
      <c r="I1613" s="6"/>
      <c r="J1613" s="7"/>
      <c r="K1613" s="96" t="str">
        <f>HYPERLINK("#'Healthcare'!BJA1","Q6.7.44_2_1")</f>
        <v>Q6.7.44_2_1</v>
      </c>
      <c r="L1613" s="93" t="str">
        <f>HYPERLINK("#'Healthcare'!BJA2","Primary POS medical plan tier 2 coinsurance: Retail/pharmacy - out-of-network")</f>
        <v>Primary POS medical plan tier 2 coinsurance: Retail/pharmacy - out-of-network</v>
      </c>
      <c r="M1613" s="6"/>
      <c r="N1613" s="7"/>
      <c r="O1613" s="6"/>
      <c r="P1613" s="7"/>
      <c r="Q1613" s="6"/>
      <c r="R1613" s="7"/>
      <c r="S1613" s="6"/>
      <c r="T1613" s="7"/>
      <c r="U1613" s="6"/>
      <c r="V1613" s="7"/>
      <c r="W1613" s="6"/>
      <c r="X1613" s="7"/>
    </row>
    <row r="1614" spans="1:24" ht="25.5" x14ac:dyDescent="0.2">
      <c r="A1614" s="6"/>
      <c r="B1614" s="7"/>
      <c r="C1614" s="6"/>
      <c r="D1614" s="7"/>
      <c r="E1614" s="6"/>
      <c r="F1614" s="7"/>
      <c r="G1614" s="6"/>
      <c r="H1614" s="7"/>
      <c r="I1614" s="6"/>
      <c r="J1614" s="7"/>
      <c r="K1614" s="96" t="str">
        <f>HYPERLINK("#'Healthcare'!BJB1","Q6.7.44_3_1")</f>
        <v>Q6.7.44_3_1</v>
      </c>
      <c r="L1614" s="93" t="str">
        <f>HYPERLINK("#'Healthcare'!BJB2","Primary POS medical plan tier 3 coinsurance: Retail/pharmacy - out-of-network")</f>
        <v>Primary POS medical plan tier 3 coinsurance: Retail/pharmacy - out-of-network</v>
      </c>
      <c r="M1614" s="6"/>
      <c r="N1614" s="7"/>
      <c r="O1614" s="6"/>
      <c r="P1614" s="7"/>
      <c r="Q1614" s="6"/>
      <c r="R1614" s="7"/>
      <c r="S1614" s="6"/>
      <c r="T1614" s="7"/>
      <c r="U1614" s="6"/>
      <c r="V1614" s="7"/>
      <c r="W1614" s="6"/>
      <c r="X1614" s="7"/>
    </row>
    <row r="1615" spans="1:24" ht="25.5" x14ac:dyDescent="0.2">
      <c r="A1615" s="6"/>
      <c r="B1615" s="7"/>
      <c r="C1615" s="6"/>
      <c r="D1615" s="7"/>
      <c r="E1615" s="6"/>
      <c r="F1615" s="7"/>
      <c r="G1615" s="6"/>
      <c r="H1615" s="7"/>
      <c r="I1615" s="6"/>
      <c r="J1615" s="7"/>
      <c r="K1615" s="96" t="str">
        <f>HYPERLINK("#'Healthcare'!BJC1","Q6.7.44_4_1")</f>
        <v>Q6.7.44_4_1</v>
      </c>
      <c r="L1615" s="93" t="str">
        <f>HYPERLINK("#'Healthcare'!BJC2","Primary POS medical plan tier 4 coinsurance: Retail/pharmacy - out-of-network")</f>
        <v>Primary POS medical plan tier 4 coinsurance: Retail/pharmacy - out-of-network</v>
      </c>
      <c r="M1615" s="6"/>
      <c r="N1615" s="7"/>
      <c r="O1615" s="6"/>
      <c r="P1615" s="7"/>
      <c r="Q1615" s="6"/>
      <c r="R1615" s="7"/>
      <c r="S1615" s="6"/>
      <c r="T1615" s="7"/>
      <c r="U1615" s="6"/>
      <c r="V1615" s="7"/>
      <c r="W1615" s="6"/>
      <c r="X1615" s="7"/>
    </row>
    <row r="1616" spans="1:24" ht="25.5" x14ac:dyDescent="0.2">
      <c r="A1616" s="6"/>
      <c r="B1616" s="7"/>
      <c r="C1616" s="6"/>
      <c r="D1616" s="7"/>
      <c r="E1616" s="6"/>
      <c r="F1616" s="7"/>
      <c r="G1616" s="6"/>
      <c r="H1616" s="7"/>
      <c r="I1616" s="6"/>
      <c r="J1616" s="7"/>
      <c r="K1616" s="96" t="str">
        <f>HYPERLINK("#'Healthcare'!BJD1","Q6.7.44_5_1")</f>
        <v>Q6.7.44_5_1</v>
      </c>
      <c r="L1616" s="93" t="str">
        <f>HYPERLINK("#'Healthcare'!BJD2","Primary POS medical plan tier 5 coinsurance: Retail/pharmacy - out-of-network")</f>
        <v>Primary POS medical plan tier 5 coinsurance: Retail/pharmacy - out-of-network</v>
      </c>
      <c r="M1616" s="6"/>
      <c r="N1616" s="7"/>
      <c r="O1616" s="6"/>
      <c r="P1616" s="7"/>
      <c r="Q1616" s="6"/>
      <c r="R1616" s="7"/>
      <c r="S1616" s="6"/>
      <c r="T1616" s="7"/>
      <c r="U1616" s="6"/>
      <c r="V1616" s="7"/>
      <c r="W1616" s="6"/>
      <c r="X1616" s="7"/>
    </row>
    <row r="1617" spans="1:24" ht="25.5" x14ac:dyDescent="0.2">
      <c r="A1617" s="6"/>
      <c r="B1617" s="7"/>
      <c r="C1617" s="6"/>
      <c r="D1617" s="7"/>
      <c r="E1617" s="6"/>
      <c r="F1617" s="7"/>
      <c r="G1617" s="6"/>
      <c r="H1617" s="7"/>
      <c r="I1617" s="6"/>
      <c r="J1617" s="7"/>
      <c r="K1617" s="96" t="str">
        <f>HYPERLINK("#'Healthcare'!BJE1","Q6.7.44_6_1")</f>
        <v>Q6.7.44_6_1</v>
      </c>
      <c r="L1617" s="93" t="str">
        <f>HYPERLINK("#'Healthcare'!BJE2","Primary POS medical plan specialty coinsurance: Retail/pharmacy - out-of-network")</f>
        <v>Primary POS medical plan specialty coinsurance: Retail/pharmacy - out-of-network</v>
      </c>
      <c r="M1617" s="6"/>
      <c r="N1617" s="7"/>
      <c r="O1617" s="6"/>
      <c r="P1617" s="7"/>
      <c r="Q1617" s="6"/>
      <c r="R1617" s="7"/>
      <c r="S1617" s="6"/>
      <c r="T1617" s="7"/>
      <c r="U1617" s="6"/>
      <c r="V1617" s="7"/>
      <c r="W1617" s="6"/>
      <c r="X1617" s="7"/>
    </row>
    <row r="1618" spans="1:24" ht="25.5" x14ac:dyDescent="0.2">
      <c r="A1618" s="6"/>
      <c r="B1618" s="7"/>
      <c r="C1618" s="6"/>
      <c r="D1618" s="7"/>
      <c r="E1618" s="6"/>
      <c r="F1618" s="7"/>
      <c r="G1618" s="6"/>
      <c r="H1618" s="7"/>
      <c r="I1618" s="6"/>
      <c r="J1618" s="7"/>
      <c r="K1618" s="96" t="str">
        <f>HYPERLINK("#'Healthcare'!BJF1","Q6.7.44_7_1")</f>
        <v>Q6.7.44_7_1</v>
      </c>
      <c r="L1618" s="93" t="str">
        <f>HYPERLINK("#'Healthcare'!BJF2","Primary POS medical plan Other coinsurance: Retail/pharmacy - out-of-network")</f>
        <v>Primary POS medical plan Other coinsurance: Retail/pharmacy - out-of-network</v>
      </c>
      <c r="M1618" s="6"/>
      <c r="N1618" s="7"/>
      <c r="O1618" s="6"/>
      <c r="P1618" s="7"/>
      <c r="Q1618" s="6"/>
      <c r="R1618" s="7"/>
      <c r="S1618" s="6"/>
      <c r="T1618" s="7"/>
      <c r="U1618" s="6"/>
      <c r="V1618" s="7"/>
      <c r="W1618" s="6"/>
      <c r="X1618" s="7"/>
    </row>
    <row r="1619" spans="1:24" ht="25.5" x14ac:dyDescent="0.2">
      <c r="A1619" s="6"/>
      <c r="B1619" s="7"/>
      <c r="C1619" s="6"/>
      <c r="D1619" s="7"/>
      <c r="E1619" s="6"/>
      <c r="F1619" s="7"/>
      <c r="G1619" s="6"/>
      <c r="H1619" s="7"/>
      <c r="I1619" s="6"/>
      <c r="J1619" s="7"/>
      <c r="K1619" s="96" t="str">
        <f>HYPERLINK("#'Healthcare'!BJG1","Q6.7.45_1_1")</f>
        <v>Q6.7.45_1_1</v>
      </c>
      <c r="L1619" s="93" t="str">
        <f>HYPERLINK("#'Healthcare'!BJG2","Primary POS medical plan tier 1 coinsurance minimum: Retail/pharmacy - out-of-network")</f>
        <v>Primary POS medical plan tier 1 coinsurance minimum: Retail/pharmacy - out-of-network</v>
      </c>
      <c r="M1619" s="6"/>
      <c r="N1619" s="7"/>
      <c r="O1619" s="6"/>
      <c r="P1619" s="7"/>
      <c r="Q1619" s="6"/>
      <c r="R1619" s="7"/>
      <c r="S1619" s="6"/>
      <c r="T1619" s="7"/>
      <c r="U1619" s="6"/>
      <c r="V1619" s="7"/>
      <c r="W1619" s="6"/>
      <c r="X1619" s="7"/>
    </row>
    <row r="1620" spans="1:24" ht="25.5" x14ac:dyDescent="0.2">
      <c r="A1620" s="6"/>
      <c r="B1620" s="7"/>
      <c r="C1620" s="6"/>
      <c r="D1620" s="7"/>
      <c r="E1620" s="6"/>
      <c r="F1620" s="7"/>
      <c r="G1620" s="6"/>
      <c r="H1620" s="7"/>
      <c r="I1620" s="6"/>
      <c r="J1620" s="7"/>
      <c r="K1620" s="96" t="str">
        <f>HYPERLINK("#'Healthcare'!BJH1","Q6.7.45_1_2")</f>
        <v>Q6.7.45_1_2</v>
      </c>
      <c r="L1620" s="93" t="str">
        <f>HYPERLINK("#'Healthcare'!BJH2","Primary POS medical plan tier 1 coinsurance maximum: Retail/pharmacy - out-of-network")</f>
        <v>Primary POS medical plan tier 1 coinsurance maximum: Retail/pharmacy - out-of-network</v>
      </c>
      <c r="M1620" s="6"/>
      <c r="N1620" s="7"/>
      <c r="O1620" s="6"/>
      <c r="P1620" s="7"/>
      <c r="Q1620" s="6"/>
      <c r="R1620" s="7"/>
      <c r="S1620" s="6"/>
      <c r="T1620" s="7"/>
      <c r="U1620" s="6"/>
      <c r="V1620" s="7"/>
      <c r="W1620" s="6"/>
      <c r="X1620" s="7"/>
    </row>
    <row r="1621" spans="1:24" ht="25.5" x14ac:dyDescent="0.2">
      <c r="A1621" s="6"/>
      <c r="B1621" s="7"/>
      <c r="C1621" s="6"/>
      <c r="D1621" s="7"/>
      <c r="E1621" s="6"/>
      <c r="F1621" s="7"/>
      <c r="G1621" s="6"/>
      <c r="H1621" s="7"/>
      <c r="I1621" s="6"/>
      <c r="J1621" s="7"/>
      <c r="K1621" s="96" t="str">
        <f>HYPERLINK("#'Healthcare'!BJI1","Q6.7.45_2_1")</f>
        <v>Q6.7.45_2_1</v>
      </c>
      <c r="L1621" s="93" t="str">
        <f>HYPERLINK("#'Healthcare'!BJI2","Primary POS medical plan tier 2 coinsurance minimum: Retail/pharmacy - out-of-network")</f>
        <v>Primary POS medical plan tier 2 coinsurance minimum: Retail/pharmacy - out-of-network</v>
      </c>
      <c r="M1621" s="6"/>
      <c r="N1621" s="7"/>
      <c r="O1621" s="6"/>
      <c r="P1621" s="7"/>
      <c r="Q1621" s="6"/>
      <c r="R1621" s="7"/>
      <c r="S1621" s="6"/>
      <c r="T1621" s="7"/>
      <c r="U1621" s="6"/>
      <c r="V1621" s="7"/>
      <c r="W1621" s="6"/>
      <c r="X1621" s="7"/>
    </row>
    <row r="1622" spans="1:24" ht="25.5" x14ac:dyDescent="0.2">
      <c r="A1622" s="6"/>
      <c r="B1622" s="7"/>
      <c r="C1622" s="6"/>
      <c r="D1622" s="7"/>
      <c r="E1622" s="6"/>
      <c r="F1622" s="7"/>
      <c r="G1622" s="6"/>
      <c r="H1622" s="7"/>
      <c r="I1622" s="6"/>
      <c r="J1622" s="7"/>
      <c r="K1622" s="96" t="str">
        <f>HYPERLINK("#'Healthcare'!BJJ1","Q6.7.45_2_2")</f>
        <v>Q6.7.45_2_2</v>
      </c>
      <c r="L1622" s="93" t="str">
        <f>HYPERLINK("#'Healthcare'!BJJ2","Primary POS medical plan tier 2 coinsurance maximum: Retail/pharmacy - out-of-network")</f>
        <v>Primary POS medical plan tier 2 coinsurance maximum: Retail/pharmacy - out-of-network</v>
      </c>
      <c r="M1622" s="6"/>
      <c r="N1622" s="7"/>
      <c r="O1622" s="6"/>
      <c r="P1622" s="7"/>
      <c r="Q1622" s="6"/>
      <c r="R1622" s="7"/>
      <c r="S1622" s="6"/>
      <c r="T1622" s="7"/>
      <c r="U1622" s="6"/>
      <c r="V1622" s="7"/>
      <c r="W1622" s="6"/>
      <c r="X1622" s="7"/>
    </row>
    <row r="1623" spans="1:24" ht="25.5" x14ac:dyDescent="0.2">
      <c r="A1623" s="6"/>
      <c r="B1623" s="7"/>
      <c r="C1623" s="6"/>
      <c r="D1623" s="7"/>
      <c r="E1623" s="6"/>
      <c r="F1623" s="7"/>
      <c r="G1623" s="6"/>
      <c r="H1623" s="7"/>
      <c r="I1623" s="6"/>
      <c r="J1623" s="7"/>
      <c r="K1623" s="96" t="str">
        <f>HYPERLINK("#'Healthcare'!BJK1","Q6.7.45_3_1")</f>
        <v>Q6.7.45_3_1</v>
      </c>
      <c r="L1623" s="93" t="str">
        <f>HYPERLINK("#'Healthcare'!BJK2","Primary POS medical plan tier 3 coinsurance minimum: Retail/pharmacy - out-of-network")</f>
        <v>Primary POS medical plan tier 3 coinsurance minimum: Retail/pharmacy - out-of-network</v>
      </c>
      <c r="M1623" s="6"/>
      <c r="N1623" s="7"/>
      <c r="O1623" s="6"/>
      <c r="P1623" s="7"/>
      <c r="Q1623" s="6"/>
      <c r="R1623" s="7"/>
      <c r="S1623" s="6"/>
      <c r="T1623" s="7"/>
      <c r="U1623" s="6"/>
      <c r="V1623" s="7"/>
      <c r="W1623" s="6"/>
      <c r="X1623" s="7"/>
    </row>
    <row r="1624" spans="1:24" ht="25.5" x14ac:dyDescent="0.2">
      <c r="A1624" s="6"/>
      <c r="B1624" s="7"/>
      <c r="C1624" s="6"/>
      <c r="D1624" s="7"/>
      <c r="E1624" s="6"/>
      <c r="F1624" s="7"/>
      <c r="G1624" s="6"/>
      <c r="H1624" s="7"/>
      <c r="I1624" s="6"/>
      <c r="J1624" s="7"/>
      <c r="K1624" s="96" t="str">
        <f>HYPERLINK("#'Healthcare'!BJL1","Q6.7.45_3_2")</f>
        <v>Q6.7.45_3_2</v>
      </c>
      <c r="L1624" s="93" t="str">
        <f>HYPERLINK("#'Healthcare'!BJL2","Primary POS medical plan tier 3 coinsurance maximum: Retail/pharmacy - out-of-network")</f>
        <v>Primary POS medical plan tier 3 coinsurance maximum: Retail/pharmacy - out-of-network</v>
      </c>
      <c r="M1624" s="6"/>
      <c r="N1624" s="7"/>
      <c r="O1624" s="6"/>
      <c r="P1624" s="7"/>
      <c r="Q1624" s="6"/>
      <c r="R1624" s="7"/>
      <c r="S1624" s="6"/>
      <c r="T1624" s="7"/>
      <c r="U1624" s="6"/>
      <c r="V1624" s="7"/>
      <c r="W1624" s="6"/>
      <c r="X1624" s="7"/>
    </row>
    <row r="1625" spans="1:24" ht="25.5" x14ac:dyDescent="0.2">
      <c r="A1625" s="6"/>
      <c r="B1625" s="7"/>
      <c r="C1625" s="6"/>
      <c r="D1625" s="7"/>
      <c r="E1625" s="6"/>
      <c r="F1625" s="7"/>
      <c r="G1625" s="6"/>
      <c r="H1625" s="7"/>
      <c r="I1625" s="6"/>
      <c r="J1625" s="7"/>
      <c r="K1625" s="96" t="str">
        <f>HYPERLINK("#'Healthcare'!BJM1","Q6.7.45_4_1")</f>
        <v>Q6.7.45_4_1</v>
      </c>
      <c r="L1625" s="93" t="str">
        <f>HYPERLINK("#'Healthcare'!BJM2","Primary POS medical plan tier 4 coinsurance minimum: Retail/pharmacy - out-of-network")</f>
        <v>Primary POS medical plan tier 4 coinsurance minimum: Retail/pharmacy - out-of-network</v>
      </c>
      <c r="M1625" s="6"/>
      <c r="N1625" s="7"/>
      <c r="O1625" s="6"/>
      <c r="P1625" s="7"/>
      <c r="Q1625" s="6"/>
      <c r="R1625" s="7"/>
      <c r="S1625" s="6"/>
      <c r="T1625" s="7"/>
      <c r="U1625" s="6"/>
      <c r="V1625" s="7"/>
      <c r="W1625" s="6"/>
      <c r="X1625" s="7"/>
    </row>
    <row r="1626" spans="1:24" ht="25.5" x14ac:dyDescent="0.2">
      <c r="A1626" s="6"/>
      <c r="B1626" s="7"/>
      <c r="C1626" s="6"/>
      <c r="D1626" s="7"/>
      <c r="E1626" s="6"/>
      <c r="F1626" s="7"/>
      <c r="G1626" s="6"/>
      <c r="H1626" s="7"/>
      <c r="I1626" s="6"/>
      <c r="J1626" s="7"/>
      <c r="K1626" s="96" t="str">
        <f>HYPERLINK("#'Healthcare'!BJN1","Q6.7.45_4_2")</f>
        <v>Q6.7.45_4_2</v>
      </c>
      <c r="L1626" s="93" t="str">
        <f>HYPERLINK("#'Healthcare'!BJN2","Primary POS medical plan tier 4 coinsurance maximum: Retail/pharmacy - out-of-network")</f>
        <v>Primary POS medical plan tier 4 coinsurance maximum: Retail/pharmacy - out-of-network</v>
      </c>
      <c r="M1626" s="6"/>
      <c r="N1626" s="7"/>
      <c r="O1626" s="6"/>
      <c r="P1626" s="7"/>
      <c r="Q1626" s="6"/>
      <c r="R1626" s="7"/>
      <c r="S1626" s="6"/>
      <c r="T1626" s="7"/>
      <c r="U1626" s="6"/>
      <c r="V1626" s="7"/>
      <c r="W1626" s="6"/>
      <c r="X1626" s="7"/>
    </row>
    <row r="1627" spans="1:24" ht="25.5" x14ac:dyDescent="0.2">
      <c r="A1627" s="6"/>
      <c r="B1627" s="7"/>
      <c r="C1627" s="6"/>
      <c r="D1627" s="7"/>
      <c r="E1627" s="6"/>
      <c r="F1627" s="7"/>
      <c r="G1627" s="6"/>
      <c r="H1627" s="7"/>
      <c r="I1627" s="6"/>
      <c r="J1627" s="7"/>
      <c r="K1627" s="96" t="str">
        <f>HYPERLINK("#'Healthcare'!BJO1","Q6.7.45_5_1")</f>
        <v>Q6.7.45_5_1</v>
      </c>
      <c r="L1627" s="93" t="str">
        <f>HYPERLINK("#'Healthcare'!BJO2","Primary POS medical plan tier 5 coinsurance minimum: Retail/pharmacy - out-of-network")</f>
        <v>Primary POS medical plan tier 5 coinsurance minimum: Retail/pharmacy - out-of-network</v>
      </c>
      <c r="M1627" s="6"/>
      <c r="N1627" s="7"/>
      <c r="O1627" s="6"/>
      <c r="P1627" s="7"/>
      <c r="Q1627" s="6"/>
      <c r="R1627" s="7"/>
      <c r="S1627" s="6"/>
      <c r="T1627" s="7"/>
      <c r="U1627" s="6"/>
      <c r="V1627" s="7"/>
      <c r="W1627" s="6"/>
      <c r="X1627" s="7"/>
    </row>
    <row r="1628" spans="1:24" ht="25.5" x14ac:dyDescent="0.2">
      <c r="A1628" s="6"/>
      <c r="B1628" s="7"/>
      <c r="C1628" s="6"/>
      <c r="D1628" s="7"/>
      <c r="E1628" s="6"/>
      <c r="F1628" s="7"/>
      <c r="G1628" s="6"/>
      <c r="H1628" s="7"/>
      <c r="I1628" s="6"/>
      <c r="J1628" s="7"/>
      <c r="K1628" s="96" t="str">
        <f>HYPERLINK("#'Healthcare'!BJP1","Q6.7.45_5_2")</f>
        <v>Q6.7.45_5_2</v>
      </c>
      <c r="L1628" s="93" t="str">
        <f>HYPERLINK("#'Healthcare'!BJP2","Primary POS medical plan tier 5 coinsurance maximum: Retail/pharmacy - out-of-network")</f>
        <v>Primary POS medical plan tier 5 coinsurance maximum: Retail/pharmacy - out-of-network</v>
      </c>
      <c r="M1628" s="6"/>
      <c r="N1628" s="7"/>
      <c r="O1628" s="6"/>
      <c r="P1628" s="7"/>
      <c r="Q1628" s="6"/>
      <c r="R1628" s="7"/>
      <c r="S1628" s="6"/>
      <c r="T1628" s="7"/>
      <c r="U1628" s="6"/>
      <c r="V1628" s="7"/>
      <c r="W1628" s="6"/>
      <c r="X1628" s="7"/>
    </row>
    <row r="1629" spans="1:24" ht="38.25" x14ac:dyDescent="0.2">
      <c r="A1629" s="6"/>
      <c r="B1629" s="7"/>
      <c r="C1629" s="6"/>
      <c r="D1629" s="7"/>
      <c r="E1629" s="6"/>
      <c r="F1629" s="7"/>
      <c r="G1629" s="6"/>
      <c r="H1629" s="7"/>
      <c r="I1629" s="6"/>
      <c r="J1629" s="7"/>
      <c r="K1629" s="96" t="str">
        <f>HYPERLINK("#'Healthcare'!BJQ1","Q6.7.45_6_1")</f>
        <v>Q6.7.45_6_1</v>
      </c>
      <c r="L1629" s="93" t="str">
        <f>HYPERLINK("#'Healthcare'!BJQ2","Primary POS medical plan specialty coinsurance minimum: Retail/pharmacy - out-of-network")</f>
        <v>Primary POS medical plan specialty coinsurance minimum: Retail/pharmacy - out-of-network</v>
      </c>
      <c r="M1629" s="6"/>
      <c r="N1629" s="7"/>
      <c r="O1629" s="6"/>
      <c r="P1629" s="7"/>
      <c r="Q1629" s="6"/>
      <c r="R1629" s="7"/>
      <c r="S1629" s="6"/>
      <c r="T1629" s="7"/>
      <c r="U1629" s="6"/>
      <c r="V1629" s="7"/>
      <c r="W1629" s="6"/>
      <c r="X1629" s="7"/>
    </row>
    <row r="1630" spans="1:24" ht="38.25" x14ac:dyDescent="0.2">
      <c r="A1630" s="6"/>
      <c r="B1630" s="7"/>
      <c r="C1630" s="6"/>
      <c r="D1630" s="7"/>
      <c r="E1630" s="6"/>
      <c r="F1630" s="7"/>
      <c r="G1630" s="6"/>
      <c r="H1630" s="7"/>
      <c r="I1630" s="6"/>
      <c r="J1630" s="7"/>
      <c r="K1630" s="96" t="str">
        <f>HYPERLINK("#'Healthcare'!BJR1","Q6.7.45_6_2")</f>
        <v>Q6.7.45_6_2</v>
      </c>
      <c r="L1630" s="93" t="str">
        <f>HYPERLINK("#'Healthcare'!BJR2","Primary POS medical plan specialty coinsurance maximum: Retail/pharmacy - out-of-network")</f>
        <v>Primary POS medical plan specialty coinsurance maximum: Retail/pharmacy - out-of-network</v>
      </c>
      <c r="M1630" s="6"/>
      <c r="N1630" s="7"/>
      <c r="O1630" s="6"/>
      <c r="P1630" s="7"/>
      <c r="Q1630" s="6"/>
      <c r="R1630" s="7"/>
      <c r="S1630" s="6"/>
      <c r="T1630" s="7"/>
      <c r="U1630" s="6"/>
      <c r="V1630" s="7"/>
      <c r="W1630" s="6"/>
      <c r="X1630" s="7"/>
    </row>
    <row r="1631" spans="1:24" ht="25.5" x14ac:dyDescent="0.2">
      <c r="A1631" s="6"/>
      <c r="B1631" s="7"/>
      <c r="C1631" s="6"/>
      <c r="D1631" s="7"/>
      <c r="E1631" s="6"/>
      <c r="F1631" s="7"/>
      <c r="G1631" s="6"/>
      <c r="H1631" s="7"/>
      <c r="I1631" s="6"/>
      <c r="J1631" s="7"/>
      <c r="K1631" s="96" t="str">
        <f>HYPERLINK("#'Healthcare'!BJS1","Q6.7.45_7_1")</f>
        <v>Q6.7.45_7_1</v>
      </c>
      <c r="L1631" s="93" t="str">
        <f>HYPERLINK("#'Healthcare'!BJS2","Primary POS medical plan Other coinsurance minimum: Retail/pharmacy - out-of-network")</f>
        <v>Primary POS medical plan Other coinsurance minimum: Retail/pharmacy - out-of-network</v>
      </c>
      <c r="M1631" s="6"/>
      <c r="N1631" s="7"/>
      <c r="O1631" s="6"/>
      <c r="P1631" s="7"/>
      <c r="Q1631" s="6"/>
      <c r="R1631" s="7"/>
      <c r="S1631" s="6"/>
      <c r="T1631" s="7"/>
      <c r="U1631" s="6"/>
      <c r="V1631" s="7"/>
      <c r="W1631" s="6"/>
      <c r="X1631" s="7"/>
    </row>
    <row r="1632" spans="1:24" ht="25.5" x14ac:dyDescent="0.2">
      <c r="A1632" s="6"/>
      <c r="B1632" s="7"/>
      <c r="C1632" s="6"/>
      <c r="D1632" s="7"/>
      <c r="E1632" s="6"/>
      <c r="F1632" s="7"/>
      <c r="G1632" s="6"/>
      <c r="H1632" s="7"/>
      <c r="I1632" s="6"/>
      <c r="J1632" s="7"/>
      <c r="K1632" s="96" t="str">
        <f>HYPERLINK("#'Healthcare'!BJT1","Q6.7.45_7_2")</f>
        <v>Q6.7.45_7_2</v>
      </c>
      <c r="L1632" s="93" t="str">
        <f>HYPERLINK("#'Healthcare'!BJT2","Primary POS medical plan Other coinsurance maximum: Retail/pharmacy - out-of-network")</f>
        <v>Primary POS medical plan Other coinsurance maximum: Retail/pharmacy - out-of-network</v>
      </c>
      <c r="M1632" s="6"/>
      <c r="N1632" s="7"/>
      <c r="O1632" s="6"/>
      <c r="P1632" s="7"/>
      <c r="Q1632" s="6"/>
      <c r="R1632" s="7"/>
      <c r="S1632" s="6"/>
      <c r="T1632" s="7"/>
      <c r="U1632" s="6"/>
      <c r="V1632" s="7"/>
      <c r="W1632" s="6"/>
      <c r="X1632" s="7"/>
    </row>
    <row r="1633" spans="1:24" ht="25.5" x14ac:dyDescent="0.2">
      <c r="A1633" s="6"/>
      <c r="B1633" s="7"/>
      <c r="C1633" s="6"/>
      <c r="D1633" s="7"/>
      <c r="E1633" s="6"/>
      <c r="F1633" s="7"/>
      <c r="G1633" s="6"/>
      <c r="H1633" s="7"/>
      <c r="I1633" s="6"/>
      <c r="J1633" s="7"/>
      <c r="K1633" s="96" t="str">
        <f>HYPERLINK("#'Healthcare'!BJU1","Q6.7.46_1_1")</f>
        <v>Q6.7.46_1_1</v>
      </c>
      <c r="L1633" s="93" t="str">
        <f>HYPERLINK("#'Healthcare'!BJU2","Primary POS medical plan tier 1 coinsurance: Mail order - in-network")</f>
        <v>Primary POS medical plan tier 1 coinsurance: Mail order - in-network</v>
      </c>
      <c r="M1633" s="6"/>
      <c r="N1633" s="7"/>
      <c r="O1633" s="6"/>
      <c r="P1633" s="7"/>
      <c r="Q1633" s="6"/>
      <c r="R1633" s="7"/>
      <c r="S1633" s="6"/>
      <c r="T1633" s="7"/>
      <c r="U1633" s="6"/>
      <c r="V1633" s="7"/>
      <c r="W1633" s="6"/>
      <c r="X1633" s="7"/>
    </row>
    <row r="1634" spans="1:24" ht="25.5" x14ac:dyDescent="0.2">
      <c r="A1634" s="6"/>
      <c r="B1634" s="7"/>
      <c r="C1634" s="6"/>
      <c r="D1634" s="7"/>
      <c r="E1634" s="6"/>
      <c r="F1634" s="7"/>
      <c r="G1634" s="6"/>
      <c r="H1634" s="7"/>
      <c r="I1634" s="6"/>
      <c r="J1634" s="7"/>
      <c r="K1634" s="96" t="str">
        <f>HYPERLINK("#'Healthcare'!BJV1","Q6.7.46_2_1")</f>
        <v>Q6.7.46_2_1</v>
      </c>
      <c r="L1634" s="93" t="str">
        <f>HYPERLINK("#'Healthcare'!BJV2","Primary POS medical plan tier 2 coinsurance: Mail order - in-network")</f>
        <v>Primary POS medical plan tier 2 coinsurance: Mail order - in-network</v>
      </c>
      <c r="M1634" s="6"/>
      <c r="N1634" s="7"/>
      <c r="O1634" s="6"/>
      <c r="P1634" s="7"/>
      <c r="Q1634" s="6"/>
      <c r="R1634" s="7"/>
      <c r="S1634" s="6"/>
      <c r="T1634" s="7"/>
      <c r="U1634" s="6"/>
      <c r="V1634" s="7"/>
      <c r="W1634" s="6"/>
      <c r="X1634" s="7"/>
    </row>
    <row r="1635" spans="1:24" ht="25.5" x14ac:dyDescent="0.2">
      <c r="A1635" s="6"/>
      <c r="B1635" s="7"/>
      <c r="C1635" s="6"/>
      <c r="D1635" s="7"/>
      <c r="E1635" s="6"/>
      <c r="F1635" s="7"/>
      <c r="G1635" s="6"/>
      <c r="H1635" s="7"/>
      <c r="I1635" s="6"/>
      <c r="J1635" s="7"/>
      <c r="K1635" s="96" t="str">
        <f>HYPERLINK("#'Healthcare'!BJW1","Q6.7.46_3_1")</f>
        <v>Q6.7.46_3_1</v>
      </c>
      <c r="L1635" s="93" t="str">
        <f>HYPERLINK("#'Healthcare'!BJW2","Primary POS medical plan tier 3 coinsurance: Mail order - in-network")</f>
        <v>Primary POS medical plan tier 3 coinsurance: Mail order - in-network</v>
      </c>
      <c r="M1635" s="6"/>
      <c r="N1635" s="7"/>
      <c r="O1635" s="6"/>
      <c r="P1635" s="7"/>
      <c r="Q1635" s="6"/>
      <c r="R1635" s="7"/>
      <c r="S1635" s="6"/>
      <c r="T1635" s="7"/>
      <c r="U1635" s="6"/>
      <c r="V1635" s="7"/>
      <c r="W1635" s="6"/>
      <c r="X1635" s="7"/>
    </row>
    <row r="1636" spans="1:24" ht="25.5" x14ac:dyDescent="0.2">
      <c r="A1636" s="6"/>
      <c r="B1636" s="7"/>
      <c r="C1636" s="6"/>
      <c r="D1636" s="7"/>
      <c r="E1636" s="6"/>
      <c r="F1636" s="7"/>
      <c r="G1636" s="6"/>
      <c r="H1636" s="7"/>
      <c r="I1636" s="6"/>
      <c r="J1636" s="7"/>
      <c r="K1636" s="96" t="str">
        <f>HYPERLINK("#'Healthcare'!BJX1","Q6.7.46_4_1")</f>
        <v>Q6.7.46_4_1</v>
      </c>
      <c r="L1636" s="93" t="str">
        <f>HYPERLINK("#'Healthcare'!BJX2","Primary POS medical plan tier 4 coinsurance: Mail order - in-network")</f>
        <v>Primary POS medical plan tier 4 coinsurance: Mail order - in-network</v>
      </c>
      <c r="M1636" s="6"/>
      <c r="N1636" s="7"/>
      <c r="O1636" s="6"/>
      <c r="P1636" s="7"/>
      <c r="Q1636" s="6"/>
      <c r="R1636" s="7"/>
      <c r="S1636" s="6"/>
      <c r="T1636" s="7"/>
      <c r="U1636" s="6"/>
      <c r="V1636" s="7"/>
      <c r="W1636" s="6"/>
      <c r="X1636" s="7"/>
    </row>
    <row r="1637" spans="1:24" ht="25.5" x14ac:dyDescent="0.2">
      <c r="A1637" s="6"/>
      <c r="B1637" s="7"/>
      <c r="C1637" s="6"/>
      <c r="D1637" s="7"/>
      <c r="E1637" s="6"/>
      <c r="F1637" s="7"/>
      <c r="G1637" s="6"/>
      <c r="H1637" s="7"/>
      <c r="I1637" s="6"/>
      <c r="J1637" s="7"/>
      <c r="K1637" s="96" t="str">
        <f>HYPERLINK("#'Healthcare'!BJY1","Q6.7.46_5_1")</f>
        <v>Q6.7.46_5_1</v>
      </c>
      <c r="L1637" s="93" t="str">
        <f>HYPERLINK("#'Healthcare'!BJY2","Primary POS medical plan tier 5 coinsurance: Mail order - in-network")</f>
        <v>Primary POS medical plan tier 5 coinsurance: Mail order - in-network</v>
      </c>
      <c r="M1637" s="6"/>
      <c r="N1637" s="7"/>
      <c r="O1637" s="6"/>
      <c r="P1637" s="7"/>
      <c r="Q1637" s="6"/>
      <c r="R1637" s="7"/>
      <c r="S1637" s="6"/>
      <c r="T1637" s="7"/>
      <c r="U1637" s="6"/>
      <c r="V1637" s="7"/>
      <c r="W1637" s="6"/>
      <c r="X1637" s="7"/>
    </row>
    <row r="1638" spans="1:24" ht="25.5" x14ac:dyDescent="0.2">
      <c r="A1638" s="6"/>
      <c r="B1638" s="7"/>
      <c r="C1638" s="6"/>
      <c r="D1638" s="7"/>
      <c r="E1638" s="6"/>
      <c r="F1638" s="7"/>
      <c r="G1638" s="6"/>
      <c r="H1638" s="7"/>
      <c r="I1638" s="6"/>
      <c r="J1638" s="7"/>
      <c r="K1638" s="96" t="str">
        <f>HYPERLINK("#'Healthcare'!BJZ1","Q6.7.46_6_1")</f>
        <v>Q6.7.46_6_1</v>
      </c>
      <c r="L1638" s="93" t="str">
        <f>HYPERLINK("#'Healthcare'!BJZ2","Primary POS medical plan specialty coinsurance: Mail order - in-network")</f>
        <v>Primary POS medical plan specialty coinsurance: Mail order - in-network</v>
      </c>
      <c r="M1638" s="6"/>
      <c r="N1638" s="7"/>
      <c r="O1638" s="6"/>
      <c r="P1638" s="7"/>
      <c r="Q1638" s="6"/>
      <c r="R1638" s="7"/>
      <c r="S1638" s="6"/>
      <c r="T1638" s="7"/>
      <c r="U1638" s="6"/>
      <c r="V1638" s="7"/>
      <c r="W1638" s="6"/>
      <c r="X1638" s="7"/>
    </row>
    <row r="1639" spans="1:24" ht="25.5" x14ac:dyDescent="0.2">
      <c r="A1639" s="6"/>
      <c r="B1639" s="7"/>
      <c r="C1639" s="6"/>
      <c r="D1639" s="7"/>
      <c r="E1639" s="6"/>
      <c r="F1639" s="7"/>
      <c r="G1639" s="6"/>
      <c r="H1639" s="7"/>
      <c r="I1639" s="6"/>
      <c r="J1639" s="7"/>
      <c r="K1639" s="96" t="str">
        <f>HYPERLINK("#'Healthcare'!BKA1","Q6.7.46_7_1")</f>
        <v>Q6.7.46_7_1</v>
      </c>
      <c r="L1639" s="93" t="str">
        <f>HYPERLINK("#'Healthcare'!BKA2","Primary POS medical plan Other coinsurance: Mail order - in-network")</f>
        <v>Primary POS medical plan Other coinsurance: Mail order - in-network</v>
      </c>
      <c r="M1639" s="6"/>
      <c r="N1639" s="7"/>
      <c r="O1639" s="6"/>
      <c r="P1639" s="7"/>
      <c r="Q1639" s="6"/>
      <c r="R1639" s="7"/>
      <c r="S1639" s="6"/>
      <c r="T1639" s="7"/>
      <c r="U1639" s="6"/>
      <c r="V1639" s="7"/>
      <c r="W1639" s="6"/>
      <c r="X1639" s="7"/>
    </row>
    <row r="1640" spans="1:24" ht="25.5" x14ac:dyDescent="0.2">
      <c r="A1640" s="6"/>
      <c r="B1640" s="7"/>
      <c r="C1640" s="6"/>
      <c r="D1640" s="7"/>
      <c r="E1640" s="6"/>
      <c r="F1640" s="7"/>
      <c r="G1640" s="6"/>
      <c r="H1640" s="7"/>
      <c r="I1640" s="6"/>
      <c r="J1640" s="7"/>
      <c r="K1640" s="96" t="str">
        <f>HYPERLINK("#'Healthcare'!BKB1","Q6.7.47_1_1")</f>
        <v>Q6.7.47_1_1</v>
      </c>
      <c r="L1640" s="93" t="str">
        <f>HYPERLINK("#'Healthcare'!BKB2","Primary POS medical plan tier 1 coinsurance minimum: Mail order - in-network")</f>
        <v>Primary POS medical plan tier 1 coinsurance minimum: Mail order - in-network</v>
      </c>
      <c r="M1640" s="6"/>
      <c r="N1640" s="7"/>
      <c r="O1640" s="6"/>
      <c r="P1640" s="7"/>
      <c r="Q1640" s="6"/>
      <c r="R1640" s="7"/>
      <c r="S1640" s="6"/>
      <c r="T1640" s="7"/>
      <c r="U1640" s="6"/>
      <c r="V1640" s="7"/>
      <c r="W1640" s="6"/>
      <c r="X1640" s="7"/>
    </row>
    <row r="1641" spans="1:24" ht="25.5" x14ac:dyDescent="0.2">
      <c r="A1641" s="6"/>
      <c r="B1641" s="7"/>
      <c r="C1641" s="6"/>
      <c r="D1641" s="7"/>
      <c r="E1641" s="6"/>
      <c r="F1641" s="7"/>
      <c r="G1641" s="6"/>
      <c r="H1641" s="7"/>
      <c r="I1641" s="6"/>
      <c r="J1641" s="7"/>
      <c r="K1641" s="96" t="str">
        <f>HYPERLINK("#'Healthcare'!BKC1","Q6.7.47_1_2")</f>
        <v>Q6.7.47_1_2</v>
      </c>
      <c r="L1641" s="93" t="str">
        <f>HYPERLINK("#'Healthcare'!BKC2","Primary POS medical plan tier 1 coinsurance maximum: Mail order - in-network")</f>
        <v>Primary POS medical plan tier 1 coinsurance maximum: Mail order - in-network</v>
      </c>
      <c r="M1641" s="6"/>
      <c r="N1641" s="7"/>
      <c r="O1641" s="6"/>
      <c r="P1641" s="7"/>
      <c r="Q1641" s="6"/>
      <c r="R1641" s="7"/>
      <c r="S1641" s="6"/>
      <c r="T1641" s="7"/>
      <c r="U1641" s="6"/>
      <c r="V1641" s="7"/>
      <c r="W1641" s="6"/>
      <c r="X1641" s="7"/>
    </row>
    <row r="1642" spans="1:24" ht="25.5" x14ac:dyDescent="0.2">
      <c r="A1642" s="6"/>
      <c r="B1642" s="7"/>
      <c r="C1642" s="6"/>
      <c r="D1642" s="7"/>
      <c r="E1642" s="6"/>
      <c r="F1642" s="7"/>
      <c r="G1642" s="6"/>
      <c r="H1642" s="7"/>
      <c r="I1642" s="6"/>
      <c r="J1642" s="7"/>
      <c r="K1642" s="96" t="str">
        <f>HYPERLINK("#'Healthcare'!BKD1","Q6.7.47_2_1")</f>
        <v>Q6.7.47_2_1</v>
      </c>
      <c r="L1642" s="93" t="str">
        <f>HYPERLINK("#'Healthcare'!BKD2","Primary POS medical plan tier 2 coinsurance minimum: Mail order - in-network")</f>
        <v>Primary POS medical plan tier 2 coinsurance minimum: Mail order - in-network</v>
      </c>
      <c r="M1642" s="6"/>
      <c r="N1642" s="7"/>
      <c r="O1642" s="6"/>
      <c r="P1642" s="7"/>
      <c r="Q1642" s="6"/>
      <c r="R1642" s="7"/>
      <c r="S1642" s="6"/>
      <c r="T1642" s="7"/>
      <c r="U1642" s="6"/>
      <c r="V1642" s="7"/>
      <c r="W1642" s="6"/>
      <c r="X1642" s="7"/>
    </row>
    <row r="1643" spans="1:24" ht="25.5" x14ac:dyDescent="0.2">
      <c r="A1643" s="6"/>
      <c r="B1643" s="7"/>
      <c r="C1643" s="6"/>
      <c r="D1643" s="7"/>
      <c r="E1643" s="6"/>
      <c r="F1643" s="7"/>
      <c r="G1643" s="6"/>
      <c r="H1643" s="7"/>
      <c r="I1643" s="6"/>
      <c r="J1643" s="7"/>
      <c r="K1643" s="96" t="str">
        <f>HYPERLINK("#'Healthcare'!BKE1","Q6.7.47_2_2")</f>
        <v>Q6.7.47_2_2</v>
      </c>
      <c r="L1643" s="93" t="str">
        <f>HYPERLINK("#'Healthcare'!BKE2","Primary POS medical plan tier 2 coinsurance maximum: Mail order - in-network")</f>
        <v>Primary POS medical plan tier 2 coinsurance maximum: Mail order - in-network</v>
      </c>
      <c r="M1643" s="6"/>
      <c r="N1643" s="7"/>
      <c r="O1643" s="6"/>
      <c r="P1643" s="7"/>
      <c r="Q1643" s="6"/>
      <c r="R1643" s="7"/>
      <c r="S1643" s="6"/>
      <c r="T1643" s="7"/>
      <c r="U1643" s="6"/>
      <c r="V1643" s="7"/>
      <c r="W1643" s="6"/>
      <c r="X1643" s="7"/>
    </row>
    <row r="1644" spans="1:24" ht="25.5" x14ac:dyDescent="0.2">
      <c r="A1644" s="6"/>
      <c r="B1644" s="7"/>
      <c r="C1644" s="6"/>
      <c r="D1644" s="7"/>
      <c r="E1644" s="6"/>
      <c r="F1644" s="7"/>
      <c r="G1644" s="6"/>
      <c r="H1644" s="7"/>
      <c r="I1644" s="6"/>
      <c r="J1644" s="7"/>
      <c r="K1644" s="96" t="str">
        <f>HYPERLINK("#'Healthcare'!BKF1","Q6.7.47_3_1")</f>
        <v>Q6.7.47_3_1</v>
      </c>
      <c r="L1644" s="93" t="str">
        <f>HYPERLINK("#'Healthcare'!BKF2","Primary POS medical plan tier 3 coinsurance minimum: Mail order - in-network")</f>
        <v>Primary POS medical plan tier 3 coinsurance minimum: Mail order - in-network</v>
      </c>
      <c r="M1644" s="6"/>
      <c r="N1644" s="7"/>
      <c r="O1644" s="6"/>
      <c r="P1644" s="7"/>
      <c r="Q1644" s="6"/>
      <c r="R1644" s="7"/>
      <c r="S1644" s="6"/>
      <c r="T1644" s="7"/>
      <c r="U1644" s="6"/>
      <c r="V1644" s="7"/>
      <c r="W1644" s="6"/>
      <c r="X1644" s="7"/>
    </row>
    <row r="1645" spans="1:24" ht="25.5" x14ac:dyDescent="0.2">
      <c r="A1645" s="6"/>
      <c r="B1645" s="7"/>
      <c r="C1645" s="6"/>
      <c r="D1645" s="7"/>
      <c r="E1645" s="6"/>
      <c r="F1645" s="7"/>
      <c r="G1645" s="6"/>
      <c r="H1645" s="7"/>
      <c r="I1645" s="6"/>
      <c r="J1645" s="7"/>
      <c r="K1645" s="96" t="str">
        <f>HYPERLINK("#'Healthcare'!BKG1","Q6.7.47_3_2")</f>
        <v>Q6.7.47_3_2</v>
      </c>
      <c r="L1645" s="93" t="str">
        <f>HYPERLINK("#'Healthcare'!BKG2","Primary POS medical plan tier 3 coinsurance maximum: Mail order - in-network")</f>
        <v>Primary POS medical plan tier 3 coinsurance maximum: Mail order - in-network</v>
      </c>
      <c r="M1645" s="6"/>
      <c r="N1645" s="7"/>
      <c r="O1645" s="6"/>
      <c r="P1645" s="7"/>
      <c r="Q1645" s="6"/>
      <c r="R1645" s="7"/>
      <c r="S1645" s="6"/>
      <c r="T1645" s="7"/>
      <c r="U1645" s="6"/>
      <c r="V1645" s="7"/>
      <c r="W1645" s="6"/>
      <c r="X1645" s="7"/>
    </row>
    <row r="1646" spans="1:24" ht="25.5" x14ac:dyDescent="0.2">
      <c r="A1646" s="6"/>
      <c r="B1646" s="7"/>
      <c r="C1646" s="6"/>
      <c r="D1646" s="7"/>
      <c r="E1646" s="6"/>
      <c r="F1646" s="7"/>
      <c r="G1646" s="6"/>
      <c r="H1646" s="7"/>
      <c r="I1646" s="6"/>
      <c r="J1646" s="7"/>
      <c r="K1646" s="96" t="str">
        <f>HYPERLINK("#'Healthcare'!BKH1","Q6.7.47_4_1")</f>
        <v>Q6.7.47_4_1</v>
      </c>
      <c r="L1646" s="93" t="str">
        <f>HYPERLINK("#'Healthcare'!BKH2","Primary POS medical plan tier 4 coinsurance minimum: Mail order - in-network")</f>
        <v>Primary POS medical plan tier 4 coinsurance minimum: Mail order - in-network</v>
      </c>
      <c r="M1646" s="6"/>
      <c r="N1646" s="7"/>
      <c r="O1646" s="6"/>
      <c r="P1646" s="7"/>
      <c r="Q1646" s="6"/>
      <c r="R1646" s="7"/>
      <c r="S1646" s="6"/>
      <c r="T1646" s="7"/>
      <c r="U1646" s="6"/>
      <c r="V1646" s="7"/>
      <c r="W1646" s="6"/>
      <c r="X1646" s="7"/>
    </row>
    <row r="1647" spans="1:24" ht="25.5" x14ac:dyDescent="0.2">
      <c r="A1647" s="6"/>
      <c r="B1647" s="7"/>
      <c r="C1647" s="6"/>
      <c r="D1647" s="7"/>
      <c r="E1647" s="6"/>
      <c r="F1647" s="7"/>
      <c r="G1647" s="6"/>
      <c r="H1647" s="7"/>
      <c r="I1647" s="6"/>
      <c r="J1647" s="7"/>
      <c r="K1647" s="96" t="str">
        <f>HYPERLINK("#'Healthcare'!BKI1","Q6.7.47_4_2")</f>
        <v>Q6.7.47_4_2</v>
      </c>
      <c r="L1647" s="93" t="str">
        <f>HYPERLINK("#'Healthcare'!BKI2","Primary POS medical plan tier 4 coinsurance maximum: Mail order - in-network")</f>
        <v>Primary POS medical plan tier 4 coinsurance maximum: Mail order - in-network</v>
      </c>
      <c r="M1647" s="6"/>
      <c r="N1647" s="7"/>
      <c r="O1647" s="6"/>
      <c r="P1647" s="7"/>
      <c r="Q1647" s="6"/>
      <c r="R1647" s="7"/>
      <c r="S1647" s="6"/>
      <c r="T1647" s="7"/>
      <c r="U1647" s="6"/>
      <c r="V1647" s="7"/>
      <c r="W1647" s="6"/>
      <c r="X1647" s="7"/>
    </row>
    <row r="1648" spans="1:24" ht="25.5" x14ac:dyDescent="0.2">
      <c r="A1648" s="6"/>
      <c r="B1648" s="7"/>
      <c r="C1648" s="6"/>
      <c r="D1648" s="7"/>
      <c r="E1648" s="6"/>
      <c r="F1648" s="7"/>
      <c r="G1648" s="6"/>
      <c r="H1648" s="7"/>
      <c r="I1648" s="6"/>
      <c r="J1648" s="7"/>
      <c r="K1648" s="96" t="str">
        <f>HYPERLINK("#'Healthcare'!BKJ1","Q6.7.47_5_1")</f>
        <v>Q6.7.47_5_1</v>
      </c>
      <c r="L1648" s="93" t="str">
        <f>HYPERLINK("#'Healthcare'!BKJ2","Primary POS medical plan tier 5 coinsurance minimum: Mail order - in-network")</f>
        <v>Primary POS medical plan tier 5 coinsurance minimum: Mail order - in-network</v>
      </c>
      <c r="M1648" s="6"/>
      <c r="N1648" s="7"/>
      <c r="O1648" s="6"/>
      <c r="P1648" s="7"/>
      <c r="Q1648" s="6"/>
      <c r="R1648" s="7"/>
      <c r="S1648" s="6"/>
      <c r="T1648" s="7"/>
      <c r="U1648" s="6"/>
      <c r="V1648" s="7"/>
      <c r="W1648" s="6"/>
      <c r="X1648" s="7"/>
    </row>
    <row r="1649" spans="1:24" ht="25.5" x14ac:dyDescent="0.2">
      <c r="A1649" s="6"/>
      <c r="B1649" s="7"/>
      <c r="C1649" s="6"/>
      <c r="D1649" s="7"/>
      <c r="E1649" s="6"/>
      <c r="F1649" s="7"/>
      <c r="G1649" s="6"/>
      <c r="H1649" s="7"/>
      <c r="I1649" s="6"/>
      <c r="J1649" s="7"/>
      <c r="K1649" s="96" t="str">
        <f>HYPERLINK("#'Healthcare'!BKK1","Q6.7.47_5_2")</f>
        <v>Q6.7.47_5_2</v>
      </c>
      <c r="L1649" s="93" t="str">
        <f>HYPERLINK("#'Healthcare'!BKK2","Primary POS medical plan tier 5 coinsurance maximum: Mail order - in-network")</f>
        <v>Primary POS medical plan tier 5 coinsurance maximum: Mail order - in-network</v>
      </c>
      <c r="M1649" s="6"/>
      <c r="N1649" s="7"/>
      <c r="O1649" s="6"/>
      <c r="P1649" s="7"/>
      <c r="Q1649" s="6"/>
      <c r="R1649" s="7"/>
      <c r="S1649" s="6"/>
      <c r="T1649" s="7"/>
      <c r="U1649" s="6"/>
      <c r="V1649" s="7"/>
      <c r="W1649" s="6"/>
      <c r="X1649" s="7"/>
    </row>
    <row r="1650" spans="1:24" ht="25.5" x14ac:dyDescent="0.2">
      <c r="A1650" s="6"/>
      <c r="B1650" s="7"/>
      <c r="C1650" s="6"/>
      <c r="D1650" s="7"/>
      <c r="E1650" s="6"/>
      <c r="F1650" s="7"/>
      <c r="G1650" s="6"/>
      <c r="H1650" s="7"/>
      <c r="I1650" s="6"/>
      <c r="J1650" s="7"/>
      <c r="K1650" s="96" t="str">
        <f>HYPERLINK("#'Healthcare'!BKL1","Q6.7.47_6_1")</f>
        <v>Q6.7.47_6_1</v>
      </c>
      <c r="L1650" s="93" t="str">
        <f>HYPERLINK("#'Healthcare'!BKL2","Primary POS medical plan specialty coinsurance minimum: Mail order - in-network")</f>
        <v>Primary POS medical plan specialty coinsurance minimum: Mail order - in-network</v>
      </c>
      <c r="M1650" s="6"/>
      <c r="N1650" s="7"/>
      <c r="O1650" s="6"/>
      <c r="P1650" s="7"/>
      <c r="Q1650" s="6"/>
      <c r="R1650" s="7"/>
      <c r="S1650" s="6"/>
      <c r="T1650" s="7"/>
      <c r="U1650" s="6"/>
      <c r="V1650" s="7"/>
      <c r="W1650" s="6"/>
      <c r="X1650" s="7"/>
    </row>
    <row r="1651" spans="1:24" ht="25.5" x14ac:dyDescent="0.2">
      <c r="A1651" s="6"/>
      <c r="B1651" s="7"/>
      <c r="C1651" s="6"/>
      <c r="D1651" s="7"/>
      <c r="E1651" s="6"/>
      <c r="F1651" s="7"/>
      <c r="G1651" s="6"/>
      <c r="H1651" s="7"/>
      <c r="I1651" s="6"/>
      <c r="J1651" s="7"/>
      <c r="K1651" s="96" t="str">
        <f>HYPERLINK("#'Healthcare'!BKM1","Q6.7.47_6_2")</f>
        <v>Q6.7.47_6_2</v>
      </c>
      <c r="L1651" s="93" t="str">
        <f>HYPERLINK("#'Healthcare'!BKM2","Primary POS medical plan specialty coinsurance maximum: Mail order - in-network")</f>
        <v>Primary POS medical plan specialty coinsurance maximum: Mail order - in-network</v>
      </c>
      <c r="M1651" s="6"/>
      <c r="N1651" s="7"/>
      <c r="O1651" s="6"/>
      <c r="P1651" s="7"/>
      <c r="Q1651" s="6"/>
      <c r="R1651" s="7"/>
      <c r="S1651" s="6"/>
      <c r="T1651" s="7"/>
      <c r="U1651" s="6"/>
      <c r="V1651" s="7"/>
      <c r="W1651" s="6"/>
      <c r="X1651" s="7"/>
    </row>
    <row r="1652" spans="1:24" ht="25.5" x14ac:dyDescent="0.2">
      <c r="A1652" s="6"/>
      <c r="B1652" s="7"/>
      <c r="C1652" s="6"/>
      <c r="D1652" s="7"/>
      <c r="E1652" s="6"/>
      <c r="F1652" s="7"/>
      <c r="G1652" s="6"/>
      <c r="H1652" s="7"/>
      <c r="I1652" s="6"/>
      <c r="J1652" s="7"/>
      <c r="K1652" s="96" t="str">
        <f>HYPERLINK("#'Healthcare'!BKN1","Q6.7.47_7_1")</f>
        <v>Q6.7.47_7_1</v>
      </c>
      <c r="L1652" s="93" t="str">
        <f>HYPERLINK("#'Healthcare'!BKN2","Primary POS medical plan Other coinsurance minimum: Mail order - in-network")</f>
        <v>Primary POS medical plan Other coinsurance minimum: Mail order - in-network</v>
      </c>
      <c r="M1652" s="6"/>
      <c r="N1652" s="7"/>
      <c r="O1652" s="6"/>
      <c r="P1652" s="7"/>
      <c r="Q1652" s="6"/>
      <c r="R1652" s="7"/>
      <c r="S1652" s="6"/>
      <c r="T1652" s="7"/>
      <c r="U1652" s="6"/>
      <c r="V1652" s="7"/>
      <c r="W1652" s="6"/>
      <c r="X1652" s="7"/>
    </row>
    <row r="1653" spans="1:24" ht="25.5" x14ac:dyDescent="0.2">
      <c r="A1653" s="6"/>
      <c r="B1653" s="7"/>
      <c r="C1653" s="6"/>
      <c r="D1653" s="7"/>
      <c r="E1653" s="6"/>
      <c r="F1653" s="7"/>
      <c r="G1653" s="6"/>
      <c r="H1653" s="7"/>
      <c r="I1653" s="6"/>
      <c r="J1653" s="7"/>
      <c r="K1653" s="96" t="str">
        <f>HYPERLINK("#'Healthcare'!BKO1","Q6.7.47_7_2")</f>
        <v>Q6.7.47_7_2</v>
      </c>
      <c r="L1653" s="93" t="str">
        <f>HYPERLINK("#'Healthcare'!BKO2","Primary POS medical plan Other coinsurance maximum: Mail order - in-network")</f>
        <v>Primary POS medical plan Other coinsurance maximum: Mail order - in-network</v>
      </c>
      <c r="M1653" s="6"/>
      <c r="N1653" s="7"/>
      <c r="O1653" s="6"/>
      <c r="P1653" s="7"/>
      <c r="Q1653" s="6"/>
      <c r="R1653" s="7"/>
      <c r="S1653" s="6"/>
      <c r="T1653" s="7"/>
      <c r="U1653" s="6"/>
      <c r="V1653" s="7"/>
      <c r="W1653" s="6"/>
      <c r="X1653" s="7"/>
    </row>
    <row r="1654" spans="1:24" ht="25.5" x14ac:dyDescent="0.2">
      <c r="A1654" s="6"/>
      <c r="B1654" s="7"/>
      <c r="C1654" s="6"/>
      <c r="D1654" s="7"/>
      <c r="E1654" s="6"/>
      <c r="F1654" s="7"/>
      <c r="G1654" s="6"/>
      <c r="H1654" s="7"/>
      <c r="I1654" s="6"/>
      <c r="J1654" s="7"/>
      <c r="K1654" s="96" t="str">
        <f>HYPERLINK("#'Healthcare'!BKP1","Q6.7.48_1_1")</f>
        <v>Q6.7.48_1_1</v>
      </c>
      <c r="L1654" s="93" t="str">
        <f>HYPERLINK("#'Healthcare'!BKP2","Primary POS medical plan tier 1 coinsurance: Mail order - out-of-network")</f>
        <v>Primary POS medical plan tier 1 coinsurance: Mail order - out-of-network</v>
      </c>
      <c r="M1654" s="6"/>
      <c r="N1654" s="7"/>
      <c r="O1654" s="6"/>
      <c r="P1654" s="7"/>
      <c r="Q1654" s="6"/>
      <c r="R1654" s="7"/>
      <c r="S1654" s="6"/>
      <c r="T1654" s="7"/>
      <c r="U1654" s="6"/>
      <c r="V1654" s="7"/>
      <c r="W1654" s="6"/>
      <c r="X1654" s="7"/>
    </row>
    <row r="1655" spans="1:24" ht="25.5" x14ac:dyDescent="0.2">
      <c r="A1655" s="6"/>
      <c r="B1655" s="7"/>
      <c r="C1655" s="6"/>
      <c r="D1655" s="7"/>
      <c r="E1655" s="6"/>
      <c r="F1655" s="7"/>
      <c r="G1655" s="6"/>
      <c r="H1655" s="7"/>
      <c r="I1655" s="6"/>
      <c r="J1655" s="7"/>
      <c r="K1655" s="96" t="str">
        <f>HYPERLINK("#'Healthcare'!BKQ1","Q6.7.48_2_1")</f>
        <v>Q6.7.48_2_1</v>
      </c>
      <c r="L1655" s="93" t="str">
        <f>HYPERLINK("#'Healthcare'!BKQ2","Primary POS medical plan tier 2 coinsurance: Mail order - out-of-network")</f>
        <v>Primary POS medical plan tier 2 coinsurance: Mail order - out-of-network</v>
      </c>
      <c r="M1655" s="6"/>
      <c r="N1655" s="7"/>
      <c r="O1655" s="6"/>
      <c r="P1655" s="7"/>
      <c r="Q1655" s="6"/>
      <c r="R1655" s="7"/>
      <c r="S1655" s="6"/>
      <c r="T1655" s="7"/>
      <c r="U1655" s="6"/>
      <c r="V1655" s="7"/>
      <c r="W1655" s="6"/>
      <c r="X1655" s="7"/>
    </row>
    <row r="1656" spans="1:24" ht="25.5" x14ac:dyDescent="0.2">
      <c r="A1656" s="6"/>
      <c r="B1656" s="7"/>
      <c r="C1656" s="6"/>
      <c r="D1656" s="7"/>
      <c r="E1656" s="6"/>
      <c r="F1656" s="7"/>
      <c r="G1656" s="6"/>
      <c r="H1656" s="7"/>
      <c r="I1656" s="6"/>
      <c r="J1656" s="7"/>
      <c r="K1656" s="96" t="str">
        <f>HYPERLINK("#'Healthcare'!BKR1","Q6.7.48_3_1")</f>
        <v>Q6.7.48_3_1</v>
      </c>
      <c r="L1656" s="93" t="str">
        <f>HYPERLINK("#'Healthcare'!BKR2","Primary POS medical plan tier 3 coinsurance: Mail order - out-of-network")</f>
        <v>Primary POS medical plan tier 3 coinsurance: Mail order - out-of-network</v>
      </c>
      <c r="M1656" s="6"/>
      <c r="N1656" s="7"/>
      <c r="O1656" s="6"/>
      <c r="P1656" s="7"/>
      <c r="Q1656" s="6"/>
      <c r="R1656" s="7"/>
      <c r="S1656" s="6"/>
      <c r="T1656" s="7"/>
      <c r="U1656" s="6"/>
      <c r="V1656" s="7"/>
      <c r="W1656" s="6"/>
      <c r="X1656" s="7"/>
    </row>
    <row r="1657" spans="1:24" ht="25.5" x14ac:dyDescent="0.2">
      <c r="A1657" s="6"/>
      <c r="B1657" s="7"/>
      <c r="C1657" s="6"/>
      <c r="D1657" s="7"/>
      <c r="E1657" s="6"/>
      <c r="F1657" s="7"/>
      <c r="G1657" s="6"/>
      <c r="H1657" s="7"/>
      <c r="I1657" s="6"/>
      <c r="J1657" s="7"/>
      <c r="K1657" s="96" t="str">
        <f>HYPERLINK("#'Healthcare'!BKS1","Q6.7.48_4_1")</f>
        <v>Q6.7.48_4_1</v>
      </c>
      <c r="L1657" s="93" t="str">
        <f>HYPERLINK("#'Healthcare'!BKS2","Primary POS medical plan tier 4 coinsurance: Mail order - out-of-network")</f>
        <v>Primary POS medical plan tier 4 coinsurance: Mail order - out-of-network</v>
      </c>
      <c r="M1657" s="6"/>
      <c r="N1657" s="7"/>
      <c r="O1657" s="6"/>
      <c r="P1657" s="7"/>
      <c r="Q1657" s="6"/>
      <c r="R1657" s="7"/>
      <c r="S1657" s="6"/>
      <c r="T1657" s="7"/>
      <c r="U1657" s="6"/>
      <c r="V1657" s="7"/>
      <c r="W1657" s="6"/>
      <c r="X1657" s="7"/>
    </row>
    <row r="1658" spans="1:24" ht="25.5" x14ac:dyDescent="0.2">
      <c r="A1658" s="6"/>
      <c r="B1658" s="7"/>
      <c r="C1658" s="6"/>
      <c r="D1658" s="7"/>
      <c r="E1658" s="6"/>
      <c r="F1658" s="7"/>
      <c r="G1658" s="6"/>
      <c r="H1658" s="7"/>
      <c r="I1658" s="6"/>
      <c r="J1658" s="7"/>
      <c r="K1658" s="96" t="str">
        <f>HYPERLINK("#'Healthcare'!BKT1","Q6.7.48_5_1")</f>
        <v>Q6.7.48_5_1</v>
      </c>
      <c r="L1658" s="93" t="str">
        <f>HYPERLINK("#'Healthcare'!BKT2","Primary POS medical plan tier 5 coinsurance: Mail order - out-of-network")</f>
        <v>Primary POS medical plan tier 5 coinsurance: Mail order - out-of-network</v>
      </c>
      <c r="M1658" s="6"/>
      <c r="N1658" s="7"/>
      <c r="O1658" s="6"/>
      <c r="P1658" s="7"/>
      <c r="Q1658" s="6"/>
      <c r="R1658" s="7"/>
      <c r="S1658" s="6"/>
      <c r="T1658" s="7"/>
      <c r="U1658" s="6"/>
      <c r="V1658" s="7"/>
      <c r="W1658" s="6"/>
      <c r="X1658" s="7"/>
    </row>
    <row r="1659" spans="1:24" ht="25.5" x14ac:dyDescent="0.2">
      <c r="A1659" s="6"/>
      <c r="B1659" s="7"/>
      <c r="C1659" s="6"/>
      <c r="D1659" s="7"/>
      <c r="E1659" s="6"/>
      <c r="F1659" s="7"/>
      <c r="G1659" s="6"/>
      <c r="H1659" s="7"/>
      <c r="I1659" s="6"/>
      <c r="J1659" s="7"/>
      <c r="K1659" s="96" t="str">
        <f>HYPERLINK("#'Healthcare'!BKU1","Q6.7.48_6_1")</f>
        <v>Q6.7.48_6_1</v>
      </c>
      <c r="L1659" s="93" t="str">
        <f>HYPERLINK("#'Healthcare'!BKU2","Primary POS medical plan specialty coinsurance: Mail order - out-of-network")</f>
        <v>Primary POS medical plan specialty coinsurance: Mail order - out-of-network</v>
      </c>
      <c r="M1659" s="6"/>
      <c r="N1659" s="7"/>
      <c r="O1659" s="6"/>
      <c r="P1659" s="7"/>
      <c r="Q1659" s="6"/>
      <c r="R1659" s="7"/>
      <c r="S1659" s="6"/>
      <c r="T1659" s="7"/>
      <c r="U1659" s="6"/>
      <c r="V1659" s="7"/>
      <c r="W1659" s="6"/>
      <c r="X1659" s="7"/>
    </row>
    <row r="1660" spans="1:24" ht="25.5" x14ac:dyDescent="0.2">
      <c r="A1660" s="6"/>
      <c r="B1660" s="7"/>
      <c r="C1660" s="6"/>
      <c r="D1660" s="7"/>
      <c r="E1660" s="6"/>
      <c r="F1660" s="7"/>
      <c r="G1660" s="6"/>
      <c r="H1660" s="7"/>
      <c r="I1660" s="6"/>
      <c r="J1660" s="7"/>
      <c r="K1660" s="96" t="str">
        <f>HYPERLINK("#'Healthcare'!BKV1","Q6.7.48_7_1")</f>
        <v>Q6.7.48_7_1</v>
      </c>
      <c r="L1660" s="93" t="str">
        <f>HYPERLINK("#'Healthcare'!BKV2","Primary POS medical plan Other coinsurance: Mail order - out-of-network")</f>
        <v>Primary POS medical plan Other coinsurance: Mail order - out-of-network</v>
      </c>
      <c r="M1660" s="6"/>
      <c r="N1660" s="7"/>
      <c r="O1660" s="6"/>
      <c r="P1660" s="7"/>
      <c r="Q1660" s="6"/>
      <c r="R1660" s="7"/>
      <c r="S1660" s="6"/>
      <c r="T1660" s="7"/>
      <c r="U1660" s="6"/>
      <c r="V1660" s="7"/>
      <c r="W1660" s="6"/>
      <c r="X1660" s="7"/>
    </row>
    <row r="1661" spans="1:24" ht="25.5" x14ac:dyDescent="0.2">
      <c r="A1661" s="6"/>
      <c r="B1661" s="7"/>
      <c r="C1661" s="6"/>
      <c r="D1661" s="7"/>
      <c r="E1661" s="6"/>
      <c r="F1661" s="7"/>
      <c r="G1661" s="6"/>
      <c r="H1661" s="7"/>
      <c r="I1661" s="6"/>
      <c r="J1661" s="7"/>
      <c r="K1661" s="96" t="str">
        <f>HYPERLINK("#'Healthcare'!BKW1","Q6.7.49_1_1")</f>
        <v>Q6.7.49_1_1</v>
      </c>
      <c r="L1661" s="93" t="str">
        <f>HYPERLINK("#'Healthcare'!BKW2","Primary POS medical plan tier 1 coinsurance minimum: Mail order - out-of-network")</f>
        <v>Primary POS medical plan tier 1 coinsurance minimum: Mail order - out-of-network</v>
      </c>
      <c r="M1661" s="6"/>
      <c r="N1661" s="7"/>
      <c r="O1661" s="6"/>
      <c r="P1661" s="7"/>
      <c r="Q1661" s="6"/>
      <c r="R1661" s="7"/>
      <c r="S1661" s="6"/>
      <c r="T1661" s="7"/>
      <c r="U1661" s="6"/>
      <c r="V1661" s="7"/>
      <c r="W1661" s="6"/>
      <c r="X1661" s="7"/>
    </row>
    <row r="1662" spans="1:24" ht="25.5" x14ac:dyDescent="0.2">
      <c r="A1662" s="6"/>
      <c r="B1662" s="7"/>
      <c r="C1662" s="6"/>
      <c r="D1662" s="7"/>
      <c r="E1662" s="6"/>
      <c r="F1662" s="7"/>
      <c r="G1662" s="6"/>
      <c r="H1662" s="7"/>
      <c r="I1662" s="6"/>
      <c r="J1662" s="7"/>
      <c r="K1662" s="96" t="str">
        <f>HYPERLINK("#'Healthcare'!BKX1","Q6.7.49_1_2")</f>
        <v>Q6.7.49_1_2</v>
      </c>
      <c r="L1662" s="93" t="str">
        <f>HYPERLINK("#'Healthcare'!BKX2","Primary POS medical plan tier 1 coinsurance maximum: Mail order - out-of-network")</f>
        <v>Primary POS medical plan tier 1 coinsurance maximum: Mail order - out-of-network</v>
      </c>
      <c r="M1662" s="6"/>
      <c r="N1662" s="7"/>
      <c r="O1662" s="6"/>
      <c r="P1662" s="7"/>
      <c r="Q1662" s="6"/>
      <c r="R1662" s="7"/>
      <c r="S1662" s="6"/>
      <c r="T1662" s="7"/>
      <c r="U1662" s="6"/>
      <c r="V1662" s="7"/>
      <c r="W1662" s="6"/>
      <c r="X1662" s="7"/>
    </row>
    <row r="1663" spans="1:24" ht="25.5" x14ac:dyDescent="0.2">
      <c r="A1663" s="6"/>
      <c r="B1663" s="7"/>
      <c r="C1663" s="6"/>
      <c r="D1663" s="7"/>
      <c r="E1663" s="6"/>
      <c r="F1663" s="7"/>
      <c r="G1663" s="6"/>
      <c r="H1663" s="7"/>
      <c r="I1663" s="6"/>
      <c r="J1663" s="7"/>
      <c r="K1663" s="96" t="str">
        <f>HYPERLINK("#'Healthcare'!BKY1","Q6.7.49_2_1")</f>
        <v>Q6.7.49_2_1</v>
      </c>
      <c r="L1663" s="93" t="str">
        <f>HYPERLINK("#'Healthcare'!BKY2","Primary POS medical plan tier 2 coinsurance minimum: Mail order - out-of-network")</f>
        <v>Primary POS medical plan tier 2 coinsurance minimum: Mail order - out-of-network</v>
      </c>
      <c r="M1663" s="6"/>
      <c r="N1663" s="7"/>
      <c r="O1663" s="6"/>
      <c r="P1663" s="7"/>
      <c r="Q1663" s="6"/>
      <c r="R1663" s="7"/>
      <c r="S1663" s="6"/>
      <c r="T1663" s="7"/>
      <c r="U1663" s="6"/>
      <c r="V1663" s="7"/>
      <c r="W1663" s="6"/>
      <c r="X1663" s="7"/>
    </row>
    <row r="1664" spans="1:24" ht="25.5" x14ac:dyDescent="0.2">
      <c r="A1664" s="6"/>
      <c r="B1664" s="7"/>
      <c r="C1664" s="6"/>
      <c r="D1664" s="7"/>
      <c r="E1664" s="6"/>
      <c r="F1664" s="7"/>
      <c r="G1664" s="6"/>
      <c r="H1664" s="7"/>
      <c r="I1664" s="6"/>
      <c r="J1664" s="7"/>
      <c r="K1664" s="96" t="str">
        <f>HYPERLINK("#'Healthcare'!BKZ1","Q6.7.49_2_2")</f>
        <v>Q6.7.49_2_2</v>
      </c>
      <c r="L1664" s="93" t="str">
        <f>HYPERLINK("#'Healthcare'!BKZ2","Primary POS medical plan tier 2 coinsurance maximum: Mail order - out-of-network")</f>
        <v>Primary POS medical plan tier 2 coinsurance maximum: Mail order - out-of-network</v>
      </c>
      <c r="M1664" s="6"/>
      <c r="N1664" s="7"/>
      <c r="O1664" s="6"/>
      <c r="P1664" s="7"/>
      <c r="Q1664" s="6"/>
      <c r="R1664" s="7"/>
      <c r="S1664" s="6"/>
      <c r="T1664" s="7"/>
      <c r="U1664" s="6"/>
      <c r="V1664" s="7"/>
      <c r="W1664" s="6"/>
      <c r="X1664" s="7"/>
    </row>
    <row r="1665" spans="1:24" ht="25.5" x14ac:dyDescent="0.2">
      <c r="A1665" s="6"/>
      <c r="B1665" s="7"/>
      <c r="C1665" s="6"/>
      <c r="D1665" s="7"/>
      <c r="E1665" s="6"/>
      <c r="F1665" s="7"/>
      <c r="G1665" s="6"/>
      <c r="H1665" s="7"/>
      <c r="I1665" s="6"/>
      <c r="J1665" s="7"/>
      <c r="K1665" s="96" t="str">
        <f>HYPERLINK("#'Healthcare'!BLA1","Q6.7.49_3_1")</f>
        <v>Q6.7.49_3_1</v>
      </c>
      <c r="L1665" s="93" t="str">
        <f>HYPERLINK("#'Healthcare'!BLA2","Primary POS medical plan tier 3 coinsurance minimum: Mail order - out-of-network")</f>
        <v>Primary POS medical plan tier 3 coinsurance minimum: Mail order - out-of-network</v>
      </c>
      <c r="M1665" s="6"/>
      <c r="N1665" s="7"/>
      <c r="O1665" s="6"/>
      <c r="P1665" s="7"/>
      <c r="Q1665" s="6"/>
      <c r="R1665" s="7"/>
      <c r="S1665" s="6"/>
      <c r="T1665" s="7"/>
      <c r="U1665" s="6"/>
      <c r="V1665" s="7"/>
      <c r="W1665" s="6"/>
      <c r="X1665" s="7"/>
    </row>
    <row r="1666" spans="1:24" ht="25.5" x14ac:dyDescent="0.2">
      <c r="A1666" s="6"/>
      <c r="B1666" s="7"/>
      <c r="C1666" s="6"/>
      <c r="D1666" s="7"/>
      <c r="E1666" s="6"/>
      <c r="F1666" s="7"/>
      <c r="G1666" s="6"/>
      <c r="H1666" s="7"/>
      <c r="I1666" s="6"/>
      <c r="J1666" s="7"/>
      <c r="K1666" s="96" t="str">
        <f>HYPERLINK("#'Healthcare'!BLB1","Q6.7.49_3_2")</f>
        <v>Q6.7.49_3_2</v>
      </c>
      <c r="L1666" s="93" t="str">
        <f>HYPERLINK("#'Healthcare'!BLB2","Primary POS medical plan tier 3 coinsurance maximum: Mail order - out-of-network")</f>
        <v>Primary POS medical plan tier 3 coinsurance maximum: Mail order - out-of-network</v>
      </c>
      <c r="M1666" s="6"/>
      <c r="N1666" s="7"/>
      <c r="O1666" s="6"/>
      <c r="P1666" s="7"/>
      <c r="Q1666" s="6"/>
      <c r="R1666" s="7"/>
      <c r="S1666" s="6"/>
      <c r="T1666" s="7"/>
      <c r="U1666" s="6"/>
      <c r="V1666" s="7"/>
      <c r="W1666" s="6"/>
      <c r="X1666" s="7"/>
    </row>
    <row r="1667" spans="1:24" ht="25.5" x14ac:dyDescent="0.2">
      <c r="A1667" s="6"/>
      <c r="B1667" s="7"/>
      <c r="C1667" s="6"/>
      <c r="D1667" s="7"/>
      <c r="E1667" s="6"/>
      <c r="F1667" s="7"/>
      <c r="G1667" s="6"/>
      <c r="H1667" s="7"/>
      <c r="I1667" s="6"/>
      <c r="J1667" s="7"/>
      <c r="K1667" s="96" t="str">
        <f>HYPERLINK("#'Healthcare'!BLC1","Q6.7.49_4_1")</f>
        <v>Q6.7.49_4_1</v>
      </c>
      <c r="L1667" s="93" t="str">
        <f>HYPERLINK("#'Healthcare'!BLC2","Primary POS medical plan tier 4 coinsurance minimum: Mail order - out-of-network")</f>
        <v>Primary POS medical plan tier 4 coinsurance minimum: Mail order - out-of-network</v>
      </c>
      <c r="M1667" s="6"/>
      <c r="N1667" s="7"/>
      <c r="O1667" s="6"/>
      <c r="P1667" s="7"/>
      <c r="Q1667" s="6"/>
      <c r="R1667" s="7"/>
      <c r="S1667" s="6"/>
      <c r="T1667" s="7"/>
      <c r="U1667" s="6"/>
      <c r="V1667" s="7"/>
      <c r="W1667" s="6"/>
      <c r="X1667" s="7"/>
    </row>
    <row r="1668" spans="1:24" ht="25.5" x14ac:dyDescent="0.2">
      <c r="A1668" s="6"/>
      <c r="B1668" s="7"/>
      <c r="C1668" s="6"/>
      <c r="D1668" s="7"/>
      <c r="E1668" s="6"/>
      <c r="F1668" s="7"/>
      <c r="G1668" s="6"/>
      <c r="H1668" s="7"/>
      <c r="I1668" s="6"/>
      <c r="J1668" s="7"/>
      <c r="K1668" s="96" t="str">
        <f>HYPERLINK("#'Healthcare'!BLD1","Q6.7.49_4_2")</f>
        <v>Q6.7.49_4_2</v>
      </c>
      <c r="L1668" s="93" t="str">
        <f>HYPERLINK("#'Healthcare'!BLD2","Primary POS medical plan tier 4 coinsurance maximum: Mail order - out-of-network")</f>
        <v>Primary POS medical plan tier 4 coinsurance maximum: Mail order - out-of-network</v>
      </c>
      <c r="M1668" s="6"/>
      <c r="N1668" s="7"/>
      <c r="O1668" s="6"/>
      <c r="P1668" s="7"/>
      <c r="Q1668" s="6"/>
      <c r="R1668" s="7"/>
      <c r="S1668" s="6"/>
      <c r="T1668" s="7"/>
      <c r="U1668" s="6"/>
      <c r="V1668" s="7"/>
      <c r="W1668" s="6"/>
      <c r="X1668" s="7"/>
    </row>
    <row r="1669" spans="1:24" ht="25.5" x14ac:dyDescent="0.2">
      <c r="A1669" s="6"/>
      <c r="B1669" s="7"/>
      <c r="C1669" s="6"/>
      <c r="D1669" s="7"/>
      <c r="E1669" s="6"/>
      <c r="F1669" s="7"/>
      <c r="G1669" s="6"/>
      <c r="H1669" s="7"/>
      <c r="I1669" s="6"/>
      <c r="J1669" s="7"/>
      <c r="K1669" s="96" t="str">
        <f>HYPERLINK("#'Healthcare'!BLE1","Q6.7.49_5_1")</f>
        <v>Q6.7.49_5_1</v>
      </c>
      <c r="L1669" s="93" t="str">
        <f>HYPERLINK("#'Healthcare'!BLE2","Primary POS medical plan tier 5 coinsurance minimum: Mail order - out-of-network")</f>
        <v>Primary POS medical plan tier 5 coinsurance minimum: Mail order - out-of-network</v>
      </c>
      <c r="M1669" s="6"/>
      <c r="N1669" s="7"/>
      <c r="O1669" s="6"/>
      <c r="P1669" s="7"/>
      <c r="Q1669" s="6"/>
      <c r="R1669" s="7"/>
      <c r="S1669" s="6"/>
      <c r="T1669" s="7"/>
      <c r="U1669" s="6"/>
      <c r="V1669" s="7"/>
      <c r="W1669" s="6"/>
      <c r="X1669" s="7"/>
    </row>
    <row r="1670" spans="1:24" ht="25.5" x14ac:dyDescent="0.2">
      <c r="A1670" s="6"/>
      <c r="B1670" s="7"/>
      <c r="C1670" s="6"/>
      <c r="D1670" s="7"/>
      <c r="E1670" s="6"/>
      <c r="F1670" s="7"/>
      <c r="G1670" s="6"/>
      <c r="H1670" s="7"/>
      <c r="I1670" s="6"/>
      <c r="J1670" s="7"/>
      <c r="K1670" s="96" t="str">
        <f>HYPERLINK("#'Healthcare'!BLF1","Q6.7.49_5_2")</f>
        <v>Q6.7.49_5_2</v>
      </c>
      <c r="L1670" s="93" t="str">
        <f>HYPERLINK("#'Healthcare'!BLF2","Primary POS medical plan tier 5 coinsurance maximum: Mail order - out-of-network")</f>
        <v>Primary POS medical plan tier 5 coinsurance maximum: Mail order - out-of-network</v>
      </c>
      <c r="M1670" s="6"/>
      <c r="N1670" s="7"/>
      <c r="O1670" s="6"/>
      <c r="P1670" s="7"/>
      <c r="Q1670" s="6"/>
      <c r="R1670" s="7"/>
      <c r="S1670" s="6"/>
      <c r="T1670" s="7"/>
      <c r="U1670" s="6"/>
      <c r="V1670" s="7"/>
      <c r="W1670" s="6"/>
      <c r="X1670" s="7"/>
    </row>
    <row r="1671" spans="1:24" ht="38.25" x14ac:dyDescent="0.2">
      <c r="A1671" s="6"/>
      <c r="B1671" s="7"/>
      <c r="C1671" s="6"/>
      <c r="D1671" s="7"/>
      <c r="E1671" s="6"/>
      <c r="F1671" s="7"/>
      <c r="G1671" s="6"/>
      <c r="H1671" s="7"/>
      <c r="I1671" s="6"/>
      <c r="J1671" s="7"/>
      <c r="K1671" s="96" t="str">
        <f>HYPERLINK("#'Healthcare'!BLG1","Q6.7.49_6_1")</f>
        <v>Q6.7.49_6_1</v>
      </c>
      <c r="L1671" s="93" t="str">
        <f>HYPERLINK("#'Healthcare'!BLG2","Primary POS medical plan specialty coinsurance minimum: Mail order - out-of-network")</f>
        <v>Primary POS medical plan specialty coinsurance minimum: Mail order - out-of-network</v>
      </c>
      <c r="M1671" s="6"/>
      <c r="N1671" s="7"/>
      <c r="O1671" s="6"/>
      <c r="P1671" s="7"/>
      <c r="Q1671" s="6"/>
      <c r="R1671" s="7"/>
      <c r="S1671" s="6"/>
      <c r="T1671" s="7"/>
      <c r="U1671" s="6"/>
      <c r="V1671" s="7"/>
      <c r="W1671" s="6"/>
      <c r="X1671" s="7"/>
    </row>
    <row r="1672" spans="1:24" ht="38.25" x14ac:dyDescent="0.2">
      <c r="A1672" s="6"/>
      <c r="B1672" s="7"/>
      <c r="C1672" s="6"/>
      <c r="D1672" s="7"/>
      <c r="E1672" s="6"/>
      <c r="F1672" s="7"/>
      <c r="G1672" s="6"/>
      <c r="H1672" s="7"/>
      <c r="I1672" s="6"/>
      <c r="J1672" s="7"/>
      <c r="K1672" s="96" t="str">
        <f>HYPERLINK("#'Healthcare'!BLH1","Q6.7.49_6_2")</f>
        <v>Q6.7.49_6_2</v>
      </c>
      <c r="L1672" s="93" t="str">
        <f>HYPERLINK("#'Healthcare'!BLH2","Primary POS medical plan specialty coinsurance maximum: Mail order - out-of-network")</f>
        <v>Primary POS medical plan specialty coinsurance maximum: Mail order - out-of-network</v>
      </c>
      <c r="M1672" s="6"/>
      <c r="N1672" s="7"/>
      <c r="O1672" s="6"/>
      <c r="P1672" s="7"/>
      <c r="Q1672" s="6"/>
      <c r="R1672" s="7"/>
      <c r="S1672" s="6"/>
      <c r="T1672" s="7"/>
      <c r="U1672" s="6"/>
      <c r="V1672" s="7"/>
      <c r="W1672" s="6"/>
      <c r="X1672" s="7"/>
    </row>
    <row r="1673" spans="1:24" ht="25.5" x14ac:dyDescent="0.2">
      <c r="A1673" s="6"/>
      <c r="B1673" s="7"/>
      <c r="C1673" s="6"/>
      <c r="D1673" s="7"/>
      <c r="E1673" s="6"/>
      <c r="F1673" s="7"/>
      <c r="G1673" s="6"/>
      <c r="H1673" s="7"/>
      <c r="I1673" s="6"/>
      <c r="J1673" s="7"/>
      <c r="K1673" s="96" t="str">
        <f>HYPERLINK("#'Healthcare'!BLI1","Q6.7.49_7_1")</f>
        <v>Q6.7.49_7_1</v>
      </c>
      <c r="L1673" s="93" t="str">
        <f>HYPERLINK("#'Healthcare'!BLI2","Primary POS medical plan Other coinsurance minimum: Mail order - out-of-network")</f>
        <v>Primary POS medical plan Other coinsurance minimum: Mail order - out-of-network</v>
      </c>
      <c r="M1673" s="6"/>
      <c r="N1673" s="7"/>
      <c r="O1673" s="6"/>
      <c r="P1673" s="7"/>
      <c r="Q1673" s="6"/>
      <c r="R1673" s="7"/>
      <c r="S1673" s="6"/>
      <c r="T1673" s="7"/>
      <c r="U1673" s="6"/>
      <c r="V1673" s="7"/>
      <c r="W1673" s="6"/>
      <c r="X1673" s="7"/>
    </row>
    <row r="1674" spans="1:24" ht="25.5" x14ac:dyDescent="0.2">
      <c r="A1674" s="6"/>
      <c r="B1674" s="7"/>
      <c r="C1674" s="6"/>
      <c r="D1674" s="7"/>
      <c r="E1674" s="6"/>
      <c r="F1674" s="7"/>
      <c r="G1674" s="6"/>
      <c r="H1674" s="7"/>
      <c r="I1674" s="6"/>
      <c r="J1674" s="7"/>
      <c r="K1674" s="96" t="str">
        <f>HYPERLINK("#'Healthcare'!BLJ1","Q6.7.49_7_2")</f>
        <v>Q6.7.49_7_2</v>
      </c>
      <c r="L1674" s="93" t="str">
        <f>HYPERLINK("#'Healthcare'!BLJ2","Primary POS medical plan Other coinsurance maximum: Mail order - out-of-network")</f>
        <v>Primary POS medical plan Other coinsurance maximum: Mail order - out-of-network</v>
      </c>
      <c r="M1674" s="6"/>
      <c r="N1674" s="7"/>
      <c r="O1674" s="6"/>
      <c r="P1674" s="7"/>
      <c r="Q1674" s="6"/>
      <c r="R1674" s="7"/>
      <c r="S1674" s="6"/>
      <c r="T1674" s="7"/>
      <c r="U1674" s="6"/>
      <c r="V1674" s="7"/>
      <c r="W1674" s="6"/>
      <c r="X1674" s="7"/>
    </row>
    <row r="1675" spans="1:24" ht="25.5" x14ac:dyDescent="0.2">
      <c r="A1675" s="6"/>
      <c r="B1675" s="7"/>
      <c r="C1675" s="6"/>
      <c r="D1675" s="7"/>
      <c r="E1675" s="6"/>
      <c r="F1675" s="7"/>
      <c r="G1675" s="6"/>
      <c r="H1675" s="7"/>
      <c r="I1675" s="6"/>
      <c r="J1675" s="7"/>
      <c r="K1675" s="96" t="str">
        <f>HYPERLINK("#'Healthcare'!BLK1","Q6.7.50")</f>
        <v>Q6.7.50</v>
      </c>
      <c r="L1675" s="93" t="str">
        <f>HYPERLINK("#'Healthcare'!BLK2","Primary POS medical plan: Pharmacy benefit manager carved in/out")</f>
        <v>Primary POS medical plan: Pharmacy benefit manager carved in/out</v>
      </c>
      <c r="M1675" s="6"/>
      <c r="N1675" s="7"/>
      <c r="O1675" s="6"/>
      <c r="P1675" s="7"/>
      <c r="Q1675" s="6"/>
      <c r="R1675" s="7"/>
      <c r="S1675" s="6"/>
      <c r="T1675" s="7"/>
      <c r="U1675" s="6"/>
      <c r="V1675" s="7"/>
      <c r="W1675" s="6"/>
      <c r="X1675" s="7"/>
    </row>
    <row r="1676" spans="1:24" ht="38.25" x14ac:dyDescent="0.2">
      <c r="A1676" s="6"/>
      <c r="B1676" s="7"/>
      <c r="C1676" s="6"/>
      <c r="D1676" s="7"/>
      <c r="E1676" s="6"/>
      <c r="F1676" s="7"/>
      <c r="G1676" s="6"/>
      <c r="H1676" s="7"/>
      <c r="I1676" s="6"/>
      <c r="J1676" s="7"/>
      <c r="K1676" s="96" t="str">
        <f>HYPERLINK("#'Healthcare'!BLL1","Q6.7.51")</f>
        <v>Q6.7.51</v>
      </c>
      <c r="L1676" s="93" t="str">
        <f>HYPERLINK("#'Healthcare'!BLL2","Primary POS medical plan: Drug classes with zero cost share to members (in addition to ACA law requirements)")</f>
        <v>Primary POS medical plan: Drug classes with zero cost share to members (in addition to ACA law requirements)</v>
      </c>
      <c r="M1676" s="6"/>
      <c r="N1676" s="7"/>
      <c r="O1676" s="6"/>
      <c r="P1676" s="7"/>
      <c r="Q1676" s="6"/>
      <c r="R1676" s="7"/>
      <c r="S1676" s="6"/>
      <c r="T1676" s="7"/>
      <c r="U1676" s="6"/>
      <c r="V1676" s="7"/>
      <c r="W1676" s="6"/>
      <c r="X1676" s="7"/>
    </row>
    <row r="1677" spans="1:24" ht="38.25" x14ac:dyDescent="0.2">
      <c r="A1677" s="6"/>
      <c r="B1677" s="7"/>
      <c r="C1677" s="6"/>
      <c r="D1677" s="7"/>
      <c r="E1677" s="6"/>
      <c r="F1677" s="7"/>
      <c r="G1677" s="6"/>
      <c r="H1677" s="7"/>
      <c r="I1677" s="6"/>
      <c r="J1677" s="7"/>
      <c r="K1677" s="96" t="str">
        <f>HYPERLINK("#'Healthcare'!BLM1","Q6.7.52")</f>
        <v>Q6.7.52</v>
      </c>
      <c r="L1677" s="93" t="str">
        <f>HYPERLINK("#'Healthcare'!BLM2","Primary POS medical plan: Cost share for individuals who receive infused/injectable medications at preferred care sites")</f>
        <v>Primary POS medical plan: Cost share for individuals who receive infused/injectable medications at preferred care sites</v>
      </c>
      <c r="M1677" s="6"/>
      <c r="N1677" s="7"/>
      <c r="O1677" s="6"/>
      <c r="P1677" s="7"/>
      <c r="Q1677" s="6"/>
      <c r="R1677" s="7"/>
      <c r="S1677" s="6"/>
      <c r="T1677" s="7"/>
      <c r="U1677" s="6"/>
      <c r="V1677" s="7"/>
      <c r="W1677" s="6"/>
      <c r="X1677" s="7"/>
    </row>
    <row r="1678" spans="1:24" ht="25.5" x14ac:dyDescent="0.2">
      <c r="A1678" s="6"/>
      <c r="B1678" s="7"/>
      <c r="C1678" s="6"/>
      <c r="D1678" s="7"/>
      <c r="E1678" s="6"/>
      <c r="F1678" s="7"/>
      <c r="G1678" s="6"/>
      <c r="H1678" s="7"/>
      <c r="I1678" s="6"/>
      <c r="J1678" s="7"/>
      <c r="K1678" s="96" t="str">
        <f>HYPERLINK("#'Healthcare'!BLN1","Q6.8.2")</f>
        <v>Q6.8.2</v>
      </c>
      <c r="L1678" s="93" t="str">
        <f>HYPERLINK("#'Healthcare'!BLN2","Total number of Indemnity (fee for service or out of area) medical plans offered")</f>
        <v>Total number of Indemnity (fee for service or out of area) medical plans offered</v>
      </c>
      <c r="M1678" s="6"/>
      <c r="N1678" s="7"/>
      <c r="O1678" s="6"/>
      <c r="P1678" s="7"/>
      <c r="Q1678" s="6"/>
      <c r="R1678" s="7"/>
      <c r="S1678" s="6"/>
      <c r="T1678" s="7"/>
      <c r="U1678" s="6"/>
      <c r="V1678" s="7"/>
      <c r="W1678" s="6"/>
      <c r="X1678" s="7"/>
    </row>
    <row r="1679" spans="1:24" ht="25.5" x14ac:dyDescent="0.2">
      <c r="A1679" s="6"/>
      <c r="B1679" s="7"/>
      <c r="C1679" s="6"/>
      <c r="D1679" s="7"/>
      <c r="E1679" s="6"/>
      <c r="F1679" s="7"/>
      <c r="G1679" s="6"/>
      <c r="H1679" s="7"/>
      <c r="I1679" s="6"/>
      <c r="J1679" s="7"/>
      <c r="K1679" s="96" t="str">
        <f>HYPERLINK("#'Healthcare'!BLO1","Q6.8.5")</f>
        <v>Q6.8.5</v>
      </c>
      <c r="L1679" s="93" t="str">
        <f>HYPERLINK("#'Healthcare'!BLO2","Indemnity medical plan with highest enrollment (Primary)")</f>
        <v>Indemnity medical plan with highest enrollment (Primary)</v>
      </c>
      <c r="M1679" s="6"/>
      <c r="N1679" s="7"/>
      <c r="O1679" s="6"/>
      <c r="P1679" s="7"/>
      <c r="Q1679" s="6"/>
      <c r="R1679" s="7"/>
      <c r="S1679" s="6"/>
      <c r="T1679" s="7"/>
      <c r="U1679" s="6"/>
      <c r="V1679" s="7"/>
      <c r="W1679" s="6"/>
      <c r="X1679" s="7"/>
    </row>
    <row r="1680" spans="1:24" ht="12.75" x14ac:dyDescent="0.2">
      <c r="A1680" s="6"/>
      <c r="B1680" s="7"/>
      <c r="C1680" s="6"/>
      <c r="D1680" s="7"/>
      <c r="E1680" s="6"/>
      <c r="F1680" s="7"/>
      <c r="G1680" s="6"/>
      <c r="H1680" s="7"/>
      <c r="I1680" s="6"/>
      <c r="J1680" s="7"/>
      <c r="K1680" s="96" t="str">
        <f>HYPERLINK("#'Healthcare'!BLP1","Q6.8.6")</f>
        <v>Q6.8.6</v>
      </c>
      <c r="L1680" s="93" t="str">
        <f>HYPERLINK("#'Healthcare'!BLP2","Other indemnity plans offered")</f>
        <v>Other indemnity plans offered</v>
      </c>
      <c r="M1680" s="6"/>
      <c r="N1680" s="7"/>
      <c r="O1680" s="6"/>
      <c r="P1680" s="7"/>
      <c r="Q1680" s="6"/>
      <c r="R1680" s="7"/>
      <c r="S1680" s="6"/>
      <c r="T1680" s="7"/>
      <c r="U1680" s="6"/>
      <c r="V1680" s="7"/>
      <c r="W1680" s="6"/>
      <c r="X1680" s="7"/>
    </row>
    <row r="1681" spans="1:24" ht="25.5" x14ac:dyDescent="0.2">
      <c r="A1681" s="6"/>
      <c r="B1681" s="7"/>
      <c r="C1681" s="6"/>
      <c r="D1681" s="7"/>
      <c r="E1681" s="6"/>
      <c r="F1681" s="7"/>
      <c r="G1681" s="6"/>
      <c r="H1681" s="7"/>
      <c r="I1681" s="6"/>
      <c r="J1681" s="7"/>
      <c r="K1681" s="96" t="str">
        <f>HYPERLINK("#'Healthcare'!BLQ1","Q6.8.7_1")</f>
        <v>Q6.8.7_1</v>
      </c>
      <c r="L1681" s="93" t="str">
        <f>HYPERLINK("#'Healthcare'!BLQ2","Primary indemnity medical plan: Network out-of-pocket limit per person")</f>
        <v>Primary indemnity medical plan: Network out-of-pocket limit per person</v>
      </c>
      <c r="M1681" s="6"/>
      <c r="N1681" s="7"/>
      <c r="O1681" s="6"/>
      <c r="P1681" s="7"/>
      <c r="Q1681" s="6"/>
      <c r="R1681" s="7"/>
      <c r="S1681" s="6"/>
      <c r="T1681" s="7"/>
      <c r="U1681" s="6"/>
      <c r="V1681" s="7"/>
      <c r="W1681" s="6"/>
      <c r="X1681" s="7"/>
    </row>
    <row r="1682" spans="1:24" ht="25.5" x14ac:dyDescent="0.2">
      <c r="A1682" s="6"/>
      <c r="B1682" s="7"/>
      <c r="C1682" s="6"/>
      <c r="D1682" s="7"/>
      <c r="E1682" s="6"/>
      <c r="F1682" s="7"/>
      <c r="G1682" s="6"/>
      <c r="H1682" s="7"/>
      <c r="I1682" s="6"/>
      <c r="J1682" s="7"/>
      <c r="K1682" s="96" t="str">
        <f>HYPERLINK("#'Healthcare'!BLR1","Q6.8.7_2")</f>
        <v>Q6.8.7_2</v>
      </c>
      <c r="L1682" s="93" t="str">
        <f>HYPERLINK("#'Healthcare'!BLR2","Primary indemnity medical plan: Network out-of-pocket limit family")</f>
        <v>Primary indemnity medical plan: Network out-of-pocket limit family</v>
      </c>
      <c r="M1682" s="6"/>
      <c r="N1682" s="7"/>
      <c r="O1682" s="6"/>
      <c r="P1682" s="7"/>
      <c r="Q1682" s="6"/>
      <c r="R1682" s="7"/>
      <c r="S1682" s="6"/>
      <c r="T1682" s="7"/>
      <c r="U1682" s="6"/>
      <c r="V1682" s="7"/>
      <c r="W1682" s="6"/>
      <c r="X1682" s="7"/>
    </row>
    <row r="1683" spans="1:24" ht="25.5" x14ac:dyDescent="0.2">
      <c r="A1683" s="6"/>
      <c r="B1683" s="7"/>
      <c r="C1683" s="6"/>
      <c r="D1683" s="7"/>
      <c r="E1683" s="6"/>
      <c r="F1683" s="7"/>
      <c r="G1683" s="6"/>
      <c r="H1683" s="7"/>
      <c r="I1683" s="6"/>
      <c r="J1683" s="7"/>
      <c r="K1683" s="96" t="str">
        <f>HYPERLINK("#'Healthcare'!BLS1","Q6.8.7_3")</f>
        <v>Q6.8.7_3</v>
      </c>
      <c r="L1683" s="93" t="str">
        <f>HYPERLINK("#'Healthcare'!BLS2","Primary indemnity medical plan: Out-of-network out-of-pocket limit per person")</f>
        <v>Primary indemnity medical plan: Out-of-network out-of-pocket limit per person</v>
      </c>
      <c r="M1683" s="6"/>
      <c r="N1683" s="7"/>
      <c r="O1683" s="6"/>
      <c r="P1683" s="7"/>
      <c r="Q1683" s="6"/>
      <c r="R1683" s="7"/>
      <c r="S1683" s="6"/>
      <c r="T1683" s="7"/>
      <c r="U1683" s="6"/>
      <c r="V1683" s="7"/>
      <c r="W1683" s="6"/>
      <c r="X1683" s="7"/>
    </row>
    <row r="1684" spans="1:24" ht="25.5" x14ac:dyDescent="0.2">
      <c r="A1684" s="6"/>
      <c r="B1684" s="7"/>
      <c r="C1684" s="6"/>
      <c r="D1684" s="7"/>
      <c r="E1684" s="6"/>
      <c r="F1684" s="7"/>
      <c r="G1684" s="6"/>
      <c r="H1684" s="7"/>
      <c r="I1684" s="6"/>
      <c r="J1684" s="7"/>
      <c r="K1684" s="96" t="str">
        <f>HYPERLINK("#'Healthcare'!BLT1","Q6.8.7_4")</f>
        <v>Q6.8.7_4</v>
      </c>
      <c r="L1684" s="93" t="str">
        <f>HYPERLINK("#'Healthcare'!BLT2","Primary indemnity medical plan: Out-of-network out-of-pocket limit family")</f>
        <v>Primary indemnity medical plan: Out-of-network out-of-pocket limit family</v>
      </c>
      <c r="M1684" s="6"/>
      <c r="N1684" s="7"/>
      <c r="O1684" s="6"/>
      <c r="P1684" s="7"/>
      <c r="Q1684" s="6"/>
      <c r="R1684" s="7"/>
      <c r="S1684" s="6"/>
      <c r="T1684" s="7"/>
      <c r="U1684" s="6"/>
      <c r="V1684" s="7"/>
      <c r="W1684" s="6"/>
      <c r="X1684" s="7"/>
    </row>
    <row r="1685" spans="1:24" ht="25.5" x14ac:dyDescent="0.2">
      <c r="A1685" s="6"/>
      <c r="B1685" s="7"/>
      <c r="C1685" s="6"/>
      <c r="D1685" s="7"/>
      <c r="E1685" s="6"/>
      <c r="F1685" s="7"/>
      <c r="G1685" s="6"/>
      <c r="H1685" s="7"/>
      <c r="I1685" s="6"/>
      <c r="J1685" s="7"/>
      <c r="K1685" s="96" t="str">
        <f>HYPERLINK("#'Healthcare'!BLU1","Q6.8.7_5")</f>
        <v>Q6.8.7_5</v>
      </c>
      <c r="L1685" s="93" t="str">
        <f>HYPERLINK("#'Healthcare'!BLU2","Primary indemnity medical plan: Out-of-pocket limit - cross apply")</f>
        <v>Primary indemnity medical plan: Out-of-pocket limit - cross apply</v>
      </c>
      <c r="M1685" s="6"/>
      <c r="N1685" s="7"/>
      <c r="O1685" s="6"/>
      <c r="P1685" s="7"/>
      <c r="Q1685" s="6"/>
      <c r="R1685" s="7"/>
      <c r="S1685" s="6"/>
      <c r="T1685" s="7"/>
      <c r="U1685" s="6"/>
      <c r="V1685" s="7"/>
      <c r="W1685" s="6"/>
      <c r="X1685" s="7"/>
    </row>
    <row r="1686" spans="1:24" ht="25.5" x14ac:dyDescent="0.2">
      <c r="A1686" s="6"/>
      <c r="B1686" s="7"/>
      <c r="C1686" s="6"/>
      <c r="D1686" s="7"/>
      <c r="E1686" s="6"/>
      <c r="F1686" s="7"/>
      <c r="G1686" s="6"/>
      <c r="H1686" s="7"/>
      <c r="I1686" s="6"/>
      <c r="J1686" s="7"/>
      <c r="K1686" s="96" t="str">
        <f>HYPERLINK("#'Healthcare'!BLV1","Q6.8.7_6")</f>
        <v>Q6.8.7_6</v>
      </c>
      <c r="L1686" s="93" t="str">
        <f>HYPERLINK("#'Healthcare'!BLV2","Primary indemnity medical plan: Out-of-pocket limit - aggregated")</f>
        <v>Primary indemnity medical plan: Out-of-pocket limit - aggregated</v>
      </c>
      <c r="M1686" s="6"/>
      <c r="N1686" s="7"/>
      <c r="O1686" s="6"/>
      <c r="P1686" s="7"/>
      <c r="Q1686" s="6"/>
      <c r="R1686" s="7"/>
      <c r="S1686" s="6"/>
      <c r="T1686" s="7"/>
      <c r="U1686" s="6"/>
      <c r="V1686" s="7"/>
      <c r="W1686" s="6"/>
      <c r="X1686" s="7"/>
    </row>
    <row r="1687" spans="1:24" ht="25.5" x14ac:dyDescent="0.2">
      <c r="A1687" s="6"/>
      <c r="B1687" s="7"/>
      <c r="C1687" s="6"/>
      <c r="D1687" s="7"/>
      <c r="E1687" s="6"/>
      <c r="F1687" s="7"/>
      <c r="G1687" s="6"/>
      <c r="H1687" s="7"/>
      <c r="I1687" s="6"/>
      <c r="J1687" s="7"/>
      <c r="K1687" s="96" t="str">
        <f>HYPERLINK("#'Healthcare'!BLW1","Q6.8.8")</f>
        <v>Q6.8.8</v>
      </c>
      <c r="L1687" s="93" t="str">
        <f>HYPERLINK("#'Healthcare'!BLW2","Primary indemnity medical plan: Expenses excluded from out-of-pocket limit ")</f>
        <v xml:space="preserve">Primary indemnity medical plan: Expenses excluded from out-of-pocket limit </v>
      </c>
      <c r="M1687" s="6"/>
      <c r="N1687" s="7"/>
      <c r="O1687" s="6"/>
      <c r="P1687" s="7"/>
      <c r="Q1687" s="6"/>
      <c r="R1687" s="7"/>
      <c r="S1687" s="6"/>
      <c r="T1687" s="7"/>
      <c r="U1687" s="6"/>
      <c r="V1687" s="7"/>
      <c r="W1687" s="6"/>
      <c r="X1687" s="7"/>
    </row>
    <row r="1688" spans="1:24" ht="38.25" x14ac:dyDescent="0.2">
      <c r="A1688" s="6"/>
      <c r="B1688" s="7"/>
      <c r="C1688" s="6"/>
      <c r="D1688" s="7"/>
      <c r="E1688" s="6"/>
      <c r="F1688" s="7"/>
      <c r="G1688" s="6"/>
      <c r="H1688" s="7"/>
      <c r="I1688" s="6"/>
      <c r="J1688" s="7"/>
      <c r="K1688" s="96" t="str">
        <f>HYPERLINK("#'Healthcare'!BLX1","Q6.8.9_1")</f>
        <v>Q6.8.9_1</v>
      </c>
      <c r="L1688" s="93" t="str">
        <f>HYPERLINK("#'Healthcare'!BLX2","Primary indemnity medical plan: In-network overall deductible per person (preventive care-N/A)")</f>
        <v>Primary indemnity medical plan: In-network overall deductible per person (preventive care-N/A)</v>
      </c>
      <c r="M1688" s="6"/>
      <c r="N1688" s="7"/>
      <c r="O1688" s="6"/>
      <c r="P1688" s="7"/>
      <c r="Q1688" s="6"/>
      <c r="R1688" s="7"/>
      <c r="S1688" s="6"/>
      <c r="T1688" s="7"/>
      <c r="U1688" s="6"/>
      <c r="V1688" s="7"/>
      <c r="W1688" s="6"/>
      <c r="X1688" s="7"/>
    </row>
    <row r="1689" spans="1:24" ht="38.25" x14ac:dyDescent="0.2">
      <c r="A1689" s="6"/>
      <c r="B1689" s="7"/>
      <c r="C1689" s="6"/>
      <c r="D1689" s="7"/>
      <c r="E1689" s="6"/>
      <c r="F1689" s="7"/>
      <c r="G1689" s="6"/>
      <c r="H1689" s="7"/>
      <c r="I1689" s="6"/>
      <c r="J1689" s="7"/>
      <c r="K1689" s="96" t="str">
        <f>HYPERLINK("#'Healthcare'!BLY1","Q6.8.9_2")</f>
        <v>Q6.8.9_2</v>
      </c>
      <c r="L1689" s="93" t="str">
        <f>HYPERLINK("#'Healthcare'!BLY2","Primary indemnity medical plan: In-network overall deductible per family (preventive care-N/A)")</f>
        <v>Primary indemnity medical plan: In-network overall deductible per family (preventive care-N/A)</v>
      </c>
      <c r="M1689" s="6"/>
      <c r="N1689" s="7"/>
      <c r="O1689" s="6"/>
      <c r="P1689" s="7"/>
      <c r="Q1689" s="6"/>
      <c r="R1689" s="7"/>
      <c r="S1689" s="6"/>
      <c r="T1689" s="7"/>
      <c r="U1689" s="6"/>
      <c r="V1689" s="7"/>
      <c r="W1689" s="6"/>
      <c r="X1689" s="7"/>
    </row>
    <row r="1690" spans="1:24" ht="38.25" x14ac:dyDescent="0.2">
      <c r="A1690" s="6"/>
      <c r="B1690" s="7"/>
      <c r="C1690" s="6"/>
      <c r="D1690" s="7"/>
      <c r="E1690" s="6"/>
      <c r="F1690" s="7"/>
      <c r="G1690" s="6"/>
      <c r="H1690" s="7"/>
      <c r="I1690" s="6"/>
      <c r="J1690" s="7"/>
      <c r="K1690" s="96" t="str">
        <f>HYPERLINK("#'Healthcare'!BLZ1","Q6.8.9_3")</f>
        <v>Q6.8.9_3</v>
      </c>
      <c r="L1690" s="93" t="str">
        <f>HYPERLINK("#'Healthcare'!BLZ2","Primary indemnity medical plan: Out-of-network overall deductible per person (preventive care-N/A)")</f>
        <v>Primary indemnity medical plan: Out-of-network overall deductible per person (preventive care-N/A)</v>
      </c>
      <c r="M1690" s="6"/>
      <c r="N1690" s="7"/>
      <c r="O1690" s="6"/>
      <c r="P1690" s="7"/>
      <c r="Q1690" s="6"/>
      <c r="R1690" s="7"/>
      <c r="S1690" s="6"/>
      <c r="T1690" s="7"/>
      <c r="U1690" s="6"/>
      <c r="V1690" s="7"/>
      <c r="W1690" s="6"/>
      <c r="X1690" s="7"/>
    </row>
    <row r="1691" spans="1:24" ht="38.25" x14ac:dyDescent="0.2">
      <c r="A1691" s="6"/>
      <c r="B1691" s="7"/>
      <c r="C1691" s="6"/>
      <c r="D1691" s="7"/>
      <c r="E1691" s="6"/>
      <c r="F1691" s="7"/>
      <c r="G1691" s="6"/>
      <c r="H1691" s="7"/>
      <c r="I1691" s="6"/>
      <c r="J1691" s="7"/>
      <c r="K1691" s="96" t="str">
        <f>HYPERLINK("#'Healthcare'!BMA1","Q6.8.9_4")</f>
        <v>Q6.8.9_4</v>
      </c>
      <c r="L1691" s="93" t="str">
        <f>HYPERLINK("#'Healthcare'!BMA2","Primary indemnity medical plan: Out-of-network overall deductible per family (preventive care-N/A)")</f>
        <v>Primary indemnity medical plan: Out-of-network overall deductible per family (preventive care-N/A)</v>
      </c>
      <c r="M1691" s="6"/>
      <c r="N1691" s="7"/>
      <c r="O1691" s="6"/>
      <c r="P1691" s="7"/>
      <c r="Q1691" s="6"/>
      <c r="R1691" s="7"/>
      <c r="S1691" s="6"/>
      <c r="T1691" s="7"/>
      <c r="U1691" s="6"/>
      <c r="V1691" s="7"/>
      <c r="W1691" s="6"/>
      <c r="X1691" s="7"/>
    </row>
    <row r="1692" spans="1:24" ht="38.25" x14ac:dyDescent="0.2">
      <c r="A1692" s="6"/>
      <c r="B1692" s="7"/>
      <c r="C1692" s="6"/>
      <c r="D1692" s="7"/>
      <c r="E1692" s="6"/>
      <c r="F1692" s="7"/>
      <c r="G1692" s="6"/>
      <c r="H1692" s="7"/>
      <c r="I1692" s="6"/>
      <c r="J1692" s="7"/>
      <c r="K1692" s="96" t="str">
        <f>HYPERLINK("#'Healthcare'!BMB1","Q6.8.10_1")</f>
        <v>Q6.8.10_1</v>
      </c>
      <c r="L1692" s="93" t="str">
        <f>HYPERLINK("#'Healthcare'!BMB2","Primary indemnity medical plan in-network services with separate deductibles: Not applicable - no separate deductibles")</f>
        <v>Primary indemnity medical plan in-network services with separate deductibles: Not applicable - no separate deductibles</v>
      </c>
      <c r="M1692" s="6"/>
      <c r="N1692" s="7"/>
      <c r="O1692" s="6"/>
      <c r="P1692" s="7"/>
      <c r="Q1692" s="6"/>
      <c r="R1692" s="7"/>
      <c r="S1692" s="6"/>
      <c r="T1692" s="7"/>
      <c r="U1692" s="6"/>
      <c r="V1692" s="7"/>
      <c r="W1692" s="6"/>
      <c r="X1692" s="7"/>
    </row>
    <row r="1693" spans="1:24" ht="38.25" x14ac:dyDescent="0.2">
      <c r="A1693" s="6"/>
      <c r="B1693" s="7"/>
      <c r="C1693" s="6"/>
      <c r="D1693" s="7"/>
      <c r="E1693" s="6"/>
      <c r="F1693" s="7"/>
      <c r="G1693" s="6"/>
      <c r="H1693" s="7"/>
      <c r="I1693" s="6"/>
      <c r="J1693" s="7"/>
      <c r="K1693" s="96" t="str">
        <f>HYPERLINK("#'Healthcare'!BMC1","Q6.8.10_2")</f>
        <v>Q6.8.10_2</v>
      </c>
      <c r="L1693" s="93" t="str">
        <f>HYPERLINK("#'Healthcare'!BMC2","Primary indemnity medical plan in-network services with separate deductibles: Acupuncture")</f>
        <v>Primary indemnity medical plan in-network services with separate deductibles: Acupuncture</v>
      </c>
      <c r="M1693" s="6"/>
      <c r="N1693" s="7"/>
      <c r="O1693" s="6"/>
      <c r="P1693" s="7"/>
      <c r="Q1693" s="6"/>
      <c r="R1693" s="7"/>
      <c r="S1693" s="6"/>
      <c r="T1693" s="7"/>
      <c r="U1693" s="6"/>
      <c r="V1693" s="7"/>
      <c r="W1693" s="6"/>
      <c r="X1693" s="7"/>
    </row>
    <row r="1694" spans="1:24" ht="38.25" x14ac:dyDescent="0.2">
      <c r="A1694" s="6"/>
      <c r="B1694" s="7"/>
      <c r="C1694" s="6"/>
      <c r="D1694" s="7"/>
      <c r="E1694" s="6"/>
      <c r="F1694" s="7"/>
      <c r="G1694" s="6"/>
      <c r="H1694" s="7"/>
      <c r="I1694" s="6"/>
      <c r="J1694" s="7"/>
      <c r="K1694" s="96" t="str">
        <f>HYPERLINK("#'Healthcare'!BMD1","Q6.8.10_3")</f>
        <v>Q6.8.10_3</v>
      </c>
      <c r="L1694" s="93" t="str">
        <f>HYPERLINK("#'Healthcare'!BMD2","Primary indemnity medical plan in-network services with separate deductibles: Chiropractic")</f>
        <v>Primary indemnity medical plan in-network services with separate deductibles: Chiropractic</v>
      </c>
      <c r="M1694" s="6"/>
      <c r="N1694" s="7"/>
      <c r="O1694" s="6"/>
      <c r="P1694" s="7"/>
      <c r="Q1694" s="6"/>
      <c r="R1694" s="7"/>
      <c r="S1694" s="6"/>
      <c r="T1694" s="7"/>
      <c r="U1694" s="6"/>
      <c r="V1694" s="7"/>
      <c r="W1694" s="6"/>
      <c r="X1694" s="7"/>
    </row>
    <row r="1695" spans="1:24" ht="38.25" x14ac:dyDescent="0.2">
      <c r="A1695" s="6"/>
      <c r="B1695" s="7"/>
      <c r="C1695" s="6"/>
      <c r="D1695" s="7"/>
      <c r="E1695" s="6"/>
      <c r="F1695" s="7"/>
      <c r="G1695" s="6"/>
      <c r="H1695" s="7"/>
      <c r="I1695" s="6"/>
      <c r="J1695" s="7"/>
      <c r="K1695" s="96" t="str">
        <f>HYPERLINK("#'Healthcare'!BME1","Q6.8.10_4")</f>
        <v>Q6.8.10_4</v>
      </c>
      <c r="L1695" s="93" t="str">
        <f>HYPERLINK("#'Healthcare'!BME2","Primary indemnity medical plan in-network services with separate deductibles: Emergency room (true emergency)")</f>
        <v>Primary indemnity medical plan in-network services with separate deductibles: Emergency room (true emergency)</v>
      </c>
      <c r="M1695" s="6"/>
      <c r="N1695" s="7"/>
      <c r="O1695" s="6"/>
      <c r="P1695" s="7"/>
      <c r="Q1695" s="6"/>
      <c r="R1695" s="7"/>
      <c r="S1695" s="6"/>
      <c r="T1695" s="7"/>
      <c r="U1695" s="6"/>
      <c r="V1695" s="7"/>
      <c r="W1695" s="6"/>
      <c r="X1695" s="7"/>
    </row>
    <row r="1696" spans="1:24" ht="38.25" x14ac:dyDescent="0.2">
      <c r="A1696" s="6"/>
      <c r="B1696" s="7"/>
      <c r="C1696" s="6"/>
      <c r="D1696" s="7"/>
      <c r="E1696" s="6"/>
      <c r="F1696" s="7"/>
      <c r="G1696" s="6"/>
      <c r="H1696" s="7"/>
      <c r="I1696" s="6"/>
      <c r="J1696" s="7"/>
      <c r="K1696" s="96" t="str">
        <f>HYPERLINK("#'Healthcare'!BMF1","Q6.8.10_5")</f>
        <v>Q6.8.10_5</v>
      </c>
      <c r="L1696" s="93" t="str">
        <f>HYPERLINK("#'Healthcare'!BMF2","Primary indemnity medical plan in-network services with separate deductibles: Emergency room (non-emergency)")</f>
        <v>Primary indemnity medical plan in-network services with separate deductibles: Emergency room (non-emergency)</v>
      </c>
      <c r="M1696" s="6"/>
      <c r="N1696" s="7"/>
      <c r="O1696" s="6"/>
      <c r="P1696" s="7"/>
      <c r="Q1696" s="6"/>
      <c r="R1696" s="7"/>
      <c r="S1696" s="6"/>
      <c r="T1696" s="7"/>
      <c r="U1696" s="6"/>
      <c r="V1696" s="7"/>
      <c r="W1696" s="6"/>
      <c r="X1696" s="7"/>
    </row>
    <row r="1697" spans="1:24" ht="38.25" x14ac:dyDescent="0.2">
      <c r="A1697" s="6"/>
      <c r="B1697" s="7"/>
      <c r="C1697" s="6"/>
      <c r="D1697" s="7"/>
      <c r="E1697" s="6"/>
      <c r="F1697" s="7"/>
      <c r="G1697" s="6"/>
      <c r="H1697" s="7"/>
      <c r="I1697" s="6"/>
      <c r="J1697" s="7"/>
      <c r="K1697" s="96" t="str">
        <f>HYPERLINK("#'Healthcare'!BMG1","Q6.8.10_6")</f>
        <v>Q6.8.10_6</v>
      </c>
      <c r="L1697" s="93" t="str">
        <f>HYPERLINK("#'Healthcare'!BMG2","Primary indemnity medical plan in-network services with separate deductibles: Emergency room (with hospital admittance)")</f>
        <v>Primary indemnity medical plan in-network services with separate deductibles: Emergency room (with hospital admittance)</v>
      </c>
      <c r="M1697" s="6"/>
      <c r="N1697" s="7"/>
      <c r="O1697" s="6"/>
      <c r="P1697" s="7"/>
      <c r="Q1697" s="6"/>
      <c r="R1697" s="7"/>
      <c r="S1697" s="6"/>
      <c r="T1697" s="7"/>
      <c r="U1697" s="6"/>
      <c r="V1697" s="7"/>
      <c r="W1697" s="6"/>
      <c r="X1697" s="7"/>
    </row>
    <row r="1698" spans="1:24" ht="38.25" x14ac:dyDescent="0.2">
      <c r="A1698" s="6"/>
      <c r="B1698" s="7"/>
      <c r="C1698" s="6"/>
      <c r="D1698" s="7"/>
      <c r="E1698" s="6"/>
      <c r="F1698" s="7"/>
      <c r="G1698" s="6"/>
      <c r="H1698" s="7"/>
      <c r="I1698" s="6"/>
      <c r="J1698" s="7"/>
      <c r="K1698" s="96" t="str">
        <f>HYPERLINK("#'Healthcare'!BMH1","Q6.8.10_7")</f>
        <v>Q6.8.10_7</v>
      </c>
      <c r="L1698" s="93" t="str">
        <f>HYPERLINK("#'Healthcare'!BMH2","Primary indemnity medical plan in-network services with separate deductibles: Inpatient hospital")</f>
        <v>Primary indemnity medical plan in-network services with separate deductibles: Inpatient hospital</v>
      </c>
      <c r="M1698" s="6"/>
      <c r="N1698" s="7"/>
      <c r="O1698" s="6"/>
      <c r="P1698" s="7"/>
      <c r="Q1698" s="6"/>
      <c r="R1698" s="7"/>
      <c r="S1698" s="6"/>
      <c r="T1698" s="7"/>
      <c r="U1698" s="6"/>
      <c r="V1698" s="7"/>
      <c r="W1698" s="6"/>
      <c r="X1698" s="7"/>
    </row>
    <row r="1699" spans="1:24" ht="38.25" x14ac:dyDescent="0.2">
      <c r="A1699" s="6"/>
      <c r="B1699" s="7"/>
      <c r="C1699" s="6"/>
      <c r="D1699" s="7"/>
      <c r="E1699" s="6"/>
      <c r="F1699" s="7"/>
      <c r="G1699" s="6"/>
      <c r="H1699" s="7"/>
      <c r="I1699" s="6"/>
      <c r="J1699" s="7"/>
      <c r="K1699" s="96" t="str">
        <f>HYPERLINK("#'Healthcare'!BMI1","Q6.8.10_8")</f>
        <v>Q6.8.10_8</v>
      </c>
      <c r="L1699" s="93" t="str">
        <f>HYPERLINK("#'Healthcare'!BMI2","Primary indemnity medical plan in-network services with separate deductibles: Mental health/substance abuse")</f>
        <v>Primary indemnity medical plan in-network services with separate deductibles: Mental health/substance abuse</v>
      </c>
      <c r="M1699" s="6"/>
      <c r="N1699" s="7"/>
      <c r="O1699" s="6"/>
      <c r="P1699" s="7"/>
      <c r="Q1699" s="6"/>
      <c r="R1699" s="7"/>
      <c r="S1699" s="6"/>
      <c r="T1699" s="7"/>
      <c r="U1699" s="6"/>
      <c r="V1699" s="7"/>
      <c r="W1699" s="6"/>
      <c r="X1699" s="7"/>
    </row>
    <row r="1700" spans="1:24" ht="38.25" x14ac:dyDescent="0.2">
      <c r="A1700" s="6"/>
      <c r="B1700" s="7"/>
      <c r="C1700" s="6"/>
      <c r="D1700" s="7"/>
      <c r="E1700" s="6"/>
      <c r="F1700" s="7"/>
      <c r="G1700" s="6"/>
      <c r="H1700" s="7"/>
      <c r="I1700" s="6"/>
      <c r="J1700" s="7"/>
      <c r="K1700" s="96" t="str">
        <f>HYPERLINK("#'Healthcare'!BMJ1","Q6.8.10_9")</f>
        <v>Q6.8.10_9</v>
      </c>
      <c r="L1700" s="93" t="str">
        <f>HYPERLINK("#'Healthcare'!BMJ2","Primary indemnity medical plan in-network services with separate deductibles: Outpatient surgical center")</f>
        <v>Primary indemnity medical plan in-network services with separate deductibles: Outpatient surgical center</v>
      </c>
      <c r="M1700" s="6"/>
      <c r="N1700" s="7"/>
      <c r="O1700" s="6"/>
      <c r="P1700" s="7"/>
      <c r="Q1700" s="6"/>
      <c r="R1700" s="7"/>
      <c r="S1700" s="6"/>
      <c r="T1700" s="7"/>
      <c r="U1700" s="6"/>
      <c r="V1700" s="7"/>
      <c r="W1700" s="6"/>
      <c r="X1700" s="7"/>
    </row>
    <row r="1701" spans="1:24" ht="38.25" x14ac:dyDescent="0.2">
      <c r="A1701" s="6"/>
      <c r="B1701" s="7"/>
      <c r="C1701" s="6"/>
      <c r="D1701" s="7"/>
      <c r="E1701" s="6"/>
      <c r="F1701" s="7"/>
      <c r="G1701" s="6"/>
      <c r="H1701" s="7"/>
      <c r="I1701" s="6"/>
      <c r="J1701" s="7"/>
      <c r="K1701" s="96" t="str">
        <f>HYPERLINK("#'Healthcare'!BMK1","Q6.8.10_10")</f>
        <v>Q6.8.10_10</v>
      </c>
      <c r="L1701" s="93" t="str">
        <f>HYPERLINK("#'Healthcare'!BMK2","Primary indemnity medical plan in-network services with separate deductibles: Prescription drugs (preventive)")</f>
        <v>Primary indemnity medical plan in-network services with separate deductibles: Prescription drugs (preventive)</v>
      </c>
      <c r="M1701" s="6"/>
      <c r="N1701" s="7"/>
      <c r="O1701" s="6"/>
      <c r="P1701" s="7"/>
      <c r="Q1701" s="6"/>
      <c r="R1701" s="7"/>
      <c r="S1701" s="6"/>
      <c r="T1701" s="7"/>
      <c r="U1701" s="6"/>
      <c r="V1701" s="7"/>
      <c r="W1701" s="6"/>
      <c r="X1701" s="7"/>
    </row>
    <row r="1702" spans="1:24" ht="38.25" x14ac:dyDescent="0.2">
      <c r="A1702" s="6"/>
      <c r="B1702" s="7"/>
      <c r="C1702" s="6"/>
      <c r="D1702" s="7"/>
      <c r="E1702" s="6"/>
      <c r="F1702" s="7"/>
      <c r="G1702" s="6"/>
      <c r="H1702" s="7"/>
      <c r="I1702" s="6"/>
      <c r="J1702" s="7"/>
      <c r="K1702" s="96" t="str">
        <f>HYPERLINK("#'Healthcare'!BML1","Q6.8.10_11")</f>
        <v>Q6.8.10_11</v>
      </c>
      <c r="L1702" s="93" t="str">
        <f>HYPERLINK("#'Healthcare'!BML2","Primary indemnity medical plan in-network services with separate deductibles: Prescription drugs (non-preventive)")</f>
        <v>Primary indemnity medical plan in-network services with separate deductibles: Prescription drugs (non-preventive)</v>
      </c>
      <c r="M1702" s="6"/>
      <c r="N1702" s="7"/>
      <c r="O1702" s="6"/>
      <c r="P1702" s="7"/>
      <c r="Q1702" s="6"/>
      <c r="R1702" s="7"/>
      <c r="S1702" s="6"/>
      <c r="T1702" s="7"/>
      <c r="U1702" s="6"/>
      <c r="V1702" s="7"/>
      <c r="W1702" s="6"/>
      <c r="X1702" s="7"/>
    </row>
    <row r="1703" spans="1:24" ht="38.25" x14ac:dyDescent="0.2">
      <c r="A1703" s="6"/>
      <c r="B1703" s="7"/>
      <c r="C1703" s="6"/>
      <c r="D1703" s="7"/>
      <c r="E1703" s="6"/>
      <c r="F1703" s="7"/>
      <c r="G1703" s="6"/>
      <c r="H1703" s="7"/>
      <c r="I1703" s="6"/>
      <c r="J1703" s="7"/>
      <c r="K1703" s="96" t="str">
        <f>HYPERLINK("#'Healthcare'!BMM1","Q6.8.10_12")</f>
        <v>Q6.8.10_12</v>
      </c>
      <c r="L1703" s="93" t="str">
        <f>HYPERLINK("#'Healthcare'!BMM2","Primary indemnity medical plan in-network services with separate deductibles: Therapies (e.g., speech, PT, OT)")</f>
        <v>Primary indemnity medical plan in-network services with separate deductibles: Therapies (e.g., speech, PT, OT)</v>
      </c>
      <c r="M1703" s="6"/>
      <c r="N1703" s="7"/>
      <c r="O1703" s="6"/>
      <c r="P1703" s="7"/>
      <c r="Q1703" s="6"/>
      <c r="R1703" s="7"/>
      <c r="S1703" s="6"/>
      <c r="T1703" s="7"/>
      <c r="U1703" s="6"/>
      <c r="V1703" s="7"/>
      <c r="W1703" s="6"/>
      <c r="X1703" s="7"/>
    </row>
    <row r="1704" spans="1:24" ht="25.5" x14ac:dyDescent="0.2">
      <c r="A1704" s="6"/>
      <c r="B1704" s="7"/>
      <c r="C1704" s="6"/>
      <c r="D1704" s="7"/>
      <c r="E1704" s="6"/>
      <c r="F1704" s="7"/>
      <c r="G1704" s="6"/>
      <c r="H1704" s="7"/>
      <c r="I1704" s="6"/>
      <c r="J1704" s="7"/>
      <c r="K1704" s="96" t="str">
        <f>HYPERLINK("#'Healthcare'!BMN1","Q6.8.10_13")</f>
        <v>Q6.8.10_13</v>
      </c>
      <c r="L1704" s="93" t="str">
        <f>HYPERLINK("#'Healthcare'!BMN2","Primary indemnity medical plan in-network services with separate deductibles: Other")</f>
        <v>Primary indemnity medical plan in-network services with separate deductibles: Other</v>
      </c>
      <c r="M1704" s="6"/>
      <c r="N1704" s="7"/>
      <c r="O1704" s="6"/>
      <c r="P1704" s="7"/>
      <c r="Q1704" s="6"/>
      <c r="R1704" s="7"/>
      <c r="S1704" s="6"/>
      <c r="T1704" s="7"/>
      <c r="U1704" s="6"/>
      <c r="V1704" s="7"/>
      <c r="W1704" s="6"/>
      <c r="X1704" s="7"/>
    </row>
    <row r="1705" spans="1:24" ht="38.25" x14ac:dyDescent="0.2">
      <c r="A1705" s="6"/>
      <c r="B1705" s="7"/>
      <c r="C1705" s="6"/>
      <c r="D1705" s="7"/>
      <c r="E1705" s="6"/>
      <c r="F1705" s="7"/>
      <c r="G1705" s="6"/>
      <c r="H1705" s="7"/>
      <c r="I1705" s="6"/>
      <c r="J1705" s="7"/>
      <c r="K1705" s="96" t="str">
        <f>HYPERLINK("#'Healthcare'!BMO1","Q6.8.11_1")</f>
        <v>Q6.8.11_1</v>
      </c>
      <c r="L1705" s="93" t="str">
        <f>HYPERLINK("#'Healthcare'!BMO2","Primary indemnity medical plan out-of-network services with separate deductibles: Not applicable - no separate deductibles")</f>
        <v>Primary indemnity medical plan out-of-network services with separate deductibles: Not applicable - no separate deductibles</v>
      </c>
      <c r="M1705" s="6"/>
      <c r="N1705" s="7"/>
      <c r="O1705" s="6"/>
      <c r="P1705" s="7"/>
      <c r="Q1705" s="6"/>
      <c r="R1705" s="7"/>
      <c r="S1705" s="6"/>
      <c r="T1705" s="7"/>
      <c r="U1705" s="6"/>
      <c r="V1705" s="7"/>
      <c r="W1705" s="6"/>
      <c r="X1705" s="7"/>
    </row>
    <row r="1706" spans="1:24" ht="38.25" x14ac:dyDescent="0.2">
      <c r="A1706" s="6"/>
      <c r="B1706" s="7"/>
      <c r="C1706" s="6"/>
      <c r="D1706" s="7"/>
      <c r="E1706" s="6"/>
      <c r="F1706" s="7"/>
      <c r="G1706" s="6"/>
      <c r="H1706" s="7"/>
      <c r="I1706" s="6"/>
      <c r="J1706" s="7"/>
      <c r="K1706" s="96" t="str">
        <f>HYPERLINK("#'Healthcare'!BMP1","Q6.8.11_2")</f>
        <v>Q6.8.11_2</v>
      </c>
      <c r="L1706" s="93" t="str">
        <f>HYPERLINK("#'Healthcare'!BMP2","Primary indemnity medical plan out-of-network services with separate deductibles: Acupuncture")</f>
        <v>Primary indemnity medical plan out-of-network services with separate deductibles: Acupuncture</v>
      </c>
      <c r="M1706" s="6"/>
      <c r="N1706" s="7"/>
      <c r="O1706" s="6"/>
      <c r="P1706" s="7"/>
      <c r="Q1706" s="6"/>
      <c r="R1706" s="7"/>
      <c r="S1706" s="6"/>
      <c r="T1706" s="7"/>
      <c r="U1706" s="6"/>
      <c r="V1706" s="7"/>
      <c r="W1706" s="6"/>
      <c r="X1706" s="7"/>
    </row>
    <row r="1707" spans="1:24" ht="38.25" x14ac:dyDescent="0.2">
      <c r="A1707" s="6"/>
      <c r="B1707" s="7"/>
      <c r="C1707" s="6"/>
      <c r="D1707" s="7"/>
      <c r="E1707" s="6"/>
      <c r="F1707" s="7"/>
      <c r="G1707" s="6"/>
      <c r="H1707" s="7"/>
      <c r="I1707" s="6"/>
      <c r="J1707" s="7"/>
      <c r="K1707" s="96" t="str">
        <f>HYPERLINK("#'Healthcare'!BMQ1","Q6.8.11_3")</f>
        <v>Q6.8.11_3</v>
      </c>
      <c r="L1707" s="93" t="str">
        <f>HYPERLINK("#'Healthcare'!BMQ2","Primary indemnity medical plan out-of-network services with separate deductibles: Chiropractic")</f>
        <v>Primary indemnity medical plan out-of-network services with separate deductibles: Chiropractic</v>
      </c>
      <c r="M1707" s="6"/>
      <c r="N1707" s="7"/>
      <c r="O1707" s="6"/>
      <c r="P1707" s="7"/>
      <c r="Q1707" s="6"/>
      <c r="R1707" s="7"/>
      <c r="S1707" s="6"/>
      <c r="T1707" s="7"/>
      <c r="U1707" s="6"/>
      <c r="V1707" s="7"/>
      <c r="W1707" s="6"/>
      <c r="X1707" s="7"/>
    </row>
    <row r="1708" spans="1:24" ht="38.25" x14ac:dyDescent="0.2">
      <c r="A1708" s="6"/>
      <c r="B1708" s="7"/>
      <c r="C1708" s="6"/>
      <c r="D1708" s="7"/>
      <c r="E1708" s="6"/>
      <c r="F1708" s="7"/>
      <c r="G1708" s="6"/>
      <c r="H1708" s="7"/>
      <c r="I1708" s="6"/>
      <c r="J1708" s="7"/>
      <c r="K1708" s="96" t="str">
        <f>HYPERLINK("#'Healthcare'!BMR1","Q6.8.11_4")</f>
        <v>Q6.8.11_4</v>
      </c>
      <c r="L1708" s="93" t="str">
        <f>HYPERLINK("#'Healthcare'!BMR2","Primary indemnity medical plan out-of-network services with separate deductibles: Emergency room (true emergency)")</f>
        <v>Primary indemnity medical plan out-of-network services with separate deductibles: Emergency room (true emergency)</v>
      </c>
      <c r="M1708" s="6"/>
      <c r="N1708" s="7"/>
      <c r="O1708" s="6"/>
      <c r="P1708" s="7"/>
      <c r="Q1708" s="6"/>
      <c r="R1708" s="7"/>
      <c r="S1708" s="6"/>
      <c r="T1708" s="7"/>
      <c r="U1708" s="6"/>
      <c r="V1708" s="7"/>
      <c r="W1708" s="6"/>
      <c r="X1708" s="7"/>
    </row>
    <row r="1709" spans="1:24" ht="38.25" x14ac:dyDescent="0.2">
      <c r="A1709" s="6"/>
      <c r="B1709" s="7"/>
      <c r="C1709" s="6"/>
      <c r="D1709" s="7"/>
      <c r="E1709" s="6"/>
      <c r="F1709" s="7"/>
      <c r="G1709" s="6"/>
      <c r="H1709" s="7"/>
      <c r="I1709" s="6"/>
      <c r="J1709" s="7"/>
      <c r="K1709" s="96" t="str">
        <f>HYPERLINK("#'Healthcare'!BMS1","Q6.8.11_5")</f>
        <v>Q6.8.11_5</v>
      </c>
      <c r="L1709" s="93" t="str">
        <f>HYPERLINK("#'Healthcare'!BMS2","Primary indemnity medical plan out-of-network services with separate deductibles: Emergency room (non-emergency)")</f>
        <v>Primary indemnity medical plan out-of-network services with separate deductibles: Emergency room (non-emergency)</v>
      </c>
      <c r="M1709" s="6"/>
      <c r="N1709" s="7"/>
      <c r="O1709" s="6"/>
      <c r="P1709" s="7"/>
      <c r="Q1709" s="6"/>
      <c r="R1709" s="7"/>
      <c r="S1709" s="6"/>
      <c r="T1709" s="7"/>
      <c r="U1709" s="6"/>
      <c r="V1709" s="7"/>
      <c r="W1709" s="6"/>
      <c r="X1709" s="7"/>
    </row>
    <row r="1710" spans="1:24" ht="38.25" x14ac:dyDescent="0.2">
      <c r="A1710" s="6"/>
      <c r="B1710" s="7"/>
      <c r="C1710" s="6"/>
      <c r="D1710" s="7"/>
      <c r="E1710" s="6"/>
      <c r="F1710" s="7"/>
      <c r="G1710" s="6"/>
      <c r="H1710" s="7"/>
      <c r="I1710" s="6"/>
      <c r="J1710" s="7"/>
      <c r="K1710" s="96" t="str">
        <f>HYPERLINK("#'Healthcare'!BMT1","Q6.8.11_6")</f>
        <v>Q6.8.11_6</v>
      </c>
      <c r="L1710" s="93" t="str">
        <f>HYPERLINK("#'Healthcare'!BMT2","Primary indemnity medical plan out-of-network services with separate deductibles: Emergency room (with hospital admittance)")</f>
        <v>Primary indemnity medical plan out-of-network services with separate deductibles: Emergency room (with hospital admittance)</v>
      </c>
      <c r="M1710" s="6"/>
      <c r="N1710" s="7"/>
      <c r="O1710" s="6"/>
      <c r="P1710" s="7"/>
      <c r="Q1710" s="6"/>
      <c r="R1710" s="7"/>
      <c r="S1710" s="6"/>
      <c r="T1710" s="7"/>
      <c r="U1710" s="6"/>
      <c r="V1710" s="7"/>
      <c r="W1710" s="6"/>
      <c r="X1710" s="7"/>
    </row>
    <row r="1711" spans="1:24" ht="38.25" x14ac:dyDescent="0.2">
      <c r="A1711" s="6"/>
      <c r="B1711" s="7"/>
      <c r="C1711" s="6"/>
      <c r="D1711" s="7"/>
      <c r="E1711" s="6"/>
      <c r="F1711" s="7"/>
      <c r="G1711" s="6"/>
      <c r="H1711" s="7"/>
      <c r="I1711" s="6"/>
      <c r="J1711" s="7"/>
      <c r="K1711" s="96" t="str">
        <f>HYPERLINK("#'Healthcare'!BMU1","Q6.8.11_7")</f>
        <v>Q6.8.11_7</v>
      </c>
      <c r="L1711" s="93" t="str">
        <f>HYPERLINK("#'Healthcare'!BMU2","Primary indemnity medical plan out-of-network services with separate deductibles: Inpatient hospital")</f>
        <v>Primary indemnity medical plan out-of-network services with separate deductibles: Inpatient hospital</v>
      </c>
      <c r="M1711" s="6"/>
      <c r="N1711" s="7"/>
      <c r="O1711" s="6"/>
      <c r="P1711" s="7"/>
      <c r="Q1711" s="6"/>
      <c r="R1711" s="7"/>
      <c r="S1711" s="6"/>
      <c r="T1711" s="7"/>
      <c r="U1711" s="6"/>
      <c r="V1711" s="7"/>
      <c r="W1711" s="6"/>
      <c r="X1711" s="7"/>
    </row>
    <row r="1712" spans="1:24" ht="38.25" x14ac:dyDescent="0.2">
      <c r="A1712" s="6"/>
      <c r="B1712" s="7"/>
      <c r="C1712" s="6"/>
      <c r="D1712" s="7"/>
      <c r="E1712" s="6"/>
      <c r="F1712" s="7"/>
      <c r="G1712" s="6"/>
      <c r="H1712" s="7"/>
      <c r="I1712" s="6"/>
      <c r="J1712" s="7"/>
      <c r="K1712" s="96" t="str">
        <f>HYPERLINK("#'Healthcare'!BMV1","Q6.8.11_8")</f>
        <v>Q6.8.11_8</v>
      </c>
      <c r="L1712" s="93" t="str">
        <f>HYPERLINK("#'Healthcare'!BMV2","Primary indemnity medical plan out-of-network services with separate deductibles: Mental health/substance abuse")</f>
        <v>Primary indemnity medical plan out-of-network services with separate deductibles: Mental health/substance abuse</v>
      </c>
      <c r="M1712" s="6"/>
      <c r="N1712" s="7"/>
      <c r="O1712" s="6"/>
      <c r="P1712" s="7"/>
      <c r="Q1712" s="6"/>
      <c r="R1712" s="7"/>
      <c r="S1712" s="6"/>
      <c r="T1712" s="7"/>
      <c r="U1712" s="6"/>
      <c r="V1712" s="7"/>
      <c r="W1712" s="6"/>
      <c r="X1712" s="7"/>
    </row>
    <row r="1713" spans="1:24" ht="38.25" x14ac:dyDescent="0.2">
      <c r="A1713" s="6"/>
      <c r="B1713" s="7"/>
      <c r="C1713" s="6"/>
      <c r="D1713" s="7"/>
      <c r="E1713" s="6"/>
      <c r="F1713" s="7"/>
      <c r="G1713" s="6"/>
      <c r="H1713" s="7"/>
      <c r="I1713" s="6"/>
      <c r="J1713" s="7"/>
      <c r="K1713" s="96" t="str">
        <f>HYPERLINK("#'Healthcare'!BMW1","Q6.8.11_9")</f>
        <v>Q6.8.11_9</v>
      </c>
      <c r="L1713" s="93" t="str">
        <f>HYPERLINK("#'Healthcare'!BMW2","Primary indemnity medical plan out-of-network services with separate deductibles: Outpatient surgical center")</f>
        <v>Primary indemnity medical plan out-of-network services with separate deductibles: Outpatient surgical center</v>
      </c>
      <c r="M1713" s="6"/>
      <c r="N1713" s="7"/>
      <c r="O1713" s="6"/>
      <c r="P1713" s="7"/>
      <c r="Q1713" s="6"/>
      <c r="R1713" s="7"/>
      <c r="S1713" s="6"/>
      <c r="T1713" s="7"/>
      <c r="U1713" s="6"/>
      <c r="V1713" s="7"/>
      <c r="W1713" s="6"/>
      <c r="X1713" s="7"/>
    </row>
    <row r="1714" spans="1:24" ht="38.25" x14ac:dyDescent="0.2">
      <c r="A1714" s="6"/>
      <c r="B1714" s="7"/>
      <c r="C1714" s="6"/>
      <c r="D1714" s="7"/>
      <c r="E1714" s="6"/>
      <c r="F1714" s="7"/>
      <c r="G1714" s="6"/>
      <c r="H1714" s="7"/>
      <c r="I1714" s="6"/>
      <c r="J1714" s="7"/>
      <c r="K1714" s="96" t="str">
        <f>HYPERLINK("#'Healthcare'!BMX1","Q6.8.11_10")</f>
        <v>Q6.8.11_10</v>
      </c>
      <c r="L1714" s="93" t="str">
        <f>HYPERLINK("#'Healthcare'!BMX2","Primary indemnity medical plan out-of-network services with separate deductibles: Prescription drugs (preventive)")</f>
        <v>Primary indemnity medical plan out-of-network services with separate deductibles: Prescription drugs (preventive)</v>
      </c>
      <c r="M1714" s="6"/>
      <c r="N1714" s="7"/>
      <c r="O1714" s="6"/>
      <c r="P1714" s="7"/>
      <c r="Q1714" s="6"/>
      <c r="R1714" s="7"/>
      <c r="S1714" s="6"/>
      <c r="T1714" s="7"/>
      <c r="U1714" s="6"/>
      <c r="V1714" s="7"/>
      <c r="W1714" s="6"/>
      <c r="X1714" s="7"/>
    </row>
    <row r="1715" spans="1:24" ht="38.25" x14ac:dyDescent="0.2">
      <c r="A1715" s="6"/>
      <c r="B1715" s="7"/>
      <c r="C1715" s="6"/>
      <c r="D1715" s="7"/>
      <c r="E1715" s="6"/>
      <c r="F1715" s="7"/>
      <c r="G1715" s="6"/>
      <c r="H1715" s="7"/>
      <c r="I1715" s="6"/>
      <c r="J1715" s="7"/>
      <c r="K1715" s="96" t="str">
        <f>HYPERLINK("#'Healthcare'!BMY1","Q6.8.11_11")</f>
        <v>Q6.8.11_11</v>
      </c>
      <c r="L1715" s="93" t="str">
        <f>HYPERLINK("#'Healthcare'!BMY2","Primary indemnity medical plan out-of-network services with separate deductibles: Prescription drugs (non-preventive)")</f>
        <v>Primary indemnity medical plan out-of-network services with separate deductibles: Prescription drugs (non-preventive)</v>
      </c>
      <c r="M1715" s="6"/>
      <c r="N1715" s="7"/>
      <c r="O1715" s="6"/>
      <c r="P1715" s="7"/>
      <c r="Q1715" s="6"/>
      <c r="R1715" s="7"/>
      <c r="S1715" s="6"/>
      <c r="T1715" s="7"/>
      <c r="U1715" s="6"/>
      <c r="V1715" s="7"/>
      <c r="W1715" s="6"/>
      <c r="X1715" s="7"/>
    </row>
    <row r="1716" spans="1:24" ht="38.25" x14ac:dyDescent="0.2">
      <c r="A1716" s="6"/>
      <c r="B1716" s="7"/>
      <c r="C1716" s="6"/>
      <c r="D1716" s="7"/>
      <c r="E1716" s="6"/>
      <c r="F1716" s="7"/>
      <c r="G1716" s="6"/>
      <c r="H1716" s="7"/>
      <c r="I1716" s="6"/>
      <c r="J1716" s="7"/>
      <c r="K1716" s="96" t="str">
        <f>HYPERLINK("#'Healthcare'!BMZ1","Q6.8.11_12")</f>
        <v>Q6.8.11_12</v>
      </c>
      <c r="L1716" s="93" t="str">
        <f>HYPERLINK("#'Healthcare'!BMZ2","Primary indemnity medical plan out-of-network services with separate deductibles: Therapies (e.g., speech, PT, OT)")</f>
        <v>Primary indemnity medical plan out-of-network services with separate deductibles: Therapies (e.g., speech, PT, OT)</v>
      </c>
      <c r="M1716" s="6"/>
      <c r="N1716" s="7"/>
      <c r="O1716" s="6"/>
      <c r="P1716" s="7"/>
      <c r="Q1716" s="6"/>
      <c r="R1716" s="7"/>
      <c r="S1716" s="6"/>
      <c r="T1716" s="7"/>
      <c r="U1716" s="6"/>
      <c r="V1716" s="7"/>
      <c r="W1716" s="6"/>
      <c r="X1716" s="7"/>
    </row>
    <row r="1717" spans="1:24" ht="25.5" x14ac:dyDescent="0.2">
      <c r="A1717" s="6"/>
      <c r="B1717" s="7"/>
      <c r="C1717" s="6"/>
      <c r="D1717" s="7"/>
      <c r="E1717" s="6"/>
      <c r="F1717" s="7"/>
      <c r="G1717" s="6"/>
      <c r="H1717" s="7"/>
      <c r="I1717" s="6"/>
      <c r="J1717" s="7"/>
      <c r="K1717" s="96" t="str">
        <f>HYPERLINK("#'Healthcare'!BNA1","Q6.8.11_13")</f>
        <v>Q6.8.11_13</v>
      </c>
      <c r="L1717" s="93" t="str">
        <f>HYPERLINK("#'Healthcare'!BNA2","Primary indemnity medical plan out-of-network services with separate deductibles: Other")</f>
        <v>Primary indemnity medical plan out-of-network services with separate deductibles: Other</v>
      </c>
      <c r="M1717" s="6"/>
      <c r="N1717" s="7"/>
      <c r="O1717" s="6"/>
      <c r="P1717" s="7"/>
      <c r="Q1717" s="6"/>
      <c r="R1717" s="7"/>
      <c r="S1717" s="6"/>
      <c r="T1717" s="7"/>
      <c r="U1717" s="6"/>
      <c r="V1717" s="7"/>
      <c r="W1717" s="6"/>
      <c r="X1717" s="7"/>
    </row>
    <row r="1718" spans="1:24" ht="38.25" x14ac:dyDescent="0.2">
      <c r="A1718" s="6"/>
      <c r="B1718" s="7"/>
      <c r="C1718" s="6"/>
      <c r="D1718" s="7"/>
      <c r="E1718" s="6"/>
      <c r="F1718" s="7"/>
      <c r="G1718" s="6"/>
      <c r="H1718" s="7"/>
      <c r="I1718" s="6"/>
      <c r="J1718" s="7"/>
      <c r="K1718" s="96" t="str">
        <f>HYPERLINK("#'Healthcare'!BNB1","Q6.8.12_1")</f>
        <v>Q6.8.12_1</v>
      </c>
      <c r="L1718" s="93" t="str">
        <f>HYPERLINK("#'Healthcare'!BNB2","Primary indemnity medical plan in-network deductible per person: Not applicable - no separate deductibles")</f>
        <v>Primary indemnity medical plan in-network deductible per person: Not applicable - no separate deductibles</v>
      </c>
      <c r="M1718" s="6"/>
      <c r="N1718" s="7"/>
      <c r="O1718" s="6"/>
      <c r="P1718" s="7"/>
      <c r="Q1718" s="6"/>
      <c r="R1718" s="7"/>
      <c r="S1718" s="6"/>
      <c r="T1718" s="7"/>
      <c r="U1718" s="6"/>
      <c r="V1718" s="7"/>
      <c r="W1718" s="6"/>
      <c r="X1718" s="7"/>
    </row>
    <row r="1719" spans="1:24" ht="25.5" x14ac:dyDescent="0.2">
      <c r="A1719" s="6"/>
      <c r="B1719" s="7"/>
      <c r="C1719" s="6"/>
      <c r="D1719" s="7"/>
      <c r="E1719" s="6"/>
      <c r="F1719" s="7"/>
      <c r="G1719" s="6"/>
      <c r="H1719" s="7"/>
      <c r="I1719" s="6"/>
      <c r="J1719" s="7"/>
      <c r="K1719" s="96" t="str">
        <f>HYPERLINK("#'Healthcare'!BNC1","Q6.8.12_5")</f>
        <v>Q6.8.12_5</v>
      </c>
      <c r="L1719" s="93" t="str">
        <f>HYPERLINK("#'Healthcare'!BNC2","Primary indemnity medical plan in-network deductible per person: Acupuncture")</f>
        <v>Primary indemnity medical plan in-network deductible per person: Acupuncture</v>
      </c>
      <c r="M1719" s="6"/>
      <c r="N1719" s="7"/>
      <c r="O1719" s="6"/>
      <c r="P1719" s="7"/>
      <c r="Q1719" s="6"/>
      <c r="R1719" s="7"/>
      <c r="S1719" s="6"/>
      <c r="T1719" s="7"/>
      <c r="U1719" s="6"/>
      <c r="V1719" s="7"/>
      <c r="W1719" s="6"/>
      <c r="X1719" s="7"/>
    </row>
    <row r="1720" spans="1:24" ht="25.5" x14ac:dyDescent="0.2">
      <c r="A1720" s="6"/>
      <c r="B1720" s="7"/>
      <c r="C1720" s="6"/>
      <c r="D1720" s="7"/>
      <c r="E1720" s="6"/>
      <c r="F1720" s="7"/>
      <c r="G1720" s="6"/>
      <c r="H1720" s="7"/>
      <c r="I1720" s="6"/>
      <c r="J1720" s="7"/>
      <c r="K1720" s="96" t="str">
        <f>HYPERLINK("#'Healthcare'!BND1","Q6.8.12_6")</f>
        <v>Q6.8.12_6</v>
      </c>
      <c r="L1720" s="93" t="str">
        <f>HYPERLINK("#'Healthcare'!BND2","Primary indemnity medical plan in-network deductible per person: Chiropractic")</f>
        <v>Primary indemnity medical plan in-network deductible per person: Chiropractic</v>
      </c>
      <c r="M1720" s="6"/>
      <c r="N1720" s="7"/>
      <c r="O1720" s="6"/>
      <c r="P1720" s="7"/>
      <c r="Q1720" s="6"/>
      <c r="R1720" s="7"/>
      <c r="S1720" s="6"/>
      <c r="T1720" s="7"/>
      <c r="U1720" s="6"/>
      <c r="V1720" s="7"/>
      <c r="W1720" s="6"/>
      <c r="X1720" s="7"/>
    </row>
    <row r="1721" spans="1:24" ht="38.25" x14ac:dyDescent="0.2">
      <c r="A1721" s="6"/>
      <c r="B1721" s="7"/>
      <c r="C1721" s="6"/>
      <c r="D1721" s="7"/>
      <c r="E1721" s="6"/>
      <c r="F1721" s="7"/>
      <c r="G1721" s="6"/>
      <c r="H1721" s="7"/>
      <c r="I1721" s="6"/>
      <c r="J1721" s="7"/>
      <c r="K1721" s="96" t="str">
        <f>HYPERLINK("#'Healthcare'!BNE1","Q6.8.12_7")</f>
        <v>Q6.8.12_7</v>
      </c>
      <c r="L1721" s="93" t="str">
        <f>HYPERLINK("#'Healthcare'!BNE2","Primary indemnity medical plan in-network deductible per person: Emergency room (true emergency)")</f>
        <v>Primary indemnity medical plan in-network deductible per person: Emergency room (true emergency)</v>
      </c>
      <c r="M1721" s="6"/>
      <c r="N1721" s="7"/>
      <c r="O1721" s="6"/>
      <c r="P1721" s="7"/>
      <c r="Q1721" s="6"/>
      <c r="R1721" s="7"/>
      <c r="S1721" s="6"/>
      <c r="T1721" s="7"/>
      <c r="U1721" s="6"/>
      <c r="V1721" s="7"/>
      <c r="W1721" s="6"/>
      <c r="X1721" s="7"/>
    </row>
    <row r="1722" spans="1:24" ht="38.25" x14ac:dyDescent="0.2">
      <c r="A1722" s="6"/>
      <c r="B1722" s="7"/>
      <c r="C1722" s="6"/>
      <c r="D1722" s="7"/>
      <c r="E1722" s="6"/>
      <c r="F1722" s="7"/>
      <c r="G1722" s="6"/>
      <c r="H1722" s="7"/>
      <c r="I1722" s="6"/>
      <c r="J1722" s="7"/>
      <c r="K1722" s="96" t="str">
        <f>HYPERLINK("#'Healthcare'!BNF1","Q6.8.12_8")</f>
        <v>Q6.8.12_8</v>
      </c>
      <c r="L1722" s="93" t="str">
        <f>HYPERLINK("#'Healthcare'!BNF2","Primary indemnity medical plan in-network deductible per person: Emergency room (non-emergency)")</f>
        <v>Primary indemnity medical plan in-network deductible per person: Emergency room (non-emergency)</v>
      </c>
      <c r="M1722" s="6"/>
      <c r="N1722" s="7"/>
      <c r="O1722" s="6"/>
      <c r="P1722" s="7"/>
      <c r="Q1722" s="6"/>
      <c r="R1722" s="7"/>
      <c r="S1722" s="6"/>
      <c r="T1722" s="7"/>
      <c r="U1722" s="6"/>
      <c r="V1722" s="7"/>
      <c r="W1722" s="6"/>
      <c r="X1722" s="7"/>
    </row>
    <row r="1723" spans="1:24" ht="38.25" x14ac:dyDescent="0.2">
      <c r="A1723" s="6"/>
      <c r="B1723" s="7"/>
      <c r="C1723" s="6"/>
      <c r="D1723" s="7"/>
      <c r="E1723" s="6"/>
      <c r="F1723" s="7"/>
      <c r="G1723" s="6"/>
      <c r="H1723" s="7"/>
      <c r="I1723" s="6"/>
      <c r="J1723" s="7"/>
      <c r="K1723" s="96" t="str">
        <f>HYPERLINK("#'Healthcare'!BNG1","Q6.8.12_9")</f>
        <v>Q6.8.12_9</v>
      </c>
      <c r="L1723" s="93" t="str">
        <f>HYPERLINK("#'Healthcare'!BNG2","Primary indemnity medical plan in-network deductible per person: Emergency room (with hospital admittance)")</f>
        <v>Primary indemnity medical plan in-network deductible per person: Emergency room (with hospital admittance)</v>
      </c>
      <c r="M1723" s="6"/>
      <c r="N1723" s="7"/>
      <c r="O1723" s="6"/>
      <c r="P1723" s="7"/>
      <c r="Q1723" s="6"/>
      <c r="R1723" s="7"/>
      <c r="S1723" s="6"/>
      <c r="T1723" s="7"/>
      <c r="U1723" s="6"/>
      <c r="V1723" s="7"/>
      <c r="W1723" s="6"/>
      <c r="X1723" s="7"/>
    </row>
    <row r="1724" spans="1:24" ht="25.5" x14ac:dyDescent="0.2">
      <c r="A1724" s="6"/>
      <c r="B1724" s="7"/>
      <c r="C1724" s="6"/>
      <c r="D1724" s="7"/>
      <c r="E1724" s="6"/>
      <c r="F1724" s="7"/>
      <c r="G1724" s="6"/>
      <c r="H1724" s="7"/>
      <c r="I1724" s="6"/>
      <c r="J1724" s="7"/>
      <c r="K1724" s="96" t="str">
        <f>HYPERLINK("#'Healthcare'!BNH1","Q6.8.12_10")</f>
        <v>Q6.8.12_10</v>
      </c>
      <c r="L1724" s="93" t="str">
        <f>HYPERLINK("#'Healthcare'!BNH2","Primary indemnity medical plan in-network deductible per person: In-patient hospital")</f>
        <v>Primary indemnity medical plan in-network deductible per person: In-patient hospital</v>
      </c>
      <c r="M1724" s="6"/>
      <c r="N1724" s="7"/>
      <c r="O1724" s="6"/>
      <c r="P1724" s="7"/>
      <c r="Q1724" s="6"/>
      <c r="R1724" s="7"/>
      <c r="S1724" s="6"/>
      <c r="T1724" s="7"/>
      <c r="U1724" s="6"/>
      <c r="V1724" s="7"/>
      <c r="W1724" s="6"/>
      <c r="X1724" s="7"/>
    </row>
    <row r="1725" spans="1:24" ht="38.25" x14ac:dyDescent="0.2">
      <c r="A1725" s="6"/>
      <c r="B1725" s="7"/>
      <c r="C1725" s="6"/>
      <c r="D1725" s="7"/>
      <c r="E1725" s="6"/>
      <c r="F1725" s="7"/>
      <c r="G1725" s="6"/>
      <c r="H1725" s="7"/>
      <c r="I1725" s="6"/>
      <c r="J1725" s="7"/>
      <c r="K1725" s="96" t="str">
        <f>HYPERLINK("#'Healthcare'!BNI1","Q6.8.12_11")</f>
        <v>Q6.8.12_11</v>
      </c>
      <c r="L1725" s="93" t="str">
        <f>HYPERLINK("#'Healthcare'!BNI2","Primary indemnity medical plan in-network deductible per person: Mental health/substance abuse")</f>
        <v>Primary indemnity medical plan in-network deductible per person: Mental health/substance abuse</v>
      </c>
      <c r="M1725" s="6"/>
      <c r="N1725" s="7"/>
      <c r="O1725" s="6"/>
      <c r="P1725" s="7"/>
      <c r="Q1725" s="6"/>
      <c r="R1725" s="7"/>
      <c r="S1725" s="6"/>
      <c r="T1725" s="7"/>
      <c r="U1725" s="6"/>
      <c r="V1725" s="7"/>
      <c r="W1725" s="6"/>
      <c r="X1725" s="7"/>
    </row>
    <row r="1726" spans="1:24" ht="38.25" x14ac:dyDescent="0.2">
      <c r="A1726" s="6"/>
      <c r="B1726" s="7"/>
      <c r="C1726" s="6"/>
      <c r="D1726" s="7"/>
      <c r="E1726" s="6"/>
      <c r="F1726" s="7"/>
      <c r="G1726" s="6"/>
      <c r="H1726" s="7"/>
      <c r="I1726" s="6"/>
      <c r="J1726" s="7"/>
      <c r="K1726" s="96" t="str">
        <f>HYPERLINK("#'Healthcare'!BNJ1","Q6.8.12_12")</f>
        <v>Q6.8.12_12</v>
      </c>
      <c r="L1726" s="93" t="str">
        <f>HYPERLINK("#'Healthcare'!BNJ2","Primary indemnity medical plan in-network deductible per person: Out-patient surgical center")</f>
        <v>Primary indemnity medical plan in-network deductible per person: Out-patient surgical center</v>
      </c>
      <c r="M1726" s="6"/>
      <c r="N1726" s="7"/>
      <c r="O1726" s="6"/>
      <c r="P1726" s="7"/>
      <c r="Q1726" s="6"/>
      <c r="R1726" s="7"/>
      <c r="S1726" s="6"/>
      <c r="T1726" s="7"/>
      <c r="U1726" s="6"/>
      <c r="V1726" s="7"/>
      <c r="W1726" s="6"/>
      <c r="X1726" s="7"/>
    </row>
    <row r="1727" spans="1:24" ht="38.25" x14ac:dyDescent="0.2">
      <c r="A1727" s="6"/>
      <c r="B1727" s="7"/>
      <c r="C1727" s="6"/>
      <c r="D1727" s="7"/>
      <c r="E1727" s="6"/>
      <c r="F1727" s="7"/>
      <c r="G1727" s="6"/>
      <c r="H1727" s="7"/>
      <c r="I1727" s="6"/>
      <c r="J1727" s="7"/>
      <c r="K1727" s="96" t="str">
        <f>HYPERLINK("#'Healthcare'!BNK1","Q6.8.12_13")</f>
        <v>Q6.8.12_13</v>
      </c>
      <c r="L1727" s="93" t="str">
        <f>HYPERLINK("#'Healthcare'!BNK2","Primary indemnity medical plan in-network deductible per person: Prescription drugs (preventive)")</f>
        <v>Primary indemnity medical plan in-network deductible per person: Prescription drugs (preventive)</v>
      </c>
      <c r="M1727" s="6"/>
      <c r="N1727" s="7"/>
      <c r="O1727" s="6"/>
      <c r="P1727" s="7"/>
      <c r="Q1727" s="6"/>
      <c r="R1727" s="7"/>
      <c r="S1727" s="6"/>
      <c r="T1727" s="7"/>
      <c r="U1727" s="6"/>
      <c r="V1727" s="7"/>
      <c r="W1727" s="6"/>
      <c r="X1727" s="7"/>
    </row>
    <row r="1728" spans="1:24" ht="38.25" x14ac:dyDescent="0.2">
      <c r="A1728" s="6"/>
      <c r="B1728" s="7"/>
      <c r="C1728" s="6"/>
      <c r="D1728" s="7"/>
      <c r="E1728" s="6"/>
      <c r="F1728" s="7"/>
      <c r="G1728" s="6"/>
      <c r="H1728" s="7"/>
      <c r="I1728" s="6"/>
      <c r="J1728" s="7"/>
      <c r="K1728" s="96" t="str">
        <f>HYPERLINK("#'Healthcare'!BNL1","Q6.8.12_14")</f>
        <v>Q6.8.12_14</v>
      </c>
      <c r="L1728" s="93" t="str">
        <f>HYPERLINK("#'Healthcare'!BNL2","Primary indemnity medical plan in-network deductible per person: Prescription drugs (non-preventive)")</f>
        <v>Primary indemnity medical plan in-network deductible per person: Prescription drugs (non-preventive)</v>
      </c>
      <c r="M1728" s="6"/>
      <c r="N1728" s="7"/>
      <c r="O1728" s="6"/>
      <c r="P1728" s="7"/>
      <c r="Q1728" s="6"/>
      <c r="R1728" s="7"/>
      <c r="S1728" s="6"/>
      <c r="T1728" s="7"/>
      <c r="U1728" s="6"/>
      <c r="V1728" s="7"/>
      <c r="W1728" s="6"/>
      <c r="X1728" s="7"/>
    </row>
    <row r="1729" spans="1:24" ht="38.25" x14ac:dyDescent="0.2">
      <c r="A1729" s="6"/>
      <c r="B1729" s="7"/>
      <c r="C1729" s="6"/>
      <c r="D1729" s="7"/>
      <c r="E1729" s="6"/>
      <c r="F1729" s="7"/>
      <c r="G1729" s="6"/>
      <c r="H1729" s="7"/>
      <c r="I1729" s="6"/>
      <c r="J1729" s="7"/>
      <c r="K1729" s="96" t="str">
        <f>HYPERLINK("#'Healthcare'!BNM1","Q6.8.12_15")</f>
        <v>Q6.8.12_15</v>
      </c>
      <c r="L1729" s="93" t="str">
        <f>HYPERLINK("#'Healthcare'!BNM2","Primary indemnity medical plan in-network deductible per person: Therapies (speech, PT, OT)")</f>
        <v>Primary indemnity medical plan in-network deductible per person: Therapies (speech, PT, OT)</v>
      </c>
      <c r="M1729" s="6"/>
      <c r="N1729" s="7"/>
      <c r="O1729" s="6"/>
      <c r="P1729" s="7"/>
      <c r="Q1729" s="6"/>
      <c r="R1729" s="7"/>
      <c r="S1729" s="6"/>
      <c r="T1729" s="7"/>
      <c r="U1729" s="6"/>
      <c r="V1729" s="7"/>
      <c r="W1729" s="6"/>
      <c r="X1729" s="7"/>
    </row>
    <row r="1730" spans="1:24" ht="25.5" x14ac:dyDescent="0.2">
      <c r="A1730" s="6"/>
      <c r="B1730" s="7"/>
      <c r="C1730" s="6"/>
      <c r="D1730" s="7"/>
      <c r="E1730" s="6"/>
      <c r="F1730" s="7"/>
      <c r="G1730" s="6"/>
      <c r="H1730" s="7"/>
      <c r="I1730" s="6"/>
      <c r="J1730" s="7"/>
      <c r="K1730" s="96" t="str">
        <f>HYPERLINK("#'Healthcare'!BNN1","Q6.8.12_16")</f>
        <v>Q6.8.12_16</v>
      </c>
      <c r="L1730" s="93" t="str">
        <f>HYPERLINK("#'Healthcare'!BNN2","Primary indemnity medical plan in-network deductible per person: Other")</f>
        <v>Primary indemnity medical plan in-network deductible per person: Other</v>
      </c>
      <c r="M1730" s="6"/>
      <c r="N1730" s="7"/>
      <c r="O1730" s="6"/>
      <c r="P1730" s="7"/>
      <c r="Q1730" s="6"/>
      <c r="R1730" s="7"/>
      <c r="S1730" s="6"/>
      <c r="T1730" s="7"/>
      <c r="U1730" s="6"/>
      <c r="V1730" s="7"/>
      <c r="W1730" s="6"/>
      <c r="X1730" s="7"/>
    </row>
    <row r="1731" spans="1:24" ht="38.25" x14ac:dyDescent="0.2">
      <c r="A1731" s="6"/>
      <c r="B1731" s="7"/>
      <c r="C1731" s="6"/>
      <c r="D1731" s="7"/>
      <c r="E1731" s="6"/>
      <c r="F1731" s="7"/>
      <c r="G1731" s="6"/>
      <c r="H1731" s="7"/>
      <c r="I1731" s="6"/>
      <c r="J1731" s="7"/>
      <c r="K1731" s="96" t="str">
        <f>HYPERLINK("#'Healthcare'!BNO1","Q6.8.13_1")</f>
        <v>Q6.8.13_1</v>
      </c>
      <c r="L1731" s="93" t="str">
        <f>HYPERLINK("#'Healthcare'!BNO2","Primary indemnity medical plan in-network deductible per family: Not applicable - no separate deductibles")</f>
        <v>Primary indemnity medical plan in-network deductible per family: Not applicable - no separate deductibles</v>
      </c>
      <c r="M1731" s="6"/>
      <c r="N1731" s="7"/>
      <c r="O1731" s="6"/>
      <c r="P1731" s="7"/>
      <c r="Q1731" s="6"/>
      <c r="R1731" s="7"/>
      <c r="S1731" s="6"/>
      <c r="T1731" s="7"/>
      <c r="U1731" s="6"/>
      <c r="V1731" s="7"/>
      <c r="W1731" s="6"/>
      <c r="X1731" s="7"/>
    </row>
    <row r="1732" spans="1:24" ht="25.5" x14ac:dyDescent="0.2">
      <c r="A1732" s="6"/>
      <c r="B1732" s="7"/>
      <c r="C1732" s="6"/>
      <c r="D1732" s="7"/>
      <c r="E1732" s="6"/>
      <c r="F1732" s="7"/>
      <c r="G1732" s="6"/>
      <c r="H1732" s="7"/>
      <c r="I1732" s="6"/>
      <c r="J1732" s="7"/>
      <c r="K1732" s="96" t="str">
        <f>HYPERLINK("#'Healthcare'!BNP1","Q6.8.13_5")</f>
        <v>Q6.8.13_5</v>
      </c>
      <c r="L1732" s="93" t="str">
        <f>HYPERLINK("#'Healthcare'!BNP2","Primary indemnity medical plan in-network deductible per family: Acupuncture")</f>
        <v>Primary indemnity medical plan in-network deductible per family: Acupuncture</v>
      </c>
      <c r="M1732" s="6"/>
      <c r="N1732" s="7"/>
      <c r="O1732" s="6"/>
      <c r="P1732" s="7"/>
      <c r="Q1732" s="6"/>
      <c r="R1732" s="7"/>
      <c r="S1732" s="6"/>
      <c r="T1732" s="7"/>
      <c r="U1732" s="6"/>
      <c r="V1732" s="7"/>
      <c r="W1732" s="6"/>
      <c r="X1732" s="7"/>
    </row>
    <row r="1733" spans="1:24" ht="25.5" x14ac:dyDescent="0.2">
      <c r="A1733" s="6"/>
      <c r="B1733" s="7"/>
      <c r="C1733" s="6"/>
      <c r="D1733" s="7"/>
      <c r="E1733" s="6"/>
      <c r="F1733" s="7"/>
      <c r="G1733" s="6"/>
      <c r="H1733" s="7"/>
      <c r="I1733" s="6"/>
      <c r="J1733" s="7"/>
      <c r="K1733" s="96" t="str">
        <f>HYPERLINK("#'Healthcare'!BNQ1","Q6.8.13_6")</f>
        <v>Q6.8.13_6</v>
      </c>
      <c r="L1733" s="93" t="str">
        <f>HYPERLINK("#'Healthcare'!BNQ2","Primary indemnity medical plan in-network deductible per family: Chiropractic")</f>
        <v>Primary indemnity medical plan in-network deductible per family: Chiropractic</v>
      </c>
      <c r="M1733" s="6"/>
      <c r="N1733" s="7"/>
      <c r="O1733" s="6"/>
      <c r="P1733" s="7"/>
      <c r="Q1733" s="6"/>
      <c r="R1733" s="7"/>
      <c r="S1733" s="6"/>
      <c r="T1733" s="7"/>
      <c r="U1733" s="6"/>
      <c r="V1733" s="7"/>
      <c r="W1733" s="6"/>
      <c r="X1733" s="7"/>
    </row>
    <row r="1734" spans="1:24" ht="38.25" x14ac:dyDescent="0.2">
      <c r="A1734" s="6"/>
      <c r="B1734" s="7"/>
      <c r="C1734" s="6"/>
      <c r="D1734" s="7"/>
      <c r="E1734" s="6"/>
      <c r="F1734" s="7"/>
      <c r="G1734" s="6"/>
      <c r="H1734" s="7"/>
      <c r="I1734" s="6"/>
      <c r="J1734" s="7"/>
      <c r="K1734" s="96" t="str">
        <f>HYPERLINK("#'Healthcare'!BNR1","Q6.8.13_7")</f>
        <v>Q6.8.13_7</v>
      </c>
      <c r="L1734" s="93" t="str">
        <f>HYPERLINK("#'Healthcare'!BNR2","Primary indemnity medical plan in-network deductible per family: Emergency room (true emergency)")</f>
        <v>Primary indemnity medical plan in-network deductible per family: Emergency room (true emergency)</v>
      </c>
      <c r="M1734" s="6"/>
      <c r="N1734" s="7"/>
      <c r="O1734" s="6"/>
      <c r="P1734" s="7"/>
      <c r="Q1734" s="6"/>
      <c r="R1734" s="7"/>
      <c r="S1734" s="6"/>
      <c r="T1734" s="7"/>
      <c r="U1734" s="6"/>
      <c r="V1734" s="7"/>
      <c r="W1734" s="6"/>
      <c r="X1734" s="7"/>
    </row>
    <row r="1735" spans="1:24" ht="38.25" x14ac:dyDescent="0.2">
      <c r="A1735" s="6"/>
      <c r="B1735" s="7"/>
      <c r="C1735" s="6"/>
      <c r="D1735" s="7"/>
      <c r="E1735" s="6"/>
      <c r="F1735" s="7"/>
      <c r="G1735" s="6"/>
      <c r="H1735" s="7"/>
      <c r="I1735" s="6"/>
      <c r="J1735" s="7"/>
      <c r="K1735" s="96" t="str">
        <f>HYPERLINK("#'Healthcare'!BNS1","Q6.8.13_8")</f>
        <v>Q6.8.13_8</v>
      </c>
      <c r="L1735" s="93" t="str">
        <f>HYPERLINK("#'Healthcare'!BNS2","Primary indemnity medical plan in-network deductible per family: Emergency room (non-emergency)")</f>
        <v>Primary indemnity medical plan in-network deductible per family: Emergency room (non-emergency)</v>
      </c>
      <c r="M1735" s="6"/>
      <c r="N1735" s="7"/>
      <c r="O1735" s="6"/>
      <c r="P1735" s="7"/>
      <c r="Q1735" s="6"/>
      <c r="R1735" s="7"/>
      <c r="S1735" s="6"/>
      <c r="T1735" s="7"/>
      <c r="U1735" s="6"/>
      <c r="V1735" s="7"/>
      <c r="W1735" s="6"/>
      <c r="X1735" s="7"/>
    </row>
    <row r="1736" spans="1:24" ht="38.25" x14ac:dyDescent="0.2">
      <c r="A1736" s="6"/>
      <c r="B1736" s="7"/>
      <c r="C1736" s="6"/>
      <c r="D1736" s="7"/>
      <c r="E1736" s="6"/>
      <c r="F1736" s="7"/>
      <c r="G1736" s="6"/>
      <c r="H1736" s="7"/>
      <c r="I1736" s="6"/>
      <c r="J1736" s="7"/>
      <c r="K1736" s="96" t="str">
        <f>HYPERLINK("#'Healthcare'!BNT1","Q6.8.13_9")</f>
        <v>Q6.8.13_9</v>
      </c>
      <c r="L1736" s="93" t="str">
        <f>HYPERLINK("#'Healthcare'!BNT2","Primary indemnity medical plan in-network deductible per family: Emergency room (with hospital admittance)")</f>
        <v>Primary indemnity medical plan in-network deductible per family: Emergency room (with hospital admittance)</v>
      </c>
      <c r="M1736" s="6"/>
      <c r="N1736" s="7"/>
      <c r="O1736" s="6"/>
      <c r="P1736" s="7"/>
      <c r="Q1736" s="6"/>
      <c r="R1736" s="7"/>
      <c r="S1736" s="6"/>
      <c r="T1736" s="7"/>
      <c r="U1736" s="6"/>
      <c r="V1736" s="7"/>
      <c r="W1736" s="6"/>
      <c r="X1736" s="7"/>
    </row>
    <row r="1737" spans="1:24" ht="25.5" x14ac:dyDescent="0.2">
      <c r="A1737" s="6"/>
      <c r="B1737" s="7"/>
      <c r="C1737" s="6"/>
      <c r="D1737" s="7"/>
      <c r="E1737" s="6"/>
      <c r="F1737" s="7"/>
      <c r="G1737" s="6"/>
      <c r="H1737" s="7"/>
      <c r="I1737" s="6"/>
      <c r="J1737" s="7"/>
      <c r="K1737" s="96" t="str">
        <f>HYPERLINK("#'Healthcare'!BNU1","Q6.8.13_10")</f>
        <v>Q6.8.13_10</v>
      </c>
      <c r="L1737" s="93" t="str">
        <f>HYPERLINK("#'Healthcare'!BNU2","Primary indemnity medical plan in-network deductible per family: In-patient hospital")</f>
        <v>Primary indemnity medical plan in-network deductible per family: In-patient hospital</v>
      </c>
      <c r="M1737" s="6"/>
      <c r="N1737" s="7"/>
      <c r="O1737" s="6"/>
      <c r="P1737" s="7"/>
      <c r="Q1737" s="6"/>
      <c r="R1737" s="7"/>
      <c r="S1737" s="6"/>
      <c r="T1737" s="7"/>
      <c r="U1737" s="6"/>
      <c r="V1737" s="7"/>
      <c r="W1737" s="6"/>
      <c r="X1737" s="7"/>
    </row>
    <row r="1738" spans="1:24" ht="38.25" x14ac:dyDescent="0.2">
      <c r="A1738" s="6"/>
      <c r="B1738" s="7"/>
      <c r="C1738" s="6"/>
      <c r="D1738" s="7"/>
      <c r="E1738" s="6"/>
      <c r="F1738" s="7"/>
      <c r="G1738" s="6"/>
      <c r="H1738" s="7"/>
      <c r="I1738" s="6"/>
      <c r="J1738" s="7"/>
      <c r="K1738" s="96" t="str">
        <f>HYPERLINK("#'Healthcare'!BNV1","Q6.8.13_11")</f>
        <v>Q6.8.13_11</v>
      </c>
      <c r="L1738" s="93" t="str">
        <f>HYPERLINK("#'Healthcare'!BNV2","Primary indemnity medical plan in-network deductible per family: Mental health/substance abuse")</f>
        <v>Primary indemnity medical plan in-network deductible per family: Mental health/substance abuse</v>
      </c>
      <c r="M1738" s="6"/>
      <c r="N1738" s="7"/>
      <c r="O1738" s="6"/>
      <c r="P1738" s="7"/>
      <c r="Q1738" s="6"/>
      <c r="R1738" s="7"/>
      <c r="S1738" s="6"/>
      <c r="T1738" s="7"/>
      <c r="U1738" s="6"/>
      <c r="V1738" s="7"/>
      <c r="W1738" s="6"/>
      <c r="X1738" s="7"/>
    </row>
    <row r="1739" spans="1:24" ht="38.25" x14ac:dyDescent="0.2">
      <c r="A1739" s="6"/>
      <c r="B1739" s="7"/>
      <c r="C1739" s="6"/>
      <c r="D1739" s="7"/>
      <c r="E1739" s="6"/>
      <c r="F1739" s="7"/>
      <c r="G1739" s="6"/>
      <c r="H1739" s="7"/>
      <c r="I1739" s="6"/>
      <c r="J1739" s="7"/>
      <c r="K1739" s="96" t="str">
        <f>HYPERLINK("#'Healthcare'!BNW1","Q6.8.13_12")</f>
        <v>Q6.8.13_12</v>
      </c>
      <c r="L1739" s="93" t="str">
        <f>HYPERLINK("#'Healthcare'!BNW2","Primary indemnity medical plan in-network deductible per family: Out-patient surgical center")</f>
        <v>Primary indemnity medical plan in-network deductible per family: Out-patient surgical center</v>
      </c>
      <c r="M1739" s="6"/>
      <c r="N1739" s="7"/>
      <c r="O1739" s="6"/>
      <c r="P1739" s="7"/>
      <c r="Q1739" s="6"/>
      <c r="R1739" s="7"/>
      <c r="S1739" s="6"/>
      <c r="T1739" s="7"/>
      <c r="U1739" s="6"/>
      <c r="V1739" s="7"/>
      <c r="W1739" s="6"/>
      <c r="X1739" s="7"/>
    </row>
    <row r="1740" spans="1:24" ht="38.25" x14ac:dyDescent="0.2">
      <c r="A1740" s="6"/>
      <c r="B1740" s="7"/>
      <c r="C1740" s="6"/>
      <c r="D1740" s="7"/>
      <c r="E1740" s="6"/>
      <c r="F1740" s="7"/>
      <c r="G1740" s="6"/>
      <c r="H1740" s="7"/>
      <c r="I1740" s="6"/>
      <c r="J1740" s="7"/>
      <c r="K1740" s="96" t="str">
        <f>HYPERLINK("#'Healthcare'!BNX1","Q6.8.13_13")</f>
        <v>Q6.8.13_13</v>
      </c>
      <c r="L1740" s="93" t="str">
        <f>HYPERLINK("#'Healthcare'!BNX2","Primary indemnity medical plan in-network deductible per family: Prescription drugs (preventive)")</f>
        <v>Primary indemnity medical plan in-network deductible per family: Prescription drugs (preventive)</v>
      </c>
      <c r="M1740" s="6"/>
      <c r="N1740" s="7"/>
      <c r="O1740" s="6"/>
      <c r="P1740" s="7"/>
      <c r="Q1740" s="6"/>
      <c r="R1740" s="7"/>
      <c r="S1740" s="6"/>
      <c r="T1740" s="7"/>
      <c r="U1740" s="6"/>
      <c r="V1740" s="7"/>
      <c r="W1740" s="6"/>
      <c r="X1740" s="7"/>
    </row>
    <row r="1741" spans="1:24" ht="38.25" x14ac:dyDescent="0.2">
      <c r="A1741" s="6"/>
      <c r="B1741" s="7"/>
      <c r="C1741" s="6"/>
      <c r="D1741" s="7"/>
      <c r="E1741" s="6"/>
      <c r="F1741" s="7"/>
      <c r="G1741" s="6"/>
      <c r="H1741" s="7"/>
      <c r="I1741" s="6"/>
      <c r="J1741" s="7"/>
      <c r="K1741" s="96" t="str">
        <f>HYPERLINK("#'Healthcare'!BNY1","Q6.8.13_14")</f>
        <v>Q6.8.13_14</v>
      </c>
      <c r="L1741" s="93" t="str">
        <f>HYPERLINK("#'Healthcare'!BNY2","Primary indemnity medical plan in-network deductible per family: Prescription drugs (non-preventive)")</f>
        <v>Primary indemnity medical plan in-network deductible per family: Prescription drugs (non-preventive)</v>
      </c>
      <c r="M1741" s="6"/>
      <c r="N1741" s="7"/>
      <c r="O1741" s="6"/>
      <c r="P1741" s="7"/>
      <c r="Q1741" s="6"/>
      <c r="R1741" s="7"/>
      <c r="S1741" s="6"/>
      <c r="T1741" s="7"/>
      <c r="U1741" s="6"/>
      <c r="V1741" s="7"/>
      <c r="W1741" s="6"/>
      <c r="X1741" s="7"/>
    </row>
    <row r="1742" spans="1:24" ht="38.25" x14ac:dyDescent="0.2">
      <c r="A1742" s="6"/>
      <c r="B1742" s="7"/>
      <c r="C1742" s="6"/>
      <c r="D1742" s="7"/>
      <c r="E1742" s="6"/>
      <c r="F1742" s="7"/>
      <c r="G1742" s="6"/>
      <c r="H1742" s="7"/>
      <c r="I1742" s="6"/>
      <c r="J1742" s="7"/>
      <c r="K1742" s="96" t="str">
        <f>HYPERLINK("#'Healthcare'!BNZ1","Q6.8.13_15")</f>
        <v>Q6.8.13_15</v>
      </c>
      <c r="L1742" s="93" t="str">
        <f>HYPERLINK("#'Healthcare'!BNZ2","Primary indemnity medical plan in-network deductible per family: Therapies (speech, PT, OT)")</f>
        <v>Primary indemnity medical plan in-network deductible per family: Therapies (speech, PT, OT)</v>
      </c>
      <c r="M1742" s="6"/>
      <c r="N1742" s="7"/>
      <c r="O1742" s="6"/>
      <c r="P1742" s="7"/>
      <c r="Q1742" s="6"/>
      <c r="R1742" s="7"/>
      <c r="S1742" s="6"/>
      <c r="T1742" s="7"/>
      <c r="U1742" s="6"/>
      <c r="V1742" s="7"/>
      <c r="W1742" s="6"/>
      <c r="X1742" s="7"/>
    </row>
    <row r="1743" spans="1:24" ht="25.5" x14ac:dyDescent="0.2">
      <c r="A1743" s="6"/>
      <c r="B1743" s="7"/>
      <c r="C1743" s="6"/>
      <c r="D1743" s="7"/>
      <c r="E1743" s="6"/>
      <c r="F1743" s="7"/>
      <c r="G1743" s="6"/>
      <c r="H1743" s="7"/>
      <c r="I1743" s="6"/>
      <c r="J1743" s="7"/>
      <c r="K1743" s="96" t="str">
        <f>HYPERLINK("#'Healthcare'!BOA1","Q6.8.13_16")</f>
        <v>Q6.8.13_16</v>
      </c>
      <c r="L1743" s="93" t="str">
        <f>HYPERLINK("#'Healthcare'!BOA2","Primary indemnity medical plan in-network deductible per family: Other")</f>
        <v>Primary indemnity medical plan in-network deductible per family: Other</v>
      </c>
      <c r="M1743" s="6"/>
      <c r="N1743" s="7"/>
      <c r="O1743" s="6"/>
      <c r="P1743" s="7"/>
      <c r="Q1743" s="6"/>
      <c r="R1743" s="7"/>
      <c r="S1743" s="6"/>
      <c r="T1743" s="7"/>
      <c r="U1743" s="6"/>
      <c r="V1743" s="7"/>
      <c r="W1743" s="6"/>
      <c r="X1743" s="7"/>
    </row>
    <row r="1744" spans="1:24" ht="38.25" x14ac:dyDescent="0.2">
      <c r="A1744" s="6"/>
      <c r="B1744" s="7"/>
      <c r="C1744" s="6"/>
      <c r="D1744" s="7"/>
      <c r="E1744" s="6"/>
      <c r="F1744" s="7"/>
      <c r="G1744" s="6"/>
      <c r="H1744" s="7"/>
      <c r="I1744" s="6"/>
      <c r="J1744" s="7"/>
      <c r="K1744" s="96" t="str">
        <f>HYPERLINK("#'Healthcare'!BOB1","Q6.8.14_1")</f>
        <v>Q6.8.14_1</v>
      </c>
      <c r="L1744" s="93" t="str">
        <f>HYPERLINK("#'Healthcare'!BOB2","Primary indemnity medical plan out-of-network deductible per person: Not applicable - no separate deductibles")</f>
        <v>Primary indemnity medical plan out-of-network deductible per person: Not applicable - no separate deductibles</v>
      </c>
      <c r="M1744" s="6"/>
      <c r="N1744" s="7"/>
      <c r="O1744" s="6"/>
      <c r="P1744" s="7"/>
      <c r="Q1744" s="6"/>
      <c r="R1744" s="7"/>
      <c r="S1744" s="6"/>
      <c r="T1744" s="7"/>
      <c r="U1744" s="6"/>
      <c r="V1744" s="7"/>
      <c r="W1744" s="6"/>
      <c r="X1744" s="7"/>
    </row>
    <row r="1745" spans="1:24" ht="25.5" x14ac:dyDescent="0.2">
      <c r="A1745" s="6"/>
      <c r="B1745" s="7"/>
      <c r="C1745" s="6"/>
      <c r="D1745" s="7"/>
      <c r="E1745" s="6"/>
      <c r="F1745" s="7"/>
      <c r="G1745" s="6"/>
      <c r="H1745" s="7"/>
      <c r="I1745" s="6"/>
      <c r="J1745" s="7"/>
      <c r="K1745" s="96" t="str">
        <f>HYPERLINK("#'Healthcare'!BOC1","Q6.8.14_5")</f>
        <v>Q6.8.14_5</v>
      </c>
      <c r="L1745" s="93" t="str">
        <f>HYPERLINK("#'Healthcare'!BOC2","Primary indemnity medical plan out-of-network deductible per person: Acupuncture")</f>
        <v>Primary indemnity medical plan out-of-network deductible per person: Acupuncture</v>
      </c>
      <c r="M1745" s="6"/>
      <c r="N1745" s="7"/>
      <c r="O1745" s="6"/>
      <c r="P1745" s="7"/>
      <c r="Q1745" s="6"/>
      <c r="R1745" s="7"/>
      <c r="S1745" s="6"/>
      <c r="T1745" s="7"/>
      <c r="U1745" s="6"/>
      <c r="V1745" s="7"/>
      <c r="W1745" s="6"/>
      <c r="X1745" s="7"/>
    </row>
    <row r="1746" spans="1:24" ht="25.5" x14ac:dyDescent="0.2">
      <c r="A1746" s="6"/>
      <c r="B1746" s="7"/>
      <c r="C1746" s="6"/>
      <c r="D1746" s="7"/>
      <c r="E1746" s="6"/>
      <c r="F1746" s="7"/>
      <c r="G1746" s="6"/>
      <c r="H1746" s="7"/>
      <c r="I1746" s="6"/>
      <c r="J1746" s="7"/>
      <c r="K1746" s="96" t="str">
        <f>HYPERLINK("#'Healthcare'!BOD1","Q6.8.14_6")</f>
        <v>Q6.8.14_6</v>
      </c>
      <c r="L1746" s="93" t="str">
        <f>HYPERLINK("#'Healthcare'!BOD2","Primary indemnity medical plan out-of-network deductible per person: Chiropractic")</f>
        <v>Primary indemnity medical plan out-of-network deductible per person: Chiropractic</v>
      </c>
      <c r="M1746" s="6"/>
      <c r="N1746" s="7"/>
      <c r="O1746" s="6"/>
      <c r="P1746" s="7"/>
      <c r="Q1746" s="6"/>
      <c r="R1746" s="7"/>
      <c r="S1746" s="6"/>
      <c r="T1746" s="7"/>
      <c r="U1746" s="6"/>
      <c r="V1746" s="7"/>
      <c r="W1746" s="6"/>
      <c r="X1746" s="7"/>
    </row>
    <row r="1747" spans="1:24" ht="38.25" x14ac:dyDescent="0.2">
      <c r="A1747" s="6"/>
      <c r="B1747" s="7"/>
      <c r="C1747" s="6"/>
      <c r="D1747" s="7"/>
      <c r="E1747" s="6"/>
      <c r="F1747" s="7"/>
      <c r="G1747" s="6"/>
      <c r="H1747" s="7"/>
      <c r="I1747" s="6"/>
      <c r="J1747" s="7"/>
      <c r="K1747" s="96" t="str">
        <f>HYPERLINK("#'Healthcare'!BOE1","Q6.8.14_7")</f>
        <v>Q6.8.14_7</v>
      </c>
      <c r="L1747" s="93" t="str">
        <f>HYPERLINK("#'Healthcare'!BOE2","Primary indemnity medical plan out-of-network deductible per person: Emergency room (true emergency)")</f>
        <v>Primary indemnity medical plan out-of-network deductible per person: Emergency room (true emergency)</v>
      </c>
      <c r="M1747" s="6"/>
      <c r="N1747" s="7"/>
      <c r="O1747" s="6"/>
      <c r="P1747" s="7"/>
      <c r="Q1747" s="6"/>
      <c r="R1747" s="7"/>
      <c r="S1747" s="6"/>
      <c r="T1747" s="7"/>
      <c r="U1747" s="6"/>
      <c r="V1747" s="7"/>
      <c r="W1747" s="6"/>
      <c r="X1747" s="7"/>
    </row>
    <row r="1748" spans="1:24" ht="38.25" x14ac:dyDescent="0.2">
      <c r="A1748" s="6"/>
      <c r="B1748" s="7"/>
      <c r="C1748" s="6"/>
      <c r="D1748" s="7"/>
      <c r="E1748" s="6"/>
      <c r="F1748" s="7"/>
      <c r="G1748" s="6"/>
      <c r="H1748" s="7"/>
      <c r="I1748" s="6"/>
      <c r="J1748" s="7"/>
      <c r="K1748" s="96" t="str">
        <f>HYPERLINK("#'Healthcare'!BOF1","Q6.8.14_8")</f>
        <v>Q6.8.14_8</v>
      </c>
      <c r="L1748" s="93" t="str">
        <f>HYPERLINK("#'Healthcare'!BOF2","Primary indemnity medical plan out-of-network deductible per person: Emergency room (non-emergency)")</f>
        <v>Primary indemnity medical plan out-of-network deductible per person: Emergency room (non-emergency)</v>
      </c>
      <c r="M1748" s="6"/>
      <c r="N1748" s="7"/>
      <c r="O1748" s="6"/>
      <c r="P1748" s="7"/>
      <c r="Q1748" s="6"/>
      <c r="R1748" s="7"/>
      <c r="S1748" s="6"/>
      <c r="T1748" s="7"/>
      <c r="U1748" s="6"/>
      <c r="V1748" s="7"/>
      <c r="W1748" s="6"/>
      <c r="X1748" s="7"/>
    </row>
    <row r="1749" spans="1:24" ht="38.25" x14ac:dyDescent="0.2">
      <c r="A1749" s="6"/>
      <c r="B1749" s="7"/>
      <c r="C1749" s="6"/>
      <c r="D1749" s="7"/>
      <c r="E1749" s="6"/>
      <c r="F1749" s="7"/>
      <c r="G1749" s="6"/>
      <c r="H1749" s="7"/>
      <c r="I1749" s="6"/>
      <c r="J1749" s="7"/>
      <c r="K1749" s="96" t="str">
        <f>HYPERLINK("#'Healthcare'!BOG1","Q6.8.14_9")</f>
        <v>Q6.8.14_9</v>
      </c>
      <c r="L1749" s="93" t="str">
        <f>HYPERLINK("#'Healthcare'!BOG2","Primary indemnity medical plan out-of-network deductible per person: Emergency room (with hospital admittance)")</f>
        <v>Primary indemnity medical plan out-of-network deductible per person: Emergency room (with hospital admittance)</v>
      </c>
      <c r="M1749" s="6"/>
      <c r="N1749" s="7"/>
      <c r="O1749" s="6"/>
      <c r="P1749" s="7"/>
      <c r="Q1749" s="6"/>
      <c r="R1749" s="7"/>
      <c r="S1749" s="6"/>
      <c r="T1749" s="7"/>
      <c r="U1749" s="6"/>
      <c r="V1749" s="7"/>
      <c r="W1749" s="6"/>
      <c r="X1749" s="7"/>
    </row>
    <row r="1750" spans="1:24" ht="25.5" x14ac:dyDescent="0.2">
      <c r="A1750" s="6"/>
      <c r="B1750" s="7"/>
      <c r="C1750" s="6"/>
      <c r="D1750" s="7"/>
      <c r="E1750" s="6"/>
      <c r="F1750" s="7"/>
      <c r="G1750" s="6"/>
      <c r="H1750" s="7"/>
      <c r="I1750" s="6"/>
      <c r="J1750" s="7"/>
      <c r="K1750" s="96" t="str">
        <f>HYPERLINK("#'Healthcare'!BOH1","Q6.8.14_10")</f>
        <v>Q6.8.14_10</v>
      </c>
      <c r="L1750" s="93" t="str">
        <f>HYPERLINK("#'Healthcare'!BOH2","Primary indemnity medical plan out-of-network deductible per person: In-patient hospital")</f>
        <v>Primary indemnity medical plan out-of-network deductible per person: In-patient hospital</v>
      </c>
      <c r="M1750" s="6"/>
      <c r="N1750" s="7"/>
      <c r="O1750" s="6"/>
      <c r="P1750" s="7"/>
      <c r="Q1750" s="6"/>
      <c r="R1750" s="7"/>
      <c r="S1750" s="6"/>
      <c r="T1750" s="7"/>
      <c r="U1750" s="6"/>
      <c r="V1750" s="7"/>
      <c r="W1750" s="6"/>
      <c r="X1750" s="7"/>
    </row>
    <row r="1751" spans="1:24" ht="38.25" x14ac:dyDescent="0.2">
      <c r="A1751" s="6"/>
      <c r="B1751" s="7"/>
      <c r="C1751" s="6"/>
      <c r="D1751" s="7"/>
      <c r="E1751" s="6"/>
      <c r="F1751" s="7"/>
      <c r="G1751" s="6"/>
      <c r="H1751" s="7"/>
      <c r="I1751" s="6"/>
      <c r="J1751" s="7"/>
      <c r="K1751" s="96" t="str">
        <f>HYPERLINK("#'Healthcare'!BOI1","Q6.8.14_11")</f>
        <v>Q6.8.14_11</v>
      </c>
      <c r="L1751" s="93" t="str">
        <f>HYPERLINK("#'Healthcare'!BOI2","Primary indemnity medical plan out-of-network deductible per person: Mental health/substance abuse")</f>
        <v>Primary indemnity medical plan out-of-network deductible per person: Mental health/substance abuse</v>
      </c>
      <c r="M1751" s="6"/>
      <c r="N1751" s="7"/>
      <c r="O1751" s="6"/>
      <c r="P1751" s="7"/>
      <c r="Q1751" s="6"/>
      <c r="R1751" s="7"/>
      <c r="S1751" s="6"/>
      <c r="T1751" s="7"/>
      <c r="U1751" s="6"/>
      <c r="V1751" s="7"/>
      <c r="W1751" s="6"/>
      <c r="X1751" s="7"/>
    </row>
    <row r="1752" spans="1:24" ht="38.25" x14ac:dyDescent="0.2">
      <c r="A1752" s="6"/>
      <c r="B1752" s="7"/>
      <c r="C1752" s="6"/>
      <c r="D1752" s="7"/>
      <c r="E1752" s="6"/>
      <c r="F1752" s="7"/>
      <c r="G1752" s="6"/>
      <c r="H1752" s="7"/>
      <c r="I1752" s="6"/>
      <c r="J1752" s="7"/>
      <c r="K1752" s="96" t="str">
        <f>HYPERLINK("#'Healthcare'!BOJ1","Q6.8.14_12")</f>
        <v>Q6.8.14_12</v>
      </c>
      <c r="L1752" s="93" t="str">
        <f>HYPERLINK("#'Healthcare'!BOJ2","Primary indemnity medical plan out-of-network deductible per person: Out-patient surgical center")</f>
        <v>Primary indemnity medical plan out-of-network deductible per person: Out-patient surgical center</v>
      </c>
      <c r="M1752" s="6"/>
      <c r="N1752" s="7"/>
      <c r="O1752" s="6"/>
      <c r="P1752" s="7"/>
      <c r="Q1752" s="6"/>
      <c r="R1752" s="7"/>
      <c r="S1752" s="6"/>
      <c r="T1752" s="7"/>
      <c r="U1752" s="6"/>
      <c r="V1752" s="7"/>
      <c r="W1752" s="6"/>
      <c r="X1752" s="7"/>
    </row>
    <row r="1753" spans="1:24" ht="38.25" x14ac:dyDescent="0.2">
      <c r="A1753" s="6"/>
      <c r="B1753" s="7"/>
      <c r="C1753" s="6"/>
      <c r="D1753" s="7"/>
      <c r="E1753" s="6"/>
      <c r="F1753" s="7"/>
      <c r="G1753" s="6"/>
      <c r="H1753" s="7"/>
      <c r="I1753" s="6"/>
      <c r="J1753" s="7"/>
      <c r="K1753" s="96" t="str">
        <f>HYPERLINK("#'Healthcare'!BOK1","Q6.8.14_13")</f>
        <v>Q6.8.14_13</v>
      </c>
      <c r="L1753" s="93" t="str">
        <f>HYPERLINK("#'Healthcare'!BOK2","Primary indemnity medical plan out-of-network deductible per person: Prescription drugs (preventive)")</f>
        <v>Primary indemnity medical plan out-of-network deductible per person: Prescription drugs (preventive)</v>
      </c>
      <c r="M1753" s="6"/>
      <c r="N1753" s="7"/>
      <c r="O1753" s="6"/>
      <c r="P1753" s="7"/>
      <c r="Q1753" s="6"/>
      <c r="R1753" s="7"/>
      <c r="S1753" s="6"/>
      <c r="T1753" s="7"/>
      <c r="U1753" s="6"/>
      <c r="V1753" s="7"/>
      <c r="W1753" s="6"/>
      <c r="X1753" s="7"/>
    </row>
    <row r="1754" spans="1:24" ht="38.25" x14ac:dyDescent="0.2">
      <c r="A1754" s="6"/>
      <c r="B1754" s="7"/>
      <c r="C1754" s="6"/>
      <c r="D1754" s="7"/>
      <c r="E1754" s="6"/>
      <c r="F1754" s="7"/>
      <c r="G1754" s="6"/>
      <c r="H1754" s="7"/>
      <c r="I1754" s="6"/>
      <c r="J1754" s="7"/>
      <c r="K1754" s="96" t="str">
        <f>HYPERLINK("#'Healthcare'!BOL1","Q6.8.14_14")</f>
        <v>Q6.8.14_14</v>
      </c>
      <c r="L1754" s="93" t="str">
        <f>HYPERLINK("#'Healthcare'!BOL2","Primary indemnity medical plan out-of-network deductible per person: Prescription drugs (non-preventive)")</f>
        <v>Primary indemnity medical plan out-of-network deductible per person: Prescription drugs (non-preventive)</v>
      </c>
      <c r="M1754" s="6"/>
      <c r="N1754" s="7"/>
      <c r="O1754" s="6"/>
      <c r="P1754" s="7"/>
      <c r="Q1754" s="6"/>
      <c r="R1754" s="7"/>
      <c r="S1754" s="6"/>
      <c r="T1754" s="7"/>
      <c r="U1754" s="6"/>
      <c r="V1754" s="7"/>
      <c r="W1754" s="6"/>
      <c r="X1754" s="7"/>
    </row>
    <row r="1755" spans="1:24" ht="38.25" x14ac:dyDescent="0.2">
      <c r="A1755" s="6"/>
      <c r="B1755" s="7"/>
      <c r="C1755" s="6"/>
      <c r="D1755" s="7"/>
      <c r="E1755" s="6"/>
      <c r="F1755" s="7"/>
      <c r="G1755" s="6"/>
      <c r="H1755" s="7"/>
      <c r="I1755" s="6"/>
      <c r="J1755" s="7"/>
      <c r="K1755" s="96" t="str">
        <f>HYPERLINK("#'Healthcare'!BOM1","Q6.8.14_15")</f>
        <v>Q6.8.14_15</v>
      </c>
      <c r="L1755" s="93" t="str">
        <f>HYPERLINK("#'Healthcare'!BOM2","Primary indemnity medical plan out-of-network deductible per person: Therapies (speech, PT, OT)")</f>
        <v>Primary indemnity medical plan out-of-network deductible per person: Therapies (speech, PT, OT)</v>
      </c>
      <c r="M1755" s="6"/>
      <c r="N1755" s="7"/>
      <c r="O1755" s="6"/>
      <c r="P1755" s="7"/>
      <c r="Q1755" s="6"/>
      <c r="R1755" s="7"/>
      <c r="S1755" s="6"/>
      <c r="T1755" s="7"/>
      <c r="U1755" s="6"/>
      <c r="V1755" s="7"/>
      <c r="W1755" s="6"/>
      <c r="X1755" s="7"/>
    </row>
    <row r="1756" spans="1:24" ht="25.5" x14ac:dyDescent="0.2">
      <c r="A1756" s="6"/>
      <c r="B1756" s="7"/>
      <c r="C1756" s="6"/>
      <c r="D1756" s="7"/>
      <c r="E1756" s="6"/>
      <c r="F1756" s="7"/>
      <c r="G1756" s="6"/>
      <c r="H1756" s="7"/>
      <c r="I1756" s="6"/>
      <c r="J1756" s="7"/>
      <c r="K1756" s="96" t="str">
        <f>HYPERLINK("#'Healthcare'!BON1","Q6.8.14_16")</f>
        <v>Q6.8.14_16</v>
      </c>
      <c r="L1756" s="93" t="str">
        <f>HYPERLINK("#'Healthcare'!BON2","Primary indemnity medical plan out-of-network deductible per person: Other")</f>
        <v>Primary indemnity medical plan out-of-network deductible per person: Other</v>
      </c>
      <c r="M1756" s="6"/>
      <c r="N1756" s="7"/>
      <c r="O1756" s="6"/>
      <c r="P1756" s="7"/>
      <c r="Q1756" s="6"/>
      <c r="R1756" s="7"/>
      <c r="S1756" s="6"/>
      <c r="T1756" s="7"/>
      <c r="U1756" s="6"/>
      <c r="V1756" s="7"/>
      <c r="W1756" s="6"/>
      <c r="X1756" s="7"/>
    </row>
    <row r="1757" spans="1:24" ht="38.25" x14ac:dyDescent="0.2">
      <c r="A1757" s="6"/>
      <c r="B1757" s="7"/>
      <c r="C1757" s="6"/>
      <c r="D1757" s="7"/>
      <c r="E1757" s="6"/>
      <c r="F1757" s="7"/>
      <c r="G1757" s="6"/>
      <c r="H1757" s="7"/>
      <c r="I1757" s="6"/>
      <c r="J1757" s="7"/>
      <c r="K1757" s="96" t="str">
        <f>HYPERLINK("#'Healthcare'!BOO1","Q6.8.15_1")</f>
        <v>Q6.8.15_1</v>
      </c>
      <c r="L1757" s="93" t="str">
        <f>HYPERLINK("#'Healthcare'!BOO2","Primary indemnity medical plan out-of-network deductible per family: Not applicable - no separate deductibles")</f>
        <v>Primary indemnity medical plan out-of-network deductible per family: Not applicable - no separate deductibles</v>
      </c>
      <c r="M1757" s="6"/>
      <c r="N1757" s="7"/>
      <c r="O1757" s="6"/>
      <c r="P1757" s="7"/>
      <c r="Q1757" s="6"/>
      <c r="R1757" s="7"/>
      <c r="S1757" s="6"/>
      <c r="T1757" s="7"/>
      <c r="U1757" s="6"/>
      <c r="V1757" s="7"/>
      <c r="W1757" s="6"/>
      <c r="X1757" s="7"/>
    </row>
    <row r="1758" spans="1:24" ht="25.5" x14ac:dyDescent="0.2">
      <c r="A1758" s="6"/>
      <c r="B1758" s="7"/>
      <c r="C1758" s="6"/>
      <c r="D1758" s="7"/>
      <c r="E1758" s="6"/>
      <c r="F1758" s="7"/>
      <c r="G1758" s="6"/>
      <c r="H1758" s="7"/>
      <c r="I1758" s="6"/>
      <c r="J1758" s="7"/>
      <c r="K1758" s="96" t="str">
        <f>HYPERLINK("#'Healthcare'!BOP1","Q6.8.15_5")</f>
        <v>Q6.8.15_5</v>
      </c>
      <c r="L1758" s="93" t="str">
        <f>HYPERLINK("#'Healthcare'!BOP2","Primary indemnity medical plan out-of-network deductible per family: Acupuncture")</f>
        <v>Primary indemnity medical plan out-of-network deductible per family: Acupuncture</v>
      </c>
      <c r="M1758" s="6"/>
      <c r="N1758" s="7"/>
      <c r="O1758" s="6"/>
      <c r="P1758" s="7"/>
      <c r="Q1758" s="6"/>
      <c r="R1758" s="7"/>
      <c r="S1758" s="6"/>
      <c r="T1758" s="7"/>
      <c r="U1758" s="6"/>
      <c r="V1758" s="7"/>
      <c r="W1758" s="6"/>
      <c r="X1758" s="7"/>
    </row>
    <row r="1759" spans="1:24" ht="25.5" x14ac:dyDescent="0.2">
      <c r="A1759" s="6"/>
      <c r="B1759" s="7"/>
      <c r="C1759" s="6"/>
      <c r="D1759" s="7"/>
      <c r="E1759" s="6"/>
      <c r="F1759" s="7"/>
      <c r="G1759" s="6"/>
      <c r="H1759" s="7"/>
      <c r="I1759" s="6"/>
      <c r="J1759" s="7"/>
      <c r="K1759" s="96" t="str">
        <f>HYPERLINK("#'Healthcare'!BOQ1","Q6.8.15_6")</f>
        <v>Q6.8.15_6</v>
      </c>
      <c r="L1759" s="93" t="str">
        <f>HYPERLINK("#'Healthcare'!BOQ2","Primary indemnity medical plan out-of-network deductible per family: Chiropractic")</f>
        <v>Primary indemnity medical plan out-of-network deductible per family: Chiropractic</v>
      </c>
      <c r="M1759" s="6"/>
      <c r="N1759" s="7"/>
      <c r="O1759" s="6"/>
      <c r="P1759" s="7"/>
      <c r="Q1759" s="6"/>
      <c r="R1759" s="7"/>
      <c r="S1759" s="6"/>
      <c r="T1759" s="7"/>
      <c r="U1759" s="6"/>
      <c r="V1759" s="7"/>
      <c r="W1759" s="6"/>
      <c r="X1759" s="7"/>
    </row>
    <row r="1760" spans="1:24" ht="38.25" x14ac:dyDescent="0.2">
      <c r="A1760" s="6"/>
      <c r="B1760" s="7"/>
      <c r="C1760" s="6"/>
      <c r="D1760" s="7"/>
      <c r="E1760" s="6"/>
      <c r="F1760" s="7"/>
      <c r="G1760" s="6"/>
      <c r="H1760" s="7"/>
      <c r="I1760" s="6"/>
      <c r="J1760" s="7"/>
      <c r="K1760" s="96" t="str">
        <f>HYPERLINK("#'Healthcare'!BOR1","Q6.8.15_7")</f>
        <v>Q6.8.15_7</v>
      </c>
      <c r="L1760" s="93" t="str">
        <f>HYPERLINK("#'Healthcare'!BOR2","Primary indemnity medical plan out-of-network deductible per family: Emergency room (true emergency)")</f>
        <v>Primary indemnity medical plan out-of-network deductible per family: Emergency room (true emergency)</v>
      </c>
      <c r="M1760" s="6"/>
      <c r="N1760" s="7"/>
      <c r="O1760" s="6"/>
      <c r="P1760" s="7"/>
      <c r="Q1760" s="6"/>
      <c r="R1760" s="7"/>
      <c r="S1760" s="6"/>
      <c r="T1760" s="7"/>
      <c r="U1760" s="6"/>
      <c r="V1760" s="7"/>
      <c r="W1760" s="6"/>
      <c r="X1760" s="7"/>
    </row>
    <row r="1761" spans="1:24" ht="38.25" x14ac:dyDescent="0.2">
      <c r="A1761" s="6"/>
      <c r="B1761" s="7"/>
      <c r="C1761" s="6"/>
      <c r="D1761" s="7"/>
      <c r="E1761" s="6"/>
      <c r="F1761" s="7"/>
      <c r="G1761" s="6"/>
      <c r="H1761" s="7"/>
      <c r="I1761" s="6"/>
      <c r="J1761" s="7"/>
      <c r="K1761" s="96" t="str">
        <f>HYPERLINK("#'Healthcare'!BOS1","Q6.8.15_8")</f>
        <v>Q6.8.15_8</v>
      </c>
      <c r="L1761" s="93" t="str">
        <f>HYPERLINK("#'Healthcare'!BOS2","Primary indemnity medical plan out-of-network deductible per family: Emergency room (non-emergency)")</f>
        <v>Primary indemnity medical plan out-of-network deductible per family: Emergency room (non-emergency)</v>
      </c>
      <c r="M1761" s="6"/>
      <c r="N1761" s="7"/>
      <c r="O1761" s="6"/>
      <c r="P1761" s="7"/>
      <c r="Q1761" s="6"/>
      <c r="R1761" s="7"/>
      <c r="S1761" s="6"/>
      <c r="T1761" s="7"/>
      <c r="U1761" s="6"/>
      <c r="V1761" s="7"/>
      <c r="W1761" s="6"/>
      <c r="X1761" s="7"/>
    </row>
    <row r="1762" spans="1:24" ht="38.25" x14ac:dyDescent="0.2">
      <c r="A1762" s="6"/>
      <c r="B1762" s="7"/>
      <c r="C1762" s="6"/>
      <c r="D1762" s="7"/>
      <c r="E1762" s="6"/>
      <c r="F1762" s="7"/>
      <c r="G1762" s="6"/>
      <c r="H1762" s="7"/>
      <c r="I1762" s="6"/>
      <c r="J1762" s="7"/>
      <c r="K1762" s="96" t="str">
        <f>HYPERLINK("#'Healthcare'!BOT1","Q6.8.15_9")</f>
        <v>Q6.8.15_9</v>
      </c>
      <c r="L1762" s="93" t="str">
        <f>HYPERLINK("#'Healthcare'!BOT2","Primary indemnity medical plan out-of-network deductible per family: Emergency room (with hospital admittance)")</f>
        <v>Primary indemnity medical plan out-of-network deductible per family: Emergency room (with hospital admittance)</v>
      </c>
      <c r="M1762" s="6"/>
      <c r="N1762" s="7"/>
      <c r="O1762" s="6"/>
      <c r="P1762" s="7"/>
      <c r="Q1762" s="6"/>
      <c r="R1762" s="7"/>
      <c r="S1762" s="6"/>
      <c r="T1762" s="7"/>
      <c r="U1762" s="6"/>
      <c r="V1762" s="7"/>
      <c r="W1762" s="6"/>
      <c r="X1762" s="7"/>
    </row>
    <row r="1763" spans="1:24" ht="25.5" x14ac:dyDescent="0.2">
      <c r="A1763" s="6"/>
      <c r="B1763" s="7"/>
      <c r="C1763" s="6"/>
      <c r="D1763" s="7"/>
      <c r="E1763" s="6"/>
      <c r="F1763" s="7"/>
      <c r="G1763" s="6"/>
      <c r="H1763" s="7"/>
      <c r="I1763" s="6"/>
      <c r="J1763" s="7"/>
      <c r="K1763" s="96" t="str">
        <f>HYPERLINK("#'Healthcare'!BOU1","Q6.8.15_10")</f>
        <v>Q6.8.15_10</v>
      </c>
      <c r="L1763" s="93" t="str">
        <f>HYPERLINK("#'Healthcare'!BOU2","Primary indemnity medical plan out-of-network deductible per family: In-patient hospital")</f>
        <v>Primary indemnity medical plan out-of-network deductible per family: In-patient hospital</v>
      </c>
      <c r="M1763" s="6"/>
      <c r="N1763" s="7"/>
      <c r="O1763" s="6"/>
      <c r="P1763" s="7"/>
      <c r="Q1763" s="6"/>
      <c r="R1763" s="7"/>
      <c r="S1763" s="6"/>
      <c r="T1763" s="7"/>
      <c r="U1763" s="6"/>
      <c r="V1763" s="7"/>
      <c r="W1763" s="6"/>
      <c r="X1763" s="7"/>
    </row>
    <row r="1764" spans="1:24" ht="38.25" x14ac:dyDescent="0.2">
      <c r="A1764" s="6"/>
      <c r="B1764" s="7"/>
      <c r="C1764" s="6"/>
      <c r="D1764" s="7"/>
      <c r="E1764" s="6"/>
      <c r="F1764" s="7"/>
      <c r="G1764" s="6"/>
      <c r="H1764" s="7"/>
      <c r="I1764" s="6"/>
      <c r="J1764" s="7"/>
      <c r="K1764" s="96" t="str">
        <f>HYPERLINK("#'Healthcare'!BOV1","Q6.8.15_11")</f>
        <v>Q6.8.15_11</v>
      </c>
      <c r="L1764" s="93" t="str">
        <f>HYPERLINK("#'Healthcare'!BOV2","Primary indemnity medical plan out-of-network deductible per family: Mental health/substance abuse")</f>
        <v>Primary indemnity medical plan out-of-network deductible per family: Mental health/substance abuse</v>
      </c>
      <c r="M1764" s="6"/>
      <c r="N1764" s="7"/>
      <c r="O1764" s="6"/>
      <c r="P1764" s="7"/>
      <c r="Q1764" s="6"/>
      <c r="R1764" s="7"/>
      <c r="S1764" s="6"/>
      <c r="T1764" s="7"/>
      <c r="U1764" s="6"/>
      <c r="V1764" s="7"/>
      <c r="W1764" s="6"/>
      <c r="X1764" s="7"/>
    </row>
    <row r="1765" spans="1:24" ht="38.25" x14ac:dyDescent="0.2">
      <c r="A1765" s="6"/>
      <c r="B1765" s="7"/>
      <c r="C1765" s="6"/>
      <c r="D1765" s="7"/>
      <c r="E1765" s="6"/>
      <c r="F1765" s="7"/>
      <c r="G1765" s="6"/>
      <c r="H1765" s="7"/>
      <c r="I1765" s="6"/>
      <c r="J1765" s="7"/>
      <c r="K1765" s="96" t="str">
        <f>HYPERLINK("#'Healthcare'!BOW1","Q6.8.15_12")</f>
        <v>Q6.8.15_12</v>
      </c>
      <c r="L1765" s="93" t="str">
        <f>HYPERLINK("#'Healthcare'!BOW2","Primary indemnity medical plan out-of-network deductible per family: Out-patient surgical center")</f>
        <v>Primary indemnity medical plan out-of-network deductible per family: Out-patient surgical center</v>
      </c>
      <c r="M1765" s="6"/>
      <c r="N1765" s="7"/>
      <c r="O1765" s="6"/>
      <c r="P1765" s="7"/>
      <c r="Q1765" s="6"/>
      <c r="R1765" s="7"/>
      <c r="S1765" s="6"/>
      <c r="T1765" s="7"/>
      <c r="U1765" s="6"/>
      <c r="V1765" s="7"/>
      <c r="W1765" s="6"/>
      <c r="X1765" s="7"/>
    </row>
    <row r="1766" spans="1:24" ht="38.25" x14ac:dyDescent="0.2">
      <c r="A1766" s="6"/>
      <c r="B1766" s="7"/>
      <c r="C1766" s="6"/>
      <c r="D1766" s="7"/>
      <c r="E1766" s="6"/>
      <c r="F1766" s="7"/>
      <c r="G1766" s="6"/>
      <c r="H1766" s="7"/>
      <c r="I1766" s="6"/>
      <c r="J1766" s="7"/>
      <c r="K1766" s="96" t="str">
        <f>HYPERLINK("#'Healthcare'!BOX1","Q6.8.15_13")</f>
        <v>Q6.8.15_13</v>
      </c>
      <c r="L1766" s="93" t="str">
        <f>HYPERLINK("#'Healthcare'!BOX2","Primary indemnity medical plan out-of-network deductible per family: Prescription drugs (preventive)")</f>
        <v>Primary indemnity medical plan out-of-network deductible per family: Prescription drugs (preventive)</v>
      </c>
      <c r="M1766" s="6"/>
      <c r="N1766" s="7"/>
      <c r="O1766" s="6"/>
      <c r="P1766" s="7"/>
      <c r="Q1766" s="6"/>
      <c r="R1766" s="7"/>
      <c r="S1766" s="6"/>
      <c r="T1766" s="7"/>
      <c r="U1766" s="6"/>
      <c r="V1766" s="7"/>
      <c r="W1766" s="6"/>
      <c r="X1766" s="7"/>
    </row>
    <row r="1767" spans="1:24" ht="38.25" x14ac:dyDescent="0.2">
      <c r="A1767" s="6"/>
      <c r="B1767" s="7"/>
      <c r="C1767" s="6"/>
      <c r="D1767" s="7"/>
      <c r="E1767" s="6"/>
      <c r="F1767" s="7"/>
      <c r="G1767" s="6"/>
      <c r="H1767" s="7"/>
      <c r="I1767" s="6"/>
      <c r="J1767" s="7"/>
      <c r="K1767" s="96" t="str">
        <f>HYPERLINK("#'Healthcare'!BOY1","Q6.8.15_14")</f>
        <v>Q6.8.15_14</v>
      </c>
      <c r="L1767" s="93" t="str">
        <f>HYPERLINK("#'Healthcare'!BOY2","Primary indemnity medical plan out-of-network deductible per family: Prescription drugs (non-preventive)")</f>
        <v>Primary indemnity medical plan out-of-network deductible per family: Prescription drugs (non-preventive)</v>
      </c>
      <c r="M1767" s="6"/>
      <c r="N1767" s="7"/>
      <c r="O1767" s="6"/>
      <c r="P1767" s="7"/>
      <c r="Q1767" s="6"/>
      <c r="R1767" s="7"/>
      <c r="S1767" s="6"/>
      <c r="T1767" s="7"/>
      <c r="U1767" s="6"/>
      <c r="V1767" s="7"/>
      <c r="W1767" s="6"/>
      <c r="X1767" s="7"/>
    </row>
    <row r="1768" spans="1:24" ht="38.25" x14ac:dyDescent="0.2">
      <c r="A1768" s="6"/>
      <c r="B1768" s="7"/>
      <c r="C1768" s="6"/>
      <c r="D1768" s="7"/>
      <c r="E1768" s="6"/>
      <c r="F1768" s="7"/>
      <c r="G1768" s="6"/>
      <c r="H1768" s="7"/>
      <c r="I1768" s="6"/>
      <c r="J1768" s="7"/>
      <c r="K1768" s="96" t="str">
        <f>HYPERLINK("#'Healthcare'!BOZ1","Q6.8.15_15")</f>
        <v>Q6.8.15_15</v>
      </c>
      <c r="L1768" s="93" t="str">
        <f>HYPERLINK("#'Healthcare'!BOZ2","Primary indemnity medical plan out-of-network deductible per family: Therapies (speech, PT, OT)")</f>
        <v>Primary indemnity medical plan out-of-network deductible per family: Therapies (speech, PT, OT)</v>
      </c>
      <c r="M1768" s="6"/>
      <c r="N1768" s="7"/>
      <c r="O1768" s="6"/>
      <c r="P1768" s="7"/>
      <c r="Q1768" s="6"/>
      <c r="R1768" s="7"/>
      <c r="S1768" s="6"/>
      <c r="T1768" s="7"/>
      <c r="U1768" s="6"/>
      <c r="V1768" s="7"/>
      <c r="W1768" s="6"/>
      <c r="X1768" s="7"/>
    </row>
    <row r="1769" spans="1:24" ht="25.5" x14ac:dyDescent="0.2">
      <c r="A1769" s="6"/>
      <c r="B1769" s="7"/>
      <c r="C1769" s="6"/>
      <c r="D1769" s="7"/>
      <c r="E1769" s="6"/>
      <c r="F1769" s="7"/>
      <c r="G1769" s="6"/>
      <c r="H1769" s="7"/>
      <c r="I1769" s="6"/>
      <c r="J1769" s="7"/>
      <c r="K1769" s="96" t="str">
        <f>HYPERLINK("#'Healthcare'!BPA1","Q6.8.15_16")</f>
        <v>Q6.8.15_16</v>
      </c>
      <c r="L1769" s="93" t="str">
        <f>HYPERLINK("#'Healthcare'!BPA2","Primary indemnity medical plan out-of-network deductible per family: Other")</f>
        <v>Primary indemnity medical plan out-of-network deductible per family: Other</v>
      </c>
      <c r="M1769" s="6"/>
      <c r="N1769" s="7"/>
      <c r="O1769" s="6"/>
      <c r="P1769" s="7"/>
      <c r="Q1769" s="6"/>
      <c r="R1769" s="7"/>
      <c r="S1769" s="6"/>
      <c r="T1769" s="7"/>
      <c r="U1769" s="6"/>
      <c r="V1769" s="7"/>
      <c r="W1769" s="6"/>
      <c r="X1769" s="7"/>
    </row>
    <row r="1770" spans="1:24" ht="25.5" x14ac:dyDescent="0.2">
      <c r="A1770" s="6"/>
      <c r="B1770" s="7"/>
      <c r="C1770" s="6"/>
      <c r="D1770" s="7"/>
      <c r="E1770" s="6"/>
      <c r="F1770" s="7"/>
      <c r="G1770" s="6"/>
      <c r="H1770" s="7"/>
      <c r="I1770" s="6"/>
      <c r="J1770" s="7"/>
      <c r="K1770" s="96" t="str">
        <f>HYPERLINK("#'Healthcare'!BPB1","Q6.8.16")</f>
        <v>Q6.8.16</v>
      </c>
      <c r="L1770" s="93" t="str">
        <f>HYPERLINK("#'Healthcare'!BPB2","Primary indemnity medical plan: Annual plan limit")</f>
        <v>Primary indemnity medical plan: Annual plan limit</v>
      </c>
      <c r="M1770" s="6"/>
      <c r="N1770" s="7"/>
      <c r="O1770" s="6"/>
      <c r="P1770" s="7"/>
      <c r="Q1770" s="6"/>
      <c r="R1770" s="7"/>
      <c r="S1770" s="6"/>
      <c r="T1770" s="7"/>
      <c r="U1770" s="6"/>
      <c r="V1770" s="7"/>
      <c r="W1770" s="6"/>
      <c r="X1770" s="7"/>
    </row>
    <row r="1771" spans="1:24" ht="25.5" x14ac:dyDescent="0.2">
      <c r="A1771" s="6"/>
      <c r="B1771" s="7"/>
      <c r="C1771" s="6"/>
      <c r="D1771" s="7"/>
      <c r="E1771" s="6"/>
      <c r="F1771" s="7"/>
      <c r="G1771" s="6"/>
      <c r="H1771" s="7"/>
      <c r="I1771" s="6"/>
      <c r="J1771" s="7"/>
      <c r="K1771" s="96" t="str">
        <f>HYPERLINK("#'Healthcare'!BPC1","Q6.8.18")</f>
        <v>Q6.8.18</v>
      </c>
      <c r="L1771" s="93" t="str">
        <f>HYPERLINK("#'Healthcare'!BPC2","Primary indemnity medical plan: Covers emergency services for non-emergencies")</f>
        <v>Primary indemnity medical plan: Covers emergency services for non-emergencies</v>
      </c>
      <c r="M1771" s="6"/>
      <c r="N1771" s="7"/>
      <c r="O1771" s="6"/>
      <c r="P1771" s="7"/>
      <c r="Q1771" s="6"/>
      <c r="R1771" s="7"/>
      <c r="S1771" s="6"/>
      <c r="T1771" s="7"/>
      <c r="U1771" s="6"/>
      <c r="V1771" s="7"/>
      <c r="W1771" s="6"/>
      <c r="X1771" s="7"/>
    </row>
    <row r="1772" spans="1:24" ht="38.25" x14ac:dyDescent="0.2">
      <c r="A1772" s="6"/>
      <c r="B1772" s="7"/>
      <c r="C1772" s="6"/>
      <c r="D1772" s="7"/>
      <c r="E1772" s="6"/>
      <c r="F1772" s="7"/>
      <c r="G1772" s="6"/>
      <c r="H1772" s="7"/>
      <c r="I1772" s="6"/>
      <c r="J1772" s="7"/>
      <c r="K1772" s="96" t="str">
        <f>HYPERLINK("#'Healthcare'!BPD1","Q6.8.19")</f>
        <v>Q6.8.19</v>
      </c>
      <c r="L1772" s="93" t="str">
        <f>HYPERLINK("#'Healthcare'!BPD2","Primary indemnity medical plan: Covers emergency services for non-emergencies at reduced amount")</f>
        <v>Primary indemnity medical plan: Covers emergency services for non-emergencies at reduced amount</v>
      </c>
      <c r="M1772" s="6"/>
      <c r="N1772" s="7"/>
      <c r="O1772" s="6"/>
      <c r="P1772" s="7"/>
      <c r="Q1772" s="6"/>
      <c r="R1772" s="7"/>
      <c r="S1772" s="6"/>
      <c r="T1772" s="7"/>
      <c r="U1772" s="6"/>
      <c r="V1772" s="7"/>
      <c r="W1772" s="6"/>
      <c r="X1772" s="7"/>
    </row>
    <row r="1773" spans="1:24" ht="38.25" x14ac:dyDescent="0.2">
      <c r="A1773" s="6"/>
      <c r="B1773" s="7"/>
      <c r="C1773" s="6"/>
      <c r="D1773" s="7"/>
      <c r="E1773" s="6"/>
      <c r="F1773" s="7"/>
      <c r="G1773" s="6"/>
      <c r="H1773" s="7"/>
      <c r="I1773" s="6"/>
      <c r="J1773" s="7"/>
      <c r="K1773" s="96" t="str">
        <f>HYPERLINK("#'Healthcare'!BPE1","Q6.8.20")</f>
        <v>Q6.8.20</v>
      </c>
      <c r="L1773" s="93" t="str">
        <f>HYPERLINK("#'Healthcare'!BPE2","Primary indemnity medical plan: Covers mental health and substance abuse emergencies differently")</f>
        <v>Primary indemnity medical plan: Covers mental health and substance abuse emergencies differently</v>
      </c>
      <c r="M1773" s="6"/>
      <c r="N1773" s="7"/>
      <c r="O1773" s="6"/>
      <c r="P1773" s="7"/>
      <c r="Q1773" s="6"/>
      <c r="R1773" s="7"/>
      <c r="S1773" s="6"/>
      <c r="T1773" s="7"/>
      <c r="U1773" s="6"/>
      <c r="V1773" s="7"/>
      <c r="W1773" s="6"/>
      <c r="X1773" s="7"/>
    </row>
    <row r="1774" spans="1:24" ht="38.25" x14ac:dyDescent="0.2">
      <c r="A1774" s="6"/>
      <c r="B1774" s="7"/>
      <c r="C1774" s="6"/>
      <c r="D1774" s="7"/>
      <c r="E1774" s="6"/>
      <c r="F1774" s="7"/>
      <c r="G1774" s="6"/>
      <c r="H1774" s="7"/>
      <c r="I1774" s="6"/>
      <c r="J1774" s="7"/>
      <c r="K1774" s="96" t="str">
        <f>HYPERLINK("#'Healthcare'!BPF1","Q6.8.21")</f>
        <v>Q6.8.21</v>
      </c>
      <c r="L1774" s="93" t="str">
        <f>HYPERLINK("#'Healthcare'!BPF2","Primary indemnity medical plan: Coverage for mental health and substance abuse emergencies")</f>
        <v>Primary indemnity medical plan: Coverage for mental health and substance abuse emergencies</v>
      </c>
      <c r="M1774" s="6"/>
      <c r="N1774" s="7"/>
      <c r="O1774" s="6"/>
      <c r="P1774" s="7"/>
      <c r="Q1774" s="6"/>
      <c r="R1774" s="7"/>
      <c r="S1774" s="6"/>
      <c r="T1774" s="7"/>
      <c r="U1774" s="6"/>
      <c r="V1774" s="7"/>
      <c r="W1774" s="6"/>
      <c r="X1774" s="7"/>
    </row>
    <row r="1775" spans="1:24" ht="25.5" x14ac:dyDescent="0.2">
      <c r="A1775" s="6"/>
      <c r="B1775" s="7"/>
      <c r="C1775" s="6"/>
      <c r="D1775" s="7"/>
      <c r="E1775" s="6"/>
      <c r="F1775" s="7"/>
      <c r="G1775" s="6"/>
      <c r="H1775" s="7"/>
      <c r="I1775" s="6"/>
      <c r="J1775" s="7"/>
      <c r="K1775" s="96" t="str">
        <f>HYPERLINK("#'Healthcare'!BPG1","Q6.8.22")</f>
        <v>Q6.8.22</v>
      </c>
      <c r="L1775" s="93" t="str">
        <f>HYPERLINK("#'Healthcare'!BPG2","Primary indemnity medical plan non-acute care services in-network coverage")</f>
        <v>Primary indemnity medical plan non-acute care services in-network coverage</v>
      </c>
      <c r="M1775" s="6"/>
      <c r="N1775" s="7"/>
      <c r="O1775" s="6"/>
      <c r="P1775" s="7"/>
      <c r="Q1775" s="6"/>
      <c r="R1775" s="7"/>
      <c r="S1775" s="6"/>
      <c r="T1775" s="7"/>
      <c r="U1775" s="6"/>
      <c r="V1775" s="7"/>
      <c r="W1775" s="6"/>
      <c r="X1775" s="7"/>
    </row>
    <row r="1776" spans="1:24" ht="25.5" x14ac:dyDescent="0.2">
      <c r="A1776" s="6"/>
      <c r="B1776" s="7"/>
      <c r="C1776" s="6"/>
      <c r="D1776" s="7"/>
      <c r="E1776" s="6"/>
      <c r="F1776" s="7"/>
      <c r="G1776" s="6"/>
      <c r="H1776" s="7"/>
      <c r="I1776" s="6"/>
      <c r="J1776" s="7"/>
      <c r="K1776" s="96" t="str">
        <f>HYPERLINK("#'Healthcare'!BPH1","Q6.8.23")</f>
        <v>Q6.8.23</v>
      </c>
      <c r="L1776" s="93" t="str">
        <f>HYPERLINK("#'Healthcare'!BPH2","Primary indemnity medical plan non-acute care services out-of-network coverage")</f>
        <v>Primary indemnity medical plan non-acute care services out-of-network coverage</v>
      </c>
      <c r="M1776" s="6"/>
      <c r="N1776" s="7"/>
      <c r="O1776" s="6"/>
      <c r="P1776" s="7"/>
      <c r="Q1776" s="6"/>
      <c r="R1776" s="7"/>
      <c r="S1776" s="6"/>
      <c r="T1776" s="7"/>
      <c r="U1776" s="6"/>
      <c r="V1776" s="7"/>
      <c r="W1776" s="6"/>
      <c r="X1776" s="7"/>
    </row>
    <row r="1777" spans="1:24" ht="25.5" x14ac:dyDescent="0.2">
      <c r="A1777" s="6"/>
      <c r="B1777" s="7"/>
      <c r="C1777" s="6"/>
      <c r="D1777" s="7"/>
      <c r="E1777" s="6"/>
      <c r="F1777" s="7"/>
      <c r="G1777" s="6"/>
      <c r="H1777" s="7"/>
      <c r="I1777" s="6"/>
      <c r="J1777" s="7"/>
      <c r="K1777" s="96" t="str">
        <f>HYPERLINK("#'Healthcare'!BPI1","Q6.8.24_1")</f>
        <v>Q6.8.24_1</v>
      </c>
      <c r="L1777" s="93" t="str">
        <f>HYPERLINK("#'Healthcare'!BPI2","Primary indemnity medical plan in-network copayment: General/Primary care office visit")</f>
        <v>Primary indemnity medical plan in-network copayment: General/Primary care office visit</v>
      </c>
      <c r="M1777" s="6"/>
      <c r="N1777" s="7"/>
      <c r="O1777" s="6"/>
      <c r="P1777" s="7"/>
      <c r="Q1777" s="6"/>
      <c r="R1777" s="7"/>
      <c r="S1777" s="6"/>
      <c r="T1777" s="7"/>
      <c r="U1777" s="6"/>
      <c r="V1777" s="7"/>
      <c r="W1777" s="6"/>
      <c r="X1777" s="7"/>
    </row>
    <row r="1778" spans="1:24" ht="25.5" x14ac:dyDescent="0.2">
      <c r="A1778" s="6"/>
      <c r="B1778" s="7"/>
      <c r="C1778" s="6"/>
      <c r="D1778" s="7"/>
      <c r="E1778" s="6"/>
      <c r="F1778" s="7"/>
      <c r="G1778" s="6"/>
      <c r="H1778" s="7"/>
      <c r="I1778" s="6"/>
      <c r="J1778" s="7"/>
      <c r="K1778" s="96" t="str">
        <f>HYPERLINK("#'Healthcare'!BPJ1","Q6.8.24_2")</f>
        <v>Q6.8.24_2</v>
      </c>
      <c r="L1778" s="93" t="str">
        <f>HYPERLINK("#'Healthcare'!BPJ2","Primary indemnity medical plan in-network copayment: Specialist office visit")</f>
        <v>Primary indemnity medical plan in-network copayment: Specialist office visit</v>
      </c>
      <c r="M1778" s="6"/>
      <c r="N1778" s="7"/>
      <c r="O1778" s="6"/>
      <c r="P1778" s="7"/>
      <c r="Q1778" s="6"/>
      <c r="R1778" s="7"/>
      <c r="S1778" s="6"/>
      <c r="T1778" s="7"/>
      <c r="U1778" s="6"/>
      <c r="V1778" s="7"/>
      <c r="W1778" s="6"/>
      <c r="X1778" s="7"/>
    </row>
    <row r="1779" spans="1:24" ht="38.25" x14ac:dyDescent="0.2">
      <c r="A1779" s="6"/>
      <c r="B1779" s="7"/>
      <c r="C1779" s="6"/>
      <c r="D1779" s="7"/>
      <c r="E1779" s="6"/>
      <c r="F1779" s="7"/>
      <c r="G1779" s="6"/>
      <c r="H1779" s="7"/>
      <c r="I1779" s="6"/>
      <c r="J1779" s="7"/>
      <c r="K1779" s="96" t="str">
        <f>HYPERLINK("#'Healthcare'!BPK1","Q6.8.24_3")</f>
        <v>Q6.8.24_3</v>
      </c>
      <c r="L1779" s="93" t="str">
        <f>HYPERLINK("#'Healthcare'!BPK2","Primary indemnity medical plan in-network copayment: Autism/applied behavioral analysis (ABA)")</f>
        <v>Primary indemnity medical plan in-network copayment: Autism/applied behavioral analysis (ABA)</v>
      </c>
      <c r="M1779" s="6"/>
      <c r="N1779" s="7"/>
      <c r="O1779" s="6"/>
      <c r="P1779" s="7"/>
      <c r="Q1779" s="6"/>
      <c r="R1779" s="7"/>
      <c r="S1779" s="6"/>
      <c r="T1779" s="7"/>
      <c r="U1779" s="6"/>
      <c r="V1779" s="7"/>
      <c r="W1779" s="6"/>
      <c r="X1779" s="7"/>
    </row>
    <row r="1780" spans="1:24" ht="25.5" x14ac:dyDescent="0.2">
      <c r="A1780" s="6"/>
      <c r="B1780" s="7"/>
      <c r="C1780" s="6"/>
      <c r="D1780" s="7"/>
      <c r="E1780" s="6"/>
      <c r="F1780" s="7"/>
      <c r="G1780" s="6"/>
      <c r="H1780" s="7"/>
      <c r="I1780" s="6"/>
      <c r="J1780" s="7"/>
      <c r="K1780" s="96" t="str">
        <f>HYPERLINK("#'Healthcare'!BPL1","Q6.8.24_4")</f>
        <v>Q6.8.24_4</v>
      </c>
      <c r="L1780" s="93" t="str">
        <f>HYPERLINK("#'Healthcare'!BPL2","Primary indemnity medical plan in-network copayment: Emergency room")</f>
        <v>Primary indemnity medical plan in-network copayment: Emergency room</v>
      </c>
      <c r="M1780" s="6"/>
      <c r="N1780" s="7"/>
      <c r="O1780" s="6"/>
      <c r="P1780" s="7"/>
      <c r="Q1780" s="6"/>
      <c r="R1780" s="7"/>
      <c r="S1780" s="6"/>
      <c r="T1780" s="7"/>
      <c r="U1780" s="6"/>
      <c r="V1780" s="7"/>
      <c r="W1780" s="6"/>
      <c r="X1780" s="7"/>
    </row>
    <row r="1781" spans="1:24" ht="25.5" x14ac:dyDescent="0.2">
      <c r="A1781" s="6"/>
      <c r="B1781" s="7"/>
      <c r="C1781" s="6"/>
      <c r="D1781" s="7"/>
      <c r="E1781" s="6"/>
      <c r="F1781" s="7"/>
      <c r="G1781" s="6"/>
      <c r="H1781" s="7"/>
      <c r="I1781" s="6"/>
      <c r="J1781" s="7"/>
      <c r="K1781" s="96" t="str">
        <f>HYPERLINK("#'Healthcare'!BPM1","Q6.8.24_5")</f>
        <v>Q6.8.24_5</v>
      </c>
      <c r="L1781" s="93" t="str">
        <f>HYPERLINK("#'Healthcare'!BPM2","Primary indemnity medical plan in-network copayment: Urgent office visit")</f>
        <v>Primary indemnity medical plan in-network copayment: Urgent office visit</v>
      </c>
      <c r="M1781" s="6"/>
      <c r="N1781" s="7"/>
      <c r="O1781" s="6"/>
      <c r="P1781" s="7"/>
      <c r="Q1781" s="6"/>
      <c r="R1781" s="7"/>
      <c r="S1781" s="6"/>
      <c r="T1781" s="7"/>
      <c r="U1781" s="6"/>
      <c r="V1781" s="7"/>
      <c r="W1781" s="6"/>
      <c r="X1781" s="7"/>
    </row>
    <row r="1782" spans="1:24" ht="25.5" x14ac:dyDescent="0.2">
      <c r="A1782" s="6"/>
      <c r="B1782" s="7"/>
      <c r="C1782" s="6"/>
      <c r="D1782" s="7"/>
      <c r="E1782" s="6"/>
      <c r="F1782" s="7"/>
      <c r="G1782" s="6"/>
      <c r="H1782" s="7"/>
      <c r="I1782" s="6"/>
      <c r="J1782" s="7"/>
      <c r="K1782" s="96" t="str">
        <f>HYPERLINK("#'Healthcare'!BPN1","Q6.8.24_7")</f>
        <v>Q6.8.24_7</v>
      </c>
      <c r="L1782" s="93" t="str">
        <f>HYPERLINK("#'Healthcare'!BPN2","Primary indemnity medical plan in-network copayment: Telehealth")</f>
        <v>Primary indemnity medical plan in-network copayment: Telehealth</v>
      </c>
      <c r="M1782" s="6"/>
      <c r="N1782" s="7"/>
      <c r="O1782" s="6"/>
      <c r="P1782" s="7"/>
      <c r="Q1782" s="6"/>
      <c r="R1782" s="7"/>
      <c r="S1782" s="6"/>
      <c r="T1782" s="7"/>
      <c r="U1782" s="6"/>
      <c r="V1782" s="7"/>
      <c r="W1782" s="6"/>
      <c r="X1782" s="7"/>
    </row>
    <row r="1783" spans="1:24" ht="25.5" x14ac:dyDescent="0.2">
      <c r="A1783" s="6"/>
      <c r="B1783" s="7"/>
      <c r="C1783" s="6"/>
      <c r="D1783" s="7"/>
      <c r="E1783" s="6"/>
      <c r="F1783" s="7"/>
      <c r="G1783" s="6"/>
      <c r="H1783" s="7"/>
      <c r="I1783" s="6"/>
      <c r="J1783" s="7"/>
      <c r="K1783" s="96" t="str">
        <f>HYPERLINK("#'Healthcare'!BPO1","Q6.8.24_6")</f>
        <v>Q6.8.24_6</v>
      </c>
      <c r="L1783" s="93" t="str">
        <f>HYPERLINK("#'Healthcare'!BPO2","Primary indemnity medical plan in-network copayment: Other")</f>
        <v>Primary indemnity medical plan in-network copayment: Other</v>
      </c>
      <c r="M1783" s="6"/>
      <c r="N1783" s="7"/>
      <c r="O1783" s="6"/>
      <c r="P1783" s="7"/>
      <c r="Q1783" s="6"/>
      <c r="R1783" s="7"/>
      <c r="S1783" s="6"/>
      <c r="T1783" s="7"/>
      <c r="U1783" s="6"/>
      <c r="V1783" s="7"/>
      <c r="W1783" s="6"/>
      <c r="X1783" s="7"/>
    </row>
    <row r="1784" spans="1:24" ht="25.5" x14ac:dyDescent="0.2">
      <c r="A1784" s="6"/>
      <c r="B1784" s="7"/>
      <c r="C1784" s="6"/>
      <c r="D1784" s="7"/>
      <c r="E1784" s="6"/>
      <c r="F1784" s="7"/>
      <c r="G1784" s="6"/>
      <c r="H1784" s="7"/>
      <c r="I1784" s="6"/>
      <c r="J1784" s="7"/>
      <c r="K1784" s="96" t="str">
        <f>HYPERLINK("#'Healthcare'!BPP1","Q6.8.25_1")</f>
        <v>Q6.8.25_1</v>
      </c>
      <c r="L1784" s="93" t="str">
        <f>HYPERLINK("#'Healthcare'!BPP2","Primary indemnity medical plan in-network coinsurance: General/Primary care office visit")</f>
        <v>Primary indemnity medical plan in-network coinsurance: General/Primary care office visit</v>
      </c>
      <c r="M1784" s="6"/>
      <c r="N1784" s="7"/>
      <c r="O1784" s="6"/>
      <c r="P1784" s="7"/>
      <c r="Q1784" s="6"/>
      <c r="R1784" s="7"/>
      <c r="S1784" s="6"/>
      <c r="T1784" s="7"/>
      <c r="U1784" s="6"/>
      <c r="V1784" s="7"/>
      <c r="W1784" s="6"/>
      <c r="X1784" s="7"/>
    </row>
    <row r="1785" spans="1:24" ht="25.5" x14ac:dyDescent="0.2">
      <c r="A1785" s="6"/>
      <c r="B1785" s="7"/>
      <c r="C1785" s="6"/>
      <c r="D1785" s="7"/>
      <c r="E1785" s="6"/>
      <c r="F1785" s="7"/>
      <c r="G1785" s="6"/>
      <c r="H1785" s="7"/>
      <c r="I1785" s="6"/>
      <c r="J1785" s="7"/>
      <c r="K1785" s="96" t="str">
        <f>HYPERLINK("#'Healthcare'!BPQ1","Q6.8.25_2")</f>
        <v>Q6.8.25_2</v>
      </c>
      <c r="L1785" s="93" t="str">
        <f>HYPERLINK("#'Healthcare'!BPQ2","Primary indemnity medical plan in-network coinsurance: Specialist office visit")</f>
        <v>Primary indemnity medical plan in-network coinsurance: Specialist office visit</v>
      </c>
      <c r="M1785" s="6"/>
      <c r="N1785" s="7"/>
      <c r="O1785" s="6"/>
      <c r="P1785" s="7"/>
      <c r="Q1785" s="6"/>
      <c r="R1785" s="7"/>
      <c r="S1785" s="6"/>
      <c r="T1785" s="7"/>
      <c r="U1785" s="6"/>
      <c r="V1785" s="7"/>
      <c r="W1785" s="6"/>
      <c r="X1785" s="7"/>
    </row>
    <row r="1786" spans="1:24" ht="38.25" x14ac:dyDescent="0.2">
      <c r="A1786" s="6"/>
      <c r="B1786" s="7"/>
      <c r="C1786" s="6"/>
      <c r="D1786" s="7"/>
      <c r="E1786" s="6"/>
      <c r="F1786" s="7"/>
      <c r="G1786" s="6"/>
      <c r="H1786" s="7"/>
      <c r="I1786" s="6"/>
      <c r="J1786" s="7"/>
      <c r="K1786" s="96" t="str">
        <f>HYPERLINK("#'Healthcare'!BPR1","Q6.8.25_3")</f>
        <v>Q6.8.25_3</v>
      </c>
      <c r="L1786" s="93" t="str">
        <f>HYPERLINK("#'Healthcare'!BPR2","Primary indemnity medical plan in-network coinsurance: Autism/applied behavioral analysis (ABA)")</f>
        <v>Primary indemnity medical plan in-network coinsurance: Autism/applied behavioral analysis (ABA)</v>
      </c>
      <c r="M1786" s="6"/>
      <c r="N1786" s="7"/>
      <c r="O1786" s="6"/>
      <c r="P1786" s="7"/>
      <c r="Q1786" s="6"/>
      <c r="R1786" s="7"/>
      <c r="S1786" s="6"/>
      <c r="T1786" s="7"/>
      <c r="U1786" s="6"/>
      <c r="V1786" s="7"/>
      <c r="W1786" s="6"/>
      <c r="X1786" s="7"/>
    </row>
    <row r="1787" spans="1:24" ht="25.5" x14ac:dyDescent="0.2">
      <c r="A1787" s="6"/>
      <c r="B1787" s="7"/>
      <c r="C1787" s="6"/>
      <c r="D1787" s="7"/>
      <c r="E1787" s="6"/>
      <c r="F1787" s="7"/>
      <c r="G1787" s="6"/>
      <c r="H1787" s="7"/>
      <c r="I1787" s="6"/>
      <c r="J1787" s="7"/>
      <c r="K1787" s="96" t="str">
        <f>HYPERLINK("#'Healthcare'!BPS1","Q6.8.25_4")</f>
        <v>Q6.8.25_4</v>
      </c>
      <c r="L1787" s="93" t="str">
        <f>HYPERLINK("#'Healthcare'!BPS2","Primary indemnity medical plan in-network coinsurance: Emergency room")</f>
        <v>Primary indemnity medical plan in-network coinsurance: Emergency room</v>
      </c>
      <c r="M1787" s="6"/>
      <c r="N1787" s="7"/>
      <c r="O1787" s="6"/>
      <c r="P1787" s="7"/>
      <c r="Q1787" s="6"/>
      <c r="R1787" s="7"/>
      <c r="S1787" s="6"/>
      <c r="T1787" s="7"/>
      <c r="U1787" s="6"/>
      <c r="V1787" s="7"/>
      <c r="W1787" s="6"/>
      <c r="X1787" s="7"/>
    </row>
    <row r="1788" spans="1:24" ht="25.5" x14ac:dyDescent="0.2">
      <c r="A1788" s="6"/>
      <c r="B1788" s="7"/>
      <c r="C1788" s="6"/>
      <c r="D1788" s="7"/>
      <c r="E1788" s="6"/>
      <c r="F1788" s="7"/>
      <c r="G1788" s="6"/>
      <c r="H1788" s="7"/>
      <c r="I1788" s="6"/>
      <c r="J1788" s="7"/>
      <c r="K1788" s="96" t="str">
        <f>HYPERLINK("#'Healthcare'!BPT1","Q6.8.25_5")</f>
        <v>Q6.8.25_5</v>
      </c>
      <c r="L1788" s="93" t="str">
        <f>HYPERLINK("#'Healthcare'!BPT2","Primary indemnity medical plan in-network coinsurance: Urgent office visit")</f>
        <v>Primary indemnity medical plan in-network coinsurance: Urgent office visit</v>
      </c>
      <c r="M1788" s="6"/>
      <c r="N1788" s="7"/>
      <c r="O1788" s="6"/>
      <c r="P1788" s="7"/>
      <c r="Q1788" s="6"/>
      <c r="R1788" s="7"/>
      <c r="S1788" s="6"/>
      <c r="T1788" s="7"/>
      <c r="U1788" s="6"/>
      <c r="V1788" s="7"/>
      <c r="W1788" s="6"/>
      <c r="X1788" s="7"/>
    </row>
    <row r="1789" spans="1:24" ht="25.5" x14ac:dyDescent="0.2">
      <c r="A1789" s="6"/>
      <c r="B1789" s="7"/>
      <c r="C1789" s="6"/>
      <c r="D1789" s="7"/>
      <c r="E1789" s="6"/>
      <c r="F1789" s="7"/>
      <c r="G1789" s="6"/>
      <c r="H1789" s="7"/>
      <c r="I1789" s="6"/>
      <c r="J1789" s="7"/>
      <c r="K1789" s="96" t="str">
        <f>HYPERLINK("#'Healthcare'!BPU1","Q6.8.25_7")</f>
        <v>Q6.8.25_7</v>
      </c>
      <c r="L1789" s="93" t="str">
        <f>HYPERLINK("#'Healthcare'!BPU2","Primary indemnity medical plan in-network coinsurance: Telehealth")</f>
        <v>Primary indemnity medical plan in-network coinsurance: Telehealth</v>
      </c>
      <c r="M1789" s="6"/>
      <c r="N1789" s="7"/>
      <c r="O1789" s="6"/>
      <c r="P1789" s="7"/>
      <c r="Q1789" s="6"/>
      <c r="R1789" s="7"/>
      <c r="S1789" s="6"/>
      <c r="T1789" s="7"/>
      <c r="U1789" s="6"/>
      <c r="V1789" s="7"/>
      <c r="W1789" s="6"/>
      <c r="X1789" s="7"/>
    </row>
    <row r="1790" spans="1:24" ht="25.5" x14ac:dyDescent="0.2">
      <c r="A1790" s="6"/>
      <c r="B1790" s="7"/>
      <c r="C1790" s="6"/>
      <c r="D1790" s="7"/>
      <c r="E1790" s="6"/>
      <c r="F1790" s="7"/>
      <c r="G1790" s="6"/>
      <c r="H1790" s="7"/>
      <c r="I1790" s="6"/>
      <c r="J1790" s="7"/>
      <c r="K1790" s="96" t="str">
        <f>HYPERLINK("#'Healthcare'!BPV1","Q6.8.25_6")</f>
        <v>Q6.8.25_6</v>
      </c>
      <c r="L1790" s="93" t="str">
        <f>HYPERLINK("#'Healthcare'!BPV2","Primary indemnity medical plan in-network coinsurance: Other")</f>
        <v>Primary indemnity medical plan in-network coinsurance: Other</v>
      </c>
      <c r="M1790" s="6"/>
      <c r="N1790" s="7"/>
      <c r="O1790" s="6"/>
      <c r="P1790" s="7"/>
      <c r="Q1790" s="6"/>
      <c r="R1790" s="7"/>
      <c r="S1790" s="6"/>
      <c r="T1790" s="7"/>
      <c r="U1790" s="6"/>
      <c r="V1790" s="7"/>
      <c r="W1790" s="6"/>
      <c r="X1790" s="7"/>
    </row>
    <row r="1791" spans="1:24" ht="25.5" x14ac:dyDescent="0.2">
      <c r="A1791" s="6"/>
      <c r="B1791" s="7"/>
      <c r="C1791" s="6"/>
      <c r="D1791" s="7"/>
      <c r="E1791" s="6"/>
      <c r="F1791" s="7"/>
      <c r="G1791" s="6"/>
      <c r="H1791" s="7"/>
      <c r="I1791" s="6"/>
      <c r="J1791" s="7"/>
      <c r="K1791" s="96" t="str">
        <f>HYPERLINK("#'Healthcare'!BPW1","Q6.8.26_1")</f>
        <v>Q6.8.26_1</v>
      </c>
      <c r="L1791" s="93" t="str">
        <f>HYPERLINK("#'Healthcare'!BPW2","Primary indemnity medical plan out-of-network copayment: General/Primary care office visit")</f>
        <v>Primary indemnity medical plan out-of-network copayment: General/Primary care office visit</v>
      </c>
      <c r="M1791" s="6"/>
      <c r="N1791" s="7"/>
      <c r="O1791" s="6"/>
      <c r="P1791" s="7"/>
      <c r="Q1791" s="6"/>
      <c r="R1791" s="7"/>
      <c r="S1791" s="6"/>
      <c r="T1791" s="7"/>
      <c r="U1791" s="6"/>
      <c r="V1791" s="7"/>
      <c r="W1791" s="6"/>
      <c r="X1791" s="7"/>
    </row>
    <row r="1792" spans="1:24" ht="25.5" x14ac:dyDescent="0.2">
      <c r="A1792" s="6"/>
      <c r="B1792" s="7"/>
      <c r="C1792" s="6"/>
      <c r="D1792" s="7"/>
      <c r="E1792" s="6"/>
      <c r="F1792" s="7"/>
      <c r="G1792" s="6"/>
      <c r="H1792" s="7"/>
      <c r="I1792" s="6"/>
      <c r="J1792" s="7"/>
      <c r="K1792" s="96" t="str">
        <f>HYPERLINK("#'Healthcare'!BPX1","Q6.8.26_2")</f>
        <v>Q6.8.26_2</v>
      </c>
      <c r="L1792" s="93" t="str">
        <f>HYPERLINK("#'Healthcare'!BPX2","Primary indemnity medical plan out-of-network copayment: Specialist office visit")</f>
        <v>Primary indemnity medical plan out-of-network copayment: Specialist office visit</v>
      </c>
      <c r="M1792" s="6"/>
      <c r="N1792" s="7"/>
      <c r="O1792" s="6"/>
      <c r="P1792" s="7"/>
      <c r="Q1792" s="6"/>
      <c r="R1792" s="7"/>
      <c r="S1792" s="6"/>
      <c r="T1792" s="7"/>
      <c r="U1792" s="6"/>
      <c r="V1792" s="7"/>
      <c r="W1792" s="6"/>
      <c r="X1792" s="7"/>
    </row>
    <row r="1793" spans="1:24" ht="38.25" x14ac:dyDescent="0.2">
      <c r="A1793" s="6"/>
      <c r="B1793" s="7"/>
      <c r="C1793" s="6"/>
      <c r="D1793" s="7"/>
      <c r="E1793" s="6"/>
      <c r="F1793" s="7"/>
      <c r="G1793" s="6"/>
      <c r="H1793" s="7"/>
      <c r="I1793" s="6"/>
      <c r="J1793" s="7"/>
      <c r="K1793" s="96" t="str">
        <f>HYPERLINK("#'Healthcare'!BPY1","Q6.8.26_3")</f>
        <v>Q6.8.26_3</v>
      </c>
      <c r="L1793" s="93" t="str">
        <f>HYPERLINK("#'Healthcare'!BPY2","Primary indemnity medical plan out-of-network copayment: Autism/applied behavioral analysis (ABA)")</f>
        <v>Primary indemnity medical plan out-of-network copayment: Autism/applied behavioral analysis (ABA)</v>
      </c>
      <c r="M1793" s="6"/>
      <c r="N1793" s="7"/>
      <c r="O1793" s="6"/>
      <c r="P1793" s="7"/>
      <c r="Q1793" s="6"/>
      <c r="R1793" s="7"/>
      <c r="S1793" s="6"/>
      <c r="T1793" s="7"/>
      <c r="U1793" s="6"/>
      <c r="V1793" s="7"/>
      <c r="W1793" s="6"/>
      <c r="X1793" s="7"/>
    </row>
    <row r="1794" spans="1:24" ht="25.5" x14ac:dyDescent="0.2">
      <c r="A1794" s="6"/>
      <c r="B1794" s="7"/>
      <c r="C1794" s="6"/>
      <c r="D1794" s="7"/>
      <c r="E1794" s="6"/>
      <c r="F1794" s="7"/>
      <c r="G1794" s="6"/>
      <c r="H1794" s="7"/>
      <c r="I1794" s="6"/>
      <c r="J1794" s="7"/>
      <c r="K1794" s="96" t="str">
        <f>HYPERLINK("#'Healthcare'!BPZ1","Q6.8.26_4")</f>
        <v>Q6.8.26_4</v>
      </c>
      <c r="L1794" s="93" t="str">
        <f>HYPERLINK("#'Healthcare'!BPZ2","Primary indemnity medical plan out-of-network copayment: Emergency room")</f>
        <v>Primary indemnity medical plan out-of-network copayment: Emergency room</v>
      </c>
      <c r="M1794" s="6"/>
      <c r="N1794" s="7"/>
      <c r="O1794" s="6"/>
      <c r="P1794" s="7"/>
      <c r="Q1794" s="6"/>
      <c r="R1794" s="7"/>
      <c r="S1794" s="6"/>
      <c r="T1794" s="7"/>
      <c r="U1794" s="6"/>
      <c r="V1794" s="7"/>
      <c r="W1794" s="6"/>
      <c r="X1794" s="7"/>
    </row>
    <row r="1795" spans="1:24" ht="25.5" x14ac:dyDescent="0.2">
      <c r="A1795" s="6"/>
      <c r="B1795" s="7"/>
      <c r="C1795" s="6"/>
      <c r="D1795" s="7"/>
      <c r="E1795" s="6"/>
      <c r="F1795" s="7"/>
      <c r="G1795" s="6"/>
      <c r="H1795" s="7"/>
      <c r="I1795" s="6"/>
      <c r="J1795" s="7"/>
      <c r="K1795" s="96" t="str">
        <f>HYPERLINK("#'Healthcare'!BQA1","Q6.8.26_5")</f>
        <v>Q6.8.26_5</v>
      </c>
      <c r="L1795" s="93" t="str">
        <f>HYPERLINK("#'Healthcare'!BQA2","Primary indemnity medical plan out-of-network copayment: Urgent office visit")</f>
        <v>Primary indemnity medical plan out-of-network copayment: Urgent office visit</v>
      </c>
      <c r="M1795" s="6"/>
      <c r="N1795" s="7"/>
      <c r="O1795" s="6"/>
      <c r="P1795" s="7"/>
      <c r="Q1795" s="6"/>
      <c r="R1795" s="7"/>
      <c r="S1795" s="6"/>
      <c r="T1795" s="7"/>
      <c r="U1795" s="6"/>
      <c r="V1795" s="7"/>
      <c r="W1795" s="6"/>
      <c r="X1795" s="7"/>
    </row>
    <row r="1796" spans="1:24" ht="25.5" x14ac:dyDescent="0.2">
      <c r="A1796" s="6"/>
      <c r="B1796" s="7"/>
      <c r="C1796" s="6"/>
      <c r="D1796" s="7"/>
      <c r="E1796" s="6"/>
      <c r="F1796" s="7"/>
      <c r="G1796" s="6"/>
      <c r="H1796" s="7"/>
      <c r="I1796" s="6"/>
      <c r="J1796" s="7"/>
      <c r="K1796" s="96" t="str">
        <f>HYPERLINK("#'Healthcare'!BQB1","Q6.8.26_7")</f>
        <v>Q6.8.26_7</v>
      </c>
      <c r="L1796" s="93" t="str">
        <f>HYPERLINK("#'Healthcare'!BQB2","Primary indemnity medical plan out-of-network copayment: Telehealth")</f>
        <v>Primary indemnity medical plan out-of-network copayment: Telehealth</v>
      </c>
      <c r="M1796" s="6"/>
      <c r="N1796" s="7"/>
      <c r="O1796" s="6"/>
      <c r="P1796" s="7"/>
      <c r="Q1796" s="6"/>
      <c r="R1796" s="7"/>
      <c r="S1796" s="6"/>
      <c r="T1796" s="7"/>
      <c r="U1796" s="6"/>
      <c r="V1796" s="7"/>
      <c r="W1796" s="6"/>
      <c r="X1796" s="7"/>
    </row>
    <row r="1797" spans="1:24" ht="25.5" x14ac:dyDescent="0.2">
      <c r="A1797" s="6"/>
      <c r="B1797" s="7"/>
      <c r="C1797" s="6"/>
      <c r="D1797" s="7"/>
      <c r="E1797" s="6"/>
      <c r="F1797" s="7"/>
      <c r="G1797" s="6"/>
      <c r="H1797" s="7"/>
      <c r="I1797" s="6"/>
      <c r="J1797" s="7"/>
      <c r="K1797" s="96" t="str">
        <f>HYPERLINK("#'Healthcare'!BQC1","Q6.8.26_6")</f>
        <v>Q6.8.26_6</v>
      </c>
      <c r="L1797" s="93" t="str">
        <f>HYPERLINK("#'Healthcare'!BQC2","Primary indemnity medical plan out-of-network copayment: Other")</f>
        <v>Primary indemnity medical plan out-of-network copayment: Other</v>
      </c>
      <c r="M1797" s="6"/>
      <c r="N1797" s="7"/>
      <c r="O1797" s="6"/>
      <c r="P1797" s="7"/>
      <c r="Q1797" s="6"/>
      <c r="R1797" s="7"/>
      <c r="S1797" s="6"/>
      <c r="T1797" s="7"/>
      <c r="U1797" s="6"/>
      <c r="V1797" s="7"/>
      <c r="W1797" s="6"/>
      <c r="X1797" s="7"/>
    </row>
    <row r="1798" spans="1:24" ht="25.5" x14ac:dyDescent="0.2">
      <c r="A1798" s="6"/>
      <c r="B1798" s="7"/>
      <c r="C1798" s="6"/>
      <c r="D1798" s="7"/>
      <c r="E1798" s="6"/>
      <c r="F1798" s="7"/>
      <c r="G1798" s="6"/>
      <c r="H1798" s="7"/>
      <c r="I1798" s="6"/>
      <c r="J1798" s="7"/>
      <c r="K1798" s="96" t="str">
        <f>HYPERLINK("#'Healthcare'!BQD1","Q6.8.27_1")</f>
        <v>Q6.8.27_1</v>
      </c>
      <c r="L1798" s="93" t="str">
        <f>HYPERLINK("#'Healthcare'!BQD2","Primary indemnity medical plan out-of-network coinsurance: General/Primary care office visit")</f>
        <v>Primary indemnity medical plan out-of-network coinsurance: General/Primary care office visit</v>
      </c>
      <c r="M1798" s="6"/>
      <c r="N1798" s="7"/>
      <c r="O1798" s="6"/>
      <c r="P1798" s="7"/>
      <c r="Q1798" s="6"/>
      <c r="R1798" s="7"/>
      <c r="S1798" s="6"/>
      <c r="T1798" s="7"/>
      <c r="U1798" s="6"/>
      <c r="V1798" s="7"/>
      <c r="W1798" s="6"/>
      <c r="X1798" s="7"/>
    </row>
    <row r="1799" spans="1:24" ht="25.5" x14ac:dyDescent="0.2">
      <c r="A1799" s="6"/>
      <c r="B1799" s="7"/>
      <c r="C1799" s="6"/>
      <c r="D1799" s="7"/>
      <c r="E1799" s="6"/>
      <c r="F1799" s="7"/>
      <c r="G1799" s="6"/>
      <c r="H1799" s="7"/>
      <c r="I1799" s="6"/>
      <c r="J1799" s="7"/>
      <c r="K1799" s="96" t="str">
        <f>HYPERLINK("#'Healthcare'!BQE1","Q6.8.27_2")</f>
        <v>Q6.8.27_2</v>
      </c>
      <c r="L1799" s="93" t="str">
        <f>HYPERLINK("#'Healthcare'!BQE2","Primary indemnity medical plan out-of-network coinsurance: Specialist office visit")</f>
        <v>Primary indemnity medical plan out-of-network coinsurance: Specialist office visit</v>
      </c>
      <c r="M1799" s="6"/>
      <c r="N1799" s="7"/>
      <c r="O1799" s="6"/>
      <c r="P1799" s="7"/>
      <c r="Q1799" s="6"/>
      <c r="R1799" s="7"/>
      <c r="S1799" s="6"/>
      <c r="T1799" s="7"/>
      <c r="U1799" s="6"/>
      <c r="V1799" s="7"/>
      <c r="W1799" s="6"/>
      <c r="X1799" s="7"/>
    </row>
    <row r="1800" spans="1:24" ht="38.25" x14ac:dyDescent="0.2">
      <c r="A1800" s="6"/>
      <c r="B1800" s="7"/>
      <c r="C1800" s="6"/>
      <c r="D1800" s="7"/>
      <c r="E1800" s="6"/>
      <c r="F1800" s="7"/>
      <c r="G1800" s="6"/>
      <c r="H1800" s="7"/>
      <c r="I1800" s="6"/>
      <c r="J1800" s="7"/>
      <c r="K1800" s="96" t="str">
        <f>HYPERLINK("#'Healthcare'!BQF1","Q6.8.27_3")</f>
        <v>Q6.8.27_3</v>
      </c>
      <c r="L1800" s="93" t="str">
        <f>HYPERLINK("#'Healthcare'!BQF2","Primary indemnity medical plan out-of-network coinsurance: Autism/applied behavioral analysis (ABA)")</f>
        <v>Primary indemnity medical plan out-of-network coinsurance: Autism/applied behavioral analysis (ABA)</v>
      </c>
      <c r="M1800" s="6"/>
      <c r="N1800" s="7"/>
      <c r="O1800" s="6"/>
      <c r="P1800" s="7"/>
      <c r="Q1800" s="6"/>
      <c r="R1800" s="7"/>
      <c r="S1800" s="6"/>
      <c r="T1800" s="7"/>
      <c r="U1800" s="6"/>
      <c r="V1800" s="7"/>
      <c r="W1800" s="6"/>
      <c r="X1800" s="7"/>
    </row>
    <row r="1801" spans="1:24" ht="25.5" x14ac:dyDescent="0.2">
      <c r="A1801" s="6"/>
      <c r="B1801" s="7"/>
      <c r="C1801" s="6"/>
      <c r="D1801" s="7"/>
      <c r="E1801" s="6"/>
      <c r="F1801" s="7"/>
      <c r="G1801" s="6"/>
      <c r="H1801" s="7"/>
      <c r="I1801" s="6"/>
      <c r="J1801" s="7"/>
      <c r="K1801" s="96" t="str">
        <f>HYPERLINK("#'Healthcare'!BQG1","Q6.8.27_4")</f>
        <v>Q6.8.27_4</v>
      </c>
      <c r="L1801" s="93" t="str">
        <f>HYPERLINK("#'Healthcare'!BQG2","Primary indemnity medical plan out-of-network coinsurance: Emergency room")</f>
        <v>Primary indemnity medical plan out-of-network coinsurance: Emergency room</v>
      </c>
      <c r="M1801" s="6"/>
      <c r="N1801" s="7"/>
      <c r="O1801" s="6"/>
      <c r="P1801" s="7"/>
      <c r="Q1801" s="6"/>
      <c r="R1801" s="7"/>
      <c r="S1801" s="6"/>
      <c r="T1801" s="7"/>
      <c r="U1801" s="6"/>
      <c r="V1801" s="7"/>
      <c r="W1801" s="6"/>
      <c r="X1801" s="7"/>
    </row>
    <row r="1802" spans="1:24" ht="25.5" x14ac:dyDescent="0.2">
      <c r="A1802" s="6"/>
      <c r="B1802" s="7"/>
      <c r="C1802" s="6"/>
      <c r="D1802" s="7"/>
      <c r="E1802" s="6"/>
      <c r="F1802" s="7"/>
      <c r="G1802" s="6"/>
      <c r="H1802" s="7"/>
      <c r="I1802" s="6"/>
      <c r="J1802" s="7"/>
      <c r="K1802" s="96" t="str">
        <f>HYPERLINK("#'Healthcare'!BQH1","Q6.8.27_5")</f>
        <v>Q6.8.27_5</v>
      </c>
      <c r="L1802" s="93" t="str">
        <f>HYPERLINK("#'Healthcare'!BQH2","Primary indemnity medical plan out-of-network coinsurance: Urgent office visit")</f>
        <v>Primary indemnity medical plan out-of-network coinsurance: Urgent office visit</v>
      </c>
      <c r="M1802" s="6"/>
      <c r="N1802" s="7"/>
      <c r="O1802" s="6"/>
      <c r="P1802" s="7"/>
      <c r="Q1802" s="6"/>
      <c r="R1802" s="7"/>
      <c r="S1802" s="6"/>
      <c r="T1802" s="7"/>
      <c r="U1802" s="6"/>
      <c r="V1802" s="7"/>
      <c r="W1802" s="6"/>
      <c r="X1802" s="7"/>
    </row>
    <row r="1803" spans="1:24" ht="25.5" x14ac:dyDescent="0.2">
      <c r="A1803" s="6"/>
      <c r="B1803" s="7"/>
      <c r="C1803" s="6"/>
      <c r="D1803" s="7"/>
      <c r="E1803" s="6"/>
      <c r="F1803" s="7"/>
      <c r="G1803" s="6"/>
      <c r="H1803" s="7"/>
      <c r="I1803" s="6"/>
      <c r="J1803" s="7"/>
      <c r="K1803" s="96" t="str">
        <f>HYPERLINK("#'Healthcare'!BQI1","Q6.8.27_7")</f>
        <v>Q6.8.27_7</v>
      </c>
      <c r="L1803" s="93" t="str">
        <f>HYPERLINK("#'Healthcare'!BQI2","Primary indemnity medical plan out-of-network coinsurance: Telehealth")</f>
        <v>Primary indemnity medical plan out-of-network coinsurance: Telehealth</v>
      </c>
      <c r="M1803" s="6"/>
      <c r="N1803" s="7"/>
      <c r="O1803" s="6"/>
      <c r="P1803" s="7"/>
      <c r="Q1803" s="6"/>
      <c r="R1803" s="7"/>
      <c r="S1803" s="6"/>
      <c r="T1803" s="7"/>
      <c r="U1803" s="6"/>
      <c r="V1803" s="7"/>
      <c r="W1803" s="6"/>
      <c r="X1803" s="7"/>
    </row>
    <row r="1804" spans="1:24" ht="25.5" x14ac:dyDescent="0.2">
      <c r="A1804" s="6"/>
      <c r="B1804" s="7"/>
      <c r="C1804" s="6"/>
      <c r="D1804" s="7"/>
      <c r="E1804" s="6"/>
      <c r="F1804" s="7"/>
      <c r="G1804" s="6"/>
      <c r="H1804" s="7"/>
      <c r="I1804" s="6"/>
      <c r="J1804" s="7"/>
      <c r="K1804" s="96" t="str">
        <f>HYPERLINK("#'Healthcare'!BQJ1","Q6.8.27_6")</f>
        <v>Q6.8.27_6</v>
      </c>
      <c r="L1804" s="93" t="str">
        <f>HYPERLINK("#'Healthcare'!BQJ2","Primary indemnity medical plan out-of-network coinsurance: Other")</f>
        <v>Primary indemnity medical plan out-of-network coinsurance: Other</v>
      </c>
      <c r="M1804" s="6"/>
      <c r="N1804" s="7"/>
      <c r="O1804" s="6"/>
      <c r="P1804" s="7"/>
      <c r="Q1804" s="6"/>
      <c r="R1804" s="7"/>
      <c r="S1804" s="6"/>
      <c r="T1804" s="7"/>
      <c r="U1804" s="6"/>
      <c r="V1804" s="7"/>
      <c r="W1804" s="6"/>
      <c r="X1804" s="7"/>
    </row>
    <row r="1805" spans="1:24" ht="38.25" x14ac:dyDescent="0.2">
      <c r="A1805" s="6"/>
      <c r="B1805" s="7"/>
      <c r="C1805" s="6"/>
      <c r="D1805" s="7"/>
      <c r="E1805" s="6"/>
      <c r="F1805" s="7"/>
      <c r="G1805" s="6"/>
      <c r="H1805" s="7"/>
      <c r="I1805" s="6"/>
      <c r="J1805" s="7"/>
      <c r="K1805" s="96" t="str">
        <f>HYPERLINK("#'Healthcare'!BQK1","Q6.8.28_1")</f>
        <v>Q6.8.28_1</v>
      </c>
      <c r="L1805" s="93" t="str">
        <f>HYPERLINK("#'Healthcare'!BQK2","Primary indemnity medical plan out-of-pocket cost share waived or reduced: General/Primary care office visit")</f>
        <v>Primary indemnity medical plan out-of-pocket cost share waived or reduced: General/Primary care office visit</v>
      </c>
      <c r="M1805" s="6"/>
      <c r="N1805" s="7"/>
      <c r="O1805" s="6"/>
      <c r="P1805" s="7"/>
      <c r="Q1805" s="6"/>
      <c r="R1805" s="7"/>
      <c r="S1805" s="6"/>
      <c r="T1805" s="7"/>
      <c r="U1805" s="6"/>
      <c r="V1805" s="7"/>
      <c r="W1805" s="6"/>
      <c r="X1805" s="7"/>
    </row>
    <row r="1806" spans="1:24" ht="38.25" x14ac:dyDescent="0.2">
      <c r="A1806" s="6"/>
      <c r="B1806" s="7"/>
      <c r="C1806" s="6"/>
      <c r="D1806" s="7"/>
      <c r="E1806" s="6"/>
      <c r="F1806" s="7"/>
      <c r="G1806" s="6"/>
      <c r="H1806" s="7"/>
      <c r="I1806" s="6"/>
      <c r="J1806" s="7"/>
      <c r="K1806" s="96" t="str">
        <f>HYPERLINK("#'Healthcare'!BQL1","Q6.8.28_2")</f>
        <v>Q6.8.28_2</v>
      </c>
      <c r="L1806" s="93" t="str">
        <f>HYPERLINK("#'Healthcare'!BQL2","Primary indemnity medical plan out-of-pocket cost share waived or reduced: Specialist office visit")</f>
        <v>Primary indemnity medical plan out-of-pocket cost share waived or reduced: Specialist office visit</v>
      </c>
      <c r="M1806" s="6"/>
      <c r="N1806" s="7"/>
      <c r="O1806" s="6"/>
      <c r="P1806" s="7"/>
      <c r="Q1806" s="6"/>
      <c r="R1806" s="7"/>
      <c r="S1806" s="6"/>
      <c r="T1806" s="7"/>
      <c r="U1806" s="6"/>
      <c r="V1806" s="7"/>
      <c r="W1806" s="6"/>
      <c r="X1806" s="7"/>
    </row>
    <row r="1807" spans="1:24" ht="38.25" x14ac:dyDescent="0.2">
      <c r="A1807" s="6"/>
      <c r="B1807" s="7"/>
      <c r="C1807" s="6"/>
      <c r="D1807" s="7"/>
      <c r="E1807" s="6"/>
      <c r="F1807" s="7"/>
      <c r="G1807" s="6"/>
      <c r="H1807" s="7"/>
      <c r="I1807" s="6"/>
      <c r="J1807" s="7"/>
      <c r="K1807" s="96" t="str">
        <f>HYPERLINK("#'Healthcare'!BQM1","Q6.8.28_3")</f>
        <v>Q6.8.28_3</v>
      </c>
      <c r="L1807" s="93" t="str">
        <f>HYPERLINK("#'Healthcare'!BQM2","Primary indemnity medical plan out-of-pocket cost share waived or reduced: Autism/applied behavioral analysis (ABA)")</f>
        <v>Primary indemnity medical plan out-of-pocket cost share waived or reduced: Autism/applied behavioral analysis (ABA)</v>
      </c>
      <c r="M1807" s="6"/>
      <c r="N1807" s="7"/>
      <c r="O1807" s="6"/>
      <c r="P1807" s="7"/>
      <c r="Q1807" s="6"/>
      <c r="R1807" s="7"/>
      <c r="S1807" s="6"/>
      <c r="T1807" s="7"/>
      <c r="U1807" s="6"/>
      <c r="V1807" s="7"/>
      <c r="W1807" s="6"/>
      <c r="X1807" s="7"/>
    </row>
    <row r="1808" spans="1:24" ht="38.25" x14ac:dyDescent="0.2">
      <c r="A1808" s="6"/>
      <c r="B1808" s="7"/>
      <c r="C1808" s="6"/>
      <c r="D1808" s="7"/>
      <c r="E1808" s="6"/>
      <c r="F1808" s="7"/>
      <c r="G1808" s="6"/>
      <c r="H1808" s="7"/>
      <c r="I1808" s="6"/>
      <c r="J1808" s="7"/>
      <c r="K1808" s="96" t="str">
        <f>HYPERLINK("#'Healthcare'!BQN1","Q6.8.28_4")</f>
        <v>Q6.8.28_4</v>
      </c>
      <c r="L1808" s="93" t="str">
        <f>HYPERLINK("#'Healthcare'!BQN2","Primary indemnity medical plan out-of-pocket cost share waived or reduced: Emergency room")</f>
        <v>Primary indemnity medical plan out-of-pocket cost share waived or reduced: Emergency room</v>
      </c>
      <c r="M1808" s="6"/>
      <c r="N1808" s="7"/>
      <c r="O1808" s="6"/>
      <c r="P1808" s="7"/>
      <c r="Q1808" s="6"/>
      <c r="R1808" s="7"/>
      <c r="S1808" s="6"/>
      <c r="T1808" s="7"/>
      <c r="U1808" s="6"/>
      <c r="V1808" s="7"/>
      <c r="W1808" s="6"/>
      <c r="X1808" s="7"/>
    </row>
    <row r="1809" spans="1:24" ht="38.25" x14ac:dyDescent="0.2">
      <c r="A1809" s="6"/>
      <c r="B1809" s="7"/>
      <c r="C1809" s="6"/>
      <c r="D1809" s="7"/>
      <c r="E1809" s="6"/>
      <c r="F1809" s="7"/>
      <c r="G1809" s="6"/>
      <c r="H1809" s="7"/>
      <c r="I1809" s="6"/>
      <c r="J1809" s="7"/>
      <c r="K1809" s="96" t="str">
        <f>HYPERLINK("#'Healthcare'!BQO1","Q6.8.28_5")</f>
        <v>Q6.8.28_5</v>
      </c>
      <c r="L1809" s="93" t="str">
        <f>HYPERLINK("#'Healthcare'!BQO2","Primary indemnity medical plan out-of-pocket cost share waived or reduced: Urgent office visit")</f>
        <v>Primary indemnity medical plan out-of-pocket cost share waived or reduced: Urgent office visit</v>
      </c>
      <c r="M1809" s="6"/>
      <c r="N1809" s="7"/>
      <c r="O1809" s="6"/>
      <c r="P1809" s="7"/>
      <c r="Q1809" s="6"/>
      <c r="R1809" s="7"/>
      <c r="S1809" s="6"/>
      <c r="T1809" s="7"/>
      <c r="U1809" s="6"/>
      <c r="V1809" s="7"/>
      <c r="W1809" s="6"/>
      <c r="X1809" s="7"/>
    </row>
    <row r="1810" spans="1:24" ht="25.5" x14ac:dyDescent="0.2">
      <c r="A1810" s="6"/>
      <c r="B1810" s="7"/>
      <c r="C1810" s="6"/>
      <c r="D1810" s="7"/>
      <c r="E1810" s="6"/>
      <c r="F1810" s="7"/>
      <c r="G1810" s="6"/>
      <c r="H1810" s="7"/>
      <c r="I1810" s="6"/>
      <c r="J1810" s="7"/>
      <c r="K1810" s="96" t="str">
        <f>HYPERLINK("#'Healthcare'!BQP1","Q6.8.28_6")</f>
        <v>Q6.8.28_6</v>
      </c>
      <c r="L1810" s="93" t="str">
        <f>HYPERLINK("#'Healthcare'!BQP2","Primary indemnity medical plan out-of-pocket cost share waived or reduced: Telehealth")</f>
        <v>Primary indemnity medical plan out-of-pocket cost share waived or reduced: Telehealth</v>
      </c>
      <c r="M1810" s="6"/>
      <c r="N1810" s="7"/>
      <c r="O1810" s="6"/>
      <c r="P1810" s="7"/>
      <c r="Q1810" s="6"/>
      <c r="R1810" s="7"/>
      <c r="S1810" s="6"/>
      <c r="T1810" s="7"/>
      <c r="U1810" s="6"/>
      <c r="V1810" s="7"/>
      <c r="W1810" s="6"/>
      <c r="X1810" s="7"/>
    </row>
    <row r="1811" spans="1:24" ht="25.5" x14ac:dyDescent="0.2">
      <c r="A1811" s="6"/>
      <c r="B1811" s="7"/>
      <c r="C1811" s="6"/>
      <c r="D1811" s="7"/>
      <c r="E1811" s="6"/>
      <c r="F1811" s="7"/>
      <c r="G1811" s="6"/>
      <c r="H1811" s="7"/>
      <c r="I1811" s="6"/>
      <c r="J1811" s="7"/>
      <c r="K1811" s="96" t="str">
        <f>HYPERLINK("#'Healthcare'!BQQ1","Q6.8.28_7")</f>
        <v>Q6.8.28_7</v>
      </c>
      <c r="L1811" s="93" t="str">
        <f>HYPERLINK("#'Healthcare'!BQQ2","Primary indemnity medical plan out-of-pocket cost share waived or reduced: Other")</f>
        <v>Primary indemnity medical plan out-of-pocket cost share waived or reduced: Other</v>
      </c>
      <c r="M1811" s="6"/>
      <c r="N1811" s="7"/>
      <c r="O1811" s="6"/>
      <c r="P1811" s="7"/>
      <c r="Q1811" s="6"/>
      <c r="R1811" s="7"/>
      <c r="S1811" s="6"/>
      <c r="T1811" s="7"/>
      <c r="U1811" s="6"/>
      <c r="V1811" s="7"/>
      <c r="W1811" s="6"/>
      <c r="X1811" s="7"/>
    </row>
    <row r="1812" spans="1:24" ht="51" x14ac:dyDescent="0.2">
      <c r="A1812" s="6"/>
      <c r="B1812" s="7"/>
      <c r="C1812" s="6"/>
      <c r="D1812" s="7"/>
      <c r="E1812" s="6"/>
      <c r="F1812" s="7"/>
      <c r="G1812" s="6"/>
      <c r="H1812" s="7"/>
      <c r="I1812" s="6"/>
      <c r="J1812" s="7"/>
      <c r="K1812" s="96" t="str">
        <f>HYPERLINK("#'Healthcare'!BQR1","Q6.8.29_1")</f>
        <v>Q6.8.29_1</v>
      </c>
      <c r="L1812" s="93" t="str">
        <f>HYPERLINK("#'Healthcare'!BQR2","Primary indemnity medical plan non-authorization/notification/not qualified services penalties applied: General/Primary care office visit")</f>
        <v>Primary indemnity medical plan non-authorization/notification/not qualified services penalties applied: General/Primary care office visit</v>
      </c>
      <c r="M1812" s="6"/>
      <c r="N1812" s="7"/>
      <c r="O1812" s="6"/>
      <c r="P1812" s="7"/>
      <c r="Q1812" s="6"/>
      <c r="R1812" s="7"/>
      <c r="S1812" s="6"/>
      <c r="T1812" s="7"/>
      <c r="U1812" s="6"/>
      <c r="V1812" s="7"/>
      <c r="W1812" s="6"/>
      <c r="X1812" s="7"/>
    </row>
    <row r="1813" spans="1:24" ht="38.25" x14ac:dyDescent="0.2">
      <c r="A1813" s="6"/>
      <c r="B1813" s="7"/>
      <c r="C1813" s="6"/>
      <c r="D1813" s="7"/>
      <c r="E1813" s="6"/>
      <c r="F1813" s="7"/>
      <c r="G1813" s="6"/>
      <c r="H1813" s="7"/>
      <c r="I1813" s="6"/>
      <c r="J1813" s="7"/>
      <c r="K1813" s="96" t="str">
        <f>HYPERLINK("#'Healthcare'!BQS1","Q6.8.29_2")</f>
        <v>Q6.8.29_2</v>
      </c>
      <c r="L1813" s="93" t="str">
        <f>HYPERLINK("#'Healthcare'!BQS2","Primary indemnity medical plan non-authorization/notification/not qualified services penalties applied: Specialist office visit")</f>
        <v>Primary indemnity medical plan non-authorization/notification/not qualified services penalties applied: Specialist office visit</v>
      </c>
      <c r="M1813" s="6"/>
      <c r="N1813" s="7"/>
      <c r="O1813" s="6"/>
      <c r="P1813" s="7"/>
      <c r="Q1813" s="6"/>
      <c r="R1813" s="7"/>
      <c r="S1813" s="6"/>
      <c r="T1813" s="7"/>
      <c r="U1813" s="6"/>
      <c r="V1813" s="7"/>
      <c r="W1813" s="6"/>
      <c r="X1813" s="7"/>
    </row>
    <row r="1814" spans="1:24" ht="51" x14ac:dyDescent="0.2">
      <c r="A1814" s="6"/>
      <c r="B1814" s="7"/>
      <c r="C1814" s="6"/>
      <c r="D1814" s="7"/>
      <c r="E1814" s="6"/>
      <c r="F1814" s="7"/>
      <c r="G1814" s="6"/>
      <c r="H1814" s="7"/>
      <c r="I1814" s="6"/>
      <c r="J1814" s="7"/>
      <c r="K1814" s="96" t="str">
        <f>HYPERLINK("#'Healthcare'!BQT1","Q6.8.29_3")</f>
        <v>Q6.8.29_3</v>
      </c>
      <c r="L1814" s="93" t="str">
        <f>HYPERLINK("#'Healthcare'!BQT2","Primary indemnity medical plan non-authorization/notification/not qualified services penalties applied: Autism/applied behavioral analysis (ABA)")</f>
        <v>Primary indemnity medical plan non-authorization/notification/not qualified services penalties applied: Autism/applied behavioral analysis (ABA)</v>
      </c>
      <c r="M1814" s="6"/>
      <c r="N1814" s="7"/>
      <c r="O1814" s="6"/>
      <c r="P1814" s="7"/>
      <c r="Q1814" s="6"/>
      <c r="R1814" s="7"/>
      <c r="S1814" s="6"/>
      <c r="T1814" s="7"/>
      <c r="U1814" s="6"/>
      <c r="V1814" s="7"/>
      <c r="W1814" s="6"/>
      <c r="X1814" s="7"/>
    </row>
    <row r="1815" spans="1:24" ht="38.25" x14ac:dyDescent="0.2">
      <c r="A1815" s="6"/>
      <c r="B1815" s="7"/>
      <c r="C1815" s="6"/>
      <c r="D1815" s="7"/>
      <c r="E1815" s="6"/>
      <c r="F1815" s="7"/>
      <c r="G1815" s="6"/>
      <c r="H1815" s="7"/>
      <c r="I1815" s="6"/>
      <c r="J1815" s="7"/>
      <c r="K1815" s="96" t="str">
        <f>HYPERLINK("#'Healthcare'!BQU1","Q6.8.29_4")</f>
        <v>Q6.8.29_4</v>
      </c>
      <c r="L1815" s="93" t="str">
        <f>HYPERLINK("#'Healthcare'!BQU2","Primary indemnity medical plan non-authorization/notification/not qualified services penalties applied: Emergency room")</f>
        <v>Primary indemnity medical plan non-authorization/notification/not qualified services penalties applied: Emergency room</v>
      </c>
      <c r="M1815" s="6"/>
      <c r="N1815" s="7"/>
      <c r="O1815" s="6"/>
      <c r="P1815" s="7"/>
      <c r="Q1815" s="6"/>
      <c r="R1815" s="7"/>
      <c r="S1815" s="6"/>
      <c r="T1815" s="7"/>
      <c r="U1815" s="6"/>
      <c r="V1815" s="7"/>
      <c r="W1815" s="6"/>
      <c r="X1815" s="7"/>
    </row>
    <row r="1816" spans="1:24" ht="38.25" x14ac:dyDescent="0.2">
      <c r="A1816" s="6"/>
      <c r="B1816" s="7"/>
      <c r="C1816" s="6"/>
      <c r="D1816" s="7"/>
      <c r="E1816" s="6"/>
      <c r="F1816" s="7"/>
      <c r="G1816" s="6"/>
      <c r="H1816" s="7"/>
      <c r="I1816" s="6"/>
      <c r="J1816" s="7"/>
      <c r="K1816" s="96" t="str">
        <f>HYPERLINK("#'Healthcare'!BQV1","Q6.8.29_5")</f>
        <v>Q6.8.29_5</v>
      </c>
      <c r="L1816" s="93" t="str">
        <f>HYPERLINK("#'Healthcare'!BQV2","Primary indemnity medical plan non-authorization/notification/not qualified services penalties applied: Urgent office visit")</f>
        <v>Primary indemnity medical plan non-authorization/notification/not qualified services penalties applied: Urgent office visit</v>
      </c>
      <c r="M1816" s="6"/>
      <c r="N1816" s="7"/>
      <c r="O1816" s="6"/>
      <c r="P1816" s="7"/>
      <c r="Q1816" s="6"/>
      <c r="R1816" s="7"/>
      <c r="S1816" s="6"/>
      <c r="T1816" s="7"/>
      <c r="U1816" s="6"/>
      <c r="V1816" s="7"/>
      <c r="W1816" s="6"/>
      <c r="X1816" s="7"/>
    </row>
    <row r="1817" spans="1:24" ht="38.25" x14ac:dyDescent="0.2">
      <c r="A1817" s="6"/>
      <c r="B1817" s="7"/>
      <c r="C1817" s="6"/>
      <c r="D1817" s="7"/>
      <c r="E1817" s="6"/>
      <c r="F1817" s="7"/>
      <c r="G1817" s="6"/>
      <c r="H1817" s="7"/>
      <c r="I1817" s="6"/>
      <c r="J1817" s="7"/>
      <c r="K1817" s="96" t="str">
        <f>HYPERLINK("#'Healthcare'!BQW1","Q6.8.29_6")</f>
        <v>Q6.8.29_6</v>
      </c>
      <c r="L1817" s="93" t="str">
        <f>HYPERLINK("#'Healthcare'!BQW2","Primary indemnity medical plan non-authorization/notification/not qualified services penalties applied: Telehealth")</f>
        <v>Primary indemnity medical plan non-authorization/notification/not qualified services penalties applied: Telehealth</v>
      </c>
      <c r="M1817" s="6"/>
      <c r="N1817" s="7"/>
      <c r="O1817" s="6"/>
      <c r="P1817" s="7"/>
      <c r="Q1817" s="6"/>
      <c r="R1817" s="7"/>
      <c r="S1817" s="6"/>
      <c r="T1817" s="7"/>
      <c r="U1817" s="6"/>
      <c r="V1817" s="7"/>
      <c r="W1817" s="6"/>
      <c r="X1817" s="7"/>
    </row>
    <row r="1818" spans="1:24" ht="38.25" x14ac:dyDescent="0.2">
      <c r="A1818" s="6"/>
      <c r="B1818" s="7"/>
      <c r="C1818" s="6"/>
      <c r="D1818" s="7"/>
      <c r="E1818" s="6"/>
      <c r="F1818" s="7"/>
      <c r="G1818" s="6"/>
      <c r="H1818" s="7"/>
      <c r="I1818" s="6"/>
      <c r="J1818" s="7"/>
      <c r="K1818" s="96" t="str">
        <f>HYPERLINK("#'Healthcare'!BQX1","Q6.8.29_7")</f>
        <v>Q6.8.29_7</v>
      </c>
      <c r="L1818" s="93" t="str">
        <f>HYPERLINK("#'Healthcare'!BQX2","Primary indemnity medical plan non-authorization/notification/not qualified services penalties applied: Other")</f>
        <v>Primary indemnity medical plan non-authorization/notification/not qualified services penalties applied: Other</v>
      </c>
      <c r="M1818" s="6"/>
      <c r="N1818" s="7"/>
      <c r="O1818" s="6"/>
      <c r="P1818" s="7"/>
      <c r="Q1818" s="6"/>
      <c r="R1818" s="7"/>
      <c r="S1818" s="6"/>
      <c r="T1818" s="7"/>
      <c r="U1818" s="6"/>
      <c r="V1818" s="7"/>
      <c r="W1818" s="6"/>
      <c r="X1818" s="7"/>
    </row>
    <row r="1819" spans="1:24" ht="25.5" x14ac:dyDescent="0.2">
      <c r="A1819" s="6"/>
      <c r="B1819" s="7"/>
      <c r="C1819" s="6"/>
      <c r="D1819" s="7"/>
      <c r="E1819" s="6"/>
      <c r="F1819" s="7"/>
      <c r="G1819" s="6"/>
      <c r="H1819" s="7"/>
      <c r="I1819" s="6"/>
      <c r="J1819" s="7"/>
      <c r="K1819" s="96" t="str">
        <f>HYPERLINK("#'Healthcare'!BQY1","Q6.8.31_1")</f>
        <v>Q6.8.31_1</v>
      </c>
      <c r="L1819" s="93" t="str">
        <f>HYPERLINK("#'Healthcare'!BQY2","Primary indemnity medical plan covered drug type: Preventive ")</f>
        <v xml:space="preserve">Primary indemnity medical plan covered drug type: Preventive </v>
      </c>
      <c r="M1819" s="6"/>
      <c r="N1819" s="7"/>
      <c r="O1819" s="6"/>
      <c r="P1819" s="7"/>
      <c r="Q1819" s="6"/>
      <c r="R1819" s="7"/>
      <c r="S1819" s="6"/>
      <c r="T1819" s="7"/>
      <c r="U1819" s="6"/>
      <c r="V1819" s="7"/>
      <c r="W1819" s="6"/>
      <c r="X1819" s="7"/>
    </row>
    <row r="1820" spans="1:24" ht="25.5" x14ac:dyDescent="0.2">
      <c r="A1820" s="6"/>
      <c r="B1820" s="7"/>
      <c r="C1820" s="6"/>
      <c r="D1820" s="7"/>
      <c r="E1820" s="6"/>
      <c r="F1820" s="7"/>
      <c r="G1820" s="6"/>
      <c r="H1820" s="7"/>
      <c r="I1820" s="6"/>
      <c r="J1820" s="7"/>
      <c r="K1820" s="96" t="str">
        <f>HYPERLINK("#'Healthcare'!BQZ1","Q6.8.31_2")</f>
        <v>Q6.8.31_2</v>
      </c>
      <c r="L1820" s="93" t="str">
        <f>HYPERLINK("#'Healthcare'!BQZ2","Primary indemnity medical plan covered drug type: Maintenance ")</f>
        <v xml:space="preserve">Primary indemnity medical plan covered drug type: Maintenance </v>
      </c>
      <c r="M1820" s="6"/>
      <c r="N1820" s="7"/>
      <c r="O1820" s="6"/>
      <c r="P1820" s="7"/>
      <c r="Q1820" s="6"/>
      <c r="R1820" s="7"/>
      <c r="S1820" s="6"/>
      <c r="T1820" s="7"/>
      <c r="U1820" s="6"/>
      <c r="V1820" s="7"/>
      <c r="W1820" s="6"/>
      <c r="X1820" s="7"/>
    </row>
    <row r="1821" spans="1:24" ht="25.5" x14ac:dyDescent="0.2">
      <c r="A1821" s="6"/>
      <c r="B1821" s="7"/>
      <c r="C1821" s="6"/>
      <c r="D1821" s="7"/>
      <c r="E1821" s="6"/>
      <c r="F1821" s="7"/>
      <c r="G1821" s="6"/>
      <c r="H1821" s="7"/>
      <c r="I1821" s="6"/>
      <c r="J1821" s="7"/>
      <c r="K1821" s="96" t="str">
        <f>HYPERLINK("#'Healthcare'!BRA1","Q6.8.31_3")</f>
        <v>Q6.8.31_3</v>
      </c>
      <c r="L1821" s="93" t="str">
        <f>HYPERLINK("#'Healthcare'!BRA2","Primary indemnity medical plan covered drug type: Generic ")</f>
        <v xml:space="preserve">Primary indemnity medical plan covered drug type: Generic </v>
      </c>
      <c r="M1821" s="6"/>
      <c r="N1821" s="7"/>
      <c r="O1821" s="6"/>
      <c r="P1821" s="7"/>
      <c r="Q1821" s="6"/>
      <c r="R1821" s="7"/>
      <c r="S1821" s="6"/>
      <c r="T1821" s="7"/>
      <c r="U1821" s="6"/>
      <c r="V1821" s="7"/>
      <c r="W1821" s="6"/>
      <c r="X1821" s="7"/>
    </row>
    <row r="1822" spans="1:24" ht="25.5" x14ac:dyDescent="0.2">
      <c r="A1822" s="6"/>
      <c r="B1822" s="7"/>
      <c r="C1822" s="6"/>
      <c r="D1822" s="7"/>
      <c r="E1822" s="6"/>
      <c r="F1822" s="7"/>
      <c r="G1822" s="6"/>
      <c r="H1822" s="7"/>
      <c r="I1822" s="6"/>
      <c r="J1822" s="7"/>
      <c r="K1822" s="96" t="str">
        <f>HYPERLINK("#'Healthcare'!BRB1","Q6.8.31_4")</f>
        <v>Q6.8.31_4</v>
      </c>
      <c r="L1822" s="93" t="str">
        <f>HYPERLINK("#'Healthcare'!BRB2","Primary indemnity medical plan covered drug type: Specialty (includes injectables) ")</f>
        <v xml:space="preserve">Primary indemnity medical plan covered drug type: Specialty (includes injectables) </v>
      </c>
      <c r="M1822" s="6"/>
      <c r="N1822" s="7"/>
      <c r="O1822" s="6"/>
      <c r="P1822" s="7"/>
      <c r="Q1822" s="6"/>
      <c r="R1822" s="7"/>
      <c r="S1822" s="6"/>
      <c r="T1822" s="7"/>
      <c r="U1822" s="6"/>
      <c r="V1822" s="7"/>
      <c r="W1822" s="6"/>
      <c r="X1822" s="7"/>
    </row>
    <row r="1823" spans="1:24" ht="25.5" x14ac:dyDescent="0.2">
      <c r="A1823" s="6"/>
      <c r="B1823" s="7"/>
      <c r="C1823" s="6"/>
      <c r="D1823" s="7"/>
      <c r="E1823" s="6"/>
      <c r="F1823" s="7"/>
      <c r="G1823" s="6"/>
      <c r="H1823" s="7"/>
      <c r="I1823" s="6"/>
      <c r="J1823" s="7"/>
      <c r="K1823" s="96" t="str">
        <f>HYPERLINK("#'Healthcare'!BRC1","Q6.8.31_5")</f>
        <v>Q6.8.31_5</v>
      </c>
      <c r="L1823" s="93" t="str">
        <f>HYPERLINK("#'Healthcare'!BRC2","Primary indemnity medical plan covered drug type: Lifestyle ")</f>
        <v xml:space="preserve">Primary indemnity medical plan covered drug type: Lifestyle </v>
      </c>
      <c r="M1823" s="6"/>
      <c r="N1823" s="7"/>
      <c r="O1823" s="6"/>
      <c r="P1823" s="7"/>
      <c r="Q1823" s="6"/>
      <c r="R1823" s="7"/>
      <c r="S1823" s="6"/>
      <c r="T1823" s="7"/>
      <c r="U1823" s="6"/>
      <c r="V1823" s="7"/>
      <c r="W1823" s="6"/>
      <c r="X1823" s="7"/>
    </row>
    <row r="1824" spans="1:24" ht="25.5" x14ac:dyDescent="0.2">
      <c r="A1824" s="6"/>
      <c r="B1824" s="7"/>
      <c r="C1824" s="6"/>
      <c r="D1824" s="7"/>
      <c r="E1824" s="6"/>
      <c r="F1824" s="7"/>
      <c r="G1824" s="6"/>
      <c r="H1824" s="7"/>
      <c r="I1824" s="6"/>
      <c r="J1824" s="7"/>
      <c r="K1824" s="96" t="str">
        <f>HYPERLINK("#'Healthcare'!BRD1","Q6.8.31_6")</f>
        <v>Q6.8.31_6</v>
      </c>
      <c r="L1824" s="93" t="str">
        <f>HYPERLINK("#'Healthcare'!BRD2","Primary indemnity medical plan covered drug type: Compounds ")</f>
        <v xml:space="preserve">Primary indemnity medical plan covered drug type: Compounds </v>
      </c>
      <c r="M1824" s="6"/>
      <c r="N1824" s="7"/>
      <c r="O1824" s="6"/>
      <c r="P1824" s="7"/>
      <c r="Q1824" s="6"/>
      <c r="R1824" s="7"/>
      <c r="S1824" s="6"/>
      <c r="T1824" s="7"/>
      <c r="U1824" s="6"/>
      <c r="V1824" s="7"/>
      <c r="W1824" s="6"/>
      <c r="X1824" s="7"/>
    </row>
    <row r="1825" spans="1:24" ht="25.5" x14ac:dyDescent="0.2">
      <c r="A1825" s="6"/>
      <c r="B1825" s="7"/>
      <c r="C1825" s="6"/>
      <c r="D1825" s="7"/>
      <c r="E1825" s="6"/>
      <c r="F1825" s="7"/>
      <c r="G1825" s="6"/>
      <c r="H1825" s="7"/>
      <c r="I1825" s="6"/>
      <c r="J1825" s="7"/>
      <c r="K1825" s="96" t="str">
        <f>HYPERLINK("#'Healthcare'!BRE1","Q6.8.31_7")</f>
        <v>Q6.8.31_7</v>
      </c>
      <c r="L1825" s="93" t="str">
        <f>HYPERLINK("#'Healthcare'!BRE2","Primary indemnity medical plan covered drug type: Biosimilars ")</f>
        <v xml:space="preserve">Primary indemnity medical plan covered drug type: Biosimilars </v>
      </c>
      <c r="M1825" s="6"/>
      <c r="N1825" s="7"/>
      <c r="O1825" s="6"/>
      <c r="P1825" s="7"/>
      <c r="Q1825" s="6"/>
      <c r="R1825" s="7"/>
      <c r="S1825" s="6"/>
      <c r="T1825" s="7"/>
      <c r="U1825" s="6"/>
      <c r="V1825" s="7"/>
      <c r="W1825" s="6"/>
      <c r="X1825" s="7"/>
    </row>
    <row r="1826" spans="1:24" ht="25.5" x14ac:dyDescent="0.2">
      <c r="A1826" s="6"/>
      <c r="B1826" s="7"/>
      <c r="C1826" s="6"/>
      <c r="D1826" s="7"/>
      <c r="E1826" s="6"/>
      <c r="F1826" s="7"/>
      <c r="G1826" s="6"/>
      <c r="H1826" s="7"/>
      <c r="I1826" s="6"/>
      <c r="J1826" s="7"/>
      <c r="K1826" s="96" t="str">
        <f>HYPERLINK("#'Healthcare'!BRF1","Q6.8.31_8")</f>
        <v>Q6.8.31_8</v>
      </c>
      <c r="L1826" s="93" t="str">
        <f>HYPERLINK("#'Healthcare'!BRF2","Primary indemnity medical plan covered drug type: Over the counter (OTC)  prescribed ")</f>
        <v xml:space="preserve">Primary indemnity medical plan covered drug type: Over the counter (OTC)  prescribed </v>
      </c>
      <c r="M1826" s="6"/>
      <c r="N1826" s="7"/>
      <c r="O1826" s="6"/>
      <c r="P1826" s="7"/>
      <c r="Q1826" s="6"/>
      <c r="R1826" s="7"/>
      <c r="S1826" s="6"/>
      <c r="T1826" s="7"/>
      <c r="U1826" s="6"/>
      <c r="V1826" s="7"/>
      <c r="W1826" s="6"/>
      <c r="X1826" s="7"/>
    </row>
    <row r="1827" spans="1:24" ht="25.5" x14ac:dyDescent="0.2">
      <c r="A1827" s="6"/>
      <c r="B1827" s="7"/>
      <c r="C1827" s="6"/>
      <c r="D1827" s="7"/>
      <c r="E1827" s="6"/>
      <c r="F1827" s="7"/>
      <c r="G1827" s="6"/>
      <c r="H1827" s="7"/>
      <c r="I1827" s="6"/>
      <c r="J1827" s="7"/>
      <c r="K1827" s="96" t="str">
        <f>HYPERLINK("#'Healthcare'!BRG1","Q6.8.31_9")</f>
        <v>Q6.8.31_9</v>
      </c>
      <c r="L1827" s="93" t="str">
        <f>HYPERLINK("#'Healthcare'!BRG2","Primary indemnity medical plan covered drug type: Over the counter (OTC)  nonprescribed ")</f>
        <v xml:space="preserve">Primary indemnity medical plan covered drug type: Over the counter (OTC)  nonprescribed </v>
      </c>
      <c r="M1827" s="6"/>
      <c r="N1827" s="7"/>
      <c r="O1827" s="6"/>
      <c r="P1827" s="7"/>
      <c r="Q1827" s="6"/>
      <c r="R1827" s="7"/>
      <c r="S1827" s="6"/>
      <c r="T1827" s="7"/>
      <c r="U1827" s="6"/>
      <c r="V1827" s="7"/>
      <c r="W1827" s="6"/>
      <c r="X1827" s="7"/>
    </row>
    <row r="1828" spans="1:24" ht="25.5" x14ac:dyDescent="0.2">
      <c r="A1828" s="6"/>
      <c r="B1828" s="7"/>
      <c r="C1828" s="6"/>
      <c r="D1828" s="7"/>
      <c r="E1828" s="6"/>
      <c r="F1828" s="7"/>
      <c r="G1828" s="6"/>
      <c r="H1828" s="7"/>
      <c r="I1828" s="6"/>
      <c r="J1828" s="7"/>
      <c r="K1828" s="96" t="str">
        <f>HYPERLINK("#'Healthcare'!BRH1","Q6.8.31_10")</f>
        <v>Q6.8.31_10</v>
      </c>
      <c r="L1828" s="93" t="str">
        <f>HYPERLINK("#'Healthcare'!BRH2","Primary indemnity medical plan covered drug type: Other ")</f>
        <v xml:space="preserve">Primary indemnity medical plan covered drug type: Other </v>
      </c>
      <c r="M1828" s="6"/>
      <c r="N1828" s="7"/>
      <c r="O1828" s="6"/>
      <c r="P1828" s="7"/>
      <c r="Q1828" s="6"/>
      <c r="R1828" s="7"/>
      <c r="S1828" s="6"/>
      <c r="T1828" s="7"/>
      <c r="U1828" s="6"/>
      <c r="V1828" s="7"/>
      <c r="W1828" s="6"/>
      <c r="X1828" s="7"/>
    </row>
    <row r="1829" spans="1:24" ht="38.25" x14ac:dyDescent="0.2">
      <c r="A1829" s="6"/>
      <c r="B1829" s="7"/>
      <c r="C1829" s="6"/>
      <c r="D1829" s="7"/>
      <c r="E1829" s="6"/>
      <c r="F1829" s="7"/>
      <c r="G1829" s="6"/>
      <c r="H1829" s="7"/>
      <c r="I1829" s="6"/>
      <c r="J1829" s="7"/>
      <c r="K1829" s="96" t="str">
        <f>HYPERLINK("#'Healthcare'!BRI1","Q6.8.32")</f>
        <v>Q6.8.32</v>
      </c>
      <c r="L1829" s="93" t="str">
        <f>HYPERLINK("#'Healthcare'!BRI2","Primary indemnity medical plan drug limits, exclusions, or required care management features: Preventive ")</f>
        <v xml:space="preserve">Primary indemnity medical plan drug limits, exclusions, or required care management features: Preventive </v>
      </c>
      <c r="M1829" s="6"/>
      <c r="N1829" s="7"/>
      <c r="O1829" s="6"/>
      <c r="P1829" s="7"/>
      <c r="Q1829" s="6"/>
      <c r="R1829" s="7"/>
      <c r="S1829" s="6"/>
      <c r="T1829" s="7"/>
      <c r="U1829" s="6"/>
      <c r="V1829" s="7"/>
      <c r="W1829" s="6"/>
      <c r="X1829" s="7"/>
    </row>
    <row r="1830" spans="1:24" ht="38.25" x14ac:dyDescent="0.2">
      <c r="A1830" s="6"/>
      <c r="B1830" s="7"/>
      <c r="C1830" s="6"/>
      <c r="D1830" s="7"/>
      <c r="E1830" s="6"/>
      <c r="F1830" s="7"/>
      <c r="G1830" s="6"/>
      <c r="H1830" s="7"/>
      <c r="I1830" s="6"/>
      <c r="J1830" s="7"/>
      <c r="K1830" s="96" t="str">
        <f>HYPERLINK("#'Healthcare'!BRJ1","Q6.8.33")</f>
        <v>Q6.8.33</v>
      </c>
      <c r="L1830" s="93" t="str">
        <f>HYPERLINK("#'Healthcare'!BRJ2","Primary indemnity medical plan drug limits, exclusions, or required care management features: Maintenance ")</f>
        <v xml:space="preserve">Primary indemnity medical plan drug limits, exclusions, or required care management features: Maintenance </v>
      </c>
      <c r="M1830" s="6"/>
      <c r="N1830" s="7"/>
      <c r="O1830" s="6"/>
      <c r="P1830" s="7"/>
      <c r="Q1830" s="6"/>
      <c r="R1830" s="7"/>
      <c r="S1830" s="6"/>
      <c r="T1830" s="7"/>
      <c r="U1830" s="6"/>
      <c r="V1830" s="7"/>
      <c r="W1830" s="6"/>
      <c r="X1830" s="7"/>
    </row>
    <row r="1831" spans="1:24" ht="38.25" x14ac:dyDescent="0.2">
      <c r="A1831" s="6"/>
      <c r="B1831" s="7"/>
      <c r="C1831" s="6"/>
      <c r="D1831" s="7"/>
      <c r="E1831" s="6"/>
      <c r="F1831" s="7"/>
      <c r="G1831" s="6"/>
      <c r="H1831" s="7"/>
      <c r="I1831" s="6"/>
      <c r="J1831" s="7"/>
      <c r="K1831" s="96" t="str">
        <f>HYPERLINK("#'Healthcare'!BRK1","Q6.8.34")</f>
        <v>Q6.8.34</v>
      </c>
      <c r="L1831" s="93" t="str">
        <f>HYPERLINK("#'Healthcare'!BRK2","Primary indemnity medical plan drug limits, exclusions, or required care management features: Generic ")</f>
        <v xml:space="preserve">Primary indemnity medical plan drug limits, exclusions, or required care management features: Generic </v>
      </c>
      <c r="M1831" s="6"/>
      <c r="N1831" s="7"/>
      <c r="O1831" s="6"/>
      <c r="P1831" s="7"/>
      <c r="Q1831" s="6"/>
      <c r="R1831" s="7"/>
      <c r="S1831" s="6"/>
      <c r="T1831" s="7"/>
      <c r="U1831" s="6"/>
      <c r="V1831" s="7"/>
      <c r="W1831" s="6"/>
      <c r="X1831" s="7"/>
    </row>
    <row r="1832" spans="1:24" ht="38.25" x14ac:dyDescent="0.2">
      <c r="A1832" s="6"/>
      <c r="B1832" s="7"/>
      <c r="C1832" s="6"/>
      <c r="D1832" s="7"/>
      <c r="E1832" s="6"/>
      <c r="F1832" s="7"/>
      <c r="G1832" s="6"/>
      <c r="H1832" s="7"/>
      <c r="I1832" s="6"/>
      <c r="J1832" s="7"/>
      <c r="K1832" s="96" t="str">
        <f>HYPERLINK("#'Healthcare'!BRL1","Q6.8.35")</f>
        <v>Q6.8.35</v>
      </c>
      <c r="L1832" s="93" t="str">
        <f>HYPERLINK("#'Healthcare'!BRL2","Primary indemnity medical plan drug limits, exclusions, or required care management features: Specialty and injectables ")</f>
        <v xml:space="preserve">Primary indemnity medical plan drug limits, exclusions, or required care management features: Specialty and injectables </v>
      </c>
      <c r="M1832" s="6"/>
      <c r="N1832" s="7"/>
      <c r="O1832" s="6"/>
      <c r="P1832" s="7"/>
      <c r="Q1832" s="6"/>
      <c r="R1832" s="7"/>
      <c r="S1832" s="6"/>
      <c r="T1832" s="7"/>
      <c r="U1832" s="6"/>
      <c r="V1832" s="7"/>
      <c r="W1832" s="6"/>
      <c r="X1832" s="7"/>
    </row>
    <row r="1833" spans="1:24" ht="38.25" x14ac:dyDescent="0.2">
      <c r="A1833" s="6"/>
      <c r="B1833" s="7"/>
      <c r="C1833" s="6"/>
      <c r="D1833" s="7"/>
      <c r="E1833" s="6"/>
      <c r="F1833" s="7"/>
      <c r="G1833" s="6"/>
      <c r="H1833" s="7"/>
      <c r="I1833" s="6"/>
      <c r="J1833" s="7"/>
      <c r="K1833" s="96" t="str">
        <f>HYPERLINK("#'Healthcare'!BRM1","Q6.8.36")</f>
        <v>Q6.8.36</v>
      </c>
      <c r="L1833" s="93" t="str">
        <f>HYPERLINK("#'Healthcare'!BRM2","Primary indemnity medical plan drug limits, exclusions, or required care management features: Lifestyle ")</f>
        <v xml:space="preserve">Primary indemnity medical plan drug limits, exclusions, or required care management features: Lifestyle </v>
      </c>
      <c r="M1833" s="6"/>
      <c r="N1833" s="7"/>
      <c r="O1833" s="6"/>
      <c r="P1833" s="7"/>
      <c r="Q1833" s="6"/>
      <c r="R1833" s="7"/>
      <c r="S1833" s="6"/>
      <c r="T1833" s="7"/>
      <c r="U1833" s="6"/>
      <c r="V1833" s="7"/>
      <c r="W1833" s="6"/>
      <c r="X1833" s="7"/>
    </row>
    <row r="1834" spans="1:24" ht="38.25" x14ac:dyDescent="0.2">
      <c r="A1834" s="6"/>
      <c r="B1834" s="7"/>
      <c r="C1834" s="6"/>
      <c r="D1834" s="7"/>
      <c r="E1834" s="6"/>
      <c r="F1834" s="7"/>
      <c r="G1834" s="6"/>
      <c r="H1834" s="7"/>
      <c r="I1834" s="6"/>
      <c r="J1834" s="7"/>
      <c r="K1834" s="96" t="str">
        <f>HYPERLINK("#'Healthcare'!BRN1","Q6.8.37")</f>
        <v>Q6.8.37</v>
      </c>
      <c r="L1834" s="93" t="str">
        <f>HYPERLINK("#'Healthcare'!BRN2","Primary indemnity medical plan drug limits, exclusions, or required care management features: Compounds ")</f>
        <v xml:space="preserve">Primary indemnity medical plan drug limits, exclusions, or required care management features: Compounds </v>
      </c>
      <c r="M1834" s="6"/>
      <c r="N1834" s="7"/>
      <c r="O1834" s="6"/>
      <c r="P1834" s="7"/>
      <c r="Q1834" s="6"/>
      <c r="R1834" s="7"/>
      <c r="S1834" s="6"/>
      <c r="T1834" s="7"/>
      <c r="U1834" s="6"/>
      <c r="V1834" s="7"/>
      <c r="W1834" s="6"/>
      <c r="X1834" s="7"/>
    </row>
    <row r="1835" spans="1:24" ht="38.25" x14ac:dyDescent="0.2">
      <c r="A1835" s="6"/>
      <c r="B1835" s="7"/>
      <c r="C1835" s="6"/>
      <c r="D1835" s="7"/>
      <c r="E1835" s="6"/>
      <c r="F1835" s="7"/>
      <c r="G1835" s="6"/>
      <c r="H1835" s="7"/>
      <c r="I1835" s="6"/>
      <c r="J1835" s="7"/>
      <c r="K1835" s="96" t="str">
        <f>HYPERLINK("#'Healthcare'!BRO1","Q6.8.38")</f>
        <v>Q6.8.38</v>
      </c>
      <c r="L1835" s="93" t="str">
        <f>HYPERLINK("#'Healthcare'!BRO2","Primary indemnity medical plan drug limits, exclusions, or required care management features: Biosimilars ")</f>
        <v xml:space="preserve">Primary indemnity medical plan drug limits, exclusions, or required care management features: Biosimilars </v>
      </c>
      <c r="M1835" s="6"/>
      <c r="N1835" s="7"/>
      <c r="O1835" s="6"/>
      <c r="P1835" s="7"/>
      <c r="Q1835" s="6"/>
      <c r="R1835" s="7"/>
      <c r="S1835" s="6"/>
      <c r="T1835" s="7"/>
      <c r="U1835" s="6"/>
      <c r="V1835" s="7"/>
      <c r="W1835" s="6"/>
      <c r="X1835" s="7"/>
    </row>
    <row r="1836" spans="1:24" ht="38.25" x14ac:dyDescent="0.2">
      <c r="A1836" s="6"/>
      <c r="B1836" s="7"/>
      <c r="C1836" s="6"/>
      <c r="D1836" s="7"/>
      <c r="E1836" s="6"/>
      <c r="F1836" s="7"/>
      <c r="G1836" s="6"/>
      <c r="H1836" s="7"/>
      <c r="I1836" s="6"/>
      <c r="J1836" s="7"/>
      <c r="K1836" s="96" t="str">
        <f>HYPERLINK("#'Healthcare'!BRP1","Q6.8.39")</f>
        <v>Q6.8.39</v>
      </c>
      <c r="L1836" s="93" t="str">
        <f>HYPERLINK("#'Healthcare'!BRP2","Primary indemnity medical plan drug limits, exclusions, or required care management features: Over the counter - prescribed ")</f>
        <v xml:space="preserve">Primary indemnity medical plan drug limits, exclusions, or required care management features: Over the counter - prescribed </v>
      </c>
      <c r="M1836" s="6"/>
      <c r="N1836" s="7"/>
      <c r="O1836" s="6"/>
      <c r="P1836" s="7"/>
      <c r="Q1836" s="6"/>
      <c r="R1836" s="7"/>
      <c r="S1836" s="6"/>
      <c r="T1836" s="7"/>
      <c r="U1836" s="6"/>
      <c r="V1836" s="7"/>
      <c r="W1836" s="6"/>
      <c r="X1836" s="7"/>
    </row>
    <row r="1837" spans="1:24" ht="38.25" x14ac:dyDescent="0.2">
      <c r="A1837" s="6"/>
      <c r="B1837" s="7"/>
      <c r="C1837" s="6"/>
      <c r="D1837" s="7"/>
      <c r="E1837" s="6"/>
      <c r="F1837" s="7"/>
      <c r="G1837" s="6"/>
      <c r="H1837" s="7"/>
      <c r="I1837" s="6"/>
      <c r="J1837" s="7"/>
      <c r="K1837" s="96" t="str">
        <f>HYPERLINK("#'Healthcare'!BRQ1","Q6.8.40")</f>
        <v>Q6.8.40</v>
      </c>
      <c r="L1837" s="93" t="str">
        <f>HYPERLINK("#'Healthcare'!BRQ2","Primary indemnity medical plan drug limits, exclusions, or required care management features: Over the counter - non-prescribed ")</f>
        <v xml:space="preserve">Primary indemnity medical plan drug limits, exclusions, or required care management features: Over the counter - non-prescribed </v>
      </c>
      <c r="M1837" s="6"/>
      <c r="N1837" s="7"/>
      <c r="O1837" s="6"/>
      <c r="P1837" s="7"/>
      <c r="Q1837" s="6"/>
      <c r="R1837" s="7"/>
      <c r="S1837" s="6"/>
      <c r="T1837" s="7"/>
      <c r="U1837" s="6"/>
      <c r="V1837" s="7"/>
      <c r="W1837" s="6"/>
      <c r="X1837" s="7"/>
    </row>
    <row r="1838" spans="1:24" ht="25.5" x14ac:dyDescent="0.2">
      <c r="A1838" s="6"/>
      <c r="B1838" s="7"/>
      <c r="C1838" s="6"/>
      <c r="D1838" s="7"/>
      <c r="E1838" s="6"/>
      <c r="F1838" s="7"/>
      <c r="G1838" s="6"/>
      <c r="H1838" s="7"/>
      <c r="I1838" s="6"/>
      <c r="J1838" s="7"/>
      <c r="K1838" s="96" t="str">
        <f>HYPERLINK("#'Healthcare'!BRR1","Q6.8.41_1_1")</f>
        <v>Q6.8.41_1_1</v>
      </c>
      <c r="L1838" s="93" t="str">
        <f>HYPERLINK("#'Healthcare'!BRR2","Primary indemnity medical plan - tier #1 copayment: Retail/pharmacy in-network")</f>
        <v>Primary indemnity medical plan - tier #1 copayment: Retail/pharmacy in-network</v>
      </c>
      <c r="M1838" s="6"/>
      <c r="N1838" s="7"/>
      <c r="O1838" s="6"/>
      <c r="P1838" s="7"/>
      <c r="Q1838" s="6"/>
      <c r="R1838" s="7"/>
      <c r="S1838" s="6"/>
      <c r="T1838" s="7"/>
      <c r="U1838" s="6"/>
      <c r="V1838" s="7"/>
      <c r="W1838" s="6"/>
      <c r="X1838" s="7"/>
    </row>
    <row r="1839" spans="1:24" ht="25.5" x14ac:dyDescent="0.2">
      <c r="A1839" s="6"/>
      <c r="B1839" s="7"/>
      <c r="C1839" s="6"/>
      <c r="D1839" s="7"/>
      <c r="E1839" s="6"/>
      <c r="F1839" s="7"/>
      <c r="G1839" s="6"/>
      <c r="H1839" s="7"/>
      <c r="I1839" s="6"/>
      <c r="J1839" s="7"/>
      <c r="K1839" s="96" t="str">
        <f>HYPERLINK("#'Healthcare'!BRS1","Q6.8.41_1_2")</f>
        <v>Q6.8.41_1_2</v>
      </c>
      <c r="L1839" s="93" t="str">
        <f>HYPERLINK("#'Healthcare'!BRS2","Primary indemnity medical plan - tier #1 copayment: Retail/pharmacy out-of-network")</f>
        <v>Primary indemnity medical plan - tier #1 copayment: Retail/pharmacy out-of-network</v>
      </c>
      <c r="M1839" s="6"/>
      <c r="N1839" s="7"/>
      <c r="O1839" s="6"/>
      <c r="P1839" s="7"/>
      <c r="Q1839" s="6"/>
      <c r="R1839" s="7"/>
      <c r="S1839" s="6"/>
      <c r="T1839" s="7"/>
      <c r="U1839" s="6"/>
      <c r="V1839" s="7"/>
      <c r="W1839" s="6"/>
      <c r="X1839" s="7"/>
    </row>
    <row r="1840" spans="1:24" ht="25.5" x14ac:dyDescent="0.2">
      <c r="A1840" s="6"/>
      <c r="B1840" s="7"/>
      <c r="C1840" s="6"/>
      <c r="D1840" s="7"/>
      <c r="E1840" s="6"/>
      <c r="F1840" s="7"/>
      <c r="G1840" s="6"/>
      <c r="H1840" s="7"/>
      <c r="I1840" s="6"/>
      <c r="J1840" s="7"/>
      <c r="K1840" s="96" t="str">
        <f>HYPERLINK("#'Healthcare'!BRT1","Q6.8.41_1_3")</f>
        <v>Q6.8.41_1_3</v>
      </c>
      <c r="L1840" s="93" t="str">
        <f>HYPERLINK("#'Healthcare'!BRT2","Primary indemnity medical plan - tier #1 copayment: Mail order  in-network")</f>
        <v>Primary indemnity medical plan - tier #1 copayment: Mail order  in-network</v>
      </c>
      <c r="M1840" s="6"/>
      <c r="N1840" s="7"/>
      <c r="O1840" s="6"/>
      <c r="P1840" s="7"/>
      <c r="Q1840" s="6"/>
      <c r="R1840" s="7"/>
      <c r="S1840" s="6"/>
      <c r="T1840" s="7"/>
      <c r="U1840" s="6"/>
      <c r="V1840" s="7"/>
      <c r="W1840" s="6"/>
      <c r="X1840" s="7"/>
    </row>
    <row r="1841" spans="1:24" ht="25.5" x14ac:dyDescent="0.2">
      <c r="A1841" s="6"/>
      <c r="B1841" s="7"/>
      <c r="C1841" s="6"/>
      <c r="D1841" s="7"/>
      <c r="E1841" s="6"/>
      <c r="F1841" s="7"/>
      <c r="G1841" s="6"/>
      <c r="H1841" s="7"/>
      <c r="I1841" s="6"/>
      <c r="J1841" s="7"/>
      <c r="K1841" s="96" t="str">
        <f>HYPERLINK("#'Healthcare'!BRU1","Q6.8.41_1_4")</f>
        <v>Q6.8.41_1_4</v>
      </c>
      <c r="L1841" s="93" t="str">
        <f>HYPERLINK("#'Healthcare'!BRU2","Primary indemnity medical plan - tier #1 copayment: Mail order out-of-network")</f>
        <v>Primary indemnity medical plan - tier #1 copayment: Mail order out-of-network</v>
      </c>
      <c r="M1841" s="6"/>
      <c r="N1841" s="7"/>
      <c r="O1841" s="6"/>
      <c r="P1841" s="7"/>
      <c r="Q1841" s="6"/>
      <c r="R1841" s="7"/>
      <c r="S1841" s="6"/>
      <c r="T1841" s="7"/>
      <c r="U1841" s="6"/>
      <c r="V1841" s="7"/>
      <c r="W1841" s="6"/>
      <c r="X1841" s="7"/>
    </row>
    <row r="1842" spans="1:24" ht="25.5" x14ac:dyDescent="0.2">
      <c r="A1842" s="6"/>
      <c r="B1842" s="7"/>
      <c r="C1842" s="6"/>
      <c r="D1842" s="7"/>
      <c r="E1842" s="6"/>
      <c r="F1842" s="7"/>
      <c r="G1842" s="6"/>
      <c r="H1842" s="7"/>
      <c r="I1842" s="6"/>
      <c r="J1842" s="7"/>
      <c r="K1842" s="96" t="str">
        <f>HYPERLINK("#'Healthcare'!BRV1","Q6.8.41_2_1")</f>
        <v>Q6.8.41_2_1</v>
      </c>
      <c r="L1842" s="93" t="str">
        <f>HYPERLINK("#'Healthcare'!BRV2","Primary indemnity medical plan - tier #2 copayment: Retail/pharmacy in-network")</f>
        <v>Primary indemnity medical plan - tier #2 copayment: Retail/pharmacy in-network</v>
      </c>
      <c r="M1842" s="6"/>
      <c r="N1842" s="7"/>
      <c r="O1842" s="6"/>
      <c r="P1842" s="7"/>
      <c r="Q1842" s="6"/>
      <c r="R1842" s="7"/>
      <c r="S1842" s="6"/>
      <c r="T1842" s="7"/>
      <c r="U1842" s="6"/>
      <c r="V1842" s="7"/>
      <c r="W1842" s="6"/>
      <c r="X1842" s="7"/>
    </row>
    <row r="1843" spans="1:24" ht="25.5" x14ac:dyDescent="0.2">
      <c r="A1843" s="6"/>
      <c r="B1843" s="7"/>
      <c r="C1843" s="6"/>
      <c r="D1843" s="7"/>
      <c r="E1843" s="6"/>
      <c r="F1843" s="7"/>
      <c r="G1843" s="6"/>
      <c r="H1843" s="7"/>
      <c r="I1843" s="6"/>
      <c r="J1843" s="7"/>
      <c r="K1843" s="96" t="str">
        <f>HYPERLINK("#'Healthcare'!BRW1","Q6.8.41_2_2")</f>
        <v>Q6.8.41_2_2</v>
      </c>
      <c r="L1843" s="93" t="str">
        <f>HYPERLINK("#'Healthcare'!BRW2","Primary indemnity medical plan - tier #2 copayment: Retail/pharmacy out-of-network")</f>
        <v>Primary indemnity medical plan - tier #2 copayment: Retail/pharmacy out-of-network</v>
      </c>
      <c r="M1843" s="6"/>
      <c r="N1843" s="7"/>
      <c r="O1843" s="6"/>
      <c r="P1843" s="7"/>
      <c r="Q1843" s="6"/>
      <c r="R1843" s="7"/>
      <c r="S1843" s="6"/>
      <c r="T1843" s="7"/>
      <c r="U1843" s="6"/>
      <c r="V1843" s="7"/>
      <c r="W1843" s="6"/>
      <c r="X1843" s="7"/>
    </row>
    <row r="1844" spans="1:24" ht="25.5" x14ac:dyDescent="0.2">
      <c r="A1844" s="6"/>
      <c r="B1844" s="7"/>
      <c r="C1844" s="6"/>
      <c r="D1844" s="7"/>
      <c r="E1844" s="6"/>
      <c r="F1844" s="7"/>
      <c r="G1844" s="6"/>
      <c r="H1844" s="7"/>
      <c r="I1844" s="6"/>
      <c r="J1844" s="7"/>
      <c r="K1844" s="96" t="str">
        <f>HYPERLINK("#'Healthcare'!BRX1","Q6.8.41_2_3")</f>
        <v>Q6.8.41_2_3</v>
      </c>
      <c r="L1844" s="93" t="str">
        <f>HYPERLINK("#'Healthcare'!BRX2","Primary indemnity medical plan - tier #2 copayment: Mail order  in-network")</f>
        <v>Primary indemnity medical plan - tier #2 copayment: Mail order  in-network</v>
      </c>
      <c r="M1844" s="6"/>
      <c r="N1844" s="7"/>
      <c r="O1844" s="6"/>
      <c r="P1844" s="7"/>
      <c r="Q1844" s="6"/>
      <c r="R1844" s="7"/>
      <c r="S1844" s="6"/>
      <c r="T1844" s="7"/>
      <c r="U1844" s="6"/>
      <c r="V1844" s="7"/>
      <c r="W1844" s="6"/>
      <c r="X1844" s="7"/>
    </row>
    <row r="1845" spans="1:24" ht="25.5" x14ac:dyDescent="0.2">
      <c r="A1845" s="6"/>
      <c r="B1845" s="7"/>
      <c r="C1845" s="6"/>
      <c r="D1845" s="7"/>
      <c r="E1845" s="6"/>
      <c r="F1845" s="7"/>
      <c r="G1845" s="6"/>
      <c r="H1845" s="7"/>
      <c r="I1845" s="6"/>
      <c r="J1845" s="7"/>
      <c r="K1845" s="96" t="str">
        <f>HYPERLINK("#'Healthcare'!BRY1","Q6.8.41_2_4")</f>
        <v>Q6.8.41_2_4</v>
      </c>
      <c r="L1845" s="93" t="str">
        <f>HYPERLINK("#'Healthcare'!BRY2","Primary indemnity medical plan - tier #2 copayment: Mail order out-of-network")</f>
        <v>Primary indemnity medical plan - tier #2 copayment: Mail order out-of-network</v>
      </c>
      <c r="M1845" s="6"/>
      <c r="N1845" s="7"/>
      <c r="O1845" s="6"/>
      <c r="P1845" s="7"/>
      <c r="Q1845" s="6"/>
      <c r="R1845" s="7"/>
      <c r="S1845" s="6"/>
      <c r="T1845" s="7"/>
      <c r="U1845" s="6"/>
      <c r="V1845" s="7"/>
      <c r="W1845" s="6"/>
      <c r="X1845" s="7"/>
    </row>
    <row r="1846" spans="1:24" ht="25.5" x14ac:dyDescent="0.2">
      <c r="A1846" s="6"/>
      <c r="B1846" s="7"/>
      <c r="C1846" s="6"/>
      <c r="D1846" s="7"/>
      <c r="E1846" s="6"/>
      <c r="F1846" s="7"/>
      <c r="G1846" s="6"/>
      <c r="H1846" s="7"/>
      <c r="I1846" s="6"/>
      <c r="J1846" s="7"/>
      <c r="K1846" s="96" t="str">
        <f>HYPERLINK("#'Healthcare'!BRZ1","Q6.8.41_3_1")</f>
        <v>Q6.8.41_3_1</v>
      </c>
      <c r="L1846" s="93" t="str">
        <f>HYPERLINK("#'Healthcare'!BRZ2","Primary indemnity medical plan - tier #3 copayment: Retail/pharmacy in-network")</f>
        <v>Primary indemnity medical plan - tier #3 copayment: Retail/pharmacy in-network</v>
      </c>
      <c r="M1846" s="6"/>
      <c r="N1846" s="7"/>
      <c r="O1846" s="6"/>
      <c r="P1846" s="7"/>
      <c r="Q1846" s="6"/>
      <c r="R1846" s="7"/>
      <c r="S1846" s="6"/>
      <c r="T1846" s="7"/>
      <c r="U1846" s="6"/>
      <c r="V1846" s="7"/>
      <c r="W1846" s="6"/>
      <c r="X1846" s="7"/>
    </row>
    <row r="1847" spans="1:24" ht="25.5" x14ac:dyDescent="0.2">
      <c r="A1847" s="6"/>
      <c r="B1847" s="7"/>
      <c r="C1847" s="6"/>
      <c r="D1847" s="7"/>
      <c r="E1847" s="6"/>
      <c r="F1847" s="7"/>
      <c r="G1847" s="6"/>
      <c r="H1847" s="7"/>
      <c r="I1847" s="6"/>
      <c r="J1847" s="7"/>
      <c r="K1847" s="96" t="str">
        <f>HYPERLINK("#'Healthcare'!BSA1","Q6.8.41_3_2")</f>
        <v>Q6.8.41_3_2</v>
      </c>
      <c r="L1847" s="93" t="str">
        <f>HYPERLINK("#'Healthcare'!BSA2","Primary indemnity medical plan - tier #3 copayment: Retail/pharmacy out-of-network")</f>
        <v>Primary indemnity medical plan - tier #3 copayment: Retail/pharmacy out-of-network</v>
      </c>
      <c r="M1847" s="6"/>
      <c r="N1847" s="7"/>
      <c r="O1847" s="6"/>
      <c r="P1847" s="7"/>
      <c r="Q1847" s="6"/>
      <c r="R1847" s="7"/>
      <c r="S1847" s="6"/>
      <c r="T1847" s="7"/>
      <c r="U1847" s="6"/>
      <c r="V1847" s="7"/>
      <c r="W1847" s="6"/>
      <c r="X1847" s="7"/>
    </row>
    <row r="1848" spans="1:24" ht="25.5" x14ac:dyDescent="0.2">
      <c r="A1848" s="6"/>
      <c r="B1848" s="7"/>
      <c r="C1848" s="6"/>
      <c r="D1848" s="7"/>
      <c r="E1848" s="6"/>
      <c r="F1848" s="7"/>
      <c r="G1848" s="6"/>
      <c r="H1848" s="7"/>
      <c r="I1848" s="6"/>
      <c r="J1848" s="7"/>
      <c r="K1848" s="96" t="str">
        <f>HYPERLINK("#'Healthcare'!BSB1","Q6.8.41_3_3")</f>
        <v>Q6.8.41_3_3</v>
      </c>
      <c r="L1848" s="93" t="str">
        <f>HYPERLINK("#'Healthcare'!BSB2","Primary indemnity medical plan - tier #3 copayment: Mail order  in-network")</f>
        <v>Primary indemnity medical plan - tier #3 copayment: Mail order  in-network</v>
      </c>
      <c r="M1848" s="6"/>
      <c r="N1848" s="7"/>
      <c r="O1848" s="6"/>
      <c r="P1848" s="7"/>
      <c r="Q1848" s="6"/>
      <c r="R1848" s="7"/>
      <c r="S1848" s="6"/>
      <c r="T1848" s="7"/>
      <c r="U1848" s="6"/>
      <c r="V1848" s="7"/>
      <c r="W1848" s="6"/>
      <c r="X1848" s="7"/>
    </row>
    <row r="1849" spans="1:24" ht="25.5" x14ac:dyDescent="0.2">
      <c r="A1849" s="6"/>
      <c r="B1849" s="7"/>
      <c r="C1849" s="6"/>
      <c r="D1849" s="7"/>
      <c r="E1849" s="6"/>
      <c r="F1849" s="7"/>
      <c r="G1849" s="6"/>
      <c r="H1849" s="7"/>
      <c r="I1849" s="6"/>
      <c r="J1849" s="7"/>
      <c r="K1849" s="96" t="str">
        <f>HYPERLINK("#'Healthcare'!BSC1","Q6.8.41_3_4")</f>
        <v>Q6.8.41_3_4</v>
      </c>
      <c r="L1849" s="93" t="str">
        <f>HYPERLINK("#'Healthcare'!BSC2","Primary indemnity medical plan - tier #3 copayment: Mail order out-of-network")</f>
        <v>Primary indemnity medical plan - tier #3 copayment: Mail order out-of-network</v>
      </c>
      <c r="M1849" s="6"/>
      <c r="N1849" s="7"/>
      <c r="O1849" s="6"/>
      <c r="P1849" s="7"/>
      <c r="Q1849" s="6"/>
      <c r="R1849" s="7"/>
      <c r="S1849" s="6"/>
      <c r="T1849" s="7"/>
      <c r="U1849" s="6"/>
      <c r="V1849" s="7"/>
      <c r="W1849" s="6"/>
      <c r="X1849" s="7"/>
    </row>
    <row r="1850" spans="1:24" ht="25.5" x14ac:dyDescent="0.2">
      <c r="A1850" s="6"/>
      <c r="B1850" s="7"/>
      <c r="C1850" s="6"/>
      <c r="D1850" s="7"/>
      <c r="E1850" s="6"/>
      <c r="F1850" s="7"/>
      <c r="G1850" s="6"/>
      <c r="H1850" s="7"/>
      <c r="I1850" s="6"/>
      <c r="J1850" s="7"/>
      <c r="K1850" s="96" t="str">
        <f>HYPERLINK("#'Healthcare'!BSD1","Q6.8.41_4_1")</f>
        <v>Q6.8.41_4_1</v>
      </c>
      <c r="L1850" s="93" t="str">
        <f>HYPERLINK("#'Healthcare'!BSD2","Primary indemnity medical plan - tier #4 copayment: Retail/pharmacy in-network")</f>
        <v>Primary indemnity medical plan - tier #4 copayment: Retail/pharmacy in-network</v>
      </c>
      <c r="M1850" s="6"/>
      <c r="N1850" s="7"/>
      <c r="O1850" s="6"/>
      <c r="P1850" s="7"/>
      <c r="Q1850" s="6"/>
      <c r="R1850" s="7"/>
      <c r="S1850" s="6"/>
      <c r="T1850" s="7"/>
      <c r="U1850" s="6"/>
      <c r="V1850" s="7"/>
      <c r="W1850" s="6"/>
      <c r="X1850" s="7"/>
    </row>
    <row r="1851" spans="1:24" ht="25.5" x14ac:dyDescent="0.2">
      <c r="A1851" s="6"/>
      <c r="B1851" s="7"/>
      <c r="C1851" s="6"/>
      <c r="D1851" s="7"/>
      <c r="E1851" s="6"/>
      <c r="F1851" s="7"/>
      <c r="G1851" s="6"/>
      <c r="H1851" s="7"/>
      <c r="I1851" s="6"/>
      <c r="J1851" s="7"/>
      <c r="K1851" s="96" t="str">
        <f>HYPERLINK("#'Healthcare'!BSE1","Q6.8.41_4_2")</f>
        <v>Q6.8.41_4_2</v>
      </c>
      <c r="L1851" s="93" t="str">
        <f>HYPERLINK("#'Healthcare'!BSE2","Primary indemnity medical plan - tier #4 copayment: Retail/pharmacy out-of-network")</f>
        <v>Primary indemnity medical plan - tier #4 copayment: Retail/pharmacy out-of-network</v>
      </c>
      <c r="M1851" s="6"/>
      <c r="N1851" s="7"/>
      <c r="O1851" s="6"/>
      <c r="P1851" s="7"/>
      <c r="Q1851" s="6"/>
      <c r="R1851" s="7"/>
      <c r="S1851" s="6"/>
      <c r="T1851" s="7"/>
      <c r="U1851" s="6"/>
      <c r="V1851" s="7"/>
      <c r="W1851" s="6"/>
      <c r="X1851" s="7"/>
    </row>
    <row r="1852" spans="1:24" ht="25.5" x14ac:dyDescent="0.2">
      <c r="A1852" s="6"/>
      <c r="B1852" s="7"/>
      <c r="C1852" s="6"/>
      <c r="D1852" s="7"/>
      <c r="E1852" s="6"/>
      <c r="F1852" s="7"/>
      <c r="G1852" s="6"/>
      <c r="H1852" s="7"/>
      <c r="I1852" s="6"/>
      <c r="J1852" s="7"/>
      <c r="K1852" s="96" t="str">
        <f>HYPERLINK("#'Healthcare'!BSF1","Q6.8.41_4_3")</f>
        <v>Q6.8.41_4_3</v>
      </c>
      <c r="L1852" s="93" t="str">
        <f>HYPERLINK("#'Healthcare'!BSF2","Primary indemnity medical plan - tier #4 copayment: Mail order  in-network")</f>
        <v>Primary indemnity medical plan - tier #4 copayment: Mail order  in-network</v>
      </c>
      <c r="M1852" s="6"/>
      <c r="N1852" s="7"/>
      <c r="O1852" s="6"/>
      <c r="P1852" s="7"/>
      <c r="Q1852" s="6"/>
      <c r="R1852" s="7"/>
      <c r="S1852" s="6"/>
      <c r="T1852" s="7"/>
      <c r="U1852" s="6"/>
      <c r="V1852" s="7"/>
      <c r="W1852" s="6"/>
      <c r="X1852" s="7"/>
    </row>
    <row r="1853" spans="1:24" ht="25.5" x14ac:dyDescent="0.2">
      <c r="A1853" s="6"/>
      <c r="B1853" s="7"/>
      <c r="C1853" s="6"/>
      <c r="D1853" s="7"/>
      <c r="E1853" s="6"/>
      <c r="F1853" s="7"/>
      <c r="G1853" s="6"/>
      <c r="H1853" s="7"/>
      <c r="I1853" s="6"/>
      <c r="J1853" s="7"/>
      <c r="K1853" s="96" t="str">
        <f>HYPERLINK("#'Healthcare'!BSG1","Q6.8.41_4_4")</f>
        <v>Q6.8.41_4_4</v>
      </c>
      <c r="L1853" s="93" t="str">
        <f>HYPERLINK("#'Healthcare'!BSG2","Primary indemnity medical plan - tier #4 copayment: Mail order out-of-network")</f>
        <v>Primary indemnity medical plan - tier #4 copayment: Mail order out-of-network</v>
      </c>
      <c r="M1853" s="6"/>
      <c r="N1853" s="7"/>
      <c r="O1853" s="6"/>
      <c r="P1853" s="7"/>
      <c r="Q1853" s="6"/>
      <c r="R1853" s="7"/>
      <c r="S1853" s="6"/>
      <c r="T1853" s="7"/>
      <c r="U1853" s="6"/>
      <c r="V1853" s="7"/>
      <c r="W1853" s="6"/>
      <c r="X1853" s="7"/>
    </row>
    <row r="1854" spans="1:24" ht="25.5" x14ac:dyDescent="0.2">
      <c r="A1854" s="6"/>
      <c r="B1854" s="7"/>
      <c r="C1854" s="6"/>
      <c r="D1854" s="7"/>
      <c r="E1854" s="6"/>
      <c r="F1854" s="7"/>
      <c r="G1854" s="6"/>
      <c r="H1854" s="7"/>
      <c r="I1854" s="6"/>
      <c r="J1854" s="7"/>
      <c r="K1854" s="96" t="str">
        <f>HYPERLINK("#'Healthcare'!BSH1","Q6.8.41_5_1")</f>
        <v>Q6.8.41_5_1</v>
      </c>
      <c r="L1854" s="93" t="str">
        <f>HYPERLINK("#'Healthcare'!BSH2","Primary indemnity medical plan - tier #5 copayment: Retail/pharmacy in-network")</f>
        <v>Primary indemnity medical plan - tier #5 copayment: Retail/pharmacy in-network</v>
      </c>
      <c r="M1854" s="6"/>
      <c r="N1854" s="7"/>
      <c r="O1854" s="6"/>
      <c r="P1854" s="7"/>
      <c r="Q1854" s="6"/>
      <c r="R1854" s="7"/>
      <c r="S1854" s="6"/>
      <c r="T1854" s="7"/>
      <c r="U1854" s="6"/>
      <c r="V1854" s="7"/>
      <c r="W1854" s="6"/>
      <c r="X1854" s="7"/>
    </row>
    <row r="1855" spans="1:24" ht="25.5" x14ac:dyDescent="0.2">
      <c r="A1855" s="6"/>
      <c r="B1855" s="7"/>
      <c r="C1855" s="6"/>
      <c r="D1855" s="7"/>
      <c r="E1855" s="6"/>
      <c r="F1855" s="7"/>
      <c r="G1855" s="6"/>
      <c r="H1855" s="7"/>
      <c r="I1855" s="6"/>
      <c r="J1855" s="7"/>
      <c r="K1855" s="96" t="str">
        <f>HYPERLINK("#'Healthcare'!BSI1","Q6.8.41_5_2")</f>
        <v>Q6.8.41_5_2</v>
      </c>
      <c r="L1855" s="93" t="str">
        <f>HYPERLINK("#'Healthcare'!BSI2","Primary indemnity medical plan - tier #5 copayment: Retail/pharmacy out-of-network")</f>
        <v>Primary indemnity medical plan - tier #5 copayment: Retail/pharmacy out-of-network</v>
      </c>
      <c r="M1855" s="6"/>
      <c r="N1855" s="7"/>
      <c r="O1855" s="6"/>
      <c r="P1855" s="7"/>
      <c r="Q1855" s="6"/>
      <c r="R1855" s="7"/>
      <c r="S1855" s="6"/>
      <c r="T1855" s="7"/>
      <c r="U1855" s="6"/>
      <c r="V1855" s="7"/>
      <c r="W1855" s="6"/>
      <c r="X1855" s="7"/>
    </row>
    <row r="1856" spans="1:24" ht="25.5" x14ac:dyDescent="0.2">
      <c r="A1856" s="6"/>
      <c r="B1856" s="7"/>
      <c r="C1856" s="6"/>
      <c r="D1856" s="7"/>
      <c r="E1856" s="6"/>
      <c r="F1856" s="7"/>
      <c r="G1856" s="6"/>
      <c r="H1856" s="7"/>
      <c r="I1856" s="6"/>
      <c r="J1856" s="7"/>
      <c r="K1856" s="96" t="str">
        <f>HYPERLINK("#'Healthcare'!BSJ1","Q6.8.41_5_3")</f>
        <v>Q6.8.41_5_3</v>
      </c>
      <c r="L1856" s="93" t="str">
        <f>HYPERLINK("#'Healthcare'!BSJ2","Primary indemnity medical plan - tier #5 copayment: Mail order  in-network")</f>
        <v>Primary indemnity medical plan - tier #5 copayment: Mail order  in-network</v>
      </c>
      <c r="M1856" s="6"/>
      <c r="N1856" s="7"/>
      <c r="O1856" s="6"/>
      <c r="P1856" s="7"/>
      <c r="Q1856" s="6"/>
      <c r="R1856" s="7"/>
      <c r="S1856" s="6"/>
      <c r="T1856" s="7"/>
      <c r="U1856" s="6"/>
      <c r="V1856" s="7"/>
      <c r="W1856" s="6"/>
      <c r="X1856" s="7"/>
    </row>
    <row r="1857" spans="1:24" ht="25.5" x14ac:dyDescent="0.2">
      <c r="A1857" s="6"/>
      <c r="B1857" s="7"/>
      <c r="C1857" s="6"/>
      <c r="D1857" s="7"/>
      <c r="E1857" s="6"/>
      <c r="F1857" s="7"/>
      <c r="G1857" s="6"/>
      <c r="H1857" s="7"/>
      <c r="I1857" s="6"/>
      <c r="J1857" s="7"/>
      <c r="K1857" s="96" t="str">
        <f>HYPERLINK("#'Healthcare'!BSK1","Q6.8.41_5_4")</f>
        <v>Q6.8.41_5_4</v>
      </c>
      <c r="L1857" s="93" t="str">
        <f>HYPERLINK("#'Healthcare'!BSK2","Primary indemnity medical plan - tier #5 copayment: Mail order out-of-network")</f>
        <v>Primary indemnity medical plan - tier #5 copayment: Mail order out-of-network</v>
      </c>
      <c r="M1857" s="6"/>
      <c r="N1857" s="7"/>
      <c r="O1857" s="6"/>
      <c r="P1857" s="7"/>
      <c r="Q1857" s="6"/>
      <c r="R1857" s="7"/>
      <c r="S1857" s="6"/>
      <c r="T1857" s="7"/>
      <c r="U1857" s="6"/>
      <c r="V1857" s="7"/>
      <c r="W1857" s="6"/>
      <c r="X1857" s="7"/>
    </row>
    <row r="1858" spans="1:24" ht="25.5" x14ac:dyDescent="0.2">
      <c r="A1858" s="6"/>
      <c r="B1858" s="7"/>
      <c r="C1858" s="6"/>
      <c r="D1858" s="7"/>
      <c r="E1858" s="6"/>
      <c r="F1858" s="7"/>
      <c r="G1858" s="6"/>
      <c r="H1858" s="7"/>
      <c r="I1858" s="6"/>
      <c r="J1858" s="7"/>
      <c r="K1858" s="96" t="str">
        <f>HYPERLINK("#'Healthcare'!BSL1","Q6.8.41_6_1")</f>
        <v>Q6.8.41_6_1</v>
      </c>
      <c r="L1858" s="93" t="str">
        <f>HYPERLINK("#'Healthcare'!BSL2","Primary indemnity medical plan - specialty copayment: Retail/pharmacy in-network")</f>
        <v>Primary indemnity medical plan - specialty copayment: Retail/pharmacy in-network</v>
      </c>
      <c r="M1858" s="6"/>
      <c r="N1858" s="7"/>
      <c r="O1858" s="6"/>
      <c r="P1858" s="7"/>
      <c r="Q1858" s="6"/>
      <c r="R1858" s="7"/>
      <c r="S1858" s="6"/>
      <c r="T1858" s="7"/>
      <c r="U1858" s="6"/>
      <c r="V1858" s="7"/>
      <c r="W1858" s="6"/>
      <c r="X1858" s="7"/>
    </row>
    <row r="1859" spans="1:24" ht="25.5" x14ac:dyDescent="0.2">
      <c r="A1859" s="6"/>
      <c r="B1859" s="7"/>
      <c r="C1859" s="6"/>
      <c r="D1859" s="7"/>
      <c r="E1859" s="6"/>
      <c r="F1859" s="7"/>
      <c r="G1859" s="6"/>
      <c r="H1859" s="7"/>
      <c r="I1859" s="6"/>
      <c r="J1859" s="7"/>
      <c r="K1859" s="96" t="str">
        <f>HYPERLINK("#'Healthcare'!BSM1","Q6.8.41_6_2")</f>
        <v>Q6.8.41_6_2</v>
      </c>
      <c r="L1859" s="93" t="str">
        <f>HYPERLINK("#'Healthcare'!BSM2","Primary indemnity medical plan - specialty copayment: Retail/pharmacy out-of-network")</f>
        <v>Primary indemnity medical plan - specialty copayment: Retail/pharmacy out-of-network</v>
      </c>
      <c r="M1859" s="6"/>
      <c r="N1859" s="7"/>
      <c r="O1859" s="6"/>
      <c r="P1859" s="7"/>
      <c r="Q1859" s="6"/>
      <c r="R1859" s="7"/>
      <c r="S1859" s="6"/>
      <c r="T1859" s="7"/>
      <c r="U1859" s="6"/>
      <c r="V1859" s="7"/>
      <c r="W1859" s="6"/>
      <c r="X1859" s="7"/>
    </row>
    <row r="1860" spans="1:24" ht="25.5" x14ac:dyDescent="0.2">
      <c r="A1860" s="6"/>
      <c r="B1860" s="7"/>
      <c r="C1860" s="6"/>
      <c r="D1860" s="7"/>
      <c r="E1860" s="6"/>
      <c r="F1860" s="7"/>
      <c r="G1860" s="6"/>
      <c r="H1860" s="7"/>
      <c r="I1860" s="6"/>
      <c r="J1860" s="7"/>
      <c r="K1860" s="96" t="str">
        <f>HYPERLINK("#'Healthcare'!BSN1","Q6.8.41_6_3")</f>
        <v>Q6.8.41_6_3</v>
      </c>
      <c r="L1860" s="93" t="str">
        <f>HYPERLINK("#'Healthcare'!BSN2","Primary indemnity medical plan - specialty copayment: Mail order  in-network")</f>
        <v>Primary indemnity medical plan - specialty copayment: Mail order  in-network</v>
      </c>
      <c r="M1860" s="6"/>
      <c r="N1860" s="7"/>
      <c r="O1860" s="6"/>
      <c r="P1860" s="7"/>
      <c r="Q1860" s="6"/>
      <c r="R1860" s="7"/>
      <c r="S1860" s="6"/>
      <c r="T1860" s="7"/>
      <c r="U1860" s="6"/>
      <c r="V1860" s="7"/>
      <c r="W1860" s="6"/>
      <c r="X1860" s="7"/>
    </row>
    <row r="1861" spans="1:24" ht="25.5" x14ac:dyDescent="0.2">
      <c r="A1861" s="6"/>
      <c r="B1861" s="7"/>
      <c r="C1861" s="6"/>
      <c r="D1861" s="7"/>
      <c r="E1861" s="6"/>
      <c r="F1861" s="7"/>
      <c r="G1861" s="6"/>
      <c r="H1861" s="7"/>
      <c r="I1861" s="6"/>
      <c r="J1861" s="7"/>
      <c r="K1861" s="96" t="str">
        <f>HYPERLINK("#'Healthcare'!BSO1","Q6.8.41_6_4")</f>
        <v>Q6.8.41_6_4</v>
      </c>
      <c r="L1861" s="93" t="str">
        <f>HYPERLINK("#'Healthcare'!BSO2","Primary indemnity medical plan - specialty copayment: Mail order out-of-network")</f>
        <v>Primary indemnity medical plan - specialty copayment: Mail order out-of-network</v>
      </c>
      <c r="M1861" s="6"/>
      <c r="N1861" s="7"/>
      <c r="O1861" s="6"/>
      <c r="P1861" s="7"/>
      <c r="Q1861" s="6"/>
      <c r="R1861" s="7"/>
      <c r="S1861" s="6"/>
      <c r="T1861" s="7"/>
      <c r="U1861" s="6"/>
      <c r="V1861" s="7"/>
      <c r="W1861" s="6"/>
      <c r="X1861" s="7"/>
    </row>
    <row r="1862" spans="1:24" ht="25.5" x14ac:dyDescent="0.2">
      <c r="A1862" s="6"/>
      <c r="B1862" s="7"/>
      <c r="C1862" s="6"/>
      <c r="D1862" s="7"/>
      <c r="E1862" s="6"/>
      <c r="F1862" s="7"/>
      <c r="G1862" s="6"/>
      <c r="H1862" s="7"/>
      <c r="I1862" s="6"/>
      <c r="J1862" s="7"/>
      <c r="K1862" s="96" t="str">
        <f>HYPERLINK("#'Healthcare'!BSP1","Q6.8.41_7_1")</f>
        <v>Q6.8.41_7_1</v>
      </c>
      <c r="L1862" s="93" t="str">
        <f>HYPERLINK("#'Healthcare'!BSP2","Primary indemnity medical plan - Other copayment: Retail/pharmacy in-network")</f>
        <v>Primary indemnity medical plan - Other copayment: Retail/pharmacy in-network</v>
      </c>
      <c r="M1862" s="6"/>
      <c r="N1862" s="7"/>
      <c r="O1862" s="6"/>
      <c r="P1862" s="7"/>
      <c r="Q1862" s="6"/>
      <c r="R1862" s="7"/>
      <c r="S1862" s="6"/>
      <c r="T1862" s="7"/>
      <c r="U1862" s="6"/>
      <c r="V1862" s="7"/>
      <c r="W1862" s="6"/>
      <c r="X1862" s="7"/>
    </row>
    <row r="1863" spans="1:24" ht="25.5" x14ac:dyDescent="0.2">
      <c r="A1863" s="6"/>
      <c r="B1863" s="7"/>
      <c r="C1863" s="6"/>
      <c r="D1863" s="7"/>
      <c r="E1863" s="6"/>
      <c r="F1863" s="7"/>
      <c r="G1863" s="6"/>
      <c r="H1863" s="7"/>
      <c r="I1863" s="6"/>
      <c r="J1863" s="7"/>
      <c r="K1863" s="96" t="str">
        <f>HYPERLINK("#'Healthcare'!BSQ1","Q6.8.41_7_2")</f>
        <v>Q6.8.41_7_2</v>
      </c>
      <c r="L1863" s="93" t="str">
        <f>HYPERLINK("#'Healthcare'!BSQ2","Primary indemnity medical plan - Other copayment: Retail/pharmacy out-of-network")</f>
        <v>Primary indemnity medical plan - Other copayment: Retail/pharmacy out-of-network</v>
      </c>
      <c r="M1863" s="6"/>
      <c r="N1863" s="7"/>
      <c r="O1863" s="6"/>
      <c r="P1863" s="7"/>
      <c r="Q1863" s="6"/>
      <c r="R1863" s="7"/>
      <c r="S1863" s="6"/>
      <c r="T1863" s="7"/>
      <c r="U1863" s="6"/>
      <c r="V1863" s="7"/>
      <c r="W1863" s="6"/>
      <c r="X1863" s="7"/>
    </row>
    <row r="1864" spans="1:24" ht="25.5" x14ac:dyDescent="0.2">
      <c r="A1864" s="6"/>
      <c r="B1864" s="7"/>
      <c r="C1864" s="6"/>
      <c r="D1864" s="7"/>
      <c r="E1864" s="6"/>
      <c r="F1864" s="7"/>
      <c r="G1864" s="6"/>
      <c r="H1864" s="7"/>
      <c r="I1864" s="6"/>
      <c r="J1864" s="7"/>
      <c r="K1864" s="96" t="str">
        <f>HYPERLINK("#'Healthcare'!BSR1","Q6.8.41_7_3")</f>
        <v>Q6.8.41_7_3</v>
      </c>
      <c r="L1864" s="93" t="str">
        <f>HYPERLINK("#'Healthcare'!BSR2","Primary indemnity medical plan - Other copayment: Mail order  in-network")</f>
        <v>Primary indemnity medical plan - Other copayment: Mail order  in-network</v>
      </c>
      <c r="M1864" s="6"/>
      <c r="N1864" s="7"/>
      <c r="O1864" s="6"/>
      <c r="P1864" s="7"/>
      <c r="Q1864" s="6"/>
      <c r="R1864" s="7"/>
      <c r="S1864" s="6"/>
      <c r="T1864" s="7"/>
      <c r="U1864" s="6"/>
      <c r="V1864" s="7"/>
      <c r="W1864" s="6"/>
      <c r="X1864" s="7"/>
    </row>
    <row r="1865" spans="1:24" ht="25.5" x14ac:dyDescent="0.2">
      <c r="A1865" s="6"/>
      <c r="B1865" s="7"/>
      <c r="C1865" s="6"/>
      <c r="D1865" s="7"/>
      <c r="E1865" s="6"/>
      <c r="F1865" s="7"/>
      <c r="G1865" s="6"/>
      <c r="H1865" s="7"/>
      <c r="I1865" s="6"/>
      <c r="J1865" s="7"/>
      <c r="K1865" s="96" t="str">
        <f>HYPERLINK("#'Healthcare'!BSS1","Q6.8.41_7_4")</f>
        <v>Q6.8.41_7_4</v>
      </c>
      <c r="L1865" s="93" t="str">
        <f>HYPERLINK("#'Healthcare'!BSS2","Primary indemnity medical plan - Other copayment: Mail order out-of-network")</f>
        <v>Primary indemnity medical plan - Other copayment: Mail order out-of-network</v>
      </c>
      <c r="M1865" s="6"/>
      <c r="N1865" s="7"/>
      <c r="O1865" s="6"/>
      <c r="P1865" s="7"/>
      <c r="Q1865" s="6"/>
      <c r="R1865" s="7"/>
      <c r="S1865" s="6"/>
      <c r="T1865" s="7"/>
      <c r="U1865" s="6"/>
      <c r="V1865" s="7"/>
      <c r="W1865" s="6"/>
      <c r="X1865" s="7"/>
    </row>
    <row r="1866" spans="1:24" ht="25.5" x14ac:dyDescent="0.2">
      <c r="A1866" s="6"/>
      <c r="B1866" s="7"/>
      <c r="C1866" s="6"/>
      <c r="D1866" s="7"/>
      <c r="E1866" s="6"/>
      <c r="F1866" s="7"/>
      <c r="G1866" s="6"/>
      <c r="H1866" s="7"/>
      <c r="I1866" s="6"/>
      <c r="J1866" s="7"/>
      <c r="K1866" s="96" t="str">
        <f>HYPERLINK("#'Healthcare'!BST1","Q6.8.42_1_1")</f>
        <v>Q6.8.42_1_1</v>
      </c>
      <c r="L1866" s="93" t="str">
        <f>HYPERLINK("#'Healthcare'!BST2","Primary indemnity medical plan tier 1 coinsurance: Retail/pharmacy - in-network")</f>
        <v>Primary indemnity medical plan tier 1 coinsurance: Retail/pharmacy - in-network</v>
      </c>
      <c r="M1866" s="6"/>
      <c r="N1866" s="7"/>
      <c r="O1866" s="6"/>
      <c r="P1866" s="7"/>
      <c r="Q1866" s="6"/>
      <c r="R1866" s="7"/>
      <c r="S1866" s="6"/>
      <c r="T1866" s="7"/>
      <c r="U1866" s="6"/>
      <c r="V1866" s="7"/>
      <c r="W1866" s="6"/>
      <c r="X1866" s="7"/>
    </row>
    <row r="1867" spans="1:24" ht="25.5" x14ac:dyDescent="0.2">
      <c r="A1867" s="6"/>
      <c r="B1867" s="7"/>
      <c r="C1867" s="6"/>
      <c r="D1867" s="7"/>
      <c r="E1867" s="6"/>
      <c r="F1867" s="7"/>
      <c r="G1867" s="6"/>
      <c r="H1867" s="7"/>
      <c r="I1867" s="6"/>
      <c r="J1867" s="7"/>
      <c r="K1867" s="96" t="str">
        <f>HYPERLINK("#'Healthcare'!BSU1","Q6.8.42_2_1")</f>
        <v>Q6.8.42_2_1</v>
      </c>
      <c r="L1867" s="93" t="str">
        <f>HYPERLINK("#'Healthcare'!BSU2","Primary indemnity medical plan tier 2 coinsurance: Retail/pharmacy - in-network")</f>
        <v>Primary indemnity medical plan tier 2 coinsurance: Retail/pharmacy - in-network</v>
      </c>
      <c r="M1867" s="6"/>
      <c r="N1867" s="7"/>
      <c r="O1867" s="6"/>
      <c r="P1867" s="7"/>
      <c r="Q1867" s="6"/>
      <c r="R1867" s="7"/>
      <c r="S1867" s="6"/>
      <c r="T1867" s="7"/>
      <c r="U1867" s="6"/>
      <c r="V1867" s="7"/>
      <c r="W1867" s="6"/>
      <c r="X1867" s="7"/>
    </row>
    <row r="1868" spans="1:24" ht="25.5" x14ac:dyDescent="0.2">
      <c r="A1868" s="6"/>
      <c r="B1868" s="7"/>
      <c r="C1868" s="6"/>
      <c r="D1868" s="7"/>
      <c r="E1868" s="6"/>
      <c r="F1868" s="7"/>
      <c r="G1868" s="6"/>
      <c r="H1868" s="7"/>
      <c r="I1868" s="6"/>
      <c r="J1868" s="7"/>
      <c r="K1868" s="96" t="str">
        <f>HYPERLINK("#'Healthcare'!BSV1","Q6.8.42_3_1")</f>
        <v>Q6.8.42_3_1</v>
      </c>
      <c r="L1868" s="93" t="str">
        <f>HYPERLINK("#'Healthcare'!BSV2","Primary indemnity medical plan tier 3 coinsurance: Retail/pharmacy - in-network")</f>
        <v>Primary indemnity medical plan tier 3 coinsurance: Retail/pharmacy - in-network</v>
      </c>
      <c r="M1868" s="6"/>
      <c r="N1868" s="7"/>
      <c r="O1868" s="6"/>
      <c r="P1868" s="7"/>
      <c r="Q1868" s="6"/>
      <c r="R1868" s="7"/>
      <c r="S1868" s="6"/>
      <c r="T1868" s="7"/>
      <c r="U1868" s="6"/>
      <c r="V1868" s="7"/>
      <c r="W1868" s="6"/>
      <c r="X1868" s="7"/>
    </row>
    <row r="1869" spans="1:24" ht="25.5" x14ac:dyDescent="0.2">
      <c r="A1869" s="6"/>
      <c r="B1869" s="7"/>
      <c r="C1869" s="6"/>
      <c r="D1869" s="7"/>
      <c r="E1869" s="6"/>
      <c r="F1869" s="7"/>
      <c r="G1869" s="6"/>
      <c r="H1869" s="7"/>
      <c r="I1869" s="6"/>
      <c r="J1869" s="7"/>
      <c r="K1869" s="96" t="str">
        <f>HYPERLINK("#'Healthcare'!BSW1","Q6.8.42_4_1")</f>
        <v>Q6.8.42_4_1</v>
      </c>
      <c r="L1869" s="93" t="str">
        <f>HYPERLINK("#'Healthcare'!BSW2","Primary indemnity medical plan tier 4 coinsurance: Retail/pharmacy - in-network")</f>
        <v>Primary indemnity medical plan tier 4 coinsurance: Retail/pharmacy - in-network</v>
      </c>
      <c r="M1869" s="6"/>
      <c r="N1869" s="7"/>
      <c r="O1869" s="6"/>
      <c r="P1869" s="7"/>
      <c r="Q1869" s="6"/>
      <c r="R1869" s="7"/>
      <c r="S1869" s="6"/>
      <c r="T1869" s="7"/>
      <c r="U1869" s="6"/>
      <c r="V1869" s="7"/>
      <c r="W1869" s="6"/>
      <c r="X1869" s="7"/>
    </row>
    <row r="1870" spans="1:24" ht="25.5" x14ac:dyDescent="0.2">
      <c r="A1870" s="6"/>
      <c r="B1870" s="7"/>
      <c r="C1870" s="6"/>
      <c r="D1870" s="7"/>
      <c r="E1870" s="6"/>
      <c r="F1870" s="7"/>
      <c r="G1870" s="6"/>
      <c r="H1870" s="7"/>
      <c r="I1870" s="6"/>
      <c r="J1870" s="7"/>
      <c r="K1870" s="96" t="str">
        <f>HYPERLINK("#'Healthcare'!BSX1","Q6.8.42_5_1")</f>
        <v>Q6.8.42_5_1</v>
      </c>
      <c r="L1870" s="93" t="str">
        <f>HYPERLINK("#'Healthcare'!BSX2","Primary indemnity medical plan tier 5 coinsurance: Retail/pharmacy - in-network")</f>
        <v>Primary indemnity medical plan tier 5 coinsurance: Retail/pharmacy - in-network</v>
      </c>
      <c r="M1870" s="6"/>
      <c r="N1870" s="7"/>
      <c r="O1870" s="6"/>
      <c r="P1870" s="7"/>
      <c r="Q1870" s="6"/>
      <c r="R1870" s="7"/>
      <c r="S1870" s="6"/>
      <c r="T1870" s="7"/>
      <c r="U1870" s="6"/>
      <c r="V1870" s="7"/>
      <c r="W1870" s="6"/>
      <c r="X1870" s="7"/>
    </row>
    <row r="1871" spans="1:24" ht="25.5" x14ac:dyDescent="0.2">
      <c r="A1871" s="6"/>
      <c r="B1871" s="7"/>
      <c r="C1871" s="6"/>
      <c r="D1871" s="7"/>
      <c r="E1871" s="6"/>
      <c r="F1871" s="7"/>
      <c r="G1871" s="6"/>
      <c r="H1871" s="7"/>
      <c r="I1871" s="6"/>
      <c r="J1871" s="7"/>
      <c r="K1871" s="96" t="str">
        <f>HYPERLINK("#'Healthcare'!BSY1","Q6.8.42_6_1")</f>
        <v>Q6.8.42_6_1</v>
      </c>
      <c r="L1871" s="93" t="str">
        <f>HYPERLINK("#'Healthcare'!BSY2","Primary indemnity medical plan specialty coinsurance: Retail/pharmacy - in-network")</f>
        <v>Primary indemnity medical plan specialty coinsurance: Retail/pharmacy - in-network</v>
      </c>
      <c r="M1871" s="6"/>
      <c r="N1871" s="7"/>
      <c r="O1871" s="6"/>
      <c r="P1871" s="7"/>
      <c r="Q1871" s="6"/>
      <c r="R1871" s="7"/>
      <c r="S1871" s="6"/>
      <c r="T1871" s="7"/>
      <c r="U1871" s="6"/>
      <c r="V1871" s="7"/>
      <c r="W1871" s="6"/>
      <c r="X1871" s="7"/>
    </row>
    <row r="1872" spans="1:24" ht="25.5" x14ac:dyDescent="0.2">
      <c r="A1872" s="6"/>
      <c r="B1872" s="7"/>
      <c r="C1872" s="6"/>
      <c r="D1872" s="7"/>
      <c r="E1872" s="6"/>
      <c r="F1872" s="7"/>
      <c r="G1872" s="6"/>
      <c r="H1872" s="7"/>
      <c r="I1872" s="6"/>
      <c r="J1872" s="7"/>
      <c r="K1872" s="96" t="str">
        <f>HYPERLINK("#'Healthcare'!BSZ1","Q6.8.42_7_1")</f>
        <v>Q6.8.42_7_1</v>
      </c>
      <c r="L1872" s="93" t="str">
        <f>HYPERLINK("#'Healthcare'!BSZ2","Primary indemnity medical plan Other coinsurance: Retail/pharmacy - in-network")</f>
        <v>Primary indemnity medical plan Other coinsurance: Retail/pharmacy - in-network</v>
      </c>
      <c r="M1872" s="6"/>
      <c r="N1872" s="7"/>
      <c r="O1872" s="6"/>
      <c r="P1872" s="7"/>
      <c r="Q1872" s="6"/>
      <c r="R1872" s="7"/>
      <c r="S1872" s="6"/>
      <c r="T1872" s="7"/>
      <c r="U1872" s="6"/>
      <c r="V1872" s="7"/>
      <c r="W1872" s="6"/>
      <c r="X1872" s="7"/>
    </row>
    <row r="1873" spans="1:24" ht="38.25" x14ac:dyDescent="0.2">
      <c r="A1873" s="6"/>
      <c r="B1873" s="7"/>
      <c r="C1873" s="6"/>
      <c r="D1873" s="7"/>
      <c r="E1873" s="6"/>
      <c r="F1873" s="7"/>
      <c r="G1873" s="6"/>
      <c r="H1873" s="7"/>
      <c r="I1873" s="6"/>
      <c r="J1873" s="7"/>
      <c r="K1873" s="96" t="str">
        <f>HYPERLINK("#'Healthcare'!BTA1","Q6.8.43_1_1")</f>
        <v>Q6.8.43_1_1</v>
      </c>
      <c r="L1873" s="93" t="str">
        <f>HYPERLINK("#'Healthcare'!BTA2","Primary indemnity medical plan tier 1 coinsurance minimum: Retail/pharmacy - in-network")</f>
        <v>Primary indemnity medical plan tier 1 coinsurance minimum: Retail/pharmacy - in-network</v>
      </c>
      <c r="M1873" s="6"/>
      <c r="N1873" s="7"/>
      <c r="O1873" s="6"/>
      <c r="P1873" s="7"/>
      <c r="Q1873" s="6"/>
      <c r="R1873" s="7"/>
      <c r="S1873" s="6"/>
      <c r="T1873" s="7"/>
      <c r="U1873" s="6"/>
      <c r="V1873" s="7"/>
      <c r="W1873" s="6"/>
      <c r="X1873" s="7"/>
    </row>
    <row r="1874" spans="1:24" ht="38.25" x14ac:dyDescent="0.2">
      <c r="A1874" s="6"/>
      <c r="B1874" s="7"/>
      <c r="C1874" s="6"/>
      <c r="D1874" s="7"/>
      <c r="E1874" s="6"/>
      <c r="F1874" s="7"/>
      <c r="G1874" s="6"/>
      <c r="H1874" s="7"/>
      <c r="I1874" s="6"/>
      <c r="J1874" s="7"/>
      <c r="K1874" s="96" t="str">
        <f>HYPERLINK("#'Healthcare'!BTB1","Q6.8.43_1_2")</f>
        <v>Q6.8.43_1_2</v>
      </c>
      <c r="L1874" s="93" t="str">
        <f>HYPERLINK("#'Healthcare'!BTB2","Primary indemnity medical plan tier 1 coinsurance maximum: Retail/pharmacy - in-network")</f>
        <v>Primary indemnity medical plan tier 1 coinsurance maximum: Retail/pharmacy - in-network</v>
      </c>
      <c r="M1874" s="6"/>
      <c r="N1874" s="7"/>
      <c r="O1874" s="6"/>
      <c r="P1874" s="7"/>
      <c r="Q1874" s="6"/>
      <c r="R1874" s="7"/>
      <c r="S1874" s="6"/>
      <c r="T1874" s="7"/>
      <c r="U1874" s="6"/>
      <c r="V1874" s="7"/>
      <c r="W1874" s="6"/>
      <c r="X1874" s="7"/>
    </row>
    <row r="1875" spans="1:24" ht="38.25" x14ac:dyDescent="0.2">
      <c r="A1875" s="6"/>
      <c r="B1875" s="7"/>
      <c r="C1875" s="6"/>
      <c r="D1875" s="7"/>
      <c r="E1875" s="6"/>
      <c r="F1875" s="7"/>
      <c r="G1875" s="6"/>
      <c r="H1875" s="7"/>
      <c r="I1875" s="6"/>
      <c r="J1875" s="7"/>
      <c r="K1875" s="96" t="str">
        <f>HYPERLINK("#'Healthcare'!BTC1","Q6.8.43_2_1")</f>
        <v>Q6.8.43_2_1</v>
      </c>
      <c r="L1875" s="93" t="str">
        <f>HYPERLINK("#'Healthcare'!BTC2","Primary indemnity medical plan tier 2 coinsurance minimum: Retail/pharmacy - in-network")</f>
        <v>Primary indemnity medical plan tier 2 coinsurance minimum: Retail/pharmacy - in-network</v>
      </c>
      <c r="M1875" s="6"/>
      <c r="N1875" s="7"/>
      <c r="O1875" s="6"/>
      <c r="P1875" s="7"/>
      <c r="Q1875" s="6"/>
      <c r="R1875" s="7"/>
      <c r="S1875" s="6"/>
      <c r="T1875" s="7"/>
      <c r="U1875" s="6"/>
      <c r="V1875" s="7"/>
      <c r="W1875" s="6"/>
      <c r="X1875" s="7"/>
    </row>
    <row r="1876" spans="1:24" ht="38.25" x14ac:dyDescent="0.2">
      <c r="A1876" s="6"/>
      <c r="B1876" s="7"/>
      <c r="C1876" s="6"/>
      <c r="D1876" s="7"/>
      <c r="E1876" s="6"/>
      <c r="F1876" s="7"/>
      <c r="G1876" s="6"/>
      <c r="H1876" s="7"/>
      <c r="I1876" s="6"/>
      <c r="J1876" s="7"/>
      <c r="K1876" s="96" t="str">
        <f>HYPERLINK("#'Healthcare'!BTD1","Q6.8.43_2_2")</f>
        <v>Q6.8.43_2_2</v>
      </c>
      <c r="L1876" s="93" t="str">
        <f>HYPERLINK("#'Healthcare'!BTD2","Primary indemnity medical plan tier 2 coinsurance maximum: Retail/pharmacy - in-network")</f>
        <v>Primary indemnity medical plan tier 2 coinsurance maximum: Retail/pharmacy - in-network</v>
      </c>
      <c r="M1876" s="6"/>
      <c r="N1876" s="7"/>
      <c r="O1876" s="6"/>
      <c r="P1876" s="7"/>
      <c r="Q1876" s="6"/>
      <c r="R1876" s="7"/>
      <c r="S1876" s="6"/>
      <c r="T1876" s="7"/>
      <c r="U1876" s="6"/>
      <c r="V1876" s="7"/>
      <c r="W1876" s="6"/>
      <c r="X1876" s="7"/>
    </row>
    <row r="1877" spans="1:24" ht="38.25" x14ac:dyDescent="0.2">
      <c r="A1877" s="6"/>
      <c r="B1877" s="7"/>
      <c r="C1877" s="6"/>
      <c r="D1877" s="7"/>
      <c r="E1877" s="6"/>
      <c r="F1877" s="7"/>
      <c r="G1877" s="6"/>
      <c r="H1877" s="7"/>
      <c r="I1877" s="6"/>
      <c r="J1877" s="7"/>
      <c r="K1877" s="96" t="str">
        <f>HYPERLINK("#'Healthcare'!BTE1","Q6.8.43_3_1")</f>
        <v>Q6.8.43_3_1</v>
      </c>
      <c r="L1877" s="93" t="str">
        <f>HYPERLINK("#'Healthcare'!BTE2","Primary indemnity medical plan tier 3 coinsurance minimum: Retail/pharmacy - in-network")</f>
        <v>Primary indemnity medical plan tier 3 coinsurance minimum: Retail/pharmacy - in-network</v>
      </c>
      <c r="M1877" s="6"/>
      <c r="N1877" s="7"/>
      <c r="O1877" s="6"/>
      <c r="P1877" s="7"/>
      <c r="Q1877" s="6"/>
      <c r="R1877" s="7"/>
      <c r="S1877" s="6"/>
      <c r="T1877" s="7"/>
      <c r="U1877" s="6"/>
      <c r="V1877" s="7"/>
      <c r="W1877" s="6"/>
      <c r="X1877" s="7"/>
    </row>
    <row r="1878" spans="1:24" ht="38.25" x14ac:dyDescent="0.2">
      <c r="A1878" s="6"/>
      <c r="B1878" s="7"/>
      <c r="C1878" s="6"/>
      <c r="D1878" s="7"/>
      <c r="E1878" s="6"/>
      <c r="F1878" s="7"/>
      <c r="G1878" s="6"/>
      <c r="H1878" s="7"/>
      <c r="I1878" s="6"/>
      <c r="J1878" s="7"/>
      <c r="K1878" s="96" t="str">
        <f>HYPERLINK("#'Healthcare'!BTF1","Q6.8.43_3_2")</f>
        <v>Q6.8.43_3_2</v>
      </c>
      <c r="L1878" s="93" t="str">
        <f>HYPERLINK("#'Healthcare'!BTF2","Primary indemnity medical plan tier 3 coinsurance maximum: Retail/pharmacy - in-network")</f>
        <v>Primary indemnity medical plan tier 3 coinsurance maximum: Retail/pharmacy - in-network</v>
      </c>
      <c r="M1878" s="6"/>
      <c r="N1878" s="7"/>
      <c r="O1878" s="6"/>
      <c r="P1878" s="7"/>
      <c r="Q1878" s="6"/>
      <c r="R1878" s="7"/>
      <c r="S1878" s="6"/>
      <c r="T1878" s="7"/>
      <c r="U1878" s="6"/>
      <c r="V1878" s="7"/>
      <c r="W1878" s="6"/>
      <c r="X1878" s="7"/>
    </row>
    <row r="1879" spans="1:24" ht="38.25" x14ac:dyDescent="0.2">
      <c r="A1879" s="6"/>
      <c r="B1879" s="7"/>
      <c r="C1879" s="6"/>
      <c r="D1879" s="7"/>
      <c r="E1879" s="6"/>
      <c r="F1879" s="7"/>
      <c r="G1879" s="6"/>
      <c r="H1879" s="7"/>
      <c r="I1879" s="6"/>
      <c r="J1879" s="7"/>
      <c r="K1879" s="96" t="str">
        <f>HYPERLINK("#'Healthcare'!BTG1","Q6.8.43_4_1")</f>
        <v>Q6.8.43_4_1</v>
      </c>
      <c r="L1879" s="93" t="str">
        <f>HYPERLINK("#'Healthcare'!BTG2","Primary indemnity medical plan tier 4 coinsurance minimum: Retail/pharmacy - in-network")</f>
        <v>Primary indemnity medical plan tier 4 coinsurance minimum: Retail/pharmacy - in-network</v>
      </c>
      <c r="M1879" s="6"/>
      <c r="N1879" s="7"/>
      <c r="O1879" s="6"/>
      <c r="P1879" s="7"/>
      <c r="Q1879" s="6"/>
      <c r="R1879" s="7"/>
      <c r="S1879" s="6"/>
      <c r="T1879" s="7"/>
      <c r="U1879" s="6"/>
      <c r="V1879" s="7"/>
      <c r="W1879" s="6"/>
      <c r="X1879" s="7"/>
    </row>
    <row r="1880" spans="1:24" ht="38.25" x14ac:dyDescent="0.2">
      <c r="A1880" s="6"/>
      <c r="B1880" s="7"/>
      <c r="C1880" s="6"/>
      <c r="D1880" s="7"/>
      <c r="E1880" s="6"/>
      <c r="F1880" s="7"/>
      <c r="G1880" s="6"/>
      <c r="H1880" s="7"/>
      <c r="I1880" s="6"/>
      <c r="J1880" s="7"/>
      <c r="K1880" s="96" t="str">
        <f>HYPERLINK("#'Healthcare'!BTH1","Q6.8.43_4_2")</f>
        <v>Q6.8.43_4_2</v>
      </c>
      <c r="L1880" s="93" t="str">
        <f>HYPERLINK("#'Healthcare'!BTH2","Primary indemnity medical plan tier 4 coinsurance maximum: Retail/pharmacy - in-network")</f>
        <v>Primary indemnity medical plan tier 4 coinsurance maximum: Retail/pharmacy - in-network</v>
      </c>
      <c r="M1880" s="6"/>
      <c r="N1880" s="7"/>
      <c r="O1880" s="6"/>
      <c r="P1880" s="7"/>
      <c r="Q1880" s="6"/>
      <c r="R1880" s="7"/>
      <c r="S1880" s="6"/>
      <c r="T1880" s="7"/>
      <c r="U1880" s="6"/>
      <c r="V1880" s="7"/>
      <c r="W1880" s="6"/>
      <c r="X1880" s="7"/>
    </row>
    <row r="1881" spans="1:24" ht="38.25" x14ac:dyDescent="0.2">
      <c r="A1881" s="6"/>
      <c r="B1881" s="7"/>
      <c r="C1881" s="6"/>
      <c r="D1881" s="7"/>
      <c r="E1881" s="6"/>
      <c r="F1881" s="7"/>
      <c r="G1881" s="6"/>
      <c r="H1881" s="7"/>
      <c r="I1881" s="6"/>
      <c r="J1881" s="7"/>
      <c r="K1881" s="96" t="str">
        <f>HYPERLINK("#'Healthcare'!BTI1","Q6.8.43_5_1")</f>
        <v>Q6.8.43_5_1</v>
      </c>
      <c r="L1881" s="93" t="str">
        <f>HYPERLINK("#'Healthcare'!BTI2","Primary indemnity medical plan tier 5 coinsurance minimum: Retail/pharmacy - in-network")</f>
        <v>Primary indemnity medical plan tier 5 coinsurance minimum: Retail/pharmacy - in-network</v>
      </c>
      <c r="M1881" s="6"/>
      <c r="N1881" s="7"/>
      <c r="O1881" s="6"/>
      <c r="P1881" s="7"/>
      <c r="Q1881" s="6"/>
      <c r="R1881" s="7"/>
      <c r="S1881" s="6"/>
      <c r="T1881" s="7"/>
      <c r="U1881" s="6"/>
      <c r="V1881" s="7"/>
      <c r="W1881" s="6"/>
      <c r="X1881" s="7"/>
    </row>
    <row r="1882" spans="1:24" ht="38.25" x14ac:dyDescent="0.2">
      <c r="A1882" s="6"/>
      <c r="B1882" s="7"/>
      <c r="C1882" s="6"/>
      <c r="D1882" s="7"/>
      <c r="E1882" s="6"/>
      <c r="F1882" s="7"/>
      <c r="G1882" s="6"/>
      <c r="H1882" s="7"/>
      <c r="I1882" s="6"/>
      <c r="J1882" s="7"/>
      <c r="K1882" s="96" t="str">
        <f>HYPERLINK("#'Healthcare'!BTJ1","Q6.8.43_5_2")</f>
        <v>Q6.8.43_5_2</v>
      </c>
      <c r="L1882" s="93" t="str">
        <f>HYPERLINK("#'Healthcare'!BTJ2","Primary indemnity medical plan tier 5 coinsurance maximum: Retail/pharmacy - in-network")</f>
        <v>Primary indemnity medical plan tier 5 coinsurance maximum: Retail/pharmacy - in-network</v>
      </c>
      <c r="M1882" s="6"/>
      <c r="N1882" s="7"/>
      <c r="O1882" s="6"/>
      <c r="P1882" s="7"/>
      <c r="Q1882" s="6"/>
      <c r="R1882" s="7"/>
      <c r="S1882" s="6"/>
      <c r="T1882" s="7"/>
      <c r="U1882" s="6"/>
      <c r="V1882" s="7"/>
      <c r="W1882" s="6"/>
      <c r="X1882" s="7"/>
    </row>
    <row r="1883" spans="1:24" ht="38.25" x14ac:dyDescent="0.2">
      <c r="A1883" s="6"/>
      <c r="B1883" s="7"/>
      <c r="C1883" s="6"/>
      <c r="D1883" s="7"/>
      <c r="E1883" s="6"/>
      <c r="F1883" s="7"/>
      <c r="G1883" s="6"/>
      <c r="H1883" s="7"/>
      <c r="I1883" s="6"/>
      <c r="J1883" s="7"/>
      <c r="K1883" s="96" t="str">
        <f>HYPERLINK("#'Healthcare'!BTK1","Q6.8.43_6_1")</f>
        <v>Q6.8.43_6_1</v>
      </c>
      <c r="L1883" s="93" t="str">
        <f>HYPERLINK("#'Healthcare'!BTK2","Primary indemnity medical plan specialty coinsurance minimum: Retail/pharmacy - in-network")</f>
        <v>Primary indemnity medical plan specialty coinsurance minimum: Retail/pharmacy - in-network</v>
      </c>
      <c r="M1883" s="6"/>
      <c r="N1883" s="7"/>
      <c r="O1883" s="6"/>
      <c r="P1883" s="7"/>
      <c r="Q1883" s="6"/>
      <c r="R1883" s="7"/>
      <c r="S1883" s="6"/>
      <c r="T1883" s="7"/>
      <c r="U1883" s="6"/>
      <c r="V1883" s="7"/>
      <c r="W1883" s="6"/>
      <c r="X1883" s="7"/>
    </row>
    <row r="1884" spans="1:24" ht="38.25" x14ac:dyDescent="0.2">
      <c r="A1884" s="6"/>
      <c r="B1884" s="7"/>
      <c r="C1884" s="6"/>
      <c r="D1884" s="7"/>
      <c r="E1884" s="6"/>
      <c r="F1884" s="7"/>
      <c r="G1884" s="6"/>
      <c r="H1884" s="7"/>
      <c r="I1884" s="6"/>
      <c r="J1884" s="7"/>
      <c r="K1884" s="96" t="str">
        <f>HYPERLINK("#'Healthcare'!BTL1","Q6.8.43_6_2")</f>
        <v>Q6.8.43_6_2</v>
      </c>
      <c r="L1884" s="93" t="str">
        <f>HYPERLINK("#'Healthcare'!BTL2","Primary indemnity medical plan specialty coinsurance maximum: Retail/pharmacy - in-network")</f>
        <v>Primary indemnity medical plan specialty coinsurance maximum: Retail/pharmacy - in-network</v>
      </c>
      <c r="M1884" s="6"/>
      <c r="N1884" s="7"/>
      <c r="O1884" s="6"/>
      <c r="P1884" s="7"/>
      <c r="Q1884" s="6"/>
      <c r="R1884" s="7"/>
      <c r="S1884" s="6"/>
      <c r="T1884" s="7"/>
      <c r="U1884" s="6"/>
      <c r="V1884" s="7"/>
      <c r="W1884" s="6"/>
      <c r="X1884" s="7"/>
    </row>
    <row r="1885" spans="1:24" ht="38.25" x14ac:dyDescent="0.2">
      <c r="A1885" s="6"/>
      <c r="B1885" s="7"/>
      <c r="C1885" s="6"/>
      <c r="D1885" s="7"/>
      <c r="E1885" s="6"/>
      <c r="F1885" s="7"/>
      <c r="G1885" s="6"/>
      <c r="H1885" s="7"/>
      <c r="I1885" s="6"/>
      <c r="J1885" s="7"/>
      <c r="K1885" s="96" t="str">
        <f>HYPERLINK("#'Healthcare'!BTM1","Q6.8.43_7_1")</f>
        <v>Q6.8.43_7_1</v>
      </c>
      <c r="L1885" s="93" t="str">
        <f>HYPERLINK("#'Healthcare'!BTM2","Primary indemnity medical plan Other coinsurance minimum: Retail/pharmacy - in-network")</f>
        <v>Primary indemnity medical plan Other coinsurance minimum: Retail/pharmacy - in-network</v>
      </c>
      <c r="M1885" s="6"/>
      <c r="N1885" s="7"/>
      <c r="O1885" s="6"/>
      <c r="P1885" s="7"/>
      <c r="Q1885" s="6"/>
      <c r="R1885" s="7"/>
      <c r="S1885" s="6"/>
      <c r="T1885" s="7"/>
      <c r="U1885" s="6"/>
      <c r="V1885" s="7"/>
      <c r="W1885" s="6"/>
      <c r="X1885" s="7"/>
    </row>
    <row r="1886" spans="1:24" ht="38.25" x14ac:dyDescent="0.2">
      <c r="A1886" s="6"/>
      <c r="B1886" s="7"/>
      <c r="C1886" s="6"/>
      <c r="D1886" s="7"/>
      <c r="E1886" s="6"/>
      <c r="F1886" s="7"/>
      <c r="G1886" s="6"/>
      <c r="H1886" s="7"/>
      <c r="I1886" s="6"/>
      <c r="J1886" s="7"/>
      <c r="K1886" s="96" t="str">
        <f>HYPERLINK("#'Healthcare'!BTN1","Q6.8.43_7_2")</f>
        <v>Q6.8.43_7_2</v>
      </c>
      <c r="L1886" s="93" t="str">
        <f>HYPERLINK("#'Healthcare'!BTN2","Primary indemnity medical plan Other coinsurance maximum: Retail/pharmacy - in-network")</f>
        <v>Primary indemnity medical plan Other coinsurance maximum: Retail/pharmacy - in-network</v>
      </c>
      <c r="M1886" s="6"/>
      <c r="N1886" s="7"/>
      <c r="O1886" s="6"/>
      <c r="P1886" s="7"/>
      <c r="Q1886" s="6"/>
      <c r="R1886" s="7"/>
      <c r="S1886" s="6"/>
      <c r="T1886" s="7"/>
      <c r="U1886" s="6"/>
      <c r="V1886" s="7"/>
      <c r="W1886" s="6"/>
      <c r="X1886" s="7"/>
    </row>
    <row r="1887" spans="1:24" ht="25.5" x14ac:dyDescent="0.2">
      <c r="A1887" s="6"/>
      <c r="B1887" s="7"/>
      <c r="C1887" s="6"/>
      <c r="D1887" s="7"/>
      <c r="E1887" s="6"/>
      <c r="F1887" s="7"/>
      <c r="G1887" s="6"/>
      <c r="H1887" s="7"/>
      <c r="I1887" s="6"/>
      <c r="J1887" s="7"/>
      <c r="K1887" s="96" t="str">
        <f>HYPERLINK("#'Healthcare'!BTO1","Q6.8.44_1_1")</f>
        <v>Q6.8.44_1_1</v>
      </c>
      <c r="L1887" s="93" t="str">
        <f>HYPERLINK("#'Healthcare'!BTO2","Primary indemnity medical plan tier 1 coinsurance: Retail/pharmacy - out-of-network")</f>
        <v>Primary indemnity medical plan tier 1 coinsurance: Retail/pharmacy - out-of-network</v>
      </c>
      <c r="M1887" s="6"/>
      <c r="N1887" s="7"/>
      <c r="O1887" s="6"/>
      <c r="P1887" s="7"/>
      <c r="Q1887" s="6"/>
      <c r="R1887" s="7"/>
      <c r="S1887" s="6"/>
      <c r="T1887" s="7"/>
      <c r="U1887" s="6"/>
      <c r="V1887" s="7"/>
      <c r="W1887" s="6"/>
      <c r="X1887" s="7"/>
    </row>
    <row r="1888" spans="1:24" ht="25.5" x14ac:dyDescent="0.2">
      <c r="A1888" s="6"/>
      <c r="B1888" s="7"/>
      <c r="C1888" s="6"/>
      <c r="D1888" s="7"/>
      <c r="E1888" s="6"/>
      <c r="F1888" s="7"/>
      <c r="G1888" s="6"/>
      <c r="H1888" s="7"/>
      <c r="I1888" s="6"/>
      <c r="J1888" s="7"/>
      <c r="K1888" s="96" t="str">
        <f>HYPERLINK("#'Healthcare'!BTP1","Q6.8.44_2_1")</f>
        <v>Q6.8.44_2_1</v>
      </c>
      <c r="L1888" s="93" t="str">
        <f>HYPERLINK("#'Healthcare'!BTP2","Primary indemnity medical plan tier 2 coinsurance: Retail/pharmacy - out-of-network")</f>
        <v>Primary indemnity medical plan tier 2 coinsurance: Retail/pharmacy - out-of-network</v>
      </c>
      <c r="M1888" s="6"/>
      <c r="N1888" s="7"/>
      <c r="O1888" s="6"/>
      <c r="P1888" s="7"/>
      <c r="Q1888" s="6"/>
      <c r="R1888" s="7"/>
      <c r="S1888" s="6"/>
      <c r="T1888" s="7"/>
      <c r="U1888" s="6"/>
      <c r="V1888" s="7"/>
      <c r="W1888" s="6"/>
      <c r="X1888" s="7"/>
    </row>
    <row r="1889" spans="1:24" ht="25.5" x14ac:dyDescent="0.2">
      <c r="A1889" s="6"/>
      <c r="B1889" s="7"/>
      <c r="C1889" s="6"/>
      <c r="D1889" s="7"/>
      <c r="E1889" s="6"/>
      <c r="F1889" s="7"/>
      <c r="G1889" s="6"/>
      <c r="H1889" s="7"/>
      <c r="I1889" s="6"/>
      <c r="J1889" s="7"/>
      <c r="K1889" s="96" t="str">
        <f>HYPERLINK("#'Healthcare'!BTQ1","Q6.8.44_3_1")</f>
        <v>Q6.8.44_3_1</v>
      </c>
      <c r="L1889" s="93" t="str">
        <f>HYPERLINK("#'Healthcare'!BTQ2","Primary indemnity medical plan tier 3 coinsurance: Retail/pharmacy - out-of-network")</f>
        <v>Primary indemnity medical plan tier 3 coinsurance: Retail/pharmacy - out-of-network</v>
      </c>
      <c r="M1889" s="6"/>
      <c r="N1889" s="7"/>
      <c r="O1889" s="6"/>
      <c r="P1889" s="7"/>
      <c r="Q1889" s="6"/>
      <c r="R1889" s="7"/>
      <c r="S1889" s="6"/>
      <c r="T1889" s="7"/>
      <c r="U1889" s="6"/>
      <c r="V1889" s="7"/>
      <c r="W1889" s="6"/>
      <c r="X1889" s="7"/>
    </row>
    <row r="1890" spans="1:24" ht="25.5" x14ac:dyDescent="0.2">
      <c r="A1890" s="6"/>
      <c r="B1890" s="7"/>
      <c r="C1890" s="6"/>
      <c r="D1890" s="7"/>
      <c r="E1890" s="6"/>
      <c r="F1890" s="7"/>
      <c r="G1890" s="6"/>
      <c r="H1890" s="7"/>
      <c r="I1890" s="6"/>
      <c r="J1890" s="7"/>
      <c r="K1890" s="96" t="str">
        <f>HYPERLINK("#'Healthcare'!BTR1","Q6.8.44_4_1")</f>
        <v>Q6.8.44_4_1</v>
      </c>
      <c r="L1890" s="93" t="str">
        <f>HYPERLINK("#'Healthcare'!BTR2","Primary indemnity medical plan tier 4 coinsurance: Retail/pharmacy - out-of-network")</f>
        <v>Primary indemnity medical plan tier 4 coinsurance: Retail/pharmacy - out-of-network</v>
      </c>
      <c r="M1890" s="6"/>
      <c r="N1890" s="7"/>
      <c r="O1890" s="6"/>
      <c r="P1890" s="7"/>
      <c r="Q1890" s="6"/>
      <c r="R1890" s="7"/>
      <c r="S1890" s="6"/>
      <c r="T1890" s="7"/>
      <c r="U1890" s="6"/>
      <c r="V1890" s="7"/>
      <c r="W1890" s="6"/>
      <c r="X1890" s="7"/>
    </row>
    <row r="1891" spans="1:24" ht="25.5" x14ac:dyDescent="0.2">
      <c r="A1891" s="6"/>
      <c r="B1891" s="7"/>
      <c r="C1891" s="6"/>
      <c r="D1891" s="7"/>
      <c r="E1891" s="6"/>
      <c r="F1891" s="7"/>
      <c r="G1891" s="6"/>
      <c r="H1891" s="7"/>
      <c r="I1891" s="6"/>
      <c r="J1891" s="7"/>
      <c r="K1891" s="96" t="str">
        <f>HYPERLINK("#'Healthcare'!BTS1","Q6.8.44_5_1")</f>
        <v>Q6.8.44_5_1</v>
      </c>
      <c r="L1891" s="93" t="str">
        <f>HYPERLINK("#'Healthcare'!BTS2","Primary indemnity medical plan tier 5 coinsurance: Retail/pharmacy - out-of-network")</f>
        <v>Primary indemnity medical plan tier 5 coinsurance: Retail/pharmacy - out-of-network</v>
      </c>
      <c r="M1891" s="6"/>
      <c r="N1891" s="7"/>
      <c r="O1891" s="6"/>
      <c r="P1891" s="7"/>
      <c r="Q1891" s="6"/>
      <c r="R1891" s="7"/>
      <c r="S1891" s="6"/>
      <c r="T1891" s="7"/>
      <c r="U1891" s="6"/>
      <c r="V1891" s="7"/>
      <c r="W1891" s="6"/>
      <c r="X1891" s="7"/>
    </row>
    <row r="1892" spans="1:24" ht="25.5" x14ac:dyDescent="0.2">
      <c r="A1892" s="6"/>
      <c r="B1892" s="7"/>
      <c r="C1892" s="6"/>
      <c r="D1892" s="7"/>
      <c r="E1892" s="6"/>
      <c r="F1892" s="7"/>
      <c r="G1892" s="6"/>
      <c r="H1892" s="7"/>
      <c r="I1892" s="6"/>
      <c r="J1892" s="7"/>
      <c r="K1892" s="96" t="str">
        <f>HYPERLINK("#'Healthcare'!BTT1","Q6.8.44_6_1")</f>
        <v>Q6.8.44_6_1</v>
      </c>
      <c r="L1892" s="93" t="str">
        <f>HYPERLINK("#'Healthcare'!BTT2","Primary indemnity medical plan specialty coinsurance: Retail/pharmacy - out-of-network")</f>
        <v>Primary indemnity medical plan specialty coinsurance: Retail/pharmacy - out-of-network</v>
      </c>
      <c r="M1892" s="6"/>
      <c r="N1892" s="7"/>
      <c r="O1892" s="6"/>
      <c r="P1892" s="7"/>
      <c r="Q1892" s="6"/>
      <c r="R1892" s="7"/>
      <c r="S1892" s="6"/>
      <c r="T1892" s="7"/>
      <c r="U1892" s="6"/>
      <c r="V1892" s="7"/>
      <c r="W1892" s="6"/>
      <c r="X1892" s="7"/>
    </row>
    <row r="1893" spans="1:24" ht="25.5" x14ac:dyDescent="0.2">
      <c r="A1893" s="6"/>
      <c r="B1893" s="7"/>
      <c r="C1893" s="6"/>
      <c r="D1893" s="7"/>
      <c r="E1893" s="6"/>
      <c r="F1893" s="7"/>
      <c r="G1893" s="6"/>
      <c r="H1893" s="7"/>
      <c r="I1893" s="6"/>
      <c r="J1893" s="7"/>
      <c r="K1893" s="96" t="str">
        <f>HYPERLINK("#'Healthcare'!BTU1","Q6.8.44_7_1")</f>
        <v>Q6.8.44_7_1</v>
      </c>
      <c r="L1893" s="93" t="str">
        <f>HYPERLINK("#'Healthcare'!BTU2","Primary indemnity medical plan Other coinsurance: Retail/pharmacy - out-of-network")</f>
        <v>Primary indemnity medical plan Other coinsurance: Retail/pharmacy - out-of-network</v>
      </c>
      <c r="M1893" s="6"/>
      <c r="N1893" s="7"/>
      <c r="O1893" s="6"/>
      <c r="P1893" s="7"/>
      <c r="Q1893" s="6"/>
      <c r="R1893" s="7"/>
      <c r="S1893" s="6"/>
      <c r="T1893" s="7"/>
      <c r="U1893" s="6"/>
      <c r="V1893" s="7"/>
      <c r="W1893" s="6"/>
      <c r="X1893" s="7"/>
    </row>
    <row r="1894" spans="1:24" ht="38.25" x14ac:dyDescent="0.2">
      <c r="A1894" s="6"/>
      <c r="B1894" s="7"/>
      <c r="C1894" s="6"/>
      <c r="D1894" s="7"/>
      <c r="E1894" s="6"/>
      <c r="F1894" s="7"/>
      <c r="G1894" s="6"/>
      <c r="H1894" s="7"/>
      <c r="I1894" s="6"/>
      <c r="J1894" s="7"/>
      <c r="K1894" s="96" t="str">
        <f>HYPERLINK("#'Healthcare'!BTV1","Q6.8.45_1_1")</f>
        <v>Q6.8.45_1_1</v>
      </c>
      <c r="L1894" s="93" t="str">
        <f>HYPERLINK("#'Healthcare'!BTV2","Primary indemnity medical plan tier 1 coinsurance minimum: Retail/pharmacy - out-of-network")</f>
        <v>Primary indemnity medical plan tier 1 coinsurance minimum: Retail/pharmacy - out-of-network</v>
      </c>
      <c r="M1894" s="6"/>
      <c r="N1894" s="7"/>
      <c r="O1894" s="6"/>
      <c r="P1894" s="7"/>
      <c r="Q1894" s="6"/>
      <c r="R1894" s="7"/>
      <c r="S1894" s="6"/>
      <c r="T1894" s="7"/>
      <c r="U1894" s="6"/>
      <c r="V1894" s="7"/>
      <c r="W1894" s="6"/>
      <c r="X1894" s="7"/>
    </row>
    <row r="1895" spans="1:24" ht="38.25" x14ac:dyDescent="0.2">
      <c r="A1895" s="6"/>
      <c r="B1895" s="7"/>
      <c r="C1895" s="6"/>
      <c r="D1895" s="7"/>
      <c r="E1895" s="6"/>
      <c r="F1895" s="7"/>
      <c r="G1895" s="6"/>
      <c r="H1895" s="7"/>
      <c r="I1895" s="6"/>
      <c r="J1895" s="7"/>
      <c r="K1895" s="96" t="str">
        <f>HYPERLINK("#'Healthcare'!BTW1","Q6.8.45_1_2")</f>
        <v>Q6.8.45_1_2</v>
      </c>
      <c r="L1895" s="93" t="str">
        <f>HYPERLINK("#'Healthcare'!BTW2","Primary indemnity medical plan tier 1 coinsurance maximum: Retail/pharmacy - out-of-network")</f>
        <v>Primary indemnity medical plan tier 1 coinsurance maximum: Retail/pharmacy - out-of-network</v>
      </c>
      <c r="M1895" s="6"/>
      <c r="N1895" s="7"/>
      <c r="O1895" s="6"/>
      <c r="P1895" s="7"/>
      <c r="Q1895" s="6"/>
      <c r="R1895" s="7"/>
      <c r="S1895" s="6"/>
      <c r="T1895" s="7"/>
      <c r="U1895" s="6"/>
      <c r="V1895" s="7"/>
      <c r="W1895" s="6"/>
      <c r="X1895" s="7"/>
    </row>
    <row r="1896" spans="1:24" ht="38.25" x14ac:dyDescent="0.2">
      <c r="A1896" s="6"/>
      <c r="B1896" s="7"/>
      <c r="C1896" s="6"/>
      <c r="D1896" s="7"/>
      <c r="E1896" s="6"/>
      <c r="F1896" s="7"/>
      <c r="G1896" s="6"/>
      <c r="H1896" s="7"/>
      <c r="I1896" s="6"/>
      <c r="J1896" s="7"/>
      <c r="K1896" s="96" t="str">
        <f>HYPERLINK("#'Healthcare'!BTX1","Q6.8.45_2_1")</f>
        <v>Q6.8.45_2_1</v>
      </c>
      <c r="L1896" s="93" t="str">
        <f>HYPERLINK("#'Healthcare'!BTX2","Primary indemnity medical plan tier 2 coinsurance minimum: Retail/pharmacy - out-of-network")</f>
        <v>Primary indemnity medical plan tier 2 coinsurance minimum: Retail/pharmacy - out-of-network</v>
      </c>
      <c r="M1896" s="6"/>
      <c r="N1896" s="7"/>
      <c r="O1896" s="6"/>
      <c r="P1896" s="7"/>
      <c r="Q1896" s="6"/>
      <c r="R1896" s="7"/>
      <c r="S1896" s="6"/>
      <c r="T1896" s="7"/>
      <c r="U1896" s="6"/>
      <c r="V1896" s="7"/>
      <c r="W1896" s="6"/>
      <c r="X1896" s="7"/>
    </row>
    <row r="1897" spans="1:24" ht="38.25" x14ac:dyDescent="0.2">
      <c r="A1897" s="6"/>
      <c r="B1897" s="7"/>
      <c r="C1897" s="6"/>
      <c r="D1897" s="7"/>
      <c r="E1897" s="6"/>
      <c r="F1897" s="7"/>
      <c r="G1897" s="6"/>
      <c r="H1897" s="7"/>
      <c r="I1897" s="6"/>
      <c r="J1897" s="7"/>
      <c r="K1897" s="96" t="str">
        <f>HYPERLINK("#'Healthcare'!BTY1","Q6.8.45_2_2")</f>
        <v>Q6.8.45_2_2</v>
      </c>
      <c r="L1897" s="93" t="str">
        <f>HYPERLINK("#'Healthcare'!BTY2","Primary indemnity medical plan tier 2 coinsurance maximum: Retail/pharmacy - out-of-network")</f>
        <v>Primary indemnity medical plan tier 2 coinsurance maximum: Retail/pharmacy - out-of-network</v>
      </c>
      <c r="M1897" s="6"/>
      <c r="N1897" s="7"/>
      <c r="O1897" s="6"/>
      <c r="P1897" s="7"/>
      <c r="Q1897" s="6"/>
      <c r="R1897" s="7"/>
      <c r="S1897" s="6"/>
      <c r="T1897" s="7"/>
      <c r="U1897" s="6"/>
      <c r="V1897" s="7"/>
      <c r="W1897" s="6"/>
      <c r="X1897" s="7"/>
    </row>
    <row r="1898" spans="1:24" ht="38.25" x14ac:dyDescent="0.2">
      <c r="A1898" s="6"/>
      <c r="B1898" s="7"/>
      <c r="C1898" s="6"/>
      <c r="D1898" s="7"/>
      <c r="E1898" s="6"/>
      <c r="F1898" s="7"/>
      <c r="G1898" s="6"/>
      <c r="H1898" s="7"/>
      <c r="I1898" s="6"/>
      <c r="J1898" s="7"/>
      <c r="K1898" s="96" t="str">
        <f>HYPERLINK("#'Healthcare'!BTZ1","Q6.8.45_3_1")</f>
        <v>Q6.8.45_3_1</v>
      </c>
      <c r="L1898" s="93" t="str">
        <f>HYPERLINK("#'Healthcare'!BTZ2","Primary indemnity medical plan tier 3 coinsurance minimum: Retail/pharmacy - out-of-network")</f>
        <v>Primary indemnity medical plan tier 3 coinsurance minimum: Retail/pharmacy - out-of-network</v>
      </c>
      <c r="M1898" s="6"/>
      <c r="N1898" s="7"/>
      <c r="O1898" s="6"/>
      <c r="P1898" s="7"/>
      <c r="Q1898" s="6"/>
      <c r="R1898" s="7"/>
      <c r="S1898" s="6"/>
      <c r="T1898" s="7"/>
      <c r="U1898" s="6"/>
      <c r="V1898" s="7"/>
      <c r="W1898" s="6"/>
      <c r="X1898" s="7"/>
    </row>
    <row r="1899" spans="1:24" ht="38.25" x14ac:dyDescent="0.2">
      <c r="A1899" s="6"/>
      <c r="B1899" s="7"/>
      <c r="C1899" s="6"/>
      <c r="D1899" s="7"/>
      <c r="E1899" s="6"/>
      <c r="F1899" s="7"/>
      <c r="G1899" s="6"/>
      <c r="H1899" s="7"/>
      <c r="I1899" s="6"/>
      <c r="J1899" s="7"/>
      <c r="K1899" s="96" t="str">
        <f>HYPERLINK("#'Healthcare'!BUA1","Q6.8.45_3_2")</f>
        <v>Q6.8.45_3_2</v>
      </c>
      <c r="L1899" s="93" t="str">
        <f>HYPERLINK("#'Healthcare'!BUA2","Primary indemnity medical plan tier 3 coinsurance maximum: Retail/pharmacy - out-of-network")</f>
        <v>Primary indemnity medical plan tier 3 coinsurance maximum: Retail/pharmacy - out-of-network</v>
      </c>
      <c r="M1899" s="6"/>
      <c r="N1899" s="7"/>
      <c r="O1899" s="6"/>
      <c r="P1899" s="7"/>
      <c r="Q1899" s="6"/>
      <c r="R1899" s="7"/>
      <c r="S1899" s="6"/>
      <c r="T1899" s="7"/>
      <c r="U1899" s="6"/>
      <c r="V1899" s="7"/>
      <c r="W1899" s="6"/>
      <c r="X1899" s="7"/>
    </row>
    <row r="1900" spans="1:24" ht="38.25" x14ac:dyDescent="0.2">
      <c r="A1900" s="6"/>
      <c r="B1900" s="7"/>
      <c r="C1900" s="6"/>
      <c r="D1900" s="7"/>
      <c r="E1900" s="6"/>
      <c r="F1900" s="7"/>
      <c r="G1900" s="6"/>
      <c r="H1900" s="7"/>
      <c r="I1900" s="6"/>
      <c r="J1900" s="7"/>
      <c r="K1900" s="96" t="str">
        <f>HYPERLINK("#'Healthcare'!BUB1","Q6.8.45_4_1")</f>
        <v>Q6.8.45_4_1</v>
      </c>
      <c r="L1900" s="93" t="str">
        <f>HYPERLINK("#'Healthcare'!BUB2","Primary indemnity medical plan tier 4 coinsurance minimum: Retail/pharmacy - out-of-network")</f>
        <v>Primary indemnity medical plan tier 4 coinsurance minimum: Retail/pharmacy - out-of-network</v>
      </c>
      <c r="M1900" s="6"/>
      <c r="N1900" s="7"/>
      <c r="O1900" s="6"/>
      <c r="P1900" s="7"/>
      <c r="Q1900" s="6"/>
      <c r="R1900" s="7"/>
      <c r="S1900" s="6"/>
      <c r="T1900" s="7"/>
      <c r="U1900" s="6"/>
      <c r="V1900" s="7"/>
      <c r="W1900" s="6"/>
      <c r="X1900" s="7"/>
    </row>
    <row r="1901" spans="1:24" ht="38.25" x14ac:dyDescent="0.2">
      <c r="A1901" s="6"/>
      <c r="B1901" s="7"/>
      <c r="C1901" s="6"/>
      <c r="D1901" s="7"/>
      <c r="E1901" s="6"/>
      <c r="F1901" s="7"/>
      <c r="G1901" s="6"/>
      <c r="H1901" s="7"/>
      <c r="I1901" s="6"/>
      <c r="J1901" s="7"/>
      <c r="K1901" s="96" t="str">
        <f>HYPERLINK("#'Healthcare'!BUC1","Q6.8.45_4_2")</f>
        <v>Q6.8.45_4_2</v>
      </c>
      <c r="L1901" s="93" t="str">
        <f>HYPERLINK("#'Healthcare'!BUC2","Primary indemnity medical plan tier 4 coinsurance maximum: Retail/pharmacy - out-of-network")</f>
        <v>Primary indemnity medical plan tier 4 coinsurance maximum: Retail/pharmacy - out-of-network</v>
      </c>
      <c r="M1901" s="6"/>
      <c r="N1901" s="7"/>
      <c r="O1901" s="6"/>
      <c r="P1901" s="7"/>
      <c r="Q1901" s="6"/>
      <c r="R1901" s="7"/>
      <c r="S1901" s="6"/>
      <c r="T1901" s="7"/>
      <c r="U1901" s="6"/>
      <c r="V1901" s="7"/>
      <c r="W1901" s="6"/>
      <c r="X1901" s="7"/>
    </row>
    <row r="1902" spans="1:24" ht="38.25" x14ac:dyDescent="0.2">
      <c r="A1902" s="6"/>
      <c r="B1902" s="7"/>
      <c r="C1902" s="6"/>
      <c r="D1902" s="7"/>
      <c r="E1902" s="6"/>
      <c r="F1902" s="7"/>
      <c r="G1902" s="6"/>
      <c r="H1902" s="7"/>
      <c r="I1902" s="6"/>
      <c r="J1902" s="7"/>
      <c r="K1902" s="96" t="str">
        <f>HYPERLINK("#'Healthcare'!BUD1","Q6.8.45_5_1")</f>
        <v>Q6.8.45_5_1</v>
      </c>
      <c r="L1902" s="93" t="str">
        <f>HYPERLINK("#'Healthcare'!BUD2","Primary indemnity medical plan tier 5 coinsurance minimum: Retail/pharmacy - out-of-network")</f>
        <v>Primary indemnity medical plan tier 5 coinsurance minimum: Retail/pharmacy - out-of-network</v>
      </c>
      <c r="M1902" s="6"/>
      <c r="N1902" s="7"/>
      <c r="O1902" s="6"/>
      <c r="P1902" s="7"/>
      <c r="Q1902" s="6"/>
      <c r="R1902" s="7"/>
      <c r="S1902" s="6"/>
      <c r="T1902" s="7"/>
      <c r="U1902" s="6"/>
      <c r="V1902" s="7"/>
      <c r="W1902" s="6"/>
      <c r="X1902" s="7"/>
    </row>
    <row r="1903" spans="1:24" ht="38.25" x14ac:dyDescent="0.2">
      <c r="A1903" s="6"/>
      <c r="B1903" s="7"/>
      <c r="C1903" s="6"/>
      <c r="D1903" s="7"/>
      <c r="E1903" s="6"/>
      <c r="F1903" s="7"/>
      <c r="G1903" s="6"/>
      <c r="H1903" s="7"/>
      <c r="I1903" s="6"/>
      <c r="J1903" s="7"/>
      <c r="K1903" s="96" t="str">
        <f>HYPERLINK("#'Healthcare'!BUE1","Q6.8.45_5_2")</f>
        <v>Q6.8.45_5_2</v>
      </c>
      <c r="L1903" s="93" t="str">
        <f>HYPERLINK("#'Healthcare'!BUE2","Primary indemnity medical plan tier 5 coinsurance maximum: Retail/pharmacy - out-of-network")</f>
        <v>Primary indemnity medical plan tier 5 coinsurance maximum: Retail/pharmacy - out-of-network</v>
      </c>
      <c r="M1903" s="6"/>
      <c r="N1903" s="7"/>
      <c r="O1903" s="6"/>
      <c r="P1903" s="7"/>
      <c r="Q1903" s="6"/>
      <c r="R1903" s="7"/>
      <c r="S1903" s="6"/>
      <c r="T1903" s="7"/>
      <c r="U1903" s="6"/>
      <c r="V1903" s="7"/>
      <c r="W1903" s="6"/>
      <c r="X1903" s="7"/>
    </row>
    <row r="1904" spans="1:24" ht="38.25" x14ac:dyDescent="0.2">
      <c r="A1904" s="6"/>
      <c r="B1904" s="7"/>
      <c r="C1904" s="6"/>
      <c r="D1904" s="7"/>
      <c r="E1904" s="6"/>
      <c r="F1904" s="7"/>
      <c r="G1904" s="6"/>
      <c r="H1904" s="7"/>
      <c r="I1904" s="6"/>
      <c r="J1904" s="7"/>
      <c r="K1904" s="96" t="str">
        <f>HYPERLINK("#'Healthcare'!BUF1","Q6.8.45_6_1")</f>
        <v>Q6.8.45_6_1</v>
      </c>
      <c r="L1904" s="93" t="str">
        <f>HYPERLINK("#'Healthcare'!BUF2","Primary indemnity medical plan specialty coinsurance minimum: Retail/pharmacy - out-of-network")</f>
        <v>Primary indemnity medical plan specialty coinsurance minimum: Retail/pharmacy - out-of-network</v>
      </c>
      <c r="M1904" s="6"/>
      <c r="N1904" s="7"/>
      <c r="O1904" s="6"/>
      <c r="P1904" s="7"/>
      <c r="Q1904" s="6"/>
      <c r="R1904" s="7"/>
      <c r="S1904" s="6"/>
      <c r="T1904" s="7"/>
      <c r="U1904" s="6"/>
      <c r="V1904" s="7"/>
      <c r="W1904" s="6"/>
      <c r="X1904" s="7"/>
    </row>
    <row r="1905" spans="1:24" ht="38.25" x14ac:dyDescent="0.2">
      <c r="A1905" s="6"/>
      <c r="B1905" s="7"/>
      <c r="C1905" s="6"/>
      <c r="D1905" s="7"/>
      <c r="E1905" s="6"/>
      <c r="F1905" s="7"/>
      <c r="G1905" s="6"/>
      <c r="H1905" s="7"/>
      <c r="I1905" s="6"/>
      <c r="J1905" s="7"/>
      <c r="K1905" s="96" t="str">
        <f>HYPERLINK("#'Healthcare'!BUG1","Q6.8.45_6_2")</f>
        <v>Q6.8.45_6_2</v>
      </c>
      <c r="L1905" s="93" t="str">
        <f>HYPERLINK("#'Healthcare'!BUG2","Primary indemnity medical plan specialty coinsurance maximum: Retail/pharmacy - out-of-network")</f>
        <v>Primary indemnity medical plan specialty coinsurance maximum: Retail/pharmacy - out-of-network</v>
      </c>
      <c r="M1905" s="6"/>
      <c r="N1905" s="7"/>
      <c r="O1905" s="6"/>
      <c r="P1905" s="7"/>
      <c r="Q1905" s="6"/>
      <c r="R1905" s="7"/>
      <c r="S1905" s="6"/>
      <c r="T1905" s="7"/>
      <c r="U1905" s="6"/>
      <c r="V1905" s="7"/>
      <c r="W1905" s="6"/>
      <c r="X1905" s="7"/>
    </row>
    <row r="1906" spans="1:24" ht="38.25" x14ac:dyDescent="0.2">
      <c r="A1906" s="6"/>
      <c r="B1906" s="7"/>
      <c r="C1906" s="6"/>
      <c r="D1906" s="7"/>
      <c r="E1906" s="6"/>
      <c r="F1906" s="7"/>
      <c r="G1906" s="6"/>
      <c r="H1906" s="7"/>
      <c r="I1906" s="6"/>
      <c r="J1906" s="7"/>
      <c r="K1906" s="96" t="str">
        <f>HYPERLINK("#'Healthcare'!BUH1","Q6.8.45_7_1")</f>
        <v>Q6.8.45_7_1</v>
      </c>
      <c r="L1906" s="93" t="str">
        <f>HYPERLINK("#'Healthcare'!BUH2","Primary indemnity medical plan Other coinsurance minimum: Retail/pharmacy - out-of-network")</f>
        <v>Primary indemnity medical plan Other coinsurance minimum: Retail/pharmacy - out-of-network</v>
      </c>
      <c r="M1906" s="6"/>
      <c r="N1906" s="7"/>
      <c r="O1906" s="6"/>
      <c r="P1906" s="7"/>
      <c r="Q1906" s="6"/>
      <c r="R1906" s="7"/>
      <c r="S1906" s="6"/>
      <c r="T1906" s="7"/>
      <c r="U1906" s="6"/>
      <c r="V1906" s="7"/>
      <c r="W1906" s="6"/>
      <c r="X1906" s="7"/>
    </row>
    <row r="1907" spans="1:24" ht="38.25" x14ac:dyDescent="0.2">
      <c r="A1907" s="6"/>
      <c r="B1907" s="7"/>
      <c r="C1907" s="6"/>
      <c r="D1907" s="7"/>
      <c r="E1907" s="6"/>
      <c r="F1907" s="7"/>
      <c r="G1907" s="6"/>
      <c r="H1907" s="7"/>
      <c r="I1907" s="6"/>
      <c r="J1907" s="7"/>
      <c r="K1907" s="96" t="str">
        <f>HYPERLINK("#'Healthcare'!BUI1","Q6.8.45_7_2")</f>
        <v>Q6.8.45_7_2</v>
      </c>
      <c r="L1907" s="93" t="str">
        <f>HYPERLINK("#'Healthcare'!BUI2","Primary indemnity medical plan Other coinsurance maximum: Retail/pharmacy - out-of-network")</f>
        <v>Primary indemnity medical plan Other coinsurance maximum: Retail/pharmacy - out-of-network</v>
      </c>
      <c r="M1907" s="6"/>
      <c r="N1907" s="7"/>
      <c r="O1907" s="6"/>
      <c r="P1907" s="7"/>
      <c r="Q1907" s="6"/>
      <c r="R1907" s="7"/>
      <c r="S1907" s="6"/>
      <c r="T1907" s="7"/>
      <c r="U1907" s="6"/>
      <c r="V1907" s="7"/>
      <c r="W1907" s="6"/>
      <c r="X1907" s="7"/>
    </row>
    <row r="1908" spans="1:24" ht="25.5" x14ac:dyDescent="0.2">
      <c r="A1908" s="6"/>
      <c r="B1908" s="7"/>
      <c r="C1908" s="6"/>
      <c r="D1908" s="7"/>
      <c r="E1908" s="6"/>
      <c r="F1908" s="7"/>
      <c r="G1908" s="6"/>
      <c r="H1908" s="7"/>
      <c r="I1908" s="6"/>
      <c r="J1908" s="7"/>
      <c r="K1908" s="96" t="str">
        <f>HYPERLINK("#'Healthcare'!BUJ1","Q6.8.46_1_1")</f>
        <v>Q6.8.46_1_1</v>
      </c>
      <c r="L1908" s="93" t="str">
        <f>HYPERLINK("#'Healthcare'!BUJ2","Primary indemnity medical plan tier 1 coinsurance: Mail order - in-network")</f>
        <v>Primary indemnity medical plan tier 1 coinsurance: Mail order - in-network</v>
      </c>
      <c r="M1908" s="6"/>
      <c r="N1908" s="7"/>
      <c r="O1908" s="6"/>
      <c r="P1908" s="7"/>
      <c r="Q1908" s="6"/>
      <c r="R1908" s="7"/>
      <c r="S1908" s="6"/>
      <c r="T1908" s="7"/>
      <c r="U1908" s="6"/>
      <c r="V1908" s="7"/>
      <c r="W1908" s="6"/>
      <c r="X1908" s="7"/>
    </row>
    <row r="1909" spans="1:24" ht="25.5" x14ac:dyDescent="0.2">
      <c r="A1909" s="6"/>
      <c r="B1909" s="7"/>
      <c r="C1909" s="6"/>
      <c r="D1909" s="7"/>
      <c r="E1909" s="6"/>
      <c r="F1909" s="7"/>
      <c r="G1909" s="6"/>
      <c r="H1909" s="7"/>
      <c r="I1909" s="6"/>
      <c r="J1909" s="7"/>
      <c r="K1909" s="96" t="str">
        <f>HYPERLINK("#'Healthcare'!BUK1","Q6.8.46_2_1")</f>
        <v>Q6.8.46_2_1</v>
      </c>
      <c r="L1909" s="93" t="str">
        <f>HYPERLINK("#'Healthcare'!BUK2","Primary indemnity medical plan tier 2 coinsurance: Mail order - in-network")</f>
        <v>Primary indemnity medical plan tier 2 coinsurance: Mail order - in-network</v>
      </c>
      <c r="M1909" s="6"/>
      <c r="N1909" s="7"/>
      <c r="O1909" s="6"/>
      <c r="P1909" s="7"/>
      <c r="Q1909" s="6"/>
      <c r="R1909" s="7"/>
      <c r="S1909" s="6"/>
      <c r="T1909" s="7"/>
      <c r="U1909" s="6"/>
      <c r="V1909" s="7"/>
      <c r="W1909" s="6"/>
      <c r="X1909" s="7"/>
    </row>
    <row r="1910" spans="1:24" ht="25.5" x14ac:dyDescent="0.2">
      <c r="A1910" s="6"/>
      <c r="B1910" s="7"/>
      <c r="C1910" s="6"/>
      <c r="D1910" s="7"/>
      <c r="E1910" s="6"/>
      <c r="F1910" s="7"/>
      <c r="G1910" s="6"/>
      <c r="H1910" s="7"/>
      <c r="I1910" s="6"/>
      <c r="J1910" s="7"/>
      <c r="K1910" s="96" t="str">
        <f>HYPERLINK("#'Healthcare'!BUL1","Q6.8.46_3_1")</f>
        <v>Q6.8.46_3_1</v>
      </c>
      <c r="L1910" s="93" t="str">
        <f>HYPERLINK("#'Healthcare'!BUL2","Primary indemnity medical plan tier 3 coinsurance: Mail order - in-network")</f>
        <v>Primary indemnity medical plan tier 3 coinsurance: Mail order - in-network</v>
      </c>
      <c r="M1910" s="6"/>
      <c r="N1910" s="7"/>
      <c r="O1910" s="6"/>
      <c r="P1910" s="7"/>
      <c r="Q1910" s="6"/>
      <c r="R1910" s="7"/>
      <c r="S1910" s="6"/>
      <c r="T1910" s="7"/>
      <c r="U1910" s="6"/>
      <c r="V1910" s="7"/>
      <c r="W1910" s="6"/>
      <c r="X1910" s="7"/>
    </row>
    <row r="1911" spans="1:24" ht="25.5" x14ac:dyDescent="0.2">
      <c r="A1911" s="6"/>
      <c r="B1911" s="7"/>
      <c r="C1911" s="6"/>
      <c r="D1911" s="7"/>
      <c r="E1911" s="6"/>
      <c r="F1911" s="7"/>
      <c r="G1911" s="6"/>
      <c r="H1911" s="7"/>
      <c r="I1911" s="6"/>
      <c r="J1911" s="7"/>
      <c r="K1911" s="96" t="str">
        <f>HYPERLINK("#'Healthcare'!BUM1","Q6.8.46_4_1")</f>
        <v>Q6.8.46_4_1</v>
      </c>
      <c r="L1911" s="93" t="str">
        <f>HYPERLINK("#'Healthcare'!BUM2","Primary indemnity medical plan tier 4 coinsurance: Mail order - in-network")</f>
        <v>Primary indemnity medical plan tier 4 coinsurance: Mail order - in-network</v>
      </c>
      <c r="M1911" s="6"/>
      <c r="N1911" s="7"/>
      <c r="O1911" s="6"/>
      <c r="P1911" s="7"/>
      <c r="Q1911" s="6"/>
      <c r="R1911" s="7"/>
      <c r="S1911" s="6"/>
      <c r="T1911" s="7"/>
      <c r="U1911" s="6"/>
      <c r="V1911" s="7"/>
      <c r="W1911" s="6"/>
      <c r="X1911" s="7"/>
    </row>
    <row r="1912" spans="1:24" ht="25.5" x14ac:dyDescent="0.2">
      <c r="A1912" s="6"/>
      <c r="B1912" s="7"/>
      <c r="C1912" s="6"/>
      <c r="D1912" s="7"/>
      <c r="E1912" s="6"/>
      <c r="F1912" s="7"/>
      <c r="G1912" s="6"/>
      <c r="H1912" s="7"/>
      <c r="I1912" s="6"/>
      <c r="J1912" s="7"/>
      <c r="K1912" s="96" t="str">
        <f>HYPERLINK("#'Healthcare'!BUN1","Q6.8.46_5_1")</f>
        <v>Q6.8.46_5_1</v>
      </c>
      <c r="L1912" s="93" t="str">
        <f>HYPERLINK("#'Healthcare'!BUN2","Primary indemnity medical plan tier 5 coinsurance: Mail order - in-network")</f>
        <v>Primary indemnity medical plan tier 5 coinsurance: Mail order - in-network</v>
      </c>
      <c r="M1912" s="6"/>
      <c r="N1912" s="7"/>
      <c r="O1912" s="6"/>
      <c r="P1912" s="7"/>
      <c r="Q1912" s="6"/>
      <c r="R1912" s="7"/>
      <c r="S1912" s="6"/>
      <c r="T1912" s="7"/>
      <c r="U1912" s="6"/>
      <c r="V1912" s="7"/>
      <c r="W1912" s="6"/>
      <c r="X1912" s="7"/>
    </row>
    <row r="1913" spans="1:24" ht="25.5" x14ac:dyDescent="0.2">
      <c r="A1913" s="6"/>
      <c r="B1913" s="7"/>
      <c r="C1913" s="6"/>
      <c r="D1913" s="7"/>
      <c r="E1913" s="6"/>
      <c r="F1913" s="7"/>
      <c r="G1913" s="6"/>
      <c r="H1913" s="7"/>
      <c r="I1913" s="6"/>
      <c r="J1913" s="7"/>
      <c r="K1913" s="96" t="str">
        <f>HYPERLINK("#'Healthcare'!BUO1","Q6.8.46_6_1")</f>
        <v>Q6.8.46_6_1</v>
      </c>
      <c r="L1913" s="93" t="str">
        <f>HYPERLINK("#'Healthcare'!BUO2","Primary indemnity medical plan specialty coinsurance: Mail order - in-network")</f>
        <v>Primary indemnity medical plan specialty coinsurance: Mail order - in-network</v>
      </c>
      <c r="M1913" s="6"/>
      <c r="N1913" s="7"/>
      <c r="O1913" s="6"/>
      <c r="P1913" s="7"/>
      <c r="Q1913" s="6"/>
      <c r="R1913" s="7"/>
      <c r="S1913" s="6"/>
      <c r="T1913" s="7"/>
      <c r="U1913" s="6"/>
      <c r="V1913" s="7"/>
      <c r="W1913" s="6"/>
      <c r="X1913" s="7"/>
    </row>
    <row r="1914" spans="1:24" ht="25.5" x14ac:dyDescent="0.2">
      <c r="A1914" s="6"/>
      <c r="B1914" s="7"/>
      <c r="C1914" s="6"/>
      <c r="D1914" s="7"/>
      <c r="E1914" s="6"/>
      <c r="F1914" s="7"/>
      <c r="G1914" s="6"/>
      <c r="H1914" s="7"/>
      <c r="I1914" s="6"/>
      <c r="J1914" s="7"/>
      <c r="K1914" s="96" t="str">
        <f>HYPERLINK("#'Healthcare'!BUP1","Q6.8.46_7_1")</f>
        <v>Q6.8.46_7_1</v>
      </c>
      <c r="L1914" s="93" t="str">
        <f>HYPERLINK("#'Healthcare'!BUP2","Primary indemnity medical plan Other coinsurance: Mail order - in-network")</f>
        <v>Primary indemnity medical plan Other coinsurance: Mail order - in-network</v>
      </c>
      <c r="M1914" s="6"/>
      <c r="N1914" s="7"/>
      <c r="O1914" s="6"/>
      <c r="P1914" s="7"/>
      <c r="Q1914" s="6"/>
      <c r="R1914" s="7"/>
      <c r="S1914" s="6"/>
      <c r="T1914" s="7"/>
      <c r="U1914" s="6"/>
      <c r="V1914" s="7"/>
      <c r="W1914" s="6"/>
      <c r="X1914" s="7"/>
    </row>
    <row r="1915" spans="1:24" ht="25.5" x14ac:dyDescent="0.2">
      <c r="A1915" s="6"/>
      <c r="B1915" s="7"/>
      <c r="C1915" s="6"/>
      <c r="D1915" s="7"/>
      <c r="E1915" s="6"/>
      <c r="F1915" s="7"/>
      <c r="G1915" s="6"/>
      <c r="H1915" s="7"/>
      <c r="I1915" s="6"/>
      <c r="J1915" s="7"/>
      <c r="K1915" s="96" t="str">
        <f>HYPERLINK("#'Healthcare'!BUQ1","Q6.8.47_1_1")</f>
        <v>Q6.8.47_1_1</v>
      </c>
      <c r="L1915" s="93" t="str">
        <f>HYPERLINK("#'Healthcare'!BUQ2","Primary indemnity medical plan tier 1 coinsurance minimum: Mail order - in-network")</f>
        <v>Primary indemnity medical plan tier 1 coinsurance minimum: Mail order - in-network</v>
      </c>
      <c r="M1915" s="6"/>
      <c r="N1915" s="7"/>
      <c r="O1915" s="6"/>
      <c r="P1915" s="7"/>
      <c r="Q1915" s="6"/>
      <c r="R1915" s="7"/>
      <c r="S1915" s="6"/>
      <c r="T1915" s="7"/>
      <c r="U1915" s="6"/>
      <c r="V1915" s="7"/>
      <c r="W1915" s="6"/>
      <c r="X1915" s="7"/>
    </row>
    <row r="1916" spans="1:24" ht="25.5" x14ac:dyDescent="0.2">
      <c r="A1916" s="6"/>
      <c r="B1916" s="7"/>
      <c r="C1916" s="6"/>
      <c r="D1916" s="7"/>
      <c r="E1916" s="6"/>
      <c r="F1916" s="7"/>
      <c r="G1916" s="6"/>
      <c r="H1916" s="7"/>
      <c r="I1916" s="6"/>
      <c r="J1916" s="7"/>
      <c r="K1916" s="96" t="str">
        <f>HYPERLINK("#'Healthcare'!BUR1","Q6.8.47_1_2")</f>
        <v>Q6.8.47_1_2</v>
      </c>
      <c r="L1916" s="93" t="str">
        <f>HYPERLINK("#'Healthcare'!BUR2","Primary indemnity medical plan tier 1 coinsurance maximum: Mail order - in-network")</f>
        <v>Primary indemnity medical plan tier 1 coinsurance maximum: Mail order - in-network</v>
      </c>
      <c r="M1916" s="6"/>
      <c r="N1916" s="7"/>
      <c r="O1916" s="6"/>
      <c r="P1916" s="7"/>
      <c r="Q1916" s="6"/>
      <c r="R1916" s="7"/>
      <c r="S1916" s="6"/>
      <c r="T1916" s="7"/>
      <c r="U1916" s="6"/>
      <c r="V1916" s="7"/>
      <c r="W1916" s="6"/>
      <c r="X1916" s="7"/>
    </row>
    <row r="1917" spans="1:24" ht="25.5" x14ac:dyDescent="0.2">
      <c r="A1917" s="6"/>
      <c r="B1917" s="7"/>
      <c r="C1917" s="6"/>
      <c r="D1917" s="7"/>
      <c r="E1917" s="6"/>
      <c r="F1917" s="7"/>
      <c r="G1917" s="6"/>
      <c r="H1917" s="7"/>
      <c r="I1917" s="6"/>
      <c r="J1917" s="7"/>
      <c r="K1917" s="96" t="str">
        <f>HYPERLINK("#'Healthcare'!BUS1","Q6.8.47_2_1")</f>
        <v>Q6.8.47_2_1</v>
      </c>
      <c r="L1917" s="93" t="str">
        <f>HYPERLINK("#'Healthcare'!BUS2","Primary indemnity medical plan tier 2 coinsurance minimum: Mail order - in-network")</f>
        <v>Primary indemnity medical plan tier 2 coinsurance minimum: Mail order - in-network</v>
      </c>
      <c r="M1917" s="6"/>
      <c r="N1917" s="7"/>
      <c r="O1917" s="6"/>
      <c r="P1917" s="7"/>
      <c r="Q1917" s="6"/>
      <c r="R1917" s="7"/>
      <c r="S1917" s="6"/>
      <c r="T1917" s="7"/>
      <c r="U1917" s="6"/>
      <c r="V1917" s="7"/>
      <c r="W1917" s="6"/>
      <c r="X1917" s="7"/>
    </row>
    <row r="1918" spans="1:24" ht="25.5" x14ac:dyDescent="0.2">
      <c r="A1918" s="6"/>
      <c r="B1918" s="7"/>
      <c r="C1918" s="6"/>
      <c r="D1918" s="7"/>
      <c r="E1918" s="6"/>
      <c r="F1918" s="7"/>
      <c r="G1918" s="6"/>
      <c r="H1918" s="7"/>
      <c r="I1918" s="6"/>
      <c r="J1918" s="7"/>
      <c r="K1918" s="96" t="str">
        <f>HYPERLINK("#'Healthcare'!BUT1","Q6.8.47_2_2")</f>
        <v>Q6.8.47_2_2</v>
      </c>
      <c r="L1918" s="93" t="str">
        <f>HYPERLINK("#'Healthcare'!BUT2","Primary indemnity medical plan tier 2 coinsurance maximum: Mail order - in-network")</f>
        <v>Primary indemnity medical plan tier 2 coinsurance maximum: Mail order - in-network</v>
      </c>
      <c r="M1918" s="6"/>
      <c r="N1918" s="7"/>
      <c r="O1918" s="6"/>
      <c r="P1918" s="7"/>
      <c r="Q1918" s="6"/>
      <c r="R1918" s="7"/>
      <c r="S1918" s="6"/>
      <c r="T1918" s="7"/>
      <c r="U1918" s="6"/>
      <c r="V1918" s="7"/>
      <c r="W1918" s="6"/>
      <c r="X1918" s="7"/>
    </row>
    <row r="1919" spans="1:24" ht="25.5" x14ac:dyDescent="0.2">
      <c r="A1919" s="6"/>
      <c r="B1919" s="7"/>
      <c r="C1919" s="6"/>
      <c r="D1919" s="7"/>
      <c r="E1919" s="6"/>
      <c r="F1919" s="7"/>
      <c r="G1919" s="6"/>
      <c r="H1919" s="7"/>
      <c r="I1919" s="6"/>
      <c r="J1919" s="7"/>
      <c r="K1919" s="96" t="str">
        <f>HYPERLINK("#'Healthcare'!BUU1","Q6.8.47_3_1")</f>
        <v>Q6.8.47_3_1</v>
      </c>
      <c r="L1919" s="93" t="str">
        <f>HYPERLINK("#'Healthcare'!BUU2","Primary indemnity medical plan tier 3 coinsurance minimum: Mail order - in-network")</f>
        <v>Primary indemnity medical plan tier 3 coinsurance minimum: Mail order - in-network</v>
      </c>
      <c r="M1919" s="6"/>
      <c r="N1919" s="7"/>
      <c r="O1919" s="6"/>
      <c r="P1919" s="7"/>
      <c r="Q1919" s="6"/>
      <c r="R1919" s="7"/>
      <c r="S1919" s="6"/>
      <c r="T1919" s="7"/>
      <c r="U1919" s="6"/>
      <c r="V1919" s="7"/>
      <c r="W1919" s="6"/>
      <c r="X1919" s="7"/>
    </row>
    <row r="1920" spans="1:24" ht="25.5" x14ac:dyDescent="0.2">
      <c r="A1920" s="6"/>
      <c r="B1920" s="7"/>
      <c r="C1920" s="6"/>
      <c r="D1920" s="7"/>
      <c r="E1920" s="6"/>
      <c r="F1920" s="7"/>
      <c r="G1920" s="6"/>
      <c r="H1920" s="7"/>
      <c r="I1920" s="6"/>
      <c r="J1920" s="7"/>
      <c r="K1920" s="96" t="str">
        <f>HYPERLINK("#'Healthcare'!BUV1","Q6.8.47_3_2")</f>
        <v>Q6.8.47_3_2</v>
      </c>
      <c r="L1920" s="93" t="str">
        <f>HYPERLINK("#'Healthcare'!BUV2","Primary indemnity medical plan tier 3 coinsurance maximum: Mail order - in-network")</f>
        <v>Primary indemnity medical plan tier 3 coinsurance maximum: Mail order - in-network</v>
      </c>
      <c r="M1920" s="6"/>
      <c r="N1920" s="7"/>
      <c r="O1920" s="6"/>
      <c r="P1920" s="7"/>
      <c r="Q1920" s="6"/>
      <c r="R1920" s="7"/>
      <c r="S1920" s="6"/>
      <c r="T1920" s="7"/>
      <c r="U1920" s="6"/>
      <c r="V1920" s="7"/>
      <c r="W1920" s="6"/>
      <c r="X1920" s="7"/>
    </row>
    <row r="1921" spans="1:24" ht="25.5" x14ac:dyDescent="0.2">
      <c r="A1921" s="6"/>
      <c r="B1921" s="7"/>
      <c r="C1921" s="6"/>
      <c r="D1921" s="7"/>
      <c r="E1921" s="6"/>
      <c r="F1921" s="7"/>
      <c r="G1921" s="6"/>
      <c r="H1921" s="7"/>
      <c r="I1921" s="6"/>
      <c r="J1921" s="7"/>
      <c r="K1921" s="96" t="str">
        <f>HYPERLINK("#'Healthcare'!BUW1","Q6.8.47_4_1")</f>
        <v>Q6.8.47_4_1</v>
      </c>
      <c r="L1921" s="93" t="str">
        <f>HYPERLINK("#'Healthcare'!BUW2","Primary indemnity medical plan tier 4 coinsurance minimum: Mail order - in-network")</f>
        <v>Primary indemnity medical plan tier 4 coinsurance minimum: Mail order - in-network</v>
      </c>
      <c r="M1921" s="6"/>
      <c r="N1921" s="7"/>
      <c r="O1921" s="6"/>
      <c r="P1921" s="7"/>
      <c r="Q1921" s="6"/>
      <c r="R1921" s="7"/>
      <c r="S1921" s="6"/>
      <c r="T1921" s="7"/>
      <c r="U1921" s="6"/>
      <c r="V1921" s="7"/>
      <c r="W1921" s="6"/>
      <c r="X1921" s="7"/>
    </row>
    <row r="1922" spans="1:24" ht="25.5" x14ac:dyDescent="0.2">
      <c r="A1922" s="6"/>
      <c r="B1922" s="7"/>
      <c r="C1922" s="6"/>
      <c r="D1922" s="7"/>
      <c r="E1922" s="6"/>
      <c r="F1922" s="7"/>
      <c r="G1922" s="6"/>
      <c r="H1922" s="7"/>
      <c r="I1922" s="6"/>
      <c r="J1922" s="7"/>
      <c r="K1922" s="96" t="str">
        <f>HYPERLINK("#'Healthcare'!BUX1","Q6.8.47_4_2")</f>
        <v>Q6.8.47_4_2</v>
      </c>
      <c r="L1922" s="93" t="str">
        <f>HYPERLINK("#'Healthcare'!BUX2","Primary indemnity medical plan tier 4 coinsurance maximum: Mail order - in-network")</f>
        <v>Primary indemnity medical plan tier 4 coinsurance maximum: Mail order - in-network</v>
      </c>
      <c r="M1922" s="6"/>
      <c r="N1922" s="7"/>
      <c r="O1922" s="6"/>
      <c r="P1922" s="7"/>
      <c r="Q1922" s="6"/>
      <c r="R1922" s="7"/>
      <c r="S1922" s="6"/>
      <c r="T1922" s="7"/>
      <c r="U1922" s="6"/>
      <c r="V1922" s="7"/>
      <c r="W1922" s="6"/>
      <c r="X1922" s="7"/>
    </row>
    <row r="1923" spans="1:24" ht="25.5" x14ac:dyDescent="0.2">
      <c r="A1923" s="6"/>
      <c r="B1923" s="7"/>
      <c r="C1923" s="6"/>
      <c r="D1923" s="7"/>
      <c r="E1923" s="6"/>
      <c r="F1923" s="7"/>
      <c r="G1923" s="6"/>
      <c r="H1923" s="7"/>
      <c r="I1923" s="6"/>
      <c r="J1923" s="7"/>
      <c r="K1923" s="96" t="str">
        <f>HYPERLINK("#'Healthcare'!BUY1","Q6.8.47_5_1")</f>
        <v>Q6.8.47_5_1</v>
      </c>
      <c r="L1923" s="93" t="str">
        <f>HYPERLINK("#'Healthcare'!BUY2","Primary indemnity medical plan tier 5 coinsurance minimum: Mail order - in-network")</f>
        <v>Primary indemnity medical plan tier 5 coinsurance minimum: Mail order - in-network</v>
      </c>
      <c r="M1923" s="6"/>
      <c r="N1923" s="7"/>
      <c r="O1923" s="6"/>
      <c r="P1923" s="7"/>
      <c r="Q1923" s="6"/>
      <c r="R1923" s="7"/>
      <c r="S1923" s="6"/>
      <c r="T1923" s="7"/>
      <c r="U1923" s="6"/>
      <c r="V1923" s="7"/>
      <c r="W1923" s="6"/>
      <c r="X1923" s="7"/>
    </row>
    <row r="1924" spans="1:24" ht="25.5" x14ac:dyDescent="0.2">
      <c r="A1924" s="6"/>
      <c r="B1924" s="7"/>
      <c r="C1924" s="6"/>
      <c r="D1924" s="7"/>
      <c r="E1924" s="6"/>
      <c r="F1924" s="7"/>
      <c r="G1924" s="6"/>
      <c r="H1924" s="7"/>
      <c r="I1924" s="6"/>
      <c r="J1924" s="7"/>
      <c r="K1924" s="96" t="str">
        <f>HYPERLINK("#'Healthcare'!BUZ1","Q6.8.47_5_2")</f>
        <v>Q6.8.47_5_2</v>
      </c>
      <c r="L1924" s="93" t="str">
        <f>HYPERLINK("#'Healthcare'!BUZ2","Primary indemnity medical plan tier 5 coinsurance maximum: Mail order - in-network")</f>
        <v>Primary indemnity medical plan tier 5 coinsurance maximum: Mail order - in-network</v>
      </c>
      <c r="M1924" s="6"/>
      <c r="N1924" s="7"/>
      <c r="O1924" s="6"/>
      <c r="P1924" s="7"/>
      <c r="Q1924" s="6"/>
      <c r="R1924" s="7"/>
      <c r="S1924" s="6"/>
      <c r="T1924" s="7"/>
      <c r="U1924" s="6"/>
      <c r="V1924" s="7"/>
      <c r="W1924" s="6"/>
      <c r="X1924" s="7"/>
    </row>
    <row r="1925" spans="1:24" ht="25.5" x14ac:dyDescent="0.2">
      <c r="A1925" s="6"/>
      <c r="B1925" s="7"/>
      <c r="C1925" s="6"/>
      <c r="D1925" s="7"/>
      <c r="E1925" s="6"/>
      <c r="F1925" s="7"/>
      <c r="G1925" s="6"/>
      <c r="H1925" s="7"/>
      <c r="I1925" s="6"/>
      <c r="J1925" s="7"/>
      <c r="K1925" s="96" t="str">
        <f>HYPERLINK("#'Healthcare'!BVA1","Q6.8.47_6_1")</f>
        <v>Q6.8.47_6_1</v>
      </c>
      <c r="L1925" s="93" t="str">
        <f>HYPERLINK("#'Healthcare'!BVA2","Primary indemnity medical plan specialty coinsurance minimum: Mail order - in-network")</f>
        <v>Primary indemnity medical plan specialty coinsurance minimum: Mail order - in-network</v>
      </c>
      <c r="M1925" s="6"/>
      <c r="N1925" s="7"/>
      <c r="O1925" s="6"/>
      <c r="P1925" s="7"/>
      <c r="Q1925" s="6"/>
      <c r="R1925" s="7"/>
      <c r="S1925" s="6"/>
      <c r="T1925" s="7"/>
      <c r="U1925" s="6"/>
      <c r="V1925" s="7"/>
      <c r="W1925" s="6"/>
      <c r="X1925" s="7"/>
    </row>
    <row r="1926" spans="1:24" ht="25.5" x14ac:dyDescent="0.2">
      <c r="A1926" s="6"/>
      <c r="B1926" s="7"/>
      <c r="C1926" s="6"/>
      <c r="D1926" s="7"/>
      <c r="E1926" s="6"/>
      <c r="F1926" s="7"/>
      <c r="G1926" s="6"/>
      <c r="H1926" s="7"/>
      <c r="I1926" s="6"/>
      <c r="J1926" s="7"/>
      <c r="K1926" s="96" t="str">
        <f>HYPERLINK("#'Healthcare'!BVB1","Q6.8.47_6_2")</f>
        <v>Q6.8.47_6_2</v>
      </c>
      <c r="L1926" s="93" t="str">
        <f>HYPERLINK("#'Healthcare'!BVB2","Primary indemnity medical plan specialty coinsurance maximum: Mail order - in-network")</f>
        <v>Primary indemnity medical plan specialty coinsurance maximum: Mail order - in-network</v>
      </c>
      <c r="M1926" s="6"/>
      <c r="N1926" s="7"/>
      <c r="O1926" s="6"/>
      <c r="P1926" s="7"/>
      <c r="Q1926" s="6"/>
      <c r="R1926" s="7"/>
      <c r="S1926" s="6"/>
      <c r="T1926" s="7"/>
      <c r="U1926" s="6"/>
      <c r="V1926" s="7"/>
      <c r="W1926" s="6"/>
      <c r="X1926" s="7"/>
    </row>
    <row r="1927" spans="1:24" ht="25.5" x14ac:dyDescent="0.2">
      <c r="A1927" s="6"/>
      <c r="B1927" s="7"/>
      <c r="C1927" s="6"/>
      <c r="D1927" s="7"/>
      <c r="E1927" s="6"/>
      <c r="F1927" s="7"/>
      <c r="G1927" s="6"/>
      <c r="H1927" s="7"/>
      <c r="I1927" s="6"/>
      <c r="J1927" s="7"/>
      <c r="K1927" s="96" t="str">
        <f>HYPERLINK("#'Healthcare'!BVC1","Q6.8.47_7_1")</f>
        <v>Q6.8.47_7_1</v>
      </c>
      <c r="L1927" s="93" t="str">
        <f>HYPERLINK("#'Healthcare'!BVC2","Primary indemnity medical plan Other coinsurance minimum: Mail order - in-network")</f>
        <v>Primary indemnity medical plan Other coinsurance minimum: Mail order - in-network</v>
      </c>
      <c r="M1927" s="6"/>
      <c r="N1927" s="7"/>
      <c r="O1927" s="6"/>
      <c r="P1927" s="7"/>
      <c r="Q1927" s="6"/>
      <c r="R1927" s="7"/>
      <c r="S1927" s="6"/>
      <c r="T1927" s="7"/>
      <c r="U1927" s="6"/>
      <c r="V1927" s="7"/>
      <c r="W1927" s="6"/>
      <c r="X1927" s="7"/>
    </row>
    <row r="1928" spans="1:24" ht="25.5" x14ac:dyDescent="0.2">
      <c r="A1928" s="6"/>
      <c r="B1928" s="7"/>
      <c r="C1928" s="6"/>
      <c r="D1928" s="7"/>
      <c r="E1928" s="6"/>
      <c r="F1928" s="7"/>
      <c r="G1928" s="6"/>
      <c r="H1928" s="7"/>
      <c r="I1928" s="6"/>
      <c r="J1928" s="7"/>
      <c r="K1928" s="96" t="str">
        <f>HYPERLINK("#'Healthcare'!BVD1","Q6.8.47_7_2")</f>
        <v>Q6.8.47_7_2</v>
      </c>
      <c r="L1928" s="93" t="str">
        <f>HYPERLINK("#'Healthcare'!BVD2","Primary indemnity medical plan Other coinsurance maximum: Mail order - in-network")</f>
        <v>Primary indemnity medical plan Other coinsurance maximum: Mail order - in-network</v>
      </c>
      <c r="M1928" s="6"/>
      <c r="N1928" s="7"/>
      <c r="O1928" s="6"/>
      <c r="P1928" s="7"/>
      <c r="Q1928" s="6"/>
      <c r="R1928" s="7"/>
      <c r="S1928" s="6"/>
      <c r="T1928" s="7"/>
      <c r="U1928" s="6"/>
      <c r="V1928" s="7"/>
      <c r="W1928" s="6"/>
      <c r="X1928" s="7"/>
    </row>
    <row r="1929" spans="1:24" ht="25.5" x14ac:dyDescent="0.2">
      <c r="A1929" s="6"/>
      <c r="B1929" s="7"/>
      <c r="C1929" s="6"/>
      <c r="D1929" s="7"/>
      <c r="E1929" s="6"/>
      <c r="F1929" s="7"/>
      <c r="G1929" s="6"/>
      <c r="H1929" s="7"/>
      <c r="I1929" s="6"/>
      <c r="J1929" s="7"/>
      <c r="K1929" s="96" t="str">
        <f>HYPERLINK("#'Healthcare'!BVE1","Q6.8.48_1_1")</f>
        <v>Q6.8.48_1_1</v>
      </c>
      <c r="L1929" s="93" t="str">
        <f>HYPERLINK("#'Healthcare'!BVE2","Primary indemnity medical plan tier 1 coinsurance: Mail order - out-of-network")</f>
        <v>Primary indemnity medical plan tier 1 coinsurance: Mail order - out-of-network</v>
      </c>
      <c r="M1929" s="6"/>
      <c r="N1929" s="7"/>
      <c r="O1929" s="6"/>
      <c r="P1929" s="7"/>
      <c r="Q1929" s="6"/>
      <c r="R1929" s="7"/>
      <c r="S1929" s="6"/>
      <c r="T1929" s="7"/>
      <c r="U1929" s="6"/>
      <c r="V1929" s="7"/>
      <c r="W1929" s="6"/>
      <c r="X1929" s="7"/>
    </row>
    <row r="1930" spans="1:24" ht="25.5" x14ac:dyDescent="0.2">
      <c r="A1930" s="6"/>
      <c r="B1930" s="7"/>
      <c r="C1930" s="6"/>
      <c r="D1930" s="7"/>
      <c r="E1930" s="6"/>
      <c r="F1930" s="7"/>
      <c r="G1930" s="6"/>
      <c r="H1930" s="7"/>
      <c r="I1930" s="6"/>
      <c r="J1930" s="7"/>
      <c r="K1930" s="96" t="str">
        <f>HYPERLINK("#'Healthcare'!BVF1","Q6.8.48_2_1")</f>
        <v>Q6.8.48_2_1</v>
      </c>
      <c r="L1930" s="93" t="str">
        <f>HYPERLINK("#'Healthcare'!BVF2","Primary indemnity medical plan tier 2 coinsurance: Mail order - out-of-network")</f>
        <v>Primary indemnity medical plan tier 2 coinsurance: Mail order - out-of-network</v>
      </c>
      <c r="M1930" s="6"/>
      <c r="N1930" s="7"/>
      <c r="O1930" s="6"/>
      <c r="P1930" s="7"/>
      <c r="Q1930" s="6"/>
      <c r="R1930" s="7"/>
      <c r="S1930" s="6"/>
      <c r="T1930" s="7"/>
      <c r="U1930" s="6"/>
      <c r="V1930" s="7"/>
      <c r="W1930" s="6"/>
      <c r="X1930" s="7"/>
    </row>
    <row r="1931" spans="1:24" ht="25.5" x14ac:dyDescent="0.2">
      <c r="A1931" s="6"/>
      <c r="B1931" s="7"/>
      <c r="C1931" s="6"/>
      <c r="D1931" s="7"/>
      <c r="E1931" s="6"/>
      <c r="F1931" s="7"/>
      <c r="G1931" s="6"/>
      <c r="H1931" s="7"/>
      <c r="I1931" s="6"/>
      <c r="J1931" s="7"/>
      <c r="K1931" s="96" t="str">
        <f>HYPERLINK("#'Healthcare'!BVG1","Q6.8.48_3_1")</f>
        <v>Q6.8.48_3_1</v>
      </c>
      <c r="L1931" s="93" t="str">
        <f>HYPERLINK("#'Healthcare'!BVG2","Primary indemnity medical plan tier 3 coinsurance: Mail order - out-of-network")</f>
        <v>Primary indemnity medical plan tier 3 coinsurance: Mail order - out-of-network</v>
      </c>
      <c r="M1931" s="6"/>
      <c r="N1931" s="7"/>
      <c r="O1931" s="6"/>
      <c r="P1931" s="7"/>
      <c r="Q1931" s="6"/>
      <c r="R1931" s="7"/>
      <c r="S1931" s="6"/>
      <c r="T1931" s="7"/>
      <c r="U1931" s="6"/>
      <c r="V1931" s="7"/>
      <c r="W1931" s="6"/>
      <c r="X1931" s="7"/>
    </row>
    <row r="1932" spans="1:24" ht="25.5" x14ac:dyDescent="0.2">
      <c r="A1932" s="6"/>
      <c r="B1932" s="7"/>
      <c r="C1932" s="6"/>
      <c r="D1932" s="7"/>
      <c r="E1932" s="6"/>
      <c r="F1932" s="7"/>
      <c r="G1932" s="6"/>
      <c r="H1932" s="7"/>
      <c r="I1932" s="6"/>
      <c r="J1932" s="7"/>
      <c r="K1932" s="96" t="str">
        <f>HYPERLINK("#'Healthcare'!BVH1","Q6.8.48_4_1")</f>
        <v>Q6.8.48_4_1</v>
      </c>
      <c r="L1932" s="93" t="str">
        <f>HYPERLINK("#'Healthcare'!BVH2","Primary indemnity medical plan tier 4 coinsurance: Mail order - out-of-network")</f>
        <v>Primary indemnity medical plan tier 4 coinsurance: Mail order - out-of-network</v>
      </c>
      <c r="M1932" s="6"/>
      <c r="N1932" s="7"/>
      <c r="O1932" s="6"/>
      <c r="P1932" s="7"/>
      <c r="Q1932" s="6"/>
      <c r="R1932" s="7"/>
      <c r="S1932" s="6"/>
      <c r="T1932" s="7"/>
      <c r="U1932" s="6"/>
      <c r="V1932" s="7"/>
      <c r="W1932" s="6"/>
      <c r="X1932" s="7"/>
    </row>
    <row r="1933" spans="1:24" ht="25.5" x14ac:dyDescent="0.2">
      <c r="A1933" s="6"/>
      <c r="B1933" s="7"/>
      <c r="C1933" s="6"/>
      <c r="D1933" s="7"/>
      <c r="E1933" s="6"/>
      <c r="F1933" s="7"/>
      <c r="G1933" s="6"/>
      <c r="H1933" s="7"/>
      <c r="I1933" s="6"/>
      <c r="J1933" s="7"/>
      <c r="K1933" s="96" t="str">
        <f>HYPERLINK("#'Healthcare'!BVI1","Q6.8.48_5_1")</f>
        <v>Q6.8.48_5_1</v>
      </c>
      <c r="L1933" s="93" t="str">
        <f>HYPERLINK("#'Healthcare'!BVI2","Primary indemnity medical plan tier 5 coinsurance: Mail order - out-of-network")</f>
        <v>Primary indemnity medical plan tier 5 coinsurance: Mail order - out-of-network</v>
      </c>
      <c r="M1933" s="6"/>
      <c r="N1933" s="7"/>
      <c r="O1933" s="6"/>
      <c r="P1933" s="7"/>
      <c r="Q1933" s="6"/>
      <c r="R1933" s="7"/>
      <c r="S1933" s="6"/>
      <c r="T1933" s="7"/>
      <c r="U1933" s="6"/>
      <c r="V1933" s="7"/>
      <c r="W1933" s="6"/>
      <c r="X1933" s="7"/>
    </row>
    <row r="1934" spans="1:24" ht="25.5" x14ac:dyDescent="0.2">
      <c r="A1934" s="6"/>
      <c r="B1934" s="7"/>
      <c r="C1934" s="6"/>
      <c r="D1934" s="7"/>
      <c r="E1934" s="6"/>
      <c r="F1934" s="7"/>
      <c r="G1934" s="6"/>
      <c r="H1934" s="7"/>
      <c r="I1934" s="6"/>
      <c r="J1934" s="7"/>
      <c r="K1934" s="96" t="str">
        <f>HYPERLINK("#'Healthcare'!BVJ1","Q6.8.48_6_1")</f>
        <v>Q6.8.48_6_1</v>
      </c>
      <c r="L1934" s="93" t="str">
        <f>HYPERLINK("#'Healthcare'!BVJ2","Primary indemnity medical plan specialty coinsurance: Mail order - out-of-network")</f>
        <v>Primary indemnity medical plan specialty coinsurance: Mail order - out-of-network</v>
      </c>
      <c r="M1934" s="6"/>
      <c r="N1934" s="7"/>
      <c r="O1934" s="6"/>
      <c r="P1934" s="7"/>
      <c r="Q1934" s="6"/>
      <c r="R1934" s="7"/>
      <c r="S1934" s="6"/>
      <c r="T1934" s="7"/>
      <c r="U1934" s="6"/>
      <c r="V1934" s="7"/>
      <c r="W1934" s="6"/>
      <c r="X1934" s="7"/>
    </row>
    <row r="1935" spans="1:24" ht="25.5" x14ac:dyDescent="0.2">
      <c r="A1935" s="6"/>
      <c r="B1935" s="7"/>
      <c r="C1935" s="6"/>
      <c r="D1935" s="7"/>
      <c r="E1935" s="6"/>
      <c r="F1935" s="7"/>
      <c r="G1935" s="6"/>
      <c r="H1935" s="7"/>
      <c r="I1935" s="6"/>
      <c r="J1935" s="7"/>
      <c r="K1935" s="96" t="str">
        <f>HYPERLINK("#'Healthcare'!BVK1","Q6.8.48_7_1")</f>
        <v>Q6.8.48_7_1</v>
      </c>
      <c r="L1935" s="93" t="str">
        <f>HYPERLINK("#'Healthcare'!BVK2","Primary indemnity medical plan Other coinsurance: Mail order - out-of-network")</f>
        <v>Primary indemnity medical plan Other coinsurance: Mail order - out-of-network</v>
      </c>
      <c r="M1935" s="6"/>
      <c r="N1935" s="7"/>
      <c r="O1935" s="6"/>
      <c r="P1935" s="7"/>
      <c r="Q1935" s="6"/>
      <c r="R1935" s="7"/>
      <c r="S1935" s="6"/>
      <c r="T1935" s="7"/>
      <c r="U1935" s="6"/>
      <c r="V1935" s="7"/>
      <c r="W1935" s="6"/>
      <c r="X1935" s="7"/>
    </row>
    <row r="1936" spans="1:24" ht="38.25" x14ac:dyDescent="0.2">
      <c r="A1936" s="6"/>
      <c r="B1936" s="7"/>
      <c r="C1936" s="6"/>
      <c r="D1936" s="7"/>
      <c r="E1936" s="6"/>
      <c r="F1936" s="7"/>
      <c r="G1936" s="6"/>
      <c r="H1936" s="7"/>
      <c r="I1936" s="6"/>
      <c r="J1936" s="7"/>
      <c r="K1936" s="96" t="str">
        <f>HYPERLINK("#'Healthcare'!BVL1","Q6.8.49_1_1")</f>
        <v>Q6.8.49_1_1</v>
      </c>
      <c r="L1936" s="93" t="str">
        <f>HYPERLINK("#'Healthcare'!BVL2","Primary indemnity medical plan tier 1 coinsurance minimum: Mail order - out-of-network")</f>
        <v>Primary indemnity medical plan tier 1 coinsurance minimum: Mail order - out-of-network</v>
      </c>
      <c r="M1936" s="6"/>
      <c r="N1936" s="7"/>
      <c r="O1936" s="6"/>
      <c r="P1936" s="7"/>
      <c r="Q1936" s="6"/>
      <c r="R1936" s="7"/>
      <c r="S1936" s="6"/>
      <c r="T1936" s="7"/>
      <c r="U1936" s="6"/>
      <c r="V1936" s="7"/>
      <c r="W1936" s="6"/>
      <c r="X1936" s="7"/>
    </row>
    <row r="1937" spans="1:24" ht="38.25" x14ac:dyDescent="0.2">
      <c r="A1937" s="6"/>
      <c r="B1937" s="7"/>
      <c r="C1937" s="6"/>
      <c r="D1937" s="7"/>
      <c r="E1937" s="6"/>
      <c r="F1937" s="7"/>
      <c r="G1937" s="6"/>
      <c r="H1937" s="7"/>
      <c r="I1937" s="6"/>
      <c r="J1937" s="7"/>
      <c r="K1937" s="96" t="str">
        <f>HYPERLINK("#'Healthcare'!BVM1","Q6.8.49_1_2")</f>
        <v>Q6.8.49_1_2</v>
      </c>
      <c r="L1937" s="93" t="str">
        <f>HYPERLINK("#'Healthcare'!BVM2","Primary indemnity medical plan tier 1 coinsurance maximum: Mail order - out-of-network")</f>
        <v>Primary indemnity medical plan tier 1 coinsurance maximum: Mail order - out-of-network</v>
      </c>
      <c r="M1937" s="6"/>
      <c r="N1937" s="7"/>
      <c r="O1937" s="6"/>
      <c r="P1937" s="7"/>
      <c r="Q1937" s="6"/>
      <c r="R1937" s="7"/>
      <c r="S1937" s="6"/>
      <c r="T1937" s="7"/>
      <c r="U1937" s="6"/>
      <c r="V1937" s="7"/>
      <c r="W1937" s="6"/>
      <c r="X1937" s="7"/>
    </row>
    <row r="1938" spans="1:24" ht="38.25" x14ac:dyDescent="0.2">
      <c r="A1938" s="6"/>
      <c r="B1938" s="7"/>
      <c r="C1938" s="6"/>
      <c r="D1938" s="7"/>
      <c r="E1938" s="6"/>
      <c r="F1938" s="7"/>
      <c r="G1938" s="6"/>
      <c r="H1938" s="7"/>
      <c r="I1938" s="6"/>
      <c r="J1938" s="7"/>
      <c r="K1938" s="96" t="str">
        <f>HYPERLINK("#'Healthcare'!BVN1","Q6.8.49_2_1")</f>
        <v>Q6.8.49_2_1</v>
      </c>
      <c r="L1938" s="93" t="str">
        <f>HYPERLINK("#'Healthcare'!BVN2","Primary indemnity medical plan tier 2 coinsurance minimum: Mail order - out-of-network")</f>
        <v>Primary indemnity medical plan tier 2 coinsurance minimum: Mail order - out-of-network</v>
      </c>
      <c r="M1938" s="6"/>
      <c r="N1938" s="7"/>
      <c r="O1938" s="6"/>
      <c r="P1938" s="7"/>
      <c r="Q1938" s="6"/>
      <c r="R1938" s="7"/>
      <c r="S1938" s="6"/>
      <c r="T1938" s="7"/>
      <c r="U1938" s="6"/>
      <c r="V1938" s="7"/>
      <c r="W1938" s="6"/>
      <c r="X1938" s="7"/>
    </row>
    <row r="1939" spans="1:24" ht="38.25" x14ac:dyDescent="0.2">
      <c r="A1939" s="6"/>
      <c r="B1939" s="7"/>
      <c r="C1939" s="6"/>
      <c r="D1939" s="7"/>
      <c r="E1939" s="6"/>
      <c r="F1939" s="7"/>
      <c r="G1939" s="6"/>
      <c r="H1939" s="7"/>
      <c r="I1939" s="6"/>
      <c r="J1939" s="7"/>
      <c r="K1939" s="96" t="str">
        <f>HYPERLINK("#'Healthcare'!BVO1","Q6.8.49_2_2")</f>
        <v>Q6.8.49_2_2</v>
      </c>
      <c r="L1939" s="93" t="str">
        <f>HYPERLINK("#'Healthcare'!BVO2","Primary indemnity medical plan tier 2 coinsurance maximum: Mail order - out-of-network")</f>
        <v>Primary indemnity medical plan tier 2 coinsurance maximum: Mail order - out-of-network</v>
      </c>
      <c r="M1939" s="6"/>
      <c r="N1939" s="7"/>
      <c r="O1939" s="6"/>
      <c r="P1939" s="7"/>
      <c r="Q1939" s="6"/>
      <c r="R1939" s="7"/>
      <c r="S1939" s="6"/>
      <c r="T1939" s="7"/>
      <c r="U1939" s="6"/>
      <c r="V1939" s="7"/>
      <c r="W1939" s="6"/>
      <c r="X1939" s="7"/>
    </row>
    <row r="1940" spans="1:24" ht="38.25" x14ac:dyDescent="0.2">
      <c r="A1940" s="6"/>
      <c r="B1940" s="7"/>
      <c r="C1940" s="6"/>
      <c r="D1940" s="7"/>
      <c r="E1940" s="6"/>
      <c r="F1940" s="7"/>
      <c r="G1940" s="6"/>
      <c r="H1940" s="7"/>
      <c r="I1940" s="6"/>
      <c r="J1940" s="7"/>
      <c r="K1940" s="96" t="str">
        <f>HYPERLINK("#'Healthcare'!BVP1","Q6.8.49_3_1")</f>
        <v>Q6.8.49_3_1</v>
      </c>
      <c r="L1940" s="93" t="str">
        <f>HYPERLINK("#'Healthcare'!BVP2","Primary indemnity medical plan tier 3 coinsurance minimum: Mail order - out-of-network")</f>
        <v>Primary indemnity medical plan tier 3 coinsurance minimum: Mail order - out-of-network</v>
      </c>
      <c r="M1940" s="6"/>
      <c r="N1940" s="7"/>
      <c r="O1940" s="6"/>
      <c r="P1940" s="7"/>
      <c r="Q1940" s="6"/>
      <c r="R1940" s="7"/>
      <c r="S1940" s="6"/>
      <c r="T1940" s="7"/>
      <c r="U1940" s="6"/>
      <c r="V1940" s="7"/>
      <c r="W1940" s="6"/>
      <c r="X1940" s="7"/>
    </row>
    <row r="1941" spans="1:24" ht="38.25" x14ac:dyDescent="0.2">
      <c r="A1941" s="6"/>
      <c r="B1941" s="7"/>
      <c r="C1941" s="6"/>
      <c r="D1941" s="7"/>
      <c r="E1941" s="6"/>
      <c r="F1941" s="7"/>
      <c r="G1941" s="6"/>
      <c r="H1941" s="7"/>
      <c r="I1941" s="6"/>
      <c r="J1941" s="7"/>
      <c r="K1941" s="96" t="str">
        <f>HYPERLINK("#'Healthcare'!BVQ1","Q6.8.49_3_2")</f>
        <v>Q6.8.49_3_2</v>
      </c>
      <c r="L1941" s="93" t="str">
        <f>HYPERLINK("#'Healthcare'!BVQ2","Primary indemnity medical plan tier 3 coinsurance maximum: Mail order - out-of-network")</f>
        <v>Primary indemnity medical plan tier 3 coinsurance maximum: Mail order - out-of-network</v>
      </c>
      <c r="M1941" s="6"/>
      <c r="N1941" s="7"/>
      <c r="O1941" s="6"/>
      <c r="P1941" s="7"/>
      <c r="Q1941" s="6"/>
      <c r="R1941" s="7"/>
      <c r="S1941" s="6"/>
      <c r="T1941" s="7"/>
      <c r="U1941" s="6"/>
      <c r="V1941" s="7"/>
      <c r="W1941" s="6"/>
      <c r="X1941" s="7"/>
    </row>
    <row r="1942" spans="1:24" ht="38.25" x14ac:dyDescent="0.2">
      <c r="A1942" s="6"/>
      <c r="B1942" s="7"/>
      <c r="C1942" s="6"/>
      <c r="D1942" s="7"/>
      <c r="E1942" s="6"/>
      <c r="F1942" s="7"/>
      <c r="G1942" s="6"/>
      <c r="H1942" s="7"/>
      <c r="I1942" s="6"/>
      <c r="J1942" s="7"/>
      <c r="K1942" s="96" t="str">
        <f>HYPERLINK("#'Healthcare'!BVR1","Q6.8.49_4_1")</f>
        <v>Q6.8.49_4_1</v>
      </c>
      <c r="L1942" s="93" t="str">
        <f>HYPERLINK("#'Healthcare'!BVR2","Primary indemnity medical plan tier 4 coinsurance minimum: Mail order - out-of-network")</f>
        <v>Primary indemnity medical plan tier 4 coinsurance minimum: Mail order - out-of-network</v>
      </c>
      <c r="M1942" s="6"/>
      <c r="N1942" s="7"/>
      <c r="O1942" s="6"/>
      <c r="P1942" s="7"/>
      <c r="Q1942" s="6"/>
      <c r="R1942" s="7"/>
      <c r="S1942" s="6"/>
      <c r="T1942" s="7"/>
      <c r="U1942" s="6"/>
      <c r="V1942" s="7"/>
      <c r="W1942" s="6"/>
      <c r="X1942" s="7"/>
    </row>
    <row r="1943" spans="1:24" ht="38.25" x14ac:dyDescent="0.2">
      <c r="A1943" s="6"/>
      <c r="B1943" s="7"/>
      <c r="C1943" s="6"/>
      <c r="D1943" s="7"/>
      <c r="E1943" s="6"/>
      <c r="F1943" s="7"/>
      <c r="G1943" s="6"/>
      <c r="H1943" s="7"/>
      <c r="I1943" s="6"/>
      <c r="J1943" s="7"/>
      <c r="K1943" s="96" t="str">
        <f>HYPERLINK("#'Healthcare'!BVS1","Q6.8.49_4_2")</f>
        <v>Q6.8.49_4_2</v>
      </c>
      <c r="L1943" s="93" t="str">
        <f>HYPERLINK("#'Healthcare'!BVS2","Primary indemnity medical plan tier 4 coinsurance maximum: Mail order - out-of-network")</f>
        <v>Primary indemnity medical plan tier 4 coinsurance maximum: Mail order - out-of-network</v>
      </c>
      <c r="M1943" s="6"/>
      <c r="N1943" s="7"/>
      <c r="O1943" s="6"/>
      <c r="P1943" s="7"/>
      <c r="Q1943" s="6"/>
      <c r="R1943" s="7"/>
      <c r="S1943" s="6"/>
      <c r="T1943" s="7"/>
      <c r="U1943" s="6"/>
      <c r="V1943" s="7"/>
      <c r="W1943" s="6"/>
      <c r="X1943" s="7"/>
    </row>
    <row r="1944" spans="1:24" ht="38.25" x14ac:dyDescent="0.2">
      <c r="A1944" s="6"/>
      <c r="B1944" s="7"/>
      <c r="C1944" s="6"/>
      <c r="D1944" s="7"/>
      <c r="E1944" s="6"/>
      <c r="F1944" s="7"/>
      <c r="G1944" s="6"/>
      <c r="H1944" s="7"/>
      <c r="I1944" s="6"/>
      <c r="J1944" s="7"/>
      <c r="K1944" s="96" t="str">
        <f>HYPERLINK("#'Healthcare'!BVT1","Q6.8.49_5_1")</f>
        <v>Q6.8.49_5_1</v>
      </c>
      <c r="L1944" s="93" t="str">
        <f>HYPERLINK("#'Healthcare'!BVT2","Primary indemnity medical plan tier 5 coinsurance minimum: Mail order - out-of-network")</f>
        <v>Primary indemnity medical plan tier 5 coinsurance minimum: Mail order - out-of-network</v>
      </c>
      <c r="M1944" s="6"/>
      <c r="N1944" s="7"/>
      <c r="O1944" s="6"/>
      <c r="P1944" s="7"/>
      <c r="Q1944" s="6"/>
      <c r="R1944" s="7"/>
      <c r="S1944" s="6"/>
      <c r="T1944" s="7"/>
      <c r="U1944" s="6"/>
      <c r="V1944" s="7"/>
      <c r="W1944" s="6"/>
      <c r="X1944" s="7"/>
    </row>
    <row r="1945" spans="1:24" ht="38.25" x14ac:dyDescent="0.2">
      <c r="A1945" s="6"/>
      <c r="B1945" s="7"/>
      <c r="C1945" s="6"/>
      <c r="D1945" s="7"/>
      <c r="E1945" s="6"/>
      <c r="F1945" s="7"/>
      <c r="G1945" s="6"/>
      <c r="H1945" s="7"/>
      <c r="I1945" s="6"/>
      <c r="J1945" s="7"/>
      <c r="K1945" s="96" t="str">
        <f>HYPERLINK("#'Healthcare'!BVU1","Q6.8.49_5_2")</f>
        <v>Q6.8.49_5_2</v>
      </c>
      <c r="L1945" s="93" t="str">
        <f>HYPERLINK("#'Healthcare'!BVU2","Primary indemnity medical plan tier 5 coinsurance maximum: Mail order - out-of-network")</f>
        <v>Primary indemnity medical plan tier 5 coinsurance maximum: Mail order - out-of-network</v>
      </c>
      <c r="M1945" s="6"/>
      <c r="N1945" s="7"/>
      <c r="O1945" s="6"/>
      <c r="P1945" s="7"/>
      <c r="Q1945" s="6"/>
      <c r="R1945" s="7"/>
      <c r="S1945" s="6"/>
      <c r="T1945" s="7"/>
      <c r="U1945" s="6"/>
      <c r="V1945" s="7"/>
      <c r="W1945" s="6"/>
      <c r="X1945" s="7"/>
    </row>
    <row r="1946" spans="1:24" ht="38.25" x14ac:dyDescent="0.2">
      <c r="A1946" s="6"/>
      <c r="B1946" s="7"/>
      <c r="C1946" s="6"/>
      <c r="D1946" s="7"/>
      <c r="E1946" s="6"/>
      <c r="F1946" s="7"/>
      <c r="G1946" s="6"/>
      <c r="H1946" s="7"/>
      <c r="I1946" s="6"/>
      <c r="J1946" s="7"/>
      <c r="K1946" s="96" t="str">
        <f>HYPERLINK("#'Healthcare'!BVV1","Q6.8.49_6_1")</f>
        <v>Q6.8.49_6_1</v>
      </c>
      <c r="L1946" s="93" t="str">
        <f>HYPERLINK("#'Healthcare'!BVV2","Primary indemnity medical plan specialty coinsurance minimum: Mail order - out-of-network")</f>
        <v>Primary indemnity medical plan specialty coinsurance minimum: Mail order - out-of-network</v>
      </c>
      <c r="M1946" s="6"/>
      <c r="N1946" s="7"/>
      <c r="O1946" s="6"/>
      <c r="P1946" s="7"/>
      <c r="Q1946" s="6"/>
      <c r="R1946" s="7"/>
      <c r="S1946" s="6"/>
      <c r="T1946" s="7"/>
      <c r="U1946" s="6"/>
      <c r="V1946" s="7"/>
      <c r="W1946" s="6"/>
      <c r="X1946" s="7"/>
    </row>
    <row r="1947" spans="1:24" ht="38.25" x14ac:dyDescent="0.2">
      <c r="A1947" s="6"/>
      <c r="B1947" s="7"/>
      <c r="C1947" s="6"/>
      <c r="D1947" s="7"/>
      <c r="E1947" s="6"/>
      <c r="F1947" s="7"/>
      <c r="G1947" s="6"/>
      <c r="H1947" s="7"/>
      <c r="I1947" s="6"/>
      <c r="J1947" s="7"/>
      <c r="K1947" s="96" t="str">
        <f>HYPERLINK("#'Healthcare'!BVW1","Q6.8.49_6_2")</f>
        <v>Q6.8.49_6_2</v>
      </c>
      <c r="L1947" s="93" t="str">
        <f>HYPERLINK("#'Healthcare'!BVW2","Primary indemnity medical plan specialty coinsurance maximum: Mail order - out-of-network")</f>
        <v>Primary indemnity medical plan specialty coinsurance maximum: Mail order - out-of-network</v>
      </c>
      <c r="M1947" s="6"/>
      <c r="N1947" s="7"/>
      <c r="O1947" s="6"/>
      <c r="P1947" s="7"/>
      <c r="Q1947" s="6"/>
      <c r="R1947" s="7"/>
      <c r="S1947" s="6"/>
      <c r="T1947" s="7"/>
      <c r="U1947" s="6"/>
      <c r="V1947" s="7"/>
      <c r="W1947" s="6"/>
      <c r="X1947" s="7"/>
    </row>
    <row r="1948" spans="1:24" ht="38.25" x14ac:dyDescent="0.2">
      <c r="A1948" s="6"/>
      <c r="B1948" s="7"/>
      <c r="C1948" s="6"/>
      <c r="D1948" s="7"/>
      <c r="E1948" s="6"/>
      <c r="F1948" s="7"/>
      <c r="G1948" s="6"/>
      <c r="H1948" s="7"/>
      <c r="I1948" s="6"/>
      <c r="J1948" s="7"/>
      <c r="K1948" s="96" t="str">
        <f>HYPERLINK("#'Healthcare'!BVX1","Q6.8.49_7_1")</f>
        <v>Q6.8.49_7_1</v>
      </c>
      <c r="L1948" s="93" t="str">
        <f>HYPERLINK("#'Healthcare'!BVX2","Primary indemnity medical plan Other coinsurance minimum: Mail order - out-of-network")</f>
        <v>Primary indemnity medical plan Other coinsurance minimum: Mail order - out-of-network</v>
      </c>
      <c r="M1948" s="6"/>
      <c r="N1948" s="7"/>
      <c r="O1948" s="6"/>
      <c r="P1948" s="7"/>
      <c r="Q1948" s="6"/>
      <c r="R1948" s="7"/>
      <c r="S1948" s="6"/>
      <c r="T1948" s="7"/>
      <c r="U1948" s="6"/>
      <c r="V1948" s="7"/>
      <c r="W1948" s="6"/>
      <c r="X1948" s="7"/>
    </row>
    <row r="1949" spans="1:24" ht="38.25" x14ac:dyDescent="0.2">
      <c r="A1949" s="6"/>
      <c r="B1949" s="7"/>
      <c r="C1949" s="6"/>
      <c r="D1949" s="7"/>
      <c r="E1949" s="6"/>
      <c r="F1949" s="7"/>
      <c r="G1949" s="6"/>
      <c r="H1949" s="7"/>
      <c r="I1949" s="6"/>
      <c r="J1949" s="7"/>
      <c r="K1949" s="96" t="str">
        <f>HYPERLINK("#'Healthcare'!BVY1","Q6.8.49_7_2")</f>
        <v>Q6.8.49_7_2</v>
      </c>
      <c r="L1949" s="93" t="str">
        <f>HYPERLINK("#'Healthcare'!BVY2","Primary indemnity medical plan Other coinsurance maximum: Mail order - out-of-network")</f>
        <v>Primary indemnity medical plan Other coinsurance maximum: Mail order - out-of-network</v>
      </c>
      <c r="M1949" s="6"/>
      <c r="N1949" s="7"/>
      <c r="O1949" s="6"/>
      <c r="P1949" s="7"/>
      <c r="Q1949" s="6"/>
      <c r="R1949" s="7"/>
      <c r="S1949" s="6"/>
      <c r="T1949" s="7"/>
      <c r="U1949" s="6"/>
      <c r="V1949" s="7"/>
      <c r="W1949" s="6"/>
      <c r="X1949" s="7"/>
    </row>
    <row r="1950" spans="1:24" ht="25.5" x14ac:dyDescent="0.2">
      <c r="A1950" s="6"/>
      <c r="B1950" s="7"/>
      <c r="C1950" s="6"/>
      <c r="D1950" s="7"/>
      <c r="E1950" s="6"/>
      <c r="F1950" s="7"/>
      <c r="G1950" s="6"/>
      <c r="H1950" s="7"/>
      <c r="I1950" s="6"/>
      <c r="J1950" s="7"/>
      <c r="K1950" s="96" t="str">
        <f>HYPERLINK("#'Healthcare'!BVZ1","Q6.8.50")</f>
        <v>Q6.8.50</v>
      </c>
      <c r="L1950" s="93" t="str">
        <f>HYPERLINK("#'Healthcare'!BVZ2","Primary indemnity medical plan: Pharmacy benefit manager carved in/out")</f>
        <v>Primary indemnity medical plan: Pharmacy benefit manager carved in/out</v>
      </c>
      <c r="M1950" s="6"/>
      <c r="N1950" s="7"/>
      <c r="O1950" s="6"/>
      <c r="P1950" s="7"/>
      <c r="Q1950" s="6"/>
      <c r="R1950" s="7"/>
      <c r="S1950" s="6"/>
      <c r="T1950" s="7"/>
      <c r="U1950" s="6"/>
      <c r="V1950" s="7"/>
      <c r="W1950" s="6"/>
      <c r="X1950" s="7"/>
    </row>
    <row r="1951" spans="1:24" ht="38.25" x14ac:dyDescent="0.2">
      <c r="A1951" s="6"/>
      <c r="B1951" s="7"/>
      <c r="C1951" s="6"/>
      <c r="D1951" s="7"/>
      <c r="E1951" s="6"/>
      <c r="F1951" s="7"/>
      <c r="G1951" s="6"/>
      <c r="H1951" s="7"/>
      <c r="I1951" s="6"/>
      <c r="J1951" s="7"/>
      <c r="K1951" s="96" t="str">
        <f>HYPERLINK("#'Healthcare'!BWA1","Q6.8.51")</f>
        <v>Q6.8.51</v>
      </c>
      <c r="L1951" s="93" t="str">
        <f>HYPERLINK("#'Healthcare'!BWA2","Primary indemnity medical plan: Drug classes with zero cost share to members (in addition to ACA law requirements)")</f>
        <v>Primary indemnity medical plan: Drug classes with zero cost share to members (in addition to ACA law requirements)</v>
      </c>
      <c r="M1951" s="6"/>
      <c r="N1951" s="7"/>
      <c r="O1951" s="6"/>
      <c r="P1951" s="7"/>
      <c r="Q1951" s="6"/>
      <c r="R1951" s="7"/>
      <c r="S1951" s="6"/>
      <c r="T1951" s="7"/>
      <c r="U1951" s="6"/>
      <c r="V1951" s="7"/>
      <c r="W1951" s="6"/>
      <c r="X1951" s="7"/>
    </row>
    <row r="1952" spans="1:24" ht="38.25" x14ac:dyDescent="0.2">
      <c r="A1952" s="6"/>
      <c r="B1952" s="7"/>
      <c r="C1952" s="6"/>
      <c r="D1952" s="7"/>
      <c r="E1952" s="6"/>
      <c r="F1952" s="7"/>
      <c r="G1952" s="6"/>
      <c r="H1952" s="7"/>
      <c r="I1952" s="6"/>
      <c r="J1952" s="7"/>
      <c r="K1952" s="96" t="str">
        <f>HYPERLINK("#'Healthcare'!BWB1","Q6.8.52")</f>
        <v>Q6.8.52</v>
      </c>
      <c r="L1952" s="93" t="str">
        <f>HYPERLINK("#'Healthcare'!BWB2","Primary indemnity medical plan: Cost share for individuals who receive infused/injectable medications at preferred care sites")</f>
        <v>Primary indemnity medical plan: Cost share for individuals who receive infused/injectable medications at preferred care sites</v>
      </c>
      <c r="M1952" s="6"/>
      <c r="N1952" s="7"/>
      <c r="O1952" s="6"/>
      <c r="P1952" s="7"/>
      <c r="Q1952" s="6"/>
      <c r="R1952" s="7"/>
      <c r="S1952" s="6"/>
      <c r="T1952" s="7"/>
      <c r="U1952" s="6"/>
      <c r="V1952" s="7"/>
      <c r="W1952" s="6"/>
      <c r="X1952" s="7"/>
    </row>
    <row r="1953" spans="1:24" ht="25.5" x14ac:dyDescent="0.2">
      <c r="A1953" s="6"/>
      <c r="B1953" s="7"/>
      <c r="C1953" s="6"/>
      <c r="D1953" s="7"/>
      <c r="E1953" s="6"/>
      <c r="F1953" s="7"/>
      <c r="G1953" s="6"/>
      <c r="H1953" s="7"/>
      <c r="I1953" s="6"/>
      <c r="J1953" s="7"/>
      <c r="K1953" s="96" t="str">
        <f>HYPERLINK("#'Healthcare'!BWC1","Q6.9.2")</f>
        <v>Q6.9.2</v>
      </c>
      <c r="L1953" s="93" t="str">
        <f>HYPERLINK("#'Healthcare'!BWC2","Primary self-insured medical plan weight loss surgery coverage")</f>
        <v>Primary self-insured medical plan weight loss surgery coverage</v>
      </c>
      <c r="M1953" s="6"/>
      <c r="N1953" s="7"/>
      <c r="O1953" s="6"/>
      <c r="P1953" s="7"/>
      <c r="Q1953" s="6"/>
      <c r="R1953" s="7"/>
      <c r="S1953" s="6"/>
      <c r="T1953" s="7"/>
      <c r="U1953" s="6"/>
      <c r="V1953" s="7"/>
      <c r="W1953" s="6"/>
      <c r="X1953" s="7"/>
    </row>
    <row r="1954" spans="1:24" ht="25.5" x14ac:dyDescent="0.2">
      <c r="A1954" s="6"/>
      <c r="B1954" s="7"/>
      <c r="C1954" s="6"/>
      <c r="D1954" s="7"/>
      <c r="E1954" s="6"/>
      <c r="F1954" s="7"/>
      <c r="G1954" s="6"/>
      <c r="H1954" s="7"/>
      <c r="I1954" s="6"/>
      <c r="J1954" s="7"/>
      <c r="K1954" s="96" t="str">
        <f>HYPERLINK("#'Healthcare'!BWD1","Q6.9.3")</f>
        <v>Q6.9.3</v>
      </c>
      <c r="L1954" s="93" t="str">
        <f>HYPERLINK("#'Healthcare'!BWD2","Primary self-insured medical plan weight loss surgery coverage: Adults (age 18+)")</f>
        <v>Primary self-insured medical plan weight loss surgery coverage: Adults (age 18+)</v>
      </c>
      <c r="M1954" s="6"/>
      <c r="N1954" s="7"/>
      <c r="O1954" s="6"/>
      <c r="P1954" s="7"/>
      <c r="Q1954" s="6"/>
      <c r="R1954" s="7"/>
      <c r="S1954" s="6"/>
      <c r="T1954" s="7"/>
      <c r="U1954" s="6"/>
      <c r="V1954" s="7"/>
      <c r="W1954" s="6"/>
      <c r="X1954" s="7"/>
    </row>
    <row r="1955" spans="1:24" ht="25.5" x14ac:dyDescent="0.2">
      <c r="A1955" s="6"/>
      <c r="B1955" s="7"/>
      <c r="C1955" s="6"/>
      <c r="D1955" s="7"/>
      <c r="E1955" s="6"/>
      <c r="F1955" s="7"/>
      <c r="G1955" s="6"/>
      <c r="H1955" s="7"/>
      <c r="I1955" s="6"/>
      <c r="J1955" s="7"/>
      <c r="K1955" s="96" t="str">
        <f>HYPERLINK("#'Healthcare'!BWE1","Q6.9.4")</f>
        <v>Q6.9.4</v>
      </c>
      <c r="L1955" s="93" t="str">
        <f>HYPERLINK("#'Healthcare'!BWE2","Primary self-insured medical plan weight loss surgery coverage: Adolescents (under age 18)")</f>
        <v>Primary self-insured medical plan weight loss surgery coverage: Adolescents (under age 18)</v>
      </c>
      <c r="M1955" s="6"/>
      <c r="N1955" s="7"/>
      <c r="O1955" s="6"/>
      <c r="P1955" s="7"/>
      <c r="Q1955" s="6"/>
      <c r="R1955" s="7"/>
      <c r="S1955" s="6"/>
      <c r="T1955" s="7"/>
      <c r="U1955" s="6"/>
      <c r="V1955" s="7"/>
      <c r="W1955" s="6"/>
      <c r="X1955" s="7"/>
    </row>
    <row r="1956" spans="1:24" ht="25.5" x14ac:dyDescent="0.2">
      <c r="A1956" s="6"/>
      <c r="B1956" s="7"/>
      <c r="C1956" s="6"/>
      <c r="D1956" s="7"/>
      <c r="E1956" s="6"/>
      <c r="F1956" s="7"/>
      <c r="G1956" s="6"/>
      <c r="H1956" s="7"/>
      <c r="I1956" s="6"/>
      <c r="J1956" s="7"/>
      <c r="K1956" s="96" t="str">
        <f>HYPERLINK("#'Healthcare'!BWF1","Q6.9.5")</f>
        <v>Q6.9.5</v>
      </c>
      <c r="L1956" s="93" t="str">
        <f>HYPERLINK("#'Healthcare'!BWF2","Primary self-insured medical plan weight loss/bariatric surgery eligibility criteria")</f>
        <v>Primary self-insured medical plan weight loss/bariatric surgery eligibility criteria</v>
      </c>
      <c r="M1956" s="6"/>
      <c r="N1956" s="7"/>
      <c r="O1956" s="6"/>
      <c r="P1956" s="7"/>
      <c r="Q1956" s="6"/>
      <c r="R1956" s="7"/>
      <c r="S1956" s="6"/>
      <c r="T1956" s="7"/>
      <c r="U1956" s="6"/>
      <c r="V1956" s="7"/>
      <c r="W1956" s="6"/>
      <c r="X1956" s="7"/>
    </row>
    <row r="1957" spans="1:24" ht="38.25" x14ac:dyDescent="0.2">
      <c r="A1957" s="6"/>
      <c r="B1957" s="7"/>
      <c r="C1957" s="6"/>
      <c r="D1957" s="7"/>
      <c r="E1957" s="6"/>
      <c r="F1957" s="7"/>
      <c r="G1957" s="6"/>
      <c r="H1957" s="7"/>
      <c r="I1957" s="6"/>
      <c r="J1957" s="7"/>
      <c r="K1957" s="96" t="str">
        <f>HYPERLINK("#'Healthcare'!BWG1","Q6.9.6")</f>
        <v>Q6.9.6</v>
      </c>
      <c r="L1957" s="93" t="str">
        <f>HYPERLINK("#'Healthcare'!BWG2","Primary self-insured medical plan: Additional procedures covered if initial weight loss surgery is unsuccessful")</f>
        <v>Primary self-insured medical plan: Additional procedures covered if initial weight loss surgery is unsuccessful</v>
      </c>
      <c r="M1957" s="6"/>
      <c r="N1957" s="7"/>
      <c r="O1957" s="6"/>
      <c r="P1957" s="7"/>
      <c r="Q1957" s="6"/>
      <c r="R1957" s="7"/>
      <c r="S1957" s="6"/>
      <c r="T1957" s="7"/>
      <c r="U1957" s="6"/>
      <c r="V1957" s="7"/>
      <c r="W1957" s="6"/>
      <c r="X1957" s="7"/>
    </row>
    <row r="1958" spans="1:24" ht="25.5" x14ac:dyDescent="0.2">
      <c r="A1958" s="6"/>
      <c r="B1958" s="7"/>
      <c r="C1958" s="6"/>
      <c r="D1958" s="7"/>
      <c r="E1958" s="6"/>
      <c r="F1958" s="7"/>
      <c r="G1958" s="6"/>
      <c r="H1958" s="7"/>
      <c r="I1958" s="6"/>
      <c r="J1958" s="7"/>
      <c r="K1958" s="96" t="str">
        <f>HYPERLINK("#'Healthcare'!BWH1","Q6.10.2")</f>
        <v>Q6.10.2</v>
      </c>
      <c r="L1958" s="93" t="str">
        <f>HYPERLINK("#'Healthcare'!BWH2","Primary self-insured medical plan hearing aid coverage for adults")</f>
        <v>Primary self-insured medical plan hearing aid coverage for adults</v>
      </c>
      <c r="M1958" s="6"/>
      <c r="N1958" s="7"/>
      <c r="O1958" s="6"/>
      <c r="P1958" s="7"/>
      <c r="Q1958" s="6"/>
      <c r="R1958" s="7"/>
      <c r="S1958" s="6"/>
      <c r="T1958" s="7"/>
      <c r="U1958" s="6"/>
      <c r="V1958" s="7"/>
      <c r="W1958" s="6"/>
      <c r="X1958" s="7"/>
    </row>
    <row r="1959" spans="1:24" ht="25.5" x14ac:dyDescent="0.2">
      <c r="A1959" s="6"/>
      <c r="B1959" s="7"/>
      <c r="C1959" s="6"/>
      <c r="D1959" s="7"/>
      <c r="E1959" s="6"/>
      <c r="F1959" s="7"/>
      <c r="G1959" s="6"/>
      <c r="H1959" s="7"/>
      <c r="I1959" s="6"/>
      <c r="J1959" s="7"/>
      <c r="K1959" s="96" t="str">
        <f>HYPERLINK("#'Healthcare'!BWI1","Q6.10.3")</f>
        <v>Q6.10.3</v>
      </c>
      <c r="L1959" s="93" t="str">
        <f>HYPERLINK("#'Healthcare'!BWI2","Primary self-insured medical plan hearing aid coverage for children")</f>
        <v>Primary self-insured medical plan hearing aid coverage for children</v>
      </c>
      <c r="M1959" s="6"/>
      <c r="N1959" s="7"/>
      <c r="O1959" s="6"/>
      <c r="P1959" s="7"/>
      <c r="Q1959" s="6"/>
      <c r="R1959" s="7"/>
      <c r="S1959" s="6"/>
      <c r="T1959" s="7"/>
      <c r="U1959" s="6"/>
      <c r="V1959" s="7"/>
      <c r="W1959" s="6"/>
      <c r="X1959" s="7"/>
    </row>
    <row r="1960" spans="1:24" ht="25.5" x14ac:dyDescent="0.2">
      <c r="A1960" s="6"/>
      <c r="B1960" s="7"/>
      <c r="C1960" s="6"/>
      <c r="D1960" s="7"/>
      <c r="E1960" s="6"/>
      <c r="F1960" s="7"/>
      <c r="G1960" s="6"/>
      <c r="H1960" s="7"/>
      <c r="I1960" s="6"/>
      <c r="J1960" s="7"/>
      <c r="K1960" s="96" t="str">
        <f>HYPERLINK("#'Healthcare'!BWJ1","Q6.10.4")</f>
        <v>Q6.10.4</v>
      </c>
      <c r="L1960" s="93" t="str">
        <f>HYPERLINK("#'Healthcare'!BWJ2","Primary self-insured medical plan: Hearing aid replacement allowances")</f>
        <v>Primary self-insured medical plan: Hearing aid replacement allowances</v>
      </c>
      <c r="M1960" s="6"/>
      <c r="N1960" s="7"/>
      <c r="O1960" s="6"/>
      <c r="P1960" s="7"/>
      <c r="Q1960" s="6"/>
      <c r="R1960" s="7"/>
      <c r="S1960" s="6"/>
      <c r="T1960" s="7"/>
      <c r="U1960" s="6"/>
      <c r="V1960" s="7"/>
      <c r="W1960" s="6"/>
      <c r="X1960" s="7"/>
    </row>
    <row r="1961" spans="1:24" ht="25.5" x14ac:dyDescent="0.2">
      <c r="A1961" s="6"/>
      <c r="B1961" s="7"/>
      <c r="C1961" s="6"/>
      <c r="D1961" s="7"/>
      <c r="E1961" s="6"/>
      <c r="F1961" s="7"/>
      <c r="G1961" s="6"/>
      <c r="H1961" s="7"/>
      <c r="I1961" s="6"/>
      <c r="J1961" s="7"/>
      <c r="K1961" s="96" t="str">
        <f>HYPERLINK("#'Healthcare'!BWK1","Q6.10.5")</f>
        <v>Q6.10.5</v>
      </c>
      <c r="L1961" s="93" t="str">
        <f>HYPERLINK("#'Healthcare'!BWK2","Primary self-insured medical plan: Per hearing device dollar maximum applied")</f>
        <v>Primary self-insured medical plan: Per hearing device dollar maximum applied</v>
      </c>
      <c r="M1961" s="6"/>
      <c r="N1961" s="7"/>
      <c r="O1961" s="6"/>
      <c r="P1961" s="7"/>
      <c r="Q1961" s="6"/>
      <c r="R1961" s="7"/>
      <c r="S1961" s="6"/>
      <c r="T1961" s="7"/>
      <c r="U1961" s="6"/>
      <c r="V1961" s="7"/>
      <c r="W1961" s="6"/>
      <c r="X1961" s="7"/>
    </row>
    <row r="1962" spans="1:24" ht="25.5" x14ac:dyDescent="0.2">
      <c r="A1962" s="6"/>
      <c r="B1962" s="7"/>
      <c r="C1962" s="6"/>
      <c r="D1962" s="7"/>
      <c r="E1962" s="6"/>
      <c r="F1962" s="7"/>
      <c r="G1962" s="6"/>
      <c r="H1962" s="7"/>
      <c r="I1962" s="6"/>
      <c r="J1962" s="7"/>
      <c r="K1962" s="96" t="str">
        <f>HYPERLINK("#'Healthcare'!BWL1","Q6.10.6")</f>
        <v>Q6.10.6</v>
      </c>
      <c r="L1962" s="93" t="str">
        <f>HYPERLINK("#'Healthcare'!BWL2","Primary self-insured medical plan: Per hearing device dollar maximum")</f>
        <v>Primary self-insured medical plan: Per hearing device dollar maximum</v>
      </c>
      <c r="M1962" s="6"/>
      <c r="N1962" s="7"/>
      <c r="O1962" s="6"/>
      <c r="P1962" s="7"/>
      <c r="Q1962" s="6"/>
      <c r="R1962" s="7"/>
      <c r="S1962" s="6"/>
      <c r="T1962" s="7"/>
      <c r="U1962" s="6"/>
      <c r="V1962" s="7"/>
      <c r="W1962" s="6"/>
      <c r="X1962" s="7"/>
    </row>
    <row r="1963" spans="1:24" ht="25.5" x14ac:dyDescent="0.2">
      <c r="A1963" s="6"/>
      <c r="B1963" s="7"/>
      <c r="C1963" s="6"/>
      <c r="D1963" s="7"/>
      <c r="E1963" s="6"/>
      <c r="F1963" s="7"/>
      <c r="G1963" s="6"/>
      <c r="H1963" s="7"/>
      <c r="I1963" s="6"/>
      <c r="J1963" s="7"/>
      <c r="K1963" s="96" t="str">
        <f>HYPERLINK("#'Healthcare'!BWM1","Q6.10.7")</f>
        <v>Q6.10.7</v>
      </c>
      <c r="L1963" s="93" t="str">
        <f>HYPERLINK("#'Healthcare'!BWM2","Primary self-insured medical plan: Hearing aid annual dollar maximum applied")</f>
        <v>Primary self-insured medical plan: Hearing aid annual dollar maximum applied</v>
      </c>
      <c r="M1963" s="6"/>
      <c r="N1963" s="7"/>
      <c r="O1963" s="6"/>
      <c r="P1963" s="7"/>
      <c r="Q1963" s="6"/>
      <c r="R1963" s="7"/>
      <c r="S1963" s="6"/>
      <c r="T1963" s="7"/>
      <c r="U1963" s="6"/>
      <c r="V1963" s="7"/>
      <c r="W1963" s="6"/>
      <c r="X1963" s="7"/>
    </row>
    <row r="1964" spans="1:24" ht="25.5" x14ac:dyDescent="0.2">
      <c r="A1964" s="6"/>
      <c r="B1964" s="7"/>
      <c r="C1964" s="6"/>
      <c r="D1964" s="7"/>
      <c r="E1964" s="6"/>
      <c r="F1964" s="7"/>
      <c r="G1964" s="6"/>
      <c r="H1964" s="7"/>
      <c r="I1964" s="6"/>
      <c r="J1964" s="7"/>
      <c r="K1964" s="96" t="str">
        <f>HYPERLINK("#'Healthcare'!BWN1","Q6.10.8")</f>
        <v>Q6.10.8</v>
      </c>
      <c r="L1964" s="93" t="str">
        <f>HYPERLINK("#'Healthcare'!BWN2","Primary self-insured medical plan: Hearing aid annual dollar maximum")</f>
        <v>Primary self-insured medical plan: Hearing aid annual dollar maximum</v>
      </c>
      <c r="M1964" s="6"/>
      <c r="N1964" s="7"/>
      <c r="O1964" s="6"/>
      <c r="P1964" s="7"/>
      <c r="Q1964" s="6"/>
      <c r="R1964" s="7"/>
      <c r="S1964" s="6"/>
      <c r="T1964" s="7"/>
      <c r="U1964" s="6"/>
      <c r="V1964" s="7"/>
      <c r="W1964" s="6"/>
      <c r="X1964" s="7"/>
    </row>
    <row r="1965" spans="1:24" ht="25.5" x14ac:dyDescent="0.2">
      <c r="A1965" s="6"/>
      <c r="B1965" s="7"/>
      <c r="C1965" s="6"/>
      <c r="D1965" s="7"/>
      <c r="E1965" s="6"/>
      <c r="F1965" s="7"/>
      <c r="G1965" s="6"/>
      <c r="H1965" s="7"/>
      <c r="I1965" s="6"/>
      <c r="J1965" s="7"/>
      <c r="K1965" s="96" t="str">
        <f>HYPERLINK("#'Healthcare'!BWO1","Q6.10.9")</f>
        <v>Q6.10.9</v>
      </c>
      <c r="L1965" s="93" t="str">
        <f>HYPERLINK("#'Healthcare'!BWO2","Primary self-insured medical plan: Hearing aid lifetime dollar maximum applied")</f>
        <v>Primary self-insured medical plan: Hearing aid lifetime dollar maximum applied</v>
      </c>
      <c r="M1965" s="6"/>
      <c r="N1965" s="7"/>
      <c r="O1965" s="6"/>
      <c r="P1965" s="7"/>
      <c r="Q1965" s="6"/>
      <c r="R1965" s="7"/>
      <c r="S1965" s="6"/>
      <c r="T1965" s="7"/>
      <c r="U1965" s="6"/>
      <c r="V1965" s="7"/>
      <c r="W1965" s="6"/>
      <c r="X1965" s="7"/>
    </row>
    <row r="1966" spans="1:24" ht="25.5" x14ac:dyDescent="0.2">
      <c r="A1966" s="6"/>
      <c r="B1966" s="7"/>
      <c r="C1966" s="6"/>
      <c r="D1966" s="7"/>
      <c r="E1966" s="6"/>
      <c r="F1966" s="7"/>
      <c r="G1966" s="6"/>
      <c r="H1966" s="7"/>
      <c r="I1966" s="6"/>
      <c r="J1966" s="7"/>
      <c r="K1966" s="96" t="str">
        <f>HYPERLINK("#'Healthcare'!BWP1","Q6.10.10")</f>
        <v>Q6.10.10</v>
      </c>
      <c r="L1966" s="93" t="str">
        <f>HYPERLINK("#'Healthcare'!BWP2","Primary self-insured medical plan: Hearing aid lifetime dollar maximum")</f>
        <v>Primary self-insured medical plan: Hearing aid lifetime dollar maximum</v>
      </c>
      <c r="M1966" s="6"/>
      <c r="N1966" s="7"/>
      <c r="O1966" s="6"/>
      <c r="P1966" s="7"/>
      <c r="Q1966" s="6"/>
      <c r="R1966" s="7"/>
      <c r="S1966" s="6"/>
      <c r="T1966" s="7"/>
      <c r="U1966" s="6"/>
      <c r="V1966" s="7"/>
      <c r="W1966" s="6"/>
      <c r="X1966" s="7"/>
    </row>
    <row r="1967" spans="1:24" ht="25.5" x14ac:dyDescent="0.2">
      <c r="A1967" s="6"/>
      <c r="B1967" s="7"/>
      <c r="C1967" s="6"/>
      <c r="D1967" s="7"/>
      <c r="E1967" s="6"/>
      <c r="F1967" s="7"/>
      <c r="G1967" s="6"/>
      <c r="H1967" s="7"/>
      <c r="I1967" s="6"/>
      <c r="J1967" s="7"/>
      <c r="K1967" s="96" t="str">
        <f>HYPERLINK("#'Healthcare'!BWQ1","Q6.10.11")</f>
        <v>Q6.10.11</v>
      </c>
      <c r="L1967" s="93" t="str">
        <f>HYPERLINK("#'Healthcare'!BWQ2","Primary self-insured medical plan: Cochlear implant coverage")</f>
        <v>Primary self-insured medical plan: Cochlear implant coverage</v>
      </c>
      <c r="M1967" s="6"/>
      <c r="N1967" s="7"/>
      <c r="O1967" s="6"/>
      <c r="P1967" s="7"/>
      <c r="Q1967" s="6"/>
      <c r="R1967" s="7"/>
      <c r="S1967" s="6"/>
      <c r="T1967" s="7"/>
      <c r="U1967" s="6"/>
      <c r="V1967" s="7"/>
      <c r="W1967" s="6"/>
      <c r="X1967" s="7"/>
    </row>
    <row r="1968" spans="1:24" ht="25.5" x14ac:dyDescent="0.2">
      <c r="A1968" s="6"/>
      <c r="B1968" s="7"/>
      <c r="C1968" s="6"/>
      <c r="D1968" s="7"/>
      <c r="E1968" s="6"/>
      <c r="F1968" s="7"/>
      <c r="G1968" s="6"/>
      <c r="H1968" s="7"/>
      <c r="I1968" s="6"/>
      <c r="J1968" s="7"/>
      <c r="K1968" s="96" t="str">
        <f>HYPERLINK("#'Healthcare'!BWR1","Q6.10.12")</f>
        <v>Q6.10.12</v>
      </c>
      <c r="L1968" s="93" t="str">
        <f>HYPERLINK("#'Healthcare'!BWR2","Primary self-insured medical plan: Cochlear implant per device dollar maximum applied")</f>
        <v>Primary self-insured medical plan: Cochlear implant per device dollar maximum applied</v>
      </c>
      <c r="M1968" s="6"/>
      <c r="N1968" s="7"/>
      <c r="O1968" s="6"/>
      <c r="P1968" s="7"/>
      <c r="Q1968" s="6"/>
      <c r="R1968" s="7"/>
      <c r="S1968" s="6"/>
      <c r="T1968" s="7"/>
      <c r="U1968" s="6"/>
      <c r="V1968" s="7"/>
      <c r="W1968" s="6"/>
      <c r="X1968" s="7"/>
    </row>
    <row r="1969" spans="1:24" ht="38.25" x14ac:dyDescent="0.2">
      <c r="A1969" s="6"/>
      <c r="B1969" s="7"/>
      <c r="C1969" s="6"/>
      <c r="D1969" s="7"/>
      <c r="E1969" s="6"/>
      <c r="F1969" s="7"/>
      <c r="G1969" s="6"/>
      <c r="H1969" s="7"/>
      <c r="I1969" s="6"/>
      <c r="J1969" s="7"/>
      <c r="K1969" s="96" t="str">
        <f>HYPERLINK("#'Healthcare'!BWS1","Q6.10.13")</f>
        <v>Q6.10.13</v>
      </c>
      <c r="L1969" s="93" t="str">
        <f>HYPERLINK("#'Healthcare'!BWS2","Primary self-insured medical plan: Cochlear implant/per device dollar maximum dollar amount")</f>
        <v>Primary self-insured medical plan: Cochlear implant/per device dollar maximum dollar amount</v>
      </c>
      <c r="M1969" s="6"/>
      <c r="N1969" s="7"/>
      <c r="O1969" s="6"/>
      <c r="P1969" s="7"/>
      <c r="Q1969" s="6"/>
      <c r="R1969" s="7"/>
      <c r="S1969" s="6"/>
      <c r="T1969" s="7"/>
      <c r="U1969" s="6"/>
      <c r="V1969" s="7"/>
      <c r="W1969" s="6"/>
      <c r="X1969" s="7"/>
    </row>
    <row r="1970" spans="1:24" ht="25.5" x14ac:dyDescent="0.2">
      <c r="A1970" s="6"/>
      <c r="B1970" s="7"/>
      <c r="C1970" s="6"/>
      <c r="D1970" s="7"/>
      <c r="E1970" s="6"/>
      <c r="F1970" s="7"/>
      <c r="G1970" s="6"/>
      <c r="H1970" s="7"/>
      <c r="I1970" s="6"/>
      <c r="J1970" s="7"/>
      <c r="K1970" s="96" t="str">
        <f>HYPERLINK("#'Healthcare'!BWT1","Q6.10.14")</f>
        <v>Q6.10.14</v>
      </c>
      <c r="L1970" s="93" t="str">
        <f>HYPERLINK("#'Healthcare'!BWT2","Primary self-insured medical plan: Cochlear implant annual maximum applied")</f>
        <v>Primary self-insured medical plan: Cochlear implant annual maximum applied</v>
      </c>
      <c r="M1970" s="6"/>
      <c r="N1970" s="7"/>
      <c r="O1970" s="6"/>
      <c r="P1970" s="7"/>
      <c r="Q1970" s="6"/>
      <c r="R1970" s="7"/>
      <c r="S1970" s="6"/>
      <c r="T1970" s="7"/>
      <c r="U1970" s="6"/>
      <c r="V1970" s="7"/>
      <c r="W1970" s="6"/>
      <c r="X1970" s="7"/>
    </row>
    <row r="1971" spans="1:24" ht="38.25" x14ac:dyDescent="0.2">
      <c r="A1971" s="6"/>
      <c r="B1971" s="7"/>
      <c r="C1971" s="6"/>
      <c r="D1971" s="7"/>
      <c r="E1971" s="6"/>
      <c r="F1971" s="7"/>
      <c r="G1971" s="6"/>
      <c r="H1971" s="7"/>
      <c r="I1971" s="6"/>
      <c r="J1971" s="7"/>
      <c r="K1971" s="96" t="str">
        <f>HYPERLINK("#'Healthcare'!BWU1","Q6.10.15")</f>
        <v>Q6.10.15</v>
      </c>
      <c r="L1971" s="93" t="str">
        <f>HYPERLINK("#'Healthcare'!BWU2","Primary self-insured medical plan: Cochlear implant coverage annual maximum dollar amount")</f>
        <v>Primary self-insured medical plan: Cochlear implant coverage annual maximum dollar amount</v>
      </c>
      <c r="M1971" s="6"/>
      <c r="N1971" s="7"/>
      <c r="O1971" s="6"/>
      <c r="P1971" s="7"/>
      <c r="Q1971" s="6"/>
      <c r="R1971" s="7"/>
      <c r="S1971" s="6"/>
      <c r="T1971" s="7"/>
      <c r="U1971" s="6"/>
      <c r="V1971" s="7"/>
      <c r="W1971" s="6"/>
      <c r="X1971" s="7"/>
    </row>
    <row r="1972" spans="1:24" ht="25.5" x14ac:dyDescent="0.2">
      <c r="A1972" s="6"/>
      <c r="B1972" s="7"/>
      <c r="C1972" s="6"/>
      <c r="D1972" s="7"/>
      <c r="E1972" s="6"/>
      <c r="F1972" s="7"/>
      <c r="G1972" s="6"/>
      <c r="H1972" s="7"/>
      <c r="I1972" s="6"/>
      <c r="J1972" s="7"/>
      <c r="K1972" s="96" t="str">
        <f>HYPERLINK("#'Healthcare'!BWV1","Q6.10.16")</f>
        <v>Q6.10.16</v>
      </c>
      <c r="L1972" s="93" t="str">
        <f>HYPERLINK("#'Healthcare'!BWV2","Primary self-insured medical plan: Cochlear implant lifetime maximum applied")</f>
        <v>Primary self-insured medical plan: Cochlear implant lifetime maximum applied</v>
      </c>
      <c r="M1972" s="6"/>
      <c r="N1972" s="7"/>
      <c r="O1972" s="6"/>
      <c r="P1972" s="7"/>
      <c r="Q1972" s="6"/>
      <c r="R1972" s="7"/>
      <c r="S1972" s="6"/>
      <c r="T1972" s="7"/>
      <c r="U1972" s="6"/>
      <c r="V1972" s="7"/>
      <c r="W1972" s="6"/>
      <c r="X1972" s="7"/>
    </row>
    <row r="1973" spans="1:24" ht="25.5" x14ac:dyDescent="0.2">
      <c r="A1973" s="6"/>
      <c r="B1973" s="7"/>
      <c r="C1973" s="6"/>
      <c r="D1973" s="7"/>
      <c r="E1973" s="6"/>
      <c r="F1973" s="7"/>
      <c r="G1973" s="6"/>
      <c r="H1973" s="7"/>
      <c r="I1973" s="6"/>
      <c r="J1973" s="7"/>
      <c r="K1973" s="96" t="str">
        <f>HYPERLINK("#'Healthcare'!BWW1","Q6.10.17")</f>
        <v>Q6.10.17</v>
      </c>
      <c r="L1973" s="93" t="str">
        <f>HYPERLINK("#'Healthcare'!BWW2","Primary self-insured medical plan: Cochlear implant lifetime maximum dollar amount")</f>
        <v>Primary self-insured medical plan: Cochlear implant lifetime maximum dollar amount</v>
      </c>
      <c r="M1973" s="6"/>
      <c r="N1973" s="7"/>
      <c r="O1973" s="6"/>
      <c r="P1973" s="7"/>
      <c r="Q1973" s="6"/>
      <c r="R1973" s="7"/>
      <c r="S1973" s="6"/>
      <c r="T1973" s="7"/>
      <c r="U1973" s="6"/>
      <c r="V1973" s="7"/>
      <c r="W1973" s="6"/>
      <c r="X1973" s="7"/>
    </row>
    <row r="1974" spans="1:24" ht="25.5" x14ac:dyDescent="0.2">
      <c r="A1974" s="6"/>
      <c r="B1974" s="7"/>
      <c r="C1974" s="6"/>
      <c r="D1974" s="7"/>
      <c r="E1974" s="6"/>
      <c r="F1974" s="7"/>
      <c r="G1974" s="6"/>
      <c r="H1974" s="7"/>
      <c r="I1974" s="6"/>
      <c r="J1974" s="7"/>
      <c r="K1974" s="96" t="str">
        <f>HYPERLINK("#'Healthcare'!BWX1","Q6.10.19")</f>
        <v>Q6.10.19</v>
      </c>
      <c r="L1974" s="93" t="str">
        <f>HYPERLINK("#'Healthcare'!BWX2","Primary self-insured medical plan: Acupuncture coverage")</f>
        <v>Primary self-insured medical plan: Acupuncture coverage</v>
      </c>
      <c r="M1974" s="6"/>
      <c r="N1974" s="7"/>
      <c r="O1974" s="6"/>
      <c r="P1974" s="7"/>
      <c r="Q1974" s="6"/>
      <c r="R1974" s="7"/>
      <c r="S1974" s="6"/>
      <c r="T1974" s="7"/>
      <c r="U1974" s="6"/>
      <c r="V1974" s="7"/>
      <c r="W1974" s="6"/>
      <c r="X1974" s="7"/>
    </row>
    <row r="1975" spans="1:24" ht="25.5" x14ac:dyDescent="0.2">
      <c r="A1975" s="6"/>
      <c r="B1975" s="7"/>
      <c r="C1975" s="6"/>
      <c r="D1975" s="7"/>
      <c r="E1975" s="6"/>
      <c r="F1975" s="7"/>
      <c r="G1975" s="6"/>
      <c r="H1975" s="7"/>
      <c r="I1975" s="6"/>
      <c r="J1975" s="7"/>
      <c r="K1975" s="96" t="str">
        <f>HYPERLINK("#'Healthcare'!BWY1","Q6.10.20")</f>
        <v>Q6.10.20</v>
      </c>
      <c r="L1975" s="93" t="str">
        <f>HYPERLINK("#'Healthcare'!BWY2","Primary self-insured medical plan: Acupuncture coverage eligibility")</f>
        <v>Primary self-insured medical plan: Acupuncture coverage eligibility</v>
      </c>
      <c r="M1975" s="6"/>
      <c r="N1975" s="7"/>
      <c r="O1975" s="6"/>
      <c r="P1975" s="7"/>
      <c r="Q1975" s="6"/>
      <c r="R1975" s="7"/>
      <c r="S1975" s="6"/>
      <c r="T1975" s="7"/>
      <c r="U1975" s="6"/>
      <c r="V1975" s="7"/>
      <c r="W1975" s="6"/>
      <c r="X1975" s="7"/>
    </row>
    <row r="1976" spans="1:24" ht="38.25" x14ac:dyDescent="0.2">
      <c r="A1976" s="6"/>
      <c r="B1976" s="7"/>
      <c r="C1976" s="6"/>
      <c r="D1976" s="7"/>
      <c r="E1976" s="6"/>
      <c r="F1976" s="7"/>
      <c r="G1976" s="6"/>
      <c r="H1976" s="7"/>
      <c r="I1976" s="6"/>
      <c r="J1976" s="7"/>
      <c r="K1976" s="96" t="str">
        <f>HYPERLINK("#'Healthcare'!BWZ1","Q6.10.21")</f>
        <v>Q6.10.21</v>
      </c>
      <c r="L1976" s="93" t="str">
        <f>HYPERLINK("#'Healthcare'!BWZ2","Primary self-insured medical plan: Acupuncture maximum annual visit limit without medical review")</f>
        <v>Primary self-insured medical plan: Acupuncture maximum annual visit limit without medical review</v>
      </c>
      <c r="M1976" s="6"/>
      <c r="N1976" s="7"/>
      <c r="O1976" s="6"/>
      <c r="P1976" s="7"/>
      <c r="Q1976" s="6"/>
      <c r="R1976" s="7"/>
      <c r="S1976" s="6"/>
      <c r="T1976" s="7"/>
      <c r="U1976" s="6"/>
      <c r="V1976" s="7"/>
      <c r="W1976" s="6"/>
      <c r="X1976" s="7"/>
    </row>
    <row r="1977" spans="1:24" ht="38.25" x14ac:dyDescent="0.2">
      <c r="A1977" s="6"/>
      <c r="B1977" s="7"/>
      <c r="C1977" s="6"/>
      <c r="D1977" s="7"/>
      <c r="E1977" s="6"/>
      <c r="F1977" s="7"/>
      <c r="G1977" s="6"/>
      <c r="H1977" s="7"/>
      <c r="I1977" s="6"/>
      <c r="J1977" s="7"/>
      <c r="K1977" s="96" t="str">
        <f>HYPERLINK("#'Healthcare'!BXA1","Q6.10.22")</f>
        <v>Q6.10.22</v>
      </c>
      <c r="L1977" s="93" t="str">
        <f>HYPERLINK("#'Healthcare'!BXA2","Primary self-insured medical plan: Acupuncture maximum visit limit without medical review")</f>
        <v>Primary self-insured medical plan: Acupuncture maximum visit limit without medical review</v>
      </c>
      <c r="M1977" s="6"/>
      <c r="N1977" s="7"/>
      <c r="O1977" s="6"/>
      <c r="P1977" s="7"/>
      <c r="Q1977" s="6"/>
      <c r="R1977" s="7"/>
      <c r="S1977" s="6"/>
      <c r="T1977" s="7"/>
      <c r="U1977" s="6"/>
      <c r="V1977" s="7"/>
      <c r="W1977" s="6"/>
      <c r="X1977" s="7"/>
    </row>
    <row r="1978" spans="1:24" ht="38.25" x14ac:dyDescent="0.2">
      <c r="A1978" s="6"/>
      <c r="B1978" s="7"/>
      <c r="C1978" s="6"/>
      <c r="D1978" s="7"/>
      <c r="E1978" s="6"/>
      <c r="F1978" s="7"/>
      <c r="G1978" s="6"/>
      <c r="H1978" s="7"/>
      <c r="I1978" s="6"/>
      <c r="J1978" s="7"/>
      <c r="K1978" s="96" t="str">
        <f>HYPERLINK("#'Healthcare'!BXB1","Q6.10.23")</f>
        <v>Q6.10.23</v>
      </c>
      <c r="L1978" s="93" t="str">
        <f>HYPERLINK("#'Healthcare'!BXB2","Primary self-insured medical plan: Acupuncture maximum annual visit limit with medical review")</f>
        <v>Primary self-insured medical plan: Acupuncture maximum annual visit limit with medical review</v>
      </c>
      <c r="M1978" s="6"/>
      <c r="N1978" s="7"/>
      <c r="O1978" s="6"/>
      <c r="P1978" s="7"/>
      <c r="Q1978" s="6"/>
      <c r="R1978" s="7"/>
      <c r="S1978" s="6"/>
      <c r="T1978" s="7"/>
      <c r="U1978" s="6"/>
      <c r="V1978" s="7"/>
      <c r="W1978" s="6"/>
      <c r="X1978" s="7"/>
    </row>
    <row r="1979" spans="1:24" ht="38.25" x14ac:dyDescent="0.2">
      <c r="A1979" s="6"/>
      <c r="B1979" s="7"/>
      <c r="C1979" s="6"/>
      <c r="D1979" s="7"/>
      <c r="E1979" s="6"/>
      <c r="F1979" s="7"/>
      <c r="G1979" s="6"/>
      <c r="H1979" s="7"/>
      <c r="I1979" s="6"/>
      <c r="J1979" s="7"/>
      <c r="K1979" s="96" t="str">
        <f>HYPERLINK("#'Healthcare'!BXC1","Q6.10.24")</f>
        <v>Q6.10.24</v>
      </c>
      <c r="L1979" s="93" t="str">
        <f>HYPERLINK("#'Healthcare'!BXC2","Primary self-insured medical plan: Acupuncture maximum visit limit with medical review")</f>
        <v>Primary self-insured medical plan: Acupuncture maximum visit limit with medical review</v>
      </c>
      <c r="M1979" s="6"/>
      <c r="N1979" s="7"/>
      <c r="O1979" s="6"/>
      <c r="P1979" s="7"/>
      <c r="Q1979" s="6"/>
      <c r="R1979" s="7"/>
      <c r="S1979" s="6"/>
      <c r="T1979" s="7"/>
      <c r="U1979" s="6"/>
      <c r="V1979" s="7"/>
      <c r="W1979" s="6"/>
      <c r="X1979" s="7"/>
    </row>
    <row r="1980" spans="1:24" ht="25.5" x14ac:dyDescent="0.2">
      <c r="A1980" s="6"/>
      <c r="B1980" s="7"/>
      <c r="C1980" s="6"/>
      <c r="D1980" s="7"/>
      <c r="E1980" s="6"/>
      <c r="F1980" s="7"/>
      <c r="G1980" s="6"/>
      <c r="H1980" s="7"/>
      <c r="I1980" s="6"/>
      <c r="J1980" s="7"/>
      <c r="K1980" s="96" t="str">
        <f>HYPERLINK("#'Healthcare'!BXD1","Q6.10.26")</f>
        <v>Q6.10.26</v>
      </c>
      <c r="L1980" s="93" t="str">
        <f>HYPERLINK("#'Healthcare'!BXD2","Primary self-insured medical plan: Chiropractic coverage")</f>
        <v>Primary self-insured medical plan: Chiropractic coverage</v>
      </c>
      <c r="M1980" s="6"/>
      <c r="N1980" s="7"/>
      <c r="O1980" s="6"/>
      <c r="P1980" s="7"/>
      <c r="Q1980" s="6"/>
      <c r="R1980" s="7"/>
      <c r="S1980" s="6"/>
      <c r="T1980" s="7"/>
      <c r="U1980" s="6"/>
      <c r="V1980" s="7"/>
      <c r="W1980" s="6"/>
      <c r="X1980" s="7"/>
    </row>
    <row r="1981" spans="1:24" ht="25.5" x14ac:dyDescent="0.2">
      <c r="A1981" s="6"/>
      <c r="B1981" s="7"/>
      <c r="C1981" s="6"/>
      <c r="D1981" s="7"/>
      <c r="E1981" s="6"/>
      <c r="F1981" s="7"/>
      <c r="G1981" s="6"/>
      <c r="H1981" s="7"/>
      <c r="I1981" s="6"/>
      <c r="J1981" s="7"/>
      <c r="K1981" s="96" t="str">
        <f>HYPERLINK("#'Healthcare'!BXE1","Q6.10.27")</f>
        <v>Q6.10.27</v>
      </c>
      <c r="L1981" s="93" t="str">
        <f>HYPERLINK("#'Healthcare'!BXE2","Primary self-insured medical plan: Chiropractic coverage eligibility")</f>
        <v>Primary self-insured medical plan: Chiropractic coverage eligibility</v>
      </c>
      <c r="M1981" s="6"/>
      <c r="N1981" s="7"/>
      <c r="O1981" s="6"/>
      <c r="P1981" s="7"/>
      <c r="Q1981" s="6"/>
      <c r="R1981" s="7"/>
      <c r="S1981" s="6"/>
      <c r="T1981" s="7"/>
      <c r="U1981" s="6"/>
      <c r="V1981" s="7"/>
      <c r="W1981" s="6"/>
      <c r="X1981" s="7"/>
    </row>
    <row r="1982" spans="1:24" ht="38.25" x14ac:dyDescent="0.2">
      <c r="A1982" s="6"/>
      <c r="B1982" s="7"/>
      <c r="C1982" s="6"/>
      <c r="D1982" s="7"/>
      <c r="E1982" s="6"/>
      <c r="F1982" s="7"/>
      <c r="G1982" s="6"/>
      <c r="H1982" s="7"/>
      <c r="I1982" s="6"/>
      <c r="J1982" s="7"/>
      <c r="K1982" s="96" t="str">
        <f>HYPERLINK("#'Healthcare'!BXF1","Q6.10.28")</f>
        <v>Q6.10.28</v>
      </c>
      <c r="L1982" s="93" t="str">
        <f>HYPERLINK("#'Healthcare'!BXF2","Primary self-insured medical plan: Chiropractic maximum annual visit limit without medical review")</f>
        <v>Primary self-insured medical plan: Chiropractic maximum annual visit limit without medical review</v>
      </c>
      <c r="M1982" s="6"/>
      <c r="N1982" s="7"/>
      <c r="O1982" s="6"/>
      <c r="P1982" s="7"/>
      <c r="Q1982" s="6"/>
      <c r="R1982" s="7"/>
      <c r="S1982" s="6"/>
      <c r="T1982" s="7"/>
      <c r="U1982" s="6"/>
      <c r="V1982" s="7"/>
      <c r="W1982" s="6"/>
      <c r="X1982" s="7"/>
    </row>
    <row r="1983" spans="1:24" ht="25.5" x14ac:dyDescent="0.2">
      <c r="A1983" s="6"/>
      <c r="B1983" s="7"/>
      <c r="C1983" s="6"/>
      <c r="D1983" s="7"/>
      <c r="E1983" s="6"/>
      <c r="F1983" s="7"/>
      <c r="G1983" s="6"/>
      <c r="H1983" s="7"/>
      <c r="I1983" s="6"/>
      <c r="J1983" s="7"/>
      <c r="K1983" s="96" t="str">
        <f>HYPERLINK("#'Healthcare'!BXG1","Q6.10.29")</f>
        <v>Q6.10.29</v>
      </c>
      <c r="L1983" s="93" t="str">
        <f>HYPERLINK("#'Healthcare'!BXG2","Primary self-insured medical plan: Chiropractic maximum visit limit without medical review")</f>
        <v>Primary self-insured medical plan: Chiropractic maximum visit limit without medical review</v>
      </c>
      <c r="M1983" s="6"/>
      <c r="N1983" s="7"/>
      <c r="O1983" s="6"/>
      <c r="P1983" s="7"/>
      <c r="Q1983" s="6"/>
      <c r="R1983" s="7"/>
      <c r="S1983" s="6"/>
      <c r="T1983" s="7"/>
      <c r="U1983" s="6"/>
      <c r="V1983" s="7"/>
      <c r="W1983" s="6"/>
      <c r="X1983" s="7"/>
    </row>
    <row r="1984" spans="1:24" ht="25.5" x14ac:dyDescent="0.2">
      <c r="A1984" s="6"/>
      <c r="B1984" s="7"/>
      <c r="C1984" s="6"/>
      <c r="D1984" s="7"/>
      <c r="E1984" s="6"/>
      <c r="F1984" s="7"/>
      <c r="G1984" s="6"/>
      <c r="H1984" s="7"/>
      <c r="I1984" s="6"/>
      <c r="J1984" s="7"/>
      <c r="K1984" s="96" t="str">
        <f>HYPERLINK("#'Healthcare'!BXH1","Q6.10.30")</f>
        <v>Q6.10.30</v>
      </c>
      <c r="L1984" s="93" t="str">
        <f>HYPERLINK("#'Healthcare'!BXH2","Primary self-insured medical plan: Chiropractic maximum annual visit limit with medical review")</f>
        <v>Primary self-insured medical plan: Chiropractic maximum annual visit limit with medical review</v>
      </c>
      <c r="M1984" s="6"/>
      <c r="N1984" s="7"/>
      <c r="O1984" s="6"/>
      <c r="P1984" s="7"/>
      <c r="Q1984" s="6"/>
      <c r="R1984" s="7"/>
      <c r="S1984" s="6"/>
      <c r="T1984" s="7"/>
      <c r="U1984" s="6"/>
      <c r="V1984" s="7"/>
      <c r="W1984" s="6"/>
      <c r="X1984" s="7"/>
    </row>
    <row r="1985" spans="1:24" ht="25.5" x14ac:dyDescent="0.2">
      <c r="A1985" s="6"/>
      <c r="B1985" s="7"/>
      <c r="C1985" s="6"/>
      <c r="D1985" s="7"/>
      <c r="E1985" s="6"/>
      <c r="F1985" s="7"/>
      <c r="G1985" s="6"/>
      <c r="H1985" s="7"/>
      <c r="I1985" s="6"/>
      <c r="J1985" s="7"/>
      <c r="K1985" s="96" t="str">
        <f>HYPERLINK("#'Healthcare'!BXI1","Q6.10.31")</f>
        <v>Q6.10.31</v>
      </c>
      <c r="L1985" s="93" t="str">
        <f>HYPERLINK("#'Healthcare'!BXI2","Primary self-insured medical plan: Chiropractic maximum visit limit with medical review")</f>
        <v>Primary self-insured medical plan: Chiropractic maximum visit limit with medical review</v>
      </c>
      <c r="M1985" s="6"/>
      <c r="N1985" s="7"/>
      <c r="O1985" s="6"/>
      <c r="P1985" s="7"/>
      <c r="Q1985" s="6"/>
      <c r="R1985" s="7"/>
      <c r="S1985" s="6"/>
      <c r="T1985" s="7"/>
      <c r="U1985" s="6"/>
      <c r="V1985" s="7"/>
      <c r="W1985" s="6"/>
      <c r="X1985" s="7"/>
    </row>
    <row r="1986" spans="1:24" ht="25.5" x14ac:dyDescent="0.2">
      <c r="A1986" s="6"/>
      <c r="B1986" s="7"/>
      <c r="C1986" s="6"/>
      <c r="D1986" s="7"/>
      <c r="E1986" s="6"/>
      <c r="F1986" s="7"/>
      <c r="G1986" s="6"/>
      <c r="H1986" s="7"/>
      <c r="I1986" s="6"/>
      <c r="J1986" s="7"/>
      <c r="K1986" s="96" t="str">
        <f>HYPERLINK("#'Healthcare'!BXJ1","Q6.11.2")</f>
        <v>Q6.11.2</v>
      </c>
      <c r="L1986" s="93" t="str">
        <f>HYPERLINK("#'Healthcare'!BXJ2","Primary self-insured medical plan: Infertility services coverage")</f>
        <v>Primary self-insured medical plan: Infertility services coverage</v>
      </c>
      <c r="M1986" s="6"/>
      <c r="N1986" s="7"/>
      <c r="O1986" s="6"/>
      <c r="P1986" s="7"/>
      <c r="Q1986" s="6"/>
      <c r="R1986" s="7"/>
      <c r="S1986" s="6"/>
      <c r="T1986" s="7"/>
      <c r="U1986" s="6"/>
      <c r="V1986" s="7"/>
      <c r="W1986" s="6"/>
      <c r="X1986" s="7"/>
    </row>
    <row r="1987" spans="1:24" ht="25.5" x14ac:dyDescent="0.2">
      <c r="A1987" s="6"/>
      <c r="B1987" s="7"/>
      <c r="C1987" s="6"/>
      <c r="D1987" s="7"/>
      <c r="E1987" s="6"/>
      <c r="F1987" s="7"/>
      <c r="G1987" s="6"/>
      <c r="H1987" s="7"/>
      <c r="I1987" s="6"/>
      <c r="J1987" s="7"/>
      <c r="K1987" s="96" t="str">
        <f>HYPERLINK("#'Healthcare'!BXK1","Q6.11.3")</f>
        <v>Q6.11.3</v>
      </c>
      <c r="L1987" s="93" t="str">
        <f>HYPERLINK("#'Healthcare'!BXK2","Primary self-insured medical plan: Infertility coverage requirements ")</f>
        <v xml:space="preserve">Primary self-insured medical plan: Infertility coverage requirements </v>
      </c>
      <c r="M1987" s="6"/>
      <c r="N1987" s="7"/>
      <c r="O1987" s="6"/>
      <c r="P1987" s="7"/>
      <c r="Q1987" s="6"/>
      <c r="R1987" s="7"/>
      <c r="S1987" s="6"/>
      <c r="T1987" s="7"/>
      <c r="U1987" s="6"/>
      <c r="V1987" s="7"/>
      <c r="W1987" s="6"/>
      <c r="X1987" s="7"/>
    </row>
    <row r="1988" spans="1:24" ht="25.5" x14ac:dyDescent="0.2">
      <c r="A1988" s="6"/>
      <c r="B1988" s="7"/>
      <c r="C1988" s="6"/>
      <c r="D1988" s="7"/>
      <c r="E1988" s="6"/>
      <c r="F1988" s="7"/>
      <c r="G1988" s="6"/>
      <c r="H1988" s="7"/>
      <c r="I1988" s="6"/>
      <c r="J1988" s="7"/>
      <c r="K1988" s="96" t="str">
        <f>HYPERLINK("#'Healthcare'!BXL1","Q6.11.4")</f>
        <v>Q6.11.4</v>
      </c>
      <c r="L1988" s="93" t="str">
        <f>HYPERLINK("#'Healthcare'!BXL2","Primary self-insured medical plan: Infertility services covered by plan")</f>
        <v>Primary self-insured medical plan: Infertility services covered by plan</v>
      </c>
      <c r="M1988" s="6"/>
      <c r="N1988" s="7"/>
      <c r="O1988" s="6"/>
      <c r="P1988" s="7"/>
      <c r="Q1988" s="6"/>
      <c r="R1988" s="7"/>
      <c r="S1988" s="6"/>
      <c r="T1988" s="7"/>
      <c r="U1988" s="6"/>
      <c r="V1988" s="7"/>
      <c r="W1988" s="6"/>
      <c r="X1988" s="7"/>
    </row>
    <row r="1989" spans="1:24" ht="38.25" x14ac:dyDescent="0.2">
      <c r="A1989" s="6"/>
      <c r="B1989" s="7"/>
      <c r="C1989" s="6"/>
      <c r="D1989" s="7"/>
      <c r="E1989" s="6"/>
      <c r="F1989" s="7"/>
      <c r="G1989" s="6"/>
      <c r="H1989" s="7"/>
      <c r="I1989" s="6"/>
      <c r="J1989" s="7"/>
      <c r="K1989" s="96" t="str">
        <f>HYPERLINK("#'Healthcare'!BXM1","Q6.11.5")</f>
        <v>Q6.11.5</v>
      </c>
      <c r="L1989" s="93" t="str">
        <f>HYPERLINK("#'Healthcare'!BXM2","Primary self-insured medical plan: Plan requirements for elective single embryo transplant (eset)")</f>
        <v>Primary self-insured medical plan: Plan requirements for elective single embryo transplant (eset)</v>
      </c>
      <c r="M1989" s="6"/>
      <c r="N1989" s="7"/>
      <c r="O1989" s="6"/>
      <c r="P1989" s="7"/>
      <c r="Q1989" s="6"/>
      <c r="R1989" s="7"/>
      <c r="S1989" s="6"/>
      <c r="T1989" s="7"/>
      <c r="U1989" s="6"/>
      <c r="V1989" s="7"/>
      <c r="W1989" s="6"/>
      <c r="X1989" s="7"/>
    </row>
    <row r="1990" spans="1:24" ht="25.5" x14ac:dyDescent="0.2">
      <c r="A1990" s="6"/>
      <c r="B1990" s="7"/>
      <c r="C1990" s="6"/>
      <c r="D1990" s="7"/>
      <c r="E1990" s="6"/>
      <c r="F1990" s="7"/>
      <c r="G1990" s="6"/>
      <c r="H1990" s="7"/>
      <c r="I1990" s="6"/>
      <c r="J1990" s="7"/>
      <c r="K1990" s="96" t="str">
        <f>HYPERLINK("#'Healthcare'!BXN1","Q6.11.6")</f>
        <v>Q6.11.6</v>
      </c>
      <c r="L1990" s="93" t="str">
        <f>HYPERLINK("#'Healthcare'!BXN2","Primary self-insured medical plan: Infertility oral Prescription medication coverage")</f>
        <v>Primary self-insured medical plan: Infertility oral Prescription medication coverage</v>
      </c>
      <c r="M1990" s="6"/>
      <c r="N1990" s="7"/>
      <c r="O1990" s="6"/>
      <c r="P1990" s="7"/>
      <c r="Q1990" s="6"/>
      <c r="R1990" s="7"/>
      <c r="S1990" s="6"/>
      <c r="T1990" s="7"/>
      <c r="U1990" s="6"/>
      <c r="V1990" s="7"/>
      <c r="W1990" s="6"/>
      <c r="X1990" s="7"/>
    </row>
    <row r="1991" spans="1:24" ht="25.5" x14ac:dyDescent="0.2">
      <c r="A1991" s="6"/>
      <c r="B1991" s="7"/>
      <c r="C1991" s="6"/>
      <c r="D1991" s="7"/>
      <c r="E1991" s="6"/>
      <c r="F1991" s="7"/>
      <c r="G1991" s="6"/>
      <c r="H1991" s="7"/>
      <c r="I1991" s="6"/>
      <c r="J1991" s="7"/>
      <c r="K1991" s="96" t="str">
        <f>HYPERLINK("#'Healthcare'!BXO1","Q6.11.7_1")</f>
        <v>Q6.11.7_1</v>
      </c>
      <c r="L1991" s="93" t="str">
        <f>HYPERLINK("#'Healthcare'!BXO2","Primary self-insured medical plan: Reversal of elective vasectomy or tubal ligation coverage")</f>
        <v>Primary self-insured medical plan: Reversal of elective vasectomy or tubal ligation coverage</v>
      </c>
      <c r="M1991" s="6"/>
      <c r="N1991" s="7"/>
      <c r="O1991" s="6"/>
      <c r="P1991" s="7"/>
      <c r="Q1991" s="6"/>
      <c r="R1991" s="7"/>
      <c r="S1991" s="6"/>
      <c r="T1991" s="7"/>
      <c r="U1991" s="6"/>
      <c r="V1991" s="7"/>
      <c r="W1991" s="6"/>
      <c r="X1991" s="7"/>
    </row>
    <row r="1992" spans="1:24" ht="38.25" x14ac:dyDescent="0.2">
      <c r="A1992" s="6"/>
      <c r="B1992" s="7"/>
      <c r="C1992" s="6"/>
      <c r="D1992" s="7"/>
      <c r="E1992" s="6"/>
      <c r="F1992" s="7"/>
      <c r="G1992" s="6"/>
      <c r="H1992" s="7"/>
      <c r="I1992" s="6"/>
      <c r="J1992" s="7"/>
      <c r="K1992" s="96" t="str">
        <f>HYPERLINK("#'Healthcare'!BXP1","Q6.11.7_2")</f>
        <v>Q6.11.7_2</v>
      </c>
      <c r="L1992" s="93" t="str">
        <f>HYPERLINK("#'Healthcare'!BXP2","Primary self-insured medical plan: Infertility from previous elective vasectomy/tubal ligation coverage")</f>
        <v>Primary self-insured medical plan: Infertility from previous elective vasectomy/tubal ligation coverage</v>
      </c>
      <c r="M1992" s="6"/>
      <c r="N1992" s="7"/>
      <c r="O1992" s="6"/>
      <c r="P1992" s="7"/>
      <c r="Q1992" s="6"/>
      <c r="R1992" s="7"/>
      <c r="S1992" s="6"/>
      <c r="T1992" s="7"/>
      <c r="U1992" s="6"/>
      <c r="V1992" s="7"/>
      <c r="W1992" s="6"/>
      <c r="X1992" s="7"/>
    </row>
    <row r="1993" spans="1:24" ht="25.5" x14ac:dyDescent="0.2">
      <c r="A1993" s="6"/>
      <c r="B1993" s="7"/>
      <c r="C1993" s="6"/>
      <c r="D1993" s="7"/>
      <c r="E1993" s="6"/>
      <c r="F1993" s="7"/>
      <c r="G1993" s="6"/>
      <c r="H1993" s="7"/>
      <c r="I1993" s="6"/>
      <c r="J1993" s="7"/>
      <c r="K1993" s="96" t="str">
        <f>HYPERLINK("#'Healthcare'!BXQ1","Q6.11.7_3")</f>
        <v>Q6.11.7_3</v>
      </c>
      <c r="L1993" s="93" t="str">
        <f>HYPERLINK("#'Healthcare'!BXQ2","Primary self-insured medical plan: Inoculation of women with husband’s white cells coverage")</f>
        <v>Primary self-insured medical plan: Inoculation of women with husband’s white cells coverage</v>
      </c>
      <c r="M1993" s="6"/>
      <c r="N1993" s="7"/>
      <c r="O1993" s="6"/>
      <c r="P1993" s="7"/>
      <c r="Q1993" s="6"/>
      <c r="R1993" s="7"/>
      <c r="S1993" s="6"/>
      <c r="T1993" s="7"/>
      <c r="U1993" s="6"/>
      <c r="V1993" s="7"/>
      <c r="W1993" s="6"/>
      <c r="X1993" s="7"/>
    </row>
    <row r="1994" spans="1:24" ht="25.5" x14ac:dyDescent="0.2">
      <c r="A1994" s="6"/>
      <c r="B1994" s="7"/>
      <c r="C1994" s="6"/>
      <c r="D1994" s="7"/>
      <c r="E1994" s="6"/>
      <c r="F1994" s="7"/>
      <c r="G1994" s="6"/>
      <c r="H1994" s="7"/>
      <c r="I1994" s="6"/>
      <c r="J1994" s="7"/>
      <c r="K1994" s="96" t="str">
        <f>HYPERLINK("#'Healthcare'!BXR1","Q6.11.7_4")</f>
        <v>Q6.11.7_4</v>
      </c>
      <c r="L1994" s="93" t="str">
        <f>HYPERLINK("#'Healthcare'!BXR2","Primary self-insured medical plan: Zona microdissection/sperm microinjection coverage")</f>
        <v>Primary self-insured medical plan: Zona microdissection/sperm microinjection coverage</v>
      </c>
      <c r="M1994" s="6"/>
      <c r="N1994" s="7"/>
      <c r="O1994" s="6"/>
      <c r="P1994" s="7"/>
      <c r="Q1994" s="6"/>
      <c r="R1994" s="7"/>
      <c r="S1994" s="6"/>
      <c r="T1994" s="7"/>
      <c r="U1994" s="6"/>
      <c r="V1994" s="7"/>
      <c r="W1994" s="6"/>
      <c r="X1994" s="7"/>
    </row>
    <row r="1995" spans="1:24" ht="25.5" x14ac:dyDescent="0.2">
      <c r="A1995" s="6"/>
      <c r="B1995" s="7"/>
      <c r="C1995" s="6"/>
      <c r="D1995" s="7"/>
      <c r="E1995" s="6"/>
      <c r="F1995" s="7"/>
      <c r="G1995" s="6"/>
      <c r="H1995" s="7"/>
      <c r="I1995" s="6"/>
      <c r="J1995" s="7"/>
      <c r="K1995" s="96" t="str">
        <f>HYPERLINK("#'Healthcare'!BXS1","Q6.11.7_5")</f>
        <v>Q6.11.7_5</v>
      </c>
      <c r="L1995" s="93" t="str">
        <f>HYPERLINK("#'Healthcare'!BXS2","Primary self-insured medical plan: Services for post-menopausal women coverage")</f>
        <v>Primary self-insured medical plan: Services for post-menopausal women coverage</v>
      </c>
      <c r="M1995" s="6"/>
      <c r="N1995" s="7"/>
      <c r="O1995" s="6"/>
      <c r="P1995" s="7"/>
      <c r="Q1995" s="6"/>
      <c r="R1995" s="7"/>
      <c r="S1995" s="6"/>
      <c r="T1995" s="7"/>
      <c r="U1995" s="6"/>
      <c r="V1995" s="7"/>
      <c r="W1995" s="6"/>
      <c r="X1995" s="7"/>
    </row>
    <row r="1996" spans="1:24" ht="38.25" x14ac:dyDescent="0.2">
      <c r="A1996" s="6"/>
      <c r="B1996" s="7"/>
      <c r="C1996" s="6"/>
      <c r="D1996" s="7"/>
      <c r="E1996" s="6"/>
      <c r="F1996" s="7"/>
      <c r="G1996" s="6"/>
      <c r="H1996" s="7"/>
      <c r="I1996" s="6"/>
      <c r="J1996" s="7"/>
      <c r="K1996" s="96" t="str">
        <f>HYPERLINK("#'Healthcare'!BXT1","Q6.11.8")</f>
        <v>Q6.11.8</v>
      </c>
      <c r="L1996" s="93" t="str">
        <f>HYPERLINK("#'Healthcare'!BXT2","Primary self-insured medical plan: Infertility services coverage for surrogate/gestational carriers")</f>
        <v>Primary self-insured medical plan: Infertility services coverage for surrogate/gestational carriers</v>
      </c>
      <c r="M1996" s="6"/>
      <c r="N1996" s="7"/>
      <c r="O1996" s="6"/>
      <c r="P1996" s="7"/>
      <c r="Q1996" s="6"/>
      <c r="R1996" s="7"/>
      <c r="S1996" s="6"/>
      <c r="T1996" s="7"/>
      <c r="U1996" s="6"/>
      <c r="V1996" s="7"/>
      <c r="W1996" s="6"/>
      <c r="X1996" s="7"/>
    </row>
    <row r="1997" spans="1:24" ht="38.25" x14ac:dyDescent="0.2">
      <c r="A1997" s="6"/>
      <c r="B1997" s="7"/>
      <c r="C1997" s="6"/>
      <c r="D1997" s="7"/>
      <c r="E1997" s="6"/>
      <c r="F1997" s="7"/>
      <c r="G1997" s="6"/>
      <c r="H1997" s="7"/>
      <c r="I1997" s="6"/>
      <c r="J1997" s="7"/>
      <c r="K1997" s="96" t="str">
        <f>HYPERLINK("#'Healthcare'!BXU1","Q6.11.9")</f>
        <v>Q6.11.9</v>
      </c>
      <c r="L1997" s="93" t="str">
        <f>HYPERLINK("#'Healthcare'!BXU2","Primary self-insured medical plan: Protocols in place before moving forward with surrogate or gestational carrier")</f>
        <v>Primary self-insured medical plan: Protocols in place before moving forward with surrogate or gestational carrier</v>
      </c>
      <c r="M1997" s="6"/>
      <c r="N1997" s="7"/>
      <c r="O1997" s="6"/>
      <c r="P1997" s="7"/>
      <c r="Q1997" s="6"/>
      <c r="R1997" s="7"/>
      <c r="S1997" s="6"/>
      <c r="T1997" s="7"/>
      <c r="U1997" s="6"/>
      <c r="V1997" s="7"/>
      <c r="W1997" s="6"/>
      <c r="X1997" s="7"/>
    </row>
    <row r="1998" spans="1:24" ht="38.25" x14ac:dyDescent="0.2">
      <c r="A1998" s="6"/>
      <c r="B1998" s="7"/>
      <c r="C1998" s="6"/>
      <c r="D1998" s="7"/>
      <c r="E1998" s="6"/>
      <c r="F1998" s="7"/>
      <c r="G1998" s="6"/>
      <c r="H1998" s="7"/>
      <c r="I1998" s="6"/>
      <c r="J1998" s="7"/>
      <c r="K1998" s="96" t="str">
        <f>HYPERLINK("#'Healthcare'!BXV1","Q6.11.10")</f>
        <v>Q6.11.10</v>
      </c>
      <c r="L1998" s="93" t="str">
        <f>HYPERLINK("#'Healthcare'!BXV2","Primary self-insured medical plan: Additional information regarding protocols for surrogates and gestational carriers")</f>
        <v>Primary self-insured medical plan: Additional information regarding protocols for surrogates and gestational carriers</v>
      </c>
      <c r="M1998" s="6"/>
      <c r="N1998" s="7"/>
      <c r="O1998" s="6"/>
      <c r="P1998" s="7"/>
      <c r="Q1998" s="6"/>
      <c r="R1998" s="7"/>
      <c r="S1998" s="6"/>
      <c r="T1998" s="7"/>
      <c r="U1998" s="6"/>
      <c r="V1998" s="7"/>
      <c r="W1998" s="6"/>
      <c r="X1998" s="7"/>
    </row>
    <row r="1999" spans="1:24" ht="25.5" x14ac:dyDescent="0.2">
      <c r="A1999" s="6"/>
      <c r="B1999" s="7"/>
      <c r="C1999" s="6"/>
      <c r="D1999" s="7"/>
      <c r="E1999" s="6"/>
      <c r="F1999" s="7"/>
      <c r="G1999" s="6"/>
      <c r="H1999" s="7"/>
      <c r="I1999" s="6"/>
      <c r="J1999" s="7"/>
      <c r="K1999" s="96" t="str">
        <f>HYPERLINK("#'Healthcare'!BXW1","Q6.11.11_1")</f>
        <v>Q6.11.11_1</v>
      </c>
      <c r="L1999" s="93" t="str">
        <f>HYPERLINK("#'Healthcare'!BXW2","Primary self-insured medical plan: Infertility lifetime dollar limit (medical services)")</f>
        <v>Primary self-insured medical plan: Infertility lifetime dollar limit (medical services)</v>
      </c>
      <c r="M1999" s="6"/>
      <c r="N1999" s="7"/>
      <c r="O1999" s="6"/>
      <c r="P1999" s="7"/>
      <c r="Q1999" s="6"/>
      <c r="R1999" s="7"/>
      <c r="S1999" s="6"/>
      <c r="T1999" s="7"/>
      <c r="U1999" s="6"/>
      <c r="V1999" s="7"/>
      <c r="W1999" s="6"/>
      <c r="X1999" s="7"/>
    </row>
    <row r="2000" spans="1:24" ht="25.5" x14ac:dyDescent="0.2">
      <c r="A2000" s="6"/>
      <c r="B2000" s="7"/>
      <c r="C2000" s="6"/>
      <c r="D2000" s="7"/>
      <c r="E2000" s="6"/>
      <c r="F2000" s="7"/>
      <c r="G2000" s="6"/>
      <c r="H2000" s="7"/>
      <c r="I2000" s="6"/>
      <c r="J2000" s="7"/>
      <c r="K2000" s="96" t="str">
        <f>HYPERLINK("#'Healthcare'!BXX1","Q6.11.11_2")</f>
        <v>Q6.11.11_2</v>
      </c>
      <c r="L2000" s="93" t="str">
        <f>HYPERLINK("#'Healthcare'!BXX2","Primary self-insured medical plan: Infertility lifetime dollar limit (pharmacy)")</f>
        <v>Primary self-insured medical plan: Infertility lifetime dollar limit (pharmacy)</v>
      </c>
      <c r="M2000" s="6"/>
      <c r="N2000" s="7"/>
      <c r="O2000" s="6"/>
      <c r="P2000" s="7"/>
      <c r="Q2000" s="6"/>
      <c r="R2000" s="7"/>
      <c r="S2000" s="6"/>
      <c r="T2000" s="7"/>
      <c r="U2000" s="6"/>
      <c r="V2000" s="7"/>
      <c r="W2000" s="6"/>
      <c r="X2000" s="7"/>
    </row>
    <row r="2001" spans="1:24" ht="38.25" x14ac:dyDescent="0.2">
      <c r="A2001" s="6"/>
      <c r="B2001" s="7"/>
      <c r="C2001" s="6"/>
      <c r="D2001" s="7"/>
      <c r="E2001" s="6"/>
      <c r="F2001" s="7"/>
      <c r="G2001" s="6"/>
      <c r="H2001" s="7"/>
      <c r="I2001" s="6"/>
      <c r="J2001" s="7"/>
      <c r="K2001" s="96" t="str">
        <f>HYPERLINK("#'Healthcare'!BXY1","Q6.11.11_3")</f>
        <v>Q6.11.11_3</v>
      </c>
      <c r="L2001" s="93" t="str">
        <f>HYPERLINK("#'Healthcare'!BXY2","Primary self-insured medical plan: Infertility lifetime dollar limit (gestational carrier/surrogacy)")</f>
        <v>Primary self-insured medical plan: Infertility lifetime dollar limit (gestational carrier/surrogacy)</v>
      </c>
      <c r="M2001" s="6"/>
      <c r="N2001" s="7"/>
      <c r="O2001" s="6"/>
      <c r="P2001" s="7"/>
      <c r="Q2001" s="6"/>
      <c r="R2001" s="7"/>
      <c r="S2001" s="6"/>
      <c r="T2001" s="7"/>
      <c r="U2001" s="6"/>
      <c r="V2001" s="7"/>
      <c r="W2001" s="6"/>
      <c r="X2001" s="7"/>
    </row>
    <row r="2002" spans="1:24" ht="25.5" x14ac:dyDescent="0.2">
      <c r="A2002" s="6"/>
      <c r="B2002" s="7"/>
      <c r="C2002" s="6"/>
      <c r="D2002" s="7"/>
      <c r="E2002" s="6"/>
      <c r="F2002" s="7"/>
      <c r="G2002" s="6"/>
      <c r="H2002" s="7"/>
      <c r="I2002" s="6"/>
      <c r="J2002" s="7"/>
      <c r="K2002" s="96" t="str">
        <f>HYPERLINK("#'Healthcare'!BXZ1","Q6.11.11_4")</f>
        <v>Q6.11.11_4</v>
      </c>
      <c r="L2002" s="93" t="str">
        <f>HYPERLINK("#'Healthcare'!BXZ2","Primary self-insured medical plan: Infertility per cycle dollar limit (medical services)")</f>
        <v>Primary self-insured medical plan: Infertility per cycle dollar limit (medical services)</v>
      </c>
      <c r="M2002" s="6"/>
      <c r="N2002" s="7"/>
      <c r="O2002" s="6"/>
      <c r="P2002" s="7"/>
      <c r="Q2002" s="6"/>
      <c r="R2002" s="7"/>
      <c r="S2002" s="6"/>
      <c r="T2002" s="7"/>
      <c r="U2002" s="6"/>
      <c r="V2002" s="7"/>
      <c r="W2002" s="6"/>
      <c r="X2002" s="7"/>
    </row>
    <row r="2003" spans="1:24" ht="25.5" x14ac:dyDescent="0.2">
      <c r="A2003" s="6"/>
      <c r="B2003" s="7"/>
      <c r="C2003" s="6"/>
      <c r="D2003" s="7"/>
      <c r="E2003" s="6"/>
      <c r="F2003" s="7"/>
      <c r="G2003" s="6"/>
      <c r="H2003" s="7"/>
      <c r="I2003" s="6"/>
      <c r="J2003" s="7"/>
      <c r="K2003" s="96" t="str">
        <f>HYPERLINK("#'Healthcare'!BYA1","Q6.11.11_5")</f>
        <v>Q6.11.11_5</v>
      </c>
      <c r="L2003" s="93" t="str">
        <f>HYPERLINK("#'Healthcare'!BYA2","Primary self-insured medical plan: Infertility per cycle dollar limit (pharmacy)")</f>
        <v>Primary self-insured medical plan: Infertility per cycle dollar limit (pharmacy)</v>
      </c>
      <c r="M2003" s="6"/>
      <c r="N2003" s="7"/>
      <c r="O2003" s="6"/>
      <c r="P2003" s="7"/>
      <c r="Q2003" s="6"/>
      <c r="R2003" s="7"/>
      <c r="S2003" s="6"/>
      <c r="T2003" s="7"/>
      <c r="U2003" s="6"/>
      <c r="V2003" s="7"/>
      <c r="W2003" s="6"/>
      <c r="X2003" s="7"/>
    </row>
    <row r="2004" spans="1:24" ht="25.5" x14ac:dyDescent="0.2">
      <c r="A2004" s="6"/>
      <c r="B2004" s="7"/>
      <c r="C2004" s="6"/>
      <c r="D2004" s="7"/>
      <c r="E2004" s="6"/>
      <c r="F2004" s="7"/>
      <c r="G2004" s="6"/>
      <c r="H2004" s="7"/>
      <c r="I2004" s="6"/>
      <c r="J2004" s="7"/>
      <c r="K2004" s="96" t="str">
        <f>HYPERLINK("#'Healthcare'!BYB1","Q6.11.11_6")</f>
        <v>Q6.11.11_6</v>
      </c>
      <c r="L2004" s="93" t="str">
        <f>HYPERLINK("#'Healthcare'!BYB2","Primary self-insured medical plan: Infertility per cycle dollar limit (gestational carrier/surrogacy)")</f>
        <v>Primary self-insured medical plan: Infertility per cycle dollar limit (gestational carrier/surrogacy)</v>
      </c>
      <c r="M2004" s="6"/>
      <c r="N2004" s="7"/>
      <c r="O2004" s="6"/>
      <c r="P2004" s="7"/>
      <c r="Q2004" s="6"/>
      <c r="R2004" s="7"/>
      <c r="S2004" s="6"/>
      <c r="T2004" s="7"/>
      <c r="U2004" s="6"/>
      <c r="V2004" s="7"/>
      <c r="W2004" s="6"/>
      <c r="X2004" s="7"/>
    </row>
    <row r="2005" spans="1:24" ht="25.5" x14ac:dyDescent="0.2">
      <c r="A2005" s="6"/>
      <c r="B2005" s="7"/>
      <c r="C2005" s="6"/>
      <c r="D2005" s="7"/>
      <c r="E2005" s="6"/>
      <c r="F2005" s="7"/>
      <c r="G2005" s="6"/>
      <c r="H2005" s="7"/>
      <c r="I2005" s="6"/>
      <c r="J2005" s="7"/>
      <c r="K2005" s="96" t="str">
        <f>HYPERLINK("#'Healthcare'!BYC1","Q6.11.12")</f>
        <v>Q6.11.12</v>
      </c>
      <c r="L2005" s="93" t="str">
        <f>HYPERLINK("#'Healthcare'!BYC2","Company strategy: Alignment of adoption assistance benefits with infertility service costs")</f>
        <v>Company strategy: Alignment of adoption assistance benefits with infertility service costs</v>
      </c>
      <c r="M2005" s="6"/>
      <c r="N2005" s="7"/>
      <c r="O2005" s="6"/>
      <c r="P2005" s="7"/>
      <c r="Q2005" s="6"/>
      <c r="R2005" s="7"/>
      <c r="S2005" s="6"/>
      <c r="T2005" s="7"/>
      <c r="U2005" s="6"/>
      <c r="V2005" s="7"/>
      <c r="W2005" s="6"/>
      <c r="X2005" s="7"/>
    </row>
    <row r="2006" spans="1:24" ht="25.5" x14ac:dyDescent="0.2">
      <c r="A2006" s="6"/>
      <c r="B2006" s="7"/>
      <c r="C2006" s="6"/>
      <c r="D2006" s="7"/>
      <c r="E2006" s="6"/>
      <c r="F2006" s="7"/>
      <c r="G2006" s="6"/>
      <c r="H2006" s="7"/>
      <c r="I2006" s="6"/>
      <c r="J2006" s="7"/>
      <c r="K2006" s="96" t="str">
        <f>HYPERLINK("#'Healthcare'!BYD1","Q6.12.2")</f>
        <v>Q6.12.2</v>
      </c>
      <c r="L2006" s="93" t="str">
        <f>HYPERLINK("#'Healthcare'!BYD2","Primary self-insured medical plan: Autism spectrum disorder (ASD) coverage")</f>
        <v>Primary self-insured medical plan: Autism spectrum disorder (ASD) coverage</v>
      </c>
      <c r="M2006" s="6"/>
      <c r="N2006" s="7"/>
      <c r="O2006" s="6"/>
      <c r="P2006" s="7"/>
      <c r="Q2006" s="6"/>
      <c r="R2006" s="7"/>
      <c r="S2006" s="6"/>
      <c r="T2006" s="7"/>
      <c r="U2006" s="6"/>
      <c r="V2006" s="7"/>
      <c r="W2006" s="6"/>
      <c r="X2006" s="7"/>
    </row>
    <row r="2007" spans="1:24" ht="38.25" x14ac:dyDescent="0.2">
      <c r="A2007" s="6"/>
      <c r="B2007" s="7"/>
      <c r="C2007" s="6"/>
      <c r="D2007" s="7"/>
      <c r="E2007" s="6"/>
      <c r="F2007" s="7"/>
      <c r="G2007" s="6"/>
      <c r="H2007" s="7"/>
      <c r="I2007" s="6"/>
      <c r="J2007" s="7"/>
      <c r="K2007" s="96" t="str">
        <f>HYPERLINK("#'Healthcare'!BYE1","Q6.12.3")</f>
        <v>Q6.12.3</v>
      </c>
      <c r="L2007" s="93" t="str">
        <f>HYPERLINK("#'Healthcare'!BYE2","Primary self-insured medical plan: Autism spectrum disorder (ASD) covered treatments and services")</f>
        <v>Primary self-insured medical plan: Autism spectrum disorder (ASD) covered treatments and services</v>
      </c>
      <c r="M2007" s="6"/>
      <c r="N2007" s="7"/>
      <c r="O2007" s="6"/>
      <c r="P2007" s="7"/>
      <c r="Q2007" s="6"/>
      <c r="R2007" s="7"/>
      <c r="S2007" s="6"/>
      <c r="T2007" s="7"/>
      <c r="U2007" s="6"/>
      <c r="V2007" s="7"/>
      <c r="W2007" s="6"/>
      <c r="X2007" s="7"/>
    </row>
    <row r="2008" spans="1:24" ht="38.25" x14ac:dyDescent="0.2">
      <c r="A2008" s="6"/>
      <c r="B2008" s="7"/>
      <c r="C2008" s="6"/>
      <c r="D2008" s="7"/>
      <c r="E2008" s="6"/>
      <c r="F2008" s="7"/>
      <c r="G2008" s="6"/>
      <c r="H2008" s="7"/>
      <c r="I2008" s="6"/>
      <c r="J2008" s="7"/>
      <c r="K2008" s="96" t="str">
        <f>HYPERLINK("#'Healthcare'!BYF1","Q6.12.4")</f>
        <v>Q6.12.4</v>
      </c>
      <c r="L2008" s="93" t="str">
        <f>HYPERLINK("#'Healthcare'!BYF2","Primary self-insured medical plan: Autism spectrum disorder non-evidence based treatments and services coverage ")</f>
        <v xml:space="preserve">Primary self-insured medical plan: Autism spectrum disorder non-evidence based treatments and services coverage </v>
      </c>
      <c r="M2008" s="6"/>
      <c r="N2008" s="7"/>
      <c r="O2008" s="6"/>
      <c r="P2008" s="7"/>
      <c r="Q2008" s="6"/>
      <c r="R2008" s="7"/>
      <c r="S2008" s="6"/>
      <c r="T2008" s="7"/>
      <c r="U2008" s="6"/>
      <c r="V2008" s="7"/>
      <c r="W2008" s="6"/>
      <c r="X2008" s="7"/>
    </row>
    <row r="2009" spans="1:24" ht="25.5" x14ac:dyDescent="0.2">
      <c r="A2009" s="6"/>
      <c r="B2009" s="7"/>
      <c r="C2009" s="6"/>
      <c r="D2009" s="7"/>
      <c r="E2009" s="6"/>
      <c r="F2009" s="7"/>
      <c r="G2009" s="6"/>
      <c r="H2009" s="7"/>
      <c r="I2009" s="6"/>
      <c r="J2009" s="7"/>
      <c r="K2009" s="96" t="str">
        <f>HYPERLINK("#'Healthcare'!BYG1","Q6.12.5")</f>
        <v>Q6.12.5</v>
      </c>
      <c r="L2009" s="93" t="str">
        <f>HYPERLINK("#'Healthcare'!BYG2","Primary self-insured medical plan: Additional autism spectrum disorder services covered")</f>
        <v>Primary self-insured medical plan: Additional autism spectrum disorder services covered</v>
      </c>
      <c r="M2009" s="6"/>
      <c r="N2009" s="7"/>
      <c r="O2009" s="6"/>
      <c r="P2009" s="7"/>
      <c r="Q2009" s="6"/>
      <c r="R2009" s="7"/>
      <c r="S2009" s="6"/>
      <c r="T2009" s="7"/>
      <c r="U2009" s="6"/>
      <c r="V2009" s="7"/>
      <c r="W2009" s="6"/>
      <c r="X2009" s="7"/>
    </row>
    <row r="2010" spans="1:24" ht="25.5" x14ac:dyDescent="0.2">
      <c r="A2010" s="6"/>
      <c r="B2010" s="7"/>
      <c r="C2010" s="6"/>
      <c r="D2010" s="7"/>
      <c r="E2010" s="6"/>
      <c r="F2010" s="7"/>
      <c r="G2010" s="6"/>
      <c r="H2010" s="7"/>
      <c r="I2010" s="6"/>
      <c r="J2010" s="7"/>
      <c r="K2010" s="96" t="str">
        <f>HYPERLINK("#'Healthcare'!BYH1","Q6.12.6")</f>
        <v>Q6.12.6</v>
      </c>
      <c r="L2010" s="93" t="str">
        <f>HYPERLINK("#'Healthcare'!BYH2","Primary self-insured medical plan: Autism spectrum disorder qualified providers")</f>
        <v>Primary self-insured medical plan: Autism spectrum disorder qualified providers</v>
      </c>
      <c r="M2010" s="6"/>
      <c r="N2010" s="7"/>
      <c r="O2010" s="6"/>
      <c r="P2010" s="7"/>
      <c r="Q2010" s="6"/>
      <c r="R2010" s="7"/>
      <c r="S2010" s="6"/>
      <c r="T2010" s="7"/>
      <c r="U2010" s="6"/>
      <c r="V2010" s="7"/>
      <c r="W2010" s="6"/>
      <c r="X2010" s="7"/>
    </row>
    <row r="2011" spans="1:24" ht="25.5" x14ac:dyDescent="0.2">
      <c r="A2011" s="6"/>
      <c r="B2011" s="7"/>
      <c r="C2011" s="6"/>
      <c r="D2011" s="7"/>
      <c r="E2011" s="6"/>
      <c r="F2011" s="7"/>
      <c r="G2011" s="6"/>
      <c r="H2011" s="7"/>
      <c r="I2011" s="6"/>
      <c r="J2011" s="7"/>
      <c r="K2011" s="96" t="str">
        <f>HYPERLINK("#'Healthcare'!BYI1","Q6.12.7")</f>
        <v>Q6.12.7</v>
      </c>
      <c r="L2011" s="93" t="str">
        <f>HYPERLINK("#'Healthcare'!BYI2","Primary self-insured medical plan: Autism spectrum disorder annual coverage limit")</f>
        <v>Primary self-insured medical plan: Autism spectrum disorder annual coverage limit</v>
      </c>
      <c r="M2011" s="6"/>
      <c r="N2011" s="7"/>
      <c r="O2011" s="6"/>
      <c r="P2011" s="7"/>
      <c r="Q2011" s="6"/>
      <c r="R2011" s="7"/>
      <c r="S2011" s="6"/>
      <c r="T2011" s="7"/>
      <c r="U2011" s="6"/>
      <c r="V2011" s="7"/>
      <c r="W2011" s="6"/>
      <c r="X2011" s="7"/>
    </row>
    <row r="2012" spans="1:24" ht="25.5" x14ac:dyDescent="0.2">
      <c r="A2012" s="6"/>
      <c r="B2012" s="7"/>
      <c r="C2012" s="6"/>
      <c r="D2012" s="7"/>
      <c r="E2012" s="6"/>
      <c r="F2012" s="7"/>
      <c r="G2012" s="6"/>
      <c r="H2012" s="7"/>
      <c r="I2012" s="6"/>
      <c r="J2012" s="7"/>
      <c r="K2012" s="96" t="str">
        <f>HYPERLINK("#'Healthcare'!BYJ1","Q6.12.8")</f>
        <v>Q6.12.8</v>
      </c>
      <c r="L2012" s="93" t="str">
        <f>HYPERLINK("#'Healthcare'!BYJ2","Primary self-insured medical plan: Autism spectrum disorder lifetime coverage limit")</f>
        <v>Primary self-insured medical plan: Autism spectrum disorder lifetime coverage limit</v>
      </c>
      <c r="M2012" s="6"/>
      <c r="N2012" s="7"/>
      <c r="O2012" s="6"/>
      <c r="P2012" s="7"/>
      <c r="Q2012" s="6"/>
      <c r="R2012" s="7"/>
      <c r="S2012" s="6"/>
      <c r="T2012" s="7"/>
      <c r="U2012" s="6"/>
      <c r="V2012" s="7"/>
      <c r="W2012" s="6"/>
      <c r="X2012" s="7"/>
    </row>
    <row r="2013" spans="1:24" ht="25.5" x14ac:dyDescent="0.2">
      <c r="A2013" s="6"/>
      <c r="B2013" s="7"/>
      <c r="C2013" s="6"/>
      <c r="D2013" s="7"/>
      <c r="E2013" s="6"/>
      <c r="F2013" s="7"/>
      <c r="G2013" s="6"/>
      <c r="H2013" s="7"/>
      <c r="I2013" s="6"/>
      <c r="J2013" s="7"/>
      <c r="K2013" s="96" t="str">
        <f>HYPERLINK("#'Healthcare'!BYK1","Q6.12.9")</f>
        <v>Q6.12.9</v>
      </c>
      <c r="L2013" s="93" t="str">
        <f>HYPERLINK("#'Healthcare'!BYK2","Primary self-insured medical plan: Speech therapy applicable for developmental delays")</f>
        <v>Primary self-insured medical plan: Speech therapy applicable for developmental delays</v>
      </c>
      <c r="M2013" s="6"/>
      <c r="N2013" s="7"/>
      <c r="O2013" s="6"/>
      <c r="P2013" s="7"/>
      <c r="Q2013" s="6"/>
      <c r="R2013" s="7"/>
      <c r="S2013" s="6"/>
      <c r="T2013" s="7"/>
      <c r="U2013" s="6"/>
      <c r="V2013" s="7"/>
      <c r="W2013" s="6"/>
      <c r="X2013" s="7"/>
    </row>
    <row r="2014" spans="1:24" ht="38.25" x14ac:dyDescent="0.2">
      <c r="A2014" s="6"/>
      <c r="B2014" s="7"/>
      <c r="C2014" s="6"/>
      <c r="D2014" s="7"/>
      <c r="E2014" s="6"/>
      <c r="F2014" s="7"/>
      <c r="G2014" s="6"/>
      <c r="H2014" s="7"/>
      <c r="I2014" s="6"/>
      <c r="J2014" s="7"/>
      <c r="K2014" s="96" t="str">
        <f>HYPERLINK("#'Healthcare'!BYL1","Q6.12.10")</f>
        <v>Q6.12.10</v>
      </c>
      <c r="L2014" s="93" t="str">
        <f>HYPERLINK("#'Healthcare'!BYL2","Primary self-insured medical plan: Speech therapy annual limit of visits related to injury/recuperation")</f>
        <v>Primary self-insured medical plan: Speech therapy annual limit of visits related to injury/recuperation</v>
      </c>
      <c r="M2014" s="6"/>
      <c r="N2014" s="7"/>
      <c r="O2014" s="6"/>
      <c r="P2014" s="7"/>
      <c r="Q2014" s="6"/>
      <c r="R2014" s="7"/>
      <c r="S2014" s="6"/>
      <c r="T2014" s="7"/>
      <c r="U2014" s="6"/>
      <c r="V2014" s="7"/>
      <c r="W2014" s="6"/>
      <c r="X2014" s="7"/>
    </row>
    <row r="2015" spans="1:24" ht="38.25" x14ac:dyDescent="0.2">
      <c r="A2015" s="6"/>
      <c r="B2015" s="7"/>
      <c r="C2015" s="6"/>
      <c r="D2015" s="7"/>
      <c r="E2015" s="6"/>
      <c r="F2015" s="7"/>
      <c r="G2015" s="6"/>
      <c r="H2015" s="7"/>
      <c r="I2015" s="6"/>
      <c r="J2015" s="7"/>
      <c r="K2015" s="96" t="str">
        <f>HYPERLINK("#'Healthcare'!BYM1","Q6.12.11")</f>
        <v>Q6.12.11</v>
      </c>
      <c r="L2015" s="93" t="str">
        <f>HYPERLINK("#'Healthcare'!BYM2","Primary self-insured medical plan: Speech therapy: annual maximum number of speech therapy visits related to injury/recuperation")</f>
        <v>Primary self-insured medical plan: Speech therapy: annual maximum number of speech therapy visits related to injury/recuperation</v>
      </c>
      <c r="M2015" s="6"/>
      <c r="N2015" s="7"/>
      <c r="O2015" s="6"/>
      <c r="P2015" s="7"/>
      <c r="Q2015" s="6"/>
      <c r="R2015" s="7"/>
      <c r="S2015" s="6"/>
      <c r="T2015" s="7"/>
      <c r="U2015" s="6"/>
      <c r="V2015" s="7"/>
      <c r="W2015" s="6"/>
      <c r="X2015" s="7"/>
    </row>
    <row r="2016" spans="1:24" ht="38.25" x14ac:dyDescent="0.2">
      <c r="A2016" s="6"/>
      <c r="B2016" s="7"/>
      <c r="C2016" s="6"/>
      <c r="D2016" s="7"/>
      <c r="E2016" s="6"/>
      <c r="F2016" s="7"/>
      <c r="G2016" s="6"/>
      <c r="H2016" s="7"/>
      <c r="I2016" s="6"/>
      <c r="J2016" s="7"/>
      <c r="K2016" s="96" t="str">
        <f>HYPERLINK("#'Healthcare'!BYN1","Q6.12.12")</f>
        <v>Q6.12.12</v>
      </c>
      <c r="L2016" s="93" t="str">
        <f>HYPERLINK("#'Healthcare'!BYN2","Primary self-insured medical plan: Speech therapy annual limit of visits related to developmental delays")</f>
        <v>Primary self-insured medical plan: Speech therapy annual limit of visits related to developmental delays</v>
      </c>
      <c r="M2016" s="6"/>
      <c r="N2016" s="7"/>
      <c r="O2016" s="6"/>
      <c r="P2016" s="7"/>
      <c r="Q2016" s="6"/>
      <c r="R2016" s="7"/>
      <c r="S2016" s="6"/>
      <c r="T2016" s="7"/>
      <c r="U2016" s="6"/>
      <c r="V2016" s="7"/>
      <c r="W2016" s="6"/>
      <c r="X2016" s="7"/>
    </row>
    <row r="2017" spans="1:24" ht="38.25" x14ac:dyDescent="0.2">
      <c r="A2017" s="6"/>
      <c r="B2017" s="7"/>
      <c r="C2017" s="6"/>
      <c r="D2017" s="7"/>
      <c r="E2017" s="6"/>
      <c r="F2017" s="7"/>
      <c r="G2017" s="6"/>
      <c r="H2017" s="7"/>
      <c r="I2017" s="6"/>
      <c r="J2017" s="7"/>
      <c r="K2017" s="96" t="str">
        <f>HYPERLINK("#'Healthcare'!BYO1","Q6.12.13")</f>
        <v>Q6.12.13</v>
      </c>
      <c r="L2017" s="93" t="str">
        <f>HYPERLINK("#'Healthcare'!BYO2","Primary self-insured medical plan: Speech therapy: annual maximum number of speech therapy visits related to developmental delays")</f>
        <v>Primary self-insured medical plan: Speech therapy: annual maximum number of speech therapy visits related to developmental delays</v>
      </c>
      <c r="M2017" s="6"/>
      <c r="N2017" s="7"/>
      <c r="O2017" s="6"/>
      <c r="P2017" s="7"/>
      <c r="Q2017" s="6"/>
      <c r="R2017" s="7"/>
      <c r="S2017" s="6"/>
      <c r="T2017" s="7"/>
      <c r="U2017" s="6"/>
      <c r="V2017" s="7"/>
      <c r="W2017" s="6"/>
      <c r="X2017" s="7"/>
    </row>
    <row r="2018" spans="1:24" ht="38.25" x14ac:dyDescent="0.2">
      <c r="A2018" s="6"/>
      <c r="B2018" s="7"/>
      <c r="C2018" s="6"/>
      <c r="D2018" s="7"/>
      <c r="E2018" s="6"/>
      <c r="F2018" s="7"/>
      <c r="G2018" s="6"/>
      <c r="H2018" s="7"/>
      <c r="I2018" s="6"/>
      <c r="J2018" s="7"/>
      <c r="K2018" s="96" t="str">
        <f>HYPERLINK("#'Healthcare'!BYP1","Q6.12.14")</f>
        <v>Q6.12.14</v>
      </c>
      <c r="L2018" s="93" t="str">
        <f>HYPERLINK("#'Healthcare'!BYP2","Primary self-insured medical plan: Speech, occupational therapy, physical therapy combined visit limit")</f>
        <v>Primary self-insured medical plan: Speech, occupational therapy, physical therapy combined visit limit</v>
      </c>
      <c r="M2018" s="6"/>
      <c r="N2018" s="7"/>
      <c r="O2018" s="6"/>
      <c r="P2018" s="7"/>
      <c r="Q2018" s="6"/>
      <c r="R2018" s="7"/>
      <c r="S2018" s="6"/>
      <c r="T2018" s="7"/>
      <c r="U2018" s="6"/>
      <c r="V2018" s="7"/>
      <c r="W2018" s="6"/>
      <c r="X2018" s="7"/>
    </row>
    <row r="2019" spans="1:24" ht="38.25" x14ac:dyDescent="0.2">
      <c r="A2019" s="6"/>
      <c r="B2019" s="7"/>
      <c r="C2019" s="6"/>
      <c r="D2019" s="7"/>
      <c r="E2019" s="6"/>
      <c r="F2019" s="7"/>
      <c r="G2019" s="6"/>
      <c r="H2019" s="7"/>
      <c r="I2019" s="6"/>
      <c r="J2019" s="7"/>
      <c r="K2019" s="96" t="str">
        <f>HYPERLINK("#'Healthcare'!BYQ1","Q6.12.15")</f>
        <v>Q6.12.15</v>
      </c>
      <c r="L2019" s="93" t="str">
        <f>HYPERLINK("#'Healthcare'!BYQ2","Primary self-insured medical plan: Speech, occupational therapy, physical therapy combined visit maximum")</f>
        <v>Primary self-insured medical plan: Speech, occupational therapy, physical therapy combined visit maximum</v>
      </c>
      <c r="M2019" s="6"/>
      <c r="N2019" s="7"/>
      <c r="O2019" s="6"/>
      <c r="P2019" s="7"/>
      <c r="Q2019" s="6"/>
      <c r="R2019" s="7"/>
      <c r="S2019" s="6"/>
      <c r="T2019" s="7"/>
      <c r="U2019" s="6"/>
      <c r="V2019" s="7"/>
      <c r="W2019" s="6"/>
      <c r="X2019" s="7"/>
    </row>
    <row r="2020" spans="1:24" ht="25.5" x14ac:dyDescent="0.2">
      <c r="A2020" s="6"/>
      <c r="B2020" s="7"/>
      <c r="C2020" s="6"/>
      <c r="D2020" s="7"/>
      <c r="E2020" s="6"/>
      <c r="F2020" s="7"/>
      <c r="G2020" s="6"/>
      <c r="H2020" s="7"/>
      <c r="I2020" s="6"/>
      <c r="J2020" s="7"/>
      <c r="K2020" s="96" t="str">
        <f>HYPERLINK("#'Healthcare'!BYR1","Q6.13.2")</f>
        <v>Q6.13.2</v>
      </c>
      <c r="L2020" s="93" t="str">
        <f>HYPERLINK("#'Healthcare'!BYR2","Health savings account associated with an IRS qualified high deductible health plan offering")</f>
        <v>Health savings account associated with an IRS qualified high deductible health plan offering</v>
      </c>
      <c r="M2020" s="6"/>
      <c r="N2020" s="7"/>
      <c r="O2020" s="6"/>
      <c r="P2020" s="7"/>
      <c r="Q2020" s="6"/>
      <c r="R2020" s="7"/>
      <c r="S2020" s="6"/>
      <c r="T2020" s="7"/>
      <c r="U2020" s="6"/>
      <c r="V2020" s="7"/>
      <c r="W2020" s="6"/>
      <c r="X2020" s="7"/>
    </row>
    <row r="2021" spans="1:24" ht="38.25" x14ac:dyDescent="0.2">
      <c r="A2021" s="6"/>
      <c r="B2021" s="7"/>
      <c r="C2021" s="6"/>
      <c r="D2021" s="7"/>
      <c r="E2021" s="6"/>
      <c r="F2021" s="7"/>
      <c r="G2021" s="6"/>
      <c r="H2021" s="7"/>
      <c r="I2021" s="6"/>
      <c r="J2021" s="7"/>
      <c r="K2021" s="96" t="str">
        <f>HYPERLINK("#'Healthcare'!BYS1","Q6.13.3")</f>
        <v>Q6.13.3</v>
      </c>
      <c r="L2021" s="93" t="str">
        <f>HYPERLINK("#'Healthcare'!BYS2","Health savings account maintenance fee payment responsibility for active employees enrolled in IRS qualified HDHP")</f>
        <v>Health savings account maintenance fee payment responsibility for active employees enrolled in IRS qualified HDHP</v>
      </c>
      <c r="M2021" s="6"/>
      <c r="N2021" s="7"/>
      <c r="O2021" s="6"/>
      <c r="P2021" s="7"/>
      <c r="Q2021" s="6"/>
      <c r="R2021" s="7"/>
      <c r="S2021" s="6"/>
      <c r="T2021" s="7"/>
      <c r="U2021" s="6"/>
      <c r="V2021" s="7"/>
      <c r="W2021" s="6"/>
      <c r="X2021" s="7"/>
    </row>
    <row r="2022" spans="1:24" ht="38.25" x14ac:dyDescent="0.2">
      <c r="A2022" s="6"/>
      <c r="B2022" s="7"/>
      <c r="C2022" s="6"/>
      <c r="D2022" s="7"/>
      <c r="E2022" s="6"/>
      <c r="F2022" s="7"/>
      <c r="G2022" s="6"/>
      <c r="H2022" s="7"/>
      <c r="I2022" s="6"/>
      <c r="J2022" s="7"/>
      <c r="K2022" s="96" t="str">
        <f>HYPERLINK("#'Healthcare'!BYT1","Q6.13.4")</f>
        <v>Q6.13.4</v>
      </c>
      <c r="L2022" s="93" t="str">
        <f>HYPERLINK("#'Healthcare'!BYT2","Health savings account maintenance fee payment responsibility for active employees not enrolled in IRS qualified HDHP")</f>
        <v>Health savings account maintenance fee payment responsibility for active employees not enrolled in IRS qualified HDHP</v>
      </c>
      <c r="M2022" s="6"/>
      <c r="N2022" s="7"/>
      <c r="O2022" s="6"/>
      <c r="P2022" s="7"/>
      <c r="Q2022" s="6"/>
      <c r="R2022" s="7"/>
      <c r="S2022" s="6"/>
      <c r="T2022" s="7"/>
      <c r="U2022" s="6"/>
      <c r="V2022" s="7"/>
      <c r="W2022" s="6"/>
      <c r="X2022" s="7"/>
    </row>
    <row r="2023" spans="1:24" ht="38.25" x14ac:dyDescent="0.2">
      <c r="A2023" s="6"/>
      <c r="B2023" s="7"/>
      <c r="C2023" s="6"/>
      <c r="D2023" s="7"/>
      <c r="E2023" s="6"/>
      <c r="F2023" s="7"/>
      <c r="G2023" s="6"/>
      <c r="H2023" s="7"/>
      <c r="I2023" s="6"/>
      <c r="J2023" s="7"/>
      <c r="K2023" s="96" t="str">
        <f>HYPERLINK("#'Healthcare'!BYU1","Q6.13.5")</f>
        <v>Q6.13.5</v>
      </c>
      <c r="L2023" s="93" t="str">
        <f>HYPERLINK("#'Healthcare'!BYU2","Health savings account maintenance fee payment responsibility for terminated employees who keep their HSA open")</f>
        <v>Health savings account maintenance fee payment responsibility for terminated employees who keep their HSA open</v>
      </c>
      <c r="M2023" s="6"/>
      <c r="N2023" s="7"/>
      <c r="O2023" s="6"/>
      <c r="P2023" s="7"/>
      <c r="Q2023" s="6"/>
      <c r="R2023" s="7"/>
      <c r="S2023" s="6"/>
      <c r="T2023" s="7"/>
      <c r="U2023" s="6"/>
      <c r="V2023" s="7"/>
      <c r="W2023" s="6"/>
      <c r="X2023" s="7"/>
    </row>
    <row r="2024" spans="1:24" ht="38.25" x14ac:dyDescent="0.2">
      <c r="A2024" s="6"/>
      <c r="B2024" s="7"/>
      <c r="C2024" s="6"/>
      <c r="D2024" s="7"/>
      <c r="E2024" s="6"/>
      <c r="F2024" s="7"/>
      <c r="G2024" s="6"/>
      <c r="H2024" s="7"/>
      <c r="I2024" s="6"/>
      <c r="J2024" s="7"/>
      <c r="K2024" s="96" t="str">
        <f>HYPERLINK("#'Healthcare'!BYV1","Q6.13.6")</f>
        <v>Q6.13.6</v>
      </c>
      <c r="L2024" s="93" t="str">
        <f>HYPERLINK("#'Healthcare'!BYV2","Company payment of Other non-account maintenance fees associated with an individual's HSA")</f>
        <v>Company payment of Other non-account maintenance fees associated with an individual's HSA</v>
      </c>
      <c r="M2024" s="6"/>
      <c r="N2024" s="7"/>
      <c r="O2024" s="6"/>
      <c r="P2024" s="7"/>
      <c r="Q2024" s="6"/>
      <c r="R2024" s="7"/>
      <c r="S2024" s="6"/>
      <c r="T2024" s="7"/>
      <c r="U2024" s="6"/>
      <c r="V2024" s="7"/>
      <c r="W2024" s="6"/>
      <c r="X2024" s="7"/>
    </row>
    <row r="2025" spans="1:24" ht="12.75" x14ac:dyDescent="0.2">
      <c r="A2025" s="6"/>
      <c r="B2025" s="7"/>
      <c r="C2025" s="6"/>
      <c r="D2025" s="7"/>
      <c r="E2025" s="6"/>
      <c r="F2025" s="7"/>
      <c r="G2025" s="6"/>
      <c r="H2025" s="7"/>
      <c r="I2025" s="6"/>
      <c r="J2025" s="7"/>
      <c r="K2025" s="96" t="str">
        <f>HYPERLINK("#'Healthcare'!BYW1","Q6.13.7")</f>
        <v>Q6.13.7</v>
      </c>
      <c r="L2025" s="93" t="str">
        <f>HYPERLINK("#'Healthcare'!BYW2","Employer contributes to employee's HSA")</f>
        <v>Employer contributes to employee's HSA</v>
      </c>
      <c r="M2025" s="6"/>
      <c r="N2025" s="7"/>
      <c r="O2025" s="6"/>
      <c r="P2025" s="7"/>
      <c r="Q2025" s="6"/>
      <c r="R2025" s="7"/>
      <c r="S2025" s="6"/>
      <c r="T2025" s="7"/>
      <c r="U2025" s="6"/>
      <c r="V2025" s="7"/>
      <c r="W2025" s="6"/>
      <c r="X2025" s="7"/>
    </row>
    <row r="2026" spans="1:24" ht="25.5" x14ac:dyDescent="0.2">
      <c r="A2026" s="6"/>
      <c r="B2026" s="7"/>
      <c r="C2026" s="6"/>
      <c r="D2026" s="7"/>
      <c r="E2026" s="6"/>
      <c r="F2026" s="7"/>
      <c r="G2026" s="6"/>
      <c r="H2026" s="7"/>
      <c r="I2026" s="6"/>
      <c r="J2026" s="7"/>
      <c r="K2026" s="96" t="str">
        <f>HYPERLINK("#'Healthcare'!BYX1","Q6.13.8")</f>
        <v>Q6.13.8</v>
      </c>
      <c r="L2026" s="93" t="str">
        <f>HYPERLINK("#'Healthcare'!BYX2","Employer contribution amount to employee's HSA for employee only coverage")</f>
        <v>Employer contribution amount to employee's HSA for employee only coverage</v>
      </c>
      <c r="M2026" s="6"/>
      <c r="N2026" s="7"/>
      <c r="O2026" s="6"/>
      <c r="P2026" s="7"/>
      <c r="Q2026" s="6"/>
      <c r="R2026" s="7"/>
      <c r="S2026" s="6"/>
      <c r="T2026" s="7"/>
      <c r="U2026" s="6"/>
      <c r="V2026" s="7"/>
      <c r="W2026" s="6"/>
      <c r="X2026" s="7"/>
    </row>
    <row r="2027" spans="1:24" ht="25.5" x14ac:dyDescent="0.2">
      <c r="A2027" s="6"/>
      <c r="B2027" s="7"/>
      <c r="C2027" s="6"/>
      <c r="D2027" s="7"/>
      <c r="E2027" s="6"/>
      <c r="F2027" s="7"/>
      <c r="G2027" s="6"/>
      <c r="H2027" s="7"/>
      <c r="I2027" s="6"/>
      <c r="J2027" s="7"/>
      <c r="K2027" s="96" t="str">
        <f>HYPERLINK("#'Healthcare'!BYY1","Q6.13.9")</f>
        <v>Q6.13.9</v>
      </c>
      <c r="L2027" s="93" t="str">
        <f>HYPERLINK("#'Healthcare'!BYY2","Employer contribution amount to employee's HSA for family coverage")</f>
        <v>Employer contribution amount to employee's HSA for family coverage</v>
      </c>
      <c r="M2027" s="6"/>
      <c r="N2027" s="7"/>
      <c r="O2027" s="6"/>
      <c r="P2027" s="7"/>
      <c r="Q2027" s="6"/>
      <c r="R2027" s="7"/>
      <c r="S2027" s="6"/>
      <c r="T2027" s="7"/>
      <c r="U2027" s="6"/>
      <c r="V2027" s="7"/>
      <c r="W2027" s="6"/>
      <c r="X2027" s="7"/>
    </row>
    <row r="2028" spans="1:24" ht="25.5" x14ac:dyDescent="0.2">
      <c r="A2028" s="6"/>
      <c r="B2028" s="7"/>
      <c r="C2028" s="6"/>
      <c r="D2028" s="7"/>
      <c r="E2028" s="6"/>
      <c r="F2028" s="7"/>
      <c r="G2028" s="6"/>
      <c r="H2028" s="7"/>
      <c r="I2028" s="6"/>
      <c r="J2028" s="7"/>
      <c r="K2028" s="96" t="str">
        <f>HYPERLINK("#'Healthcare'!BYZ1","Q6.13.10")</f>
        <v>Q6.13.10</v>
      </c>
      <c r="L2028" s="93" t="str">
        <f>HYPERLINK("#'Healthcare'!BYZ2","Criteria used to calculate contribution to employee's HSA ")</f>
        <v xml:space="preserve">Criteria used to calculate contribution to employee's HSA </v>
      </c>
      <c r="M2028" s="6"/>
      <c r="N2028" s="7"/>
      <c r="O2028" s="6"/>
      <c r="P2028" s="7"/>
      <c r="Q2028" s="6"/>
      <c r="R2028" s="7"/>
      <c r="S2028" s="6"/>
      <c r="T2028" s="7"/>
      <c r="U2028" s="6"/>
      <c r="V2028" s="7"/>
      <c r="W2028" s="6"/>
      <c r="X2028" s="7"/>
    </row>
    <row r="2029" spans="1:24" ht="25.5" x14ac:dyDescent="0.2">
      <c r="A2029" s="6"/>
      <c r="B2029" s="7"/>
      <c r="C2029" s="6"/>
      <c r="D2029" s="7"/>
      <c r="E2029" s="6"/>
      <c r="F2029" s="7"/>
      <c r="G2029" s="6"/>
      <c r="H2029" s="7"/>
      <c r="I2029" s="6"/>
      <c r="J2029" s="7"/>
      <c r="K2029" s="96" t="str">
        <f>HYPERLINK("#'Healthcare'!BZA1","Q6.13.11")</f>
        <v>Q6.13.11</v>
      </c>
      <c r="L2029" s="93" t="str">
        <f>HYPERLINK("#'Healthcare'!BZA2","Company HSA contribution language communicated to employees")</f>
        <v>Company HSA contribution language communicated to employees</v>
      </c>
      <c r="M2029" s="6"/>
      <c r="N2029" s="7"/>
      <c r="O2029" s="6"/>
      <c r="P2029" s="7"/>
      <c r="Q2029" s="6"/>
      <c r="R2029" s="7"/>
      <c r="S2029" s="6"/>
      <c r="T2029" s="7"/>
      <c r="U2029" s="6"/>
      <c r="V2029" s="7"/>
      <c r="W2029" s="6"/>
      <c r="X2029" s="7"/>
    </row>
    <row r="2030" spans="1:24" ht="12.75" x14ac:dyDescent="0.2">
      <c r="A2030" s="6"/>
      <c r="B2030" s="7"/>
      <c r="C2030" s="6"/>
      <c r="D2030" s="7"/>
      <c r="E2030" s="6"/>
      <c r="F2030" s="7"/>
      <c r="G2030" s="6"/>
      <c r="H2030" s="7"/>
      <c r="I2030" s="6"/>
      <c r="J2030" s="7"/>
      <c r="K2030" s="96" t="str">
        <f>HYPERLINK("#'Healthcare'!BZB1","Q6.13.12")</f>
        <v>Q6.13.12</v>
      </c>
      <c r="L2030" s="93" t="str">
        <f>HYPERLINK("#'Healthcare'!BZB2","Company HSA contribution frequency")</f>
        <v>Company HSA contribution frequency</v>
      </c>
      <c r="M2030" s="6"/>
      <c r="N2030" s="7"/>
      <c r="O2030" s="6"/>
      <c r="P2030" s="7"/>
      <c r="Q2030" s="6"/>
      <c r="R2030" s="7"/>
      <c r="S2030" s="6"/>
      <c r="T2030" s="7"/>
      <c r="U2030" s="6"/>
      <c r="V2030" s="7"/>
      <c r="W2030" s="6"/>
      <c r="X2030" s="7"/>
    </row>
    <row r="2031" spans="1:24" ht="12.75" x14ac:dyDescent="0.2">
      <c r="A2031" s="6"/>
      <c r="B2031" s="7"/>
      <c r="C2031" s="6"/>
      <c r="D2031" s="7"/>
      <c r="E2031" s="6"/>
      <c r="F2031" s="7"/>
      <c r="G2031" s="6"/>
      <c r="H2031" s="7"/>
      <c r="I2031" s="6"/>
      <c r="J2031" s="7"/>
      <c r="K2031" s="96" t="str">
        <f>HYPERLINK("#'Healthcare'!BZC1","Q6.13.13")</f>
        <v>Q6.13.13</v>
      </c>
      <c r="L2031" s="93" t="str">
        <f>HYPERLINK("#'Healthcare'!BZC2","Annual HSA company contribution timing")</f>
        <v>Annual HSA company contribution timing</v>
      </c>
      <c r="M2031" s="6"/>
      <c r="N2031" s="7"/>
      <c r="O2031" s="6"/>
      <c r="P2031" s="7"/>
      <c r="Q2031" s="6"/>
      <c r="R2031" s="7"/>
      <c r="S2031" s="6"/>
      <c r="T2031" s="7"/>
      <c r="U2031" s="6"/>
      <c r="V2031" s="7"/>
      <c r="W2031" s="6"/>
      <c r="X2031" s="7"/>
    </row>
    <row r="2032" spans="1:24" ht="25.5" x14ac:dyDescent="0.2">
      <c r="A2032" s="6"/>
      <c r="B2032" s="7"/>
      <c r="C2032" s="6"/>
      <c r="D2032" s="7"/>
      <c r="E2032" s="6"/>
      <c r="F2032" s="7"/>
      <c r="G2032" s="6"/>
      <c r="H2032" s="7"/>
      <c r="I2032" s="6"/>
      <c r="J2032" s="7"/>
      <c r="K2032" s="96" t="str">
        <f>HYPERLINK("#'Healthcare'!BZD1","Q6.13.14")</f>
        <v>Q6.13.14</v>
      </c>
      <c r="L2032" s="93" t="str">
        <f>HYPERLINK("#'Healthcare'!BZD2","Company contribution to HSA for mid-year new hires")</f>
        <v>Company contribution to HSA for mid-year new hires</v>
      </c>
      <c r="M2032" s="6"/>
      <c r="N2032" s="7"/>
      <c r="O2032" s="6"/>
      <c r="P2032" s="7"/>
      <c r="Q2032" s="6"/>
      <c r="R2032" s="7"/>
      <c r="S2032" s="6"/>
      <c r="T2032" s="7"/>
      <c r="U2032" s="6"/>
      <c r="V2032" s="7"/>
      <c r="W2032" s="6"/>
      <c r="X2032" s="7"/>
    </row>
    <row r="2033" spans="1:24" ht="25.5" x14ac:dyDescent="0.2">
      <c r="A2033" s="6"/>
      <c r="B2033" s="7"/>
      <c r="C2033" s="6"/>
      <c r="D2033" s="7"/>
      <c r="E2033" s="6"/>
      <c r="F2033" s="7"/>
      <c r="G2033" s="6"/>
      <c r="H2033" s="7"/>
      <c r="I2033" s="6"/>
      <c r="J2033" s="7"/>
      <c r="K2033" s="96" t="str">
        <f>HYPERLINK("#'Healthcare'!BZE1","Q6.13.15")</f>
        <v>Q6.13.15</v>
      </c>
      <c r="L2033" s="93" t="str">
        <f>HYPERLINK("#'Healthcare'!BZE2","Company contribution prorated for mid-year new hires")</f>
        <v>Company contribution prorated for mid-year new hires</v>
      </c>
      <c r="M2033" s="6"/>
      <c r="N2033" s="7"/>
      <c r="O2033" s="6"/>
      <c r="P2033" s="7"/>
      <c r="Q2033" s="6"/>
      <c r="R2033" s="7"/>
      <c r="S2033" s="6"/>
      <c r="T2033" s="7"/>
      <c r="U2033" s="6"/>
      <c r="V2033" s="7"/>
      <c r="W2033" s="6"/>
      <c r="X2033" s="7"/>
    </row>
    <row r="2034" spans="1:24" ht="25.5" x14ac:dyDescent="0.2">
      <c r="A2034" s="6"/>
      <c r="B2034" s="7"/>
      <c r="C2034" s="6"/>
      <c r="D2034" s="7"/>
      <c r="E2034" s="6"/>
      <c r="F2034" s="7"/>
      <c r="G2034" s="6"/>
      <c r="H2034" s="7"/>
      <c r="I2034" s="6"/>
      <c r="J2034" s="7"/>
      <c r="K2034" s="96" t="str">
        <f>HYPERLINK("#'Healthcare'!BZF1","Q6.13.16")</f>
        <v>Q6.13.16</v>
      </c>
      <c r="L2034" s="93" t="str">
        <f>HYPERLINK("#'Healthcare'!BZF2","Company contribution prorated for mid-year qualified change of status events")</f>
        <v>Company contribution prorated for mid-year qualified change of status events</v>
      </c>
      <c r="M2034" s="6"/>
      <c r="N2034" s="7"/>
      <c r="O2034" s="6"/>
      <c r="P2034" s="7"/>
      <c r="Q2034" s="6"/>
      <c r="R2034" s="7"/>
      <c r="S2034" s="6"/>
      <c r="T2034" s="7"/>
      <c r="U2034" s="6"/>
      <c r="V2034" s="7"/>
      <c r="W2034" s="6"/>
      <c r="X2034" s="7"/>
    </row>
    <row r="2035" spans="1:24" ht="25.5" x14ac:dyDescent="0.2">
      <c r="A2035" s="6"/>
      <c r="B2035" s="7"/>
      <c r="C2035" s="6"/>
      <c r="D2035" s="7"/>
      <c r="E2035" s="6"/>
      <c r="F2035" s="7"/>
      <c r="G2035" s="6"/>
      <c r="H2035" s="7"/>
      <c r="I2035" s="6"/>
      <c r="J2035" s="7"/>
      <c r="K2035" s="96" t="str">
        <f>HYPERLINK("#'Healthcare'!BZG1","Q6.13.17")</f>
        <v>Q6.13.17</v>
      </c>
      <c r="L2035" s="93" t="str">
        <f>HYPERLINK("#'Healthcare'!BZG2","Default or suggested contribution amount used during annual enrollment")</f>
        <v>Default or suggested contribution amount used during annual enrollment</v>
      </c>
      <c r="M2035" s="6"/>
      <c r="N2035" s="7"/>
      <c r="O2035" s="6"/>
      <c r="P2035" s="7"/>
      <c r="Q2035" s="6"/>
      <c r="R2035" s="7"/>
      <c r="S2035" s="6"/>
      <c r="T2035" s="7"/>
      <c r="U2035" s="6"/>
      <c r="V2035" s="7"/>
      <c r="W2035" s="6"/>
      <c r="X2035" s="7"/>
    </row>
    <row r="2036" spans="1:24" ht="12.75" x14ac:dyDescent="0.2">
      <c r="A2036" s="6"/>
      <c r="B2036" s="7"/>
      <c r="C2036" s="6"/>
      <c r="D2036" s="7"/>
      <c r="E2036" s="6"/>
      <c r="F2036" s="7"/>
      <c r="G2036" s="6"/>
      <c r="H2036" s="7"/>
      <c r="I2036" s="6"/>
      <c r="J2036" s="7"/>
      <c r="K2036" s="96" t="str">
        <f>HYPERLINK("#'Healthcare'!BZH1","Q6.13.18_1")</f>
        <v>Q6.13.18_1</v>
      </c>
      <c r="L2036" s="93" t="str">
        <f>HYPERLINK("#'Healthcare'!BZH2","Default or suggested amount - Single Coverage")</f>
        <v>Default or suggested amount - Single Coverage</v>
      </c>
      <c r="M2036" s="6"/>
      <c r="N2036" s="7"/>
      <c r="O2036" s="6"/>
      <c r="P2036" s="7"/>
      <c r="Q2036" s="6"/>
      <c r="R2036" s="7"/>
      <c r="S2036" s="6"/>
      <c r="T2036" s="7"/>
      <c r="U2036" s="6"/>
      <c r="V2036" s="7"/>
      <c r="W2036" s="6"/>
      <c r="X2036" s="7"/>
    </row>
    <row r="2037" spans="1:24" ht="25.5" x14ac:dyDescent="0.2">
      <c r="A2037" s="6"/>
      <c r="B2037" s="7"/>
      <c r="C2037" s="6"/>
      <c r="D2037" s="7"/>
      <c r="E2037" s="6"/>
      <c r="F2037" s="7"/>
      <c r="G2037" s="6"/>
      <c r="H2037" s="7"/>
      <c r="I2037" s="6"/>
      <c r="J2037" s="7"/>
      <c r="K2037" s="96" t="str">
        <f>HYPERLINK("#'Healthcare'!BZI1","Q6.13.18_2")</f>
        <v>Q6.13.18_2</v>
      </c>
      <c r="L2037" s="93" t="str">
        <f>HYPERLINK("#'Healthcare'!BZI2","Default or suggested amount - Family Coverage")</f>
        <v>Default or suggested amount - Family Coverage</v>
      </c>
      <c r="M2037" s="6"/>
      <c r="N2037" s="7"/>
      <c r="O2037" s="6"/>
      <c r="P2037" s="7"/>
      <c r="Q2037" s="6"/>
      <c r="R2037" s="7"/>
      <c r="S2037" s="6"/>
      <c r="T2037" s="7"/>
      <c r="U2037" s="6"/>
      <c r="V2037" s="7"/>
      <c r="W2037" s="6"/>
      <c r="X2037" s="7"/>
    </row>
    <row r="2038" spans="1:24" ht="38.25" x14ac:dyDescent="0.2">
      <c r="A2038" s="6"/>
      <c r="B2038" s="7"/>
      <c r="C2038" s="6"/>
      <c r="D2038" s="7"/>
      <c r="E2038" s="6"/>
      <c r="F2038" s="7"/>
      <c r="G2038" s="6"/>
      <c r="H2038" s="7"/>
      <c r="I2038" s="6"/>
      <c r="J2038" s="7"/>
      <c r="K2038" s="96" t="str">
        <f>HYPERLINK("#'Healthcare'!BZJ1","Q6.13.19")</f>
        <v>Q6.13.19</v>
      </c>
      <c r="L2038" s="93" t="str">
        <f>HYPERLINK("#'Healthcare'!BZJ2","Additional action taken if employee does not contribute or only contributes a nominal amount")</f>
        <v>Additional action taken if employee does not contribute or only contributes a nominal amount</v>
      </c>
      <c r="M2038" s="6"/>
      <c r="N2038" s="7"/>
      <c r="O2038" s="6"/>
      <c r="P2038" s="7"/>
      <c r="Q2038" s="6"/>
      <c r="R2038" s="7"/>
      <c r="S2038" s="6"/>
      <c r="T2038" s="7"/>
      <c r="U2038" s="6"/>
      <c r="V2038" s="7"/>
      <c r="W2038" s="6"/>
      <c r="X2038" s="7"/>
    </row>
    <row r="2039" spans="1:24" ht="12.75" x14ac:dyDescent="0.2">
      <c r="A2039" s="6"/>
      <c r="B2039" s="7"/>
      <c r="C2039" s="6"/>
      <c r="D2039" s="7"/>
      <c r="E2039" s="6"/>
      <c r="F2039" s="7"/>
      <c r="G2039" s="6"/>
      <c r="H2039" s="7"/>
      <c r="I2039" s="6"/>
      <c r="J2039" s="7"/>
      <c r="K2039" s="96" t="str">
        <f>HYPERLINK("#'Healthcare'!BZK1","Q6.13.20")</f>
        <v>Q6.13.20</v>
      </c>
      <c r="L2039" s="93" t="str">
        <f>HYPERLINK("#'Healthcare'!BZK2","Additional actions taken")</f>
        <v>Additional actions taken</v>
      </c>
      <c r="M2039" s="6"/>
      <c r="N2039" s="7"/>
      <c r="O2039" s="6"/>
      <c r="P2039" s="7"/>
      <c r="Q2039" s="6"/>
      <c r="R2039" s="7"/>
      <c r="S2039" s="6"/>
      <c r="T2039" s="7"/>
      <c r="U2039" s="6"/>
      <c r="V2039" s="7"/>
      <c r="W2039" s="6"/>
      <c r="X2039" s="7"/>
    </row>
    <row r="2040" spans="1:24" ht="12.75" x14ac:dyDescent="0.2">
      <c r="A2040" s="6"/>
      <c r="B2040" s="7"/>
      <c r="C2040" s="6"/>
      <c r="D2040" s="7"/>
      <c r="E2040" s="6"/>
      <c r="F2040" s="7"/>
      <c r="G2040" s="6"/>
      <c r="H2040" s="7"/>
      <c r="I2040" s="6"/>
      <c r="J2040" s="7"/>
      <c r="K2040" s="96" t="str">
        <f>HYPERLINK("#'Healthcare'!BZL1","Q6.13.21")</f>
        <v>Q6.13.21</v>
      </c>
      <c r="L2040" s="93" t="str">
        <f>HYPERLINK("#'Healthcare'!BZL2","Other actions taken")</f>
        <v>Other actions taken</v>
      </c>
      <c r="M2040" s="6"/>
      <c r="N2040" s="7"/>
      <c r="O2040" s="6"/>
      <c r="P2040" s="7"/>
      <c r="Q2040" s="6"/>
      <c r="R2040" s="7"/>
      <c r="S2040" s="6"/>
      <c r="T2040" s="7"/>
      <c r="U2040" s="6"/>
      <c r="V2040" s="7"/>
      <c r="W2040" s="6"/>
      <c r="X2040" s="7"/>
    </row>
    <row r="2041" spans="1:24" ht="25.5" x14ac:dyDescent="0.2">
      <c r="A2041" s="6"/>
      <c r="B2041" s="7"/>
      <c r="C2041" s="6"/>
      <c r="D2041" s="7"/>
      <c r="E2041" s="6"/>
      <c r="F2041" s="7"/>
      <c r="G2041" s="6"/>
      <c r="H2041" s="7"/>
      <c r="I2041" s="6"/>
      <c r="J2041" s="7"/>
      <c r="K2041" s="96" t="str">
        <f>HYPERLINK("#'Healthcare'!BZM1","Q6.13.22")</f>
        <v>Q6.13.22</v>
      </c>
      <c r="L2041" s="93" t="str">
        <f>HYPERLINK("#'Healthcare'!BZM2","Investment options, other than cash-equivalent or a checking account, offered")</f>
        <v>Investment options, other than cash-equivalent or a checking account, offered</v>
      </c>
      <c r="M2041" s="6"/>
      <c r="N2041" s="7"/>
      <c r="O2041" s="6"/>
      <c r="P2041" s="7"/>
      <c r="Q2041" s="6"/>
      <c r="R2041" s="7"/>
      <c r="S2041" s="6"/>
      <c r="T2041" s="7"/>
      <c r="U2041" s="6"/>
      <c r="V2041" s="7"/>
      <c r="W2041" s="6"/>
      <c r="X2041" s="7"/>
    </row>
    <row r="2042" spans="1:24" ht="12.75" x14ac:dyDescent="0.2">
      <c r="A2042" s="6"/>
      <c r="B2042" s="7"/>
      <c r="C2042" s="6"/>
      <c r="D2042" s="7"/>
      <c r="E2042" s="6"/>
      <c r="F2042" s="7"/>
      <c r="G2042" s="6"/>
      <c r="H2042" s="7"/>
      <c r="I2042" s="6"/>
      <c r="J2042" s="7"/>
      <c r="K2042" s="96" t="str">
        <f>HYPERLINK("#'Healthcare'!BZN1","Q6.13.23")</f>
        <v>Q6.13.23</v>
      </c>
      <c r="L2042" s="93" t="str">
        <f>HYPERLINK("#'Healthcare'!BZN2","Investment options offered")</f>
        <v>Investment options offered</v>
      </c>
      <c r="M2042" s="6"/>
      <c r="N2042" s="7"/>
      <c r="O2042" s="6"/>
      <c r="P2042" s="7"/>
      <c r="Q2042" s="6"/>
      <c r="R2042" s="7"/>
      <c r="S2042" s="6"/>
      <c r="T2042" s="7"/>
      <c r="U2042" s="6"/>
      <c r="V2042" s="7"/>
      <c r="W2042" s="6"/>
      <c r="X2042" s="7"/>
    </row>
    <row r="2043" spans="1:24" ht="12.75" x14ac:dyDescent="0.2">
      <c r="A2043" s="6"/>
      <c r="B2043" s="7"/>
      <c r="C2043" s="6"/>
      <c r="D2043" s="7"/>
      <c r="E2043" s="6"/>
      <c r="F2043" s="7"/>
      <c r="G2043" s="6"/>
      <c r="H2043" s="7"/>
      <c r="I2043" s="6"/>
      <c r="J2043" s="7"/>
      <c r="K2043" s="96" t="str">
        <f>HYPERLINK("#'Healthcare'!BZO1","Q6.13.24")</f>
        <v>Q6.13.24</v>
      </c>
      <c r="L2043" s="93" t="str">
        <f>HYPERLINK("#'Healthcare'!BZO2","Other investment options offered")</f>
        <v>Other investment options offered</v>
      </c>
      <c r="M2043" s="6"/>
      <c r="N2043" s="7"/>
      <c r="O2043" s="6"/>
      <c r="P2043" s="7"/>
      <c r="Q2043" s="6"/>
      <c r="R2043" s="7"/>
      <c r="S2043" s="6"/>
      <c r="T2043" s="7"/>
      <c r="U2043" s="6"/>
      <c r="V2043" s="7"/>
      <c r="W2043" s="6"/>
      <c r="X2043" s="7"/>
    </row>
    <row r="2044" spans="1:24" ht="25.5" x14ac:dyDescent="0.2">
      <c r="A2044" s="6"/>
      <c r="B2044" s="7"/>
      <c r="C2044" s="6"/>
      <c r="D2044" s="7"/>
      <c r="E2044" s="6"/>
      <c r="F2044" s="7"/>
      <c r="G2044" s="6"/>
      <c r="H2044" s="7"/>
      <c r="I2044" s="6"/>
      <c r="J2044" s="7"/>
      <c r="K2044" s="96" t="str">
        <f>HYPERLINK("#'Healthcare'!BZP1","Q6.13.25")</f>
        <v>Q6.13.25</v>
      </c>
      <c r="L2044" s="93" t="str">
        <f>HYPERLINK("#'Healthcare'!BZP2","HSA investments mirrored to 401(k) investment lineup")</f>
        <v>HSA investments mirrored to 401(k) investment lineup</v>
      </c>
      <c r="M2044" s="6"/>
      <c r="N2044" s="7"/>
      <c r="O2044" s="6"/>
      <c r="P2044" s="7"/>
      <c r="Q2044" s="6"/>
      <c r="R2044" s="7"/>
      <c r="S2044" s="6"/>
      <c r="T2044" s="7"/>
      <c r="U2044" s="6"/>
      <c r="V2044" s="7"/>
      <c r="W2044" s="6"/>
      <c r="X2044" s="7"/>
    </row>
    <row r="2045" spans="1:24" ht="25.5" x14ac:dyDescent="0.2">
      <c r="A2045" s="6"/>
      <c r="B2045" s="7"/>
      <c r="C2045" s="6"/>
      <c r="D2045" s="7"/>
      <c r="E2045" s="6"/>
      <c r="F2045" s="7"/>
      <c r="G2045" s="6"/>
      <c r="H2045" s="7"/>
      <c r="I2045" s="6"/>
      <c r="J2045" s="7"/>
      <c r="K2045" s="96" t="str">
        <f>HYPERLINK("#'Healthcare'!BZQ1","Q6.13.26")</f>
        <v>Q6.13.26</v>
      </c>
      <c r="L2045" s="93" t="str">
        <f>HYPERLINK("#'Healthcare'!BZQ2","Minimum HSA balance required before and employee can invest their HSA")</f>
        <v>Minimum HSA balance required before and employee can invest their HSA</v>
      </c>
      <c r="M2045" s="6"/>
      <c r="N2045" s="7"/>
      <c r="O2045" s="6"/>
      <c r="P2045" s="7"/>
      <c r="Q2045" s="6"/>
      <c r="R2045" s="7"/>
      <c r="S2045" s="6"/>
      <c r="T2045" s="7"/>
      <c r="U2045" s="6"/>
      <c r="V2045" s="7"/>
      <c r="W2045" s="6"/>
      <c r="X2045" s="7"/>
    </row>
    <row r="2046" spans="1:24" ht="25.5" x14ac:dyDescent="0.2">
      <c r="A2046" s="6"/>
      <c r="B2046" s="7"/>
      <c r="C2046" s="6"/>
      <c r="D2046" s="7"/>
      <c r="E2046" s="6"/>
      <c r="F2046" s="7"/>
      <c r="G2046" s="6"/>
      <c r="H2046" s="7"/>
      <c r="I2046" s="6"/>
      <c r="J2046" s="7"/>
      <c r="K2046" s="96" t="str">
        <f>HYPERLINK("#'Healthcare'!BZR1","Q6.13.27")</f>
        <v>Q6.13.27</v>
      </c>
      <c r="L2046" s="93" t="str">
        <f>HYPERLINK("#'Healthcare'!BZR2","Position the HSA as part of an employee's retirement savings strategy")</f>
        <v>Position the HSA as part of an employee's retirement savings strategy</v>
      </c>
      <c r="M2046" s="6"/>
      <c r="N2046" s="7"/>
      <c r="O2046" s="6"/>
      <c r="P2046" s="7"/>
      <c r="Q2046" s="6"/>
      <c r="R2046" s="7"/>
      <c r="S2046" s="6"/>
      <c r="T2046" s="7"/>
      <c r="U2046" s="6"/>
      <c r="V2046" s="7"/>
      <c r="W2046" s="6"/>
      <c r="X2046" s="7"/>
    </row>
    <row r="2047" spans="1:24" ht="25.5" x14ac:dyDescent="0.2">
      <c r="A2047" s="6"/>
      <c r="B2047" s="7"/>
      <c r="C2047" s="6"/>
      <c r="D2047" s="7"/>
      <c r="E2047" s="6"/>
      <c r="F2047" s="7"/>
      <c r="G2047" s="6"/>
      <c r="H2047" s="7"/>
      <c r="I2047" s="6"/>
      <c r="J2047" s="7"/>
      <c r="K2047" s="96" t="str">
        <f>HYPERLINK("#'Healthcare'!BZS1","Q6.13.28")</f>
        <v>Q6.13.28</v>
      </c>
      <c r="L2047" s="93" t="str">
        <f>HYPERLINK("#'Healthcare'!BZS2","Solicit rollovers from HSAs for newly hired participants")</f>
        <v>Solicit rollovers from HSAs for newly hired participants</v>
      </c>
      <c r="M2047" s="6"/>
      <c r="N2047" s="7"/>
      <c r="O2047" s="6"/>
      <c r="P2047" s="7"/>
      <c r="Q2047" s="6"/>
      <c r="R2047" s="7"/>
      <c r="S2047" s="6"/>
      <c r="T2047" s="7"/>
      <c r="U2047" s="6"/>
      <c r="V2047" s="7"/>
      <c r="W2047" s="6"/>
      <c r="X2047" s="7"/>
    </row>
    <row r="2048" spans="1:24" ht="25.5" x14ac:dyDescent="0.2">
      <c r="A2048" s="6"/>
      <c r="B2048" s="7"/>
      <c r="C2048" s="6"/>
      <c r="D2048" s="7"/>
      <c r="E2048" s="6"/>
      <c r="F2048" s="7"/>
      <c r="G2048" s="6"/>
      <c r="H2048" s="7"/>
      <c r="I2048" s="6"/>
      <c r="J2048" s="7"/>
      <c r="K2048" s="96" t="str">
        <f>HYPERLINK("#'Healthcare'!BZT1","Q6.13.29")</f>
        <v>Q6.13.29</v>
      </c>
      <c r="L2048" s="93" t="str">
        <f>HYPERLINK("#'Healthcare'!BZT2","Frequency of educating employees about the HSA")</f>
        <v>Frequency of educating employees about the HSA</v>
      </c>
      <c r="M2048" s="6"/>
      <c r="N2048" s="7"/>
      <c r="O2048" s="6"/>
      <c r="P2048" s="7"/>
      <c r="Q2048" s="6"/>
      <c r="R2048" s="7"/>
      <c r="S2048" s="6"/>
      <c r="T2048" s="7"/>
      <c r="U2048" s="6"/>
      <c r="V2048" s="7"/>
      <c r="W2048" s="6"/>
      <c r="X2048" s="7"/>
    </row>
    <row r="2049" spans="1:24" ht="25.5" x14ac:dyDescent="0.2">
      <c r="A2049" s="6"/>
      <c r="B2049" s="7"/>
      <c r="C2049" s="6"/>
      <c r="D2049" s="7"/>
      <c r="E2049" s="6"/>
      <c r="F2049" s="7"/>
      <c r="G2049" s="6"/>
      <c r="H2049" s="7"/>
      <c r="I2049" s="6"/>
      <c r="J2049" s="7"/>
      <c r="K2049" s="96" t="str">
        <f>HYPERLINK("#'Healthcare'!BZU1","Q6.13.30")</f>
        <v>Q6.13.30</v>
      </c>
      <c r="L2049" s="93" t="str">
        <f>HYPERLINK("#'Healthcare'!BZU2","Frequency of educating employees about the HSA - Other")</f>
        <v>Frequency of educating employees about the HSA - Other</v>
      </c>
      <c r="M2049" s="6"/>
      <c r="N2049" s="7"/>
      <c r="O2049" s="6"/>
      <c r="P2049" s="7"/>
      <c r="Q2049" s="6"/>
      <c r="R2049" s="7"/>
      <c r="S2049" s="6"/>
      <c r="T2049" s="7"/>
      <c r="U2049" s="6"/>
      <c r="V2049" s="7"/>
      <c r="W2049" s="6"/>
      <c r="X2049" s="7"/>
    </row>
    <row r="2050" spans="1:24" ht="25.5" x14ac:dyDescent="0.2">
      <c r="A2050" s="6"/>
      <c r="B2050" s="7"/>
      <c r="C2050" s="6"/>
      <c r="D2050" s="7"/>
      <c r="E2050" s="6"/>
      <c r="F2050" s="7"/>
      <c r="G2050" s="6"/>
      <c r="H2050" s="7"/>
      <c r="I2050" s="6"/>
      <c r="J2050" s="7"/>
      <c r="K2050" s="96" t="str">
        <f>HYPERLINK("#'Healthcare'!BZV1","Q6.13.31")</f>
        <v>Q6.13.31</v>
      </c>
      <c r="L2050" s="93" t="str">
        <f>HYPERLINK("#'Healthcare'!BZV2","Resources/communication options used to educate employees about the HSA")</f>
        <v>Resources/communication options used to educate employees about the HSA</v>
      </c>
      <c r="M2050" s="6"/>
      <c r="N2050" s="7"/>
      <c r="O2050" s="6"/>
      <c r="P2050" s="7"/>
      <c r="Q2050" s="6"/>
      <c r="R2050" s="7"/>
      <c r="S2050" s="6"/>
      <c r="T2050" s="7"/>
      <c r="U2050" s="6"/>
      <c r="V2050" s="7"/>
      <c r="W2050" s="6"/>
      <c r="X2050" s="7"/>
    </row>
    <row r="2051" spans="1:24" ht="25.5" x14ac:dyDescent="0.2">
      <c r="A2051" s="6"/>
      <c r="B2051" s="7"/>
      <c r="C2051" s="6"/>
      <c r="D2051" s="7"/>
      <c r="E2051" s="6"/>
      <c r="F2051" s="7"/>
      <c r="G2051" s="6"/>
      <c r="H2051" s="7"/>
      <c r="I2051" s="6"/>
      <c r="J2051" s="7"/>
      <c r="K2051" s="96" t="str">
        <f>HYPERLINK("#'Healthcare'!BZW1","Q6.13.32")</f>
        <v>Q6.13.32</v>
      </c>
      <c r="L2051" s="93" t="str">
        <f>HYPERLINK("#'Healthcare'!BZW2","Other resources/communication options used to educate employees about the HSA")</f>
        <v>Other resources/communication options used to educate employees about the HSA</v>
      </c>
      <c r="M2051" s="6"/>
      <c r="N2051" s="7"/>
      <c r="O2051" s="6"/>
      <c r="P2051" s="7"/>
      <c r="Q2051" s="6"/>
      <c r="R2051" s="7"/>
      <c r="S2051" s="6"/>
      <c r="T2051" s="7"/>
      <c r="U2051" s="6"/>
      <c r="V2051" s="7"/>
      <c r="W2051" s="6"/>
      <c r="X2051" s="7"/>
    </row>
    <row r="2052" spans="1:24" ht="12.75" x14ac:dyDescent="0.2">
      <c r="A2052" s="6"/>
      <c r="B2052" s="7"/>
      <c r="C2052" s="6"/>
      <c r="D2052" s="7"/>
      <c r="E2052" s="6"/>
      <c r="F2052" s="7"/>
      <c r="G2052" s="6"/>
      <c r="H2052" s="7"/>
      <c r="I2052" s="6"/>
      <c r="J2052" s="7"/>
      <c r="K2052" s="96" t="str">
        <f>HYPERLINK("#'Healthcare'!BZX1","Q6.13.33")</f>
        <v>Q6.13.33</v>
      </c>
      <c r="L2052" s="93" t="str">
        <f>HYPERLINK("#'Healthcare'!BZX2","Topics targeted in HSA education outreach")</f>
        <v>Topics targeted in HSA education outreach</v>
      </c>
      <c r="M2052" s="6"/>
      <c r="N2052" s="7"/>
      <c r="O2052" s="6"/>
      <c r="P2052" s="7"/>
      <c r="Q2052" s="6"/>
      <c r="R2052" s="7"/>
      <c r="S2052" s="6"/>
      <c r="T2052" s="7"/>
      <c r="U2052" s="6"/>
      <c r="V2052" s="7"/>
      <c r="W2052" s="6"/>
      <c r="X2052" s="7"/>
    </row>
    <row r="2053" spans="1:24" ht="25.5" x14ac:dyDescent="0.2">
      <c r="A2053" s="6"/>
      <c r="B2053" s="7"/>
      <c r="C2053" s="6"/>
      <c r="D2053" s="7"/>
      <c r="E2053" s="6"/>
      <c r="F2053" s="7"/>
      <c r="G2053" s="6"/>
      <c r="H2053" s="7"/>
      <c r="I2053" s="6"/>
      <c r="J2053" s="7"/>
      <c r="K2053" s="96" t="str">
        <f>HYPERLINK("#'Healthcare'!BZY1","Q6.13.34")</f>
        <v>Q6.13.34</v>
      </c>
      <c r="L2053" s="93" t="str">
        <f>HYPERLINK("#'Healthcare'!BZY2","Other topics targeted in HSA education outreach")</f>
        <v>Other topics targeted in HSA education outreach</v>
      </c>
      <c r="M2053" s="6"/>
      <c r="N2053" s="7"/>
      <c r="O2053" s="6"/>
      <c r="P2053" s="7"/>
      <c r="Q2053" s="6"/>
      <c r="R2053" s="7"/>
      <c r="S2053" s="6"/>
      <c r="T2053" s="7"/>
      <c r="U2053" s="6"/>
      <c r="V2053" s="7"/>
      <c r="W2053" s="6"/>
      <c r="X2053" s="7"/>
    </row>
    <row r="2054" spans="1:24" ht="25.5" x14ac:dyDescent="0.2">
      <c r="A2054" s="6"/>
      <c r="B2054" s="7"/>
      <c r="C2054" s="6"/>
      <c r="D2054" s="7"/>
      <c r="E2054" s="6"/>
      <c r="F2054" s="7"/>
      <c r="G2054" s="6"/>
      <c r="H2054" s="7"/>
      <c r="I2054" s="6"/>
      <c r="J2054" s="7"/>
      <c r="K2054" s="96" t="str">
        <f>HYPERLINK("#'Healthcare'!BZZ1","Q6.13.36")</f>
        <v>Q6.13.36</v>
      </c>
      <c r="L2054" s="93" t="str">
        <f>HYPERLINK("#'Healthcare'!BZZ2","Company contribution to health reimbursement account")</f>
        <v>Company contribution to health reimbursement account</v>
      </c>
      <c r="M2054" s="6"/>
      <c r="N2054" s="7"/>
      <c r="O2054" s="6"/>
      <c r="P2054" s="7"/>
      <c r="Q2054" s="6"/>
      <c r="R2054" s="7"/>
      <c r="S2054" s="6"/>
      <c r="T2054" s="7"/>
      <c r="U2054" s="6"/>
      <c r="V2054" s="7"/>
      <c r="W2054" s="6"/>
      <c r="X2054" s="7"/>
    </row>
    <row r="2055" spans="1:24" ht="12.75" x14ac:dyDescent="0.2">
      <c r="A2055" s="6"/>
      <c r="B2055" s="7"/>
      <c r="C2055" s="6"/>
      <c r="D2055" s="7"/>
      <c r="E2055" s="6"/>
      <c r="F2055" s="7"/>
      <c r="G2055" s="6"/>
      <c r="H2055" s="7"/>
      <c r="I2055" s="6"/>
      <c r="J2055" s="7"/>
      <c r="K2055" s="96" t="str">
        <f>HYPERLINK("#'Healthcare'!CAA1","Q6.13.37")</f>
        <v>Q6.13.37</v>
      </c>
      <c r="L2055" s="93" t="str">
        <f>HYPERLINK("#'Healthcare'!CAA2","Company HRA contribution frequency")</f>
        <v>Company HRA contribution frequency</v>
      </c>
      <c r="M2055" s="6"/>
      <c r="N2055" s="7"/>
      <c r="O2055" s="6"/>
      <c r="P2055" s="7"/>
      <c r="Q2055" s="6"/>
      <c r="R2055" s="7"/>
      <c r="S2055" s="6"/>
      <c r="T2055" s="7"/>
      <c r="U2055" s="6"/>
      <c r="V2055" s="7"/>
      <c r="W2055" s="6"/>
      <c r="X2055" s="7"/>
    </row>
    <row r="2056" spans="1:24" ht="25.5" x14ac:dyDescent="0.2">
      <c r="A2056" s="6"/>
      <c r="B2056" s="7"/>
      <c r="C2056" s="6"/>
      <c r="D2056" s="7"/>
      <c r="E2056" s="6"/>
      <c r="F2056" s="7"/>
      <c r="G2056" s="6"/>
      <c r="H2056" s="7"/>
      <c r="I2056" s="6"/>
      <c r="J2056" s="7"/>
      <c r="K2056" s="96" t="str">
        <f>HYPERLINK("#'Healthcare'!CAB1","Q6.13.38")</f>
        <v>Q6.13.38</v>
      </c>
      <c r="L2056" s="93" t="str">
        <f>HYPERLINK("#'Healthcare'!CAB2","Company contribution to HRA prorated for mid-year new hires")</f>
        <v>Company contribution to HRA prorated for mid-year new hires</v>
      </c>
      <c r="M2056" s="6"/>
      <c r="N2056" s="7"/>
      <c r="O2056" s="6"/>
      <c r="P2056" s="7"/>
      <c r="Q2056" s="6"/>
      <c r="R2056" s="7"/>
      <c r="S2056" s="6"/>
      <c r="T2056" s="7"/>
      <c r="U2056" s="6"/>
      <c r="V2056" s="7"/>
      <c r="W2056" s="6"/>
      <c r="X2056" s="7"/>
    </row>
    <row r="2057" spans="1:24" ht="38.25" x14ac:dyDescent="0.2">
      <c r="A2057" s="6"/>
      <c r="B2057" s="7"/>
      <c r="C2057" s="6"/>
      <c r="D2057" s="7"/>
      <c r="E2057" s="6"/>
      <c r="F2057" s="7"/>
      <c r="G2057" s="6"/>
      <c r="H2057" s="7"/>
      <c r="I2057" s="6"/>
      <c r="J2057" s="7"/>
      <c r="K2057" s="96" t="str">
        <f>HYPERLINK("#'Healthcare'!CAC1","Q6.14.2")</f>
        <v>Q6.14.2</v>
      </c>
      <c r="L2057" s="93" t="str">
        <f>HYPERLINK("#'Healthcare'!CAC2","Separate expatriate medical plan offered to employee and dependents during non-US long term assignment in non-US countries")</f>
        <v>Separate expatriate medical plan offered to employee and dependents during non-US long term assignment in non-US countries</v>
      </c>
      <c r="M2057" s="6"/>
      <c r="N2057" s="7"/>
      <c r="O2057" s="6"/>
      <c r="P2057" s="7"/>
      <c r="Q2057" s="6"/>
      <c r="R2057" s="7"/>
      <c r="S2057" s="6"/>
      <c r="T2057" s="7"/>
      <c r="U2057" s="6"/>
      <c r="V2057" s="7"/>
      <c r="W2057" s="6"/>
      <c r="X2057" s="7"/>
    </row>
    <row r="2058" spans="1:24" ht="38.25" x14ac:dyDescent="0.2">
      <c r="A2058" s="6"/>
      <c r="B2058" s="7"/>
      <c r="C2058" s="6"/>
      <c r="D2058" s="7"/>
      <c r="E2058" s="6"/>
      <c r="F2058" s="7"/>
      <c r="G2058" s="6"/>
      <c r="H2058" s="7"/>
      <c r="I2058" s="6"/>
      <c r="J2058" s="7"/>
      <c r="K2058" s="96" t="str">
        <f>HYPERLINK("#'Healthcare'!CAD1","Q6.14.3")</f>
        <v>Q6.14.3</v>
      </c>
      <c r="L2058" s="93" t="str">
        <f>HYPERLINK("#'Healthcare'!CAD2","Medical plan offered to expatriate employee and dependents during non-US long term assignment")</f>
        <v>Medical plan offered to expatriate employee and dependents during non-US long term assignment</v>
      </c>
      <c r="M2058" s="6"/>
      <c r="N2058" s="7"/>
      <c r="O2058" s="6"/>
      <c r="P2058" s="7"/>
      <c r="Q2058" s="6"/>
      <c r="R2058" s="7"/>
      <c r="S2058" s="6"/>
      <c r="T2058" s="7"/>
      <c r="U2058" s="6"/>
      <c r="V2058" s="7"/>
      <c r="W2058" s="6"/>
      <c r="X2058" s="7"/>
    </row>
    <row r="2059" spans="1:24" ht="38.25" x14ac:dyDescent="0.2">
      <c r="A2059" s="6"/>
      <c r="B2059" s="7"/>
      <c r="C2059" s="6"/>
      <c r="D2059" s="7"/>
      <c r="E2059" s="6"/>
      <c r="F2059" s="7"/>
      <c r="G2059" s="6"/>
      <c r="H2059" s="7"/>
      <c r="I2059" s="6"/>
      <c r="J2059" s="7"/>
      <c r="K2059" s="96" t="str">
        <f>HYPERLINK("#'Healthcare'!CAE1","Q6.14.4")</f>
        <v>Q6.14.4</v>
      </c>
      <c r="L2059" s="93" t="str">
        <f>HYPERLINK("#'Healthcare'!CAE2","Separate inpatriate medical plan offered to non-US employee and dependents during US long term assignment")</f>
        <v>Separate inpatriate medical plan offered to non-US employee and dependents during US long term assignment</v>
      </c>
      <c r="M2059" s="6"/>
      <c r="N2059" s="7"/>
      <c r="O2059" s="6"/>
      <c r="P2059" s="7"/>
      <c r="Q2059" s="6"/>
      <c r="R2059" s="7"/>
      <c r="S2059" s="6"/>
      <c r="T2059" s="7"/>
      <c r="U2059" s="6"/>
      <c r="V2059" s="7"/>
      <c r="W2059" s="6"/>
      <c r="X2059" s="7"/>
    </row>
    <row r="2060" spans="1:24" ht="38.25" x14ac:dyDescent="0.2">
      <c r="A2060" s="6"/>
      <c r="B2060" s="7"/>
      <c r="C2060" s="6"/>
      <c r="D2060" s="7"/>
      <c r="E2060" s="6"/>
      <c r="F2060" s="7"/>
      <c r="G2060" s="6"/>
      <c r="H2060" s="7"/>
      <c r="I2060" s="6"/>
      <c r="J2060" s="7"/>
      <c r="K2060" s="96" t="str">
        <f>HYPERLINK("#'Healthcare'!CAF1","Q6.14.5")</f>
        <v>Q6.14.5</v>
      </c>
      <c r="L2060" s="93" t="str">
        <f>HYPERLINK("#'Healthcare'!CAF2","Medical plan offered to inpatriate employee and dependents during US long term assignment")</f>
        <v>Medical plan offered to inpatriate employee and dependents during US long term assignment</v>
      </c>
      <c r="M2060" s="6"/>
      <c r="N2060" s="7"/>
      <c r="O2060" s="6"/>
      <c r="P2060" s="7"/>
      <c r="Q2060" s="6"/>
      <c r="R2060" s="7"/>
      <c r="S2060" s="6"/>
      <c r="T2060" s="7"/>
      <c r="U2060" s="6"/>
      <c r="V2060" s="7"/>
      <c r="W2060" s="6"/>
      <c r="X2060" s="7"/>
    </row>
    <row r="2061" spans="1:24" ht="12.75" x14ac:dyDescent="0.2">
      <c r="A2061" s="6"/>
      <c r="B2061" s="7"/>
      <c r="C2061" s="6"/>
      <c r="D2061" s="7"/>
      <c r="E2061" s="6"/>
      <c r="F2061" s="7"/>
      <c r="G2061" s="6"/>
      <c r="H2061" s="7"/>
      <c r="I2061" s="6"/>
      <c r="J2061" s="7"/>
      <c r="K2061" s="96" t="str">
        <f>HYPERLINK("#'Healthcare'!CAG1","Q6.14.6")</f>
        <v>Q6.14.6</v>
      </c>
      <c r="L2061" s="93" t="str">
        <f>HYPERLINK("#'Healthcare'!CAG2","Foreign medical tourism support")</f>
        <v>Foreign medical tourism support</v>
      </c>
      <c r="M2061" s="6"/>
      <c r="N2061" s="7"/>
      <c r="O2061" s="6"/>
      <c r="P2061" s="7"/>
      <c r="Q2061" s="6"/>
      <c r="R2061" s="7"/>
      <c r="S2061" s="6"/>
      <c r="T2061" s="7"/>
      <c r="U2061" s="6"/>
      <c r="V2061" s="7"/>
      <c r="W2061" s="6"/>
      <c r="X2061" s="7"/>
    </row>
    <row r="2062" spans="1:24" ht="38.25" x14ac:dyDescent="0.2">
      <c r="A2062" s="6"/>
      <c r="B2062" s="7"/>
      <c r="C2062" s="6"/>
      <c r="D2062" s="7"/>
      <c r="E2062" s="6"/>
      <c r="F2062" s="7"/>
      <c r="G2062" s="6"/>
      <c r="H2062" s="7"/>
      <c r="I2062" s="6"/>
      <c r="J2062" s="7"/>
      <c r="K2062" s="96" t="str">
        <f>HYPERLINK("#'Healthcare'!CAH1","Q6.15.2_1")</f>
        <v>Q6.15.2_1</v>
      </c>
      <c r="L2062" s="93" t="str">
        <f>HYPERLINK("#'Healthcare'!CAH2","Alternative models of health care access offered or considered: Mobile health vehicle - Kaiser")</f>
        <v>Alternative models of health care access offered or considered: Mobile health vehicle - Kaiser</v>
      </c>
      <c r="M2062" s="6"/>
      <c r="N2062" s="7"/>
      <c r="O2062" s="6"/>
      <c r="P2062" s="7"/>
      <c r="Q2062" s="6"/>
      <c r="R2062" s="7"/>
      <c r="S2062" s="6"/>
      <c r="T2062" s="7"/>
      <c r="U2062" s="6"/>
      <c r="V2062" s="7"/>
      <c r="W2062" s="6"/>
      <c r="X2062" s="7"/>
    </row>
    <row r="2063" spans="1:24" ht="38.25" x14ac:dyDescent="0.2">
      <c r="A2063" s="6"/>
      <c r="B2063" s="7"/>
      <c r="C2063" s="6"/>
      <c r="D2063" s="7"/>
      <c r="E2063" s="6"/>
      <c r="F2063" s="7"/>
      <c r="G2063" s="6"/>
      <c r="H2063" s="7"/>
      <c r="I2063" s="6"/>
      <c r="J2063" s="7"/>
      <c r="K2063" s="96" t="str">
        <f>HYPERLINK("#'Healthcare'!CAI1","Q6.15.2_2")</f>
        <v>Q6.15.2_2</v>
      </c>
      <c r="L2063" s="93" t="str">
        <f>HYPERLINK("#'Healthcare'!CAI2","Alternative models of health care access offered or considered: Mobile health vehicle - PAMF Care-a-Van")</f>
        <v>Alternative models of health care access offered or considered: Mobile health vehicle - PAMF Care-a-Van</v>
      </c>
      <c r="M2063" s="6"/>
      <c r="N2063" s="7"/>
      <c r="O2063" s="6"/>
      <c r="P2063" s="7"/>
      <c r="Q2063" s="6"/>
      <c r="R2063" s="7"/>
      <c r="S2063" s="6"/>
      <c r="T2063" s="7"/>
      <c r="U2063" s="6"/>
      <c r="V2063" s="7"/>
      <c r="W2063" s="6"/>
      <c r="X2063" s="7"/>
    </row>
    <row r="2064" spans="1:24" ht="38.25" x14ac:dyDescent="0.2">
      <c r="A2064" s="6"/>
      <c r="B2064" s="7"/>
      <c r="C2064" s="6"/>
      <c r="D2064" s="7"/>
      <c r="E2064" s="6"/>
      <c r="F2064" s="7"/>
      <c r="G2064" s="6"/>
      <c r="H2064" s="7"/>
      <c r="I2064" s="6"/>
      <c r="J2064" s="7"/>
      <c r="K2064" s="96" t="str">
        <f>HYPERLINK("#'Healthcare'!CAJ1","Q6.15.2_3")</f>
        <v>Q6.15.2_3</v>
      </c>
      <c r="L2064" s="93" t="str">
        <f>HYPERLINK("#'Healthcare'!CAJ2","Alternative models of health care access offered or considered: Primary care mobile health vehicle - other")</f>
        <v>Alternative models of health care access offered or considered: Primary care mobile health vehicle - other</v>
      </c>
      <c r="M2064" s="6"/>
      <c r="N2064" s="7"/>
      <c r="O2064" s="6"/>
      <c r="P2064" s="7"/>
      <c r="Q2064" s="6"/>
      <c r="R2064" s="7"/>
      <c r="S2064" s="6"/>
      <c r="T2064" s="7"/>
      <c r="U2064" s="6"/>
      <c r="V2064" s="7"/>
      <c r="W2064" s="6"/>
      <c r="X2064" s="7"/>
    </row>
    <row r="2065" spans="1:24" ht="38.25" x14ac:dyDescent="0.2">
      <c r="A2065" s="6"/>
      <c r="B2065" s="7"/>
      <c r="C2065" s="6"/>
      <c r="D2065" s="7"/>
      <c r="E2065" s="6"/>
      <c r="F2065" s="7"/>
      <c r="G2065" s="6"/>
      <c r="H2065" s="7"/>
      <c r="I2065" s="6"/>
      <c r="J2065" s="7"/>
      <c r="K2065" s="96" t="str">
        <f>HYPERLINK("#'Healthcare'!CAK1","Q6.15.2_4")</f>
        <v>Q6.15.2_4</v>
      </c>
      <c r="L2065" s="93" t="str">
        <f>HYPERLINK("#'Healthcare'!CAK2","Alternative models of health care access offered or considered: Pharmacy (not affiliated with on-site health clinic)")</f>
        <v>Alternative models of health care access offered or considered: Pharmacy (not affiliated with on-site health clinic)</v>
      </c>
      <c r="M2065" s="6"/>
      <c r="N2065" s="7"/>
      <c r="O2065" s="6"/>
      <c r="P2065" s="7"/>
      <c r="Q2065" s="6"/>
      <c r="R2065" s="7"/>
      <c r="S2065" s="6"/>
      <c r="T2065" s="7"/>
      <c r="U2065" s="6"/>
      <c r="V2065" s="7"/>
      <c r="W2065" s="6"/>
      <c r="X2065" s="7"/>
    </row>
    <row r="2066" spans="1:24" ht="38.25" x14ac:dyDescent="0.2">
      <c r="A2066" s="6"/>
      <c r="B2066" s="7"/>
      <c r="C2066" s="6"/>
      <c r="D2066" s="7"/>
      <c r="E2066" s="6"/>
      <c r="F2066" s="7"/>
      <c r="G2066" s="6"/>
      <c r="H2066" s="7"/>
      <c r="I2066" s="6"/>
      <c r="J2066" s="7"/>
      <c r="K2066" s="96" t="str">
        <f>HYPERLINK("#'Healthcare'!CAL1","Q6.15.2_5")</f>
        <v>Q6.15.2_5</v>
      </c>
      <c r="L2066" s="93" t="str">
        <f>HYPERLINK("#'Healthcare'!CAL2","Alternative models of health care access offered or considered: Mobile mammography services")</f>
        <v>Alternative models of health care access offered or considered: Mobile mammography services</v>
      </c>
      <c r="M2066" s="6"/>
      <c r="N2066" s="7"/>
      <c r="O2066" s="6"/>
      <c r="P2066" s="7"/>
      <c r="Q2066" s="6"/>
      <c r="R2066" s="7"/>
      <c r="S2066" s="6"/>
      <c r="T2066" s="7"/>
      <c r="U2066" s="6"/>
      <c r="V2066" s="7"/>
      <c r="W2066" s="6"/>
      <c r="X2066" s="7"/>
    </row>
    <row r="2067" spans="1:24" ht="38.25" x14ac:dyDescent="0.2">
      <c r="A2067" s="6"/>
      <c r="B2067" s="7"/>
      <c r="C2067" s="6"/>
      <c r="D2067" s="7"/>
      <c r="E2067" s="6"/>
      <c r="F2067" s="7"/>
      <c r="G2067" s="6"/>
      <c r="H2067" s="7"/>
      <c r="I2067" s="6"/>
      <c r="J2067" s="7"/>
      <c r="K2067" s="96" t="str">
        <f>HYPERLINK("#'Healthcare'!CAM1","Q6.15.2_6")</f>
        <v>Q6.15.2_6</v>
      </c>
      <c r="L2067" s="93" t="str">
        <f>HYPERLINK("#'Healthcare'!CAM2","Alternative models of health care access offered or considered: Telemedicine (telehealth)")</f>
        <v>Alternative models of health care access offered or considered: Telemedicine (telehealth)</v>
      </c>
      <c r="M2067" s="6"/>
      <c r="N2067" s="7"/>
      <c r="O2067" s="6"/>
      <c r="P2067" s="7"/>
      <c r="Q2067" s="6"/>
      <c r="R2067" s="7"/>
      <c r="S2067" s="6"/>
      <c r="T2067" s="7"/>
      <c r="U2067" s="6"/>
      <c r="V2067" s="7"/>
      <c r="W2067" s="6"/>
      <c r="X2067" s="7"/>
    </row>
    <row r="2068" spans="1:24" ht="38.25" x14ac:dyDescent="0.2">
      <c r="A2068" s="6"/>
      <c r="B2068" s="7"/>
      <c r="C2068" s="6"/>
      <c r="D2068" s="7"/>
      <c r="E2068" s="6"/>
      <c r="F2068" s="7"/>
      <c r="G2068" s="6"/>
      <c r="H2068" s="7"/>
      <c r="I2068" s="6"/>
      <c r="J2068" s="7"/>
      <c r="K2068" s="96" t="str">
        <f>HYPERLINK("#'Healthcare'!CAN1","Q6.15.2_7")</f>
        <v>Q6.15.2_7</v>
      </c>
      <c r="L2068" s="93" t="str">
        <f>HYPERLINK("#'Healthcare'!CAN2","Alternative models of health care access offered or considered: Mobile or on-site dental services")</f>
        <v>Alternative models of health care access offered or considered: Mobile or on-site dental services</v>
      </c>
      <c r="M2068" s="6"/>
      <c r="N2068" s="7"/>
      <c r="O2068" s="6"/>
      <c r="P2068" s="7"/>
      <c r="Q2068" s="6"/>
      <c r="R2068" s="7"/>
      <c r="S2068" s="6"/>
      <c r="T2068" s="7"/>
      <c r="U2068" s="6"/>
      <c r="V2068" s="7"/>
      <c r="W2068" s="6"/>
      <c r="X2068" s="7"/>
    </row>
    <row r="2069" spans="1:24" ht="25.5" x14ac:dyDescent="0.2">
      <c r="A2069" s="6"/>
      <c r="B2069" s="7"/>
      <c r="C2069" s="6"/>
      <c r="D2069" s="7"/>
      <c r="E2069" s="6"/>
      <c r="F2069" s="7"/>
      <c r="G2069" s="6"/>
      <c r="H2069" s="7"/>
      <c r="I2069" s="6"/>
      <c r="J2069" s="7"/>
      <c r="K2069" s="96" t="str">
        <f>HYPERLINK("#'Healthcare'!CAO1","Q6.15.2_8")</f>
        <v>Q6.15.2_8</v>
      </c>
      <c r="L2069" s="93" t="str">
        <f>HYPERLINK("#'Healthcare'!CAO2","Alternative models of health care access offered or considered: Vision (eye exams, etc.)")</f>
        <v>Alternative models of health care access offered or considered: Vision (eye exams, etc.)</v>
      </c>
      <c r="M2069" s="6"/>
      <c r="N2069" s="7"/>
      <c r="O2069" s="6"/>
      <c r="P2069" s="7"/>
      <c r="Q2069" s="6"/>
      <c r="R2069" s="7"/>
      <c r="S2069" s="6"/>
      <c r="T2069" s="7"/>
      <c r="U2069" s="6"/>
      <c r="V2069" s="7"/>
      <c r="W2069" s="6"/>
      <c r="X2069" s="7"/>
    </row>
    <row r="2070" spans="1:24" ht="38.25" x14ac:dyDescent="0.2">
      <c r="A2070" s="6"/>
      <c r="B2070" s="7"/>
      <c r="C2070" s="6"/>
      <c r="D2070" s="7"/>
      <c r="E2070" s="6"/>
      <c r="F2070" s="7"/>
      <c r="G2070" s="6"/>
      <c r="H2070" s="7"/>
      <c r="I2070" s="6"/>
      <c r="J2070" s="7"/>
      <c r="K2070" s="96" t="str">
        <f>HYPERLINK("#'Healthcare'!CAP1","Q6.15.2_9")</f>
        <v>Q6.15.2_9</v>
      </c>
      <c r="L2070" s="93" t="str">
        <f>HYPERLINK("#'Healthcare'!CAP2","Alternative models of health care access offered or considered: On-site employee assistance program")</f>
        <v>Alternative models of health care access offered or considered: On-site employee assistance program</v>
      </c>
      <c r="M2070" s="6"/>
      <c r="N2070" s="7"/>
      <c r="O2070" s="6"/>
      <c r="P2070" s="7"/>
      <c r="Q2070" s="6"/>
      <c r="R2070" s="7"/>
      <c r="S2070" s="6"/>
      <c r="T2070" s="7"/>
      <c r="U2070" s="6"/>
      <c r="V2070" s="7"/>
      <c r="W2070" s="6"/>
      <c r="X2070" s="7"/>
    </row>
    <row r="2071" spans="1:24" ht="25.5" x14ac:dyDescent="0.2">
      <c r="A2071" s="6"/>
      <c r="B2071" s="7"/>
      <c r="C2071" s="6"/>
      <c r="D2071" s="7"/>
      <c r="E2071" s="6"/>
      <c r="F2071" s="7"/>
      <c r="G2071" s="6"/>
      <c r="H2071" s="7"/>
      <c r="I2071" s="6"/>
      <c r="J2071" s="7"/>
      <c r="K2071" s="96" t="str">
        <f>HYPERLINK("#'Healthcare'!CAQ1","Q6.15.2_10")</f>
        <v>Q6.15.2_10</v>
      </c>
      <c r="L2071" s="93" t="str">
        <f>HYPERLINK("#'Healthcare'!CAQ2","Alternative models of health care access offered or considered: Other")</f>
        <v>Alternative models of health care access offered or considered: Other</v>
      </c>
      <c r="M2071" s="6"/>
      <c r="N2071" s="7"/>
      <c r="O2071" s="6"/>
      <c r="P2071" s="7"/>
      <c r="Q2071" s="6"/>
      <c r="R2071" s="7"/>
      <c r="S2071" s="6"/>
      <c r="T2071" s="7"/>
      <c r="U2071" s="6"/>
      <c r="V2071" s="7"/>
      <c r="W2071" s="6"/>
      <c r="X2071" s="7"/>
    </row>
    <row r="2072" spans="1:24" ht="12.75" x14ac:dyDescent="0.2">
      <c r="A2072" s="6"/>
      <c r="B2072" s="7"/>
      <c r="C2072" s="6"/>
      <c r="D2072" s="7"/>
      <c r="E2072" s="6"/>
      <c r="F2072" s="7"/>
      <c r="G2072" s="6"/>
      <c r="H2072" s="7"/>
      <c r="I2072" s="6"/>
      <c r="J2072" s="7"/>
      <c r="K2072" s="96" t="str">
        <f>HYPERLINK("#'Healthcare'!CAR1","Q6.15.3")</f>
        <v>Q6.15.3</v>
      </c>
      <c r="L2072" s="93" t="str">
        <f>HYPERLINK("#'Healthcare'!CAR2","Telemedicine (telehealth) service offerings")</f>
        <v>Telemedicine (telehealth) service offerings</v>
      </c>
      <c r="M2072" s="6"/>
      <c r="N2072" s="7"/>
      <c r="O2072" s="6"/>
      <c r="P2072" s="7"/>
      <c r="Q2072" s="6"/>
      <c r="R2072" s="7"/>
      <c r="S2072" s="6"/>
      <c r="T2072" s="7"/>
      <c r="U2072" s="6"/>
      <c r="V2072" s="7"/>
      <c r="W2072" s="6"/>
      <c r="X2072" s="7"/>
    </row>
    <row r="2073" spans="1:24" ht="25.5" x14ac:dyDescent="0.2">
      <c r="A2073" s="6"/>
      <c r="B2073" s="7"/>
      <c r="C2073" s="6"/>
      <c r="D2073" s="7"/>
      <c r="E2073" s="6"/>
      <c r="F2073" s="7"/>
      <c r="G2073" s="6"/>
      <c r="H2073" s="7"/>
      <c r="I2073" s="6"/>
      <c r="J2073" s="7"/>
      <c r="K2073" s="96" t="str">
        <f>HYPERLINK("#'Healthcare'!CAS1","Q6.15.4")</f>
        <v>Q6.15.4</v>
      </c>
      <c r="L2073" s="93" t="str">
        <f>HYPERLINK("#'Healthcare'!CAS2","Other telemedicine (telehealth) service offerings")</f>
        <v>Other telemedicine (telehealth) service offerings</v>
      </c>
      <c r="M2073" s="6"/>
      <c r="N2073" s="7"/>
      <c r="O2073" s="6"/>
      <c r="P2073" s="7"/>
      <c r="Q2073" s="6"/>
      <c r="R2073" s="7"/>
      <c r="S2073" s="6"/>
      <c r="T2073" s="7"/>
      <c r="U2073" s="6"/>
      <c r="V2073" s="7"/>
      <c r="W2073" s="6"/>
      <c r="X2073" s="7"/>
    </row>
    <row r="2074" spans="1:24" ht="25.5" x14ac:dyDescent="0.2">
      <c r="A2074" s="6"/>
      <c r="B2074" s="7"/>
      <c r="C2074" s="6"/>
      <c r="D2074" s="7"/>
      <c r="E2074" s="6"/>
      <c r="F2074" s="7"/>
      <c r="G2074" s="6"/>
      <c r="H2074" s="7"/>
      <c r="I2074" s="6"/>
      <c r="J2074" s="7"/>
      <c r="K2074" s="96" t="str">
        <f>HYPERLINK("#'Healthcare'!CAT1","Q6.15.5")</f>
        <v>Q6.15.5</v>
      </c>
      <c r="L2074" s="93" t="str">
        <f>HYPERLINK("#'Healthcare'!CAT2","Enhancements to telemedicine (telehealth) services offered in 2021")</f>
        <v>Enhancements to telemedicine (telehealth) services offered in 2021</v>
      </c>
      <c r="M2074" s="6"/>
      <c r="N2074" s="7"/>
      <c r="O2074" s="6"/>
      <c r="P2074" s="7"/>
      <c r="Q2074" s="6"/>
      <c r="R2074" s="7"/>
      <c r="S2074" s="6"/>
      <c r="T2074" s="7"/>
      <c r="U2074" s="6"/>
      <c r="V2074" s="7"/>
      <c r="W2074" s="6"/>
      <c r="X2074" s="7"/>
    </row>
    <row r="2075" spans="1:24" ht="12.75" x14ac:dyDescent="0.2">
      <c r="A2075" s="6"/>
      <c r="B2075" s="7"/>
      <c r="C2075" s="6"/>
      <c r="D2075" s="7"/>
      <c r="E2075" s="6"/>
      <c r="F2075" s="7"/>
      <c r="G2075" s="6"/>
      <c r="H2075" s="7"/>
      <c r="I2075" s="6"/>
      <c r="J2075" s="7"/>
      <c r="K2075" s="96" t="str">
        <f>HYPERLINK("#'Healthcare'!CAU1","Q6.15.6")</f>
        <v>Q6.15.6</v>
      </c>
      <c r="L2075" s="93" t="str">
        <f>HYPERLINK("#'Healthcare'!CAU2","Telemedicine (telehealth) enhancements made")</f>
        <v>Telemedicine (telehealth) enhancements made</v>
      </c>
      <c r="M2075" s="6"/>
      <c r="N2075" s="7"/>
      <c r="O2075" s="6"/>
      <c r="P2075" s="7"/>
      <c r="Q2075" s="6"/>
      <c r="R2075" s="7"/>
      <c r="S2075" s="6"/>
      <c r="T2075" s="7"/>
      <c r="U2075" s="6"/>
      <c r="V2075" s="7"/>
      <c r="W2075" s="6"/>
      <c r="X2075" s="7"/>
    </row>
    <row r="2076" spans="1:24" ht="12.75" x14ac:dyDescent="0.2">
      <c r="A2076" s="6"/>
      <c r="B2076" s="7"/>
      <c r="C2076" s="6"/>
      <c r="D2076" s="7"/>
      <c r="E2076" s="6"/>
      <c r="F2076" s="7"/>
      <c r="G2076" s="6"/>
      <c r="H2076" s="7"/>
      <c r="I2076" s="6"/>
      <c r="J2076" s="7"/>
      <c r="K2076" s="96" t="str">
        <f>HYPERLINK("#'Healthcare'!CAV1","Q6.16.2")</f>
        <v>Q6.16.2</v>
      </c>
      <c r="L2076" s="93" t="str">
        <f>HYPERLINK("#'Healthcare'!CAV2","Retiree medical offering")</f>
        <v>Retiree medical offering</v>
      </c>
      <c r="M2076" s="6"/>
      <c r="N2076" s="7"/>
      <c r="O2076" s="6"/>
      <c r="P2076" s="7"/>
      <c r="Q2076" s="6"/>
      <c r="R2076" s="7"/>
      <c r="S2076" s="6"/>
      <c r="T2076" s="7"/>
      <c r="U2076" s="6"/>
      <c r="V2076" s="7"/>
      <c r="W2076" s="6"/>
      <c r="X2076" s="7"/>
    </row>
    <row r="2077" spans="1:24" ht="25.5" x14ac:dyDescent="0.2">
      <c r="A2077" s="6"/>
      <c r="B2077" s="7"/>
      <c r="C2077" s="6"/>
      <c r="D2077" s="7"/>
      <c r="E2077" s="6"/>
      <c r="F2077" s="7"/>
      <c r="G2077" s="6"/>
      <c r="H2077" s="7"/>
      <c r="I2077" s="6"/>
      <c r="J2077" s="7"/>
      <c r="K2077" s="96" t="str">
        <f>HYPERLINK("#'Healthcare'!CAW1","Q6.16.3")</f>
        <v>Q6.16.3</v>
      </c>
      <c r="L2077" s="93" t="str">
        <f>HYPERLINK("#'Healthcare'!CAW2","Offer different plans based on Medicare eligibility")</f>
        <v>Offer different plans based on Medicare eligibility</v>
      </c>
      <c r="M2077" s="6"/>
      <c r="N2077" s="7"/>
      <c r="O2077" s="6"/>
      <c r="P2077" s="7"/>
      <c r="Q2077" s="6"/>
      <c r="R2077" s="7"/>
      <c r="S2077" s="6"/>
      <c r="T2077" s="7"/>
      <c r="U2077" s="6"/>
      <c r="V2077" s="7"/>
      <c r="W2077" s="6"/>
      <c r="X2077" s="7"/>
    </row>
    <row r="2078" spans="1:24" ht="25.5" x14ac:dyDescent="0.2">
      <c r="A2078" s="6"/>
      <c r="B2078" s="7"/>
      <c r="C2078" s="6"/>
      <c r="D2078" s="7"/>
      <c r="E2078" s="6"/>
      <c r="F2078" s="7"/>
      <c r="G2078" s="6"/>
      <c r="H2078" s="7"/>
      <c r="I2078" s="6"/>
      <c r="J2078" s="7"/>
      <c r="K2078" s="96" t="str">
        <f>HYPERLINK("#'Healthcare'!CAX1","Q6.16.4")</f>
        <v>Q6.16.4</v>
      </c>
      <c r="L2078" s="93" t="str">
        <f>HYPERLINK("#'Healthcare'!CAX2","Eligibility to qualify for medical coverage for those retiring before age 65")</f>
        <v>Eligibility to qualify for medical coverage for those retiring before age 65</v>
      </c>
      <c r="M2078" s="6"/>
      <c r="N2078" s="7"/>
      <c r="O2078" s="6"/>
      <c r="P2078" s="7"/>
      <c r="Q2078" s="6"/>
      <c r="R2078" s="7"/>
      <c r="S2078" s="6"/>
      <c r="T2078" s="7"/>
      <c r="U2078" s="6"/>
      <c r="V2078" s="7"/>
      <c r="W2078" s="6"/>
      <c r="X2078" s="7"/>
    </row>
    <row r="2079" spans="1:24" ht="25.5" x14ac:dyDescent="0.2">
      <c r="A2079" s="6"/>
      <c r="B2079" s="7"/>
      <c r="C2079" s="6"/>
      <c r="D2079" s="7"/>
      <c r="E2079" s="6"/>
      <c r="F2079" s="7"/>
      <c r="G2079" s="6"/>
      <c r="H2079" s="7"/>
      <c r="I2079" s="6"/>
      <c r="J2079" s="7"/>
      <c r="K2079" s="96" t="str">
        <f>HYPERLINK("#'Healthcare'!CAY1","Q6.16.5")</f>
        <v>Q6.16.5</v>
      </c>
      <c r="L2079" s="93" t="str">
        <f>HYPERLINK("#'Healthcare'!CAY2","Minimum years of service to be eligible for retirement")</f>
        <v>Minimum years of service to be eligible for retirement</v>
      </c>
      <c r="M2079" s="6"/>
      <c r="N2079" s="7"/>
      <c r="O2079" s="6"/>
      <c r="P2079" s="7"/>
      <c r="Q2079" s="6"/>
      <c r="R2079" s="7"/>
      <c r="S2079" s="6"/>
      <c r="T2079" s="7"/>
      <c r="U2079" s="6"/>
      <c r="V2079" s="7"/>
      <c r="W2079" s="6"/>
      <c r="X2079" s="7"/>
    </row>
    <row r="2080" spans="1:24" ht="12.75" x14ac:dyDescent="0.2">
      <c r="A2080" s="6"/>
      <c r="B2080" s="7"/>
      <c r="C2080" s="6"/>
      <c r="D2080" s="7"/>
      <c r="E2080" s="6"/>
      <c r="F2080" s="7"/>
      <c r="G2080" s="6"/>
      <c r="H2080" s="7"/>
      <c r="I2080" s="6"/>
      <c r="J2080" s="7"/>
      <c r="K2080" s="96" t="str">
        <f>HYPERLINK("#'Healthcare'!CAZ1","Q6.16.6")</f>
        <v>Q6.16.6</v>
      </c>
      <c r="L2080" s="93" t="str">
        <f>HYPERLINK("#'Healthcare'!CAZ2","Minimum age to be eligible for retirement")</f>
        <v>Minimum age to be eligible for retirement</v>
      </c>
      <c r="M2080" s="6"/>
      <c r="N2080" s="7"/>
      <c r="O2080" s="6"/>
      <c r="P2080" s="7"/>
      <c r="Q2080" s="6"/>
      <c r="R2080" s="7"/>
      <c r="S2080" s="6"/>
      <c r="T2080" s="7"/>
      <c r="U2080" s="6"/>
      <c r="V2080" s="7"/>
      <c r="W2080" s="6"/>
      <c r="X2080" s="7"/>
    </row>
    <row r="2081" spans="1:24" ht="25.5" x14ac:dyDescent="0.2">
      <c r="A2081" s="6"/>
      <c r="B2081" s="7"/>
      <c r="C2081" s="6"/>
      <c r="D2081" s="7"/>
      <c r="E2081" s="6"/>
      <c r="F2081" s="7"/>
      <c r="G2081" s="6"/>
      <c r="H2081" s="7"/>
      <c r="I2081" s="6"/>
      <c r="J2081" s="7"/>
      <c r="K2081" s="96" t="str">
        <f>HYPERLINK("#'Healthcare'!CBA1","Q6.16.7")</f>
        <v>Q6.16.7</v>
      </c>
      <c r="L2081" s="93" t="str">
        <f>HYPERLINK("#'Healthcare'!CBA2","Threshold that must be met for employees to be eligible for retirement")</f>
        <v>Threshold that must be met for employees to be eligible for retirement</v>
      </c>
      <c r="M2081" s="6"/>
      <c r="N2081" s="7"/>
      <c r="O2081" s="6"/>
      <c r="P2081" s="7"/>
      <c r="Q2081" s="6"/>
      <c r="R2081" s="7"/>
      <c r="S2081" s="6"/>
      <c r="T2081" s="7"/>
      <c r="U2081" s="6"/>
      <c r="V2081" s="7"/>
      <c r="W2081" s="6"/>
      <c r="X2081" s="7"/>
    </row>
    <row r="2082" spans="1:24" ht="38.25" x14ac:dyDescent="0.2">
      <c r="A2082" s="6"/>
      <c r="B2082" s="7"/>
      <c r="C2082" s="6"/>
      <c r="D2082" s="7"/>
      <c r="E2082" s="6"/>
      <c r="F2082" s="7"/>
      <c r="G2082" s="6"/>
      <c r="H2082" s="7"/>
      <c r="I2082" s="6"/>
      <c r="J2082" s="7"/>
      <c r="K2082" s="96" t="str">
        <f>HYPERLINK("#'Healthcare'!CBB1","Q6.17.2_1")</f>
        <v>Q6.17.2_1</v>
      </c>
      <c r="L2082" s="93" t="str">
        <f>HYPERLINK("#'Healthcare'!CBB2","Total number of national self-insured dental plans offered: Preferred provider organization (PPO)")</f>
        <v>Total number of national self-insured dental plans offered: Preferred provider organization (PPO)</v>
      </c>
      <c r="M2082" s="6"/>
      <c r="N2082" s="7"/>
      <c r="O2082" s="6"/>
      <c r="P2082" s="7"/>
      <c r="Q2082" s="6"/>
      <c r="R2082" s="7"/>
      <c r="S2082" s="6"/>
      <c r="T2082" s="7"/>
      <c r="U2082" s="6"/>
      <c r="V2082" s="7"/>
      <c r="W2082" s="6"/>
      <c r="X2082" s="7"/>
    </row>
    <row r="2083" spans="1:24" ht="38.25" x14ac:dyDescent="0.2">
      <c r="A2083" s="6"/>
      <c r="B2083" s="7"/>
      <c r="C2083" s="6"/>
      <c r="D2083" s="7"/>
      <c r="E2083" s="6"/>
      <c r="F2083" s="7"/>
      <c r="G2083" s="6"/>
      <c r="H2083" s="7"/>
      <c r="I2083" s="6"/>
      <c r="J2083" s="7"/>
      <c r="K2083" s="96" t="str">
        <f>HYPERLINK("#'Healthcare'!CBC1","Q6.17.2_2")</f>
        <v>Q6.17.2_2</v>
      </c>
      <c r="L2083" s="93" t="str">
        <f>HYPERLINK("#'Healthcare'!CBC2","Total number of national self-insured dental plans offered: Dental health maintenance organization (DHMO)")</f>
        <v>Total number of national self-insured dental plans offered: Dental health maintenance organization (DHMO)</v>
      </c>
      <c r="M2083" s="6"/>
      <c r="N2083" s="7"/>
      <c r="O2083" s="6"/>
      <c r="P2083" s="7"/>
      <c r="Q2083" s="6"/>
      <c r="R2083" s="7"/>
      <c r="S2083" s="6"/>
      <c r="T2083" s="7"/>
      <c r="U2083" s="6"/>
      <c r="V2083" s="7"/>
      <c r="W2083" s="6"/>
      <c r="X2083" s="7"/>
    </row>
    <row r="2084" spans="1:24" ht="25.5" x14ac:dyDescent="0.2">
      <c r="A2084" s="6"/>
      <c r="B2084" s="7"/>
      <c r="C2084" s="6"/>
      <c r="D2084" s="7"/>
      <c r="E2084" s="6"/>
      <c r="F2084" s="7"/>
      <c r="G2084" s="6"/>
      <c r="H2084" s="7"/>
      <c r="I2084" s="6"/>
      <c r="J2084" s="7"/>
      <c r="K2084" s="96" t="str">
        <f>HYPERLINK("#'Healthcare'!CBD1","Q6.17.2_3")</f>
        <v>Q6.17.2_3</v>
      </c>
      <c r="L2084" s="93" t="str">
        <f>HYPERLINK("#'Healthcare'!CBD2","Total number of national self-insured dental plans offered: Indemnity")</f>
        <v>Total number of national self-insured dental plans offered: Indemnity</v>
      </c>
      <c r="M2084" s="6"/>
      <c r="N2084" s="7"/>
      <c r="O2084" s="6"/>
      <c r="P2084" s="7"/>
      <c r="Q2084" s="6"/>
      <c r="R2084" s="7"/>
      <c r="S2084" s="6"/>
      <c r="T2084" s="7"/>
      <c r="U2084" s="6"/>
      <c r="V2084" s="7"/>
      <c r="W2084" s="6"/>
      <c r="X2084" s="7"/>
    </row>
    <row r="2085" spans="1:24" ht="25.5" x14ac:dyDescent="0.2">
      <c r="A2085" s="6"/>
      <c r="B2085" s="7"/>
      <c r="C2085" s="6"/>
      <c r="D2085" s="7"/>
      <c r="E2085" s="6"/>
      <c r="F2085" s="7"/>
      <c r="G2085" s="6"/>
      <c r="H2085" s="7"/>
      <c r="I2085" s="6"/>
      <c r="J2085" s="7"/>
      <c r="K2085" s="96" t="str">
        <f>HYPERLINK("#'Healthcare'!CBE1","Q6.17.4_1")</f>
        <v>Q6.17.4_1</v>
      </c>
      <c r="L2085" s="93" t="str">
        <f>HYPERLINK("#'Healthcare'!CBE2","Primary PPO dental plan: In-network individual deductible")</f>
        <v>Primary PPO dental plan: In-network individual deductible</v>
      </c>
      <c r="M2085" s="6"/>
      <c r="N2085" s="7"/>
      <c r="O2085" s="6"/>
      <c r="P2085" s="7"/>
      <c r="Q2085" s="6"/>
      <c r="R2085" s="7"/>
      <c r="S2085" s="6"/>
      <c r="T2085" s="7"/>
      <c r="U2085" s="6"/>
      <c r="V2085" s="7"/>
      <c r="W2085" s="6"/>
      <c r="X2085" s="7"/>
    </row>
    <row r="2086" spans="1:24" ht="25.5" x14ac:dyDescent="0.2">
      <c r="A2086" s="6"/>
      <c r="B2086" s="7"/>
      <c r="C2086" s="6"/>
      <c r="D2086" s="7"/>
      <c r="E2086" s="6"/>
      <c r="F2086" s="7"/>
      <c r="G2086" s="6"/>
      <c r="H2086" s="7"/>
      <c r="I2086" s="6"/>
      <c r="J2086" s="7"/>
      <c r="K2086" s="96" t="str">
        <f>HYPERLINK("#'Healthcare'!CBF1","Q6.17.4_2")</f>
        <v>Q6.17.4_2</v>
      </c>
      <c r="L2086" s="93" t="str">
        <f>HYPERLINK("#'Healthcare'!CBF2","Primary PPO dental plan: In-network family deductible")</f>
        <v>Primary PPO dental plan: In-network family deductible</v>
      </c>
      <c r="M2086" s="6"/>
      <c r="N2086" s="7"/>
      <c r="O2086" s="6"/>
      <c r="P2086" s="7"/>
      <c r="Q2086" s="6"/>
      <c r="R2086" s="7"/>
      <c r="S2086" s="6"/>
      <c r="T2086" s="7"/>
      <c r="U2086" s="6"/>
      <c r="V2086" s="7"/>
      <c r="W2086" s="6"/>
      <c r="X2086" s="7"/>
    </row>
    <row r="2087" spans="1:24" ht="25.5" x14ac:dyDescent="0.2">
      <c r="A2087" s="6"/>
      <c r="B2087" s="7"/>
      <c r="C2087" s="6"/>
      <c r="D2087" s="7"/>
      <c r="E2087" s="6"/>
      <c r="F2087" s="7"/>
      <c r="G2087" s="6"/>
      <c r="H2087" s="7"/>
      <c r="I2087" s="6"/>
      <c r="J2087" s="7"/>
      <c r="K2087" s="96" t="str">
        <f>HYPERLINK("#'Healthcare'!CBG1","Q6.17.4_3")</f>
        <v>Q6.17.4_3</v>
      </c>
      <c r="L2087" s="93" t="str">
        <f>HYPERLINK("#'Healthcare'!CBG2","Primary PPO dental plan: Out-of-network individual deductible")</f>
        <v>Primary PPO dental plan: Out-of-network individual deductible</v>
      </c>
      <c r="M2087" s="6"/>
      <c r="N2087" s="7"/>
      <c r="O2087" s="6"/>
      <c r="P2087" s="7"/>
      <c r="Q2087" s="6"/>
      <c r="R2087" s="7"/>
      <c r="S2087" s="6"/>
      <c r="T2087" s="7"/>
      <c r="U2087" s="6"/>
      <c r="V2087" s="7"/>
      <c r="W2087" s="6"/>
      <c r="X2087" s="7"/>
    </row>
    <row r="2088" spans="1:24" ht="25.5" x14ac:dyDescent="0.2">
      <c r="A2088" s="6"/>
      <c r="B2088" s="7"/>
      <c r="C2088" s="6"/>
      <c r="D2088" s="7"/>
      <c r="E2088" s="6"/>
      <c r="F2088" s="7"/>
      <c r="G2088" s="6"/>
      <c r="H2088" s="7"/>
      <c r="I2088" s="6"/>
      <c r="J2088" s="7"/>
      <c r="K2088" s="96" t="str">
        <f>HYPERLINK("#'Healthcare'!CBH1","Q6.17.4_4")</f>
        <v>Q6.17.4_4</v>
      </c>
      <c r="L2088" s="93" t="str">
        <f>HYPERLINK("#'Healthcare'!CBH2","Primary PPO dental plan: Out-of-network family deductible")</f>
        <v>Primary PPO dental plan: Out-of-network family deductible</v>
      </c>
      <c r="M2088" s="6"/>
      <c r="N2088" s="7"/>
      <c r="O2088" s="6"/>
      <c r="P2088" s="7"/>
      <c r="Q2088" s="6"/>
      <c r="R2088" s="7"/>
      <c r="S2088" s="6"/>
      <c r="T2088" s="7"/>
      <c r="U2088" s="6"/>
      <c r="V2088" s="7"/>
      <c r="W2088" s="6"/>
      <c r="X2088" s="7"/>
    </row>
    <row r="2089" spans="1:24" ht="38.25" x14ac:dyDescent="0.2">
      <c r="A2089" s="6"/>
      <c r="B2089" s="7"/>
      <c r="C2089" s="6"/>
      <c r="D2089" s="7"/>
      <c r="E2089" s="6"/>
      <c r="F2089" s="7"/>
      <c r="G2089" s="6"/>
      <c r="H2089" s="7"/>
      <c r="I2089" s="6"/>
      <c r="J2089" s="7"/>
      <c r="K2089" s="96" t="str">
        <f>HYPERLINK("#'Healthcare'!CBI1","Q6.17.4_5")</f>
        <v>Q6.17.4_5</v>
      </c>
      <c r="L2089" s="93" t="str">
        <f>HYPERLINK("#'Healthcare'!CBI2","Primary PPO dental plan: Maximum annual/calendar year limit (individual - excludes ortho)")</f>
        <v>Primary PPO dental plan: Maximum annual/calendar year limit (individual - excludes ortho)</v>
      </c>
      <c r="M2089" s="6"/>
      <c r="N2089" s="7"/>
      <c r="O2089" s="6"/>
      <c r="P2089" s="7"/>
      <c r="Q2089" s="6"/>
      <c r="R2089" s="7"/>
      <c r="S2089" s="6"/>
      <c r="T2089" s="7"/>
      <c r="U2089" s="6"/>
      <c r="V2089" s="7"/>
      <c r="W2089" s="6"/>
      <c r="X2089" s="7"/>
    </row>
    <row r="2090" spans="1:24" ht="25.5" x14ac:dyDescent="0.2">
      <c r="A2090" s="6"/>
      <c r="B2090" s="7"/>
      <c r="C2090" s="6"/>
      <c r="D2090" s="7"/>
      <c r="E2090" s="6"/>
      <c r="F2090" s="7"/>
      <c r="G2090" s="6"/>
      <c r="H2090" s="7"/>
      <c r="I2090" s="6"/>
      <c r="J2090" s="7"/>
      <c r="K2090" s="96" t="str">
        <f>HYPERLINK("#'Healthcare'!CBJ1","Q6.17.4_6")</f>
        <v>Q6.17.4_6</v>
      </c>
      <c r="L2090" s="93" t="str">
        <f>HYPERLINK("#'Healthcare'!CBJ2","Primary PPO dental plan: Maximum annual/calendar year limit (family)")</f>
        <v>Primary PPO dental plan: Maximum annual/calendar year limit (family)</v>
      </c>
      <c r="M2090" s="6"/>
      <c r="N2090" s="7"/>
      <c r="O2090" s="6"/>
      <c r="P2090" s="7"/>
      <c r="Q2090" s="6"/>
      <c r="R2090" s="7"/>
      <c r="S2090" s="6"/>
      <c r="T2090" s="7"/>
      <c r="U2090" s="6"/>
      <c r="V2090" s="7"/>
      <c r="W2090" s="6"/>
      <c r="X2090" s="7"/>
    </row>
    <row r="2091" spans="1:24" ht="25.5" x14ac:dyDescent="0.2">
      <c r="A2091" s="6"/>
      <c r="B2091" s="7"/>
      <c r="C2091" s="6"/>
      <c r="D2091" s="7"/>
      <c r="E2091" s="6"/>
      <c r="F2091" s="7"/>
      <c r="G2091" s="6"/>
      <c r="H2091" s="7"/>
      <c r="I2091" s="6"/>
      <c r="J2091" s="7"/>
      <c r="K2091" s="96" t="str">
        <f>HYPERLINK("#'Healthcare'!CBK1","Q6.17.4_7")</f>
        <v>Q6.17.4_7</v>
      </c>
      <c r="L2091" s="93" t="str">
        <f>HYPERLINK("#'Healthcare'!CBK2","Primary PPO dental plan: Maximum lifetime orthodontia limit (individual)")</f>
        <v>Primary PPO dental plan: Maximum lifetime orthodontia limit (individual)</v>
      </c>
      <c r="M2091" s="6"/>
      <c r="N2091" s="7"/>
      <c r="O2091" s="6"/>
      <c r="P2091" s="7"/>
      <c r="Q2091" s="6"/>
      <c r="R2091" s="7"/>
      <c r="S2091" s="6"/>
      <c r="T2091" s="7"/>
      <c r="U2091" s="6"/>
      <c r="V2091" s="7"/>
      <c r="W2091" s="6"/>
      <c r="X2091" s="7"/>
    </row>
    <row r="2092" spans="1:24" ht="25.5" x14ac:dyDescent="0.2">
      <c r="A2092" s="6"/>
      <c r="B2092" s="7"/>
      <c r="C2092" s="6"/>
      <c r="D2092" s="7"/>
      <c r="E2092" s="6"/>
      <c r="F2092" s="7"/>
      <c r="G2092" s="6"/>
      <c r="H2092" s="7"/>
      <c r="I2092" s="6"/>
      <c r="J2092" s="7"/>
      <c r="K2092" s="96" t="str">
        <f>HYPERLINK("#'Healthcare'!CBL1","Q6.17.4_8")</f>
        <v>Q6.17.4_8</v>
      </c>
      <c r="L2092" s="93" t="str">
        <f>HYPERLINK("#'Healthcare'!CBL2","Primary PPO dental plan: Maximum lifetime orthodontia limit (family)")</f>
        <v>Primary PPO dental plan: Maximum lifetime orthodontia limit (family)</v>
      </c>
      <c r="M2092" s="6"/>
      <c r="N2092" s="7"/>
      <c r="O2092" s="6"/>
      <c r="P2092" s="7"/>
      <c r="Q2092" s="6"/>
      <c r="R2092" s="7"/>
      <c r="S2092" s="6"/>
      <c r="T2092" s="7"/>
      <c r="U2092" s="6"/>
      <c r="V2092" s="7"/>
      <c r="W2092" s="6"/>
      <c r="X2092" s="7"/>
    </row>
    <row r="2093" spans="1:24" ht="25.5" x14ac:dyDescent="0.2">
      <c r="A2093" s="6"/>
      <c r="B2093" s="7"/>
      <c r="C2093" s="6"/>
      <c r="D2093" s="7"/>
      <c r="E2093" s="6"/>
      <c r="F2093" s="7"/>
      <c r="G2093" s="6"/>
      <c r="H2093" s="7"/>
      <c r="I2093" s="6"/>
      <c r="J2093" s="7"/>
      <c r="K2093" s="96" t="str">
        <f>HYPERLINK("#'Healthcare'!CBM1","Q6.17.5_1")</f>
        <v>Q6.17.5_1</v>
      </c>
      <c r="L2093" s="93" t="str">
        <f>HYPERLINK("#'Healthcare'!CBM2","Primary PPO dental plan: In-network preventive services coinsurance")</f>
        <v>Primary PPO dental plan: In-network preventive services coinsurance</v>
      </c>
      <c r="M2093" s="6"/>
      <c r="N2093" s="7"/>
      <c r="O2093" s="6"/>
      <c r="P2093" s="7"/>
      <c r="Q2093" s="6"/>
      <c r="R2093" s="7"/>
      <c r="S2093" s="6"/>
      <c r="T2093" s="7"/>
      <c r="U2093" s="6"/>
      <c r="V2093" s="7"/>
      <c r="W2093" s="6"/>
      <c r="X2093" s="7"/>
    </row>
    <row r="2094" spans="1:24" ht="25.5" x14ac:dyDescent="0.2">
      <c r="A2094" s="6"/>
      <c r="B2094" s="7"/>
      <c r="C2094" s="6"/>
      <c r="D2094" s="7"/>
      <c r="E2094" s="6"/>
      <c r="F2094" s="7"/>
      <c r="G2094" s="6"/>
      <c r="H2094" s="7"/>
      <c r="I2094" s="6"/>
      <c r="J2094" s="7"/>
      <c r="K2094" s="96" t="str">
        <f>HYPERLINK("#'Healthcare'!CBN1","Q6.17.5_2")</f>
        <v>Q6.17.5_2</v>
      </c>
      <c r="L2094" s="93" t="str">
        <f>HYPERLINK("#'Healthcare'!CBN2","Primary PPO dental plan: Out-of-network preventive services coinsurance")</f>
        <v>Primary PPO dental plan: Out-of-network preventive services coinsurance</v>
      </c>
      <c r="M2094" s="6"/>
      <c r="N2094" s="7"/>
      <c r="O2094" s="6"/>
      <c r="P2094" s="7"/>
      <c r="Q2094" s="6"/>
      <c r="R2094" s="7"/>
      <c r="S2094" s="6"/>
      <c r="T2094" s="7"/>
      <c r="U2094" s="6"/>
      <c r="V2094" s="7"/>
      <c r="W2094" s="6"/>
      <c r="X2094" s="7"/>
    </row>
    <row r="2095" spans="1:24" ht="25.5" x14ac:dyDescent="0.2">
      <c r="A2095" s="6"/>
      <c r="B2095" s="7"/>
      <c r="C2095" s="6"/>
      <c r="D2095" s="7"/>
      <c r="E2095" s="6"/>
      <c r="F2095" s="7"/>
      <c r="G2095" s="6"/>
      <c r="H2095" s="7"/>
      <c r="I2095" s="6"/>
      <c r="J2095" s="7"/>
      <c r="K2095" s="96" t="str">
        <f>HYPERLINK("#'Healthcare'!CBO1","Q6.17.5_3")</f>
        <v>Q6.17.5_3</v>
      </c>
      <c r="L2095" s="93" t="str">
        <f>HYPERLINK("#'Healthcare'!CBO2","Primary PPO dental plan: In-network basic services coinsurance")</f>
        <v>Primary PPO dental plan: In-network basic services coinsurance</v>
      </c>
      <c r="M2095" s="6"/>
      <c r="N2095" s="7"/>
      <c r="O2095" s="6"/>
      <c r="P2095" s="7"/>
      <c r="Q2095" s="6"/>
      <c r="R2095" s="7"/>
      <c r="S2095" s="6"/>
      <c r="T2095" s="7"/>
      <c r="U2095" s="6"/>
      <c r="V2095" s="7"/>
      <c r="W2095" s="6"/>
      <c r="X2095" s="7"/>
    </row>
    <row r="2096" spans="1:24" ht="25.5" x14ac:dyDescent="0.2">
      <c r="A2096" s="6"/>
      <c r="B2096" s="7"/>
      <c r="C2096" s="6"/>
      <c r="D2096" s="7"/>
      <c r="E2096" s="6"/>
      <c r="F2096" s="7"/>
      <c r="G2096" s="6"/>
      <c r="H2096" s="7"/>
      <c r="I2096" s="6"/>
      <c r="J2096" s="7"/>
      <c r="K2096" s="96" t="str">
        <f>HYPERLINK("#'Healthcare'!CBP1","Q6.17.5_4")</f>
        <v>Q6.17.5_4</v>
      </c>
      <c r="L2096" s="93" t="str">
        <f>HYPERLINK("#'Healthcare'!CBP2","Primary PPO dental plan: Out-of-network basic services coinsurance")</f>
        <v>Primary PPO dental plan: Out-of-network basic services coinsurance</v>
      </c>
      <c r="M2096" s="6"/>
      <c r="N2096" s="7"/>
      <c r="O2096" s="6"/>
      <c r="P2096" s="7"/>
      <c r="Q2096" s="6"/>
      <c r="R2096" s="7"/>
      <c r="S2096" s="6"/>
      <c r="T2096" s="7"/>
      <c r="U2096" s="6"/>
      <c r="V2096" s="7"/>
      <c r="W2096" s="6"/>
      <c r="X2096" s="7"/>
    </row>
    <row r="2097" spans="1:24" ht="25.5" x14ac:dyDescent="0.2">
      <c r="A2097" s="6"/>
      <c r="B2097" s="7"/>
      <c r="C2097" s="6"/>
      <c r="D2097" s="7"/>
      <c r="E2097" s="6"/>
      <c r="F2097" s="7"/>
      <c r="G2097" s="6"/>
      <c r="H2097" s="7"/>
      <c r="I2097" s="6"/>
      <c r="J2097" s="7"/>
      <c r="K2097" s="96" t="str">
        <f>HYPERLINK("#'Healthcare'!CBQ1","Q6.17.5_5")</f>
        <v>Q6.17.5_5</v>
      </c>
      <c r="L2097" s="93" t="str">
        <f>HYPERLINK("#'Healthcare'!CBQ2","Primary PPO dental plan: In-network major services coinsurance")</f>
        <v>Primary PPO dental plan: In-network major services coinsurance</v>
      </c>
      <c r="M2097" s="6"/>
      <c r="N2097" s="7"/>
      <c r="O2097" s="6"/>
      <c r="P2097" s="7"/>
      <c r="Q2097" s="6"/>
      <c r="R2097" s="7"/>
      <c r="S2097" s="6"/>
      <c r="T2097" s="7"/>
      <c r="U2097" s="6"/>
      <c r="V2097" s="7"/>
      <c r="W2097" s="6"/>
      <c r="X2097" s="7"/>
    </row>
    <row r="2098" spans="1:24" ht="25.5" x14ac:dyDescent="0.2">
      <c r="A2098" s="6"/>
      <c r="B2098" s="7"/>
      <c r="C2098" s="6"/>
      <c r="D2098" s="7"/>
      <c r="E2098" s="6"/>
      <c r="F2098" s="7"/>
      <c r="G2098" s="6"/>
      <c r="H2098" s="7"/>
      <c r="I2098" s="6"/>
      <c r="J2098" s="7"/>
      <c r="K2098" s="96" t="str">
        <f>HYPERLINK("#'Healthcare'!CBR1","Q6.17.5_6")</f>
        <v>Q6.17.5_6</v>
      </c>
      <c r="L2098" s="93" t="str">
        <f>HYPERLINK("#'Healthcare'!CBR2","Primary PPO dental plan: Out-of-network major services coinsurance")</f>
        <v>Primary PPO dental plan: Out-of-network major services coinsurance</v>
      </c>
      <c r="M2098" s="6"/>
      <c r="N2098" s="7"/>
      <c r="O2098" s="6"/>
      <c r="P2098" s="7"/>
      <c r="Q2098" s="6"/>
      <c r="R2098" s="7"/>
      <c r="S2098" s="6"/>
      <c r="T2098" s="7"/>
      <c r="U2098" s="6"/>
      <c r="V2098" s="7"/>
      <c r="W2098" s="6"/>
      <c r="X2098" s="7"/>
    </row>
    <row r="2099" spans="1:24" ht="25.5" x14ac:dyDescent="0.2">
      <c r="A2099" s="6"/>
      <c r="B2099" s="7"/>
      <c r="C2099" s="6"/>
      <c r="D2099" s="7"/>
      <c r="E2099" s="6"/>
      <c r="F2099" s="7"/>
      <c r="G2099" s="6"/>
      <c r="H2099" s="7"/>
      <c r="I2099" s="6"/>
      <c r="J2099" s="7"/>
      <c r="K2099" s="96" t="str">
        <f>HYPERLINK("#'Healthcare'!CBS1","Q6.17.5_7")</f>
        <v>Q6.17.5_7</v>
      </c>
      <c r="L2099" s="93" t="str">
        <f>HYPERLINK("#'Healthcare'!CBS2","Primary PPO dental plan: In-network orthodontia coinsurance")</f>
        <v>Primary PPO dental plan: In-network orthodontia coinsurance</v>
      </c>
      <c r="M2099" s="6"/>
      <c r="N2099" s="7"/>
      <c r="O2099" s="6"/>
      <c r="P2099" s="7"/>
      <c r="Q2099" s="6"/>
      <c r="R2099" s="7"/>
      <c r="S2099" s="6"/>
      <c r="T2099" s="7"/>
      <c r="U2099" s="6"/>
      <c r="V2099" s="7"/>
      <c r="W2099" s="6"/>
      <c r="X2099" s="7"/>
    </row>
    <row r="2100" spans="1:24" ht="25.5" x14ac:dyDescent="0.2">
      <c r="A2100" s="6"/>
      <c r="B2100" s="7"/>
      <c r="C2100" s="6"/>
      <c r="D2100" s="7"/>
      <c r="E2100" s="6"/>
      <c r="F2100" s="7"/>
      <c r="G2100" s="6"/>
      <c r="H2100" s="7"/>
      <c r="I2100" s="6"/>
      <c r="J2100" s="7"/>
      <c r="K2100" s="96" t="str">
        <f>HYPERLINK("#'Healthcare'!CBT1","Q6.17.5_8")</f>
        <v>Q6.17.5_8</v>
      </c>
      <c r="L2100" s="93" t="str">
        <f>HYPERLINK("#'Healthcare'!CBT2","Primary PPO dental plan: Out-of-network orthodontia coinsurance")</f>
        <v>Primary PPO dental plan: Out-of-network orthodontia coinsurance</v>
      </c>
      <c r="M2100" s="6"/>
      <c r="N2100" s="7"/>
      <c r="O2100" s="6"/>
      <c r="P2100" s="7"/>
      <c r="Q2100" s="6"/>
      <c r="R2100" s="7"/>
      <c r="S2100" s="6"/>
      <c r="T2100" s="7"/>
      <c r="U2100" s="6"/>
      <c r="V2100" s="7"/>
      <c r="W2100" s="6"/>
      <c r="X2100" s="7"/>
    </row>
    <row r="2101" spans="1:24" ht="25.5" x14ac:dyDescent="0.2">
      <c r="A2101" s="6"/>
      <c r="B2101" s="7"/>
      <c r="C2101" s="6"/>
      <c r="D2101" s="7"/>
      <c r="E2101" s="6"/>
      <c r="F2101" s="7"/>
      <c r="G2101" s="6"/>
      <c r="H2101" s="7"/>
      <c r="I2101" s="6"/>
      <c r="J2101" s="7"/>
      <c r="K2101" s="96" t="str">
        <f>HYPERLINK("#'Healthcare'!CBU1","Q6.17.6")</f>
        <v>Q6.17.6</v>
      </c>
      <c r="L2101" s="93" t="str">
        <f>HYPERLINK("#'Healthcare'!CBU2","Primary PPO dental plan: Implants are a major service")</f>
        <v>Primary PPO dental plan: Implants are a major service</v>
      </c>
      <c r="M2101" s="6"/>
      <c r="N2101" s="7"/>
      <c r="O2101" s="6"/>
      <c r="P2101" s="7"/>
      <c r="Q2101" s="6"/>
      <c r="R2101" s="7"/>
      <c r="S2101" s="6"/>
      <c r="T2101" s="7"/>
      <c r="U2101" s="6"/>
      <c r="V2101" s="7"/>
      <c r="W2101" s="6"/>
      <c r="X2101" s="7"/>
    </row>
    <row r="2102" spans="1:24" ht="25.5" x14ac:dyDescent="0.2">
      <c r="A2102" s="6"/>
      <c r="B2102" s="7"/>
      <c r="C2102" s="6"/>
      <c r="D2102" s="7"/>
      <c r="E2102" s="6"/>
      <c r="F2102" s="7"/>
      <c r="G2102" s="6"/>
      <c r="H2102" s="7"/>
      <c r="I2102" s="6"/>
      <c r="J2102" s="7"/>
      <c r="K2102" s="96" t="str">
        <f>HYPERLINK("#'Healthcare'!CBV1","Q6.17.7")</f>
        <v>Q6.17.7</v>
      </c>
      <c r="L2102" s="93" t="str">
        <f>HYPERLINK("#'Healthcare'!CBV2","Primary PPO dental plan: Services that apply to maximum annual/calendar year limit ")</f>
        <v xml:space="preserve">Primary PPO dental plan: Services that apply to maximum annual/calendar year limit </v>
      </c>
      <c r="M2102" s="6"/>
      <c r="N2102" s="7"/>
      <c r="O2102" s="6"/>
      <c r="P2102" s="7"/>
      <c r="Q2102" s="6"/>
      <c r="R2102" s="7"/>
      <c r="S2102" s="6"/>
      <c r="T2102" s="7"/>
      <c r="U2102" s="6"/>
      <c r="V2102" s="7"/>
      <c r="W2102" s="6"/>
      <c r="X2102" s="7"/>
    </row>
    <row r="2103" spans="1:24" ht="25.5" x14ac:dyDescent="0.2">
      <c r="A2103" s="6"/>
      <c r="B2103" s="7"/>
      <c r="C2103" s="6"/>
      <c r="D2103" s="7"/>
      <c r="E2103" s="6"/>
      <c r="F2103" s="7"/>
      <c r="G2103" s="6"/>
      <c r="H2103" s="7"/>
      <c r="I2103" s="6"/>
      <c r="J2103" s="7"/>
      <c r="K2103" s="96" t="str">
        <f>HYPERLINK("#'Healthcare'!CBW1","Q6.17.8")</f>
        <v>Q6.17.8</v>
      </c>
      <c r="L2103" s="93" t="str">
        <f>HYPERLINK("#'Healthcare'!CBW2","Primary PPO dental plan: Orthodontia coverage eligibility - children to age 18 ")</f>
        <v xml:space="preserve">Primary PPO dental plan: Orthodontia coverage eligibility - children to age 18 </v>
      </c>
      <c r="M2103" s="6"/>
      <c r="N2103" s="7"/>
      <c r="O2103" s="6"/>
      <c r="P2103" s="7"/>
      <c r="Q2103" s="6"/>
      <c r="R2103" s="7"/>
      <c r="S2103" s="6"/>
      <c r="T2103" s="7"/>
      <c r="U2103" s="6"/>
      <c r="V2103" s="7"/>
      <c r="W2103" s="6"/>
      <c r="X2103" s="7"/>
    </row>
    <row r="2104" spans="1:24" ht="25.5" x14ac:dyDescent="0.2">
      <c r="A2104" s="6"/>
      <c r="B2104" s="7"/>
      <c r="C2104" s="6"/>
      <c r="D2104" s="7"/>
      <c r="E2104" s="6"/>
      <c r="F2104" s="7"/>
      <c r="G2104" s="6"/>
      <c r="H2104" s="7"/>
      <c r="I2104" s="6"/>
      <c r="J2104" s="7"/>
      <c r="K2104" s="96" t="str">
        <f>HYPERLINK("#'Healthcare'!CBX1","Q6.17.9")</f>
        <v>Q6.17.9</v>
      </c>
      <c r="L2104" s="93" t="str">
        <f>HYPERLINK("#'Healthcare'!CBX2","Primary PPO dental plan: Services covered under dental plan")</f>
        <v>Primary PPO dental plan: Services covered under dental plan</v>
      </c>
      <c r="M2104" s="6"/>
      <c r="N2104" s="7"/>
      <c r="O2104" s="6"/>
      <c r="P2104" s="7"/>
      <c r="Q2104" s="6"/>
      <c r="R2104" s="7"/>
      <c r="S2104" s="6"/>
      <c r="T2104" s="7"/>
      <c r="U2104" s="6"/>
      <c r="V2104" s="7"/>
      <c r="W2104" s="6"/>
      <c r="X2104" s="7"/>
    </row>
    <row r="2105" spans="1:24" ht="25.5" x14ac:dyDescent="0.2">
      <c r="A2105" s="6"/>
      <c r="B2105" s="7"/>
      <c r="C2105" s="6"/>
      <c r="D2105" s="7"/>
      <c r="E2105" s="6"/>
      <c r="F2105" s="7"/>
      <c r="G2105" s="6"/>
      <c r="H2105" s="7"/>
      <c r="I2105" s="6"/>
      <c r="J2105" s="7"/>
      <c r="K2105" s="96" t="str">
        <f>HYPERLINK("#'Healthcare'!CBY1","Q6.17.10_1")</f>
        <v>Q6.17.10_1</v>
      </c>
      <c r="L2105" s="93" t="str">
        <f>HYPERLINK("#'Healthcare'!CBY2","Primary PPO dental plan: Service category: Amalgam fillings")</f>
        <v>Primary PPO dental plan: Service category: Amalgam fillings</v>
      </c>
      <c r="M2105" s="6"/>
      <c r="N2105" s="7"/>
      <c r="O2105" s="6"/>
      <c r="P2105" s="7"/>
      <c r="Q2105" s="6"/>
      <c r="R2105" s="7"/>
      <c r="S2105" s="6"/>
      <c r="T2105" s="7"/>
      <c r="U2105" s="6"/>
      <c r="V2105" s="7"/>
      <c r="W2105" s="6"/>
      <c r="X2105" s="7"/>
    </row>
    <row r="2106" spans="1:24" ht="25.5" x14ac:dyDescent="0.2">
      <c r="A2106" s="6"/>
      <c r="B2106" s="7"/>
      <c r="C2106" s="6"/>
      <c r="D2106" s="7"/>
      <c r="E2106" s="6"/>
      <c r="F2106" s="7"/>
      <c r="G2106" s="6"/>
      <c r="H2106" s="7"/>
      <c r="I2106" s="6"/>
      <c r="J2106" s="7"/>
      <c r="K2106" s="96" t="str">
        <f>HYPERLINK("#'Healthcare'!CBZ1","Q6.17.10_2")</f>
        <v>Q6.17.10_2</v>
      </c>
      <c r="L2106" s="93" t="str">
        <f>HYPERLINK("#'Healthcare'!CBZ2","Primary PPO dental plan: Service category: Anesthesia/sedation")</f>
        <v>Primary PPO dental plan: Service category: Anesthesia/sedation</v>
      </c>
      <c r="M2106" s="6"/>
      <c r="N2106" s="7"/>
      <c r="O2106" s="6"/>
      <c r="P2106" s="7"/>
      <c r="Q2106" s="6"/>
      <c r="R2106" s="7"/>
      <c r="S2106" s="6"/>
      <c r="T2106" s="7"/>
      <c r="U2106" s="6"/>
      <c r="V2106" s="7"/>
      <c r="W2106" s="6"/>
      <c r="X2106" s="7"/>
    </row>
    <row r="2107" spans="1:24" ht="25.5" x14ac:dyDescent="0.2">
      <c r="A2107" s="6"/>
      <c r="B2107" s="7"/>
      <c r="C2107" s="6"/>
      <c r="D2107" s="7"/>
      <c r="E2107" s="6"/>
      <c r="F2107" s="7"/>
      <c r="G2107" s="6"/>
      <c r="H2107" s="7"/>
      <c r="I2107" s="6"/>
      <c r="J2107" s="7"/>
      <c r="K2107" s="96" t="str">
        <f>HYPERLINK("#'Healthcare'!CCA1","Q6.17.10_3")</f>
        <v>Q6.17.10_3</v>
      </c>
      <c r="L2107" s="93" t="str">
        <f>HYPERLINK("#'Healthcare'!CCA2","Primary PPO dental plan: Service category: Bridgework")</f>
        <v>Primary PPO dental plan: Service category: Bridgework</v>
      </c>
      <c r="M2107" s="6"/>
      <c r="N2107" s="7"/>
      <c r="O2107" s="6"/>
      <c r="P2107" s="7"/>
      <c r="Q2107" s="6"/>
      <c r="R2107" s="7"/>
      <c r="S2107" s="6"/>
      <c r="T2107" s="7"/>
      <c r="U2107" s="6"/>
      <c r="V2107" s="7"/>
      <c r="W2107" s="6"/>
      <c r="X2107" s="7"/>
    </row>
    <row r="2108" spans="1:24" ht="25.5" x14ac:dyDescent="0.2">
      <c r="A2108" s="6"/>
      <c r="B2108" s="7"/>
      <c r="C2108" s="6"/>
      <c r="D2108" s="7"/>
      <c r="E2108" s="6"/>
      <c r="F2108" s="7"/>
      <c r="G2108" s="6"/>
      <c r="H2108" s="7"/>
      <c r="I2108" s="6"/>
      <c r="J2108" s="7"/>
      <c r="K2108" s="96" t="str">
        <f>HYPERLINK("#'Healthcare'!CCB1","Q6.17.10_4")</f>
        <v>Q6.17.10_4</v>
      </c>
      <c r="L2108" s="93" t="str">
        <f>HYPERLINK("#'Healthcare'!CCB2","Primary PPO dental plan: Service category: Cleanings (prophylaxis)")</f>
        <v>Primary PPO dental plan: Service category: Cleanings (prophylaxis)</v>
      </c>
      <c r="M2108" s="6"/>
      <c r="N2108" s="7"/>
      <c r="O2108" s="6"/>
      <c r="P2108" s="7"/>
      <c r="Q2108" s="6"/>
      <c r="R2108" s="7"/>
      <c r="S2108" s="6"/>
      <c r="T2108" s="7"/>
      <c r="U2108" s="6"/>
      <c r="V2108" s="7"/>
      <c r="W2108" s="6"/>
      <c r="X2108" s="7"/>
    </row>
    <row r="2109" spans="1:24" ht="25.5" x14ac:dyDescent="0.2">
      <c r="A2109" s="6"/>
      <c r="B2109" s="7"/>
      <c r="C2109" s="6"/>
      <c r="D2109" s="7"/>
      <c r="E2109" s="6"/>
      <c r="F2109" s="7"/>
      <c r="G2109" s="6"/>
      <c r="H2109" s="7"/>
      <c r="I2109" s="6"/>
      <c r="J2109" s="7"/>
      <c r="K2109" s="96" t="str">
        <f>HYPERLINK("#'Healthcare'!CCC1","Q6.17.10_5")</f>
        <v>Q6.17.10_5</v>
      </c>
      <c r="L2109" s="93" t="str">
        <f>HYPERLINK("#'Healthcare'!CCC2","Primary PPO dental plan: Service category: Composite fillings (white fillings)")</f>
        <v>Primary PPO dental plan: Service category: Composite fillings (white fillings)</v>
      </c>
      <c r="M2109" s="6"/>
      <c r="N2109" s="7"/>
      <c r="O2109" s="6"/>
      <c r="P2109" s="7"/>
      <c r="Q2109" s="6"/>
      <c r="R2109" s="7"/>
      <c r="S2109" s="6"/>
      <c r="T2109" s="7"/>
      <c r="U2109" s="6"/>
      <c r="V2109" s="7"/>
      <c r="W2109" s="6"/>
      <c r="X2109" s="7"/>
    </row>
    <row r="2110" spans="1:24" ht="25.5" x14ac:dyDescent="0.2">
      <c r="A2110" s="6"/>
      <c r="B2110" s="7"/>
      <c r="C2110" s="6"/>
      <c r="D2110" s="7"/>
      <c r="E2110" s="6"/>
      <c r="F2110" s="7"/>
      <c r="G2110" s="6"/>
      <c r="H2110" s="7"/>
      <c r="I2110" s="6"/>
      <c r="J2110" s="7"/>
      <c r="K2110" s="96" t="str">
        <f>HYPERLINK("#'Healthcare'!CCD1","Q6.17.10_6")</f>
        <v>Q6.17.10_6</v>
      </c>
      <c r="L2110" s="93" t="str">
        <f>HYPERLINK("#'Healthcare'!CCD2","Primary PPO dental plan: Service category: Crowns")</f>
        <v>Primary PPO dental plan: Service category: Crowns</v>
      </c>
      <c r="M2110" s="6"/>
      <c r="N2110" s="7"/>
      <c r="O2110" s="6"/>
      <c r="P2110" s="7"/>
      <c r="Q2110" s="6"/>
      <c r="R2110" s="7"/>
      <c r="S2110" s="6"/>
      <c r="T2110" s="7"/>
      <c r="U2110" s="6"/>
      <c r="V2110" s="7"/>
      <c r="W2110" s="6"/>
      <c r="X2110" s="7"/>
    </row>
    <row r="2111" spans="1:24" ht="25.5" x14ac:dyDescent="0.2">
      <c r="A2111" s="6"/>
      <c r="B2111" s="7"/>
      <c r="C2111" s="6"/>
      <c r="D2111" s="7"/>
      <c r="E2111" s="6"/>
      <c r="F2111" s="7"/>
      <c r="G2111" s="6"/>
      <c r="H2111" s="7"/>
      <c r="I2111" s="6"/>
      <c r="J2111" s="7"/>
      <c r="K2111" s="96" t="str">
        <f>HYPERLINK("#'Healthcare'!CCE1","Q6.17.10_7")</f>
        <v>Q6.17.10_7</v>
      </c>
      <c r="L2111" s="93" t="str">
        <f>HYPERLINK("#'Healthcare'!CCE2","Primary PPO dental plan: Service category: Denture repair")</f>
        <v>Primary PPO dental plan: Service category: Denture repair</v>
      </c>
      <c r="M2111" s="6"/>
      <c r="N2111" s="7"/>
      <c r="O2111" s="6"/>
      <c r="P2111" s="7"/>
      <c r="Q2111" s="6"/>
      <c r="R2111" s="7"/>
      <c r="S2111" s="6"/>
      <c r="T2111" s="7"/>
      <c r="U2111" s="6"/>
      <c r="V2111" s="7"/>
      <c r="W2111" s="6"/>
      <c r="X2111" s="7"/>
    </row>
    <row r="2112" spans="1:24" ht="25.5" x14ac:dyDescent="0.2">
      <c r="A2112" s="6"/>
      <c r="B2112" s="7"/>
      <c r="C2112" s="6"/>
      <c r="D2112" s="7"/>
      <c r="E2112" s="6"/>
      <c r="F2112" s="7"/>
      <c r="G2112" s="6"/>
      <c r="H2112" s="7"/>
      <c r="I2112" s="6"/>
      <c r="J2112" s="7"/>
      <c r="K2112" s="96" t="str">
        <f>HYPERLINK("#'Healthcare'!CCF1","Q6.17.10_8")</f>
        <v>Q6.17.10_8</v>
      </c>
      <c r="L2112" s="93" t="str">
        <f>HYPERLINK("#'Healthcare'!CCF2","Primary PPO dental plan: Service category: Dentures (relines &amp; rebases)")</f>
        <v>Primary PPO dental plan: Service category: Dentures (relines &amp; rebases)</v>
      </c>
      <c r="M2112" s="6"/>
      <c r="N2112" s="7"/>
      <c r="O2112" s="6"/>
      <c r="P2112" s="7"/>
      <c r="Q2112" s="6"/>
      <c r="R2112" s="7"/>
      <c r="S2112" s="6"/>
      <c r="T2112" s="7"/>
      <c r="U2112" s="6"/>
      <c r="V2112" s="7"/>
      <c r="W2112" s="6"/>
      <c r="X2112" s="7"/>
    </row>
    <row r="2113" spans="1:24" ht="25.5" x14ac:dyDescent="0.2">
      <c r="A2113" s="6"/>
      <c r="B2113" s="7"/>
      <c r="C2113" s="6"/>
      <c r="D2113" s="7"/>
      <c r="E2113" s="6"/>
      <c r="F2113" s="7"/>
      <c r="G2113" s="6"/>
      <c r="H2113" s="7"/>
      <c r="I2113" s="6"/>
      <c r="J2113" s="7"/>
      <c r="K2113" s="96" t="str">
        <f>HYPERLINK("#'Healthcare'!CCG1","Q6.17.10_9")</f>
        <v>Q6.17.10_9</v>
      </c>
      <c r="L2113" s="93" t="str">
        <f>HYPERLINK("#'Healthcare'!CCG2","Primary PPO dental plan: Service category: Dentures (removable &amp; Partial)")</f>
        <v>Primary PPO dental plan: Service category: Dentures (removable &amp; Partial)</v>
      </c>
      <c r="M2113" s="6"/>
      <c r="N2113" s="7"/>
      <c r="O2113" s="6"/>
      <c r="P2113" s="7"/>
      <c r="Q2113" s="6"/>
      <c r="R2113" s="7"/>
      <c r="S2113" s="6"/>
      <c r="T2113" s="7"/>
      <c r="U2113" s="6"/>
      <c r="V2113" s="7"/>
      <c r="W2113" s="6"/>
      <c r="X2113" s="7"/>
    </row>
    <row r="2114" spans="1:24" ht="25.5" x14ac:dyDescent="0.2">
      <c r="A2114" s="6"/>
      <c r="B2114" s="7"/>
      <c r="C2114" s="6"/>
      <c r="D2114" s="7"/>
      <c r="E2114" s="6"/>
      <c r="F2114" s="7"/>
      <c r="G2114" s="6"/>
      <c r="H2114" s="7"/>
      <c r="I2114" s="6"/>
      <c r="J2114" s="7"/>
      <c r="K2114" s="96" t="str">
        <f>HYPERLINK("#'Healthcare'!CCH1","Q6.17.10_10")</f>
        <v>Q6.17.10_10</v>
      </c>
      <c r="L2114" s="93" t="str">
        <f>HYPERLINK("#'Healthcare'!CCH2","Primary PPO dental plan: Service category: Examinations (non-routine)")</f>
        <v>Primary PPO dental plan: Service category: Examinations (non-routine)</v>
      </c>
      <c r="M2114" s="6"/>
      <c r="N2114" s="7"/>
      <c r="O2114" s="6"/>
      <c r="P2114" s="7"/>
      <c r="Q2114" s="6"/>
      <c r="R2114" s="7"/>
      <c r="S2114" s="6"/>
      <c r="T2114" s="7"/>
      <c r="U2114" s="6"/>
      <c r="V2114" s="7"/>
      <c r="W2114" s="6"/>
      <c r="X2114" s="7"/>
    </row>
    <row r="2115" spans="1:24" ht="25.5" x14ac:dyDescent="0.2">
      <c r="A2115" s="6"/>
      <c r="B2115" s="7"/>
      <c r="C2115" s="6"/>
      <c r="D2115" s="7"/>
      <c r="E2115" s="6"/>
      <c r="F2115" s="7"/>
      <c r="G2115" s="6"/>
      <c r="H2115" s="7"/>
      <c r="I2115" s="6"/>
      <c r="J2115" s="7"/>
      <c r="K2115" s="96" t="str">
        <f>HYPERLINK("#'Healthcare'!CCI1","Q6.17.10_11")</f>
        <v>Q6.17.10_11</v>
      </c>
      <c r="L2115" s="93" t="str">
        <f>HYPERLINK("#'Healthcare'!CCI2","Primary PPO dental plan: Service category: Examinations (routine)")</f>
        <v>Primary PPO dental plan: Service category: Examinations (routine)</v>
      </c>
      <c r="M2115" s="6"/>
      <c r="N2115" s="7"/>
      <c r="O2115" s="6"/>
      <c r="P2115" s="7"/>
      <c r="Q2115" s="6"/>
      <c r="R2115" s="7"/>
      <c r="S2115" s="6"/>
      <c r="T2115" s="7"/>
      <c r="U2115" s="6"/>
      <c r="V2115" s="7"/>
      <c r="W2115" s="6"/>
      <c r="X2115" s="7"/>
    </row>
    <row r="2116" spans="1:24" ht="25.5" x14ac:dyDescent="0.2">
      <c r="A2116" s="6"/>
      <c r="B2116" s="7"/>
      <c r="C2116" s="6"/>
      <c r="D2116" s="7"/>
      <c r="E2116" s="6"/>
      <c r="F2116" s="7"/>
      <c r="G2116" s="6"/>
      <c r="H2116" s="7"/>
      <c r="I2116" s="6"/>
      <c r="J2116" s="7"/>
      <c r="K2116" s="96" t="str">
        <f>HYPERLINK("#'Healthcare'!CCJ1","Q6.17.10_12")</f>
        <v>Q6.17.10_12</v>
      </c>
      <c r="L2116" s="93" t="str">
        <f>HYPERLINK("#'Healthcare'!CCJ2","Primary PPO dental plan: Service category: Fluoride treatments")</f>
        <v>Primary PPO dental plan: Service category: Fluoride treatments</v>
      </c>
      <c r="M2116" s="6"/>
      <c r="N2116" s="7"/>
      <c r="O2116" s="6"/>
      <c r="P2116" s="7"/>
      <c r="Q2116" s="6"/>
      <c r="R2116" s="7"/>
      <c r="S2116" s="6"/>
      <c r="T2116" s="7"/>
      <c r="U2116" s="6"/>
      <c r="V2116" s="7"/>
      <c r="W2116" s="6"/>
      <c r="X2116" s="7"/>
    </row>
    <row r="2117" spans="1:24" ht="25.5" x14ac:dyDescent="0.2">
      <c r="A2117" s="6"/>
      <c r="B2117" s="7"/>
      <c r="C2117" s="6"/>
      <c r="D2117" s="7"/>
      <c r="E2117" s="6"/>
      <c r="F2117" s="7"/>
      <c r="G2117" s="6"/>
      <c r="H2117" s="7"/>
      <c r="I2117" s="6"/>
      <c r="J2117" s="7"/>
      <c r="K2117" s="96" t="str">
        <f>HYPERLINK("#'Healthcare'!CCK1","Q6.17.10_13")</f>
        <v>Q6.17.10_13</v>
      </c>
      <c r="L2117" s="93" t="str">
        <f>HYPERLINK("#'Healthcare'!CCK2","Primary PPO dental plan: Service category: Implants")</f>
        <v>Primary PPO dental plan: Service category: Implants</v>
      </c>
      <c r="M2117" s="6"/>
      <c r="N2117" s="7"/>
      <c r="O2117" s="6"/>
      <c r="P2117" s="7"/>
      <c r="Q2117" s="6"/>
      <c r="R2117" s="7"/>
      <c r="S2117" s="6"/>
      <c r="T2117" s="7"/>
      <c r="U2117" s="6"/>
      <c r="V2117" s="7"/>
      <c r="W2117" s="6"/>
      <c r="X2117" s="7"/>
    </row>
    <row r="2118" spans="1:24" ht="25.5" x14ac:dyDescent="0.2">
      <c r="A2118" s="6"/>
      <c r="B2118" s="7"/>
      <c r="C2118" s="6"/>
      <c r="D2118" s="7"/>
      <c r="E2118" s="6"/>
      <c r="F2118" s="7"/>
      <c r="G2118" s="6"/>
      <c r="H2118" s="7"/>
      <c r="I2118" s="6"/>
      <c r="J2118" s="7"/>
      <c r="K2118" s="96" t="str">
        <f>HYPERLINK("#'Healthcare'!CCL1","Q6.17.10_14")</f>
        <v>Q6.17.10_14</v>
      </c>
      <c r="L2118" s="93" t="str">
        <f>HYPERLINK("#'Healthcare'!CCL2","Primary PPO dental plan: Service category: Inlays &amp; onlays")</f>
        <v>Primary PPO dental plan: Service category: Inlays &amp; onlays</v>
      </c>
      <c r="M2118" s="6"/>
      <c r="N2118" s="7"/>
      <c r="O2118" s="6"/>
      <c r="P2118" s="7"/>
      <c r="Q2118" s="6"/>
      <c r="R2118" s="7"/>
      <c r="S2118" s="6"/>
      <c r="T2118" s="7"/>
      <c r="U2118" s="6"/>
      <c r="V2118" s="7"/>
      <c r="W2118" s="6"/>
      <c r="X2118" s="7"/>
    </row>
    <row r="2119" spans="1:24" ht="25.5" x14ac:dyDescent="0.2">
      <c r="A2119" s="6"/>
      <c r="B2119" s="7"/>
      <c r="C2119" s="6"/>
      <c r="D2119" s="7"/>
      <c r="E2119" s="6"/>
      <c r="F2119" s="7"/>
      <c r="G2119" s="6"/>
      <c r="H2119" s="7"/>
      <c r="I2119" s="6"/>
      <c r="J2119" s="7"/>
      <c r="K2119" s="96" t="str">
        <f>HYPERLINK("#'Healthcare'!CCM1","Q6.17.10_15")</f>
        <v>Q6.17.10_15</v>
      </c>
      <c r="L2119" s="93" t="str">
        <f>HYPERLINK("#'Healthcare'!CCM2","Primary PPO dental plan: Service category: Night guards")</f>
        <v>Primary PPO dental plan: Service category: Night guards</v>
      </c>
      <c r="M2119" s="6"/>
      <c r="N2119" s="7"/>
      <c r="O2119" s="6"/>
      <c r="P2119" s="7"/>
      <c r="Q2119" s="6"/>
      <c r="R2119" s="7"/>
      <c r="S2119" s="6"/>
      <c r="T2119" s="7"/>
      <c r="U2119" s="6"/>
      <c r="V2119" s="7"/>
      <c r="W2119" s="6"/>
      <c r="X2119" s="7"/>
    </row>
    <row r="2120" spans="1:24" ht="25.5" x14ac:dyDescent="0.2">
      <c r="A2120" s="6"/>
      <c r="B2120" s="7"/>
      <c r="C2120" s="6"/>
      <c r="D2120" s="7"/>
      <c r="E2120" s="6"/>
      <c r="F2120" s="7"/>
      <c r="G2120" s="6"/>
      <c r="H2120" s="7"/>
      <c r="I2120" s="6"/>
      <c r="J2120" s="7"/>
      <c r="K2120" s="96" t="str">
        <f>HYPERLINK("#'Healthcare'!CCN1","Q6.17.10_16")</f>
        <v>Q6.17.10_16</v>
      </c>
      <c r="L2120" s="93" t="str">
        <f>HYPERLINK("#'Healthcare'!CCN2","Primary PPO dental plan: Service category: Oral surgery")</f>
        <v>Primary PPO dental plan: Service category: Oral surgery</v>
      </c>
      <c r="M2120" s="6"/>
      <c r="N2120" s="7"/>
      <c r="O2120" s="6"/>
      <c r="P2120" s="7"/>
      <c r="Q2120" s="6"/>
      <c r="R2120" s="7"/>
      <c r="S2120" s="6"/>
      <c r="T2120" s="7"/>
      <c r="U2120" s="6"/>
      <c r="V2120" s="7"/>
      <c r="W2120" s="6"/>
      <c r="X2120" s="7"/>
    </row>
    <row r="2121" spans="1:24" ht="25.5" x14ac:dyDescent="0.2">
      <c r="A2121" s="6"/>
      <c r="B2121" s="7"/>
      <c r="C2121" s="6"/>
      <c r="D2121" s="7"/>
      <c r="E2121" s="6"/>
      <c r="F2121" s="7"/>
      <c r="G2121" s="6"/>
      <c r="H2121" s="7"/>
      <c r="I2121" s="6"/>
      <c r="J2121" s="7"/>
      <c r="K2121" s="96" t="str">
        <f>HYPERLINK("#'Healthcare'!CCO1","Q6.17.10_17")</f>
        <v>Q6.17.10_17</v>
      </c>
      <c r="L2121" s="93" t="str">
        <f>HYPERLINK("#'Healthcare'!CCO2","Primary PPO dental plan: Service category: Orthodontia")</f>
        <v>Primary PPO dental plan: Service category: Orthodontia</v>
      </c>
      <c r="M2121" s="6"/>
      <c r="N2121" s="7"/>
      <c r="O2121" s="6"/>
      <c r="P2121" s="7"/>
      <c r="Q2121" s="6"/>
      <c r="R2121" s="7"/>
      <c r="S2121" s="6"/>
      <c r="T2121" s="7"/>
      <c r="U2121" s="6"/>
      <c r="V2121" s="7"/>
      <c r="W2121" s="6"/>
      <c r="X2121" s="7"/>
    </row>
    <row r="2122" spans="1:24" ht="25.5" x14ac:dyDescent="0.2">
      <c r="A2122" s="6"/>
      <c r="B2122" s="7"/>
      <c r="C2122" s="6"/>
      <c r="D2122" s="7"/>
      <c r="E2122" s="6"/>
      <c r="F2122" s="7"/>
      <c r="G2122" s="6"/>
      <c r="H2122" s="7"/>
      <c r="I2122" s="6"/>
      <c r="J2122" s="7"/>
      <c r="K2122" s="96" t="str">
        <f>HYPERLINK("#'Healthcare'!CCP1","Q6.17.10_18")</f>
        <v>Q6.17.10_18</v>
      </c>
      <c r="L2122" s="93" t="str">
        <f>HYPERLINK("#'Healthcare'!CCP2","Primary PPO dental plan: Service category: Periodontal scaling &amp; root planing")</f>
        <v>Primary PPO dental plan: Service category: Periodontal scaling &amp; root planing</v>
      </c>
      <c r="M2122" s="6"/>
      <c r="N2122" s="7"/>
      <c r="O2122" s="6"/>
      <c r="P2122" s="7"/>
      <c r="Q2122" s="6"/>
      <c r="R2122" s="7"/>
      <c r="S2122" s="6"/>
      <c r="T2122" s="7"/>
      <c r="U2122" s="6"/>
      <c r="V2122" s="7"/>
      <c r="W2122" s="6"/>
      <c r="X2122" s="7"/>
    </row>
    <row r="2123" spans="1:24" ht="25.5" x14ac:dyDescent="0.2">
      <c r="A2123" s="6"/>
      <c r="B2123" s="7"/>
      <c r="C2123" s="6"/>
      <c r="D2123" s="7"/>
      <c r="E2123" s="6"/>
      <c r="F2123" s="7"/>
      <c r="G2123" s="6"/>
      <c r="H2123" s="7"/>
      <c r="I2123" s="6"/>
      <c r="J2123" s="7"/>
      <c r="K2123" s="96" t="str">
        <f>HYPERLINK("#'Healthcare'!CCQ1","Q6.17.10_19")</f>
        <v>Q6.17.10_19</v>
      </c>
      <c r="L2123" s="93" t="str">
        <f>HYPERLINK("#'Healthcare'!CCQ2","Primary PPO dental plan: Service category: Periodontal surgery")</f>
        <v>Primary PPO dental plan: Service category: Periodontal surgery</v>
      </c>
      <c r="M2123" s="6"/>
      <c r="N2123" s="7"/>
      <c r="O2123" s="6"/>
      <c r="P2123" s="7"/>
      <c r="Q2123" s="6"/>
      <c r="R2123" s="7"/>
      <c r="S2123" s="6"/>
      <c r="T2123" s="7"/>
      <c r="U2123" s="6"/>
      <c r="V2123" s="7"/>
      <c r="W2123" s="6"/>
      <c r="X2123" s="7"/>
    </row>
    <row r="2124" spans="1:24" ht="25.5" x14ac:dyDescent="0.2">
      <c r="A2124" s="6"/>
      <c r="B2124" s="7"/>
      <c r="C2124" s="6"/>
      <c r="D2124" s="7"/>
      <c r="E2124" s="6"/>
      <c r="F2124" s="7"/>
      <c r="G2124" s="6"/>
      <c r="H2124" s="7"/>
      <c r="I2124" s="6"/>
      <c r="J2124" s="7"/>
      <c r="K2124" s="96" t="str">
        <f>HYPERLINK("#'Healthcare'!CCR1","Q6.17.10_20")</f>
        <v>Q6.17.10_20</v>
      </c>
      <c r="L2124" s="93" t="str">
        <f>HYPERLINK("#'Healthcare'!CCR2","Primary PPO dental plan: Service category: Root canals")</f>
        <v>Primary PPO dental plan: Service category: Root canals</v>
      </c>
      <c r="M2124" s="6"/>
      <c r="N2124" s="7"/>
      <c r="O2124" s="6"/>
      <c r="P2124" s="7"/>
      <c r="Q2124" s="6"/>
      <c r="R2124" s="7"/>
      <c r="S2124" s="6"/>
      <c r="T2124" s="7"/>
      <c r="U2124" s="6"/>
      <c r="V2124" s="7"/>
      <c r="W2124" s="6"/>
      <c r="X2124" s="7"/>
    </row>
    <row r="2125" spans="1:24" ht="25.5" x14ac:dyDescent="0.2">
      <c r="A2125" s="6"/>
      <c r="B2125" s="7"/>
      <c r="C2125" s="6"/>
      <c r="D2125" s="7"/>
      <c r="E2125" s="6"/>
      <c r="F2125" s="7"/>
      <c r="G2125" s="6"/>
      <c r="H2125" s="7"/>
      <c r="I2125" s="6"/>
      <c r="J2125" s="7"/>
      <c r="K2125" s="96" t="str">
        <f>HYPERLINK("#'Healthcare'!CCS1","Q6.17.10_21")</f>
        <v>Q6.17.10_21</v>
      </c>
      <c r="L2125" s="93" t="str">
        <f>HYPERLINK("#'Healthcare'!CCS2","Primary PPO dental plan: Service category: Space maintainers")</f>
        <v>Primary PPO dental plan: Service category: Space maintainers</v>
      </c>
      <c r="M2125" s="6"/>
      <c r="N2125" s="7"/>
      <c r="O2125" s="6"/>
      <c r="P2125" s="7"/>
      <c r="Q2125" s="6"/>
      <c r="R2125" s="7"/>
      <c r="S2125" s="6"/>
      <c r="T2125" s="7"/>
      <c r="U2125" s="6"/>
      <c r="V2125" s="7"/>
      <c r="W2125" s="6"/>
      <c r="X2125" s="7"/>
    </row>
    <row r="2126" spans="1:24" ht="25.5" x14ac:dyDescent="0.2">
      <c r="A2126" s="6"/>
      <c r="B2126" s="7"/>
      <c r="C2126" s="6"/>
      <c r="D2126" s="7"/>
      <c r="E2126" s="6"/>
      <c r="F2126" s="7"/>
      <c r="G2126" s="6"/>
      <c r="H2126" s="7"/>
      <c r="I2126" s="6"/>
      <c r="J2126" s="7"/>
      <c r="K2126" s="96" t="str">
        <f>HYPERLINK("#'Healthcare'!CCT1","Q6.17.10_22")</f>
        <v>Q6.17.10_22</v>
      </c>
      <c r="L2126" s="93" t="str">
        <f>HYPERLINK("#'Healthcare'!CCT2","Primary PPO dental plan: Service category: Tooth extractions")</f>
        <v>Primary PPO dental plan: Service category: Tooth extractions</v>
      </c>
      <c r="M2126" s="6"/>
      <c r="N2126" s="7"/>
      <c r="O2126" s="6"/>
      <c r="P2126" s="7"/>
      <c r="Q2126" s="6"/>
      <c r="R2126" s="7"/>
      <c r="S2126" s="6"/>
      <c r="T2126" s="7"/>
      <c r="U2126" s="6"/>
      <c r="V2126" s="7"/>
      <c r="W2126" s="6"/>
      <c r="X2126" s="7"/>
    </row>
    <row r="2127" spans="1:24" ht="25.5" x14ac:dyDescent="0.2">
      <c r="A2127" s="6"/>
      <c r="B2127" s="7"/>
      <c r="C2127" s="6"/>
      <c r="D2127" s="7"/>
      <c r="E2127" s="6"/>
      <c r="F2127" s="7"/>
      <c r="G2127" s="6"/>
      <c r="H2127" s="7"/>
      <c r="I2127" s="6"/>
      <c r="J2127" s="7"/>
      <c r="K2127" s="96" t="str">
        <f>HYPERLINK("#'Healthcare'!CCU1","Q6.17.10_23")</f>
        <v>Q6.17.10_23</v>
      </c>
      <c r="L2127" s="93" t="str">
        <f>HYPERLINK("#'Healthcare'!CCU2","Primary PPO dental plan: Service category: Tooth sealants")</f>
        <v>Primary PPO dental plan: Service category: Tooth sealants</v>
      </c>
      <c r="M2127" s="6"/>
      <c r="N2127" s="7"/>
      <c r="O2127" s="6"/>
      <c r="P2127" s="7"/>
      <c r="Q2127" s="6"/>
      <c r="R2127" s="7"/>
      <c r="S2127" s="6"/>
      <c r="T2127" s="7"/>
      <c r="U2127" s="6"/>
      <c r="V2127" s="7"/>
      <c r="W2127" s="6"/>
      <c r="X2127" s="7"/>
    </row>
    <row r="2128" spans="1:24" ht="25.5" x14ac:dyDescent="0.2">
      <c r="A2128" s="6"/>
      <c r="B2128" s="7"/>
      <c r="C2128" s="6"/>
      <c r="D2128" s="7"/>
      <c r="E2128" s="6"/>
      <c r="F2128" s="7"/>
      <c r="G2128" s="6"/>
      <c r="H2128" s="7"/>
      <c r="I2128" s="6"/>
      <c r="J2128" s="7"/>
      <c r="K2128" s="96" t="str">
        <f>HYPERLINK("#'Healthcare'!CCV1","Q6.17.10_24")</f>
        <v>Q6.17.10_24</v>
      </c>
      <c r="L2128" s="93" t="str">
        <f>HYPERLINK("#'Healthcare'!CCV2","Primary PPO dental plan: Service category: Topical fluoride treatments")</f>
        <v>Primary PPO dental plan: Service category: Topical fluoride treatments</v>
      </c>
      <c r="M2128" s="6"/>
      <c r="N2128" s="7"/>
      <c r="O2128" s="6"/>
      <c r="P2128" s="7"/>
      <c r="Q2128" s="6"/>
      <c r="R2128" s="7"/>
      <c r="S2128" s="6"/>
      <c r="T2128" s="7"/>
      <c r="U2128" s="6"/>
      <c r="V2128" s="7"/>
      <c r="W2128" s="6"/>
      <c r="X2128" s="7"/>
    </row>
    <row r="2129" spans="1:24" ht="25.5" x14ac:dyDescent="0.2">
      <c r="A2129" s="6"/>
      <c r="B2129" s="7"/>
      <c r="C2129" s="6"/>
      <c r="D2129" s="7"/>
      <c r="E2129" s="6"/>
      <c r="F2129" s="7"/>
      <c r="G2129" s="6"/>
      <c r="H2129" s="7"/>
      <c r="I2129" s="6"/>
      <c r="J2129" s="7"/>
      <c r="K2129" s="96" t="str">
        <f>HYPERLINK("#'Healthcare'!CCW1","Q6.17.10_25")</f>
        <v>Q6.17.10_25</v>
      </c>
      <c r="L2129" s="93" t="str">
        <f>HYPERLINK("#'Healthcare'!CCW2","Primary PPO dental plan: Service category: X-rays - bitewings")</f>
        <v>Primary PPO dental plan: Service category: X-rays - bitewings</v>
      </c>
      <c r="M2129" s="6"/>
      <c r="N2129" s="7"/>
      <c r="O2129" s="6"/>
      <c r="P2129" s="7"/>
      <c r="Q2129" s="6"/>
      <c r="R2129" s="7"/>
      <c r="S2129" s="6"/>
      <c r="T2129" s="7"/>
      <c r="U2129" s="6"/>
      <c r="V2129" s="7"/>
      <c r="W2129" s="6"/>
      <c r="X2129" s="7"/>
    </row>
    <row r="2130" spans="1:24" ht="25.5" x14ac:dyDescent="0.2">
      <c r="A2130" s="6"/>
      <c r="B2130" s="7"/>
      <c r="C2130" s="6"/>
      <c r="D2130" s="7"/>
      <c r="E2130" s="6"/>
      <c r="F2130" s="7"/>
      <c r="G2130" s="6"/>
      <c r="H2130" s="7"/>
      <c r="I2130" s="6"/>
      <c r="J2130" s="7"/>
      <c r="K2130" s="96" t="str">
        <f>HYPERLINK("#'Healthcare'!CCX1","Q6.17.10_26")</f>
        <v>Q6.17.10_26</v>
      </c>
      <c r="L2130" s="93" t="str">
        <f>HYPERLINK("#'Healthcare'!CCX2","Primary PPO dental plan: Service category: X-rays - full-mouth, panorex")</f>
        <v>Primary PPO dental plan: Service category: X-rays - full-mouth, panorex</v>
      </c>
      <c r="M2130" s="6"/>
      <c r="N2130" s="7"/>
      <c r="O2130" s="6"/>
      <c r="P2130" s="7"/>
      <c r="Q2130" s="6"/>
      <c r="R2130" s="7"/>
      <c r="S2130" s="6"/>
      <c r="T2130" s="7"/>
      <c r="U2130" s="6"/>
      <c r="V2130" s="7"/>
      <c r="W2130" s="6"/>
      <c r="X2130" s="7"/>
    </row>
    <row r="2131" spans="1:24" ht="25.5" x14ac:dyDescent="0.2">
      <c r="A2131" s="6"/>
      <c r="B2131" s="7"/>
      <c r="C2131" s="6"/>
      <c r="D2131" s="7"/>
      <c r="E2131" s="6"/>
      <c r="F2131" s="7"/>
      <c r="G2131" s="6"/>
      <c r="H2131" s="7"/>
      <c r="I2131" s="6"/>
      <c r="J2131" s="7"/>
      <c r="K2131" s="96" t="str">
        <f>HYPERLINK("#'Healthcare'!CCY1","Q6.17.10_27")</f>
        <v>Q6.17.10_27</v>
      </c>
      <c r="L2131" s="93" t="str">
        <f>HYPERLINK("#'Healthcare'!CCY2","Primary PPO dental plan: Service category: X-rays - periapical")</f>
        <v>Primary PPO dental plan: Service category: X-rays - periapical</v>
      </c>
      <c r="M2131" s="6"/>
      <c r="N2131" s="7"/>
      <c r="O2131" s="6"/>
      <c r="P2131" s="7"/>
      <c r="Q2131" s="6"/>
      <c r="R2131" s="7"/>
      <c r="S2131" s="6"/>
      <c r="T2131" s="7"/>
      <c r="U2131" s="6"/>
      <c r="V2131" s="7"/>
      <c r="W2131" s="6"/>
      <c r="X2131" s="7"/>
    </row>
    <row r="2132" spans="1:24" ht="25.5" x14ac:dyDescent="0.2">
      <c r="A2132" s="6"/>
      <c r="B2132" s="7"/>
      <c r="C2132" s="6"/>
      <c r="D2132" s="7"/>
      <c r="E2132" s="6"/>
      <c r="F2132" s="7"/>
      <c r="G2132" s="6"/>
      <c r="H2132" s="7"/>
      <c r="I2132" s="6"/>
      <c r="J2132" s="7"/>
      <c r="K2132" s="96" t="str">
        <f>HYPERLINK("#'Healthcare'!CCZ1","Q6.17.11_1")</f>
        <v>Q6.17.11_1</v>
      </c>
      <c r="L2132" s="93" t="str">
        <f>HYPERLINK("#'Healthcare'!CCZ2","Primary PPO dental plan: Service costs apply to annual limit: Amalgam fillings")</f>
        <v>Primary PPO dental plan: Service costs apply to annual limit: Amalgam fillings</v>
      </c>
      <c r="M2132" s="6"/>
      <c r="N2132" s="7"/>
      <c r="O2132" s="6"/>
      <c r="P2132" s="7"/>
      <c r="Q2132" s="6"/>
      <c r="R2132" s="7"/>
      <c r="S2132" s="6"/>
      <c r="T2132" s="7"/>
      <c r="U2132" s="6"/>
      <c r="V2132" s="7"/>
      <c r="W2132" s="6"/>
      <c r="X2132" s="7"/>
    </row>
    <row r="2133" spans="1:24" ht="25.5" x14ac:dyDescent="0.2">
      <c r="A2133" s="6"/>
      <c r="B2133" s="7"/>
      <c r="C2133" s="6"/>
      <c r="D2133" s="7"/>
      <c r="E2133" s="6"/>
      <c r="F2133" s="7"/>
      <c r="G2133" s="6"/>
      <c r="H2133" s="7"/>
      <c r="I2133" s="6"/>
      <c r="J2133" s="7"/>
      <c r="K2133" s="96" t="str">
        <f>HYPERLINK("#'Healthcare'!CDA1","Q6.17.11_2")</f>
        <v>Q6.17.11_2</v>
      </c>
      <c r="L2133" s="93" t="str">
        <f>HYPERLINK("#'Healthcare'!CDA2","Primary PPO dental plan: Service costs apply to annual limit: Anesthesia/sedation")</f>
        <v>Primary PPO dental plan: Service costs apply to annual limit: Anesthesia/sedation</v>
      </c>
      <c r="M2133" s="6"/>
      <c r="N2133" s="7"/>
      <c r="O2133" s="6"/>
      <c r="P2133" s="7"/>
      <c r="Q2133" s="6"/>
      <c r="R2133" s="7"/>
      <c r="S2133" s="6"/>
      <c r="T2133" s="7"/>
      <c r="U2133" s="6"/>
      <c r="V2133" s="7"/>
      <c r="W2133" s="6"/>
      <c r="X2133" s="7"/>
    </row>
    <row r="2134" spans="1:24" ht="25.5" x14ac:dyDescent="0.2">
      <c r="A2134" s="6"/>
      <c r="B2134" s="7"/>
      <c r="C2134" s="6"/>
      <c r="D2134" s="7"/>
      <c r="E2134" s="6"/>
      <c r="F2134" s="7"/>
      <c r="G2134" s="6"/>
      <c r="H2134" s="7"/>
      <c r="I2134" s="6"/>
      <c r="J2134" s="7"/>
      <c r="K2134" s="96" t="str">
        <f>HYPERLINK("#'Healthcare'!CDB1","Q6.17.11_3")</f>
        <v>Q6.17.11_3</v>
      </c>
      <c r="L2134" s="93" t="str">
        <f>HYPERLINK("#'Healthcare'!CDB2","Primary PPO dental plan: Service costs apply to annual limit: Bridgework")</f>
        <v>Primary PPO dental plan: Service costs apply to annual limit: Bridgework</v>
      </c>
      <c r="M2134" s="6"/>
      <c r="N2134" s="7"/>
      <c r="O2134" s="6"/>
      <c r="P2134" s="7"/>
      <c r="Q2134" s="6"/>
      <c r="R2134" s="7"/>
      <c r="S2134" s="6"/>
      <c r="T2134" s="7"/>
      <c r="U2134" s="6"/>
      <c r="V2134" s="7"/>
      <c r="W2134" s="6"/>
      <c r="X2134" s="7"/>
    </row>
    <row r="2135" spans="1:24" ht="25.5" x14ac:dyDescent="0.2">
      <c r="A2135" s="6"/>
      <c r="B2135" s="7"/>
      <c r="C2135" s="6"/>
      <c r="D2135" s="7"/>
      <c r="E2135" s="6"/>
      <c r="F2135" s="7"/>
      <c r="G2135" s="6"/>
      <c r="H2135" s="7"/>
      <c r="I2135" s="6"/>
      <c r="J2135" s="7"/>
      <c r="K2135" s="96" t="str">
        <f>HYPERLINK("#'Healthcare'!CDC1","Q6.17.11_4")</f>
        <v>Q6.17.11_4</v>
      </c>
      <c r="L2135" s="93" t="str">
        <f>HYPERLINK("#'Healthcare'!CDC2","Primary PPO dental plan: Service costs apply to annual limit: Cleanings (prophylaxis)")</f>
        <v>Primary PPO dental plan: Service costs apply to annual limit: Cleanings (prophylaxis)</v>
      </c>
      <c r="M2135" s="6"/>
      <c r="N2135" s="7"/>
      <c r="O2135" s="6"/>
      <c r="P2135" s="7"/>
      <c r="Q2135" s="6"/>
      <c r="R2135" s="7"/>
      <c r="S2135" s="6"/>
      <c r="T2135" s="7"/>
      <c r="U2135" s="6"/>
      <c r="V2135" s="7"/>
      <c r="W2135" s="6"/>
      <c r="X2135" s="7"/>
    </row>
    <row r="2136" spans="1:24" ht="38.25" x14ac:dyDescent="0.2">
      <c r="A2136" s="6"/>
      <c r="B2136" s="7"/>
      <c r="C2136" s="6"/>
      <c r="D2136" s="7"/>
      <c r="E2136" s="6"/>
      <c r="F2136" s="7"/>
      <c r="G2136" s="6"/>
      <c r="H2136" s="7"/>
      <c r="I2136" s="6"/>
      <c r="J2136" s="7"/>
      <c r="K2136" s="96" t="str">
        <f>HYPERLINK("#'Healthcare'!CDD1","Q6.17.11_5")</f>
        <v>Q6.17.11_5</v>
      </c>
      <c r="L2136" s="93" t="str">
        <f>HYPERLINK("#'Healthcare'!CDD2","Primary PPO dental plan: Service costs apply to annual limit: Composite fillings (white fillings)")</f>
        <v>Primary PPO dental plan: Service costs apply to annual limit: Composite fillings (white fillings)</v>
      </c>
      <c r="M2136" s="6"/>
      <c r="N2136" s="7"/>
      <c r="O2136" s="6"/>
      <c r="P2136" s="7"/>
      <c r="Q2136" s="6"/>
      <c r="R2136" s="7"/>
      <c r="S2136" s="6"/>
      <c r="T2136" s="7"/>
      <c r="U2136" s="6"/>
      <c r="V2136" s="7"/>
      <c r="W2136" s="6"/>
      <c r="X2136" s="7"/>
    </row>
    <row r="2137" spans="1:24" ht="25.5" x14ac:dyDescent="0.2">
      <c r="A2137" s="6"/>
      <c r="B2137" s="7"/>
      <c r="C2137" s="6"/>
      <c r="D2137" s="7"/>
      <c r="E2137" s="6"/>
      <c r="F2137" s="7"/>
      <c r="G2137" s="6"/>
      <c r="H2137" s="7"/>
      <c r="I2137" s="6"/>
      <c r="J2137" s="7"/>
      <c r="K2137" s="96" t="str">
        <f>HYPERLINK("#'Healthcare'!CDE1","Q6.17.11_6")</f>
        <v>Q6.17.11_6</v>
      </c>
      <c r="L2137" s="93" t="str">
        <f>HYPERLINK("#'Healthcare'!CDE2","Primary PPO dental plan: Service costs apply to annual limit: Crowns")</f>
        <v>Primary PPO dental plan: Service costs apply to annual limit: Crowns</v>
      </c>
      <c r="M2137" s="6"/>
      <c r="N2137" s="7"/>
      <c r="O2137" s="6"/>
      <c r="P2137" s="7"/>
      <c r="Q2137" s="6"/>
      <c r="R2137" s="7"/>
      <c r="S2137" s="6"/>
      <c r="T2137" s="7"/>
      <c r="U2137" s="6"/>
      <c r="V2137" s="7"/>
      <c r="W2137" s="6"/>
      <c r="X2137" s="7"/>
    </row>
    <row r="2138" spans="1:24" ht="25.5" x14ac:dyDescent="0.2">
      <c r="A2138" s="6"/>
      <c r="B2138" s="7"/>
      <c r="C2138" s="6"/>
      <c r="D2138" s="7"/>
      <c r="E2138" s="6"/>
      <c r="F2138" s="7"/>
      <c r="G2138" s="6"/>
      <c r="H2138" s="7"/>
      <c r="I2138" s="6"/>
      <c r="J2138" s="7"/>
      <c r="K2138" s="96" t="str">
        <f>HYPERLINK("#'Healthcare'!CDF1","Q6.17.11_7")</f>
        <v>Q6.17.11_7</v>
      </c>
      <c r="L2138" s="93" t="str">
        <f>HYPERLINK("#'Healthcare'!CDF2","Primary PPO dental plan: Service costs apply to annual limit: Denture repair")</f>
        <v>Primary PPO dental plan: Service costs apply to annual limit: Denture repair</v>
      </c>
      <c r="M2138" s="6"/>
      <c r="N2138" s="7"/>
      <c r="O2138" s="6"/>
      <c r="P2138" s="7"/>
      <c r="Q2138" s="6"/>
      <c r="R2138" s="7"/>
      <c r="S2138" s="6"/>
      <c r="T2138" s="7"/>
      <c r="U2138" s="6"/>
      <c r="V2138" s="7"/>
      <c r="W2138" s="6"/>
      <c r="X2138" s="7"/>
    </row>
    <row r="2139" spans="1:24" ht="25.5" x14ac:dyDescent="0.2">
      <c r="A2139" s="6"/>
      <c r="B2139" s="7"/>
      <c r="C2139" s="6"/>
      <c r="D2139" s="7"/>
      <c r="E2139" s="6"/>
      <c r="F2139" s="7"/>
      <c r="G2139" s="6"/>
      <c r="H2139" s="7"/>
      <c r="I2139" s="6"/>
      <c r="J2139" s="7"/>
      <c r="K2139" s="96" t="str">
        <f>HYPERLINK("#'Healthcare'!CDG1","Q6.17.11_8")</f>
        <v>Q6.17.11_8</v>
      </c>
      <c r="L2139" s="93" t="str">
        <f>HYPERLINK("#'Healthcare'!CDG2","Primary PPO dental plan: Service costs apply to annual limit: Dentures (relines &amp; rebases)")</f>
        <v>Primary PPO dental plan: Service costs apply to annual limit: Dentures (relines &amp; rebases)</v>
      </c>
      <c r="M2139" s="6"/>
      <c r="N2139" s="7"/>
      <c r="O2139" s="6"/>
      <c r="P2139" s="7"/>
      <c r="Q2139" s="6"/>
      <c r="R2139" s="7"/>
      <c r="S2139" s="6"/>
      <c r="T2139" s="7"/>
      <c r="U2139" s="6"/>
      <c r="V2139" s="7"/>
      <c r="W2139" s="6"/>
      <c r="X2139" s="7"/>
    </row>
    <row r="2140" spans="1:24" ht="25.5" x14ac:dyDescent="0.2">
      <c r="A2140" s="6"/>
      <c r="B2140" s="7"/>
      <c r="C2140" s="6"/>
      <c r="D2140" s="7"/>
      <c r="E2140" s="6"/>
      <c r="F2140" s="7"/>
      <c r="G2140" s="6"/>
      <c r="H2140" s="7"/>
      <c r="I2140" s="6"/>
      <c r="J2140" s="7"/>
      <c r="K2140" s="96" t="str">
        <f>HYPERLINK("#'Healthcare'!CDH1","Q6.17.11_9")</f>
        <v>Q6.17.11_9</v>
      </c>
      <c r="L2140" s="93" t="str">
        <f>HYPERLINK("#'Healthcare'!CDH2","Primary PPO dental plan: Service costs apply to annual limit: Dentures (removable &amp; Partial)")</f>
        <v>Primary PPO dental plan: Service costs apply to annual limit: Dentures (removable &amp; Partial)</v>
      </c>
      <c r="M2140" s="6"/>
      <c r="N2140" s="7"/>
      <c r="O2140" s="6"/>
      <c r="P2140" s="7"/>
      <c r="Q2140" s="6"/>
      <c r="R2140" s="7"/>
      <c r="S2140" s="6"/>
      <c r="T2140" s="7"/>
      <c r="U2140" s="6"/>
      <c r="V2140" s="7"/>
      <c r="W2140" s="6"/>
      <c r="X2140" s="7"/>
    </row>
    <row r="2141" spans="1:24" ht="25.5" x14ac:dyDescent="0.2">
      <c r="A2141" s="6"/>
      <c r="B2141" s="7"/>
      <c r="C2141" s="6"/>
      <c r="D2141" s="7"/>
      <c r="E2141" s="6"/>
      <c r="F2141" s="7"/>
      <c r="G2141" s="6"/>
      <c r="H2141" s="7"/>
      <c r="I2141" s="6"/>
      <c r="J2141" s="7"/>
      <c r="K2141" s="96" t="str">
        <f>HYPERLINK("#'Healthcare'!CDI1","Q6.17.11_10")</f>
        <v>Q6.17.11_10</v>
      </c>
      <c r="L2141" s="93" t="str">
        <f>HYPERLINK("#'Healthcare'!CDI2","Primary PPO dental plan: Service costs apply to annual limit: Examinations (non-routine)")</f>
        <v>Primary PPO dental plan: Service costs apply to annual limit: Examinations (non-routine)</v>
      </c>
      <c r="M2141" s="6"/>
      <c r="N2141" s="7"/>
      <c r="O2141" s="6"/>
      <c r="P2141" s="7"/>
      <c r="Q2141" s="6"/>
      <c r="R2141" s="7"/>
      <c r="S2141" s="6"/>
      <c r="T2141" s="7"/>
      <c r="U2141" s="6"/>
      <c r="V2141" s="7"/>
      <c r="W2141" s="6"/>
      <c r="X2141" s="7"/>
    </row>
    <row r="2142" spans="1:24" ht="25.5" x14ac:dyDescent="0.2">
      <c r="A2142" s="6"/>
      <c r="B2142" s="7"/>
      <c r="C2142" s="6"/>
      <c r="D2142" s="7"/>
      <c r="E2142" s="6"/>
      <c r="F2142" s="7"/>
      <c r="G2142" s="6"/>
      <c r="H2142" s="7"/>
      <c r="I2142" s="6"/>
      <c r="J2142" s="7"/>
      <c r="K2142" s="96" t="str">
        <f>HYPERLINK("#'Healthcare'!CDJ1","Q6.17.11_11")</f>
        <v>Q6.17.11_11</v>
      </c>
      <c r="L2142" s="93" t="str">
        <f>HYPERLINK("#'Healthcare'!CDJ2","Primary PPO dental plan: Service costs apply to annual limit: Examinations (routine)")</f>
        <v>Primary PPO dental plan: Service costs apply to annual limit: Examinations (routine)</v>
      </c>
      <c r="M2142" s="6"/>
      <c r="N2142" s="7"/>
      <c r="O2142" s="6"/>
      <c r="P2142" s="7"/>
      <c r="Q2142" s="6"/>
      <c r="R2142" s="7"/>
      <c r="S2142" s="6"/>
      <c r="T2142" s="7"/>
      <c r="U2142" s="6"/>
      <c r="V2142" s="7"/>
      <c r="W2142" s="6"/>
      <c r="X2142" s="7"/>
    </row>
    <row r="2143" spans="1:24" ht="25.5" x14ac:dyDescent="0.2">
      <c r="A2143" s="6"/>
      <c r="B2143" s="7"/>
      <c r="C2143" s="6"/>
      <c r="D2143" s="7"/>
      <c r="E2143" s="6"/>
      <c r="F2143" s="7"/>
      <c r="G2143" s="6"/>
      <c r="H2143" s="7"/>
      <c r="I2143" s="6"/>
      <c r="J2143" s="7"/>
      <c r="K2143" s="96" t="str">
        <f>HYPERLINK("#'Healthcare'!CDK1","Q6.17.11_12")</f>
        <v>Q6.17.11_12</v>
      </c>
      <c r="L2143" s="93" t="str">
        <f>HYPERLINK("#'Healthcare'!CDK2","Primary PPO dental plan: Service costs apply to annual limit: Fluoride treatments")</f>
        <v>Primary PPO dental plan: Service costs apply to annual limit: Fluoride treatments</v>
      </c>
      <c r="M2143" s="6"/>
      <c r="N2143" s="7"/>
      <c r="O2143" s="6"/>
      <c r="P2143" s="7"/>
      <c r="Q2143" s="6"/>
      <c r="R2143" s="7"/>
      <c r="S2143" s="6"/>
      <c r="T2143" s="7"/>
      <c r="U2143" s="6"/>
      <c r="V2143" s="7"/>
      <c r="W2143" s="6"/>
      <c r="X2143" s="7"/>
    </row>
    <row r="2144" spans="1:24" ht="25.5" x14ac:dyDescent="0.2">
      <c r="A2144" s="6"/>
      <c r="B2144" s="7"/>
      <c r="C2144" s="6"/>
      <c r="D2144" s="7"/>
      <c r="E2144" s="6"/>
      <c r="F2144" s="7"/>
      <c r="G2144" s="6"/>
      <c r="H2144" s="7"/>
      <c r="I2144" s="6"/>
      <c r="J2144" s="7"/>
      <c r="K2144" s="96" t="str">
        <f>HYPERLINK("#'Healthcare'!CDL1","Q6.17.11_13")</f>
        <v>Q6.17.11_13</v>
      </c>
      <c r="L2144" s="93" t="str">
        <f>HYPERLINK("#'Healthcare'!CDL2","Primary PPO dental plan: Service costs apply to annual limit: Implants")</f>
        <v>Primary PPO dental plan: Service costs apply to annual limit: Implants</v>
      </c>
      <c r="M2144" s="6"/>
      <c r="N2144" s="7"/>
      <c r="O2144" s="6"/>
      <c r="P2144" s="7"/>
      <c r="Q2144" s="6"/>
      <c r="R2144" s="7"/>
      <c r="S2144" s="6"/>
      <c r="T2144" s="7"/>
      <c r="U2144" s="6"/>
      <c r="V2144" s="7"/>
      <c r="W2144" s="6"/>
      <c r="X2144" s="7"/>
    </row>
    <row r="2145" spans="1:24" ht="25.5" x14ac:dyDescent="0.2">
      <c r="A2145" s="6"/>
      <c r="B2145" s="7"/>
      <c r="C2145" s="6"/>
      <c r="D2145" s="7"/>
      <c r="E2145" s="6"/>
      <c r="F2145" s="7"/>
      <c r="G2145" s="6"/>
      <c r="H2145" s="7"/>
      <c r="I2145" s="6"/>
      <c r="J2145" s="7"/>
      <c r="K2145" s="96" t="str">
        <f>HYPERLINK("#'Healthcare'!CDM1","Q6.17.11_14")</f>
        <v>Q6.17.11_14</v>
      </c>
      <c r="L2145" s="93" t="str">
        <f>HYPERLINK("#'Healthcare'!CDM2","Primary PPO dental plan: Service costs apply to annual limit: Inlays &amp; onlays")</f>
        <v>Primary PPO dental plan: Service costs apply to annual limit: Inlays &amp; onlays</v>
      </c>
      <c r="M2145" s="6"/>
      <c r="N2145" s="7"/>
      <c r="O2145" s="6"/>
      <c r="P2145" s="7"/>
      <c r="Q2145" s="6"/>
      <c r="R2145" s="7"/>
      <c r="S2145" s="6"/>
      <c r="T2145" s="7"/>
      <c r="U2145" s="6"/>
      <c r="V2145" s="7"/>
      <c r="W2145" s="6"/>
      <c r="X2145" s="7"/>
    </row>
    <row r="2146" spans="1:24" ht="25.5" x14ac:dyDescent="0.2">
      <c r="A2146" s="6"/>
      <c r="B2146" s="7"/>
      <c r="C2146" s="6"/>
      <c r="D2146" s="7"/>
      <c r="E2146" s="6"/>
      <c r="F2146" s="7"/>
      <c r="G2146" s="6"/>
      <c r="H2146" s="7"/>
      <c r="I2146" s="6"/>
      <c r="J2146" s="7"/>
      <c r="K2146" s="96" t="str">
        <f>HYPERLINK("#'Healthcare'!CDN1","Q6.17.11_15")</f>
        <v>Q6.17.11_15</v>
      </c>
      <c r="L2146" s="93" t="str">
        <f>HYPERLINK("#'Healthcare'!CDN2","Primary PPO dental plan: Service costs apply to annual limit: Night guards")</f>
        <v>Primary PPO dental plan: Service costs apply to annual limit: Night guards</v>
      </c>
      <c r="M2146" s="6"/>
      <c r="N2146" s="7"/>
      <c r="O2146" s="6"/>
      <c r="P2146" s="7"/>
      <c r="Q2146" s="6"/>
      <c r="R2146" s="7"/>
      <c r="S2146" s="6"/>
      <c r="T2146" s="7"/>
      <c r="U2146" s="6"/>
      <c r="V2146" s="7"/>
      <c r="W2146" s="6"/>
      <c r="X2146" s="7"/>
    </row>
    <row r="2147" spans="1:24" ht="25.5" x14ac:dyDescent="0.2">
      <c r="A2147" s="6"/>
      <c r="B2147" s="7"/>
      <c r="C2147" s="6"/>
      <c r="D2147" s="7"/>
      <c r="E2147" s="6"/>
      <c r="F2147" s="7"/>
      <c r="G2147" s="6"/>
      <c r="H2147" s="7"/>
      <c r="I2147" s="6"/>
      <c r="J2147" s="7"/>
      <c r="K2147" s="96" t="str">
        <f>HYPERLINK("#'Healthcare'!CDO1","Q6.17.11_16")</f>
        <v>Q6.17.11_16</v>
      </c>
      <c r="L2147" s="93" t="str">
        <f>HYPERLINK("#'Healthcare'!CDO2","Primary PPO dental plan: Service costs apply to annual limit: Oral surgery")</f>
        <v>Primary PPO dental plan: Service costs apply to annual limit: Oral surgery</v>
      </c>
      <c r="M2147" s="6"/>
      <c r="N2147" s="7"/>
      <c r="O2147" s="6"/>
      <c r="P2147" s="7"/>
      <c r="Q2147" s="6"/>
      <c r="R2147" s="7"/>
      <c r="S2147" s="6"/>
      <c r="T2147" s="7"/>
      <c r="U2147" s="6"/>
      <c r="V2147" s="7"/>
      <c r="W2147" s="6"/>
      <c r="X2147" s="7"/>
    </row>
    <row r="2148" spans="1:24" ht="25.5" x14ac:dyDescent="0.2">
      <c r="A2148" s="6"/>
      <c r="B2148" s="7"/>
      <c r="C2148" s="6"/>
      <c r="D2148" s="7"/>
      <c r="E2148" s="6"/>
      <c r="F2148" s="7"/>
      <c r="G2148" s="6"/>
      <c r="H2148" s="7"/>
      <c r="I2148" s="6"/>
      <c r="J2148" s="7"/>
      <c r="K2148" s="96" t="str">
        <f>HYPERLINK("#'Healthcare'!CDP1","Q6.17.11_17")</f>
        <v>Q6.17.11_17</v>
      </c>
      <c r="L2148" s="93" t="str">
        <f>HYPERLINK("#'Healthcare'!CDP2","Primary PPO dental plan: Service costs apply to annual limit: Orthodontia")</f>
        <v>Primary PPO dental plan: Service costs apply to annual limit: Orthodontia</v>
      </c>
      <c r="M2148" s="6"/>
      <c r="N2148" s="7"/>
      <c r="O2148" s="6"/>
      <c r="P2148" s="7"/>
      <c r="Q2148" s="6"/>
      <c r="R2148" s="7"/>
      <c r="S2148" s="6"/>
      <c r="T2148" s="7"/>
      <c r="U2148" s="6"/>
      <c r="V2148" s="7"/>
      <c r="W2148" s="6"/>
      <c r="X2148" s="7"/>
    </row>
    <row r="2149" spans="1:24" ht="38.25" x14ac:dyDescent="0.2">
      <c r="A2149" s="6"/>
      <c r="B2149" s="7"/>
      <c r="C2149" s="6"/>
      <c r="D2149" s="7"/>
      <c r="E2149" s="6"/>
      <c r="F2149" s="7"/>
      <c r="G2149" s="6"/>
      <c r="H2149" s="7"/>
      <c r="I2149" s="6"/>
      <c r="J2149" s="7"/>
      <c r="K2149" s="96" t="str">
        <f>HYPERLINK("#'Healthcare'!CDQ1","Q6.17.11_18")</f>
        <v>Q6.17.11_18</v>
      </c>
      <c r="L2149" s="93" t="str">
        <f>HYPERLINK("#'Healthcare'!CDQ2","Primary PPO dental plan: Service costs apply to annual limit: Periodontal scaling &amp; root planing")</f>
        <v>Primary PPO dental plan: Service costs apply to annual limit: Periodontal scaling &amp; root planing</v>
      </c>
      <c r="M2149" s="6"/>
      <c r="N2149" s="7"/>
      <c r="O2149" s="6"/>
      <c r="P2149" s="7"/>
      <c r="Q2149" s="6"/>
      <c r="R2149" s="7"/>
      <c r="S2149" s="6"/>
      <c r="T2149" s="7"/>
      <c r="U2149" s="6"/>
      <c r="V2149" s="7"/>
      <c r="W2149" s="6"/>
      <c r="X2149" s="7"/>
    </row>
    <row r="2150" spans="1:24" ht="25.5" x14ac:dyDescent="0.2">
      <c r="A2150" s="6"/>
      <c r="B2150" s="7"/>
      <c r="C2150" s="6"/>
      <c r="D2150" s="7"/>
      <c r="E2150" s="6"/>
      <c r="F2150" s="7"/>
      <c r="G2150" s="6"/>
      <c r="H2150" s="7"/>
      <c r="I2150" s="6"/>
      <c r="J2150" s="7"/>
      <c r="K2150" s="96" t="str">
        <f>HYPERLINK("#'Healthcare'!CDR1","Q6.17.11_19")</f>
        <v>Q6.17.11_19</v>
      </c>
      <c r="L2150" s="93" t="str">
        <f>HYPERLINK("#'Healthcare'!CDR2","Primary PPO dental plan: Service costs apply to annual limit: Periodontal surgery")</f>
        <v>Primary PPO dental plan: Service costs apply to annual limit: Periodontal surgery</v>
      </c>
      <c r="M2150" s="6"/>
      <c r="N2150" s="7"/>
      <c r="O2150" s="6"/>
      <c r="P2150" s="7"/>
      <c r="Q2150" s="6"/>
      <c r="R2150" s="7"/>
      <c r="S2150" s="6"/>
      <c r="T2150" s="7"/>
      <c r="U2150" s="6"/>
      <c r="V2150" s="7"/>
      <c r="W2150" s="6"/>
      <c r="X2150" s="7"/>
    </row>
    <row r="2151" spans="1:24" ht="25.5" x14ac:dyDescent="0.2">
      <c r="A2151" s="6"/>
      <c r="B2151" s="7"/>
      <c r="C2151" s="6"/>
      <c r="D2151" s="7"/>
      <c r="E2151" s="6"/>
      <c r="F2151" s="7"/>
      <c r="G2151" s="6"/>
      <c r="H2151" s="7"/>
      <c r="I2151" s="6"/>
      <c r="J2151" s="7"/>
      <c r="K2151" s="96" t="str">
        <f>HYPERLINK("#'Healthcare'!CDS1","Q6.17.11_20")</f>
        <v>Q6.17.11_20</v>
      </c>
      <c r="L2151" s="93" t="str">
        <f>HYPERLINK("#'Healthcare'!CDS2","Primary PPO dental plan: Service costs apply to annual limit: Root canals")</f>
        <v>Primary PPO dental plan: Service costs apply to annual limit: Root canals</v>
      </c>
      <c r="M2151" s="6"/>
      <c r="N2151" s="7"/>
      <c r="O2151" s="6"/>
      <c r="P2151" s="7"/>
      <c r="Q2151" s="6"/>
      <c r="R2151" s="7"/>
      <c r="S2151" s="6"/>
      <c r="T2151" s="7"/>
      <c r="U2151" s="6"/>
      <c r="V2151" s="7"/>
      <c r="W2151" s="6"/>
      <c r="X2151" s="7"/>
    </row>
    <row r="2152" spans="1:24" ht="25.5" x14ac:dyDescent="0.2">
      <c r="A2152" s="6"/>
      <c r="B2152" s="7"/>
      <c r="C2152" s="6"/>
      <c r="D2152" s="7"/>
      <c r="E2152" s="6"/>
      <c r="F2152" s="7"/>
      <c r="G2152" s="6"/>
      <c r="H2152" s="7"/>
      <c r="I2152" s="6"/>
      <c r="J2152" s="7"/>
      <c r="K2152" s="96" t="str">
        <f>HYPERLINK("#'Healthcare'!CDT1","Q6.17.11_21")</f>
        <v>Q6.17.11_21</v>
      </c>
      <c r="L2152" s="93" t="str">
        <f>HYPERLINK("#'Healthcare'!CDT2","Primary PPO dental plan: Service costs apply to annual limit: Space maintainers")</f>
        <v>Primary PPO dental plan: Service costs apply to annual limit: Space maintainers</v>
      </c>
      <c r="M2152" s="6"/>
      <c r="N2152" s="7"/>
      <c r="O2152" s="6"/>
      <c r="P2152" s="7"/>
      <c r="Q2152" s="6"/>
      <c r="R2152" s="7"/>
      <c r="S2152" s="6"/>
      <c r="T2152" s="7"/>
      <c r="U2152" s="6"/>
      <c r="V2152" s="7"/>
      <c r="W2152" s="6"/>
      <c r="X2152" s="7"/>
    </row>
    <row r="2153" spans="1:24" ht="25.5" x14ac:dyDescent="0.2">
      <c r="A2153" s="6"/>
      <c r="B2153" s="7"/>
      <c r="C2153" s="6"/>
      <c r="D2153" s="7"/>
      <c r="E2153" s="6"/>
      <c r="F2153" s="7"/>
      <c r="G2153" s="6"/>
      <c r="H2153" s="7"/>
      <c r="I2153" s="6"/>
      <c r="J2153" s="7"/>
      <c r="K2153" s="96" t="str">
        <f>HYPERLINK("#'Healthcare'!CDU1","Q6.17.11_22")</f>
        <v>Q6.17.11_22</v>
      </c>
      <c r="L2153" s="93" t="str">
        <f>HYPERLINK("#'Healthcare'!CDU2","Primary PPO dental plan: Service costs apply to annual limit: Tooth extractions")</f>
        <v>Primary PPO dental plan: Service costs apply to annual limit: Tooth extractions</v>
      </c>
      <c r="M2153" s="6"/>
      <c r="N2153" s="7"/>
      <c r="O2153" s="6"/>
      <c r="P2153" s="7"/>
      <c r="Q2153" s="6"/>
      <c r="R2153" s="7"/>
      <c r="S2153" s="6"/>
      <c r="T2153" s="7"/>
      <c r="U2153" s="6"/>
      <c r="V2153" s="7"/>
      <c r="W2153" s="6"/>
      <c r="X2153" s="7"/>
    </row>
    <row r="2154" spans="1:24" ht="25.5" x14ac:dyDescent="0.2">
      <c r="A2154" s="6"/>
      <c r="B2154" s="7"/>
      <c r="C2154" s="6"/>
      <c r="D2154" s="7"/>
      <c r="E2154" s="6"/>
      <c r="F2154" s="7"/>
      <c r="G2154" s="6"/>
      <c r="H2154" s="7"/>
      <c r="I2154" s="6"/>
      <c r="J2154" s="7"/>
      <c r="K2154" s="96" t="str">
        <f>HYPERLINK("#'Healthcare'!CDV1","Q6.17.11_23")</f>
        <v>Q6.17.11_23</v>
      </c>
      <c r="L2154" s="93" t="str">
        <f>HYPERLINK("#'Healthcare'!CDV2","Primary PPO dental plan: Service costs apply to annual limit: Tooth sealants")</f>
        <v>Primary PPO dental plan: Service costs apply to annual limit: Tooth sealants</v>
      </c>
      <c r="M2154" s="6"/>
      <c r="N2154" s="7"/>
      <c r="O2154" s="6"/>
      <c r="P2154" s="7"/>
      <c r="Q2154" s="6"/>
      <c r="R2154" s="7"/>
      <c r="S2154" s="6"/>
      <c r="T2154" s="7"/>
      <c r="U2154" s="6"/>
      <c r="V2154" s="7"/>
      <c r="W2154" s="6"/>
      <c r="X2154" s="7"/>
    </row>
    <row r="2155" spans="1:24" ht="25.5" x14ac:dyDescent="0.2">
      <c r="A2155" s="6"/>
      <c r="B2155" s="7"/>
      <c r="C2155" s="6"/>
      <c r="D2155" s="7"/>
      <c r="E2155" s="6"/>
      <c r="F2155" s="7"/>
      <c r="G2155" s="6"/>
      <c r="H2155" s="7"/>
      <c r="I2155" s="6"/>
      <c r="J2155" s="7"/>
      <c r="K2155" s="96" t="str">
        <f>HYPERLINK("#'Healthcare'!CDW1","Q6.17.11_24")</f>
        <v>Q6.17.11_24</v>
      </c>
      <c r="L2155" s="93" t="str">
        <f>HYPERLINK("#'Healthcare'!CDW2","Primary PPO dental plan: Service costs apply to annual limit: Topical fluoride treatments")</f>
        <v>Primary PPO dental plan: Service costs apply to annual limit: Topical fluoride treatments</v>
      </c>
      <c r="M2155" s="6"/>
      <c r="N2155" s="7"/>
      <c r="O2155" s="6"/>
      <c r="P2155" s="7"/>
      <c r="Q2155" s="6"/>
      <c r="R2155" s="7"/>
      <c r="S2155" s="6"/>
      <c r="T2155" s="7"/>
      <c r="U2155" s="6"/>
      <c r="V2155" s="7"/>
      <c r="W2155" s="6"/>
      <c r="X2155" s="7"/>
    </row>
    <row r="2156" spans="1:24" ht="25.5" x14ac:dyDescent="0.2">
      <c r="A2156" s="6"/>
      <c r="B2156" s="7"/>
      <c r="C2156" s="6"/>
      <c r="D2156" s="7"/>
      <c r="E2156" s="6"/>
      <c r="F2156" s="7"/>
      <c r="G2156" s="6"/>
      <c r="H2156" s="7"/>
      <c r="I2156" s="6"/>
      <c r="J2156" s="7"/>
      <c r="K2156" s="96" t="str">
        <f>HYPERLINK("#'Healthcare'!CDX1","Q6.17.11_25")</f>
        <v>Q6.17.11_25</v>
      </c>
      <c r="L2156" s="93" t="str">
        <f>HYPERLINK("#'Healthcare'!CDX2","Primary PPO dental plan: Service costs apply to annual limit: X-rays - bitewings")</f>
        <v>Primary PPO dental plan: Service costs apply to annual limit: X-rays - bitewings</v>
      </c>
      <c r="M2156" s="6"/>
      <c r="N2156" s="7"/>
      <c r="O2156" s="6"/>
      <c r="P2156" s="7"/>
      <c r="Q2156" s="6"/>
      <c r="R2156" s="7"/>
      <c r="S2156" s="6"/>
      <c r="T2156" s="7"/>
      <c r="U2156" s="6"/>
      <c r="V2156" s="7"/>
      <c r="W2156" s="6"/>
      <c r="X2156" s="7"/>
    </row>
    <row r="2157" spans="1:24" ht="25.5" x14ac:dyDescent="0.2">
      <c r="A2157" s="6"/>
      <c r="B2157" s="7"/>
      <c r="C2157" s="6"/>
      <c r="D2157" s="7"/>
      <c r="E2157" s="6"/>
      <c r="F2157" s="7"/>
      <c r="G2157" s="6"/>
      <c r="H2157" s="7"/>
      <c r="I2157" s="6"/>
      <c r="J2157" s="7"/>
      <c r="K2157" s="96" t="str">
        <f>HYPERLINK("#'Healthcare'!CDY1","Q6.17.11_26")</f>
        <v>Q6.17.11_26</v>
      </c>
      <c r="L2157" s="93" t="str">
        <f>HYPERLINK("#'Healthcare'!CDY2","Primary PPO dental plan: Service costs apply to annual limit: X-rays - full-mouth, panorex")</f>
        <v>Primary PPO dental plan: Service costs apply to annual limit: X-rays - full-mouth, panorex</v>
      </c>
      <c r="M2157" s="6"/>
      <c r="N2157" s="7"/>
      <c r="O2157" s="6"/>
      <c r="P2157" s="7"/>
      <c r="Q2157" s="6"/>
      <c r="R2157" s="7"/>
      <c r="S2157" s="6"/>
      <c r="T2157" s="7"/>
      <c r="U2157" s="6"/>
      <c r="V2157" s="7"/>
      <c r="W2157" s="6"/>
      <c r="X2157" s="7"/>
    </row>
    <row r="2158" spans="1:24" ht="25.5" x14ac:dyDescent="0.2">
      <c r="A2158" s="6"/>
      <c r="B2158" s="7"/>
      <c r="C2158" s="6"/>
      <c r="D2158" s="7"/>
      <c r="E2158" s="6"/>
      <c r="F2158" s="7"/>
      <c r="G2158" s="6"/>
      <c r="H2158" s="7"/>
      <c r="I2158" s="6"/>
      <c r="J2158" s="7"/>
      <c r="K2158" s="96" t="str">
        <f>HYPERLINK("#'Healthcare'!CDZ1","Q6.17.11_27")</f>
        <v>Q6.17.11_27</v>
      </c>
      <c r="L2158" s="93" t="str">
        <f>HYPERLINK("#'Healthcare'!CDZ2","Primary PPO dental plan: Service costs apply to annual limit: X-rays - periapical")</f>
        <v>Primary PPO dental plan: Service costs apply to annual limit: X-rays - periapical</v>
      </c>
      <c r="M2158" s="6"/>
      <c r="N2158" s="7"/>
      <c r="O2158" s="6"/>
      <c r="P2158" s="7"/>
      <c r="Q2158" s="6"/>
      <c r="R2158" s="7"/>
      <c r="S2158" s="6"/>
      <c r="T2158" s="7"/>
      <c r="U2158" s="6"/>
      <c r="V2158" s="7"/>
      <c r="W2158" s="6"/>
      <c r="X2158" s="7"/>
    </row>
    <row r="2159" spans="1:24" ht="25.5" x14ac:dyDescent="0.2">
      <c r="A2159" s="6"/>
      <c r="B2159" s="7"/>
      <c r="C2159" s="6"/>
      <c r="D2159" s="7"/>
      <c r="E2159" s="6"/>
      <c r="F2159" s="7"/>
      <c r="G2159" s="6"/>
      <c r="H2159" s="7"/>
      <c r="I2159" s="6"/>
      <c r="J2159" s="7"/>
      <c r="K2159" s="96" t="str">
        <f>HYPERLINK("#'Healthcare'!CEA1","Q6.17.12_1")</f>
        <v>Q6.17.12_1</v>
      </c>
      <c r="L2159" s="93" t="str">
        <f>HYPERLINK("#'Healthcare'!CEA2","Primary PPO dental plan: Service frequency limit: Amalgam fillings")</f>
        <v>Primary PPO dental plan: Service frequency limit: Amalgam fillings</v>
      </c>
      <c r="M2159" s="6"/>
      <c r="N2159" s="7"/>
      <c r="O2159" s="6"/>
      <c r="P2159" s="7"/>
      <c r="Q2159" s="6"/>
      <c r="R2159" s="7"/>
      <c r="S2159" s="6"/>
      <c r="T2159" s="7"/>
      <c r="U2159" s="6"/>
      <c r="V2159" s="7"/>
      <c r="W2159" s="6"/>
      <c r="X2159" s="7"/>
    </row>
    <row r="2160" spans="1:24" ht="25.5" x14ac:dyDescent="0.2">
      <c r="A2160" s="6"/>
      <c r="B2160" s="7"/>
      <c r="C2160" s="6"/>
      <c r="D2160" s="7"/>
      <c r="E2160" s="6"/>
      <c r="F2160" s="7"/>
      <c r="G2160" s="6"/>
      <c r="H2160" s="7"/>
      <c r="I2160" s="6"/>
      <c r="J2160" s="7"/>
      <c r="K2160" s="96" t="str">
        <f>HYPERLINK("#'Healthcare'!CEB1","Q6.17.12_2")</f>
        <v>Q6.17.12_2</v>
      </c>
      <c r="L2160" s="93" t="str">
        <f>HYPERLINK("#'Healthcare'!CEB2","Primary PPO dental plan: Service frequency limit: Anesthesia/sedation")</f>
        <v>Primary PPO dental plan: Service frequency limit: Anesthesia/sedation</v>
      </c>
      <c r="M2160" s="6"/>
      <c r="N2160" s="7"/>
      <c r="O2160" s="6"/>
      <c r="P2160" s="7"/>
      <c r="Q2160" s="6"/>
      <c r="R2160" s="7"/>
      <c r="S2160" s="6"/>
      <c r="T2160" s="7"/>
      <c r="U2160" s="6"/>
      <c r="V2160" s="7"/>
      <c r="W2160" s="6"/>
      <c r="X2160" s="7"/>
    </row>
    <row r="2161" spans="1:24" ht="25.5" x14ac:dyDescent="0.2">
      <c r="A2161" s="6"/>
      <c r="B2161" s="7"/>
      <c r="C2161" s="6"/>
      <c r="D2161" s="7"/>
      <c r="E2161" s="6"/>
      <c r="F2161" s="7"/>
      <c r="G2161" s="6"/>
      <c r="H2161" s="7"/>
      <c r="I2161" s="6"/>
      <c r="J2161" s="7"/>
      <c r="K2161" s="96" t="str">
        <f>HYPERLINK("#'Healthcare'!CEC1","Q6.17.12_3")</f>
        <v>Q6.17.12_3</v>
      </c>
      <c r="L2161" s="93" t="str">
        <f>HYPERLINK("#'Healthcare'!CEC2","Primary PPO dental plan: Service frequency limit: Bridgework")</f>
        <v>Primary PPO dental plan: Service frequency limit: Bridgework</v>
      </c>
      <c r="M2161" s="6"/>
      <c r="N2161" s="7"/>
      <c r="O2161" s="6"/>
      <c r="P2161" s="7"/>
      <c r="Q2161" s="6"/>
      <c r="R2161" s="7"/>
      <c r="S2161" s="6"/>
      <c r="T2161" s="7"/>
      <c r="U2161" s="6"/>
      <c r="V2161" s="7"/>
      <c r="W2161" s="6"/>
      <c r="X2161" s="7"/>
    </row>
    <row r="2162" spans="1:24" ht="25.5" x14ac:dyDescent="0.2">
      <c r="A2162" s="6"/>
      <c r="B2162" s="7"/>
      <c r="C2162" s="6"/>
      <c r="D2162" s="7"/>
      <c r="E2162" s="6"/>
      <c r="F2162" s="7"/>
      <c r="G2162" s="6"/>
      <c r="H2162" s="7"/>
      <c r="I2162" s="6"/>
      <c r="J2162" s="7"/>
      <c r="K2162" s="96" t="str">
        <f>HYPERLINK("#'Healthcare'!CED1","Q6.17.12_4")</f>
        <v>Q6.17.12_4</v>
      </c>
      <c r="L2162" s="93" t="str">
        <f>HYPERLINK("#'Healthcare'!CED2","Primary PPO dental plan: Service frequency limit: Cleanings (prophylaxis)")</f>
        <v>Primary PPO dental plan: Service frequency limit: Cleanings (prophylaxis)</v>
      </c>
      <c r="M2162" s="6"/>
      <c r="N2162" s="7"/>
      <c r="O2162" s="6"/>
      <c r="P2162" s="7"/>
      <c r="Q2162" s="6"/>
      <c r="R2162" s="7"/>
      <c r="S2162" s="6"/>
      <c r="T2162" s="7"/>
      <c r="U2162" s="6"/>
      <c r="V2162" s="7"/>
      <c r="W2162" s="6"/>
      <c r="X2162" s="7"/>
    </row>
    <row r="2163" spans="1:24" ht="25.5" x14ac:dyDescent="0.2">
      <c r="A2163" s="6"/>
      <c r="B2163" s="7"/>
      <c r="C2163" s="6"/>
      <c r="D2163" s="7"/>
      <c r="E2163" s="6"/>
      <c r="F2163" s="7"/>
      <c r="G2163" s="6"/>
      <c r="H2163" s="7"/>
      <c r="I2163" s="6"/>
      <c r="J2163" s="7"/>
      <c r="K2163" s="96" t="str">
        <f>HYPERLINK("#'Healthcare'!CEE1","Q6.17.12_5")</f>
        <v>Q6.17.12_5</v>
      </c>
      <c r="L2163" s="93" t="str">
        <f>HYPERLINK("#'Healthcare'!CEE2","Primary PPO dental plan: Service frequency limit: Composite fillings (white fillings)")</f>
        <v>Primary PPO dental plan: Service frequency limit: Composite fillings (white fillings)</v>
      </c>
      <c r="M2163" s="6"/>
      <c r="N2163" s="7"/>
      <c r="O2163" s="6"/>
      <c r="P2163" s="7"/>
      <c r="Q2163" s="6"/>
      <c r="R2163" s="7"/>
      <c r="S2163" s="6"/>
      <c r="T2163" s="7"/>
      <c r="U2163" s="6"/>
      <c r="V2163" s="7"/>
      <c r="W2163" s="6"/>
      <c r="X2163" s="7"/>
    </row>
    <row r="2164" spans="1:24" ht="25.5" x14ac:dyDescent="0.2">
      <c r="A2164" s="6"/>
      <c r="B2164" s="7"/>
      <c r="C2164" s="6"/>
      <c r="D2164" s="7"/>
      <c r="E2164" s="6"/>
      <c r="F2164" s="7"/>
      <c r="G2164" s="6"/>
      <c r="H2164" s="7"/>
      <c r="I2164" s="6"/>
      <c r="J2164" s="7"/>
      <c r="K2164" s="96" t="str">
        <f>HYPERLINK("#'Healthcare'!CEF1","Q6.17.12_6")</f>
        <v>Q6.17.12_6</v>
      </c>
      <c r="L2164" s="93" t="str">
        <f>HYPERLINK("#'Healthcare'!CEF2","Primary PPO dental plan: Service frequency limit: Crowns")</f>
        <v>Primary PPO dental plan: Service frequency limit: Crowns</v>
      </c>
      <c r="M2164" s="6"/>
      <c r="N2164" s="7"/>
      <c r="O2164" s="6"/>
      <c r="P2164" s="7"/>
      <c r="Q2164" s="6"/>
      <c r="R2164" s="7"/>
      <c r="S2164" s="6"/>
      <c r="T2164" s="7"/>
      <c r="U2164" s="6"/>
      <c r="V2164" s="7"/>
      <c r="W2164" s="6"/>
      <c r="X2164" s="7"/>
    </row>
    <row r="2165" spans="1:24" ht="25.5" x14ac:dyDescent="0.2">
      <c r="A2165" s="6"/>
      <c r="B2165" s="7"/>
      <c r="C2165" s="6"/>
      <c r="D2165" s="7"/>
      <c r="E2165" s="6"/>
      <c r="F2165" s="7"/>
      <c r="G2165" s="6"/>
      <c r="H2165" s="7"/>
      <c r="I2165" s="6"/>
      <c r="J2165" s="7"/>
      <c r="K2165" s="96" t="str">
        <f>HYPERLINK("#'Healthcare'!CEG1","Q6.17.12_7")</f>
        <v>Q6.17.12_7</v>
      </c>
      <c r="L2165" s="93" t="str">
        <f>HYPERLINK("#'Healthcare'!CEG2","Primary PPO dental plan: Service frequency limit: Denture repair")</f>
        <v>Primary PPO dental plan: Service frequency limit: Denture repair</v>
      </c>
      <c r="M2165" s="6"/>
      <c r="N2165" s="7"/>
      <c r="O2165" s="6"/>
      <c r="P2165" s="7"/>
      <c r="Q2165" s="6"/>
      <c r="R2165" s="7"/>
      <c r="S2165" s="6"/>
      <c r="T2165" s="7"/>
      <c r="U2165" s="6"/>
      <c r="V2165" s="7"/>
      <c r="W2165" s="6"/>
      <c r="X2165" s="7"/>
    </row>
    <row r="2166" spans="1:24" ht="25.5" x14ac:dyDescent="0.2">
      <c r="A2166" s="6"/>
      <c r="B2166" s="7"/>
      <c r="C2166" s="6"/>
      <c r="D2166" s="7"/>
      <c r="E2166" s="6"/>
      <c r="F2166" s="7"/>
      <c r="G2166" s="6"/>
      <c r="H2166" s="7"/>
      <c r="I2166" s="6"/>
      <c r="J2166" s="7"/>
      <c r="K2166" s="96" t="str">
        <f>HYPERLINK("#'Healthcare'!CEH1","Q6.17.12_8")</f>
        <v>Q6.17.12_8</v>
      </c>
      <c r="L2166" s="93" t="str">
        <f>HYPERLINK("#'Healthcare'!CEH2","Primary PPO dental plan: Service frequency limit: Dentures (relines &amp; rebases)")</f>
        <v>Primary PPO dental plan: Service frequency limit: Dentures (relines &amp; rebases)</v>
      </c>
      <c r="M2166" s="6"/>
      <c r="N2166" s="7"/>
      <c r="O2166" s="6"/>
      <c r="P2166" s="7"/>
      <c r="Q2166" s="6"/>
      <c r="R2166" s="7"/>
      <c r="S2166" s="6"/>
      <c r="T2166" s="7"/>
      <c r="U2166" s="6"/>
      <c r="V2166" s="7"/>
      <c r="W2166" s="6"/>
      <c r="X2166" s="7"/>
    </row>
    <row r="2167" spans="1:24" ht="25.5" x14ac:dyDescent="0.2">
      <c r="A2167" s="6"/>
      <c r="B2167" s="7"/>
      <c r="C2167" s="6"/>
      <c r="D2167" s="7"/>
      <c r="E2167" s="6"/>
      <c r="F2167" s="7"/>
      <c r="G2167" s="6"/>
      <c r="H2167" s="7"/>
      <c r="I2167" s="6"/>
      <c r="J2167" s="7"/>
      <c r="K2167" s="96" t="str">
        <f>HYPERLINK("#'Healthcare'!CEI1","Q6.17.12_9")</f>
        <v>Q6.17.12_9</v>
      </c>
      <c r="L2167" s="93" t="str">
        <f>HYPERLINK("#'Healthcare'!CEI2","Primary PPO dental plan: Service frequency limit: Dentures (removable &amp; Partial)")</f>
        <v>Primary PPO dental plan: Service frequency limit: Dentures (removable &amp; Partial)</v>
      </c>
      <c r="M2167" s="6"/>
      <c r="N2167" s="7"/>
      <c r="O2167" s="6"/>
      <c r="P2167" s="7"/>
      <c r="Q2167" s="6"/>
      <c r="R2167" s="7"/>
      <c r="S2167" s="6"/>
      <c r="T2167" s="7"/>
      <c r="U2167" s="6"/>
      <c r="V2167" s="7"/>
      <c r="W2167" s="6"/>
      <c r="X2167" s="7"/>
    </row>
    <row r="2168" spans="1:24" ht="25.5" x14ac:dyDescent="0.2">
      <c r="A2168" s="6"/>
      <c r="B2168" s="7"/>
      <c r="C2168" s="6"/>
      <c r="D2168" s="7"/>
      <c r="E2168" s="6"/>
      <c r="F2168" s="7"/>
      <c r="G2168" s="6"/>
      <c r="H2168" s="7"/>
      <c r="I2168" s="6"/>
      <c r="J2168" s="7"/>
      <c r="K2168" s="96" t="str">
        <f>HYPERLINK("#'Healthcare'!CEJ1","Q6.17.12_10")</f>
        <v>Q6.17.12_10</v>
      </c>
      <c r="L2168" s="93" t="str">
        <f>HYPERLINK("#'Healthcare'!CEJ2","Primary PPO dental plan: Service frequency limit: Examinations (non-routine)")</f>
        <v>Primary PPO dental plan: Service frequency limit: Examinations (non-routine)</v>
      </c>
      <c r="M2168" s="6"/>
      <c r="N2168" s="7"/>
      <c r="O2168" s="6"/>
      <c r="P2168" s="7"/>
      <c r="Q2168" s="6"/>
      <c r="R2168" s="7"/>
      <c r="S2168" s="6"/>
      <c r="T2168" s="7"/>
      <c r="U2168" s="6"/>
      <c r="V2168" s="7"/>
      <c r="W2168" s="6"/>
      <c r="X2168" s="7"/>
    </row>
    <row r="2169" spans="1:24" ht="25.5" x14ac:dyDescent="0.2">
      <c r="A2169" s="6"/>
      <c r="B2169" s="7"/>
      <c r="C2169" s="6"/>
      <c r="D2169" s="7"/>
      <c r="E2169" s="6"/>
      <c r="F2169" s="7"/>
      <c r="G2169" s="6"/>
      <c r="H2169" s="7"/>
      <c r="I2169" s="6"/>
      <c r="J2169" s="7"/>
      <c r="K2169" s="96" t="str">
        <f>HYPERLINK("#'Healthcare'!CEK1","Q6.17.12_11")</f>
        <v>Q6.17.12_11</v>
      </c>
      <c r="L2169" s="93" t="str">
        <f>HYPERLINK("#'Healthcare'!CEK2","Primary PPO dental plan: Service frequency limit: Examinations (routine)")</f>
        <v>Primary PPO dental plan: Service frequency limit: Examinations (routine)</v>
      </c>
      <c r="M2169" s="6"/>
      <c r="N2169" s="7"/>
      <c r="O2169" s="6"/>
      <c r="P2169" s="7"/>
      <c r="Q2169" s="6"/>
      <c r="R2169" s="7"/>
      <c r="S2169" s="6"/>
      <c r="T2169" s="7"/>
      <c r="U2169" s="6"/>
      <c r="V2169" s="7"/>
      <c r="W2169" s="6"/>
      <c r="X2169" s="7"/>
    </row>
    <row r="2170" spans="1:24" ht="25.5" x14ac:dyDescent="0.2">
      <c r="A2170" s="6"/>
      <c r="B2170" s="7"/>
      <c r="C2170" s="6"/>
      <c r="D2170" s="7"/>
      <c r="E2170" s="6"/>
      <c r="F2170" s="7"/>
      <c r="G2170" s="6"/>
      <c r="H2170" s="7"/>
      <c r="I2170" s="6"/>
      <c r="J2170" s="7"/>
      <c r="K2170" s="96" t="str">
        <f>HYPERLINK("#'Healthcare'!CEL1","Q6.17.12_12")</f>
        <v>Q6.17.12_12</v>
      </c>
      <c r="L2170" s="93" t="str">
        <f>HYPERLINK("#'Healthcare'!CEL2","Primary PPO dental plan: Service frequency limit: Fluoride treatments")</f>
        <v>Primary PPO dental plan: Service frequency limit: Fluoride treatments</v>
      </c>
      <c r="M2170" s="6"/>
      <c r="N2170" s="7"/>
      <c r="O2170" s="6"/>
      <c r="P2170" s="7"/>
      <c r="Q2170" s="6"/>
      <c r="R2170" s="7"/>
      <c r="S2170" s="6"/>
      <c r="T2170" s="7"/>
      <c r="U2170" s="6"/>
      <c r="V2170" s="7"/>
      <c r="W2170" s="6"/>
      <c r="X2170" s="7"/>
    </row>
    <row r="2171" spans="1:24" ht="25.5" x14ac:dyDescent="0.2">
      <c r="A2171" s="6"/>
      <c r="B2171" s="7"/>
      <c r="C2171" s="6"/>
      <c r="D2171" s="7"/>
      <c r="E2171" s="6"/>
      <c r="F2171" s="7"/>
      <c r="G2171" s="6"/>
      <c r="H2171" s="7"/>
      <c r="I2171" s="6"/>
      <c r="J2171" s="7"/>
      <c r="K2171" s="96" t="str">
        <f>HYPERLINK("#'Healthcare'!CEM1","Q6.17.12_13")</f>
        <v>Q6.17.12_13</v>
      </c>
      <c r="L2171" s="93" t="str">
        <f>HYPERLINK("#'Healthcare'!CEM2","Primary PPO dental plan: Service frequency limit: Implants")</f>
        <v>Primary PPO dental plan: Service frequency limit: Implants</v>
      </c>
      <c r="M2171" s="6"/>
      <c r="N2171" s="7"/>
      <c r="O2171" s="6"/>
      <c r="P2171" s="7"/>
      <c r="Q2171" s="6"/>
      <c r="R2171" s="7"/>
      <c r="S2171" s="6"/>
      <c r="T2171" s="7"/>
      <c r="U2171" s="6"/>
      <c r="V2171" s="7"/>
      <c r="W2171" s="6"/>
      <c r="X2171" s="7"/>
    </row>
    <row r="2172" spans="1:24" ht="25.5" x14ac:dyDescent="0.2">
      <c r="A2172" s="6"/>
      <c r="B2172" s="7"/>
      <c r="C2172" s="6"/>
      <c r="D2172" s="7"/>
      <c r="E2172" s="6"/>
      <c r="F2172" s="7"/>
      <c r="G2172" s="6"/>
      <c r="H2172" s="7"/>
      <c r="I2172" s="6"/>
      <c r="J2172" s="7"/>
      <c r="K2172" s="96" t="str">
        <f>HYPERLINK("#'Healthcare'!CEN1","Q6.17.12_14")</f>
        <v>Q6.17.12_14</v>
      </c>
      <c r="L2172" s="93" t="str">
        <f>HYPERLINK("#'Healthcare'!CEN2","Primary PPO dental plan: Service frequency limit: Inlays &amp; onlays")</f>
        <v>Primary PPO dental plan: Service frequency limit: Inlays &amp; onlays</v>
      </c>
      <c r="M2172" s="6"/>
      <c r="N2172" s="7"/>
      <c r="O2172" s="6"/>
      <c r="P2172" s="7"/>
      <c r="Q2172" s="6"/>
      <c r="R2172" s="7"/>
      <c r="S2172" s="6"/>
      <c r="T2172" s="7"/>
      <c r="U2172" s="6"/>
      <c r="V2172" s="7"/>
      <c r="W2172" s="6"/>
      <c r="X2172" s="7"/>
    </row>
    <row r="2173" spans="1:24" ht="25.5" x14ac:dyDescent="0.2">
      <c r="A2173" s="6"/>
      <c r="B2173" s="7"/>
      <c r="C2173" s="6"/>
      <c r="D2173" s="7"/>
      <c r="E2173" s="6"/>
      <c r="F2173" s="7"/>
      <c r="G2173" s="6"/>
      <c r="H2173" s="7"/>
      <c r="I2173" s="6"/>
      <c r="J2173" s="7"/>
      <c r="K2173" s="96" t="str">
        <f>HYPERLINK("#'Healthcare'!CEO1","Q6.17.12_15")</f>
        <v>Q6.17.12_15</v>
      </c>
      <c r="L2173" s="93" t="str">
        <f>HYPERLINK("#'Healthcare'!CEO2","Primary PPO dental plan: Service frequency limit: Night guards")</f>
        <v>Primary PPO dental plan: Service frequency limit: Night guards</v>
      </c>
      <c r="M2173" s="6"/>
      <c r="N2173" s="7"/>
      <c r="O2173" s="6"/>
      <c r="P2173" s="7"/>
      <c r="Q2173" s="6"/>
      <c r="R2173" s="7"/>
      <c r="S2173" s="6"/>
      <c r="T2173" s="7"/>
      <c r="U2173" s="6"/>
      <c r="V2173" s="7"/>
      <c r="W2173" s="6"/>
      <c r="X2173" s="7"/>
    </row>
    <row r="2174" spans="1:24" ht="25.5" x14ac:dyDescent="0.2">
      <c r="A2174" s="6"/>
      <c r="B2174" s="7"/>
      <c r="C2174" s="6"/>
      <c r="D2174" s="7"/>
      <c r="E2174" s="6"/>
      <c r="F2174" s="7"/>
      <c r="G2174" s="6"/>
      <c r="H2174" s="7"/>
      <c r="I2174" s="6"/>
      <c r="J2174" s="7"/>
      <c r="K2174" s="96" t="str">
        <f>HYPERLINK("#'Healthcare'!CEP1","Q6.17.12_16")</f>
        <v>Q6.17.12_16</v>
      </c>
      <c r="L2174" s="93" t="str">
        <f>HYPERLINK("#'Healthcare'!CEP2","Primary PPO dental plan: Service frequency limit: Oral surgery")</f>
        <v>Primary PPO dental plan: Service frequency limit: Oral surgery</v>
      </c>
      <c r="M2174" s="6"/>
      <c r="N2174" s="7"/>
      <c r="O2174" s="6"/>
      <c r="P2174" s="7"/>
      <c r="Q2174" s="6"/>
      <c r="R2174" s="7"/>
      <c r="S2174" s="6"/>
      <c r="T2174" s="7"/>
      <c r="U2174" s="6"/>
      <c r="V2174" s="7"/>
      <c r="W2174" s="6"/>
      <c r="X2174" s="7"/>
    </row>
    <row r="2175" spans="1:24" ht="25.5" x14ac:dyDescent="0.2">
      <c r="A2175" s="6"/>
      <c r="B2175" s="7"/>
      <c r="C2175" s="6"/>
      <c r="D2175" s="7"/>
      <c r="E2175" s="6"/>
      <c r="F2175" s="7"/>
      <c r="G2175" s="6"/>
      <c r="H2175" s="7"/>
      <c r="I2175" s="6"/>
      <c r="J2175" s="7"/>
      <c r="K2175" s="96" t="str">
        <f>HYPERLINK("#'Healthcare'!CEQ1","Q6.17.12_17")</f>
        <v>Q6.17.12_17</v>
      </c>
      <c r="L2175" s="93" t="str">
        <f>HYPERLINK("#'Healthcare'!CEQ2","Primary PPO dental plan: Service frequency limit: Orthodontia")</f>
        <v>Primary PPO dental plan: Service frequency limit: Orthodontia</v>
      </c>
      <c r="M2175" s="6"/>
      <c r="N2175" s="7"/>
      <c r="O2175" s="6"/>
      <c r="P2175" s="7"/>
      <c r="Q2175" s="6"/>
      <c r="R2175" s="7"/>
      <c r="S2175" s="6"/>
      <c r="T2175" s="7"/>
      <c r="U2175" s="6"/>
      <c r="V2175" s="7"/>
      <c r="W2175" s="6"/>
      <c r="X2175" s="7"/>
    </row>
    <row r="2176" spans="1:24" ht="25.5" x14ac:dyDescent="0.2">
      <c r="A2176" s="6"/>
      <c r="B2176" s="7"/>
      <c r="C2176" s="6"/>
      <c r="D2176" s="7"/>
      <c r="E2176" s="6"/>
      <c r="F2176" s="7"/>
      <c r="G2176" s="6"/>
      <c r="H2176" s="7"/>
      <c r="I2176" s="6"/>
      <c r="J2176" s="7"/>
      <c r="K2176" s="96" t="str">
        <f>HYPERLINK("#'Healthcare'!CER1","Q6.17.12_18")</f>
        <v>Q6.17.12_18</v>
      </c>
      <c r="L2176" s="93" t="str">
        <f>HYPERLINK("#'Healthcare'!CER2","Primary PPO dental plan: Service frequency limit: Periodontal scaling &amp; root planing")</f>
        <v>Primary PPO dental plan: Service frequency limit: Periodontal scaling &amp; root planing</v>
      </c>
      <c r="M2176" s="6"/>
      <c r="N2176" s="7"/>
      <c r="O2176" s="6"/>
      <c r="P2176" s="7"/>
      <c r="Q2176" s="6"/>
      <c r="R2176" s="7"/>
      <c r="S2176" s="6"/>
      <c r="T2176" s="7"/>
      <c r="U2176" s="6"/>
      <c r="V2176" s="7"/>
      <c r="W2176" s="6"/>
      <c r="X2176" s="7"/>
    </row>
    <row r="2177" spans="1:24" ht="25.5" x14ac:dyDescent="0.2">
      <c r="A2177" s="6"/>
      <c r="B2177" s="7"/>
      <c r="C2177" s="6"/>
      <c r="D2177" s="7"/>
      <c r="E2177" s="6"/>
      <c r="F2177" s="7"/>
      <c r="G2177" s="6"/>
      <c r="H2177" s="7"/>
      <c r="I2177" s="6"/>
      <c r="J2177" s="7"/>
      <c r="K2177" s="96" t="str">
        <f>HYPERLINK("#'Healthcare'!CES1","Q6.17.12_19")</f>
        <v>Q6.17.12_19</v>
      </c>
      <c r="L2177" s="93" t="str">
        <f>HYPERLINK("#'Healthcare'!CES2","Primary PPO dental plan: Service frequency limit: Periodontal surgery")</f>
        <v>Primary PPO dental plan: Service frequency limit: Periodontal surgery</v>
      </c>
      <c r="M2177" s="6"/>
      <c r="N2177" s="7"/>
      <c r="O2177" s="6"/>
      <c r="P2177" s="7"/>
      <c r="Q2177" s="6"/>
      <c r="R2177" s="7"/>
      <c r="S2177" s="6"/>
      <c r="T2177" s="7"/>
      <c r="U2177" s="6"/>
      <c r="V2177" s="7"/>
      <c r="W2177" s="6"/>
      <c r="X2177" s="7"/>
    </row>
    <row r="2178" spans="1:24" ht="25.5" x14ac:dyDescent="0.2">
      <c r="A2178" s="6"/>
      <c r="B2178" s="7"/>
      <c r="C2178" s="6"/>
      <c r="D2178" s="7"/>
      <c r="E2178" s="6"/>
      <c r="F2178" s="7"/>
      <c r="G2178" s="6"/>
      <c r="H2178" s="7"/>
      <c r="I2178" s="6"/>
      <c r="J2178" s="7"/>
      <c r="K2178" s="96" t="str">
        <f>HYPERLINK("#'Healthcare'!CET1","Q6.17.12_20")</f>
        <v>Q6.17.12_20</v>
      </c>
      <c r="L2178" s="93" t="str">
        <f>HYPERLINK("#'Healthcare'!CET2","Primary PPO dental plan: Service frequency limit: Root canals")</f>
        <v>Primary PPO dental plan: Service frequency limit: Root canals</v>
      </c>
      <c r="M2178" s="6"/>
      <c r="N2178" s="7"/>
      <c r="O2178" s="6"/>
      <c r="P2178" s="7"/>
      <c r="Q2178" s="6"/>
      <c r="R2178" s="7"/>
      <c r="S2178" s="6"/>
      <c r="T2178" s="7"/>
      <c r="U2178" s="6"/>
      <c r="V2178" s="7"/>
      <c r="W2178" s="6"/>
      <c r="X2178" s="7"/>
    </row>
    <row r="2179" spans="1:24" ht="25.5" x14ac:dyDescent="0.2">
      <c r="A2179" s="6"/>
      <c r="B2179" s="7"/>
      <c r="C2179" s="6"/>
      <c r="D2179" s="7"/>
      <c r="E2179" s="6"/>
      <c r="F2179" s="7"/>
      <c r="G2179" s="6"/>
      <c r="H2179" s="7"/>
      <c r="I2179" s="6"/>
      <c r="J2179" s="7"/>
      <c r="K2179" s="96" t="str">
        <f>HYPERLINK("#'Healthcare'!CEU1","Q6.17.12_21")</f>
        <v>Q6.17.12_21</v>
      </c>
      <c r="L2179" s="93" t="str">
        <f>HYPERLINK("#'Healthcare'!CEU2","Primary PPO dental plan: Service frequency limit: Space maintainers")</f>
        <v>Primary PPO dental plan: Service frequency limit: Space maintainers</v>
      </c>
      <c r="M2179" s="6"/>
      <c r="N2179" s="7"/>
      <c r="O2179" s="6"/>
      <c r="P2179" s="7"/>
      <c r="Q2179" s="6"/>
      <c r="R2179" s="7"/>
      <c r="S2179" s="6"/>
      <c r="T2179" s="7"/>
      <c r="U2179" s="6"/>
      <c r="V2179" s="7"/>
      <c r="W2179" s="6"/>
      <c r="X2179" s="7"/>
    </row>
    <row r="2180" spans="1:24" ht="25.5" x14ac:dyDescent="0.2">
      <c r="A2180" s="6"/>
      <c r="B2180" s="7"/>
      <c r="C2180" s="6"/>
      <c r="D2180" s="7"/>
      <c r="E2180" s="6"/>
      <c r="F2180" s="7"/>
      <c r="G2180" s="6"/>
      <c r="H2180" s="7"/>
      <c r="I2180" s="6"/>
      <c r="J2180" s="7"/>
      <c r="K2180" s="96" t="str">
        <f>HYPERLINK("#'Healthcare'!CEV1","Q6.17.12_22")</f>
        <v>Q6.17.12_22</v>
      </c>
      <c r="L2180" s="93" t="str">
        <f>HYPERLINK("#'Healthcare'!CEV2","Primary PPO dental plan: Service frequency limit: Tooth extractions")</f>
        <v>Primary PPO dental plan: Service frequency limit: Tooth extractions</v>
      </c>
      <c r="M2180" s="6"/>
      <c r="N2180" s="7"/>
      <c r="O2180" s="6"/>
      <c r="P2180" s="7"/>
      <c r="Q2180" s="6"/>
      <c r="R2180" s="7"/>
      <c r="S2180" s="6"/>
      <c r="T2180" s="7"/>
      <c r="U2180" s="6"/>
      <c r="V2180" s="7"/>
      <c r="W2180" s="6"/>
      <c r="X2180" s="7"/>
    </row>
    <row r="2181" spans="1:24" ht="25.5" x14ac:dyDescent="0.2">
      <c r="A2181" s="6"/>
      <c r="B2181" s="7"/>
      <c r="C2181" s="6"/>
      <c r="D2181" s="7"/>
      <c r="E2181" s="6"/>
      <c r="F2181" s="7"/>
      <c r="G2181" s="6"/>
      <c r="H2181" s="7"/>
      <c r="I2181" s="6"/>
      <c r="J2181" s="7"/>
      <c r="K2181" s="96" t="str">
        <f>HYPERLINK("#'Healthcare'!CEW1","Q6.17.12_23")</f>
        <v>Q6.17.12_23</v>
      </c>
      <c r="L2181" s="93" t="str">
        <f>HYPERLINK("#'Healthcare'!CEW2","Primary PPO dental plan: Service frequency limit: Tooth sealants")</f>
        <v>Primary PPO dental plan: Service frequency limit: Tooth sealants</v>
      </c>
      <c r="M2181" s="6"/>
      <c r="N2181" s="7"/>
      <c r="O2181" s="6"/>
      <c r="P2181" s="7"/>
      <c r="Q2181" s="6"/>
      <c r="R2181" s="7"/>
      <c r="S2181" s="6"/>
      <c r="T2181" s="7"/>
      <c r="U2181" s="6"/>
      <c r="V2181" s="7"/>
      <c r="W2181" s="6"/>
      <c r="X2181" s="7"/>
    </row>
    <row r="2182" spans="1:24" ht="25.5" x14ac:dyDescent="0.2">
      <c r="A2182" s="6"/>
      <c r="B2182" s="7"/>
      <c r="C2182" s="6"/>
      <c r="D2182" s="7"/>
      <c r="E2182" s="6"/>
      <c r="F2182" s="7"/>
      <c r="G2182" s="6"/>
      <c r="H2182" s="7"/>
      <c r="I2182" s="6"/>
      <c r="J2182" s="7"/>
      <c r="K2182" s="96" t="str">
        <f>HYPERLINK("#'Healthcare'!CEX1","Q6.17.12_24")</f>
        <v>Q6.17.12_24</v>
      </c>
      <c r="L2182" s="93" t="str">
        <f>HYPERLINK("#'Healthcare'!CEX2","Primary PPO dental plan: Service frequency limit: Topical fluoride treatments")</f>
        <v>Primary PPO dental plan: Service frequency limit: Topical fluoride treatments</v>
      </c>
      <c r="M2182" s="6"/>
      <c r="N2182" s="7"/>
      <c r="O2182" s="6"/>
      <c r="P2182" s="7"/>
      <c r="Q2182" s="6"/>
      <c r="R2182" s="7"/>
      <c r="S2182" s="6"/>
      <c r="T2182" s="7"/>
      <c r="U2182" s="6"/>
      <c r="V2182" s="7"/>
      <c r="W2182" s="6"/>
      <c r="X2182" s="7"/>
    </row>
    <row r="2183" spans="1:24" ht="25.5" x14ac:dyDescent="0.2">
      <c r="A2183" s="6"/>
      <c r="B2183" s="7"/>
      <c r="C2183" s="6"/>
      <c r="D2183" s="7"/>
      <c r="E2183" s="6"/>
      <c r="F2183" s="7"/>
      <c r="G2183" s="6"/>
      <c r="H2183" s="7"/>
      <c r="I2183" s="6"/>
      <c r="J2183" s="7"/>
      <c r="K2183" s="96" t="str">
        <f>HYPERLINK("#'Healthcare'!CEY1","Q6.17.12_25")</f>
        <v>Q6.17.12_25</v>
      </c>
      <c r="L2183" s="93" t="str">
        <f>HYPERLINK("#'Healthcare'!CEY2","Primary PPO dental plan: Service frequency limit: X-rays - bitewings")</f>
        <v>Primary PPO dental plan: Service frequency limit: X-rays - bitewings</v>
      </c>
      <c r="M2183" s="6"/>
      <c r="N2183" s="7"/>
      <c r="O2183" s="6"/>
      <c r="P2183" s="7"/>
      <c r="Q2183" s="6"/>
      <c r="R2183" s="7"/>
      <c r="S2183" s="6"/>
      <c r="T2183" s="7"/>
      <c r="U2183" s="6"/>
      <c r="V2183" s="7"/>
      <c r="W2183" s="6"/>
      <c r="X2183" s="7"/>
    </row>
    <row r="2184" spans="1:24" ht="25.5" x14ac:dyDescent="0.2">
      <c r="A2184" s="6"/>
      <c r="B2184" s="7"/>
      <c r="C2184" s="6"/>
      <c r="D2184" s="7"/>
      <c r="E2184" s="6"/>
      <c r="F2184" s="7"/>
      <c r="G2184" s="6"/>
      <c r="H2184" s="7"/>
      <c r="I2184" s="6"/>
      <c r="J2184" s="7"/>
      <c r="K2184" s="96" t="str">
        <f>HYPERLINK("#'Healthcare'!CEZ1","Q6.17.12_26")</f>
        <v>Q6.17.12_26</v>
      </c>
      <c r="L2184" s="93" t="str">
        <f>HYPERLINK("#'Healthcare'!CEZ2","Primary PPO dental plan: Service frequency limit: X-rays - full-mouth, panorex")</f>
        <v>Primary PPO dental plan: Service frequency limit: X-rays - full-mouth, panorex</v>
      </c>
      <c r="M2184" s="6"/>
      <c r="N2184" s="7"/>
      <c r="O2184" s="6"/>
      <c r="P2184" s="7"/>
      <c r="Q2184" s="6"/>
      <c r="R2184" s="7"/>
      <c r="S2184" s="6"/>
      <c r="T2184" s="7"/>
      <c r="U2184" s="6"/>
      <c r="V2184" s="7"/>
      <c r="W2184" s="6"/>
      <c r="X2184" s="7"/>
    </row>
    <row r="2185" spans="1:24" ht="25.5" x14ac:dyDescent="0.2">
      <c r="A2185" s="6"/>
      <c r="B2185" s="7"/>
      <c r="C2185" s="6"/>
      <c r="D2185" s="7"/>
      <c r="E2185" s="6"/>
      <c r="F2185" s="7"/>
      <c r="G2185" s="6"/>
      <c r="H2185" s="7"/>
      <c r="I2185" s="6"/>
      <c r="J2185" s="7"/>
      <c r="K2185" s="96" t="str">
        <f>HYPERLINK("#'Healthcare'!CFA1","Q6.17.12_27")</f>
        <v>Q6.17.12_27</v>
      </c>
      <c r="L2185" s="93" t="str">
        <f>HYPERLINK("#'Healthcare'!CFA2","Primary PPO dental plan: Service frequency limit: X-rays - periapical")</f>
        <v>Primary PPO dental plan: Service frequency limit: X-rays - periapical</v>
      </c>
      <c r="M2185" s="6"/>
      <c r="N2185" s="7"/>
      <c r="O2185" s="6"/>
      <c r="P2185" s="7"/>
      <c r="Q2185" s="6"/>
      <c r="R2185" s="7"/>
      <c r="S2185" s="6"/>
      <c r="T2185" s="7"/>
      <c r="U2185" s="6"/>
      <c r="V2185" s="7"/>
      <c r="W2185" s="6"/>
      <c r="X2185" s="7"/>
    </row>
    <row r="2186" spans="1:24" ht="25.5" x14ac:dyDescent="0.2">
      <c r="A2186" s="6"/>
      <c r="B2186" s="7"/>
      <c r="C2186" s="6"/>
      <c r="D2186" s="7"/>
      <c r="E2186" s="6"/>
      <c r="F2186" s="7"/>
      <c r="G2186" s="6"/>
      <c r="H2186" s="7"/>
      <c r="I2186" s="6"/>
      <c r="J2186" s="7"/>
      <c r="K2186" s="96" t="str">
        <f>HYPERLINK("#'Healthcare'!CFB1","Q6.17.13_1")</f>
        <v>Q6.17.13_1</v>
      </c>
      <c r="L2186" s="93" t="str">
        <f>HYPERLINK("#'Healthcare'!CFB2","Primary PPO dental plan: Age limit applies: Amalgam fillings")</f>
        <v>Primary PPO dental plan: Age limit applies: Amalgam fillings</v>
      </c>
      <c r="M2186" s="6"/>
      <c r="N2186" s="7"/>
      <c r="O2186" s="6"/>
      <c r="P2186" s="7"/>
      <c r="Q2186" s="6"/>
      <c r="R2186" s="7"/>
      <c r="S2186" s="6"/>
      <c r="T2186" s="7"/>
      <c r="U2186" s="6"/>
      <c r="V2186" s="7"/>
      <c r="W2186" s="6"/>
      <c r="X2186" s="7"/>
    </row>
    <row r="2187" spans="1:24" ht="25.5" x14ac:dyDescent="0.2">
      <c r="A2187" s="6"/>
      <c r="B2187" s="7"/>
      <c r="C2187" s="6"/>
      <c r="D2187" s="7"/>
      <c r="E2187" s="6"/>
      <c r="F2187" s="7"/>
      <c r="G2187" s="6"/>
      <c r="H2187" s="7"/>
      <c r="I2187" s="6"/>
      <c r="J2187" s="7"/>
      <c r="K2187" s="96" t="str">
        <f>HYPERLINK("#'Healthcare'!CFC1","Q6.17.13_2")</f>
        <v>Q6.17.13_2</v>
      </c>
      <c r="L2187" s="93" t="str">
        <f>HYPERLINK("#'Healthcare'!CFC2","Primary PPO dental plan: Age limit applies: Anesthesia/sedation")</f>
        <v>Primary PPO dental plan: Age limit applies: Anesthesia/sedation</v>
      </c>
      <c r="M2187" s="6"/>
      <c r="N2187" s="7"/>
      <c r="O2187" s="6"/>
      <c r="P2187" s="7"/>
      <c r="Q2187" s="6"/>
      <c r="R2187" s="7"/>
      <c r="S2187" s="6"/>
      <c r="T2187" s="7"/>
      <c r="U2187" s="6"/>
      <c r="V2187" s="7"/>
      <c r="W2187" s="6"/>
      <c r="X2187" s="7"/>
    </row>
    <row r="2188" spans="1:24" ht="25.5" x14ac:dyDescent="0.2">
      <c r="A2188" s="6"/>
      <c r="B2188" s="7"/>
      <c r="C2188" s="6"/>
      <c r="D2188" s="7"/>
      <c r="E2188" s="6"/>
      <c r="F2188" s="7"/>
      <c r="G2188" s="6"/>
      <c r="H2188" s="7"/>
      <c r="I2188" s="6"/>
      <c r="J2188" s="7"/>
      <c r="K2188" s="96" t="str">
        <f>HYPERLINK("#'Healthcare'!CFD1","Q6.17.13_3")</f>
        <v>Q6.17.13_3</v>
      </c>
      <c r="L2188" s="93" t="str">
        <f>HYPERLINK("#'Healthcare'!CFD2","Primary PPO dental plan: Age limit applies: Bridgework")</f>
        <v>Primary PPO dental plan: Age limit applies: Bridgework</v>
      </c>
      <c r="M2188" s="6"/>
      <c r="N2188" s="7"/>
      <c r="O2188" s="6"/>
      <c r="P2188" s="7"/>
      <c r="Q2188" s="6"/>
      <c r="R2188" s="7"/>
      <c r="S2188" s="6"/>
      <c r="T2188" s="7"/>
      <c r="U2188" s="6"/>
      <c r="V2188" s="7"/>
      <c r="W2188" s="6"/>
      <c r="X2188" s="7"/>
    </row>
    <row r="2189" spans="1:24" ht="25.5" x14ac:dyDescent="0.2">
      <c r="A2189" s="6"/>
      <c r="B2189" s="7"/>
      <c r="C2189" s="6"/>
      <c r="D2189" s="7"/>
      <c r="E2189" s="6"/>
      <c r="F2189" s="7"/>
      <c r="G2189" s="6"/>
      <c r="H2189" s="7"/>
      <c r="I2189" s="6"/>
      <c r="J2189" s="7"/>
      <c r="K2189" s="96" t="str">
        <f>HYPERLINK("#'Healthcare'!CFE1","Q6.17.13_4")</f>
        <v>Q6.17.13_4</v>
      </c>
      <c r="L2189" s="93" t="str">
        <f>HYPERLINK("#'Healthcare'!CFE2","Primary PPO dental plan: Age limit applies: Cleanings (prophylaxis)")</f>
        <v>Primary PPO dental plan: Age limit applies: Cleanings (prophylaxis)</v>
      </c>
      <c r="M2189" s="6"/>
      <c r="N2189" s="7"/>
      <c r="O2189" s="6"/>
      <c r="P2189" s="7"/>
      <c r="Q2189" s="6"/>
      <c r="R2189" s="7"/>
      <c r="S2189" s="6"/>
      <c r="T2189" s="7"/>
      <c r="U2189" s="6"/>
      <c r="V2189" s="7"/>
      <c r="W2189" s="6"/>
      <c r="X2189" s="7"/>
    </row>
    <row r="2190" spans="1:24" ht="25.5" x14ac:dyDescent="0.2">
      <c r="A2190" s="6"/>
      <c r="B2190" s="7"/>
      <c r="C2190" s="6"/>
      <c r="D2190" s="7"/>
      <c r="E2190" s="6"/>
      <c r="F2190" s="7"/>
      <c r="G2190" s="6"/>
      <c r="H2190" s="7"/>
      <c r="I2190" s="6"/>
      <c r="J2190" s="7"/>
      <c r="K2190" s="96" t="str">
        <f>HYPERLINK("#'Healthcare'!CFF1","Q6.17.13_5")</f>
        <v>Q6.17.13_5</v>
      </c>
      <c r="L2190" s="93" t="str">
        <f>HYPERLINK("#'Healthcare'!CFF2","Primary PPO dental plan: Age limit applies: Composite fillings (white fillings)")</f>
        <v>Primary PPO dental plan: Age limit applies: Composite fillings (white fillings)</v>
      </c>
      <c r="M2190" s="6"/>
      <c r="N2190" s="7"/>
      <c r="O2190" s="6"/>
      <c r="P2190" s="7"/>
      <c r="Q2190" s="6"/>
      <c r="R2190" s="7"/>
      <c r="S2190" s="6"/>
      <c r="T2190" s="7"/>
      <c r="U2190" s="6"/>
      <c r="V2190" s="7"/>
      <c r="W2190" s="6"/>
      <c r="X2190" s="7"/>
    </row>
    <row r="2191" spans="1:24" ht="25.5" x14ac:dyDescent="0.2">
      <c r="A2191" s="6"/>
      <c r="B2191" s="7"/>
      <c r="C2191" s="6"/>
      <c r="D2191" s="7"/>
      <c r="E2191" s="6"/>
      <c r="F2191" s="7"/>
      <c r="G2191" s="6"/>
      <c r="H2191" s="7"/>
      <c r="I2191" s="6"/>
      <c r="J2191" s="7"/>
      <c r="K2191" s="96" t="str">
        <f>HYPERLINK("#'Healthcare'!CFG1","Q6.17.13_6")</f>
        <v>Q6.17.13_6</v>
      </c>
      <c r="L2191" s="93" t="str">
        <f>HYPERLINK("#'Healthcare'!CFG2","Primary PPO dental plan: Age limit applies: Crowns")</f>
        <v>Primary PPO dental plan: Age limit applies: Crowns</v>
      </c>
      <c r="M2191" s="6"/>
      <c r="N2191" s="7"/>
      <c r="O2191" s="6"/>
      <c r="P2191" s="7"/>
      <c r="Q2191" s="6"/>
      <c r="R2191" s="7"/>
      <c r="S2191" s="6"/>
      <c r="T2191" s="7"/>
      <c r="U2191" s="6"/>
      <c r="V2191" s="7"/>
      <c r="W2191" s="6"/>
      <c r="X2191" s="7"/>
    </row>
    <row r="2192" spans="1:24" ht="25.5" x14ac:dyDescent="0.2">
      <c r="A2192" s="6"/>
      <c r="B2192" s="7"/>
      <c r="C2192" s="6"/>
      <c r="D2192" s="7"/>
      <c r="E2192" s="6"/>
      <c r="F2192" s="7"/>
      <c r="G2192" s="6"/>
      <c r="H2192" s="7"/>
      <c r="I2192" s="6"/>
      <c r="J2192" s="7"/>
      <c r="K2192" s="96" t="str">
        <f>HYPERLINK("#'Healthcare'!CFH1","Q6.17.13_7")</f>
        <v>Q6.17.13_7</v>
      </c>
      <c r="L2192" s="93" t="str">
        <f>HYPERLINK("#'Healthcare'!CFH2","Primary PPO dental plan: Age limit applies: Denture repair")</f>
        <v>Primary PPO dental plan: Age limit applies: Denture repair</v>
      </c>
      <c r="M2192" s="6"/>
      <c r="N2192" s="7"/>
      <c r="O2192" s="6"/>
      <c r="P2192" s="7"/>
      <c r="Q2192" s="6"/>
      <c r="R2192" s="7"/>
      <c r="S2192" s="6"/>
      <c r="T2192" s="7"/>
      <c r="U2192" s="6"/>
      <c r="V2192" s="7"/>
      <c r="W2192" s="6"/>
      <c r="X2192" s="7"/>
    </row>
    <row r="2193" spans="1:24" ht="25.5" x14ac:dyDescent="0.2">
      <c r="A2193" s="6"/>
      <c r="B2193" s="7"/>
      <c r="C2193" s="6"/>
      <c r="D2193" s="7"/>
      <c r="E2193" s="6"/>
      <c r="F2193" s="7"/>
      <c r="G2193" s="6"/>
      <c r="H2193" s="7"/>
      <c r="I2193" s="6"/>
      <c r="J2193" s="7"/>
      <c r="K2193" s="96" t="str">
        <f>HYPERLINK("#'Healthcare'!CFI1","Q6.17.13_8")</f>
        <v>Q6.17.13_8</v>
      </c>
      <c r="L2193" s="93" t="str">
        <f>HYPERLINK("#'Healthcare'!CFI2","Primary PPO dental plan: Age limit applies: Dentures (relines &amp; rebases)")</f>
        <v>Primary PPO dental plan: Age limit applies: Dentures (relines &amp; rebases)</v>
      </c>
      <c r="M2193" s="6"/>
      <c r="N2193" s="7"/>
      <c r="O2193" s="6"/>
      <c r="P2193" s="7"/>
      <c r="Q2193" s="6"/>
      <c r="R2193" s="7"/>
      <c r="S2193" s="6"/>
      <c r="T2193" s="7"/>
      <c r="U2193" s="6"/>
      <c r="V2193" s="7"/>
      <c r="W2193" s="6"/>
      <c r="X2193" s="7"/>
    </row>
    <row r="2194" spans="1:24" ht="25.5" x14ac:dyDescent="0.2">
      <c r="A2194" s="6"/>
      <c r="B2194" s="7"/>
      <c r="C2194" s="6"/>
      <c r="D2194" s="7"/>
      <c r="E2194" s="6"/>
      <c r="F2194" s="7"/>
      <c r="G2194" s="6"/>
      <c r="H2194" s="7"/>
      <c r="I2194" s="6"/>
      <c r="J2194" s="7"/>
      <c r="K2194" s="96" t="str">
        <f>HYPERLINK("#'Healthcare'!CFJ1","Q6.17.13_9")</f>
        <v>Q6.17.13_9</v>
      </c>
      <c r="L2194" s="93" t="str">
        <f>HYPERLINK("#'Healthcare'!CFJ2","Primary PPO dental plan: Age limit applies: Dentures (removable &amp; Partial)")</f>
        <v>Primary PPO dental plan: Age limit applies: Dentures (removable &amp; Partial)</v>
      </c>
      <c r="M2194" s="6"/>
      <c r="N2194" s="7"/>
      <c r="O2194" s="6"/>
      <c r="P2194" s="7"/>
      <c r="Q2194" s="6"/>
      <c r="R2194" s="7"/>
      <c r="S2194" s="6"/>
      <c r="T2194" s="7"/>
      <c r="U2194" s="6"/>
      <c r="V2194" s="7"/>
      <c r="W2194" s="6"/>
      <c r="X2194" s="7"/>
    </row>
    <row r="2195" spans="1:24" ht="25.5" x14ac:dyDescent="0.2">
      <c r="A2195" s="6"/>
      <c r="B2195" s="7"/>
      <c r="C2195" s="6"/>
      <c r="D2195" s="7"/>
      <c r="E2195" s="6"/>
      <c r="F2195" s="7"/>
      <c r="G2195" s="6"/>
      <c r="H2195" s="7"/>
      <c r="I2195" s="6"/>
      <c r="J2195" s="7"/>
      <c r="K2195" s="96" t="str">
        <f>HYPERLINK("#'Healthcare'!CFK1","Q6.17.13_10")</f>
        <v>Q6.17.13_10</v>
      </c>
      <c r="L2195" s="93" t="str">
        <f>HYPERLINK("#'Healthcare'!CFK2","Primary PPO dental plan: Age limit applies: Examinations (non-routine)")</f>
        <v>Primary PPO dental plan: Age limit applies: Examinations (non-routine)</v>
      </c>
      <c r="M2195" s="6"/>
      <c r="N2195" s="7"/>
      <c r="O2195" s="6"/>
      <c r="P2195" s="7"/>
      <c r="Q2195" s="6"/>
      <c r="R2195" s="7"/>
      <c r="S2195" s="6"/>
      <c r="T2195" s="7"/>
      <c r="U2195" s="6"/>
      <c r="V2195" s="7"/>
      <c r="W2195" s="6"/>
      <c r="X2195" s="7"/>
    </row>
    <row r="2196" spans="1:24" ht="25.5" x14ac:dyDescent="0.2">
      <c r="A2196" s="6"/>
      <c r="B2196" s="7"/>
      <c r="C2196" s="6"/>
      <c r="D2196" s="7"/>
      <c r="E2196" s="6"/>
      <c r="F2196" s="7"/>
      <c r="G2196" s="6"/>
      <c r="H2196" s="7"/>
      <c r="I2196" s="6"/>
      <c r="J2196" s="7"/>
      <c r="K2196" s="96" t="str">
        <f>HYPERLINK("#'Healthcare'!CFL1","Q6.17.13_11")</f>
        <v>Q6.17.13_11</v>
      </c>
      <c r="L2196" s="93" t="str">
        <f>HYPERLINK("#'Healthcare'!CFL2","Primary PPO dental plan: Age limit applies: Examinations (routine)")</f>
        <v>Primary PPO dental plan: Age limit applies: Examinations (routine)</v>
      </c>
      <c r="M2196" s="6"/>
      <c r="N2196" s="7"/>
      <c r="O2196" s="6"/>
      <c r="P2196" s="7"/>
      <c r="Q2196" s="6"/>
      <c r="R2196" s="7"/>
      <c r="S2196" s="6"/>
      <c r="T2196" s="7"/>
      <c r="U2196" s="6"/>
      <c r="V2196" s="7"/>
      <c r="W2196" s="6"/>
      <c r="X2196" s="7"/>
    </row>
    <row r="2197" spans="1:24" ht="25.5" x14ac:dyDescent="0.2">
      <c r="A2197" s="6"/>
      <c r="B2197" s="7"/>
      <c r="C2197" s="6"/>
      <c r="D2197" s="7"/>
      <c r="E2197" s="6"/>
      <c r="F2197" s="7"/>
      <c r="G2197" s="6"/>
      <c r="H2197" s="7"/>
      <c r="I2197" s="6"/>
      <c r="J2197" s="7"/>
      <c r="K2197" s="96" t="str">
        <f>HYPERLINK("#'Healthcare'!CFM1","Q6.17.13_12")</f>
        <v>Q6.17.13_12</v>
      </c>
      <c r="L2197" s="93" t="str">
        <f>HYPERLINK("#'Healthcare'!CFM2","Primary PPO dental plan: Age limit applies: Fluoride treatments")</f>
        <v>Primary PPO dental plan: Age limit applies: Fluoride treatments</v>
      </c>
      <c r="M2197" s="6"/>
      <c r="N2197" s="7"/>
      <c r="O2197" s="6"/>
      <c r="P2197" s="7"/>
      <c r="Q2197" s="6"/>
      <c r="R2197" s="7"/>
      <c r="S2197" s="6"/>
      <c r="T2197" s="7"/>
      <c r="U2197" s="6"/>
      <c r="V2197" s="7"/>
      <c r="W2197" s="6"/>
      <c r="X2197" s="7"/>
    </row>
    <row r="2198" spans="1:24" ht="25.5" x14ac:dyDescent="0.2">
      <c r="A2198" s="6"/>
      <c r="B2198" s="7"/>
      <c r="C2198" s="6"/>
      <c r="D2198" s="7"/>
      <c r="E2198" s="6"/>
      <c r="F2198" s="7"/>
      <c r="G2198" s="6"/>
      <c r="H2198" s="7"/>
      <c r="I2198" s="6"/>
      <c r="J2198" s="7"/>
      <c r="K2198" s="96" t="str">
        <f>HYPERLINK("#'Healthcare'!CFN1","Q6.17.13_13")</f>
        <v>Q6.17.13_13</v>
      </c>
      <c r="L2198" s="93" t="str">
        <f>HYPERLINK("#'Healthcare'!CFN2","Primary PPO dental plan: Age limit applies: Implants")</f>
        <v>Primary PPO dental plan: Age limit applies: Implants</v>
      </c>
      <c r="M2198" s="6"/>
      <c r="N2198" s="7"/>
      <c r="O2198" s="6"/>
      <c r="P2198" s="7"/>
      <c r="Q2198" s="6"/>
      <c r="R2198" s="7"/>
      <c r="S2198" s="6"/>
      <c r="T2198" s="7"/>
      <c r="U2198" s="6"/>
      <c r="V2198" s="7"/>
      <c r="W2198" s="6"/>
      <c r="X2198" s="7"/>
    </row>
    <row r="2199" spans="1:24" ht="25.5" x14ac:dyDescent="0.2">
      <c r="A2199" s="6"/>
      <c r="B2199" s="7"/>
      <c r="C2199" s="6"/>
      <c r="D2199" s="7"/>
      <c r="E2199" s="6"/>
      <c r="F2199" s="7"/>
      <c r="G2199" s="6"/>
      <c r="H2199" s="7"/>
      <c r="I2199" s="6"/>
      <c r="J2199" s="7"/>
      <c r="K2199" s="96" t="str">
        <f>HYPERLINK("#'Healthcare'!CFO1","Q6.17.13_14")</f>
        <v>Q6.17.13_14</v>
      </c>
      <c r="L2199" s="93" t="str">
        <f>HYPERLINK("#'Healthcare'!CFO2","Primary PPO dental plan: Age limit applies: Inlays &amp; onlays")</f>
        <v>Primary PPO dental plan: Age limit applies: Inlays &amp; onlays</v>
      </c>
      <c r="M2199" s="6"/>
      <c r="N2199" s="7"/>
      <c r="O2199" s="6"/>
      <c r="P2199" s="7"/>
      <c r="Q2199" s="6"/>
      <c r="R2199" s="7"/>
      <c r="S2199" s="6"/>
      <c r="T2199" s="7"/>
      <c r="U2199" s="6"/>
      <c r="V2199" s="7"/>
      <c r="W2199" s="6"/>
      <c r="X2199" s="7"/>
    </row>
    <row r="2200" spans="1:24" ht="25.5" x14ac:dyDescent="0.2">
      <c r="A2200" s="6"/>
      <c r="B2200" s="7"/>
      <c r="C2200" s="6"/>
      <c r="D2200" s="7"/>
      <c r="E2200" s="6"/>
      <c r="F2200" s="7"/>
      <c r="G2200" s="6"/>
      <c r="H2200" s="7"/>
      <c r="I2200" s="6"/>
      <c r="J2200" s="7"/>
      <c r="K2200" s="96" t="str">
        <f>HYPERLINK("#'Healthcare'!CFP1","Q6.17.13_15")</f>
        <v>Q6.17.13_15</v>
      </c>
      <c r="L2200" s="93" t="str">
        <f>HYPERLINK("#'Healthcare'!CFP2","Primary PPO dental plan: Age limit applies: Night guards")</f>
        <v>Primary PPO dental plan: Age limit applies: Night guards</v>
      </c>
      <c r="M2200" s="6"/>
      <c r="N2200" s="7"/>
      <c r="O2200" s="6"/>
      <c r="P2200" s="7"/>
      <c r="Q2200" s="6"/>
      <c r="R2200" s="7"/>
      <c r="S2200" s="6"/>
      <c r="T2200" s="7"/>
      <c r="U2200" s="6"/>
      <c r="V2200" s="7"/>
      <c r="W2200" s="6"/>
      <c r="X2200" s="7"/>
    </row>
    <row r="2201" spans="1:24" ht="25.5" x14ac:dyDescent="0.2">
      <c r="A2201" s="6"/>
      <c r="B2201" s="7"/>
      <c r="C2201" s="6"/>
      <c r="D2201" s="7"/>
      <c r="E2201" s="6"/>
      <c r="F2201" s="7"/>
      <c r="G2201" s="6"/>
      <c r="H2201" s="7"/>
      <c r="I2201" s="6"/>
      <c r="J2201" s="7"/>
      <c r="K2201" s="96" t="str">
        <f>HYPERLINK("#'Healthcare'!CFQ1","Q6.17.13_16")</f>
        <v>Q6.17.13_16</v>
      </c>
      <c r="L2201" s="93" t="str">
        <f>HYPERLINK("#'Healthcare'!CFQ2","Primary PPO dental plan: Age limit applies: Oral surgery")</f>
        <v>Primary PPO dental plan: Age limit applies: Oral surgery</v>
      </c>
      <c r="M2201" s="6"/>
      <c r="N2201" s="7"/>
      <c r="O2201" s="6"/>
      <c r="P2201" s="7"/>
      <c r="Q2201" s="6"/>
      <c r="R2201" s="7"/>
      <c r="S2201" s="6"/>
      <c r="T2201" s="7"/>
      <c r="U2201" s="6"/>
      <c r="V2201" s="7"/>
      <c r="W2201" s="6"/>
      <c r="X2201" s="7"/>
    </row>
    <row r="2202" spans="1:24" ht="25.5" x14ac:dyDescent="0.2">
      <c r="A2202" s="6"/>
      <c r="B2202" s="7"/>
      <c r="C2202" s="6"/>
      <c r="D2202" s="7"/>
      <c r="E2202" s="6"/>
      <c r="F2202" s="7"/>
      <c r="G2202" s="6"/>
      <c r="H2202" s="7"/>
      <c r="I2202" s="6"/>
      <c r="J2202" s="7"/>
      <c r="K2202" s="96" t="str">
        <f>HYPERLINK("#'Healthcare'!CFR1","Q6.17.13_17")</f>
        <v>Q6.17.13_17</v>
      </c>
      <c r="L2202" s="93" t="str">
        <f>HYPERLINK("#'Healthcare'!CFR2","Primary PPO dental plan: Age limit applies: Orthodontia")</f>
        <v>Primary PPO dental plan: Age limit applies: Orthodontia</v>
      </c>
      <c r="M2202" s="6"/>
      <c r="N2202" s="7"/>
      <c r="O2202" s="6"/>
      <c r="P2202" s="7"/>
      <c r="Q2202" s="6"/>
      <c r="R2202" s="7"/>
      <c r="S2202" s="6"/>
      <c r="T2202" s="7"/>
      <c r="U2202" s="6"/>
      <c r="V2202" s="7"/>
      <c r="W2202" s="6"/>
      <c r="X2202" s="7"/>
    </row>
    <row r="2203" spans="1:24" ht="25.5" x14ac:dyDescent="0.2">
      <c r="A2203" s="6"/>
      <c r="B2203" s="7"/>
      <c r="C2203" s="6"/>
      <c r="D2203" s="7"/>
      <c r="E2203" s="6"/>
      <c r="F2203" s="7"/>
      <c r="G2203" s="6"/>
      <c r="H2203" s="7"/>
      <c r="I2203" s="6"/>
      <c r="J2203" s="7"/>
      <c r="K2203" s="96" t="str">
        <f>HYPERLINK("#'Healthcare'!CFS1","Q6.17.13_18")</f>
        <v>Q6.17.13_18</v>
      </c>
      <c r="L2203" s="93" t="str">
        <f>HYPERLINK("#'Healthcare'!CFS2","Primary PPO dental plan: Age limit applies: Periodontal scaling &amp; root planing")</f>
        <v>Primary PPO dental plan: Age limit applies: Periodontal scaling &amp; root planing</v>
      </c>
      <c r="M2203" s="6"/>
      <c r="N2203" s="7"/>
      <c r="O2203" s="6"/>
      <c r="P2203" s="7"/>
      <c r="Q2203" s="6"/>
      <c r="R2203" s="7"/>
      <c r="S2203" s="6"/>
      <c r="T2203" s="7"/>
      <c r="U2203" s="6"/>
      <c r="V2203" s="7"/>
      <c r="W2203" s="6"/>
      <c r="X2203" s="7"/>
    </row>
    <row r="2204" spans="1:24" ht="25.5" x14ac:dyDescent="0.2">
      <c r="A2204" s="6"/>
      <c r="B2204" s="7"/>
      <c r="C2204" s="6"/>
      <c r="D2204" s="7"/>
      <c r="E2204" s="6"/>
      <c r="F2204" s="7"/>
      <c r="G2204" s="6"/>
      <c r="H2204" s="7"/>
      <c r="I2204" s="6"/>
      <c r="J2204" s="7"/>
      <c r="K2204" s="96" t="str">
        <f>HYPERLINK("#'Healthcare'!CFT1","Q6.17.13_19")</f>
        <v>Q6.17.13_19</v>
      </c>
      <c r="L2204" s="93" t="str">
        <f>HYPERLINK("#'Healthcare'!CFT2","Primary PPO dental plan: Age limit applies: Periodontal surgery")</f>
        <v>Primary PPO dental plan: Age limit applies: Periodontal surgery</v>
      </c>
      <c r="M2204" s="6"/>
      <c r="N2204" s="7"/>
      <c r="O2204" s="6"/>
      <c r="P2204" s="7"/>
      <c r="Q2204" s="6"/>
      <c r="R2204" s="7"/>
      <c r="S2204" s="6"/>
      <c r="T2204" s="7"/>
      <c r="U2204" s="6"/>
      <c r="V2204" s="7"/>
      <c r="W2204" s="6"/>
      <c r="X2204" s="7"/>
    </row>
    <row r="2205" spans="1:24" ht="25.5" x14ac:dyDescent="0.2">
      <c r="A2205" s="6"/>
      <c r="B2205" s="7"/>
      <c r="C2205" s="6"/>
      <c r="D2205" s="7"/>
      <c r="E2205" s="6"/>
      <c r="F2205" s="7"/>
      <c r="G2205" s="6"/>
      <c r="H2205" s="7"/>
      <c r="I2205" s="6"/>
      <c r="J2205" s="7"/>
      <c r="K2205" s="96" t="str">
        <f>HYPERLINK("#'Healthcare'!CFU1","Q6.17.13_20")</f>
        <v>Q6.17.13_20</v>
      </c>
      <c r="L2205" s="93" t="str">
        <f>HYPERLINK("#'Healthcare'!CFU2","Primary PPO dental plan: Age limit applies: Root canals")</f>
        <v>Primary PPO dental plan: Age limit applies: Root canals</v>
      </c>
      <c r="M2205" s="6"/>
      <c r="N2205" s="7"/>
      <c r="O2205" s="6"/>
      <c r="P2205" s="7"/>
      <c r="Q2205" s="6"/>
      <c r="R2205" s="7"/>
      <c r="S2205" s="6"/>
      <c r="T2205" s="7"/>
      <c r="U2205" s="6"/>
      <c r="V2205" s="7"/>
      <c r="W2205" s="6"/>
      <c r="X2205" s="7"/>
    </row>
    <row r="2206" spans="1:24" ht="25.5" x14ac:dyDescent="0.2">
      <c r="A2206" s="6"/>
      <c r="B2206" s="7"/>
      <c r="C2206" s="6"/>
      <c r="D2206" s="7"/>
      <c r="E2206" s="6"/>
      <c r="F2206" s="7"/>
      <c r="G2206" s="6"/>
      <c r="H2206" s="7"/>
      <c r="I2206" s="6"/>
      <c r="J2206" s="7"/>
      <c r="K2206" s="96" t="str">
        <f>HYPERLINK("#'Healthcare'!CFV1","Q6.17.13_21")</f>
        <v>Q6.17.13_21</v>
      </c>
      <c r="L2206" s="93" t="str">
        <f>HYPERLINK("#'Healthcare'!CFV2","Primary PPO dental plan: Age limit applies: Space maintainers")</f>
        <v>Primary PPO dental plan: Age limit applies: Space maintainers</v>
      </c>
      <c r="M2206" s="6"/>
      <c r="N2206" s="7"/>
      <c r="O2206" s="6"/>
      <c r="P2206" s="7"/>
      <c r="Q2206" s="6"/>
      <c r="R2206" s="7"/>
      <c r="S2206" s="6"/>
      <c r="T2206" s="7"/>
      <c r="U2206" s="6"/>
      <c r="V2206" s="7"/>
      <c r="W2206" s="6"/>
      <c r="X2206" s="7"/>
    </row>
    <row r="2207" spans="1:24" ht="25.5" x14ac:dyDescent="0.2">
      <c r="A2207" s="6"/>
      <c r="B2207" s="7"/>
      <c r="C2207" s="6"/>
      <c r="D2207" s="7"/>
      <c r="E2207" s="6"/>
      <c r="F2207" s="7"/>
      <c r="G2207" s="6"/>
      <c r="H2207" s="7"/>
      <c r="I2207" s="6"/>
      <c r="J2207" s="7"/>
      <c r="K2207" s="96" t="str">
        <f>HYPERLINK("#'Healthcare'!CFW1","Q6.17.13_22")</f>
        <v>Q6.17.13_22</v>
      </c>
      <c r="L2207" s="93" t="str">
        <f>HYPERLINK("#'Healthcare'!CFW2","Primary PPO dental plan: Age limit applies: Tooth extractions")</f>
        <v>Primary PPO dental plan: Age limit applies: Tooth extractions</v>
      </c>
      <c r="M2207" s="6"/>
      <c r="N2207" s="7"/>
      <c r="O2207" s="6"/>
      <c r="P2207" s="7"/>
      <c r="Q2207" s="6"/>
      <c r="R2207" s="7"/>
      <c r="S2207" s="6"/>
      <c r="T2207" s="7"/>
      <c r="U2207" s="6"/>
      <c r="V2207" s="7"/>
      <c r="W2207" s="6"/>
      <c r="X2207" s="7"/>
    </row>
    <row r="2208" spans="1:24" ht="25.5" x14ac:dyDescent="0.2">
      <c r="A2208" s="6"/>
      <c r="B2208" s="7"/>
      <c r="C2208" s="6"/>
      <c r="D2208" s="7"/>
      <c r="E2208" s="6"/>
      <c r="F2208" s="7"/>
      <c r="G2208" s="6"/>
      <c r="H2208" s="7"/>
      <c r="I2208" s="6"/>
      <c r="J2208" s="7"/>
      <c r="K2208" s="96" t="str">
        <f>HYPERLINK("#'Healthcare'!CFX1","Q6.17.13_23")</f>
        <v>Q6.17.13_23</v>
      </c>
      <c r="L2208" s="93" t="str">
        <f>HYPERLINK("#'Healthcare'!CFX2","Primary PPO dental plan: Age limit applies: Tooth sealants")</f>
        <v>Primary PPO dental plan: Age limit applies: Tooth sealants</v>
      </c>
      <c r="M2208" s="6"/>
      <c r="N2208" s="7"/>
      <c r="O2208" s="6"/>
      <c r="P2208" s="7"/>
      <c r="Q2208" s="6"/>
      <c r="R2208" s="7"/>
      <c r="S2208" s="6"/>
      <c r="T2208" s="7"/>
      <c r="U2208" s="6"/>
      <c r="V2208" s="7"/>
      <c r="W2208" s="6"/>
      <c r="X2208" s="7"/>
    </row>
    <row r="2209" spans="1:24" ht="25.5" x14ac:dyDescent="0.2">
      <c r="A2209" s="6"/>
      <c r="B2209" s="7"/>
      <c r="C2209" s="6"/>
      <c r="D2209" s="7"/>
      <c r="E2209" s="6"/>
      <c r="F2209" s="7"/>
      <c r="G2209" s="6"/>
      <c r="H2209" s="7"/>
      <c r="I2209" s="6"/>
      <c r="J2209" s="7"/>
      <c r="K2209" s="96" t="str">
        <f>HYPERLINK("#'Healthcare'!CFY1","Q6.17.13_24")</f>
        <v>Q6.17.13_24</v>
      </c>
      <c r="L2209" s="93" t="str">
        <f>HYPERLINK("#'Healthcare'!CFY2","Primary PPO dental plan: Age limit applies: Topical fluoride treatments")</f>
        <v>Primary PPO dental plan: Age limit applies: Topical fluoride treatments</v>
      </c>
      <c r="M2209" s="6"/>
      <c r="N2209" s="7"/>
      <c r="O2209" s="6"/>
      <c r="P2209" s="7"/>
      <c r="Q2209" s="6"/>
      <c r="R2209" s="7"/>
      <c r="S2209" s="6"/>
      <c r="T2209" s="7"/>
      <c r="U2209" s="6"/>
      <c r="V2209" s="7"/>
      <c r="W2209" s="6"/>
      <c r="X2209" s="7"/>
    </row>
    <row r="2210" spans="1:24" ht="25.5" x14ac:dyDescent="0.2">
      <c r="A2210" s="6"/>
      <c r="B2210" s="7"/>
      <c r="C2210" s="6"/>
      <c r="D2210" s="7"/>
      <c r="E2210" s="6"/>
      <c r="F2210" s="7"/>
      <c r="G2210" s="6"/>
      <c r="H2210" s="7"/>
      <c r="I2210" s="6"/>
      <c r="J2210" s="7"/>
      <c r="K2210" s="96" t="str">
        <f>HYPERLINK("#'Healthcare'!CFZ1","Q6.17.13_25")</f>
        <v>Q6.17.13_25</v>
      </c>
      <c r="L2210" s="93" t="str">
        <f>HYPERLINK("#'Healthcare'!CFZ2","Primary PPO dental plan: Age limit applies: X-rays - bitewings")</f>
        <v>Primary PPO dental plan: Age limit applies: X-rays - bitewings</v>
      </c>
      <c r="M2210" s="6"/>
      <c r="N2210" s="7"/>
      <c r="O2210" s="6"/>
      <c r="P2210" s="7"/>
      <c r="Q2210" s="6"/>
      <c r="R2210" s="7"/>
      <c r="S2210" s="6"/>
      <c r="T2210" s="7"/>
      <c r="U2210" s="6"/>
      <c r="V2210" s="7"/>
      <c r="W2210" s="6"/>
      <c r="X2210" s="7"/>
    </row>
    <row r="2211" spans="1:24" ht="25.5" x14ac:dyDescent="0.2">
      <c r="A2211" s="6"/>
      <c r="B2211" s="7"/>
      <c r="C2211" s="6"/>
      <c r="D2211" s="7"/>
      <c r="E2211" s="6"/>
      <c r="F2211" s="7"/>
      <c r="G2211" s="6"/>
      <c r="H2211" s="7"/>
      <c r="I2211" s="6"/>
      <c r="J2211" s="7"/>
      <c r="K2211" s="96" t="str">
        <f>HYPERLINK("#'Healthcare'!CGA1","Q6.17.13_26")</f>
        <v>Q6.17.13_26</v>
      </c>
      <c r="L2211" s="93" t="str">
        <f>HYPERLINK("#'Healthcare'!CGA2","Primary PPO dental plan: Age limit applies: X-rays - Full-mouth, panorex")</f>
        <v>Primary PPO dental plan: Age limit applies: X-rays - Full-mouth, panorex</v>
      </c>
      <c r="M2211" s="6"/>
      <c r="N2211" s="7"/>
      <c r="O2211" s="6"/>
      <c r="P2211" s="7"/>
      <c r="Q2211" s="6"/>
      <c r="R2211" s="7"/>
      <c r="S2211" s="6"/>
      <c r="T2211" s="7"/>
      <c r="U2211" s="6"/>
      <c r="V2211" s="7"/>
      <c r="W2211" s="6"/>
      <c r="X2211" s="7"/>
    </row>
    <row r="2212" spans="1:24" ht="25.5" x14ac:dyDescent="0.2">
      <c r="A2212" s="6"/>
      <c r="B2212" s="7"/>
      <c r="C2212" s="6"/>
      <c r="D2212" s="7"/>
      <c r="E2212" s="6"/>
      <c r="F2212" s="7"/>
      <c r="G2212" s="6"/>
      <c r="H2212" s="7"/>
      <c r="I2212" s="6"/>
      <c r="J2212" s="7"/>
      <c r="K2212" s="96" t="str">
        <f>HYPERLINK("#'Healthcare'!CGB1","Q6.17.13_27")</f>
        <v>Q6.17.13_27</v>
      </c>
      <c r="L2212" s="93" t="str">
        <f>HYPERLINK("#'Healthcare'!CGB2","Primary PPO dental plan: Age limit applies: X-rays - periapical")</f>
        <v>Primary PPO dental plan: Age limit applies: X-rays - periapical</v>
      </c>
      <c r="M2212" s="6"/>
      <c r="N2212" s="7"/>
      <c r="O2212" s="6"/>
      <c r="P2212" s="7"/>
      <c r="Q2212" s="6"/>
      <c r="R2212" s="7"/>
      <c r="S2212" s="6"/>
      <c r="T2212" s="7"/>
      <c r="U2212" s="6"/>
      <c r="V2212" s="7"/>
      <c r="W2212" s="6"/>
      <c r="X2212" s="7"/>
    </row>
    <row r="2213" spans="1:24" ht="25.5" x14ac:dyDescent="0.2">
      <c r="A2213" s="6"/>
      <c r="B2213" s="7"/>
      <c r="C2213" s="6"/>
      <c r="D2213" s="7"/>
      <c r="E2213" s="6"/>
      <c r="F2213" s="7"/>
      <c r="G2213" s="6"/>
      <c r="H2213" s="7"/>
      <c r="I2213" s="6"/>
      <c r="J2213" s="7"/>
      <c r="K2213" s="96" t="str">
        <f>HYPERLINK("#'Healthcare'!CGC1","Q6.17.15_1")</f>
        <v>Q6.17.15_1</v>
      </c>
      <c r="L2213" s="93" t="str">
        <f>HYPERLINK("#'Healthcare'!CGC2","Primary DMHO  plan: In-network individual deductible")</f>
        <v>Primary DMHO  plan: In-network individual deductible</v>
      </c>
      <c r="M2213" s="6"/>
      <c r="N2213" s="7"/>
      <c r="O2213" s="6"/>
      <c r="P2213" s="7"/>
      <c r="Q2213" s="6"/>
      <c r="R2213" s="7"/>
      <c r="S2213" s="6"/>
      <c r="T2213" s="7"/>
      <c r="U2213" s="6"/>
      <c r="V2213" s="7"/>
      <c r="W2213" s="6"/>
      <c r="X2213" s="7"/>
    </row>
    <row r="2214" spans="1:24" ht="25.5" x14ac:dyDescent="0.2">
      <c r="A2214" s="6"/>
      <c r="B2214" s="7"/>
      <c r="C2214" s="6"/>
      <c r="D2214" s="7"/>
      <c r="E2214" s="6"/>
      <c r="F2214" s="7"/>
      <c r="G2214" s="6"/>
      <c r="H2214" s="7"/>
      <c r="I2214" s="6"/>
      <c r="J2214" s="7"/>
      <c r="K2214" s="96" t="str">
        <f>HYPERLINK("#'Healthcare'!CGD1","Q6.17.15_2")</f>
        <v>Q6.17.15_2</v>
      </c>
      <c r="L2214" s="93" t="str">
        <f>HYPERLINK("#'Healthcare'!CGD2","Primary DMHO  plan: In-network family deductible")</f>
        <v>Primary DMHO  plan: In-network family deductible</v>
      </c>
      <c r="M2214" s="6"/>
      <c r="N2214" s="7"/>
      <c r="O2214" s="6"/>
      <c r="P2214" s="7"/>
      <c r="Q2214" s="6"/>
      <c r="R2214" s="7"/>
      <c r="S2214" s="6"/>
      <c r="T2214" s="7"/>
      <c r="U2214" s="6"/>
      <c r="V2214" s="7"/>
      <c r="W2214" s="6"/>
      <c r="X2214" s="7"/>
    </row>
    <row r="2215" spans="1:24" ht="25.5" x14ac:dyDescent="0.2">
      <c r="A2215" s="6"/>
      <c r="B2215" s="7"/>
      <c r="C2215" s="6"/>
      <c r="D2215" s="7"/>
      <c r="E2215" s="6"/>
      <c r="F2215" s="7"/>
      <c r="G2215" s="6"/>
      <c r="H2215" s="7"/>
      <c r="I2215" s="6"/>
      <c r="J2215" s="7"/>
      <c r="K2215" s="96" t="str">
        <f>HYPERLINK("#'Healthcare'!CGE1","Q6.17.15_3")</f>
        <v>Q6.17.15_3</v>
      </c>
      <c r="L2215" s="93" t="str">
        <f>HYPERLINK("#'Healthcare'!CGE2","Primary DMHO  plan: Out-of-network individual deductible")</f>
        <v>Primary DMHO  plan: Out-of-network individual deductible</v>
      </c>
      <c r="M2215" s="6"/>
      <c r="N2215" s="7"/>
      <c r="O2215" s="6"/>
      <c r="P2215" s="7"/>
      <c r="Q2215" s="6"/>
      <c r="R2215" s="7"/>
      <c r="S2215" s="6"/>
      <c r="T2215" s="7"/>
      <c r="U2215" s="6"/>
      <c r="V2215" s="7"/>
      <c r="W2215" s="6"/>
      <c r="X2215" s="7"/>
    </row>
    <row r="2216" spans="1:24" ht="25.5" x14ac:dyDescent="0.2">
      <c r="A2216" s="6"/>
      <c r="B2216" s="7"/>
      <c r="C2216" s="6"/>
      <c r="D2216" s="7"/>
      <c r="E2216" s="6"/>
      <c r="F2216" s="7"/>
      <c r="G2216" s="6"/>
      <c r="H2216" s="7"/>
      <c r="I2216" s="6"/>
      <c r="J2216" s="7"/>
      <c r="K2216" s="96" t="str">
        <f>HYPERLINK("#'Healthcare'!CGF1","Q6.17.15_4")</f>
        <v>Q6.17.15_4</v>
      </c>
      <c r="L2216" s="93" t="str">
        <f>HYPERLINK("#'Healthcare'!CGF2","Primary DMHO  plan: Out-of-network family deductible")</f>
        <v>Primary DMHO  plan: Out-of-network family deductible</v>
      </c>
      <c r="M2216" s="6"/>
      <c r="N2216" s="7"/>
      <c r="O2216" s="6"/>
      <c r="P2216" s="7"/>
      <c r="Q2216" s="6"/>
      <c r="R2216" s="7"/>
      <c r="S2216" s="6"/>
      <c r="T2216" s="7"/>
      <c r="U2216" s="6"/>
      <c r="V2216" s="7"/>
      <c r="W2216" s="6"/>
      <c r="X2216" s="7"/>
    </row>
    <row r="2217" spans="1:24" ht="38.25" x14ac:dyDescent="0.2">
      <c r="A2217" s="6"/>
      <c r="B2217" s="7"/>
      <c r="C2217" s="6"/>
      <c r="D2217" s="7"/>
      <c r="E2217" s="6"/>
      <c r="F2217" s="7"/>
      <c r="G2217" s="6"/>
      <c r="H2217" s="7"/>
      <c r="I2217" s="6"/>
      <c r="J2217" s="7"/>
      <c r="K2217" s="96" t="str">
        <f>HYPERLINK("#'Healthcare'!CGG1","Q6.17.15_5")</f>
        <v>Q6.17.15_5</v>
      </c>
      <c r="L2217" s="93" t="str">
        <f>HYPERLINK("#'Healthcare'!CGG2","Primary DMHO  plan: Maximum annual/calendar year limit (individual - excludes ortho)")</f>
        <v>Primary DMHO  plan: Maximum annual/calendar year limit (individual - excludes ortho)</v>
      </c>
      <c r="M2217" s="6"/>
      <c r="N2217" s="7"/>
      <c r="O2217" s="6"/>
      <c r="P2217" s="7"/>
      <c r="Q2217" s="6"/>
      <c r="R2217" s="7"/>
      <c r="S2217" s="6"/>
      <c r="T2217" s="7"/>
      <c r="U2217" s="6"/>
      <c r="V2217" s="7"/>
      <c r="W2217" s="6"/>
      <c r="X2217" s="7"/>
    </row>
    <row r="2218" spans="1:24" ht="25.5" x14ac:dyDescent="0.2">
      <c r="A2218" s="6"/>
      <c r="B2218" s="7"/>
      <c r="C2218" s="6"/>
      <c r="D2218" s="7"/>
      <c r="E2218" s="6"/>
      <c r="F2218" s="7"/>
      <c r="G2218" s="6"/>
      <c r="H2218" s="7"/>
      <c r="I2218" s="6"/>
      <c r="J2218" s="7"/>
      <c r="K2218" s="96" t="str">
        <f>HYPERLINK("#'Healthcare'!CGH1","Q6.17.15_6")</f>
        <v>Q6.17.15_6</v>
      </c>
      <c r="L2218" s="93" t="str">
        <f>HYPERLINK("#'Healthcare'!CGH2","Primary DMHO  plan: Maximum annual/calendar year limit (family)")</f>
        <v>Primary DMHO  plan: Maximum annual/calendar year limit (family)</v>
      </c>
      <c r="M2218" s="6"/>
      <c r="N2218" s="7"/>
      <c r="O2218" s="6"/>
      <c r="P2218" s="7"/>
      <c r="Q2218" s="6"/>
      <c r="R2218" s="7"/>
      <c r="S2218" s="6"/>
      <c r="T2218" s="7"/>
      <c r="U2218" s="6"/>
      <c r="V2218" s="7"/>
      <c r="W2218" s="6"/>
      <c r="X2218" s="7"/>
    </row>
    <row r="2219" spans="1:24" ht="25.5" x14ac:dyDescent="0.2">
      <c r="A2219" s="6"/>
      <c r="B2219" s="7"/>
      <c r="C2219" s="6"/>
      <c r="D2219" s="7"/>
      <c r="E2219" s="6"/>
      <c r="F2219" s="7"/>
      <c r="G2219" s="6"/>
      <c r="H2219" s="7"/>
      <c r="I2219" s="6"/>
      <c r="J2219" s="7"/>
      <c r="K2219" s="96" t="str">
        <f>HYPERLINK("#'Healthcare'!CGI1","Q6.17.15_7")</f>
        <v>Q6.17.15_7</v>
      </c>
      <c r="L2219" s="93" t="str">
        <f>HYPERLINK("#'Healthcare'!CGI2","Primary DMHO  plan: Maximum lifetime orthodontia limit (individual)")</f>
        <v>Primary DMHO  plan: Maximum lifetime orthodontia limit (individual)</v>
      </c>
      <c r="M2219" s="6"/>
      <c r="N2219" s="7"/>
      <c r="O2219" s="6"/>
      <c r="P2219" s="7"/>
      <c r="Q2219" s="6"/>
      <c r="R2219" s="7"/>
      <c r="S2219" s="6"/>
      <c r="T2219" s="7"/>
      <c r="U2219" s="6"/>
      <c r="V2219" s="7"/>
      <c r="W2219" s="6"/>
      <c r="X2219" s="7"/>
    </row>
    <row r="2220" spans="1:24" ht="25.5" x14ac:dyDescent="0.2">
      <c r="A2220" s="6"/>
      <c r="B2220" s="7"/>
      <c r="C2220" s="6"/>
      <c r="D2220" s="7"/>
      <c r="E2220" s="6"/>
      <c r="F2220" s="7"/>
      <c r="G2220" s="6"/>
      <c r="H2220" s="7"/>
      <c r="I2220" s="6"/>
      <c r="J2220" s="7"/>
      <c r="K2220" s="96" t="str">
        <f>HYPERLINK("#'Healthcare'!CGJ1","Q6.17.15_8")</f>
        <v>Q6.17.15_8</v>
      </c>
      <c r="L2220" s="93" t="str">
        <f>HYPERLINK("#'Healthcare'!CGJ2","Primary DMHO  plan: Maximum lifetime orthodontia limit (family)")</f>
        <v>Primary DMHO  plan: Maximum lifetime orthodontia limit (family)</v>
      </c>
      <c r="M2220" s="6"/>
      <c r="N2220" s="7"/>
      <c r="O2220" s="6"/>
      <c r="P2220" s="7"/>
      <c r="Q2220" s="6"/>
      <c r="R2220" s="7"/>
      <c r="S2220" s="6"/>
      <c r="T2220" s="7"/>
      <c r="U2220" s="6"/>
      <c r="V2220" s="7"/>
      <c r="W2220" s="6"/>
      <c r="X2220" s="7"/>
    </row>
    <row r="2221" spans="1:24" ht="25.5" x14ac:dyDescent="0.2">
      <c r="A2221" s="6"/>
      <c r="B2221" s="7"/>
      <c r="C2221" s="6"/>
      <c r="D2221" s="7"/>
      <c r="E2221" s="6"/>
      <c r="F2221" s="7"/>
      <c r="G2221" s="6"/>
      <c r="H2221" s="7"/>
      <c r="I2221" s="6"/>
      <c r="J2221" s="7"/>
      <c r="K2221" s="96" t="str">
        <f>HYPERLINK("#'Healthcare'!CGK1","Q6.17.16_1")</f>
        <v>Q6.17.16_1</v>
      </c>
      <c r="L2221" s="93" t="str">
        <f>HYPERLINK("#'Healthcare'!CGK2","Primary DMHO plan: In-network preventive services coinsurance")</f>
        <v>Primary DMHO plan: In-network preventive services coinsurance</v>
      </c>
      <c r="M2221" s="6"/>
      <c r="N2221" s="7"/>
      <c r="O2221" s="6"/>
      <c r="P2221" s="7"/>
      <c r="Q2221" s="6"/>
      <c r="R2221" s="7"/>
      <c r="S2221" s="6"/>
      <c r="T2221" s="7"/>
      <c r="U2221" s="6"/>
      <c r="V2221" s="7"/>
      <c r="W2221" s="6"/>
      <c r="X2221" s="7"/>
    </row>
    <row r="2222" spans="1:24" ht="25.5" x14ac:dyDescent="0.2">
      <c r="A2222" s="6"/>
      <c r="B2222" s="7"/>
      <c r="C2222" s="6"/>
      <c r="D2222" s="7"/>
      <c r="E2222" s="6"/>
      <c r="F2222" s="7"/>
      <c r="G2222" s="6"/>
      <c r="H2222" s="7"/>
      <c r="I2222" s="6"/>
      <c r="J2222" s="7"/>
      <c r="K2222" s="96" t="str">
        <f>HYPERLINK("#'Healthcare'!CGL1","Q6.17.16_2")</f>
        <v>Q6.17.16_2</v>
      </c>
      <c r="L2222" s="93" t="str">
        <f>HYPERLINK("#'Healthcare'!CGL2","Primary DMHO plan: Out-of-network preventive services coinsurance")</f>
        <v>Primary DMHO plan: Out-of-network preventive services coinsurance</v>
      </c>
      <c r="M2222" s="6"/>
      <c r="N2222" s="7"/>
      <c r="O2222" s="6"/>
      <c r="P2222" s="7"/>
      <c r="Q2222" s="6"/>
      <c r="R2222" s="7"/>
      <c r="S2222" s="6"/>
      <c r="T2222" s="7"/>
      <c r="U2222" s="6"/>
      <c r="V2222" s="7"/>
      <c r="W2222" s="6"/>
      <c r="X2222" s="7"/>
    </row>
    <row r="2223" spans="1:24" ht="25.5" x14ac:dyDescent="0.2">
      <c r="A2223" s="6"/>
      <c r="B2223" s="7"/>
      <c r="C2223" s="6"/>
      <c r="D2223" s="7"/>
      <c r="E2223" s="6"/>
      <c r="F2223" s="7"/>
      <c r="G2223" s="6"/>
      <c r="H2223" s="7"/>
      <c r="I2223" s="6"/>
      <c r="J2223" s="7"/>
      <c r="K2223" s="96" t="str">
        <f>HYPERLINK("#'Healthcare'!CGM1","Q6.17.16_3")</f>
        <v>Q6.17.16_3</v>
      </c>
      <c r="L2223" s="93" t="str">
        <f>HYPERLINK("#'Healthcare'!CGM2","Primary DMHO plan: In-network basic services coinsurance")</f>
        <v>Primary DMHO plan: In-network basic services coinsurance</v>
      </c>
      <c r="M2223" s="6"/>
      <c r="N2223" s="7"/>
      <c r="O2223" s="6"/>
      <c r="P2223" s="7"/>
      <c r="Q2223" s="6"/>
      <c r="R2223" s="7"/>
      <c r="S2223" s="6"/>
      <c r="T2223" s="7"/>
      <c r="U2223" s="6"/>
      <c r="V2223" s="7"/>
      <c r="W2223" s="6"/>
      <c r="X2223" s="7"/>
    </row>
    <row r="2224" spans="1:24" ht="25.5" x14ac:dyDescent="0.2">
      <c r="A2224" s="6"/>
      <c r="B2224" s="7"/>
      <c r="C2224" s="6"/>
      <c r="D2224" s="7"/>
      <c r="E2224" s="6"/>
      <c r="F2224" s="7"/>
      <c r="G2224" s="6"/>
      <c r="H2224" s="7"/>
      <c r="I2224" s="6"/>
      <c r="J2224" s="7"/>
      <c r="K2224" s="96" t="str">
        <f>HYPERLINK("#'Healthcare'!CGN1","Q6.17.16_4")</f>
        <v>Q6.17.16_4</v>
      </c>
      <c r="L2224" s="93" t="str">
        <f>HYPERLINK("#'Healthcare'!CGN2","Primary DMHO plan: Out-of-network basic services coinsurance")</f>
        <v>Primary DMHO plan: Out-of-network basic services coinsurance</v>
      </c>
      <c r="M2224" s="6"/>
      <c r="N2224" s="7"/>
      <c r="O2224" s="6"/>
      <c r="P2224" s="7"/>
      <c r="Q2224" s="6"/>
      <c r="R2224" s="7"/>
      <c r="S2224" s="6"/>
      <c r="T2224" s="7"/>
      <c r="U2224" s="6"/>
      <c r="V2224" s="7"/>
      <c r="W2224" s="6"/>
      <c r="X2224" s="7"/>
    </row>
    <row r="2225" spans="1:24" ht="25.5" x14ac:dyDescent="0.2">
      <c r="A2225" s="6"/>
      <c r="B2225" s="7"/>
      <c r="C2225" s="6"/>
      <c r="D2225" s="7"/>
      <c r="E2225" s="6"/>
      <c r="F2225" s="7"/>
      <c r="G2225" s="6"/>
      <c r="H2225" s="7"/>
      <c r="I2225" s="6"/>
      <c r="J2225" s="7"/>
      <c r="K2225" s="96" t="str">
        <f>HYPERLINK("#'Healthcare'!CGO1","Q6.17.16_5")</f>
        <v>Q6.17.16_5</v>
      </c>
      <c r="L2225" s="93" t="str">
        <f>HYPERLINK("#'Healthcare'!CGO2","Primary DMHO plan: In-network major services coinsurance")</f>
        <v>Primary DMHO plan: In-network major services coinsurance</v>
      </c>
      <c r="M2225" s="6"/>
      <c r="N2225" s="7"/>
      <c r="O2225" s="6"/>
      <c r="P2225" s="7"/>
      <c r="Q2225" s="6"/>
      <c r="R2225" s="7"/>
      <c r="S2225" s="6"/>
      <c r="T2225" s="7"/>
      <c r="U2225" s="6"/>
      <c r="V2225" s="7"/>
      <c r="W2225" s="6"/>
      <c r="X2225" s="7"/>
    </row>
    <row r="2226" spans="1:24" ht="25.5" x14ac:dyDescent="0.2">
      <c r="A2226" s="6"/>
      <c r="B2226" s="7"/>
      <c r="C2226" s="6"/>
      <c r="D2226" s="7"/>
      <c r="E2226" s="6"/>
      <c r="F2226" s="7"/>
      <c r="G2226" s="6"/>
      <c r="H2226" s="7"/>
      <c r="I2226" s="6"/>
      <c r="J2226" s="7"/>
      <c r="K2226" s="96" t="str">
        <f>HYPERLINK("#'Healthcare'!CGP1","Q6.17.16_6")</f>
        <v>Q6.17.16_6</v>
      </c>
      <c r="L2226" s="93" t="str">
        <f>HYPERLINK("#'Healthcare'!CGP2","Primary DMHO plan: Out-of-network major services coinsurance")</f>
        <v>Primary DMHO plan: Out-of-network major services coinsurance</v>
      </c>
      <c r="M2226" s="6"/>
      <c r="N2226" s="7"/>
      <c r="O2226" s="6"/>
      <c r="P2226" s="7"/>
      <c r="Q2226" s="6"/>
      <c r="R2226" s="7"/>
      <c r="S2226" s="6"/>
      <c r="T2226" s="7"/>
      <c r="U2226" s="6"/>
      <c r="V2226" s="7"/>
      <c r="W2226" s="6"/>
      <c r="X2226" s="7"/>
    </row>
    <row r="2227" spans="1:24" ht="25.5" x14ac:dyDescent="0.2">
      <c r="A2227" s="6"/>
      <c r="B2227" s="7"/>
      <c r="C2227" s="6"/>
      <c r="D2227" s="7"/>
      <c r="E2227" s="6"/>
      <c r="F2227" s="7"/>
      <c r="G2227" s="6"/>
      <c r="H2227" s="7"/>
      <c r="I2227" s="6"/>
      <c r="J2227" s="7"/>
      <c r="K2227" s="96" t="str">
        <f>HYPERLINK("#'Healthcare'!CGQ1","Q6.17.16_7")</f>
        <v>Q6.17.16_7</v>
      </c>
      <c r="L2227" s="93" t="str">
        <f>HYPERLINK("#'Healthcare'!CGQ2","Primary DMHO plan: In-network orthodontia coinsurance")</f>
        <v>Primary DMHO plan: In-network orthodontia coinsurance</v>
      </c>
      <c r="M2227" s="6"/>
      <c r="N2227" s="7"/>
      <c r="O2227" s="6"/>
      <c r="P2227" s="7"/>
      <c r="Q2227" s="6"/>
      <c r="R2227" s="7"/>
      <c r="S2227" s="6"/>
      <c r="T2227" s="7"/>
      <c r="U2227" s="6"/>
      <c r="V2227" s="7"/>
      <c r="W2227" s="6"/>
      <c r="X2227" s="7"/>
    </row>
    <row r="2228" spans="1:24" ht="25.5" x14ac:dyDescent="0.2">
      <c r="A2228" s="6"/>
      <c r="B2228" s="7"/>
      <c r="C2228" s="6"/>
      <c r="D2228" s="7"/>
      <c r="E2228" s="6"/>
      <c r="F2228" s="7"/>
      <c r="G2228" s="6"/>
      <c r="H2228" s="7"/>
      <c r="I2228" s="6"/>
      <c r="J2228" s="7"/>
      <c r="K2228" s="96" t="str">
        <f>HYPERLINK("#'Healthcare'!CGR1","Q6.17.16_8")</f>
        <v>Q6.17.16_8</v>
      </c>
      <c r="L2228" s="93" t="str">
        <f>HYPERLINK("#'Healthcare'!CGR2","Primary DMHO plan: Out-of-network orthodontia coinsurance")</f>
        <v>Primary DMHO plan: Out-of-network orthodontia coinsurance</v>
      </c>
      <c r="M2228" s="6"/>
      <c r="N2228" s="7"/>
      <c r="O2228" s="6"/>
      <c r="P2228" s="7"/>
      <c r="Q2228" s="6"/>
      <c r="R2228" s="7"/>
      <c r="S2228" s="6"/>
      <c r="T2228" s="7"/>
      <c r="U2228" s="6"/>
      <c r="V2228" s="7"/>
      <c r="W2228" s="6"/>
      <c r="X2228" s="7"/>
    </row>
    <row r="2229" spans="1:24" ht="25.5" x14ac:dyDescent="0.2">
      <c r="A2229" s="6"/>
      <c r="B2229" s="7"/>
      <c r="C2229" s="6"/>
      <c r="D2229" s="7"/>
      <c r="E2229" s="6"/>
      <c r="F2229" s="7"/>
      <c r="G2229" s="6"/>
      <c r="H2229" s="7"/>
      <c r="I2229" s="6"/>
      <c r="J2229" s="7"/>
      <c r="K2229" s="96" t="str">
        <f>HYPERLINK("#'Healthcare'!CGS1","Q6.17.17")</f>
        <v>Q6.17.17</v>
      </c>
      <c r="L2229" s="93" t="str">
        <f>HYPERLINK("#'Healthcare'!CGS2","Primary DMHO plan: dental services applied to maximum annual/calendar year limit")</f>
        <v>Primary DMHO plan: dental services applied to maximum annual/calendar year limit</v>
      </c>
      <c r="M2229" s="6"/>
      <c r="N2229" s="7"/>
      <c r="O2229" s="6"/>
      <c r="P2229" s="7"/>
      <c r="Q2229" s="6"/>
      <c r="R2229" s="7"/>
      <c r="S2229" s="6"/>
      <c r="T2229" s="7"/>
      <c r="U2229" s="6"/>
      <c r="V2229" s="7"/>
      <c r="W2229" s="6"/>
      <c r="X2229" s="7"/>
    </row>
    <row r="2230" spans="1:24" ht="25.5" x14ac:dyDescent="0.2">
      <c r="A2230" s="6"/>
      <c r="B2230" s="7"/>
      <c r="C2230" s="6"/>
      <c r="D2230" s="7"/>
      <c r="E2230" s="6"/>
      <c r="F2230" s="7"/>
      <c r="G2230" s="6"/>
      <c r="H2230" s="7"/>
      <c r="I2230" s="6"/>
      <c r="J2230" s="7"/>
      <c r="K2230" s="96" t="str">
        <f>HYPERLINK("#'Healthcare'!CGT1","Q6.17.18")</f>
        <v>Q6.17.18</v>
      </c>
      <c r="L2230" s="93" t="str">
        <f>HYPERLINK("#'Healthcare'!CGT2","Primary DMHO plan: Orthodontia coverage eligibility ")</f>
        <v xml:space="preserve">Primary DMHO plan: Orthodontia coverage eligibility </v>
      </c>
      <c r="M2230" s="6"/>
      <c r="N2230" s="7"/>
      <c r="O2230" s="6"/>
      <c r="P2230" s="7"/>
      <c r="Q2230" s="6"/>
      <c r="R2230" s="7"/>
      <c r="S2230" s="6"/>
      <c r="T2230" s="7"/>
      <c r="U2230" s="6"/>
      <c r="V2230" s="7"/>
      <c r="W2230" s="6"/>
      <c r="X2230" s="7"/>
    </row>
    <row r="2231" spans="1:24" ht="25.5" x14ac:dyDescent="0.2">
      <c r="A2231" s="6"/>
      <c r="B2231" s="7"/>
      <c r="C2231" s="6"/>
      <c r="D2231" s="7"/>
      <c r="E2231" s="6"/>
      <c r="F2231" s="7"/>
      <c r="G2231" s="6"/>
      <c r="H2231" s="7"/>
      <c r="I2231" s="6"/>
      <c r="J2231" s="7"/>
      <c r="K2231" s="96" t="str">
        <f>HYPERLINK("#'Healthcare'!CGU1","Q6.17.19")</f>
        <v>Q6.17.19</v>
      </c>
      <c r="L2231" s="93" t="str">
        <f>HYPERLINK("#'Healthcare'!CGU2","Primary DMHO plan: Services covered under dental plan")</f>
        <v>Primary DMHO plan: Services covered under dental plan</v>
      </c>
      <c r="M2231" s="6"/>
      <c r="N2231" s="7"/>
      <c r="O2231" s="6"/>
      <c r="P2231" s="7"/>
      <c r="Q2231" s="6"/>
      <c r="R2231" s="7"/>
      <c r="S2231" s="6"/>
      <c r="T2231" s="7"/>
      <c r="U2231" s="6"/>
      <c r="V2231" s="7"/>
      <c r="W2231" s="6"/>
      <c r="X2231" s="7"/>
    </row>
    <row r="2232" spans="1:24" ht="25.5" x14ac:dyDescent="0.2">
      <c r="A2232" s="6"/>
      <c r="B2232" s="7"/>
      <c r="C2232" s="6"/>
      <c r="D2232" s="7"/>
      <c r="E2232" s="6"/>
      <c r="F2232" s="7"/>
      <c r="G2232" s="6"/>
      <c r="H2232" s="7"/>
      <c r="I2232" s="6"/>
      <c r="J2232" s="7"/>
      <c r="K2232" s="96" t="str">
        <f>HYPERLINK("#'Healthcare'!CGV1","Q6.17.20_1")</f>
        <v>Q6.17.20_1</v>
      </c>
      <c r="L2232" s="93" t="str">
        <f>HYPERLINK("#'Healthcare'!CGV2","Primary DHMO plan: Service category: Amalgam fillings")</f>
        <v>Primary DHMO plan: Service category: Amalgam fillings</v>
      </c>
      <c r="M2232" s="6"/>
      <c r="N2232" s="7"/>
      <c r="O2232" s="6"/>
      <c r="P2232" s="7"/>
      <c r="Q2232" s="6"/>
      <c r="R2232" s="7"/>
      <c r="S2232" s="6"/>
      <c r="T2232" s="7"/>
      <c r="U2232" s="6"/>
      <c r="V2232" s="7"/>
      <c r="W2232" s="6"/>
      <c r="X2232" s="7"/>
    </row>
    <row r="2233" spans="1:24" ht="25.5" x14ac:dyDescent="0.2">
      <c r="A2233" s="6"/>
      <c r="B2233" s="7"/>
      <c r="C2233" s="6"/>
      <c r="D2233" s="7"/>
      <c r="E2233" s="6"/>
      <c r="F2233" s="7"/>
      <c r="G2233" s="6"/>
      <c r="H2233" s="7"/>
      <c r="I2233" s="6"/>
      <c r="J2233" s="7"/>
      <c r="K2233" s="96" t="str">
        <f>HYPERLINK("#'Healthcare'!CGW1","Q6.17.20_2")</f>
        <v>Q6.17.20_2</v>
      </c>
      <c r="L2233" s="93" t="str">
        <f>HYPERLINK("#'Healthcare'!CGW2","Primary DHMO plan: Service category: Anesthesia/sedation")</f>
        <v>Primary DHMO plan: Service category: Anesthesia/sedation</v>
      </c>
      <c r="M2233" s="6"/>
      <c r="N2233" s="7"/>
      <c r="O2233" s="6"/>
      <c r="P2233" s="7"/>
      <c r="Q2233" s="6"/>
      <c r="R2233" s="7"/>
      <c r="S2233" s="6"/>
      <c r="T2233" s="7"/>
      <c r="U2233" s="6"/>
      <c r="V2233" s="7"/>
      <c r="W2233" s="6"/>
      <c r="X2233" s="7"/>
    </row>
    <row r="2234" spans="1:24" ht="25.5" x14ac:dyDescent="0.2">
      <c r="A2234" s="6"/>
      <c r="B2234" s="7"/>
      <c r="C2234" s="6"/>
      <c r="D2234" s="7"/>
      <c r="E2234" s="6"/>
      <c r="F2234" s="7"/>
      <c r="G2234" s="6"/>
      <c r="H2234" s="7"/>
      <c r="I2234" s="6"/>
      <c r="J2234" s="7"/>
      <c r="K2234" s="96" t="str">
        <f>HYPERLINK("#'Healthcare'!CGX1","Q6.17.20_3")</f>
        <v>Q6.17.20_3</v>
      </c>
      <c r="L2234" s="93" t="str">
        <f>HYPERLINK("#'Healthcare'!CGX2","Primary DHMO plan: Service category: Bridgework")</f>
        <v>Primary DHMO plan: Service category: Bridgework</v>
      </c>
      <c r="M2234" s="6"/>
      <c r="N2234" s="7"/>
      <c r="O2234" s="6"/>
      <c r="P2234" s="7"/>
      <c r="Q2234" s="6"/>
      <c r="R2234" s="7"/>
      <c r="S2234" s="6"/>
      <c r="T2234" s="7"/>
      <c r="U2234" s="6"/>
      <c r="V2234" s="7"/>
      <c r="W2234" s="6"/>
      <c r="X2234" s="7"/>
    </row>
    <row r="2235" spans="1:24" ht="25.5" x14ac:dyDescent="0.2">
      <c r="A2235" s="6"/>
      <c r="B2235" s="7"/>
      <c r="C2235" s="6"/>
      <c r="D2235" s="7"/>
      <c r="E2235" s="6"/>
      <c r="F2235" s="7"/>
      <c r="G2235" s="6"/>
      <c r="H2235" s="7"/>
      <c r="I2235" s="6"/>
      <c r="J2235" s="7"/>
      <c r="K2235" s="96" t="str">
        <f>HYPERLINK("#'Healthcare'!CGY1","Q6.17.20_4")</f>
        <v>Q6.17.20_4</v>
      </c>
      <c r="L2235" s="93" t="str">
        <f>HYPERLINK("#'Healthcare'!CGY2","Primary DHMO plan: Service category: Cleanings (prophylaxis)")</f>
        <v>Primary DHMO plan: Service category: Cleanings (prophylaxis)</v>
      </c>
      <c r="M2235" s="6"/>
      <c r="N2235" s="7"/>
      <c r="O2235" s="6"/>
      <c r="P2235" s="7"/>
      <c r="Q2235" s="6"/>
      <c r="R2235" s="7"/>
      <c r="S2235" s="6"/>
      <c r="T2235" s="7"/>
      <c r="U2235" s="6"/>
      <c r="V2235" s="7"/>
      <c r="W2235" s="6"/>
      <c r="X2235" s="7"/>
    </row>
    <row r="2236" spans="1:24" ht="25.5" x14ac:dyDescent="0.2">
      <c r="A2236" s="6"/>
      <c r="B2236" s="7"/>
      <c r="C2236" s="6"/>
      <c r="D2236" s="7"/>
      <c r="E2236" s="6"/>
      <c r="F2236" s="7"/>
      <c r="G2236" s="6"/>
      <c r="H2236" s="7"/>
      <c r="I2236" s="6"/>
      <c r="J2236" s="7"/>
      <c r="K2236" s="96" t="str">
        <f>HYPERLINK("#'Healthcare'!CGZ1","Q6.17.20_5")</f>
        <v>Q6.17.20_5</v>
      </c>
      <c r="L2236" s="93" t="str">
        <f>HYPERLINK("#'Healthcare'!CGZ2","Primary DHMO plan: Service category: Composite fillings (white fillings)")</f>
        <v>Primary DHMO plan: Service category: Composite fillings (white fillings)</v>
      </c>
      <c r="M2236" s="6"/>
      <c r="N2236" s="7"/>
      <c r="O2236" s="6"/>
      <c r="P2236" s="7"/>
      <c r="Q2236" s="6"/>
      <c r="R2236" s="7"/>
      <c r="S2236" s="6"/>
      <c r="T2236" s="7"/>
      <c r="U2236" s="6"/>
      <c r="V2236" s="7"/>
      <c r="W2236" s="6"/>
      <c r="X2236" s="7"/>
    </row>
    <row r="2237" spans="1:24" ht="12.75" x14ac:dyDescent="0.2">
      <c r="A2237" s="6"/>
      <c r="B2237" s="7"/>
      <c r="C2237" s="6"/>
      <c r="D2237" s="7"/>
      <c r="E2237" s="6"/>
      <c r="F2237" s="7"/>
      <c r="G2237" s="6"/>
      <c r="H2237" s="7"/>
      <c r="I2237" s="6"/>
      <c r="J2237" s="7"/>
      <c r="K2237" s="96" t="str">
        <f>HYPERLINK("#'Healthcare'!CHA1","Q6.17.20_6")</f>
        <v>Q6.17.20_6</v>
      </c>
      <c r="L2237" s="93" t="str">
        <f>HYPERLINK("#'Healthcare'!CHA2","Primary DHMO plan: Service category: Crowns")</f>
        <v>Primary DHMO plan: Service category: Crowns</v>
      </c>
      <c r="M2237" s="6"/>
      <c r="N2237" s="7"/>
      <c r="O2237" s="6"/>
      <c r="P2237" s="7"/>
      <c r="Q2237" s="6"/>
      <c r="R2237" s="7"/>
      <c r="S2237" s="6"/>
      <c r="T2237" s="7"/>
      <c r="U2237" s="6"/>
      <c r="V2237" s="7"/>
      <c r="W2237" s="6"/>
      <c r="X2237" s="7"/>
    </row>
    <row r="2238" spans="1:24" ht="25.5" x14ac:dyDescent="0.2">
      <c r="A2238" s="6"/>
      <c r="B2238" s="7"/>
      <c r="C2238" s="6"/>
      <c r="D2238" s="7"/>
      <c r="E2238" s="6"/>
      <c r="F2238" s="7"/>
      <c r="G2238" s="6"/>
      <c r="H2238" s="7"/>
      <c r="I2238" s="6"/>
      <c r="J2238" s="7"/>
      <c r="K2238" s="96" t="str">
        <f>HYPERLINK("#'Healthcare'!CHB1","Q6.17.20_7")</f>
        <v>Q6.17.20_7</v>
      </c>
      <c r="L2238" s="93" t="str">
        <f>HYPERLINK("#'Healthcare'!CHB2","Primary DHMO plan: Service category: Denture repair")</f>
        <v>Primary DHMO plan: Service category: Denture repair</v>
      </c>
      <c r="M2238" s="6"/>
      <c r="N2238" s="7"/>
      <c r="O2238" s="6"/>
      <c r="P2238" s="7"/>
      <c r="Q2238" s="6"/>
      <c r="R2238" s="7"/>
      <c r="S2238" s="6"/>
      <c r="T2238" s="7"/>
      <c r="U2238" s="6"/>
      <c r="V2238" s="7"/>
      <c r="W2238" s="6"/>
      <c r="X2238" s="7"/>
    </row>
    <row r="2239" spans="1:24" ht="25.5" x14ac:dyDescent="0.2">
      <c r="A2239" s="6"/>
      <c r="B2239" s="7"/>
      <c r="C2239" s="6"/>
      <c r="D2239" s="7"/>
      <c r="E2239" s="6"/>
      <c r="F2239" s="7"/>
      <c r="G2239" s="6"/>
      <c r="H2239" s="7"/>
      <c r="I2239" s="6"/>
      <c r="J2239" s="7"/>
      <c r="K2239" s="96" t="str">
        <f>HYPERLINK("#'Healthcare'!CHC1","Q6.17.20_8")</f>
        <v>Q6.17.20_8</v>
      </c>
      <c r="L2239" s="93" t="str">
        <f>HYPERLINK("#'Healthcare'!CHC2","Primary DHMO plan: Service category: Dentures (relines &amp; rebases)")</f>
        <v>Primary DHMO plan: Service category: Dentures (relines &amp; rebases)</v>
      </c>
      <c r="M2239" s="6"/>
      <c r="N2239" s="7"/>
      <c r="O2239" s="6"/>
      <c r="P2239" s="7"/>
      <c r="Q2239" s="6"/>
      <c r="R2239" s="7"/>
      <c r="S2239" s="6"/>
      <c r="T2239" s="7"/>
      <c r="U2239" s="6"/>
      <c r="V2239" s="7"/>
      <c r="W2239" s="6"/>
      <c r="X2239" s="7"/>
    </row>
    <row r="2240" spans="1:24" ht="25.5" x14ac:dyDescent="0.2">
      <c r="A2240" s="6"/>
      <c r="B2240" s="7"/>
      <c r="C2240" s="6"/>
      <c r="D2240" s="7"/>
      <c r="E2240" s="6"/>
      <c r="F2240" s="7"/>
      <c r="G2240" s="6"/>
      <c r="H2240" s="7"/>
      <c r="I2240" s="6"/>
      <c r="J2240" s="7"/>
      <c r="K2240" s="96" t="str">
        <f>HYPERLINK("#'Healthcare'!CHD1","Q6.17.20_9")</f>
        <v>Q6.17.20_9</v>
      </c>
      <c r="L2240" s="93" t="str">
        <f>HYPERLINK("#'Healthcare'!CHD2","Primary DHMO plan: Service category: Dentures (removable &amp; Partial)")</f>
        <v>Primary DHMO plan: Service category: Dentures (removable &amp; Partial)</v>
      </c>
      <c r="M2240" s="6"/>
      <c r="N2240" s="7"/>
      <c r="O2240" s="6"/>
      <c r="P2240" s="7"/>
      <c r="Q2240" s="6"/>
      <c r="R2240" s="7"/>
      <c r="S2240" s="6"/>
      <c r="T2240" s="7"/>
      <c r="U2240" s="6"/>
      <c r="V2240" s="7"/>
      <c r="W2240" s="6"/>
      <c r="X2240" s="7"/>
    </row>
    <row r="2241" spans="1:24" ht="25.5" x14ac:dyDescent="0.2">
      <c r="A2241" s="6"/>
      <c r="B2241" s="7"/>
      <c r="C2241" s="6"/>
      <c r="D2241" s="7"/>
      <c r="E2241" s="6"/>
      <c r="F2241" s="7"/>
      <c r="G2241" s="6"/>
      <c r="H2241" s="7"/>
      <c r="I2241" s="6"/>
      <c r="J2241" s="7"/>
      <c r="K2241" s="96" t="str">
        <f>HYPERLINK("#'Healthcare'!CHE1","Q6.17.20_10")</f>
        <v>Q6.17.20_10</v>
      </c>
      <c r="L2241" s="93" t="str">
        <f>HYPERLINK("#'Healthcare'!CHE2","Primary DHMO plan: Service category: Examinations (non-routine)")</f>
        <v>Primary DHMO plan: Service category: Examinations (non-routine)</v>
      </c>
      <c r="M2241" s="6"/>
      <c r="N2241" s="7"/>
      <c r="O2241" s="6"/>
      <c r="P2241" s="7"/>
      <c r="Q2241" s="6"/>
      <c r="R2241" s="7"/>
      <c r="S2241" s="6"/>
      <c r="T2241" s="7"/>
      <c r="U2241" s="6"/>
      <c r="V2241" s="7"/>
      <c r="W2241" s="6"/>
      <c r="X2241" s="7"/>
    </row>
    <row r="2242" spans="1:24" ht="25.5" x14ac:dyDescent="0.2">
      <c r="A2242" s="6"/>
      <c r="B2242" s="7"/>
      <c r="C2242" s="6"/>
      <c r="D2242" s="7"/>
      <c r="E2242" s="6"/>
      <c r="F2242" s="7"/>
      <c r="G2242" s="6"/>
      <c r="H2242" s="7"/>
      <c r="I2242" s="6"/>
      <c r="J2242" s="7"/>
      <c r="K2242" s="96" t="str">
        <f>HYPERLINK("#'Healthcare'!CHF1","Q6.17.20_11")</f>
        <v>Q6.17.20_11</v>
      </c>
      <c r="L2242" s="93" t="str">
        <f>HYPERLINK("#'Healthcare'!CHF2","Primary DHMO plan: Service category: Examinations (routine)")</f>
        <v>Primary DHMO plan: Service category: Examinations (routine)</v>
      </c>
      <c r="M2242" s="6"/>
      <c r="N2242" s="7"/>
      <c r="O2242" s="6"/>
      <c r="P2242" s="7"/>
      <c r="Q2242" s="6"/>
      <c r="R2242" s="7"/>
      <c r="S2242" s="6"/>
      <c r="T2242" s="7"/>
      <c r="U2242" s="6"/>
      <c r="V2242" s="7"/>
      <c r="W2242" s="6"/>
      <c r="X2242" s="7"/>
    </row>
    <row r="2243" spans="1:24" ht="25.5" x14ac:dyDescent="0.2">
      <c r="A2243" s="6"/>
      <c r="B2243" s="7"/>
      <c r="C2243" s="6"/>
      <c r="D2243" s="7"/>
      <c r="E2243" s="6"/>
      <c r="F2243" s="7"/>
      <c r="G2243" s="6"/>
      <c r="H2243" s="7"/>
      <c r="I2243" s="6"/>
      <c r="J2243" s="7"/>
      <c r="K2243" s="96" t="str">
        <f>HYPERLINK("#'Healthcare'!CHG1","Q6.17.20_12")</f>
        <v>Q6.17.20_12</v>
      </c>
      <c r="L2243" s="93" t="str">
        <f>HYPERLINK("#'Healthcare'!CHG2","Primary DHMO plan: Service category: Fluoride treatments")</f>
        <v>Primary DHMO plan: Service category: Fluoride treatments</v>
      </c>
      <c r="M2243" s="6"/>
      <c r="N2243" s="7"/>
      <c r="O2243" s="6"/>
      <c r="P2243" s="7"/>
      <c r="Q2243" s="6"/>
      <c r="R2243" s="7"/>
      <c r="S2243" s="6"/>
      <c r="T2243" s="7"/>
      <c r="U2243" s="6"/>
      <c r="V2243" s="7"/>
      <c r="W2243" s="6"/>
      <c r="X2243" s="7"/>
    </row>
    <row r="2244" spans="1:24" ht="25.5" x14ac:dyDescent="0.2">
      <c r="A2244" s="6"/>
      <c r="B2244" s="7"/>
      <c r="C2244" s="6"/>
      <c r="D2244" s="7"/>
      <c r="E2244" s="6"/>
      <c r="F2244" s="7"/>
      <c r="G2244" s="6"/>
      <c r="H2244" s="7"/>
      <c r="I2244" s="6"/>
      <c r="J2244" s="7"/>
      <c r="K2244" s="96" t="str">
        <f>HYPERLINK("#'Healthcare'!CHH1","Q6.17.20_13")</f>
        <v>Q6.17.20_13</v>
      </c>
      <c r="L2244" s="93" t="str">
        <f>HYPERLINK("#'Healthcare'!CHH2","Primary DHMO plan: Service category: Implants")</f>
        <v>Primary DHMO plan: Service category: Implants</v>
      </c>
      <c r="M2244" s="6"/>
      <c r="N2244" s="7"/>
      <c r="O2244" s="6"/>
      <c r="P2244" s="7"/>
      <c r="Q2244" s="6"/>
      <c r="R2244" s="7"/>
      <c r="S2244" s="6"/>
      <c r="T2244" s="7"/>
      <c r="U2244" s="6"/>
      <c r="V2244" s="7"/>
      <c r="W2244" s="6"/>
      <c r="X2244" s="7"/>
    </row>
    <row r="2245" spans="1:24" ht="25.5" x14ac:dyDescent="0.2">
      <c r="A2245" s="6"/>
      <c r="B2245" s="7"/>
      <c r="C2245" s="6"/>
      <c r="D2245" s="7"/>
      <c r="E2245" s="6"/>
      <c r="F2245" s="7"/>
      <c r="G2245" s="6"/>
      <c r="H2245" s="7"/>
      <c r="I2245" s="6"/>
      <c r="J2245" s="7"/>
      <c r="K2245" s="96" t="str">
        <f>HYPERLINK("#'Healthcare'!CHI1","Q6.17.20_14")</f>
        <v>Q6.17.20_14</v>
      </c>
      <c r="L2245" s="93" t="str">
        <f>HYPERLINK("#'Healthcare'!CHI2","Primary DHMO plan: Service category: Inlays &amp; onlays")</f>
        <v>Primary DHMO plan: Service category: Inlays &amp; onlays</v>
      </c>
      <c r="M2245" s="6"/>
      <c r="N2245" s="7"/>
      <c r="O2245" s="6"/>
      <c r="P2245" s="7"/>
      <c r="Q2245" s="6"/>
      <c r="R2245" s="7"/>
      <c r="S2245" s="6"/>
      <c r="T2245" s="7"/>
      <c r="U2245" s="6"/>
      <c r="V2245" s="7"/>
      <c r="W2245" s="6"/>
      <c r="X2245" s="7"/>
    </row>
    <row r="2246" spans="1:24" ht="25.5" x14ac:dyDescent="0.2">
      <c r="A2246" s="6"/>
      <c r="B2246" s="7"/>
      <c r="C2246" s="6"/>
      <c r="D2246" s="7"/>
      <c r="E2246" s="6"/>
      <c r="F2246" s="7"/>
      <c r="G2246" s="6"/>
      <c r="H2246" s="7"/>
      <c r="I2246" s="6"/>
      <c r="J2246" s="7"/>
      <c r="K2246" s="96" t="str">
        <f>HYPERLINK("#'Healthcare'!CHJ1","Q6.17.20_15")</f>
        <v>Q6.17.20_15</v>
      </c>
      <c r="L2246" s="93" t="str">
        <f>HYPERLINK("#'Healthcare'!CHJ2","Primary DHMO plan: Service category: Night guards")</f>
        <v>Primary DHMO plan: Service category: Night guards</v>
      </c>
      <c r="M2246" s="6"/>
      <c r="N2246" s="7"/>
      <c r="O2246" s="6"/>
      <c r="P2246" s="7"/>
      <c r="Q2246" s="6"/>
      <c r="R2246" s="7"/>
      <c r="S2246" s="6"/>
      <c r="T2246" s="7"/>
      <c r="U2246" s="6"/>
      <c r="V2246" s="7"/>
      <c r="W2246" s="6"/>
      <c r="X2246" s="7"/>
    </row>
    <row r="2247" spans="1:24" ht="25.5" x14ac:dyDescent="0.2">
      <c r="A2247" s="6"/>
      <c r="B2247" s="7"/>
      <c r="C2247" s="6"/>
      <c r="D2247" s="7"/>
      <c r="E2247" s="6"/>
      <c r="F2247" s="7"/>
      <c r="G2247" s="6"/>
      <c r="H2247" s="7"/>
      <c r="I2247" s="6"/>
      <c r="J2247" s="7"/>
      <c r="K2247" s="96" t="str">
        <f>HYPERLINK("#'Healthcare'!CHK1","Q6.17.20_16")</f>
        <v>Q6.17.20_16</v>
      </c>
      <c r="L2247" s="93" t="str">
        <f>HYPERLINK("#'Healthcare'!CHK2","Primary DHMO plan: Service category: Oral surgery")</f>
        <v>Primary DHMO plan: Service category: Oral surgery</v>
      </c>
      <c r="M2247" s="6"/>
      <c r="N2247" s="7"/>
      <c r="O2247" s="6"/>
      <c r="P2247" s="7"/>
      <c r="Q2247" s="6"/>
      <c r="R2247" s="7"/>
      <c r="S2247" s="6"/>
      <c r="T2247" s="7"/>
      <c r="U2247" s="6"/>
      <c r="V2247" s="7"/>
      <c r="W2247" s="6"/>
      <c r="X2247" s="7"/>
    </row>
    <row r="2248" spans="1:24" ht="25.5" x14ac:dyDescent="0.2">
      <c r="A2248" s="6"/>
      <c r="B2248" s="7"/>
      <c r="C2248" s="6"/>
      <c r="D2248" s="7"/>
      <c r="E2248" s="6"/>
      <c r="F2248" s="7"/>
      <c r="G2248" s="6"/>
      <c r="H2248" s="7"/>
      <c r="I2248" s="6"/>
      <c r="J2248" s="7"/>
      <c r="K2248" s="96" t="str">
        <f>HYPERLINK("#'Healthcare'!CHL1","Q6.17.20_17")</f>
        <v>Q6.17.20_17</v>
      </c>
      <c r="L2248" s="93" t="str">
        <f>HYPERLINK("#'Healthcare'!CHL2","Primary DHMO plan: Service category: Orthodontia")</f>
        <v>Primary DHMO plan: Service category: Orthodontia</v>
      </c>
      <c r="M2248" s="6"/>
      <c r="N2248" s="7"/>
      <c r="O2248" s="6"/>
      <c r="P2248" s="7"/>
      <c r="Q2248" s="6"/>
      <c r="R2248" s="7"/>
      <c r="S2248" s="6"/>
      <c r="T2248" s="7"/>
      <c r="U2248" s="6"/>
      <c r="V2248" s="7"/>
      <c r="W2248" s="6"/>
      <c r="X2248" s="7"/>
    </row>
    <row r="2249" spans="1:24" ht="25.5" x14ac:dyDescent="0.2">
      <c r="A2249" s="6"/>
      <c r="B2249" s="7"/>
      <c r="C2249" s="6"/>
      <c r="D2249" s="7"/>
      <c r="E2249" s="6"/>
      <c r="F2249" s="7"/>
      <c r="G2249" s="6"/>
      <c r="H2249" s="7"/>
      <c r="I2249" s="6"/>
      <c r="J2249" s="7"/>
      <c r="K2249" s="96" t="str">
        <f>HYPERLINK("#'Healthcare'!CHM1","Q6.17.20_18")</f>
        <v>Q6.17.20_18</v>
      </c>
      <c r="L2249" s="93" t="str">
        <f>HYPERLINK("#'Healthcare'!CHM2","Primary DHMO plan: Service category: Periodontal scaling &amp; root planing")</f>
        <v>Primary DHMO plan: Service category: Periodontal scaling &amp; root planing</v>
      </c>
      <c r="M2249" s="6"/>
      <c r="N2249" s="7"/>
      <c r="O2249" s="6"/>
      <c r="P2249" s="7"/>
      <c r="Q2249" s="6"/>
      <c r="R2249" s="7"/>
      <c r="S2249" s="6"/>
      <c r="T2249" s="7"/>
      <c r="U2249" s="6"/>
      <c r="V2249" s="7"/>
      <c r="W2249" s="6"/>
      <c r="X2249" s="7"/>
    </row>
    <row r="2250" spans="1:24" ht="25.5" x14ac:dyDescent="0.2">
      <c r="A2250" s="6"/>
      <c r="B2250" s="7"/>
      <c r="C2250" s="6"/>
      <c r="D2250" s="7"/>
      <c r="E2250" s="6"/>
      <c r="F2250" s="7"/>
      <c r="G2250" s="6"/>
      <c r="H2250" s="7"/>
      <c r="I2250" s="6"/>
      <c r="J2250" s="7"/>
      <c r="K2250" s="96" t="str">
        <f>HYPERLINK("#'Healthcare'!CHN1","Q6.17.20_19")</f>
        <v>Q6.17.20_19</v>
      </c>
      <c r="L2250" s="93" t="str">
        <f>HYPERLINK("#'Healthcare'!CHN2","Primary DHMO plan: Service category: Periodontal surgery")</f>
        <v>Primary DHMO plan: Service category: Periodontal surgery</v>
      </c>
      <c r="M2250" s="6"/>
      <c r="N2250" s="7"/>
      <c r="O2250" s="6"/>
      <c r="P2250" s="7"/>
      <c r="Q2250" s="6"/>
      <c r="R2250" s="7"/>
      <c r="S2250" s="6"/>
      <c r="T2250" s="7"/>
      <c r="U2250" s="6"/>
      <c r="V2250" s="7"/>
      <c r="W2250" s="6"/>
      <c r="X2250" s="7"/>
    </row>
    <row r="2251" spans="1:24" ht="25.5" x14ac:dyDescent="0.2">
      <c r="A2251" s="6"/>
      <c r="B2251" s="7"/>
      <c r="C2251" s="6"/>
      <c r="D2251" s="7"/>
      <c r="E2251" s="6"/>
      <c r="F2251" s="7"/>
      <c r="G2251" s="6"/>
      <c r="H2251" s="7"/>
      <c r="I2251" s="6"/>
      <c r="J2251" s="7"/>
      <c r="K2251" s="96" t="str">
        <f>HYPERLINK("#'Healthcare'!CHO1","Q6.17.20_20")</f>
        <v>Q6.17.20_20</v>
      </c>
      <c r="L2251" s="93" t="str">
        <f>HYPERLINK("#'Healthcare'!CHO2","Primary DHMO plan: Service category: Root canals")</f>
        <v>Primary DHMO plan: Service category: Root canals</v>
      </c>
      <c r="M2251" s="6"/>
      <c r="N2251" s="7"/>
      <c r="O2251" s="6"/>
      <c r="P2251" s="7"/>
      <c r="Q2251" s="6"/>
      <c r="R2251" s="7"/>
      <c r="S2251" s="6"/>
      <c r="T2251" s="7"/>
      <c r="U2251" s="6"/>
      <c r="V2251" s="7"/>
      <c r="W2251" s="6"/>
      <c r="X2251" s="7"/>
    </row>
    <row r="2252" spans="1:24" ht="25.5" x14ac:dyDescent="0.2">
      <c r="A2252" s="6"/>
      <c r="B2252" s="7"/>
      <c r="C2252" s="6"/>
      <c r="D2252" s="7"/>
      <c r="E2252" s="6"/>
      <c r="F2252" s="7"/>
      <c r="G2252" s="6"/>
      <c r="H2252" s="7"/>
      <c r="I2252" s="6"/>
      <c r="J2252" s="7"/>
      <c r="K2252" s="96" t="str">
        <f>HYPERLINK("#'Healthcare'!CHP1","Q6.17.20_21")</f>
        <v>Q6.17.20_21</v>
      </c>
      <c r="L2252" s="93" t="str">
        <f>HYPERLINK("#'Healthcare'!CHP2","Primary DHMO plan: Service category: Space maintainers")</f>
        <v>Primary DHMO plan: Service category: Space maintainers</v>
      </c>
      <c r="M2252" s="6"/>
      <c r="N2252" s="7"/>
      <c r="O2252" s="6"/>
      <c r="P2252" s="7"/>
      <c r="Q2252" s="6"/>
      <c r="R2252" s="7"/>
      <c r="S2252" s="6"/>
      <c r="T2252" s="7"/>
      <c r="U2252" s="6"/>
      <c r="V2252" s="7"/>
      <c r="W2252" s="6"/>
      <c r="X2252" s="7"/>
    </row>
    <row r="2253" spans="1:24" ht="25.5" x14ac:dyDescent="0.2">
      <c r="A2253" s="6"/>
      <c r="B2253" s="7"/>
      <c r="C2253" s="6"/>
      <c r="D2253" s="7"/>
      <c r="E2253" s="6"/>
      <c r="F2253" s="7"/>
      <c r="G2253" s="6"/>
      <c r="H2253" s="7"/>
      <c r="I2253" s="6"/>
      <c r="J2253" s="7"/>
      <c r="K2253" s="96" t="str">
        <f>HYPERLINK("#'Healthcare'!CHQ1","Q6.17.20_22")</f>
        <v>Q6.17.20_22</v>
      </c>
      <c r="L2253" s="93" t="str">
        <f>HYPERLINK("#'Healthcare'!CHQ2","Primary DHMO plan: Service category: Tooth extractions")</f>
        <v>Primary DHMO plan: Service category: Tooth extractions</v>
      </c>
      <c r="M2253" s="6"/>
      <c r="N2253" s="7"/>
      <c r="O2253" s="6"/>
      <c r="P2253" s="7"/>
      <c r="Q2253" s="6"/>
      <c r="R2253" s="7"/>
      <c r="S2253" s="6"/>
      <c r="T2253" s="7"/>
      <c r="U2253" s="6"/>
      <c r="V2253" s="7"/>
      <c r="W2253" s="6"/>
      <c r="X2253" s="7"/>
    </row>
    <row r="2254" spans="1:24" ht="25.5" x14ac:dyDescent="0.2">
      <c r="A2254" s="6"/>
      <c r="B2254" s="7"/>
      <c r="C2254" s="6"/>
      <c r="D2254" s="7"/>
      <c r="E2254" s="6"/>
      <c r="F2254" s="7"/>
      <c r="G2254" s="6"/>
      <c r="H2254" s="7"/>
      <c r="I2254" s="6"/>
      <c r="J2254" s="7"/>
      <c r="K2254" s="96" t="str">
        <f>HYPERLINK("#'Healthcare'!CHR1","Q6.17.20_23")</f>
        <v>Q6.17.20_23</v>
      </c>
      <c r="L2254" s="93" t="str">
        <f>HYPERLINK("#'Healthcare'!CHR2","Primary DHMO plan: Service category: Tooth sealants")</f>
        <v>Primary DHMO plan: Service category: Tooth sealants</v>
      </c>
      <c r="M2254" s="6"/>
      <c r="N2254" s="7"/>
      <c r="O2254" s="6"/>
      <c r="P2254" s="7"/>
      <c r="Q2254" s="6"/>
      <c r="R2254" s="7"/>
      <c r="S2254" s="6"/>
      <c r="T2254" s="7"/>
      <c r="U2254" s="6"/>
      <c r="V2254" s="7"/>
      <c r="W2254" s="6"/>
      <c r="X2254" s="7"/>
    </row>
    <row r="2255" spans="1:24" ht="25.5" x14ac:dyDescent="0.2">
      <c r="A2255" s="6"/>
      <c r="B2255" s="7"/>
      <c r="C2255" s="6"/>
      <c r="D2255" s="7"/>
      <c r="E2255" s="6"/>
      <c r="F2255" s="7"/>
      <c r="G2255" s="6"/>
      <c r="H2255" s="7"/>
      <c r="I2255" s="6"/>
      <c r="J2255" s="7"/>
      <c r="K2255" s="96" t="str">
        <f>HYPERLINK("#'Healthcare'!CHS1","Q6.17.20_24")</f>
        <v>Q6.17.20_24</v>
      </c>
      <c r="L2255" s="93" t="str">
        <f>HYPERLINK("#'Healthcare'!CHS2","Primary DHMO plan: Service category: Topical fluoride treatments")</f>
        <v>Primary DHMO plan: Service category: Topical fluoride treatments</v>
      </c>
      <c r="M2255" s="6"/>
      <c r="N2255" s="7"/>
      <c r="O2255" s="6"/>
      <c r="P2255" s="7"/>
      <c r="Q2255" s="6"/>
      <c r="R2255" s="7"/>
      <c r="S2255" s="6"/>
      <c r="T2255" s="7"/>
      <c r="U2255" s="6"/>
      <c r="V2255" s="7"/>
      <c r="W2255" s="6"/>
      <c r="X2255" s="7"/>
    </row>
    <row r="2256" spans="1:24" ht="25.5" x14ac:dyDescent="0.2">
      <c r="A2256" s="6"/>
      <c r="B2256" s="7"/>
      <c r="C2256" s="6"/>
      <c r="D2256" s="7"/>
      <c r="E2256" s="6"/>
      <c r="F2256" s="7"/>
      <c r="G2256" s="6"/>
      <c r="H2256" s="7"/>
      <c r="I2256" s="6"/>
      <c r="J2256" s="7"/>
      <c r="K2256" s="96" t="str">
        <f>HYPERLINK("#'Healthcare'!CHT1","Q6.17.20_25")</f>
        <v>Q6.17.20_25</v>
      </c>
      <c r="L2256" s="93" t="str">
        <f>HYPERLINK("#'Healthcare'!CHT2","Primary DHMO plan: Service category: X-rays - bitewings")</f>
        <v>Primary DHMO plan: Service category: X-rays - bitewings</v>
      </c>
      <c r="M2256" s="6"/>
      <c r="N2256" s="7"/>
      <c r="O2256" s="6"/>
      <c r="P2256" s="7"/>
      <c r="Q2256" s="6"/>
      <c r="R2256" s="7"/>
      <c r="S2256" s="6"/>
      <c r="T2256" s="7"/>
      <c r="U2256" s="6"/>
      <c r="V2256" s="7"/>
      <c r="W2256" s="6"/>
      <c r="X2256" s="7"/>
    </row>
    <row r="2257" spans="1:24" ht="25.5" x14ac:dyDescent="0.2">
      <c r="A2257" s="6"/>
      <c r="B2257" s="7"/>
      <c r="C2257" s="6"/>
      <c r="D2257" s="7"/>
      <c r="E2257" s="6"/>
      <c r="F2257" s="7"/>
      <c r="G2257" s="6"/>
      <c r="H2257" s="7"/>
      <c r="I2257" s="6"/>
      <c r="J2257" s="7"/>
      <c r="K2257" s="96" t="str">
        <f>HYPERLINK("#'Healthcare'!CHU1","Q6.17.20_26")</f>
        <v>Q6.17.20_26</v>
      </c>
      <c r="L2257" s="93" t="str">
        <f>HYPERLINK("#'Healthcare'!CHU2","Primary DHMO plan: Service category: X-rays - full-mouth, panorex")</f>
        <v>Primary DHMO plan: Service category: X-rays - full-mouth, panorex</v>
      </c>
      <c r="M2257" s="6"/>
      <c r="N2257" s="7"/>
      <c r="O2257" s="6"/>
      <c r="P2257" s="7"/>
      <c r="Q2257" s="6"/>
      <c r="R2257" s="7"/>
      <c r="S2257" s="6"/>
      <c r="T2257" s="7"/>
      <c r="U2257" s="6"/>
      <c r="V2257" s="7"/>
      <c r="W2257" s="6"/>
      <c r="X2257" s="7"/>
    </row>
    <row r="2258" spans="1:24" ht="25.5" x14ac:dyDescent="0.2">
      <c r="A2258" s="6"/>
      <c r="B2258" s="7"/>
      <c r="C2258" s="6"/>
      <c r="D2258" s="7"/>
      <c r="E2258" s="6"/>
      <c r="F2258" s="7"/>
      <c r="G2258" s="6"/>
      <c r="H2258" s="7"/>
      <c r="I2258" s="6"/>
      <c r="J2258" s="7"/>
      <c r="K2258" s="96" t="str">
        <f>HYPERLINK("#'Healthcare'!CHV1","Q6.17.20_27")</f>
        <v>Q6.17.20_27</v>
      </c>
      <c r="L2258" s="93" t="str">
        <f>HYPERLINK("#'Healthcare'!CHV2","Primary DHMO plan: Service category: X-rays - periapical")</f>
        <v>Primary DHMO plan: Service category: X-rays - periapical</v>
      </c>
      <c r="M2258" s="6"/>
      <c r="N2258" s="7"/>
      <c r="O2258" s="6"/>
      <c r="P2258" s="7"/>
      <c r="Q2258" s="6"/>
      <c r="R2258" s="7"/>
      <c r="S2258" s="6"/>
      <c r="T2258" s="7"/>
      <c r="U2258" s="6"/>
      <c r="V2258" s="7"/>
      <c r="W2258" s="6"/>
      <c r="X2258" s="7"/>
    </row>
    <row r="2259" spans="1:24" ht="25.5" x14ac:dyDescent="0.2">
      <c r="A2259" s="6"/>
      <c r="B2259" s="7"/>
      <c r="C2259" s="6"/>
      <c r="D2259" s="7"/>
      <c r="E2259" s="6"/>
      <c r="F2259" s="7"/>
      <c r="G2259" s="6"/>
      <c r="H2259" s="7"/>
      <c r="I2259" s="6"/>
      <c r="J2259" s="7"/>
      <c r="K2259" s="96" t="str">
        <f>HYPERLINK("#'Healthcare'!CHW1","Q6.17.21_1")</f>
        <v>Q6.17.21_1</v>
      </c>
      <c r="L2259" s="93" t="str">
        <f>HYPERLINK("#'Healthcare'!CHW2","Primary DHMO plan: Service costs apply to annual limit: Amalgam fillings")</f>
        <v>Primary DHMO plan: Service costs apply to annual limit: Amalgam fillings</v>
      </c>
      <c r="M2259" s="6"/>
      <c r="N2259" s="7"/>
      <c r="O2259" s="6"/>
      <c r="P2259" s="7"/>
      <c r="Q2259" s="6"/>
      <c r="R2259" s="7"/>
      <c r="S2259" s="6"/>
      <c r="T2259" s="7"/>
      <c r="U2259" s="6"/>
      <c r="V2259" s="7"/>
      <c r="W2259" s="6"/>
      <c r="X2259" s="7"/>
    </row>
    <row r="2260" spans="1:24" ht="25.5" x14ac:dyDescent="0.2">
      <c r="A2260" s="6"/>
      <c r="B2260" s="7"/>
      <c r="C2260" s="6"/>
      <c r="D2260" s="7"/>
      <c r="E2260" s="6"/>
      <c r="F2260" s="7"/>
      <c r="G2260" s="6"/>
      <c r="H2260" s="7"/>
      <c r="I2260" s="6"/>
      <c r="J2260" s="7"/>
      <c r="K2260" s="96" t="str">
        <f>HYPERLINK("#'Healthcare'!CHX1","Q6.17.21_2")</f>
        <v>Q6.17.21_2</v>
      </c>
      <c r="L2260" s="93" t="str">
        <f>HYPERLINK("#'Healthcare'!CHX2","Primary DHMO plan: Service costs apply to annual limit: Anesthesia/sedation")</f>
        <v>Primary DHMO plan: Service costs apply to annual limit: Anesthesia/sedation</v>
      </c>
      <c r="M2260" s="6"/>
      <c r="N2260" s="7"/>
      <c r="O2260" s="6"/>
      <c r="P2260" s="7"/>
      <c r="Q2260" s="6"/>
      <c r="R2260" s="7"/>
      <c r="S2260" s="6"/>
      <c r="T2260" s="7"/>
      <c r="U2260" s="6"/>
      <c r="V2260" s="7"/>
      <c r="W2260" s="6"/>
      <c r="X2260" s="7"/>
    </row>
    <row r="2261" spans="1:24" ht="25.5" x14ac:dyDescent="0.2">
      <c r="A2261" s="6"/>
      <c r="B2261" s="7"/>
      <c r="C2261" s="6"/>
      <c r="D2261" s="7"/>
      <c r="E2261" s="6"/>
      <c r="F2261" s="7"/>
      <c r="G2261" s="6"/>
      <c r="H2261" s="7"/>
      <c r="I2261" s="6"/>
      <c r="J2261" s="7"/>
      <c r="K2261" s="96" t="str">
        <f>HYPERLINK("#'Healthcare'!CHY1","Q6.17.21_3")</f>
        <v>Q6.17.21_3</v>
      </c>
      <c r="L2261" s="93" t="str">
        <f>HYPERLINK("#'Healthcare'!CHY2","Primary DHMO plan: Service costs apply to annual limit: Bridgework")</f>
        <v>Primary DHMO plan: Service costs apply to annual limit: Bridgework</v>
      </c>
      <c r="M2261" s="6"/>
      <c r="N2261" s="7"/>
      <c r="O2261" s="6"/>
      <c r="P2261" s="7"/>
      <c r="Q2261" s="6"/>
      <c r="R2261" s="7"/>
      <c r="S2261" s="6"/>
      <c r="T2261" s="7"/>
      <c r="U2261" s="6"/>
      <c r="V2261" s="7"/>
      <c r="W2261" s="6"/>
      <c r="X2261" s="7"/>
    </row>
    <row r="2262" spans="1:24" ht="25.5" x14ac:dyDescent="0.2">
      <c r="A2262" s="6"/>
      <c r="B2262" s="7"/>
      <c r="C2262" s="6"/>
      <c r="D2262" s="7"/>
      <c r="E2262" s="6"/>
      <c r="F2262" s="7"/>
      <c r="G2262" s="6"/>
      <c r="H2262" s="7"/>
      <c r="I2262" s="6"/>
      <c r="J2262" s="7"/>
      <c r="K2262" s="96" t="str">
        <f>HYPERLINK("#'Healthcare'!CHZ1","Q6.17.21_4")</f>
        <v>Q6.17.21_4</v>
      </c>
      <c r="L2262" s="93" t="str">
        <f>HYPERLINK("#'Healthcare'!CHZ2","Primary DHMO plan: Service costs apply to annual limit: Cleanings (prophylaxis)")</f>
        <v>Primary DHMO plan: Service costs apply to annual limit: Cleanings (prophylaxis)</v>
      </c>
      <c r="M2262" s="6"/>
      <c r="N2262" s="7"/>
      <c r="O2262" s="6"/>
      <c r="P2262" s="7"/>
      <c r="Q2262" s="6"/>
      <c r="R2262" s="7"/>
      <c r="S2262" s="6"/>
      <c r="T2262" s="7"/>
      <c r="U2262" s="6"/>
      <c r="V2262" s="7"/>
      <c r="W2262" s="6"/>
      <c r="X2262" s="7"/>
    </row>
    <row r="2263" spans="1:24" ht="25.5" x14ac:dyDescent="0.2">
      <c r="A2263" s="6"/>
      <c r="B2263" s="7"/>
      <c r="C2263" s="6"/>
      <c r="D2263" s="7"/>
      <c r="E2263" s="6"/>
      <c r="F2263" s="7"/>
      <c r="G2263" s="6"/>
      <c r="H2263" s="7"/>
      <c r="I2263" s="6"/>
      <c r="J2263" s="7"/>
      <c r="K2263" s="96" t="str">
        <f>HYPERLINK("#'Healthcare'!CIA1","Q6.17.21_5")</f>
        <v>Q6.17.21_5</v>
      </c>
      <c r="L2263" s="93" t="str">
        <f>HYPERLINK("#'Healthcare'!CIA2","Primary DHMO plan: Service costs apply to annual limit: Composite fillings (white fillings)")</f>
        <v>Primary DHMO plan: Service costs apply to annual limit: Composite fillings (white fillings)</v>
      </c>
      <c r="M2263" s="6"/>
      <c r="N2263" s="7"/>
      <c r="O2263" s="6"/>
      <c r="P2263" s="7"/>
      <c r="Q2263" s="6"/>
      <c r="R2263" s="7"/>
      <c r="S2263" s="6"/>
      <c r="T2263" s="7"/>
      <c r="U2263" s="6"/>
      <c r="V2263" s="7"/>
      <c r="W2263" s="6"/>
      <c r="X2263" s="7"/>
    </row>
    <row r="2264" spans="1:24" ht="25.5" x14ac:dyDescent="0.2">
      <c r="A2264" s="6"/>
      <c r="B2264" s="7"/>
      <c r="C2264" s="6"/>
      <c r="D2264" s="7"/>
      <c r="E2264" s="6"/>
      <c r="F2264" s="7"/>
      <c r="G2264" s="6"/>
      <c r="H2264" s="7"/>
      <c r="I2264" s="6"/>
      <c r="J2264" s="7"/>
      <c r="K2264" s="96" t="str">
        <f>HYPERLINK("#'Healthcare'!CIB1","Q6.17.21_6")</f>
        <v>Q6.17.21_6</v>
      </c>
      <c r="L2264" s="93" t="str">
        <f>HYPERLINK("#'Healthcare'!CIB2","Primary DHMO plan: Service costs apply to annual limit: Crowns")</f>
        <v>Primary DHMO plan: Service costs apply to annual limit: Crowns</v>
      </c>
      <c r="M2264" s="6"/>
      <c r="N2264" s="7"/>
      <c r="O2264" s="6"/>
      <c r="P2264" s="7"/>
      <c r="Q2264" s="6"/>
      <c r="R2264" s="7"/>
      <c r="S2264" s="6"/>
      <c r="T2264" s="7"/>
      <c r="U2264" s="6"/>
      <c r="V2264" s="7"/>
      <c r="W2264" s="6"/>
      <c r="X2264" s="7"/>
    </row>
    <row r="2265" spans="1:24" ht="25.5" x14ac:dyDescent="0.2">
      <c r="A2265" s="6"/>
      <c r="B2265" s="7"/>
      <c r="C2265" s="6"/>
      <c r="D2265" s="7"/>
      <c r="E2265" s="6"/>
      <c r="F2265" s="7"/>
      <c r="G2265" s="6"/>
      <c r="H2265" s="7"/>
      <c r="I2265" s="6"/>
      <c r="J2265" s="7"/>
      <c r="K2265" s="96" t="str">
        <f>HYPERLINK("#'Healthcare'!CIC1","Q6.17.21_7")</f>
        <v>Q6.17.21_7</v>
      </c>
      <c r="L2265" s="93" t="str">
        <f>HYPERLINK("#'Healthcare'!CIC2","Primary DHMO plan: Service costs apply to annual limit: Denture repair")</f>
        <v>Primary DHMO plan: Service costs apply to annual limit: Denture repair</v>
      </c>
      <c r="M2265" s="6"/>
      <c r="N2265" s="7"/>
      <c r="O2265" s="6"/>
      <c r="P2265" s="7"/>
      <c r="Q2265" s="6"/>
      <c r="R2265" s="7"/>
      <c r="S2265" s="6"/>
      <c r="T2265" s="7"/>
      <c r="U2265" s="6"/>
      <c r="V2265" s="7"/>
      <c r="W2265" s="6"/>
      <c r="X2265" s="7"/>
    </row>
    <row r="2266" spans="1:24" ht="25.5" x14ac:dyDescent="0.2">
      <c r="A2266" s="6"/>
      <c r="B2266" s="7"/>
      <c r="C2266" s="6"/>
      <c r="D2266" s="7"/>
      <c r="E2266" s="6"/>
      <c r="F2266" s="7"/>
      <c r="G2266" s="6"/>
      <c r="H2266" s="7"/>
      <c r="I2266" s="6"/>
      <c r="J2266" s="7"/>
      <c r="K2266" s="96" t="str">
        <f>HYPERLINK("#'Healthcare'!CID1","Q6.17.21_8")</f>
        <v>Q6.17.21_8</v>
      </c>
      <c r="L2266" s="93" t="str">
        <f>HYPERLINK("#'Healthcare'!CID2","Primary DHMO plan: Service costs apply to annual limit: Dentures (relines &amp; rebases)")</f>
        <v>Primary DHMO plan: Service costs apply to annual limit: Dentures (relines &amp; rebases)</v>
      </c>
      <c r="M2266" s="6"/>
      <c r="N2266" s="7"/>
      <c r="O2266" s="6"/>
      <c r="P2266" s="7"/>
      <c r="Q2266" s="6"/>
      <c r="R2266" s="7"/>
      <c r="S2266" s="6"/>
      <c r="T2266" s="7"/>
      <c r="U2266" s="6"/>
      <c r="V2266" s="7"/>
      <c r="W2266" s="6"/>
      <c r="X2266" s="7"/>
    </row>
    <row r="2267" spans="1:24" ht="25.5" x14ac:dyDescent="0.2">
      <c r="A2267" s="6"/>
      <c r="B2267" s="7"/>
      <c r="C2267" s="6"/>
      <c r="D2267" s="7"/>
      <c r="E2267" s="6"/>
      <c r="F2267" s="7"/>
      <c r="G2267" s="6"/>
      <c r="H2267" s="7"/>
      <c r="I2267" s="6"/>
      <c r="J2267" s="7"/>
      <c r="K2267" s="96" t="str">
        <f>HYPERLINK("#'Healthcare'!CIE1","Q6.17.21_9")</f>
        <v>Q6.17.21_9</v>
      </c>
      <c r="L2267" s="93" t="str">
        <f>HYPERLINK("#'Healthcare'!CIE2","Primary DHMO plan: Service costs apply to annual limit: Dentures (removable &amp; Partial)")</f>
        <v>Primary DHMO plan: Service costs apply to annual limit: Dentures (removable &amp; Partial)</v>
      </c>
      <c r="M2267" s="6"/>
      <c r="N2267" s="7"/>
      <c r="O2267" s="6"/>
      <c r="P2267" s="7"/>
      <c r="Q2267" s="6"/>
      <c r="R2267" s="7"/>
      <c r="S2267" s="6"/>
      <c r="T2267" s="7"/>
      <c r="U2267" s="6"/>
      <c r="V2267" s="7"/>
      <c r="W2267" s="6"/>
      <c r="X2267" s="7"/>
    </row>
    <row r="2268" spans="1:24" ht="25.5" x14ac:dyDescent="0.2">
      <c r="A2268" s="6"/>
      <c r="B2268" s="7"/>
      <c r="C2268" s="6"/>
      <c r="D2268" s="7"/>
      <c r="E2268" s="6"/>
      <c r="F2268" s="7"/>
      <c r="G2268" s="6"/>
      <c r="H2268" s="7"/>
      <c r="I2268" s="6"/>
      <c r="J2268" s="7"/>
      <c r="K2268" s="96" t="str">
        <f>HYPERLINK("#'Healthcare'!CIF1","Q6.17.21_10")</f>
        <v>Q6.17.21_10</v>
      </c>
      <c r="L2268" s="93" t="str">
        <f>HYPERLINK("#'Healthcare'!CIF2","Primary DHMO plan: Service costs apply to annual limit: Examinations (non-routine)")</f>
        <v>Primary DHMO plan: Service costs apply to annual limit: Examinations (non-routine)</v>
      </c>
      <c r="M2268" s="6"/>
      <c r="N2268" s="7"/>
      <c r="O2268" s="6"/>
      <c r="P2268" s="7"/>
      <c r="Q2268" s="6"/>
      <c r="R2268" s="7"/>
      <c r="S2268" s="6"/>
      <c r="T2268" s="7"/>
      <c r="U2268" s="6"/>
      <c r="V2268" s="7"/>
      <c r="W2268" s="6"/>
      <c r="X2268" s="7"/>
    </row>
    <row r="2269" spans="1:24" ht="25.5" x14ac:dyDescent="0.2">
      <c r="A2269" s="6"/>
      <c r="B2269" s="7"/>
      <c r="C2269" s="6"/>
      <c r="D2269" s="7"/>
      <c r="E2269" s="6"/>
      <c r="F2269" s="7"/>
      <c r="G2269" s="6"/>
      <c r="H2269" s="7"/>
      <c r="I2269" s="6"/>
      <c r="J2269" s="7"/>
      <c r="K2269" s="96" t="str">
        <f>HYPERLINK("#'Healthcare'!CIG1","Q6.17.21_11")</f>
        <v>Q6.17.21_11</v>
      </c>
      <c r="L2269" s="93" t="str">
        <f>HYPERLINK("#'Healthcare'!CIG2","Primary DHMO plan: Service costs apply to annual limit: Examinations (routine)")</f>
        <v>Primary DHMO plan: Service costs apply to annual limit: Examinations (routine)</v>
      </c>
      <c r="M2269" s="6"/>
      <c r="N2269" s="7"/>
      <c r="O2269" s="6"/>
      <c r="P2269" s="7"/>
      <c r="Q2269" s="6"/>
      <c r="R2269" s="7"/>
      <c r="S2269" s="6"/>
      <c r="T2269" s="7"/>
      <c r="U2269" s="6"/>
      <c r="V2269" s="7"/>
      <c r="W2269" s="6"/>
      <c r="X2269" s="7"/>
    </row>
    <row r="2270" spans="1:24" ht="25.5" x14ac:dyDescent="0.2">
      <c r="A2270" s="6"/>
      <c r="B2270" s="7"/>
      <c r="C2270" s="6"/>
      <c r="D2270" s="7"/>
      <c r="E2270" s="6"/>
      <c r="F2270" s="7"/>
      <c r="G2270" s="6"/>
      <c r="H2270" s="7"/>
      <c r="I2270" s="6"/>
      <c r="J2270" s="7"/>
      <c r="K2270" s="96" t="str">
        <f>HYPERLINK("#'Healthcare'!CIH1","Q6.17.21_12")</f>
        <v>Q6.17.21_12</v>
      </c>
      <c r="L2270" s="93" t="str">
        <f>HYPERLINK("#'Healthcare'!CIH2","Primary DHMO plan: Service costs apply to annual limit: Fluoride treatments")</f>
        <v>Primary DHMO plan: Service costs apply to annual limit: Fluoride treatments</v>
      </c>
      <c r="M2270" s="6"/>
      <c r="N2270" s="7"/>
      <c r="O2270" s="6"/>
      <c r="P2270" s="7"/>
      <c r="Q2270" s="6"/>
      <c r="R2270" s="7"/>
      <c r="S2270" s="6"/>
      <c r="T2270" s="7"/>
      <c r="U2270" s="6"/>
      <c r="V2270" s="7"/>
      <c r="W2270" s="6"/>
      <c r="X2270" s="7"/>
    </row>
    <row r="2271" spans="1:24" ht="25.5" x14ac:dyDescent="0.2">
      <c r="A2271" s="6"/>
      <c r="B2271" s="7"/>
      <c r="C2271" s="6"/>
      <c r="D2271" s="7"/>
      <c r="E2271" s="6"/>
      <c r="F2271" s="7"/>
      <c r="G2271" s="6"/>
      <c r="H2271" s="7"/>
      <c r="I2271" s="6"/>
      <c r="J2271" s="7"/>
      <c r="K2271" s="96" t="str">
        <f>HYPERLINK("#'Healthcare'!CII1","Q6.17.21_13")</f>
        <v>Q6.17.21_13</v>
      </c>
      <c r="L2271" s="93" t="str">
        <f>HYPERLINK("#'Healthcare'!CII2","Primary DHMO plan: Service costs apply to annual limit: Implants")</f>
        <v>Primary DHMO plan: Service costs apply to annual limit: Implants</v>
      </c>
      <c r="M2271" s="6"/>
      <c r="N2271" s="7"/>
      <c r="O2271" s="6"/>
      <c r="P2271" s="7"/>
      <c r="Q2271" s="6"/>
      <c r="R2271" s="7"/>
      <c r="S2271" s="6"/>
      <c r="T2271" s="7"/>
      <c r="U2271" s="6"/>
      <c r="V2271" s="7"/>
      <c r="W2271" s="6"/>
      <c r="X2271" s="7"/>
    </row>
    <row r="2272" spans="1:24" ht="25.5" x14ac:dyDescent="0.2">
      <c r="A2272" s="6"/>
      <c r="B2272" s="7"/>
      <c r="C2272" s="6"/>
      <c r="D2272" s="7"/>
      <c r="E2272" s="6"/>
      <c r="F2272" s="7"/>
      <c r="G2272" s="6"/>
      <c r="H2272" s="7"/>
      <c r="I2272" s="6"/>
      <c r="J2272" s="7"/>
      <c r="K2272" s="96" t="str">
        <f>HYPERLINK("#'Healthcare'!CIJ1","Q6.17.21_14")</f>
        <v>Q6.17.21_14</v>
      </c>
      <c r="L2272" s="93" t="str">
        <f>HYPERLINK("#'Healthcare'!CIJ2","Primary DHMO plan: Service costs apply to annual limit: Inlays &amp; onlays")</f>
        <v>Primary DHMO plan: Service costs apply to annual limit: Inlays &amp; onlays</v>
      </c>
      <c r="M2272" s="6"/>
      <c r="N2272" s="7"/>
      <c r="O2272" s="6"/>
      <c r="P2272" s="7"/>
      <c r="Q2272" s="6"/>
      <c r="R2272" s="7"/>
      <c r="S2272" s="6"/>
      <c r="T2272" s="7"/>
      <c r="U2272" s="6"/>
      <c r="V2272" s="7"/>
      <c r="W2272" s="6"/>
      <c r="X2272" s="7"/>
    </row>
    <row r="2273" spans="1:24" ht="25.5" x14ac:dyDescent="0.2">
      <c r="A2273" s="6"/>
      <c r="B2273" s="7"/>
      <c r="C2273" s="6"/>
      <c r="D2273" s="7"/>
      <c r="E2273" s="6"/>
      <c r="F2273" s="7"/>
      <c r="G2273" s="6"/>
      <c r="H2273" s="7"/>
      <c r="I2273" s="6"/>
      <c r="J2273" s="7"/>
      <c r="K2273" s="96" t="str">
        <f>HYPERLINK("#'Healthcare'!CIK1","Q6.17.21_15")</f>
        <v>Q6.17.21_15</v>
      </c>
      <c r="L2273" s="93" t="str">
        <f>HYPERLINK("#'Healthcare'!CIK2","Primary DHMO plan: Service costs apply to annual limit: Night guards")</f>
        <v>Primary DHMO plan: Service costs apply to annual limit: Night guards</v>
      </c>
      <c r="M2273" s="6"/>
      <c r="N2273" s="7"/>
      <c r="O2273" s="6"/>
      <c r="P2273" s="7"/>
      <c r="Q2273" s="6"/>
      <c r="R2273" s="7"/>
      <c r="S2273" s="6"/>
      <c r="T2273" s="7"/>
      <c r="U2273" s="6"/>
      <c r="V2273" s="7"/>
      <c r="W2273" s="6"/>
      <c r="X2273" s="7"/>
    </row>
    <row r="2274" spans="1:24" ht="25.5" x14ac:dyDescent="0.2">
      <c r="A2274" s="6"/>
      <c r="B2274" s="7"/>
      <c r="C2274" s="6"/>
      <c r="D2274" s="7"/>
      <c r="E2274" s="6"/>
      <c r="F2274" s="7"/>
      <c r="G2274" s="6"/>
      <c r="H2274" s="7"/>
      <c r="I2274" s="6"/>
      <c r="J2274" s="7"/>
      <c r="K2274" s="96" t="str">
        <f>HYPERLINK("#'Healthcare'!CIL1","Q6.17.21_16")</f>
        <v>Q6.17.21_16</v>
      </c>
      <c r="L2274" s="93" t="str">
        <f>HYPERLINK("#'Healthcare'!CIL2","Primary DHMO plan: Service costs apply to annual limit: Oral surgery")</f>
        <v>Primary DHMO plan: Service costs apply to annual limit: Oral surgery</v>
      </c>
      <c r="M2274" s="6"/>
      <c r="N2274" s="7"/>
      <c r="O2274" s="6"/>
      <c r="P2274" s="7"/>
      <c r="Q2274" s="6"/>
      <c r="R2274" s="7"/>
      <c r="S2274" s="6"/>
      <c r="T2274" s="7"/>
      <c r="U2274" s="6"/>
      <c r="V2274" s="7"/>
      <c r="W2274" s="6"/>
      <c r="X2274" s="7"/>
    </row>
    <row r="2275" spans="1:24" ht="25.5" x14ac:dyDescent="0.2">
      <c r="A2275" s="6"/>
      <c r="B2275" s="7"/>
      <c r="C2275" s="6"/>
      <c r="D2275" s="7"/>
      <c r="E2275" s="6"/>
      <c r="F2275" s="7"/>
      <c r="G2275" s="6"/>
      <c r="H2275" s="7"/>
      <c r="I2275" s="6"/>
      <c r="J2275" s="7"/>
      <c r="K2275" s="96" t="str">
        <f>HYPERLINK("#'Healthcare'!CIM1","Q6.17.21_17")</f>
        <v>Q6.17.21_17</v>
      </c>
      <c r="L2275" s="93" t="str">
        <f>HYPERLINK("#'Healthcare'!CIM2","Primary DHMO plan: Service costs apply to annual limit: Orthodontia")</f>
        <v>Primary DHMO plan: Service costs apply to annual limit: Orthodontia</v>
      </c>
      <c r="M2275" s="6"/>
      <c r="N2275" s="7"/>
      <c r="O2275" s="6"/>
      <c r="P2275" s="7"/>
      <c r="Q2275" s="6"/>
      <c r="R2275" s="7"/>
      <c r="S2275" s="6"/>
      <c r="T2275" s="7"/>
      <c r="U2275" s="6"/>
      <c r="V2275" s="7"/>
      <c r="W2275" s="6"/>
      <c r="X2275" s="7"/>
    </row>
    <row r="2276" spans="1:24" ht="25.5" x14ac:dyDescent="0.2">
      <c r="A2276" s="6"/>
      <c r="B2276" s="7"/>
      <c r="C2276" s="6"/>
      <c r="D2276" s="7"/>
      <c r="E2276" s="6"/>
      <c r="F2276" s="7"/>
      <c r="G2276" s="6"/>
      <c r="H2276" s="7"/>
      <c r="I2276" s="6"/>
      <c r="J2276" s="7"/>
      <c r="K2276" s="96" t="str">
        <f>HYPERLINK("#'Healthcare'!CIN1","Q6.17.21_18")</f>
        <v>Q6.17.21_18</v>
      </c>
      <c r="L2276" s="93" t="str">
        <f>HYPERLINK("#'Healthcare'!CIN2","Primary DHMO plan: Service costs apply to annual limit: Periodontal scaling &amp; root planing")</f>
        <v>Primary DHMO plan: Service costs apply to annual limit: Periodontal scaling &amp; root planing</v>
      </c>
      <c r="M2276" s="6"/>
      <c r="N2276" s="7"/>
      <c r="O2276" s="6"/>
      <c r="P2276" s="7"/>
      <c r="Q2276" s="6"/>
      <c r="R2276" s="7"/>
      <c r="S2276" s="6"/>
      <c r="T2276" s="7"/>
      <c r="U2276" s="6"/>
      <c r="V2276" s="7"/>
      <c r="W2276" s="6"/>
      <c r="X2276" s="7"/>
    </row>
    <row r="2277" spans="1:24" ht="25.5" x14ac:dyDescent="0.2">
      <c r="A2277" s="6"/>
      <c r="B2277" s="7"/>
      <c r="C2277" s="6"/>
      <c r="D2277" s="7"/>
      <c r="E2277" s="6"/>
      <c r="F2277" s="7"/>
      <c r="G2277" s="6"/>
      <c r="H2277" s="7"/>
      <c r="I2277" s="6"/>
      <c r="J2277" s="7"/>
      <c r="K2277" s="96" t="str">
        <f>HYPERLINK("#'Healthcare'!CIO1","Q6.17.21_19")</f>
        <v>Q6.17.21_19</v>
      </c>
      <c r="L2277" s="93" t="str">
        <f>HYPERLINK("#'Healthcare'!CIO2","Primary DHMO plan: Service costs apply to annual limit: Periodontal surgery")</f>
        <v>Primary DHMO plan: Service costs apply to annual limit: Periodontal surgery</v>
      </c>
      <c r="M2277" s="6"/>
      <c r="N2277" s="7"/>
      <c r="O2277" s="6"/>
      <c r="P2277" s="7"/>
      <c r="Q2277" s="6"/>
      <c r="R2277" s="7"/>
      <c r="S2277" s="6"/>
      <c r="T2277" s="7"/>
      <c r="U2277" s="6"/>
      <c r="V2277" s="7"/>
      <c r="W2277" s="6"/>
      <c r="X2277" s="7"/>
    </row>
    <row r="2278" spans="1:24" ht="25.5" x14ac:dyDescent="0.2">
      <c r="A2278" s="6"/>
      <c r="B2278" s="7"/>
      <c r="C2278" s="6"/>
      <c r="D2278" s="7"/>
      <c r="E2278" s="6"/>
      <c r="F2278" s="7"/>
      <c r="G2278" s="6"/>
      <c r="H2278" s="7"/>
      <c r="I2278" s="6"/>
      <c r="J2278" s="7"/>
      <c r="K2278" s="96" t="str">
        <f>HYPERLINK("#'Healthcare'!CIP1","Q6.17.21_20")</f>
        <v>Q6.17.21_20</v>
      </c>
      <c r="L2278" s="93" t="str">
        <f>HYPERLINK("#'Healthcare'!CIP2","Primary DHMO plan: Service costs apply to annual limit: Root canals")</f>
        <v>Primary DHMO plan: Service costs apply to annual limit: Root canals</v>
      </c>
      <c r="M2278" s="6"/>
      <c r="N2278" s="7"/>
      <c r="O2278" s="6"/>
      <c r="P2278" s="7"/>
      <c r="Q2278" s="6"/>
      <c r="R2278" s="7"/>
      <c r="S2278" s="6"/>
      <c r="T2278" s="7"/>
      <c r="U2278" s="6"/>
      <c r="V2278" s="7"/>
      <c r="W2278" s="6"/>
      <c r="X2278" s="7"/>
    </row>
    <row r="2279" spans="1:24" ht="25.5" x14ac:dyDescent="0.2">
      <c r="A2279" s="6"/>
      <c r="B2279" s="7"/>
      <c r="C2279" s="6"/>
      <c r="D2279" s="7"/>
      <c r="E2279" s="6"/>
      <c r="F2279" s="7"/>
      <c r="G2279" s="6"/>
      <c r="H2279" s="7"/>
      <c r="I2279" s="6"/>
      <c r="J2279" s="7"/>
      <c r="K2279" s="96" t="str">
        <f>HYPERLINK("#'Healthcare'!CIQ1","Q6.17.21_21")</f>
        <v>Q6.17.21_21</v>
      </c>
      <c r="L2279" s="93" t="str">
        <f>HYPERLINK("#'Healthcare'!CIQ2","Primary DHMO plan: Service costs apply to annual limit: Space maintainers")</f>
        <v>Primary DHMO plan: Service costs apply to annual limit: Space maintainers</v>
      </c>
      <c r="M2279" s="6"/>
      <c r="N2279" s="7"/>
      <c r="O2279" s="6"/>
      <c r="P2279" s="7"/>
      <c r="Q2279" s="6"/>
      <c r="R2279" s="7"/>
      <c r="S2279" s="6"/>
      <c r="T2279" s="7"/>
      <c r="U2279" s="6"/>
      <c r="V2279" s="7"/>
      <c r="W2279" s="6"/>
      <c r="X2279" s="7"/>
    </row>
    <row r="2280" spans="1:24" ht="25.5" x14ac:dyDescent="0.2">
      <c r="A2280" s="6"/>
      <c r="B2280" s="7"/>
      <c r="C2280" s="6"/>
      <c r="D2280" s="7"/>
      <c r="E2280" s="6"/>
      <c r="F2280" s="7"/>
      <c r="G2280" s="6"/>
      <c r="H2280" s="7"/>
      <c r="I2280" s="6"/>
      <c r="J2280" s="7"/>
      <c r="K2280" s="96" t="str">
        <f>HYPERLINK("#'Healthcare'!CIR1","Q6.17.21_22")</f>
        <v>Q6.17.21_22</v>
      </c>
      <c r="L2280" s="93" t="str">
        <f>HYPERLINK("#'Healthcare'!CIR2","Primary DHMO plan: Service costs apply to annual limit: Tooth extractions")</f>
        <v>Primary DHMO plan: Service costs apply to annual limit: Tooth extractions</v>
      </c>
      <c r="M2280" s="6"/>
      <c r="N2280" s="7"/>
      <c r="O2280" s="6"/>
      <c r="P2280" s="7"/>
      <c r="Q2280" s="6"/>
      <c r="R2280" s="7"/>
      <c r="S2280" s="6"/>
      <c r="T2280" s="7"/>
      <c r="U2280" s="6"/>
      <c r="V2280" s="7"/>
      <c r="W2280" s="6"/>
      <c r="X2280" s="7"/>
    </row>
    <row r="2281" spans="1:24" ht="25.5" x14ac:dyDescent="0.2">
      <c r="A2281" s="6"/>
      <c r="B2281" s="7"/>
      <c r="C2281" s="6"/>
      <c r="D2281" s="7"/>
      <c r="E2281" s="6"/>
      <c r="F2281" s="7"/>
      <c r="G2281" s="6"/>
      <c r="H2281" s="7"/>
      <c r="I2281" s="6"/>
      <c r="J2281" s="7"/>
      <c r="K2281" s="96" t="str">
        <f>HYPERLINK("#'Healthcare'!CIS1","Q6.17.21_23")</f>
        <v>Q6.17.21_23</v>
      </c>
      <c r="L2281" s="93" t="str">
        <f>HYPERLINK("#'Healthcare'!CIS2","Primary DHMO plan: Service costs apply to annual limit: Tooth sealants")</f>
        <v>Primary DHMO plan: Service costs apply to annual limit: Tooth sealants</v>
      </c>
      <c r="M2281" s="6"/>
      <c r="N2281" s="7"/>
      <c r="O2281" s="6"/>
      <c r="P2281" s="7"/>
      <c r="Q2281" s="6"/>
      <c r="R2281" s="7"/>
      <c r="S2281" s="6"/>
      <c r="T2281" s="7"/>
      <c r="U2281" s="6"/>
      <c r="V2281" s="7"/>
      <c r="W2281" s="6"/>
      <c r="X2281" s="7"/>
    </row>
    <row r="2282" spans="1:24" ht="25.5" x14ac:dyDescent="0.2">
      <c r="A2282" s="6"/>
      <c r="B2282" s="7"/>
      <c r="C2282" s="6"/>
      <c r="D2282" s="7"/>
      <c r="E2282" s="6"/>
      <c r="F2282" s="7"/>
      <c r="G2282" s="6"/>
      <c r="H2282" s="7"/>
      <c r="I2282" s="6"/>
      <c r="J2282" s="7"/>
      <c r="K2282" s="96" t="str">
        <f>HYPERLINK("#'Healthcare'!CIT1","Q6.17.21_24")</f>
        <v>Q6.17.21_24</v>
      </c>
      <c r="L2282" s="93" t="str">
        <f>HYPERLINK("#'Healthcare'!CIT2","Primary DHMO plan: Service costs apply to annual limit: Topical fluoride treatments")</f>
        <v>Primary DHMO plan: Service costs apply to annual limit: Topical fluoride treatments</v>
      </c>
      <c r="M2282" s="6"/>
      <c r="N2282" s="7"/>
      <c r="O2282" s="6"/>
      <c r="P2282" s="7"/>
      <c r="Q2282" s="6"/>
      <c r="R2282" s="7"/>
      <c r="S2282" s="6"/>
      <c r="T2282" s="7"/>
      <c r="U2282" s="6"/>
      <c r="V2282" s="7"/>
      <c r="W2282" s="6"/>
      <c r="X2282" s="7"/>
    </row>
    <row r="2283" spans="1:24" ht="25.5" x14ac:dyDescent="0.2">
      <c r="A2283" s="6"/>
      <c r="B2283" s="7"/>
      <c r="C2283" s="6"/>
      <c r="D2283" s="7"/>
      <c r="E2283" s="6"/>
      <c r="F2283" s="7"/>
      <c r="G2283" s="6"/>
      <c r="H2283" s="7"/>
      <c r="I2283" s="6"/>
      <c r="J2283" s="7"/>
      <c r="K2283" s="96" t="str">
        <f>HYPERLINK("#'Healthcare'!CIU1","Q6.17.21_25")</f>
        <v>Q6.17.21_25</v>
      </c>
      <c r="L2283" s="93" t="str">
        <f>HYPERLINK("#'Healthcare'!CIU2","Primary DHMO plan: Service costs apply to annual limit: X-rays - bitewings")</f>
        <v>Primary DHMO plan: Service costs apply to annual limit: X-rays - bitewings</v>
      </c>
      <c r="M2283" s="6"/>
      <c r="N2283" s="7"/>
      <c r="O2283" s="6"/>
      <c r="P2283" s="7"/>
      <c r="Q2283" s="6"/>
      <c r="R2283" s="7"/>
      <c r="S2283" s="6"/>
      <c r="T2283" s="7"/>
      <c r="U2283" s="6"/>
      <c r="V2283" s="7"/>
      <c r="W2283" s="6"/>
      <c r="X2283" s="7"/>
    </row>
    <row r="2284" spans="1:24" ht="25.5" x14ac:dyDescent="0.2">
      <c r="A2284" s="6"/>
      <c r="B2284" s="7"/>
      <c r="C2284" s="6"/>
      <c r="D2284" s="7"/>
      <c r="E2284" s="6"/>
      <c r="F2284" s="7"/>
      <c r="G2284" s="6"/>
      <c r="H2284" s="7"/>
      <c r="I2284" s="6"/>
      <c r="J2284" s="7"/>
      <c r="K2284" s="96" t="str">
        <f>HYPERLINK("#'Healthcare'!CIV1","Q6.17.21_26")</f>
        <v>Q6.17.21_26</v>
      </c>
      <c r="L2284" s="93" t="str">
        <f>HYPERLINK("#'Healthcare'!CIV2","Primary DHMO plan: Service costs apply to annual limit: X-rays - full-mouth, panorex")</f>
        <v>Primary DHMO plan: Service costs apply to annual limit: X-rays - full-mouth, panorex</v>
      </c>
      <c r="M2284" s="6"/>
      <c r="N2284" s="7"/>
      <c r="O2284" s="6"/>
      <c r="P2284" s="7"/>
      <c r="Q2284" s="6"/>
      <c r="R2284" s="7"/>
      <c r="S2284" s="6"/>
      <c r="T2284" s="7"/>
      <c r="U2284" s="6"/>
      <c r="V2284" s="7"/>
      <c r="W2284" s="6"/>
      <c r="X2284" s="7"/>
    </row>
    <row r="2285" spans="1:24" ht="25.5" x14ac:dyDescent="0.2">
      <c r="A2285" s="6"/>
      <c r="B2285" s="7"/>
      <c r="C2285" s="6"/>
      <c r="D2285" s="7"/>
      <c r="E2285" s="6"/>
      <c r="F2285" s="7"/>
      <c r="G2285" s="6"/>
      <c r="H2285" s="7"/>
      <c r="I2285" s="6"/>
      <c r="J2285" s="7"/>
      <c r="K2285" s="96" t="str">
        <f>HYPERLINK("#'Healthcare'!CIW1","Q6.17.21_27")</f>
        <v>Q6.17.21_27</v>
      </c>
      <c r="L2285" s="93" t="str">
        <f>HYPERLINK("#'Healthcare'!CIW2","Primary DHMO plan: Service costs apply to annual limit: X-rays - periapical")</f>
        <v>Primary DHMO plan: Service costs apply to annual limit: X-rays - periapical</v>
      </c>
      <c r="M2285" s="6"/>
      <c r="N2285" s="7"/>
      <c r="O2285" s="6"/>
      <c r="P2285" s="7"/>
      <c r="Q2285" s="6"/>
      <c r="R2285" s="7"/>
      <c r="S2285" s="6"/>
      <c r="T2285" s="7"/>
      <c r="U2285" s="6"/>
      <c r="V2285" s="7"/>
      <c r="W2285" s="6"/>
      <c r="X2285" s="7"/>
    </row>
    <row r="2286" spans="1:24" ht="25.5" x14ac:dyDescent="0.2">
      <c r="A2286" s="6"/>
      <c r="B2286" s="7"/>
      <c r="C2286" s="6"/>
      <c r="D2286" s="7"/>
      <c r="E2286" s="6"/>
      <c r="F2286" s="7"/>
      <c r="G2286" s="6"/>
      <c r="H2286" s="7"/>
      <c r="I2286" s="6"/>
      <c r="J2286" s="7"/>
      <c r="K2286" s="96" t="str">
        <f>HYPERLINK("#'Healthcare'!CIX1","Q6.17.22_1")</f>
        <v>Q6.17.22_1</v>
      </c>
      <c r="L2286" s="93" t="str">
        <f>HYPERLINK("#'Healthcare'!CIX2","Primary DHMO plan: Service frequency limit: Amalgam fillings")</f>
        <v>Primary DHMO plan: Service frequency limit: Amalgam fillings</v>
      </c>
      <c r="M2286" s="6"/>
      <c r="N2286" s="7"/>
      <c r="O2286" s="6"/>
      <c r="P2286" s="7"/>
      <c r="Q2286" s="6"/>
      <c r="R2286" s="7"/>
      <c r="S2286" s="6"/>
      <c r="T2286" s="7"/>
      <c r="U2286" s="6"/>
      <c r="V2286" s="7"/>
      <c r="W2286" s="6"/>
      <c r="X2286" s="7"/>
    </row>
    <row r="2287" spans="1:24" ht="25.5" x14ac:dyDescent="0.2">
      <c r="A2287" s="6"/>
      <c r="B2287" s="7"/>
      <c r="C2287" s="6"/>
      <c r="D2287" s="7"/>
      <c r="E2287" s="6"/>
      <c r="F2287" s="7"/>
      <c r="G2287" s="6"/>
      <c r="H2287" s="7"/>
      <c r="I2287" s="6"/>
      <c r="J2287" s="7"/>
      <c r="K2287" s="96" t="str">
        <f>HYPERLINK("#'Healthcare'!CIY1","Q6.17.22_2")</f>
        <v>Q6.17.22_2</v>
      </c>
      <c r="L2287" s="93" t="str">
        <f>HYPERLINK("#'Healthcare'!CIY2","Primary DHMO plan: Service frequency limit: Anesthesia/sedation")</f>
        <v>Primary DHMO plan: Service frequency limit: Anesthesia/sedation</v>
      </c>
      <c r="M2287" s="6"/>
      <c r="N2287" s="7"/>
      <c r="O2287" s="6"/>
      <c r="P2287" s="7"/>
      <c r="Q2287" s="6"/>
      <c r="R2287" s="7"/>
      <c r="S2287" s="6"/>
      <c r="T2287" s="7"/>
      <c r="U2287" s="6"/>
      <c r="V2287" s="7"/>
      <c r="W2287" s="6"/>
      <c r="X2287" s="7"/>
    </row>
    <row r="2288" spans="1:24" ht="25.5" x14ac:dyDescent="0.2">
      <c r="A2288" s="6"/>
      <c r="B2288" s="7"/>
      <c r="C2288" s="6"/>
      <c r="D2288" s="7"/>
      <c r="E2288" s="6"/>
      <c r="F2288" s="7"/>
      <c r="G2288" s="6"/>
      <c r="H2288" s="7"/>
      <c r="I2288" s="6"/>
      <c r="J2288" s="7"/>
      <c r="K2288" s="96" t="str">
        <f>HYPERLINK("#'Healthcare'!CIZ1","Q6.17.22_3")</f>
        <v>Q6.17.22_3</v>
      </c>
      <c r="L2288" s="93" t="str">
        <f>HYPERLINK("#'Healthcare'!CIZ2","Primary DHMO plan: Service frequency limit: Bridgework")</f>
        <v>Primary DHMO plan: Service frequency limit: Bridgework</v>
      </c>
      <c r="M2288" s="6"/>
      <c r="N2288" s="7"/>
      <c r="O2288" s="6"/>
      <c r="P2288" s="7"/>
      <c r="Q2288" s="6"/>
      <c r="R2288" s="7"/>
      <c r="S2288" s="6"/>
      <c r="T2288" s="7"/>
      <c r="U2288" s="6"/>
      <c r="V2288" s="7"/>
      <c r="W2288" s="6"/>
      <c r="X2288" s="7"/>
    </row>
    <row r="2289" spans="1:24" ht="25.5" x14ac:dyDescent="0.2">
      <c r="A2289" s="6"/>
      <c r="B2289" s="7"/>
      <c r="C2289" s="6"/>
      <c r="D2289" s="7"/>
      <c r="E2289" s="6"/>
      <c r="F2289" s="7"/>
      <c r="G2289" s="6"/>
      <c r="H2289" s="7"/>
      <c r="I2289" s="6"/>
      <c r="J2289" s="7"/>
      <c r="K2289" s="96" t="str">
        <f>HYPERLINK("#'Healthcare'!CJA1","Q6.17.22_4")</f>
        <v>Q6.17.22_4</v>
      </c>
      <c r="L2289" s="93" t="str">
        <f>HYPERLINK("#'Healthcare'!CJA2","Primary DHMO plan: Service frequency limit: Cleanings (prophylaxis)")</f>
        <v>Primary DHMO plan: Service frequency limit: Cleanings (prophylaxis)</v>
      </c>
      <c r="M2289" s="6"/>
      <c r="N2289" s="7"/>
      <c r="O2289" s="6"/>
      <c r="P2289" s="7"/>
      <c r="Q2289" s="6"/>
      <c r="R2289" s="7"/>
      <c r="S2289" s="6"/>
      <c r="T2289" s="7"/>
      <c r="U2289" s="6"/>
      <c r="V2289" s="7"/>
      <c r="W2289" s="6"/>
      <c r="X2289" s="7"/>
    </row>
    <row r="2290" spans="1:24" ht="25.5" x14ac:dyDescent="0.2">
      <c r="A2290" s="6"/>
      <c r="B2290" s="7"/>
      <c r="C2290" s="6"/>
      <c r="D2290" s="7"/>
      <c r="E2290" s="6"/>
      <c r="F2290" s="7"/>
      <c r="G2290" s="6"/>
      <c r="H2290" s="7"/>
      <c r="I2290" s="6"/>
      <c r="J2290" s="7"/>
      <c r="K2290" s="96" t="str">
        <f>HYPERLINK("#'Healthcare'!CJB1","Q6.17.22_5")</f>
        <v>Q6.17.22_5</v>
      </c>
      <c r="L2290" s="93" t="str">
        <f>HYPERLINK("#'Healthcare'!CJB2","Primary DHMO plan: Service frequency limit: Composite fillings (white fillings)")</f>
        <v>Primary DHMO plan: Service frequency limit: Composite fillings (white fillings)</v>
      </c>
      <c r="M2290" s="6"/>
      <c r="N2290" s="7"/>
      <c r="O2290" s="6"/>
      <c r="P2290" s="7"/>
      <c r="Q2290" s="6"/>
      <c r="R2290" s="7"/>
      <c r="S2290" s="6"/>
      <c r="T2290" s="7"/>
      <c r="U2290" s="6"/>
      <c r="V2290" s="7"/>
      <c r="W2290" s="6"/>
      <c r="X2290" s="7"/>
    </row>
    <row r="2291" spans="1:24" ht="25.5" x14ac:dyDescent="0.2">
      <c r="A2291" s="6"/>
      <c r="B2291" s="7"/>
      <c r="C2291" s="6"/>
      <c r="D2291" s="7"/>
      <c r="E2291" s="6"/>
      <c r="F2291" s="7"/>
      <c r="G2291" s="6"/>
      <c r="H2291" s="7"/>
      <c r="I2291" s="6"/>
      <c r="J2291" s="7"/>
      <c r="K2291" s="96" t="str">
        <f>HYPERLINK("#'Healthcare'!CJC1","Q6.17.22_6")</f>
        <v>Q6.17.22_6</v>
      </c>
      <c r="L2291" s="93" t="str">
        <f>HYPERLINK("#'Healthcare'!CJC2","Primary DHMO plan: Service frequency limit: Crowns")</f>
        <v>Primary DHMO plan: Service frequency limit: Crowns</v>
      </c>
      <c r="M2291" s="6"/>
      <c r="N2291" s="7"/>
      <c r="O2291" s="6"/>
      <c r="P2291" s="7"/>
      <c r="Q2291" s="6"/>
      <c r="R2291" s="7"/>
      <c r="S2291" s="6"/>
      <c r="T2291" s="7"/>
      <c r="U2291" s="6"/>
      <c r="V2291" s="7"/>
      <c r="W2291" s="6"/>
      <c r="X2291" s="7"/>
    </row>
    <row r="2292" spans="1:24" ht="25.5" x14ac:dyDescent="0.2">
      <c r="A2292" s="6"/>
      <c r="B2292" s="7"/>
      <c r="C2292" s="6"/>
      <c r="D2292" s="7"/>
      <c r="E2292" s="6"/>
      <c r="F2292" s="7"/>
      <c r="G2292" s="6"/>
      <c r="H2292" s="7"/>
      <c r="I2292" s="6"/>
      <c r="J2292" s="7"/>
      <c r="K2292" s="96" t="str">
        <f>HYPERLINK("#'Healthcare'!CJD1","Q6.17.22_7")</f>
        <v>Q6.17.22_7</v>
      </c>
      <c r="L2292" s="93" t="str">
        <f>HYPERLINK("#'Healthcare'!CJD2","Primary DHMO plan: Service frequency limit: Denture repair")</f>
        <v>Primary DHMO plan: Service frequency limit: Denture repair</v>
      </c>
      <c r="M2292" s="6"/>
      <c r="N2292" s="7"/>
      <c r="O2292" s="6"/>
      <c r="P2292" s="7"/>
      <c r="Q2292" s="6"/>
      <c r="R2292" s="7"/>
      <c r="S2292" s="6"/>
      <c r="T2292" s="7"/>
      <c r="U2292" s="6"/>
      <c r="V2292" s="7"/>
      <c r="W2292" s="6"/>
      <c r="X2292" s="7"/>
    </row>
    <row r="2293" spans="1:24" ht="25.5" x14ac:dyDescent="0.2">
      <c r="A2293" s="6"/>
      <c r="B2293" s="7"/>
      <c r="C2293" s="6"/>
      <c r="D2293" s="7"/>
      <c r="E2293" s="6"/>
      <c r="F2293" s="7"/>
      <c r="G2293" s="6"/>
      <c r="H2293" s="7"/>
      <c r="I2293" s="6"/>
      <c r="J2293" s="7"/>
      <c r="K2293" s="96" t="str">
        <f>HYPERLINK("#'Healthcare'!CJE1","Q6.17.22_8")</f>
        <v>Q6.17.22_8</v>
      </c>
      <c r="L2293" s="93" t="str">
        <f>HYPERLINK("#'Healthcare'!CJE2","Primary DHMO plan: Service frequency limit: Dentures (relines &amp; rebases)")</f>
        <v>Primary DHMO plan: Service frequency limit: Dentures (relines &amp; rebases)</v>
      </c>
      <c r="M2293" s="6"/>
      <c r="N2293" s="7"/>
      <c r="O2293" s="6"/>
      <c r="P2293" s="7"/>
      <c r="Q2293" s="6"/>
      <c r="R2293" s="7"/>
      <c r="S2293" s="6"/>
      <c r="T2293" s="7"/>
      <c r="U2293" s="6"/>
      <c r="V2293" s="7"/>
      <c r="W2293" s="6"/>
      <c r="X2293" s="7"/>
    </row>
    <row r="2294" spans="1:24" ht="25.5" x14ac:dyDescent="0.2">
      <c r="A2294" s="6"/>
      <c r="B2294" s="7"/>
      <c r="C2294" s="6"/>
      <c r="D2294" s="7"/>
      <c r="E2294" s="6"/>
      <c r="F2294" s="7"/>
      <c r="G2294" s="6"/>
      <c r="H2294" s="7"/>
      <c r="I2294" s="6"/>
      <c r="J2294" s="7"/>
      <c r="K2294" s="96" t="str">
        <f>HYPERLINK("#'Healthcare'!CJF1","Q6.17.22_9")</f>
        <v>Q6.17.22_9</v>
      </c>
      <c r="L2294" s="93" t="str">
        <f>HYPERLINK("#'Healthcare'!CJF2","Primary DHMO plan: Service frequency limit: Dentures (removable &amp; Partial)")</f>
        <v>Primary DHMO plan: Service frequency limit: Dentures (removable &amp; Partial)</v>
      </c>
      <c r="M2294" s="6"/>
      <c r="N2294" s="7"/>
      <c r="O2294" s="6"/>
      <c r="P2294" s="7"/>
      <c r="Q2294" s="6"/>
      <c r="R2294" s="7"/>
      <c r="S2294" s="6"/>
      <c r="T2294" s="7"/>
      <c r="U2294" s="6"/>
      <c r="V2294" s="7"/>
      <c r="W2294" s="6"/>
      <c r="X2294" s="7"/>
    </row>
    <row r="2295" spans="1:24" ht="25.5" x14ac:dyDescent="0.2">
      <c r="A2295" s="6"/>
      <c r="B2295" s="7"/>
      <c r="C2295" s="6"/>
      <c r="D2295" s="7"/>
      <c r="E2295" s="6"/>
      <c r="F2295" s="7"/>
      <c r="G2295" s="6"/>
      <c r="H2295" s="7"/>
      <c r="I2295" s="6"/>
      <c r="J2295" s="7"/>
      <c r="K2295" s="96" t="str">
        <f>HYPERLINK("#'Healthcare'!CJG1","Q6.17.22_10")</f>
        <v>Q6.17.22_10</v>
      </c>
      <c r="L2295" s="93" t="str">
        <f>HYPERLINK("#'Healthcare'!CJG2","Primary DHMO plan: Service frequency limit: Examinations (non-routine)")</f>
        <v>Primary DHMO plan: Service frequency limit: Examinations (non-routine)</v>
      </c>
      <c r="M2295" s="6"/>
      <c r="N2295" s="7"/>
      <c r="O2295" s="6"/>
      <c r="P2295" s="7"/>
      <c r="Q2295" s="6"/>
      <c r="R2295" s="7"/>
      <c r="S2295" s="6"/>
      <c r="T2295" s="7"/>
      <c r="U2295" s="6"/>
      <c r="V2295" s="7"/>
      <c r="W2295" s="6"/>
      <c r="X2295" s="7"/>
    </row>
    <row r="2296" spans="1:24" ht="25.5" x14ac:dyDescent="0.2">
      <c r="A2296" s="6"/>
      <c r="B2296" s="7"/>
      <c r="C2296" s="6"/>
      <c r="D2296" s="7"/>
      <c r="E2296" s="6"/>
      <c r="F2296" s="7"/>
      <c r="G2296" s="6"/>
      <c r="H2296" s="7"/>
      <c r="I2296" s="6"/>
      <c r="J2296" s="7"/>
      <c r="K2296" s="96" t="str">
        <f>HYPERLINK("#'Healthcare'!CJH1","Q6.17.22_11")</f>
        <v>Q6.17.22_11</v>
      </c>
      <c r="L2296" s="93" t="str">
        <f>HYPERLINK("#'Healthcare'!CJH2","Primary DHMO plan: Service frequency limit: Examinations (routine)")</f>
        <v>Primary DHMO plan: Service frequency limit: Examinations (routine)</v>
      </c>
      <c r="M2296" s="6"/>
      <c r="N2296" s="7"/>
      <c r="O2296" s="6"/>
      <c r="P2296" s="7"/>
      <c r="Q2296" s="6"/>
      <c r="R2296" s="7"/>
      <c r="S2296" s="6"/>
      <c r="T2296" s="7"/>
      <c r="U2296" s="6"/>
      <c r="V2296" s="7"/>
      <c r="W2296" s="6"/>
      <c r="X2296" s="7"/>
    </row>
    <row r="2297" spans="1:24" ht="25.5" x14ac:dyDescent="0.2">
      <c r="A2297" s="6"/>
      <c r="B2297" s="7"/>
      <c r="C2297" s="6"/>
      <c r="D2297" s="7"/>
      <c r="E2297" s="6"/>
      <c r="F2297" s="7"/>
      <c r="G2297" s="6"/>
      <c r="H2297" s="7"/>
      <c r="I2297" s="6"/>
      <c r="J2297" s="7"/>
      <c r="K2297" s="96" t="str">
        <f>HYPERLINK("#'Healthcare'!CJI1","Q6.17.22_12")</f>
        <v>Q6.17.22_12</v>
      </c>
      <c r="L2297" s="93" t="str">
        <f>HYPERLINK("#'Healthcare'!CJI2","Primary DHMO plan: Service frequency limit: Fluoride treatments")</f>
        <v>Primary DHMO plan: Service frequency limit: Fluoride treatments</v>
      </c>
      <c r="M2297" s="6"/>
      <c r="N2297" s="7"/>
      <c r="O2297" s="6"/>
      <c r="P2297" s="7"/>
      <c r="Q2297" s="6"/>
      <c r="R2297" s="7"/>
      <c r="S2297" s="6"/>
      <c r="T2297" s="7"/>
      <c r="U2297" s="6"/>
      <c r="V2297" s="7"/>
      <c r="W2297" s="6"/>
      <c r="X2297" s="7"/>
    </row>
    <row r="2298" spans="1:24" ht="25.5" x14ac:dyDescent="0.2">
      <c r="A2298" s="6"/>
      <c r="B2298" s="7"/>
      <c r="C2298" s="6"/>
      <c r="D2298" s="7"/>
      <c r="E2298" s="6"/>
      <c r="F2298" s="7"/>
      <c r="G2298" s="6"/>
      <c r="H2298" s="7"/>
      <c r="I2298" s="6"/>
      <c r="J2298" s="7"/>
      <c r="K2298" s="96" t="str">
        <f>HYPERLINK("#'Healthcare'!CJJ1","Q6.17.22_13")</f>
        <v>Q6.17.22_13</v>
      </c>
      <c r="L2298" s="93" t="str">
        <f>HYPERLINK("#'Healthcare'!CJJ2","Primary DHMO plan: Service frequency limit: Implants")</f>
        <v>Primary DHMO plan: Service frequency limit: Implants</v>
      </c>
      <c r="M2298" s="6"/>
      <c r="N2298" s="7"/>
      <c r="O2298" s="6"/>
      <c r="P2298" s="7"/>
      <c r="Q2298" s="6"/>
      <c r="R2298" s="7"/>
      <c r="S2298" s="6"/>
      <c r="T2298" s="7"/>
      <c r="U2298" s="6"/>
      <c r="V2298" s="7"/>
      <c r="W2298" s="6"/>
      <c r="X2298" s="7"/>
    </row>
    <row r="2299" spans="1:24" ht="25.5" x14ac:dyDescent="0.2">
      <c r="A2299" s="6"/>
      <c r="B2299" s="7"/>
      <c r="C2299" s="6"/>
      <c r="D2299" s="7"/>
      <c r="E2299" s="6"/>
      <c r="F2299" s="7"/>
      <c r="G2299" s="6"/>
      <c r="H2299" s="7"/>
      <c r="I2299" s="6"/>
      <c r="J2299" s="7"/>
      <c r="K2299" s="96" t="str">
        <f>HYPERLINK("#'Healthcare'!CJK1","Q6.17.22_14")</f>
        <v>Q6.17.22_14</v>
      </c>
      <c r="L2299" s="93" t="str">
        <f>HYPERLINK("#'Healthcare'!CJK2","Primary DHMO plan: Service frequency limit: Inlays &amp; onlays")</f>
        <v>Primary DHMO plan: Service frequency limit: Inlays &amp; onlays</v>
      </c>
      <c r="M2299" s="6"/>
      <c r="N2299" s="7"/>
      <c r="O2299" s="6"/>
      <c r="P2299" s="7"/>
      <c r="Q2299" s="6"/>
      <c r="R2299" s="7"/>
      <c r="S2299" s="6"/>
      <c r="T2299" s="7"/>
      <c r="U2299" s="6"/>
      <c r="V2299" s="7"/>
      <c r="W2299" s="6"/>
      <c r="X2299" s="7"/>
    </row>
    <row r="2300" spans="1:24" ht="25.5" x14ac:dyDescent="0.2">
      <c r="A2300" s="6"/>
      <c r="B2300" s="7"/>
      <c r="C2300" s="6"/>
      <c r="D2300" s="7"/>
      <c r="E2300" s="6"/>
      <c r="F2300" s="7"/>
      <c r="G2300" s="6"/>
      <c r="H2300" s="7"/>
      <c r="I2300" s="6"/>
      <c r="J2300" s="7"/>
      <c r="K2300" s="96" t="str">
        <f>HYPERLINK("#'Healthcare'!CJL1","Q6.17.22_15")</f>
        <v>Q6.17.22_15</v>
      </c>
      <c r="L2300" s="93" t="str">
        <f>HYPERLINK("#'Healthcare'!CJL2","Primary DHMO plan: Service frequency limit: Night guards")</f>
        <v>Primary DHMO plan: Service frequency limit: Night guards</v>
      </c>
      <c r="M2300" s="6"/>
      <c r="N2300" s="7"/>
      <c r="O2300" s="6"/>
      <c r="P2300" s="7"/>
      <c r="Q2300" s="6"/>
      <c r="R2300" s="7"/>
      <c r="S2300" s="6"/>
      <c r="T2300" s="7"/>
      <c r="U2300" s="6"/>
      <c r="V2300" s="7"/>
      <c r="W2300" s="6"/>
      <c r="X2300" s="7"/>
    </row>
    <row r="2301" spans="1:24" ht="25.5" x14ac:dyDescent="0.2">
      <c r="A2301" s="6"/>
      <c r="B2301" s="7"/>
      <c r="C2301" s="6"/>
      <c r="D2301" s="7"/>
      <c r="E2301" s="6"/>
      <c r="F2301" s="7"/>
      <c r="G2301" s="6"/>
      <c r="H2301" s="7"/>
      <c r="I2301" s="6"/>
      <c r="J2301" s="7"/>
      <c r="K2301" s="96" t="str">
        <f>HYPERLINK("#'Healthcare'!CJM1","Q6.17.22_16")</f>
        <v>Q6.17.22_16</v>
      </c>
      <c r="L2301" s="93" t="str">
        <f>HYPERLINK("#'Healthcare'!CJM2","Primary DHMO plan: Service frequency limit: Oral surgery")</f>
        <v>Primary DHMO plan: Service frequency limit: Oral surgery</v>
      </c>
      <c r="M2301" s="6"/>
      <c r="N2301" s="7"/>
      <c r="O2301" s="6"/>
      <c r="P2301" s="7"/>
      <c r="Q2301" s="6"/>
      <c r="R2301" s="7"/>
      <c r="S2301" s="6"/>
      <c r="T2301" s="7"/>
      <c r="U2301" s="6"/>
      <c r="V2301" s="7"/>
      <c r="W2301" s="6"/>
      <c r="X2301" s="7"/>
    </row>
    <row r="2302" spans="1:24" ht="25.5" x14ac:dyDescent="0.2">
      <c r="A2302" s="6"/>
      <c r="B2302" s="7"/>
      <c r="C2302" s="6"/>
      <c r="D2302" s="7"/>
      <c r="E2302" s="6"/>
      <c r="F2302" s="7"/>
      <c r="G2302" s="6"/>
      <c r="H2302" s="7"/>
      <c r="I2302" s="6"/>
      <c r="J2302" s="7"/>
      <c r="K2302" s="96" t="str">
        <f>HYPERLINK("#'Healthcare'!CJN1","Q6.17.22_17")</f>
        <v>Q6.17.22_17</v>
      </c>
      <c r="L2302" s="93" t="str">
        <f>HYPERLINK("#'Healthcare'!CJN2","Primary DHMO plan: Service frequency limit: Orthodontia")</f>
        <v>Primary DHMO plan: Service frequency limit: Orthodontia</v>
      </c>
      <c r="M2302" s="6"/>
      <c r="N2302" s="7"/>
      <c r="O2302" s="6"/>
      <c r="P2302" s="7"/>
      <c r="Q2302" s="6"/>
      <c r="R2302" s="7"/>
      <c r="S2302" s="6"/>
      <c r="T2302" s="7"/>
      <c r="U2302" s="6"/>
      <c r="V2302" s="7"/>
      <c r="W2302" s="6"/>
      <c r="X2302" s="7"/>
    </row>
    <row r="2303" spans="1:24" ht="25.5" x14ac:dyDescent="0.2">
      <c r="A2303" s="6"/>
      <c r="B2303" s="7"/>
      <c r="C2303" s="6"/>
      <c r="D2303" s="7"/>
      <c r="E2303" s="6"/>
      <c r="F2303" s="7"/>
      <c r="G2303" s="6"/>
      <c r="H2303" s="7"/>
      <c r="I2303" s="6"/>
      <c r="J2303" s="7"/>
      <c r="K2303" s="96" t="str">
        <f>HYPERLINK("#'Healthcare'!CJO1","Q6.17.22_18")</f>
        <v>Q6.17.22_18</v>
      </c>
      <c r="L2303" s="93" t="str">
        <f>HYPERLINK("#'Healthcare'!CJO2","Primary DHMO plan: Service frequency limit: Periodontal scaling &amp; root planing")</f>
        <v>Primary DHMO plan: Service frequency limit: Periodontal scaling &amp; root planing</v>
      </c>
      <c r="M2303" s="6"/>
      <c r="N2303" s="7"/>
      <c r="O2303" s="6"/>
      <c r="P2303" s="7"/>
      <c r="Q2303" s="6"/>
      <c r="R2303" s="7"/>
      <c r="S2303" s="6"/>
      <c r="T2303" s="7"/>
      <c r="U2303" s="6"/>
      <c r="V2303" s="7"/>
      <c r="W2303" s="6"/>
      <c r="X2303" s="7"/>
    </row>
    <row r="2304" spans="1:24" ht="25.5" x14ac:dyDescent="0.2">
      <c r="A2304" s="6"/>
      <c r="B2304" s="7"/>
      <c r="C2304" s="6"/>
      <c r="D2304" s="7"/>
      <c r="E2304" s="6"/>
      <c r="F2304" s="7"/>
      <c r="G2304" s="6"/>
      <c r="H2304" s="7"/>
      <c r="I2304" s="6"/>
      <c r="J2304" s="7"/>
      <c r="K2304" s="96" t="str">
        <f>HYPERLINK("#'Healthcare'!CJP1","Q6.17.22_19")</f>
        <v>Q6.17.22_19</v>
      </c>
      <c r="L2304" s="93" t="str">
        <f>HYPERLINK("#'Healthcare'!CJP2","Primary DHMO plan: Service frequency limit: Periodontal surgery")</f>
        <v>Primary DHMO plan: Service frequency limit: Periodontal surgery</v>
      </c>
      <c r="M2304" s="6"/>
      <c r="N2304" s="7"/>
      <c r="O2304" s="6"/>
      <c r="P2304" s="7"/>
      <c r="Q2304" s="6"/>
      <c r="R2304" s="7"/>
      <c r="S2304" s="6"/>
      <c r="T2304" s="7"/>
      <c r="U2304" s="6"/>
      <c r="V2304" s="7"/>
      <c r="W2304" s="6"/>
      <c r="X2304" s="7"/>
    </row>
    <row r="2305" spans="1:24" ht="25.5" x14ac:dyDescent="0.2">
      <c r="A2305" s="6"/>
      <c r="B2305" s="7"/>
      <c r="C2305" s="6"/>
      <c r="D2305" s="7"/>
      <c r="E2305" s="6"/>
      <c r="F2305" s="7"/>
      <c r="G2305" s="6"/>
      <c r="H2305" s="7"/>
      <c r="I2305" s="6"/>
      <c r="J2305" s="7"/>
      <c r="K2305" s="96" t="str">
        <f>HYPERLINK("#'Healthcare'!CJQ1","Q6.17.22_20")</f>
        <v>Q6.17.22_20</v>
      </c>
      <c r="L2305" s="93" t="str">
        <f>HYPERLINK("#'Healthcare'!CJQ2","Primary DHMO plan: Service frequency limit: Root canals")</f>
        <v>Primary DHMO plan: Service frequency limit: Root canals</v>
      </c>
      <c r="M2305" s="6"/>
      <c r="N2305" s="7"/>
      <c r="O2305" s="6"/>
      <c r="P2305" s="7"/>
      <c r="Q2305" s="6"/>
      <c r="R2305" s="7"/>
      <c r="S2305" s="6"/>
      <c r="T2305" s="7"/>
      <c r="U2305" s="6"/>
      <c r="V2305" s="7"/>
      <c r="W2305" s="6"/>
      <c r="X2305" s="7"/>
    </row>
    <row r="2306" spans="1:24" ht="25.5" x14ac:dyDescent="0.2">
      <c r="A2306" s="6"/>
      <c r="B2306" s="7"/>
      <c r="C2306" s="6"/>
      <c r="D2306" s="7"/>
      <c r="E2306" s="6"/>
      <c r="F2306" s="7"/>
      <c r="G2306" s="6"/>
      <c r="H2306" s="7"/>
      <c r="I2306" s="6"/>
      <c r="J2306" s="7"/>
      <c r="K2306" s="96" t="str">
        <f>HYPERLINK("#'Healthcare'!CJR1","Q6.17.22_21")</f>
        <v>Q6.17.22_21</v>
      </c>
      <c r="L2306" s="93" t="str">
        <f>HYPERLINK("#'Healthcare'!CJR2","Primary DHMO plan: Service frequency limit: Space maintainers")</f>
        <v>Primary DHMO plan: Service frequency limit: Space maintainers</v>
      </c>
      <c r="M2306" s="6"/>
      <c r="N2306" s="7"/>
      <c r="O2306" s="6"/>
      <c r="P2306" s="7"/>
      <c r="Q2306" s="6"/>
      <c r="R2306" s="7"/>
      <c r="S2306" s="6"/>
      <c r="T2306" s="7"/>
      <c r="U2306" s="6"/>
      <c r="V2306" s="7"/>
      <c r="W2306" s="6"/>
      <c r="X2306" s="7"/>
    </row>
    <row r="2307" spans="1:24" ht="25.5" x14ac:dyDescent="0.2">
      <c r="A2307" s="6"/>
      <c r="B2307" s="7"/>
      <c r="C2307" s="6"/>
      <c r="D2307" s="7"/>
      <c r="E2307" s="6"/>
      <c r="F2307" s="7"/>
      <c r="G2307" s="6"/>
      <c r="H2307" s="7"/>
      <c r="I2307" s="6"/>
      <c r="J2307" s="7"/>
      <c r="K2307" s="96" t="str">
        <f>HYPERLINK("#'Healthcare'!CJS1","Q6.17.22_22")</f>
        <v>Q6.17.22_22</v>
      </c>
      <c r="L2307" s="93" t="str">
        <f>HYPERLINK("#'Healthcare'!CJS2","Primary DHMO plan: Service frequency limit: Tooth extractions")</f>
        <v>Primary DHMO plan: Service frequency limit: Tooth extractions</v>
      </c>
      <c r="M2307" s="6"/>
      <c r="N2307" s="7"/>
      <c r="O2307" s="6"/>
      <c r="P2307" s="7"/>
      <c r="Q2307" s="6"/>
      <c r="R2307" s="7"/>
      <c r="S2307" s="6"/>
      <c r="T2307" s="7"/>
      <c r="U2307" s="6"/>
      <c r="V2307" s="7"/>
      <c r="W2307" s="6"/>
      <c r="X2307" s="7"/>
    </row>
    <row r="2308" spans="1:24" ht="25.5" x14ac:dyDescent="0.2">
      <c r="A2308" s="6"/>
      <c r="B2308" s="7"/>
      <c r="C2308" s="6"/>
      <c r="D2308" s="7"/>
      <c r="E2308" s="6"/>
      <c r="F2308" s="7"/>
      <c r="G2308" s="6"/>
      <c r="H2308" s="7"/>
      <c r="I2308" s="6"/>
      <c r="J2308" s="7"/>
      <c r="K2308" s="96" t="str">
        <f>HYPERLINK("#'Healthcare'!CJT1","Q6.17.22_23")</f>
        <v>Q6.17.22_23</v>
      </c>
      <c r="L2308" s="93" t="str">
        <f>HYPERLINK("#'Healthcare'!CJT2","Primary DHMO plan: Service frequency limit: Tooth sealants")</f>
        <v>Primary DHMO plan: Service frequency limit: Tooth sealants</v>
      </c>
      <c r="M2308" s="6"/>
      <c r="N2308" s="7"/>
      <c r="O2308" s="6"/>
      <c r="P2308" s="7"/>
      <c r="Q2308" s="6"/>
      <c r="R2308" s="7"/>
      <c r="S2308" s="6"/>
      <c r="T2308" s="7"/>
      <c r="U2308" s="6"/>
      <c r="V2308" s="7"/>
      <c r="W2308" s="6"/>
      <c r="X2308" s="7"/>
    </row>
    <row r="2309" spans="1:24" ht="25.5" x14ac:dyDescent="0.2">
      <c r="A2309" s="6"/>
      <c r="B2309" s="7"/>
      <c r="C2309" s="6"/>
      <c r="D2309" s="7"/>
      <c r="E2309" s="6"/>
      <c r="F2309" s="7"/>
      <c r="G2309" s="6"/>
      <c r="H2309" s="7"/>
      <c r="I2309" s="6"/>
      <c r="J2309" s="7"/>
      <c r="K2309" s="96" t="str">
        <f>HYPERLINK("#'Healthcare'!CJU1","Q6.17.22_24")</f>
        <v>Q6.17.22_24</v>
      </c>
      <c r="L2309" s="93" t="str">
        <f>HYPERLINK("#'Healthcare'!CJU2","Primary DHMO plan: Service frequency limit: Topical fluoride treatments")</f>
        <v>Primary DHMO plan: Service frequency limit: Topical fluoride treatments</v>
      </c>
      <c r="M2309" s="6"/>
      <c r="N2309" s="7"/>
      <c r="O2309" s="6"/>
      <c r="P2309" s="7"/>
      <c r="Q2309" s="6"/>
      <c r="R2309" s="7"/>
      <c r="S2309" s="6"/>
      <c r="T2309" s="7"/>
      <c r="U2309" s="6"/>
      <c r="V2309" s="7"/>
      <c r="W2309" s="6"/>
      <c r="X2309" s="7"/>
    </row>
    <row r="2310" spans="1:24" ht="25.5" x14ac:dyDescent="0.2">
      <c r="A2310" s="6"/>
      <c r="B2310" s="7"/>
      <c r="C2310" s="6"/>
      <c r="D2310" s="7"/>
      <c r="E2310" s="6"/>
      <c r="F2310" s="7"/>
      <c r="G2310" s="6"/>
      <c r="H2310" s="7"/>
      <c r="I2310" s="6"/>
      <c r="J2310" s="7"/>
      <c r="K2310" s="96" t="str">
        <f>HYPERLINK("#'Healthcare'!CJV1","Q6.17.22_25")</f>
        <v>Q6.17.22_25</v>
      </c>
      <c r="L2310" s="93" t="str">
        <f>HYPERLINK("#'Healthcare'!CJV2","Primary DHMO plan: Service frequency limit: X-rays - bitewings")</f>
        <v>Primary DHMO plan: Service frequency limit: X-rays - bitewings</v>
      </c>
      <c r="M2310" s="6"/>
      <c r="N2310" s="7"/>
      <c r="O2310" s="6"/>
      <c r="P2310" s="7"/>
      <c r="Q2310" s="6"/>
      <c r="R2310" s="7"/>
      <c r="S2310" s="6"/>
      <c r="T2310" s="7"/>
      <c r="U2310" s="6"/>
      <c r="V2310" s="7"/>
      <c r="W2310" s="6"/>
      <c r="X2310" s="7"/>
    </row>
    <row r="2311" spans="1:24" ht="25.5" x14ac:dyDescent="0.2">
      <c r="A2311" s="6"/>
      <c r="B2311" s="7"/>
      <c r="C2311" s="6"/>
      <c r="D2311" s="7"/>
      <c r="E2311" s="6"/>
      <c r="F2311" s="7"/>
      <c r="G2311" s="6"/>
      <c r="H2311" s="7"/>
      <c r="I2311" s="6"/>
      <c r="J2311" s="7"/>
      <c r="K2311" s="96" t="str">
        <f>HYPERLINK("#'Healthcare'!CJW1","Q6.17.22_26")</f>
        <v>Q6.17.22_26</v>
      </c>
      <c r="L2311" s="93" t="str">
        <f>HYPERLINK("#'Healthcare'!CJW2","Primary DHMO plan: Service frequency limit: X-rays - full-mouth, panorex")</f>
        <v>Primary DHMO plan: Service frequency limit: X-rays - full-mouth, panorex</v>
      </c>
      <c r="M2311" s="6"/>
      <c r="N2311" s="7"/>
      <c r="O2311" s="6"/>
      <c r="P2311" s="7"/>
      <c r="Q2311" s="6"/>
      <c r="R2311" s="7"/>
      <c r="S2311" s="6"/>
      <c r="T2311" s="7"/>
      <c r="U2311" s="6"/>
      <c r="V2311" s="7"/>
      <c r="W2311" s="6"/>
      <c r="X2311" s="7"/>
    </row>
    <row r="2312" spans="1:24" ht="25.5" x14ac:dyDescent="0.2">
      <c r="A2312" s="6"/>
      <c r="B2312" s="7"/>
      <c r="C2312" s="6"/>
      <c r="D2312" s="7"/>
      <c r="E2312" s="6"/>
      <c r="F2312" s="7"/>
      <c r="G2312" s="6"/>
      <c r="H2312" s="7"/>
      <c r="I2312" s="6"/>
      <c r="J2312" s="7"/>
      <c r="K2312" s="96" t="str">
        <f>HYPERLINK("#'Healthcare'!CJX1","Q6.17.22_27")</f>
        <v>Q6.17.22_27</v>
      </c>
      <c r="L2312" s="93" t="str">
        <f>HYPERLINK("#'Healthcare'!CJX2","Primary DHMO plan: Service frequency limit: X-rays - periapical")</f>
        <v>Primary DHMO plan: Service frequency limit: X-rays - periapical</v>
      </c>
      <c r="M2312" s="6"/>
      <c r="N2312" s="7"/>
      <c r="O2312" s="6"/>
      <c r="P2312" s="7"/>
      <c r="Q2312" s="6"/>
      <c r="R2312" s="7"/>
      <c r="S2312" s="6"/>
      <c r="T2312" s="7"/>
      <c r="U2312" s="6"/>
      <c r="V2312" s="7"/>
      <c r="W2312" s="6"/>
      <c r="X2312" s="7"/>
    </row>
    <row r="2313" spans="1:24" ht="25.5" x14ac:dyDescent="0.2">
      <c r="A2313" s="6"/>
      <c r="B2313" s="7"/>
      <c r="C2313" s="6"/>
      <c r="D2313" s="7"/>
      <c r="E2313" s="6"/>
      <c r="F2313" s="7"/>
      <c r="G2313" s="6"/>
      <c r="H2313" s="7"/>
      <c r="I2313" s="6"/>
      <c r="J2313" s="7"/>
      <c r="K2313" s="96" t="str">
        <f>HYPERLINK("#'Healthcare'!CJY1","Q6.17.23_1")</f>
        <v>Q6.17.23_1</v>
      </c>
      <c r="L2313" s="93" t="str">
        <f>HYPERLINK("#'Healthcare'!CJY2","Primary DHMO plan: Age limit applies: Amalgam fillings")</f>
        <v>Primary DHMO plan: Age limit applies: Amalgam fillings</v>
      </c>
      <c r="M2313" s="6"/>
      <c r="N2313" s="7"/>
      <c r="O2313" s="6"/>
      <c r="P2313" s="7"/>
      <c r="Q2313" s="6"/>
      <c r="R2313" s="7"/>
      <c r="S2313" s="6"/>
      <c r="T2313" s="7"/>
      <c r="U2313" s="6"/>
      <c r="V2313" s="7"/>
      <c r="W2313" s="6"/>
      <c r="X2313" s="7"/>
    </row>
    <row r="2314" spans="1:24" ht="25.5" x14ac:dyDescent="0.2">
      <c r="A2314" s="6"/>
      <c r="B2314" s="7"/>
      <c r="C2314" s="6"/>
      <c r="D2314" s="7"/>
      <c r="E2314" s="6"/>
      <c r="F2314" s="7"/>
      <c r="G2314" s="6"/>
      <c r="H2314" s="7"/>
      <c r="I2314" s="6"/>
      <c r="J2314" s="7"/>
      <c r="K2314" s="96" t="str">
        <f>HYPERLINK("#'Healthcare'!CJZ1","Q6.17.23_2")</f>
        <v>Q6.17.23_2</v>
      </c>
      <c r="L2314" s="93" t="str">
        <f>HYPERLINK("#'Healthcare'!CJZ2","Primary DHMO plan: Age limit applies: Anesthesia/sedation")</f>
        <v>Primary DHMO plan: Age limit applies: Anesthesia/sedation</v>
      </c>
      <c r="M2314" s="6"/>
      <c r="N2314" s="7"/>
      <c r="O2314" s="6"/>
      <c r="P2314" s="7"/>
      <c r="Q2314" s="6"/>
      <c r="R2314" s="7"/>
      <c r="S2314" s="6"/>
      <c r="T2314" s="7"/>
      <c r="U2314" s="6"/>
      <c r="V2314" s="7"/>
      <c r="W2314" s="6"/>
      <c r="X2314" s="7"/>
    </row>
    <row r="2315" spans="1:24" ht="25.5" x14ac:dyDescent="0.2">
      <c r="A2315" s="6"/>
      <c r="B2315" s="7"/>
      <c r="C2315" s="6"/>
      <c r="D2315" s="7"/>
      <c r="E2315" s="6"/>
      <c r="F2315" s="7"/>
      <c r="G2315" s="6"/>
      <c r="H2315" s="7"/>
      <c r="I2315" s="6"/>
      <c r="J2315" s="7"/>
      <c r="K2315" s="96" t="str">
        <f>HYPERLINK("#'Healthcare'!CKA1","Q6.17.23_3")</f>
        <v>Q6.17.23_3</v>
      </c>
      <c r="L2315" s="93" t="str">
        <f>HYPERLINK("#'Healthcare'!CKA2","Primary DHMO plan: Age limit applies: Bridgework")</f>
        <v>Primary DHMO plan: Age limit applies: Bridgework</v>
      </c>
      <c r="M2315" s="6"/>
      <c r="N2315" s="7"/>
      <c r="O2315" s="6"/>
      <c r="P2315" s="7"/>
      <c r="Q2315" s="6"/>
      <c r="R2315" s="7"/>
      <c r="S2315" s="6"/>
      <c r="T2315" s="7"/>
      <c r="U2315" s="6"/>
      <c r="V2315" s="7"/>
      <c r="W2315" s="6"/>
      <c r="X2315" s="7"/>
    </row>
    <row r="2316" spans="1:24" ht="25.5" x14ac:dyDescent="0.2">
      <c r="A2316" s="6"/>
      <c r="B2316" s="7"/>
      <c r="C2316" s="6"/>
      <c r="D2316" s="7"/>
      <c r="E2316" s="6"/>
      <c r="F2316" s="7"/>
      <c r="G2316" s="6"/>
      <c r="H2316" s="7"/>
      <c r="I2316" s="6"/>
      <c r="J2316" s="7"/>
      <c r="K2316" s="96" t="str">
        <f>HYPERLINK("#'Healthcare'!CKB1","Q6.17.23_4")</f>
        <v>Q6.17.23_4</v>
      </c>
      <c r="L2316" s="93" t="str">
        <f>HYPERLINK("#'Healthcare'!CKB2","Primary DHMO plan: Age limit applies: Cleanings (prophylaxis)")</f>
        <v>Primary DHMO plan: Age limit applies: Cleanings (prophylaxis)</v>
      </c>
      <c r="M2316" s="6"/>
      <c r="N2316" s="7"/>
      <c r="O2316" s="6"/>
      <c r="P2316" s="7"/>
      <c r="Q2316" s="6"/>
      <c r="R2316" s="7"/>
      <c r="S2316" s="6"/>
      <c r="T2316" s="7"/>
      <c r="U2316" s="6"/>
      <c r="V2316" s="7"/>
      <c r="W2316" s="6"/>
      <c r="X2316" s="7"/>
    </row>
    <row r="2317" spans="1:24" ht="25.5" x14ac:dyDescent="0.2">
      <c r="A2317" s="6"/>
      <c r="B2317" s="7"/>
      <c r="C2317" s="6"/>
      <c r="D2317" s="7"/>
      <c r="E2317" s="6"/>
      <c r="F2317" s="7"/>
      <c r="G2317" s="6"/>
      <c r="H2317" s="7"/>
      <c r="I2317" s="6"/>
      <c r="J2317" s="7"/>
      <c r="K2317" s="96" t="str">
        <f>HYPERLINK("#'Healthcare'!CKC1","Q6.17.23_5")</f>
        <v>Q6.17.23_5</v>
      </c>
      <c r="L2317" s="93" t="str">
        <f>HYPERLINK("#'Healthcare'!CKC2","Primary DHMO plan: Age limit applies: Composite fillings (white fillings)")</f>
        <v>Primary DHMO plan: Age limit applies: Composite fillings (white fillings)</v>
      </c>
      <c r="M2317" s="6"/>
      <c r="N2317" s="7"/>
      <c r="O2317" s="6"/>
      <c r="P2317" s="7"/>
      <c r="Q2317" s="6"/>
      <c r="R2317" s="7"/>
      <c r="S2317" s="6"/>
      <c r="T2317" s="7"/>
      <c r="U2317" s="6"/>
      <c r="V2317" s="7"/>
      <c r="W2317" s="6"/>
      <c r="X2317" s="7"/>
    </row>
    <row r="2318" spans="1:24" ht="12.75" x14ac:dyDescent="0.2">
      <c r="A2318" s="6"/>
      <c r="B2318" s="7"/>
      <c r="C2318" s="6"/>
      <c r="D2318" s="7"/>
      <c r="E2318" s="6"/>
      <c r="F2318" s="7"/>
      <c r="G2318" s="6"/>
      <c r="H2318" s="7"/>
      <c r="I2318" s="6"/>
      <c r="J2318" s="7"/>
      <c r="K2318" s="96" t="str">
        <f>HYPERLINK("#'Healthcare'!CKD1","Q6.17.23_6")</f>
        <v>Q6.17.23_6</v>
      </c>
      <c r="L2318" s="93" t="str">
        <f>HYPERLINK("#'Healthcare'!CKD2","Primary DHMO plan: Age limit applies: Crowns")</f>
        <v>Primary DHMO plan: Age limit applies: Crowns</v>
      </c>
      <c r="M2318" s="6"/>
      <c r="N2318" s="7"/>
      <c r="O2318" s="6"/>
      <c r="P2318" s="7"/>
      <c r="Q2318" s="6"/>
      <c r="R2318" s="7"/>
      <c r="S2318" s="6"/>
      <c r="T2318" s="7"/>
      <c r="U2318" s="6"/>
      <c r="V2318" s="7"/>
      <c r="W2318" s="6"/>
      <c r="X2318" s="7"/>
    </row>
    <row r="2319" spans="1:24" ht="25.5" x14ac:dyDescent="0.2">
      <c r="A2319" s="6"/>
      <c r="B2319" s="7"/>
      <c r="C2319" s="6"/>
      <c r="D2319" s="7"/>
      <c r="E2319" s="6"/>
      <c r="F2319" s="7"/>
      <c r="G2319" s="6"/>
      <c r="H2319" s="7"/>
      <c r="I2319" s="6"/>
      <c r="J2319" s="7"/>
      <c r="K2319" s="96" t="str">
        <f>HYPERLINK("#'Healthcare'!CKE1","Q6.17.23_7")</f>
        <v>Q6.17.23_7</v>
      </c>
      <c r="L2319" s="93" t="str">
        <f>HYPERLINK("#'Healthcare'!CKE2","Primary DHMO plan: Age limit applies: Denture repair")</f>
        <v>Primary DHMO plan: Age limit applies: Denture repair</v>
      </c>
      <c r="M2319" s="6"/>
      <c r="N2319" s="7"/>
      <c r="O2319" s="6"/>
      <c r="P2319" s="7"/>
      <c r="Q2319" s="6"/>
      <c r="R2319" s="7"/>
      <c r="S2319" s="6"/>
      <c r="T2319" s="7"/>
      <c r="U2319" s="6"/>
      <c r="V2319" s="7"/>
      <c r="W2319" s="6"/>
      <c r="X2319" s="7"/>
    </row>
    <row r="2320" spans="1:24" ht="25.5" x14ac:dyDescent="0.2">
      <c r="A2320" s="6"/>
      <c r="B2320" s="7"/>
      <c r="C2320" s="6"/>
      <c r="D2320" s="7"/>
      <c r="E2320" s="6"/>
      <c r="F2320" s="7"/>
      <c r="G2320" s="6"/>
      <c r="H2320" s="7"/>
      <c r="I2320" s="6"/>
      <c r="J2320" s="7"/>
      <c r="K2320" s="96" t="str">
        <f>HYPERLINK("#'Healthcare'!CKF1","Q6.17.23_8")</f>
        <v>Q6.17.23_8</v>
      </c>
      <c r="L2320" s="93" t="str">
        <f>HYPERLINK("#'Healthcare'!CKF2","Primary DHMO plan: Age limit applies: Dentures (relines &amp; rebases)")</f>
        <v>Primary DHMO plan: Age limit applies: Dentures (relines &amp; rebases)</v>
      </c>
      <c r="M2320" s="6"/>
      <c r="N2320" s="7"/>
      <c r="O2320" s="6"/>
      <c r="P2320" s="7"/>
      <c r="Q2320" s="6"/>
      <c r="R2320" s="7"/>
      <c r="S2320" s="6"/>
      <c r="T2320" s="7"/>
      <c r="U2320" s="6"/>
      <c r="V2320" s="7"/>
      <c r="W2320" s="6"/>
      <c r="X2320" s="7"/>
    </row>
    <row r="2321" spans="1:24" ht="25.5" x14ac:dyDescent="0.2">
      <c r="A2321" s="6"/>
      <c r="B2321" s="7"/>
      <c r="C2321" s="6"/>
      <c r="D2321" s="7"/>
      <c r="E2321" s="6"/>
      <c r="F2321" s="7"/>
      <c r="G2321" s="6"/>
      <c r="H2321" s="7"/>
      <c r="I2321" s="6"/>
      <c r="J2321" s="7"/>
      <c r="K2321" s="96" t="str">
        <f>HYPERLINK("#'Healthcare'!CKG1","Q6.17.23_9")</f>
        <v>Q6.17.23_9</v>
      </c>
      <c r="L2321" s="93" t="str">
        <f>HYPERLINK("#'Healthcare'!CKG2","Primary DHMO plan: Age limit applies: Dentures (removable &amp; Partial)")</f>
        <v>Primary DHMO plan: Age limit applies: Dentures (removable &amp; Partial)</v>
      </c>
      <c r="M2321" s="6"/>
      <c r="N2321" s="7"/>
      <c r="O2321" s="6"/>
      <c r="P2321" s="7"/>
      <c r="Q2321" s="6"/>
      <c r="R2321" s="7"/>
      <c r="S2321" s="6"/>
      <c r="T2321" s="7"/>
      <c r="U2321" s="6"/>
      <c r="V2321" s="7"/>
      <c r="W2321" s="6"/>
      <c r="X2321" s="7"/>
    </row>
    <row r="2322" spans="1:24" ht="25.5" x14ac:dyDescent="0.2">
      <c r="A2322" s="6"/>
      <c r="B2322" s="7"/>
      <c r="C2322" s="6"/>
      <c r="D2322" s="7"/>
      <c r="E2322" s="6"/>
      <c r="F2322" s="7"/>
      <c r="G2322" s="6"/>
      <c r="H2322" s="7"/>
      <c r="I2322" s="6"/>
      <c r="J2322" s="7"/>
      <c r="K2322" s="96" t="str">
        <f>HYPERLINK("#'Healthcare'!CKH1","Q6.17.23_10")</f>
        <v>Q6.17.23_10</v>
      </c>
      <c r="L2322" s="93" t="str">
        <f>HYPERLINK("#'Healthcare'!CKH2","Primary DHMO plan: Age limit applies: Examinations (non-routine)")</f>
        <v>Primary DHMO plan: Age limit applies: Examinations (non-routine)</v>
      </c>
      <c r="M2322" s="6"/>
      <c r="N2322" s="7"/>
      <c r="O2322" s="6"/>
      <c r="P2322" s="7"/>
      <c r="Q2322" s="6"/>
      <c r="R2322" s="7"/>
      <c r="S2322" s="6"/>
      <c r="T2322" s="7"/>
      <c r="U2322" s="6"/>
      <c r="V2322" s="7"/>
      <c r="W2322" s="6"/>
      <c r="X2322" s="7"/>
    </row>
    <row r="2323" spans="1:24" ht="25.5" x14ac:dyDescent="0.2">
      <c r="A2323" s="6"/>
      <c r="B2323" s="7"/>
      <c r="C2323" s="6"/>
      <c r="D2323" s="7"/>
      <c r="E2323" s="6"/>
      <c r="F2323" s="7"/>
      <c r="G2323" s="6"/>
      <c r="H2323" s="7"/>
      <c r="I2323" s="6"/>
      <c r="J2323" s="7"/>
      <c r="K2323" s="96" t="str">
        <f>HYPERLINK("#'Healthcare'!CKI1","Q6.17.23_11")</f>
        <v>Q6.17.23_11</v>
      </c>
      <c r="L2323" s="93" t="str">
        <f>HYPERLINK("#'Healthcare'!CKI2","Primary DHMO plan: Age limit applies: Examinations (routine)")</f>
        <v>Primary DHMO plan: Age limit applies: Examinations (routine)</v>
      </c>
      <c r="M2323" s="6"/>
      <c r="N2323" s="7"/>
      <c r="O2323" s="6"/>
      <c r="P2323" s="7"/>
      <c r="Q2323" s="6"/>
      <c r="R2323" s="7"/>
      <c r="S2323" s="6"/>
      <c r="T2323" s="7"/>
      <c r="U2323" s="6"/>
      <c r="V2323" s="7"/>
      <c r="W2323" s="6"/>
      <c r="X2323" s="7"/>
    </row>
    <row r="2324" spans="1:24" ht="25.5" x14ac:dyDescent="0.2">
      <c r="A2324" s="6"/>
      <c r="B2324" s="7"/>
      <c r="C2324" s="6"/>
      <c r="D2324" s="7"/>
      <c r="E2324" s="6"/>
      <c r="F2324" s="7"/>
      <c r="G2324" s="6"/>
      <c r="H2324" s="7"/>
      <c r="I2324" s="6"/>
      <c r="J2324" s="7"/>
      <c r="K2324" s="96" t="str">
        <f>HYPERLINK("#'Healthcare'!CKJ1","Q6.17.23_12")</f>
        <v>Q6.17.23_12</v>
      </c>
      <c r="L2324" s="93" t="str">
        <f>HYPERLINK("#'Healthcare'!CKJ2","Primary DHMO plan: Age limit applies: Fluoride treatments")</f>
        <v>Primary DHMO plan: Age limit applies: Fluoride treatments</v>
      </c>
      <c r="M2324" s="6"/>
      <c r="N2324" s="7"/>
      <c r="O2324" s="6"/>
      <c r="P2324" s="7"/>
      <c r="Q2324" s="6"/>
      <c r="R2324" s="7"/>
      <c r="S2324" s="6"/>
      <c r="T2324" s="7"/>
      <c r="U2324" s="6"/>
      <c r="V2324" s="7"/>
      <c r="W2324" s="6"/>
      <c r="X2324" s="7"/>
    </row>
    <row r="2325" spans="1:24" ht="25.5" x14ac:dyDescent="0.2">
      <c r="A2325" s="6"/>
      <c r="B2325" s="7"/>
      <c r="C2325" s="6"/>
      <c r="D2325" s="7"/>
      <c r="E2325" s="6"/>
      <c r="F2325" s="7"/>
      <c r="G2325" s="6"/>
      <c r="H2325" s="7"/>
      <c r="I2325" s="6"/>
      <c r="J2325" s="7"/>
      <c r="K2325" s="96" t="str">
        <f>HYPERLINK("#'Healthcare'!CKK1","Q6.17.23_13")</f>
        <v>Q6.17.23_13</v>
      </c>
      <c r="L2325" s="93" t="str">
        <f>HYPERLINK("#'Healthcare'!CKK2","Primary DHMO plan: Age limit applies: Implants")</f>
        <v>Primary DHMO plan: Age limit applies: Implants</v>
      </c>
      <c r="M2325" s="6"/>
      <c r="N2325" s="7"/>
      <c r="O2325" s="6"/>
      <c r="P2325" s="7"/>
      <c r="Q2325" s="6"/>
      <c r="R2325" s="7"/>
      <c r="S2325" s="6"/>
      <c r="T2325" s="7"/>
      <c r="U2325" s="6"/>
      <c r="V2325" s="7"/>
      <c r="W2325" s="6"/>
      <c r="X2325" s="7"/>
    </row>
    <row r="2326" spans="1:24" ht="25.5" x14ac:dyDescent="0.2">
      <c r="A2326" s="6"/>
      <c r="B2326" s="7"/>
      <c r="C2326" s="6"/>
      <c r="D2326" s="7"/>
      <c r="E2326" s="6"/>
      <c r="F2326" s="7"/>
      <c r="G2326" s="6"/>
      <c r="H2326" s="7"/>
      <c r="I2326" s="6"/>
      <c r="J2326" s="7"/>
      <c r="K2326" s="96" t="str">
        <f>HYPERLINK("#'Healthcare'!CKL1","Q6.17.23_14")</f>
        <v>Q6.17.23_14</v>
      </c>
      <c r="L2326" s="93" t="str">
        <f>HYPERLINK("#'Healthcare'!CKL2","Primary DHMO plan: Age limit applies: Inlays &amp; onlays")</f>
        <v>Primary DHMO plan: Age limit applies: Inlays &amp; onlays</v>
      </c>
      <c r="M2326" s="6"/>
      <c r="N2326" s="7"/>
      <c r="O2326" s="6"/>
      <c r="P2326" s="7"/>
      <c r="Q2326" s="6"/>
      <c r="R2326" s="7"/>
      <c r="S2326" s="6"/>
      <c r="T2326" s="7"/>
      <c r="U2326" s="6"/>
      <c r="V2326" s="7"/>
      <c r="W2326" s="6"/>
      <c r="X2326" s="7"/>
    </row>
    <row r="2327" spans="1:24" ht="25.5" x14ac:dyDescent="0.2">
      <c r="A2327" s="6"/>
      <c r="B2327" s="7"/>
      <c r="C2327" s="6"/>
      <c r="D2327" s="7"/>
      <c r="E2327" s="6"/>
      <c r="F2327" s="7"/>
      <c r="G2327" s="6"/>
      <c r="H2327" s="7"/>
      <c r="I2327" s="6"/>
      <c r="J2327" s="7"/>
      <c r="K2327" s="96" t="str">
        <f>HYPERLINK("#'Healthcare'!CKM1","Q6.17.23_15")</f>
        <v>Q6.17.23_15</v>
      </c>
      <c r="L2327" s="93" t="str">
        <f>HYPERLINK("#'Healthcare'!CKM2","Primary DHMO plan: Age limit applies: Night guards")</f>
        <v>Primary DHMO plan: Age limit applies: Night guards</v>
      </c>
      <c r="M2327" s="6"/>
      <c r="N2327" s="7"/>
      <c r="O2327" s="6"/>
      <c r="P2327" s="7"/>
      <c r="Q2327" s="6"/>
      <c r="R2327" s="7"/>
      <c r="S2327" s="6"/>
      <c r="T2327" s="7"/>
      <c r="U2327" s="6"/>
      <c r="V2327" s="7"/>
      <c r="W2327" s="6"/>
      <c r="X2327" s="7"/>
    </row>
    <row r="2328" spans="1:24" ht="25.5" x14ac:dyDescent="0.2">
      <c r="A2328" s="6"/>
      <c r="B2328" s="7"/>
      <c r="C2328" s="6"/>
      <c r="D2328" s="7"/>
      <c r="E2328" s="6"/>
      <c r="F2328" s="7"/>
      <c r="G2328" s="6"/>
      <c r="H2328" s="7"/>
      <c r="I2328" s="6"/>
      <c r="J2328" s="7"/>
      <c r="K2328" s="96" t="str">
        <f>HYPERLINK("#'Healthcare'!CKN1","Q6.17.23_16")</f>
        <v>Q6.17.23_16</v>
      </c>
      <c r="L2328" s="93" t="str">
        <f>HYPERLINK("#'Healthcare'!CKN2","Primary DHMO plan: Age limit applies: Oral surgery")</f>
        <v>Primary DHMO plan: Age limit applies: Oral surgery</v>
      </c>
      <c r="M2328" s="6"/>
      <c r="N2328" s="7"/>
      <c r="O2328" s="6"/>
      <c r="P2328" s="7"/>
      <c r="Q2328" s="6"/>
      <c r="R2328" s="7"/>
      <c r="S2328" s="6"/>
      <c r="T2328" s="7"/>
      <c r="U2328" s="6"/>
      <c r="V2328" s="7"/>
      <c r="W2328" s="6"/>
      <c r="X2328" s="7"/>
    </row>
    <row r="2329" spans="1:24" ht="25.5" x14ac:dyDescent="0.2">
      <c r="A2329" s="6"/>
      <c r="B2329" s="7"/>
      <c r="C2329" s="6"/>
      <c r="D2329" s="7"/>
      <c r="E2329" s="6"/>
      <c r="F2329" s="7"/>
      <c r="G2329" s="6"/>
      <c r="H2329" s="7"/>
      <c r="I2329" s="6"/>
      <c r="J2329" s="7"/>
      <c r="K2329" s="96" t="str">
        <f>HYPERLINK("#'Healthcare'!CKO1","Q6.17.23_17")</f>
        <v>Q6.17.23_17</v>
      </c>
      <c r="L2329" s="93" t="str">
        <f>HYPERLINK("#'Healthcare'!CKO2","Primary DHMO plan: Age limit applies: Orthodontia")</f>
        <v>Primary DHMO plan: Age limit applies: Orthodontia</v>
      </c>
      <c r="M2329" s="6"/>
      <c r="N2329" s="7"/>
      <c r="O2329" s="6"/>
      <c r="P2329" s="7"/>
      <c r="Q2329" s="6"/>
      <c r="R2329" s="7"/>
      <c r="S2329" s="6"/>
      <c r="T2329" s="7"/>
      <c r="U2329" s="6"/>
      <c r="V2329" s="7"/>
      <c r="W2329" s="6"/>
      <c r="X2329" s="7"/>
    </row>
    <row r="2330" spans="1:24" ht="25.5" x14ac:dyDescent="0.2">
      <c r="A2330" s="6"/>
      <c r="B2330" s="7"/>
      <c r="C2330" s="6"/>
      <c r="D2330" s="7"/>
      <c r="E2330" s="6"/>
      <c r="F2330" s="7"/>
      <c r="G2330" s="6"/>
      <c r="H2330" s="7"/>
      <c r="I2330" s="6"/>
      <c r="J2330" s="7"/>
      <c r="K2330" s="96" t="str">
        <f>HYPERLINK("#'Healthcare'!CKP1","Q6.17.23_18")</f>
        <v>Q6.17.23_18</v>
      </c>
      <c r="L2330" s="93" t="str">
        <f>HYPERLINK("#'Healthcare'!CKP2","Primary DHMO plan: Age limit applies: Periodontal scaling &amp; root planing")</f>
        <v>Primary DHMO plan: Age limit applies: Periodontal scaling &amp; root planing</v>
      </c>
      <c r="M2330" s="6"/>
      <c r="N2330" s="7"/>
      <c r="O2330" s="6"/>
      <c r="P2330" s="7"/>
      <c r="Q2330" s="6"/>
      <c r="R2330" s="7"/>
      <c r="S2330" s="6"/>
      <c r="T2330" s="7"/>
      <c r="U2330" s="6"/>
      <c r="V2330" s="7"/>
      <c r="W2330" s="6"/>
      <c r="X2330" s="7"/>
    </row>
    <row r="2331" spans="1:24" ht="25.5" x14ac:dyDescent="0.2">
      <c r="A2331" s="6"/>
      <c r="B2331" s="7"/>
      <c r="C2331" s="6"/>
      <c r="D2331" s="7"/>
      <c r="E2331" s="6"/>
      <c r="F2331" s="7"/>
      <c r="G2331" s="6"/>
      <c r="H2331" s="7"/>
      <c r="I2331" s="6"/>
      <c r="J2331" s="7"/>
      <c r="K2331" s="96" t="str">
        <f>HYPERLINK("#'Healthcare'!CKQ1","Q6.17.23_19")</f>
        <v>Q6.17.23_19</v>
      </c>
      <c r="L2331" s="93" t="str">
        <f>HYPERLINK("#'Healthcare'!CKQ2","Primary DHMO plan: Age limit applies: Periodontal surgery")</f>
        <v>Primary DHMO plan: Age limit applies: Periodontal surgery</v>
      </c>
      <c r="M2331" s="6"/>
      <c r="N2331" s="7"/>
      <c r="O2331" s="6"/>
      <c r="P2331" s="7"/>
      <c r="Q2331" s="6"/>
      <c r="R2331" s="7"/>
      <c r="S2331" s="6"/>
      <c r="T2331" s="7"/>
      <c r="U2331" s="6"/>
      <c r="V2331" s="7"/>
      <c r="W2331" s="6"/>
      <c r="X2331" s="7"/>
    </row>
    <row r="2332" spans="1:24" ht="25.5" x14ac:dyDescent="0.2">
      <c r="A2332" s="6"/>
      <c r="B2332" s="7"/>
      <c r="C2332" s="6"/>
      <c r="D2332" s="7"/>
      <c r="E2332" s="6"/>
      <c r="F2332" s="7"/>
      <c r="G2332" s="6"/>
      <c r="H2332" s="7"/>
      <c r="I2332" s="6"/>
      <c r="J2332" s="7"/>
      <c r="K2332" s="96" t="str">
        <f>HYPERLINK("#'Healthcare'!CKR1","Q6.17.23_20")</f>
        <v>Q6.17.23_20</v>
      </c>
      <c r="L2332" s="93" t="str">
        <f>HYPERLINK("#'Healthcare'!CKR2","Primary DHMO plan: Age limit applies: Root canals")</f>
        <v>Primary DHMO plan: Age limit applies: Root canals</v>
      </c>
      <c r="M2332" s="6"/>
      <c r="N2332" s="7"/>
      <c r="O2332" s="6"/>
      <c r="P2332" s="7"/>
      <c r="Q2332" s="6"/>
      <c r="R2332" s="7"/>
      <c r="S2332" s="6"/>
      <c r="T2332" s="7"/>
      <c r="U2332" s="6"/>
      <c r="V2332" s="7"/>
      <c r="W2332" s="6"/>
      <c r="X2332" s="7"/>
    </row>
    <row r="2333" spans="1:24" ht="25.5" x14ac:dyDescent="0.2">
      <c r="A2333" s="6"/>
      <c r="B2333" s="7"/>
      <c r="C2333" s="6"/>
      <c r="D2333" s="7"/>
      <c r="E2333" s="6"/>
      <c r="F2333" s="7"/>
      <c r="G2333" s="6"/>
      <c r="H2333" s="7"/>
      <c r="I2333" s="6"/>
      <c r="J2333" s="7"/>
      <c r="K2333" s="96" t="str">
        <f>HYPERLINK("#'Healthcare'!CKS1","Q6.17.23_21")</f>
        <v>Q6.17.23_21</v>
      </c>
      <c r="L2333" s="93" t="str">
        <f>HYPERLINK("#'Healthcare'!CKS2","Primary DHMO plan: Age limit applies: Space maintainers")</f>
        <v>Primary DHMO plan: Age limit applies: Space maintainers</v>
      </c>
      <c r="M2333" s="6"/>
      <c r="N2333" s="7"/>
      <c r="O2333" s="6"/>
      <c r="P2333" s="7"/>
      <c r="Q2333" s="6"/>
      <c r="R2333" s="7"/>
      <c r="S2333" s="6"/>
      <c r="T2333" s="7"/>
      <c r="U2333" s="6"/>
      <c r="V2333" s="7"/>
      <c r="W2333" s="6"/>
      <c r="X2333" s="7"/>
    </row>
    <row r="2334" spans="1:24" ht="25.5" x14ac:dyDescent="0.2">
      <c r="A2334" s="6"/>
      <c r="B2334" s="7"/>
      <c r="C2334" s="6"/>
      <c r="D2334" s="7"/>
      <c r="E2334" s="6"/>
      <c r="F2334" s="7"/>
      <c r="G2334" s="6"/>
      <c r="H2334" s="7"/>
      <c r="I2334" s="6"/>
      <c r="J2334" s="7"/>
      <c r="K2334" s="96" t="str">
        <f>HYPERLINK("#'Healthcare'!CKT1","Q6.17.23_22")</f>
        <v>Q6.17.23_22</v>
      </c>
      <c r="L2334" s="93" t="str">
        <f>HYPERLINK("#'Healthcare'!CKT2","Primary DHMO plan: Age limit applies: Tooth extractions")</f>
        <v>Primary DHMO plan: Age limit applies: Tooth extractions</v>
      </c>
      <c r="M2334" s="6"/>
      <c r="N2334" s="7"/>
      <c r="O2334" s="6"/>
      <c r="P2334" s="7"/>
      <c r="Q2334" s="6"/>
      <c r="R2334" s="7"/>
      <c r="S2334" s="6"/>
      <c r="T2334" s="7"/>
      <c r="U2334" s="6"/>
      <c r="V2334" s="7"/>
      <c r="W2334" s="6"/>
      <c r="X2334" s="7"/>
    </row>
    <row r="2335" spans="1:24" ht="25.5" x14ac:dyDescent="0.2">
      <c r="A2335" s="6"/>
      <c r="B2335" s="7"/>
      <c r="C2335" s="6"/>
      <c r="D2335" s="7"/>
      <c r="E2335" s="6"/>
      <c r="F2335" s="7"/>
      <c r="G2335" s="6"/>
      <c r="H2335" s="7"/>
      <c r="I2335" s="6"/>
      <c r="J2335" s="7"/>
      <c r="K2335" s="96" t="str">
        <f>HYPERLINK("#'Healthcare'!CKU1","Q6.17.23_23")</f>
        <v>Q6.17.23_23</v>
      </c>
      <c r="L2335" s="93" t="str">
        <f>HYPERLINK("#'Healthcare'!CKU2","Primary DHMO plan: Age limit applies: Tooth sealants")</f>
        <v>Primary DHMO plan: Age limit applies: Tooth sealants</v>
      </c>
      <c r="M2335" s="6"/>
      <c r="N2335" s="7"/>
      <c r="O2335" s="6"/>
      <c r="P2335" s="7"/>
      <c r="Q2335" s="6"/>
      <c r="R2335" s="7"/>
      <c r="S2335" s="6"/>
      <c r="T2335" s="7"/>
      <c r="U2335" s="6"/>
      <c r="V2335" s="7"/>
      <c r="W2335" s="6"/>
      <c r="X2335" s="7"/>
    </row>
    <row r="2336" spans="1:24" ht="25.5" x14ac:dyDescent="0.2">
      <c r="A2336" s="6"/>
      <c r="B2336" s="7"/>
      <c r="C2336" s="6"/>
      <c r="D2336" s="7"/>
      <c r="E2336" s="6"/>
      <c r="F2336" s="7"/>
      <c r="G2336" s="6"/>
      <c r="H2336" s="7"/>
      <c r="I2336" s="6"/>
      <c r="J2336" s="7"/>
      <c r="K2336" s="96" t="str">
        <f>HYPERLINK("#'Healthcare'!CKV1","Q6.17.23_24")</f>
        <v>Q6.17.23_24</v>
      </c>
      <c r="L2336" s="93" t="str">
        <f>HYPERLINK("#'Healthcare'!CKV2","Primary DHMO plan: Age limit applies: Topical fluoride treatments")</f>
        <v>Primary DHMO plan: Age limit applies: Topical fluoride treatments</v>
      </c>
      <c r="M2336" s="6"/>
      <c r="N2336" s="7"/>
      <c r="O2336" s="6"/>
      <c r="P2336" s="7"/>
      <c r="Q2336" s="6"/>
      <c r="R2336" s="7"/>
      <c r="S2336" s="6"/>
      <c r="T2336" s="7"/>
      <c r="U2336" s="6"/>
      <c r="V2336" s="7"/>
      <c r="W2336" s="6"/>
      <c r="X2336" s="7"/>
    </row>
    <row r="2337" spans="1:24" ht="25.5" x14ac:dyDescent="0.2">
      <c r="A2337" s="6"/>
      <c r="B2337" s="7"/>
      <c r="C2337" s="6"/>
      <c r="D2337" s="7"/>
      <c r="E2337" s="6"/>
      <c r="F2337" s="7"/>
      <c r="G2337" s="6"/>
      <c r="H2337" s="7"/>
      <c r="I2337" s="6"/>
      <c r="J2337" s="7"/>
      <c r="K2337" s="96" t="str">
        <f>HYPERLINK("#'Healthcare'!CKW1","Q6.17.23_25")</f>
        <v>Q6.17.23_25</v>
      </c>
      <c r="L2337" s="93" t="str">
        <f>HYPERLINK("#'Healthcare'!CKW2","Primary DHMO plan: Age limit applies: X-rays - bitewings")</f>
        <v>Primary DHMO plan: Age limit applies: X-rays - bitewings</v>
      </c>
      <c r="M2337" s="6"/>
      <c r="N2337" s="7"/>
      <c r="O2337" s="6"/>
      <c r="P2337" s="7"/>
      <c r="Q2337" s="6"/>
      <c r="R2337" s="7"/>
      <c r="S2337" s="6"/>
      <c r="T2337" s="7"/>
      <c r="U2337" s="6"/>
      <c r="V2337" s="7"/>
      <c r="W2337" s="6"/>
      <c r="X2337" s="7"/>
    </row>
    <row r="2338" spans="1:24" ht="25.5" x14ac:dyDescent="0.2">
      <c r="A2338" s="6"/>
      <c r="B2338" s="7"/>
      <c r="C2338" s="6"/>
      <c r="D2338" s="7"/>
      <c r="E2338" s="6"/>
      <c r="F2338" s="7"/>
      <c r="G2338" s="6"/>
      <c r="H2338" s="7"/>
      <c r="I2338" s="6"/>
      <c r="J2338" s="7"/>
      <c r="K2338" s="96" t="str">
        <f>HYPERLINK("#'Healthcare'!CKX1","Q6.17.23_26")</f>
        <v>Q6.17.23_26</v>
      </c>
      <c r="L2338" s="93" t="str">
        <f>HYPERLINK("#'Healthcare'!CKX2","Primary DHMO plan: Age limit applies: X-rays - Full-mouth, panorex")</f>
        <v>Primary DHMO plan: Age limit applies: X-rays - Full-mouth, panorex</v>
      </c>
      <c r="M2338" s="6"/>
      <c r="N2338" s="7"/>
      <c r="O2338" s="6"/>
      <c r="P2338" s="7"/>
      <c r="Q2338" s="6"/>
      <c r="R2338" s="7"/>
      <c r="S2338" s="6"/>
      <c r="T2338" s="7"/>
      <c r="U2338" s="6"/>
      <c r="V2338" s="7"/>
      <c r="W2338" s="6"/>
      <c r="X2338" s="7"/>
    </row>
    <row r="2339" spans="1:24" ht="25.5" x14ac:dyDescent="0.2">
      <c r="A2339" s="6"/>
      <c r="B2339" s="7"/>
      <c r="C2339" s="6"/>
      <c r="D2339" s="7"/>
      <c r="E2339" s="6"/>
      <c r="F2339" s="7"/>
      <c r="G2339" s="6"/>
      <c r="H2339" s="7"/>
      <c r="I2339" s="6"/>
      <c r="J2339" s="7"/>
      <c r="K2339" s="96" t="str">
        <f>HYPERLINK("#'Healthcare'!CKY1","Q6.17.23_27")</f>
        <v>Q6.17.23_27</v>
      </c>
      <c r="L2339" s="93" t="str">
        <f>HYPERLINK("#'Healthcare'!CKY2","Primary DHMO plan: Age limit applies: X-rays - periapical")</f>
        <v>Primary DHMO plan: Age limit applies: X-rays - periapical</v>
      </c>
      <c r="M2339" s="6"/>
      <c r="N2339" s="7"/>
      <c r="O2339" s="6"/>
      <c r="P2339" s="7"/>
      <c r="Q2339" s="6"/>
      <c r="R2339" s="7"/>
      <c r="S2339" s="6"/>
      <c r="T2339" s="7"/>
      <c r="U2339" s="6"/>
      <c r="V2339" s="7"/>
      <c r="W2339" s="6"/>
      <c r="X2339" s="7"/>
    </row>
    <row r="2340" spans="1:24" ht="25.5" x14ac:dyDescent="0.2">
      <c r="A2340" s="6"/>
      <c r="B2340" s="7"/>
      <c r="C2340" s="6"/>
      <c r="D2340" s="7"/>
      <c r="E2340" s="6"/>
      <c r="F2340" s="7"/>
      <c r="G2340" s="6"/>
      <c r="H2340" s="7"/>
      <c r="I2340" s="6"/>
      <c r="J2340" s="7"/>
      <c r="K2340" s="96" t="str">
        <f>HYPERLINK("#'Healthcare'!CKZ1","Q6.17.25_1")</f>
        <v>Q6.17.25_1</v>
      </c>
      <c r="L2340" s="93" t="str">
        <f>HYPERLINK("#'Healthcare'!CKZ2","Primary indemnity dental plan: In-network individual deductible")</f>
        <v>Primary indemnity dental plan: In-network individual deductible</v>
      </c>
      <c r="M2340" s="6"/>
      <c r="N2340" s="7"/>
      <c r="O2340" s="6"/>
      <c r="P2340" s="7"/>
      <c r="Q2340" s="6"/>
      <c r="R2340" s="7"/>
      <c r="S2340" s="6"/>
      <c r="T2340" s="7"/>
      <c r="U2340" s="6"/>
      <c r="V2340" s="7"/>
      <c r="W2340" s="6"/>
      <c r="X2340" s="7"/>
    </row>
    <row r="2341" spans="1:24" ht="25.5" x14ac:dyDescent="0.2">
      <c r="A2341" s="6"/>
      <c r="B2341" s="7"/>
      <c r="C2341" s="6"/>
      <c r="D2341" s="7"/>
      <c r="E2341" s="6"/>
      <c r="F2341" s="7"/>
      <c r="G2341" s="6"/>
      <c r="H2341" s="7"/>
      <c r="I2341" s="6"/>
      <c r="J2341" s="7"/>
      <c r="K2341" s="96" t="str">
        <f>HYPERLINK("#'Healthcare'!CLA1","Q6.17.25_2")</f>
        <v>Q6.17.25_2</v>
      </c>
      <c r="L2341" s="93" t="str">
        <f>HYPERLINK("#'Healthcare'!CLA2","Primary indemnity dental plan: In-network family deductible")</f>
        <v>Primary indemnity dental plan: In-network family deductible</v>
      </c>
      <c r="M2341" s="6"/>
      <c r="N2341" s="7"/>
      <c r="O2341" s="6"/>
      <c r="P2341" s="7"/>
      <c r="Q2341" s="6"/>
      <c r="R2341" s="7"/>
      <c r="S2341" s="6"/>
      <c r="T2341" s="7"/>
      <c r="U2341" s="6"/>
      <c r="V2341" s="7"/>
      <c r="W2341" s="6"/>
      <c r="X2341" s="7"/>
    </row>
    <row r="2342" spans="1:24" ht="25.5" x14ac:dyDescent="0.2">
      <c r="A2342" s="6"/>
      <c r="B2342" s="7"/>
      <c r="C2342" s="6"/>
      <c r="D2342" s="7"/>
      <c r="E2342" s="6"/>
      <c r="F2342" s="7"/>
      <c r="G2342" s="6"/>
      <c r="H2342" s="7"/>
      <c r="I2342" s="6"/>
      <c r="J2342" s="7"/>
      <c r="K2342" s="96" t="str">
        <f>HYPERLINK("#'Healthcare'!CLB1","Q6.17.25_3")</f>
        <v>Q6.17.25_3</v>
      </c>
      <c r="L2342" s="93" t="str">
        <f>HYPERLINK("#'Healthcare'!CLB2","Primary indemnity dental plan: Out-of-network individual deductible")</f>
        <v>Primary indemnity dental plan: Out-of-network individual deductible</v>
      </c>
      <c r="M2342" s="6"/>
      <c r="N2342" s="7"/>
      <c r="O2342" s="6"/>
      <c r="P2342" s="7"/>
      <c r="Q2342" s="6"/>
      <c r="R2342" s="7"/>
      <c r="S2342" s="6"/>
      <c r="T2342" s="7"/>
      <c r="U2342" s="6"/>
      <c r="V2342" s="7"/>
      <c r="W2342" s="6"/>
      <c r="X2342" s="7"/>
    </row>
    <row r="2343" spans="1:24" ht="25.5" x14ac:dyDescent="0.2">
      <c r="A2343" s="6"/>
      <c r="B2343" s="7"/>
      <c r="C2343" s="6"/>
      <c r="D2343" s="7"/>
      <c r="E2343" s="6"/>
      <c r="F2343" s="7"/>
      <c r="G2343" s="6"/>
      <c r="H2343" s="7"/>
      <c r="I2343" s="6"/>
      <c r="J2343" s="7"/>
      <c r="K2343" s="96" t="str">
        <f>HYPERLINK("#'Healthcare'!CLC1","Q6.17.25_4")</f>
        <v>Q6.17.25_4</v>
      </c>
      <c r="L2343" s="93" t="str">
        <f>HYPERLINK("#'Healthcare'!CLC2","Primary indemnity dental plan: Out-of-network family deductible")</f>
        <v>Primary indemnity dental plan: Out-of-network family deductible</v>
      </c>
      <c r="M2343" s="6"/>
      <c r="N2343" s="7"/>
      <c r="O2343" s="6"/>
      <c r="P2343" s="7"/>
      <c r="Q2343" s="6"/>
      <c r="R2343" s="7"/>
      <c r="S2343" s="6"/>
      <c r="T2343" s="7"/>
      <c r="U2343" s="6"/>
      <c r="V2343" s="7"/>
      <c r="W2343" s="6"/>
      <c r="X2343" s="7"/>
    </row>
    <row r="2344" spans="1:24" ht="38.25" x14ac:dyDescent="0.2">
      <c r="A2344" s="6"/>
      <c r="B2344" s="7"/>
      <c r="C2344" s="6"/>
      <c r="D2344" s="7"/>
      <c r="E2344" s="6"/>
      <c r="F2344" s="7"/>
      <c r="G2344" s="6"/>
      <c r="H2344" s="7"/>
      <c r="I2344" s="6"/>
      <c r="J2344" s="7"/>
      <c r="K2344" s="96" t="str">
        <f>HYPERLINK("#'Healthcare'!CLD1","Q6.17.25_5")</f>
        <v>Q6.17.25_5</v>
      </c>
      <c r="L2344" s="93" t="str">
        <f>HYPERLINK("#'Healthcare'!CLD2","Primary indemnity dental plan: Maximum annual/calendar year limit (individual - excludes ortho)")</f>
        <v>Primary indemnity dental plan: Maximum annual/calendar year limit (individual - excludes ortho)</v>
      </c>
      <c r="M2344" s="6"/>
      <c r="N2344" s="7"/>
      <c r="O2344" s="6"/>
      <c r="P2344" s="7"/>
      <c r="Q2344" s="6"/>
      <c r="R2344" s="7"/>
      <c r="S2344" s="6"/>
      <c r="T2344" s="7"/>
      <c r="U2344" s="6"/>
      <c r="V2344" s="7"/>
      <c r="W2344" s="6"/>
      <c r="X2344" s="7"/>
    </row>
    <row r="2345" spans="1:24" ht="25.5" x14ac:dyDescent="0.2">
      <c r="A2345" s="6"/>
      <c r="B2345" s="7"/>
      <c r="C2345" s="6"/>
      <c r="D2345" s="7"/>
      <c r="E2345" s="6"/>
      <c r="F2345" s="7"/>
      <c r="G2345" s="6"/>
      <c r="H2345" s="7"/>
      <c r="I2345" s="6"/>
      <c r="J2345" s="7"/>
      <c r="K2345" s="96" t="str">
        <f>HYPERLINK("#'Healthcare'!CLE1","Q6.17.25_6")</f>
        <v>Q6.17.25_6</v>
      </c>
      <c r="L2345" s="93" t="str">
        <f>HYPERLINK("#'Healthcare'!CLE2","Primary indemnity dental plan: Maximum annual/calendar year limit (family)")</f>
        <v>Primary indemnity dental plan: Maximum annual/calendar year limit (family)</v>
      </c>
      <c r="M2345" s="6"/>
      <c r="N2345" s="7"/>
      <c r="O2345" s="6"/>
      <c r="P2345" s="7"/>
      <c r="Q2345" s="6"/>
      <c r="R2345" s="7"/>
      <c r="S2345" s="6"/>
      <c r="T2345" s="7"/>
      <c r="U2345" s="6"/>
      <c r="V2345" s="7"/>
      <c r="W2345" s="6"/>
      <c r="X2345" s="7"/>
    </row>
    <row r="2346" spans="1:24" ht="25.5" x14ac:dyDescent="0.2">
      <c r="A2346" s="6"/>
      <c r="B2346" s="7"/>
      <c r="C2346" s="6"/>
      <c r="D2346" s="7"/>
      <c r="E2346" s="6"/>
      <c r="F2346" s="7"/>
      <c r="G2346" s="6"/>
      <c r="H2346" s="7"/>
      <c r="I2346" s="6"/>
      <c r="J2346" s="7"/>
      <c r="K2346" s="96" t="str">
        <f>HYPERLINK("#'Healthcare'!CLF1","Q6.17.25_7")</f>
        <v>Q6.17.25_7</v>
      </c>
      <c r="L2346" s="93" t="str">
        <f>HYPERLINK("#'Healthcare'!CLF2","Primary indemnity dental plan: Maximum lifetime orthodontia limit (individual)")</f>
        <v>Primary indemnity dental plan: Maximum lifetime orthodontia limit (individual)</v>
      </c>
      <c r="M2346" s="6"/>
      <c r="N2346" s="7"/>
      <c r="O2346" s="6"/>
      <c r="P2346" s="7"/>
      <c r="Q2346" s="6"/>
      <c r="R2346" s="7"/>
      <c r="S2346" s="6"/>
      <c r="T2346" s="7"/>
      <c r="U2346" s="6"/>
      <c r="V2346" s="7"/>
      <c r="W2346" s="6"/>
      <c r="X2346" s="7"/>
    </row>
    <row r="2347" spans="1:24" ht="25.5" x14ac:dyDescent="0.2">
      <c r="A2347" s="6"/>
      <c r="B2347" s="7"/>
      <c r="C2347" s="6"/>
      <c r="D2347" s="7"/>
      <c r="E2347" s="6"/>
      <c r="F2347" s="7"/>
      <c r="G2347" s="6"/>
      <c r="H2347" s="7"/>
      <c r="I2347" s="6"/>
      <c r="J2347" s="7"/>
      <c r="K2347" s="96" t="str">
        <f>HYPERLINK("#'Healthcare'!CLG1","Q6.17.25_8")</f>
        <v>Q6.17.25_8</v>
      </c>
      <c r="L2347" s="93" t="str">
        <f>HYPERLINK("#'Healthcare'!CLG2","Primary indemnity dental plan: Maximum lifetime orthodontia limit (family)")</f>
        <v>Primary indemnity dental plan: Maximum lifetime orthodontia limit (family)</v>
      </c>
      <c r="M2347" s="6"/>
      <c r="N2347" s="7"/>
      <c r="O2347" s="6"/>
      <c r="P2347" s="7"/>
      <c r="Q2347" s="6"/>
      <c r="R2347" s="7"/>
      <c r="S2347" s="6"/>
      <c r="T2347" s="7"/>
      <c r="U2347" s="6"/>
      <c r="V2347" s="7"/>
      <c r="W2347" s="6"/>
      <c r="X2347" s="7"/>
    </row>
    <row r="2348" spans="1:24" ht="25.5" x14ac:dyDescent="0.2">
      <c r="A2348" s="6"/>
      <c r="B2348" s="7"/>
      <c r="C2348" s="6"/>
      <c r="D2348" s="7"/>
      <c r="E2348" s="6"/>
      <c r="F2348" s="7"/>
      <c r="G2348" s="6"/>
      <c r="H2348" s="7"/>
      <c r="I2348" s="6"/>
      <c r="J2348" s="7"/>
      <c r="K2348" s="96" t="str">
        <f>HYPERLINK("#'Healthcare'!CLH1","Q6.17.26_1")</f>
        <v>Q6.17.26_1</v>
      </c>
      <c r="L2348" s="93" t="str">
        <f>HYPERLINK("#'Healthcare'!CLH2","Primary indemnity dental plan: In-network preventive services - coinsurance")</f>
        <v>Primary indemnity dental plan: In-network preventive services - coinsurance</v>
      </c>
      <c r="M2348" s="6"/>
      <c r="N2348" s="7"/>
      <c r="O2348" s="6"/>
      <c r="P2348" s="7"/>
      <c r="Q2348" s="6"/>
      <c r="R2348" s="7"/>
      <c r="S2348" s="6"/>
      <c r="T2348" s="7"/>
      <c r="U2348" s="6"/>
      <c r="V2348" s="7"/>
      <c r="W2348" s="6"/>
      <c r="X2348" s="7"/>
    </row>
    <row r="2349" spans="1:24" ht="25.5" x14ac:dyDescent="0.2">
      <c r="A2349" s="6"/>
      <c r="B2349" s="7"/>
      <c r="C2349" s="6"/>
      <c r="D2349" s="7"/>
      <c r="E2349" s="6"/>
      <c r="F2349" s="7"/>
      <c r="G2349" s="6"/>
      <c r="H2349" s="7"/>
      <c r="I2349" s="6"/>
      <c r="J2349" s="7"/>
      <c r="K2349" s="96" t="str">
        <f>HYPERLINK("#'Healthcare'!CLI1","Q6.17.26_2")</f>
        <v>Q6.17.26_2</v>
      </c>
      <c r="L2349" s="93" t="str">
        <f>HYPERLINK("#'Healthcare'!CLI2","Primary indemnity dental plan: Out-of-network preventive services - coinsurance")</f>
        <v>Primary indemnity dental plan: Out-of-network preventive services - coinsurance</v>
      </c>
      <c r="M2349" s="6"/>
      <c r="N2349" s="7"/>
      <c r="O2349" s="6"/>
      <c r="P2349" s="7"/>
      <c r="Q2349" s="6"/>
      <c r="R2349" s="7"/>
      <c r="S2349" s="6"/>
      <c r="T2349" s="7"/>
      <c r="U2349" s="6"/>
      <c r="V2349" s="7"/>
      <c r="W2349" s="6"/>
      <c r="X2349" s="7"/>
    </row>
    <row r="2350" spans="1:24" ht="25.5" x14ac:dyDescent="0.2">
      <c r="A2350" s="6"/>
      <c r="B2350" s="7"/>
      <c r="C2350" s="6"/>
      <c r="D2350" s="7"/>
      <c r="E2350" s="6"/>
      <c r="F2350" s="7"/>
      <c r="G2350" s="6"/>
      <c r="H2350" s="7"/>
      <c r="I2350" s="6"/>
      <c r="J2350" s="7"/>
      <c r="K2350" s="96" t="str">
        <f>HYPERLINK("#'Healthcare'!CLJ1","Q6.17.26_3")</f>
        <v>Q6.17.26_3</v>
      </c>
      <c r="L2350" s="93" t="str">
        <f>HYPERLINK("#'Healthcare'!CLJ2","Primary indemnity dental plan: In-network basic services - coinsurance")</f>
        <v>Primary indemnity dental plan: In-network basic services - coinsurance</v>
      </c>
      <c r="M2350" s="6"/>
      <c r="N2350" s="7"/>
      <c r="O2350" s="6"/>
      <c r="P2350" s="7"/>
      <c r="Q2350" s="6"/>
      <c r="R2350" s="7"/>
      <c r="S2350" s="6"/>
      <c r="T2350" s="7"/>
      <c r="U2350" s="6"/>
      <c r="V2350" s="7"/>
      <c r="W2350" s="6"/>
      <c r="X2350" s="7"/>
    </row>
    <row r="2351" spans="1:24" ht="25.5" x14ac:dyDescent="0.2">
      <c r="A2351" s="6"/>
      <c r="B2351" s="7"/>
      <c r="C2351" s="6"/>
      <c r="D2351" s="7"/>
      <c r="E2351" s="6"/>
      <c r="F2351" s="7"/>
      <c r="G2351" s="6"/>
      <c r="H2351" s="7"/>
      <c r="I2351" s="6"/>
      <c r="J2351" s="7"/>
      <c r="K2351" s="96" t="str">
        <f>HYPERLINK("#'Healthcare'!CLK1","Q6.17.26_4")</f>
        <v>Q6.17.26_4</v>
      </c>
      <c r="L2351" s="93" t="str">
        <f>HYPERLINK("#'Healthcare'!CLK2","Primary indemnity dental plan: Out-of-network basic services - coinsurance")</f>
        <v>Primary indemnity dental plan: Out-of-network basic services - coinsurance</v>
      </c>
      <c r="M2351" s="6"/>
      <c r="N2351" s="7"/>
      <c r="O2351" s="6"/>
      <c r="P2351" s="7"/>
      <c r="Q2351" s="6"/>
      <c r="R2351" s="7"/>
      <c r="S2351" s="6"/>
      <c r="T2351" s="7"/>
      <c r="U2351" s="6"/>
      <c r="V2351" s="7"/>
      <c r="W2351" s="6"/>
      <c r="X2351" s="7"/>
    </row>
    <row r="2352" spans="1:24" ht="25.5" x14ac:dyDescent="0.2">
      <c r="A2352" s="6"/>
      <c r="B2352" s="7"/>
      <c r="C2352" s="6"/>
      <c r="D2352" s="7"/>
      <c r="E2352" s="6"/>
      <c r="F2352" s="7"/>
      <c r="G2352" s="6"/>
      <c r="H2352" s="7"/>
      <c r="I2352" s="6"/>
      <c r="J2352" s="7"/>
      <c r="K2352" s="96" t="str">
        <f>HYPERLINK("#'Healthcare'!CLL1","Q6.17.26_5")</f>
        <v>Q6.17.26_5</v>
      </c>
      <c r="L2352" s="93" t="str">
        <f>HYPERLINK("#'Healthcare'!CLL2","Primary indemnity dental plan: In-network major services - coinsurance")</f>
        <v>Primary indemnity dental plan: In-network major services - coinsurance</v>
      </c>
      <c r="M2352" s="6"/>
      <c r="N2352" s="7"/>
      <c r="O2352" s="6"/>
      <c r="P2352" s="7"/>
      <c r="Q2352" s="6"/>
      <c r="R2352" s="7"/>
      <c r="S2352" s="6"/>
      <c r="T2352" s="7"/>
      <c r="U2352" s="6"/>
      <c r="V2352" s="7"/>
      <c r="W2352" s="6"/>
      <c r="X2352" s="7"/>
    </row>
    <row r="2353" spans="1:24" ht="25.5" x14ac:dyDescent="0.2">
      <c r="A2353" s="6"/>
      <c r="B2353" s="7"/>
      <c r="C2353" s="6"/>
      <c r="D2353" s="7"/>
      <c r="E2353" s="6"/>
      <c r="F2353" s="7"/>
      <c r="G2353" s="6"/>
      <c r="H2353" s="7"/>
      <c r="I2353" s="6"/>
      <c r="J2353" s="7"/>
      <c r="K2353" s="96" t="str">
        <f>HYPERLINK("#'Healthcare'!CLM1","Q6.17.26_6")</f>
        <v>Q6.17.26_6</v>
      </c>
      <c r="L2353" s="93" t="str">
        <f>HYPERLINK("#'Healthcare'!CLM2","Primary indemnity dental plan: Out-of-network major services - coinsurance")</f>
        <v>Primary indemnity dental plan: Out-of-network major services - coinsurance</v>
      </c>
      <c r="M2353" s="6"/>
      <c r="N2353" s="7"/>
      <c r="O2353" s="6"/>
      <c r="P2353" s="7"/>
      <c r="Q2353" s="6"/>
      <c r="R2353" s="7"/>
      <c r="S2353" s="6"/>
      <c r="T2353" s="7"/>
      <c r="U2353" s="6"/>
      <c r="V2353" s="7"/>
      <c r="W2353" s="6"/>
      <c r="X2353" s="7"/>
    </row>
    <row r="2354" spans="1:24" ht="25.5" x14ac:dyDescent="0.2">
      <c r="A2354" s="6"/>
      <c r="B2354" s="7"/>
      <c r="C2354" s="6"/>
      <c r="D2354" s="7"/>
      <c r="E2354" s="6"/>
      <c r="F2354" s="7"/>
      <c r="G2354" s="6"/>
      <c r="H2354" s="7"/>
      <c r="I2354" s="6"/>
      <c r="J2354" s="7"/>
      <c r="K2354" s="96" t="str">
        <f>HYPERLINK("#'Healthcare'!CLN1","Q6.17.26_7")</f>
        <v>Q6.17.26_7</v>
      </c>
      <c r="L2354" s="93" t="str">
        <f>HYPERLINK("#'Healthcare'!CLN2","Primary indemnity dental plan: In-network orthodontia - coinsurance")</f>
        <v>Primary indemnity dental plan: In-network orthodontia - coinsurance</v>
      </c>
      <c r="M2354" s="6"/>
      <c r="N2354" s="7"/>
      <c r="O2354" s="6"/>
      <c r="P2354" s="7"/>
      <c r="Q2354" s="6"/>
      <c r="R2354" s="7"/>
      <c r="S2354" s="6"/>
      <c r="T2354" s="7"/>
      <c r="U2354" s="6"/>
      <c r="V2354" s="7"/>
      <c r="W2354" s="6"/>
      <c r="X2354" s="7"/>
    </row>
    <row r="2355" spans="1:24" ht="25.5" x14ac:dyDescent="0.2">
      <c r="A2355" s="6"/>
      <c r="B2355" s="7"/>
      <c r="C2355" s="6"/>
      <c r="D2355" s="7"/>
      <c r="E2355" s="6"/>
      <c r="F2355" s="7"/>
      <c r="G2355" s="6"/>
      <c r="H2355" s="7"/>
      <c r="I2355" s="6"/>
      <c r="J2355" s="7"/>
      <c r="K2355" s="96" t="str">
        <f>HYPERLINK("#'Healthcare'!CLO1","Q6.17.26_8")</f>
        <v>Q6.17.26_8</v>
      </c>
      <c r="L2355" s="93" t="str">
        <f>HYPERLINK("#'Healthcare'!CLO2","Primary indemnity dental plan: Out-of-network orthodontia - coinsurance")</f>
        <v>Primary indemnity dental plan: Out-of-network orthodontia - coinsurance</v>
      </c>
      <c r="M2355" s="6"/>
      <c r="N2355" s="7"/>
      <c r="O2355" s="6"/>
      <c r="P2355" s="7"/>
      <c r="Q2355" s="6"/>
      <c r="R2355" s="7"/>
      <c r="S2355" s="6"/>
      <c r="T2355" s="7"/>
      <c r="U2355" s="6"/>
      <c r="V2355" s="7"/>
      <c r="W2355" s="6"/>
      <c r="X2355" s="7"/>
    </row>
    <row r="2356" spans="1:24" ht="25.5" x14ac:dyDescent="0.2">
      <c r="A2356" s="6"/>
      <c r="B2356" s="7"/>
      <c r="C2356" s="6"/>
      <c r="D2356" s="7"/>
      <c r="E2356" s="6"/>
      <c r="F2356" s="7"/>
      <c r="G2356" s="6"/>
      <c r="H2356" s="7"/>
      <c r="I2356" s="6"/>
      <c r="J2356" s="7"/>
      <c r="K2356" s="96" t="str">
        <f>HYPERLINK("#'Healthcare'!CLP1","Q6.17.27")</f>
        <v>Q6.17.27</v>
      </c>
      <c r="L2356" s="93" t="str">
        <f>HYPERLINK("#'Healthcare'!CLP2","Primary indemnity dental plan: dental services applied to maximum annual/calendar year limit")</f>
        <v>Primary indemnity dental plan: dental services applied to maximum annual/calendar year limit</v>
      </c>
      <c r="M2356" s="6"/>
      <c r="N2356" s="7"/>
      <c r="O2356" s="6"/>
      <c r="P2356" s="7"/>
      <c r="Q2356" s="6"/>
      <c r="R2356" s="7"/>
      <c r="S2356" s="6"/>
      <c r="T2356" s="7"/>
      <c r="U2356" s="6"/>
      <c r="V2356" s="7"/>
      <c r="W2356" s="6"/>
      <c r="X2356" s="7"/>
    </row>
    <row r="2357" spans="1:24" ht="25.5" x14ac:dyDescent="0.2">
      <c r="A2357" s="6"/>
      <c r="B2357" s="7"/>
      <c r="C2357" s="6"/>
      <c r="D2357" s="7"/>
      <c r="E2357" s="6"/>
      <c r="F2357" s="7"/>
      <c r="G2357" s="6"/>
      <c r="H2357" s="7"/>
      <c r="I2357" s="6"/>
      <c r="J2357" s="7"/>
      <c r="K2357" s="96" t="str">
        <f>HYPERLINK("#'Healthcare'!CLQ1","Q6.17.28")</f>
        <v>Q6.17.28</v>
      </c>
      <c r="L2357" s="93" t="str">
        <f>HYPERLINK("#'Healthcare'!CLQ2","Primary indemnity dental plan: Orthodontia coverage eligibility")</f>
        <v>Primary indemnity dental plan: Orthodontia coverage eligibility</v>
      </c>
      <c r="M2357" s="6"/>
      <c r="N2357" s="7"/>
      <c r="O2357" s="6"/>
      <c r="P2357" s="7"/>
      <c r="Q2357" s="6"/>
      <c r="R2357" s="7"/>
      <c r="S2357" s="6"/>
      <c r="T2357" s="7"/>
      <c r="U2357" s="6"/>
      <c r="V2357" s="7"/>
      <c r="W2357" s="6"/>
      <c r="X2357" s="7"/>
    </row>
    <row r="2358" spans="1:24" ht="25.5" x14ac:dyDescent="0.2">
      <c r="A2358" s="6"/>
      <c r="B2358" s="7"/>
      <c r="C2358" s="6"/>
      <c r="D2358" s="7"/>
      <c r="E2358" s="6"/>
      <c r="F2358" s="7"/>
      <c r="G2358" s="6"/>
      <c r="H2358" s="7"/>
      <c r="I2358" s="6"/>
      <c r="J2358" s="7"/>
      <c r="K2358" s="96" t="str">
        <f>HYPERLINK("#'Healthcare'!CLR1","Q6.17.29")</f>
        <v>Q6.17.29</v>
      </c>
      <c r="L2358" s="93" t="str">
        <f>HYPERLINK("#'Healthcare'!CLR2","Primary indemnity dental plan: Services covered under dental plan")</f>
        <v>Primary indemnity dental plan: Services covered under dental plan</v>
      </c>
      <c r="M2358" s="6"/>
      <c r="N2358" s="7"/>
      <c r="O2358" s="6"/>
      <c r="P2358" s="7"/>
      <c r="Q2358" s="6"/>
      <c r="R2358" s="7"/>
      <c r="S2358" s="6"/>
      <c r="T2358" s="7"/>
      <c r="U2358" s="6"/>
      <c r="V2358" s="7"/>
      <c r="W2358" s="6"/>
      <c r="X2358" s="7"/>
    </row>
    <row r="2359" spans="1:24" ht="25.5" x14ac:dyDescent="0.2">
      <c r="A2359" s="6"/>
      <c r="B2359" s="7"/>
      <c r="C2359" s="6"/>
      <c r="D2359" s="7"/>
      <c r="E2359" s="6"/>
      <c r="F2359" s="7"/>
      <c r="G2359" s="6"/>
      <c r="H2359" s="7"/>
      <c r="I2359" s="6"/>
      <c r="J2359" s="7"/>
      <c r="K2359" s="96" t="str">
        <f>HYPERLINK("#'Healthcare'!CLS1","Q6.17.30_1")</f>
        <v>Q6.17.30_1</v>
      </c>
      <c r="L2359" s="93" t="str">
        <f>HYPERLINK("#'Healthcare'!CLS2","Primary indemnity dental plan: Service category: Amalgam fillings")</f>
        <v>Primary indemnity dental plan: Service category: Amalgam fillings</v>
      </c>
      <c r="M2359" s="6"/>
      <c r="N2359" s="7"/>
      <c r="O2359" s="6"/>
      <c r="P2359" s="7"/>
      <c r="Q2359" s="6"/>
      <c r="R2359" s="7"/>
      <c r="S2359" s="6"/>
      <c r="T2359" s="7"/>
      <c r="U2359" s="6"/>
      <c r="V2359" s="7"/>
      <c r="W2359" s="6"/>
      <c r="X2359" s="7"/>
    </row>
    <row r="2360" spans="1:24" ht="25.5" x14ac:dyDescent="0.2">
      <c r="A2360" s="6"/>
      <c r="B2360" s="7"/>
      <c r="C2360" s="6"/>
      <c r="D2360" s="7"/>
      <c r="E2360" s="6"/>
      <c r="F2360" s="7"/>
      <c r="G2360" s="6"/>
      <c r="H2360" s="7"/>
      <c r="I2360" s="6"/>
      <c r="J2360" s="7"/>
      <c r="K2360" s="96" t="str">
        <f>HYPERLINK("#'Healthcare'!CLT1","Q6.17.30_2")</f>
        <v>Q6.17.30_2</v>
      </c>
      <c r="L2360" s="93" t="str">
        <f>HYPERLINK("#'Healthcare'!CLT2","Primary indemnity dental plan: Service category: Anesthesia/sedation")</f>
        <v>Primary indemnity dental plan: Service category: Anesthesia/sedation</v>
      </c>
      <c r="M2360" s="6"/>
      <c r="N2360" s="7"/>
      <c r="O2360" s="6"/>
      <c r="P2360" s="7"/>
      <c r="Q2360" s="6"/>
      <c r="R2360" s="7"/>
      <c r="S2360" s="6"/>
      <c r="T2360" s="7"/>
      <c r="U2360" s="6"/>
      <c r="V2360" s="7"/>
      <c r="W2360" s="6"/>
      <c r="X2360" s="7"/>
    </row>
    <row r="2361" spans="1:24" ht="25.5" x14ac:dyDescent="0.2">
      <c r="A2361" s="6"/>
      <c r="B2361" s="7"/>
      <c r="C2361" s="6"/>
      <c r="D2361" s="7"/>
      <c r="E2361" s="6"/>
      <c r="F2361" s="7"/>
      <c r="G2361" s="6"/>
      <c r="H2361" s="7"/>
      <c r="I2361" s="6"/>
      <c r="J2361" s="7"/>
      <c r="K2361" s="96" t="str">
        <f>HYPERLINK("#'Healthcare'!CLU1","Q6.17.30_3")</f>
        <v>Q6.17.30_3</v>
      </c>
      <c r="L2361" s="93" t="str">
        <f>HYPERLINK("#'Healthcare'!CLU2","Primary indemnity dental plan: Service category: Bridgework")</f>
        <v>Primary indemnity dental plan: Service category: Bridgework</v>
      </c>
      <c r="M2361" s="6"/>
      <c r="N2361" s="7"/>
      <c r="O2361" s="6"/>
      <c r="P2361" s="7"/>
      <c r="Q2361" s="6"/>
      <c r="R2361" s="7"/>
      <c r="S2361" s="6"/>
      <c r="T2361" s="7"/>
      <c r="U2361" s="6"/>
      <c r="V2361" s="7"/>
      <c r="W2361" s="6"/>
      <c r="X2361" s="7"/>
    </row>
    <row r="2362" spans="1:24" ht="25.5" x14ac:dyDescent="0.2">
      <c r="A2362" s="6"/>
      <c r="B2362" s="7"/>
      <c r="C2362" s="6"/>
      <c r="D2362" s="7"/>
      <c r="E2362" s="6"/>
      <c r="F2362" s="7"/>
      <c r="G2362" s="6"/>
      <c r="H2362" s="7"/>
      <c r="I2362" s="6"/>
      <c r="J2362" s="7"/>
      <c r="K2362" s="96" t="str">
        <f>HYPERLINK("#'Healthcare'!CLV1","Q6.17.30_4")</f>
        <v>Q6.17.30_4</v>
      </c>
      <c r="L2362" s="93" t="str">
        <f>HYPERLINK("#'Healthcare'!CLV2","Primary indemnity dental plan: Service category: Cleanings (prophylaxis)")</f>
        <v>Primary indemnity dental plan: Service category: Cleanings (prophylaxis)</v>
      </c>
      <c r="M2362" s="6"/>
      <c r="N2362" s="7"/>
      <c r="O2362" s="6"/>
      <c r="P2362" s="7"/>
      <c r="Q2362" s="6"/>
      <c r="R2362" s="7"/>
      <c r="S2362" s="6"/>
      <c r="T2362" s="7"/>
      <c r="U2362" s="6"/>
      <c r="V2362" s="7"/>
      <c r="W2362" s="6"/>
      <c r="X2362" s="7"/>
    </row>
    <row r="2363" spans="1:24" ht="25.5" x14ac:dyDescent="0.2">
      <c r="A2363" s="6"/>
      <c r="B2363" s="7"/>
      <c r="C2363" s="6"/>
      <c r="D2363" s="7"/>
      <c r="E2363" s="6"/>
      <c r="F2363" s="7"/>
      <c r="G2363" s="6"/>
      <c r="H2363" s="7"/>
      <c r="I2363" s="6"/>
      <c r="J2363" s="7"/>
      <c r="K2363" s="96" t="str">
        <f>HYPERLINK("#'Healthcare'!CLW1","Q6.17.30_5")</f>
        <v>Q6.17.30_5</v>
      </c>
      <c r="L2363" s="93" t="str">
        <f>HYPERLINK("#'Healthcare'!CLW2","Primary indemnity dental plan: Service category: Composite fillings (white fillings)")</f>
        <v>Primary indemnity dental plan: Service category: Composite fillings (white fillings)</v>
      </c>
      <c r="M2363" s="6"/>
      <c r="N2363" s="7"/>
      <c r="O2363" s="6"/>
      <c r="P2363" s="7"/>
      <c r="Q2363" s="6"/>
      <c r="R2363" s="7"/>
      <c r="S2363" s="6"/>
      <c r="T2363" s="7"/>
      <c r="U2363" s="6"/>
      <c r="V2363" s="7"/>
      <c r="W2363" s="6"/>
      <c r="X2363" s="7"/>
    </row>
    <row r="2364" spans="1:24" ht="25.5" x14ac:dyDescent="0.2">
      <c r="A2364" s="6"/>
      <c r="B2364" s="7"/>
      <c r="C2364" s="6"/>
      <c r="D2364" s="7"/>
      <c r="E2364" s="6"/>
      <c r="F2364" s="7"/>
      <c r="G2364" s="6"/>
      <c r="H2364" s="7"/>
      <c r="I2364" s="6"/>
      <c r="J2364" s="7"/>
      <c r="K2364" s="96" t="str">
        <f>HYPERLINK("#'Healthcare'!CLX1","Q6.17.30_6")</f>
        <v>Q6.17.30_6</v>
      </c>
      <c r="L2364" s="93" t="str">
        <f>HYPERLINK("#'Healthcare'!CLX2","Primary indemnity dental plan: Service category: Crowns")</f>
        <v>Primary indemnity dental plan: Service category: Crowns</v>
      </c>
      <c r="M2364" s="6"/>
      <c r="N2364" s="7"/>
      <c r="O2364" s="6"/>
      <c r="P2364" s="7"/>
      <c r="Q2364" s="6"/>
      <c r="R2364" s="7"/>
      <c r="S2364" s="6"/>
      <c r="T2364" s="7"/>
      <c r="U2364" s="6"/>
      <c r="V2364" s="7"/>
      <c r="W2364" s="6"/>
      <c r="X2364" s="7"/>
    </row>
    <row r="2365" spans="1:24" ht="25.5" x14ac:dyDescent="0.2">
      <c r="A2365" s="6"/>
      <c r="B2365" s="7"/>
      <c r="C2365" s="6"/>
      <c r="D2365" s="7"/>
      <c r="E2365" s="6"/>
      <c r="F2365" s="7"/>
      <c r="G2365" s="6"/>
      <c r="H2365" s="7"/>
      <c r="I2365" s="6"/>
      <c r="J2365" s="7"/>
      <c r="K2365" s="96" t="str">
        <f>HYPERLINK("#'Healthcare'!CLY1","Q6.17.30_7")</f>
        <v>Q6.17.30_7</v>
      </c>
      <c r="L2365" s="93" t="str">
        <f>HYPERLINK("#'Healthcare'!CLY2","Primary indemnity dental plan: Service category: Denture repair")</f>
        <v>Primary indemnity dental plan: Service category: Denture repair</v>
      </c>
      <c r="M2365" s="6"/>
      <c r="N2365" s="7"/>
      <c r="O2365" s="6"/>
      <c r="P2365" s="7"/>
      <c r="Q2365" s="6"/>
      <c r="R2365" s="7"/>
      <c r="S2365" s="6"/>
      <c r="T2365" s="7"/>
      <c r="U2365" s="6"/>
      <c r="V2365" s="7"/>
      <c r="W2365" s="6"/>
      <c r="X2365" s="7"/>
    </row>
    <row r="2366" spans="1:24" ht="25.5" x14ac:dyDescent="0.2">
      <c r="A2366" s="6"/>
      <c r="B2366" s="7"/>
      <c r="C2366" s="6"/>
      <c r="D2366" s="7"/>
      <c r="E2366" s="6"/>
      <c r="F2366" s="7"/>
      <c r="G2366" s="6"/>
      <c r="H2366" s="7"/>
      <c r="I2366" s="6"/>
      <c r="J2366" s="7"/>
      <c r="K2366" s="96" t="str">
        <f>HYPERLINK("#'Healthcare'!CLZ1","Q6.17.30_8")</f>
        <v>Q6.17.30_8</v>
      </c>
      <c r="L2366" s="93" t="str">
        <f>HYPERLINK("#'Healthcare'!CLZ2","Primary indemnity dental plan: Service category: Dentures (relines &amp; rebases)")</f>
        <v>Primary indemnity dental plan: Service category: Dentures (relines &amp; rebases)</v>
      </c>
      <c r="M2366" s="6"/>
      <c r="N2366" s="7"/>
      <c r="O2366" s="6"/>
      <c r="P2366" s="7"/>
      <c r="Q2366" s="6"/>
      <c r="R2366" s="7"/>
      <c r="S2366" s="6"/>
      <c r="T2366" s="7"/>
      <c r="U2366" s="6"/>
      <c r="V2366" s="7"/>
      <c r="W2366" s="6"/>
      <c r="X2366" s="7"/>
    </row>
    <row r="2367" spans="1:24" ht="25.5" x14ac:dyDescent="0.2">
      <c r="A2367" s="6"/>
      <c r="B2367" s="7"/>
      <c r="C2367" s="6"/>
      <c r="D2367" s="7"/>
      <c r="E2367" s="6"/>
      <c r="F2367" s="7"/>
      <c r="G2367" s="6"/>
      <c r="H2367" s="7"/>
      <c r="I2367" s="6"/>
      <c r="J2367" s="7"/>
      <c r="K2367" s="96" t="str">
        <f>HYPERLINK("#'Healthcare'!CMA1","Q6.17.30_9")</f>
        <v>Q6.17.30_9</v>
      </c>
      <c r="L2367" s="93" t="str">
        <f>HYPERLINK("#'Healthcare'!CMA2","Primary indemnity dental plan: Service category: Dentures (removable &amp; Partial)")</f>
        <v>Primary indemnity dental plan: Service category: Dentures (removable &amp; Partial)</v>
      </c>
      <c r="M2367" s="6"/>
      <c r="N2367" s="7"/>
      <c r="O2367" s="6"/>
      <c r="P2367" s="7"/>
      <c r="Q2367" s="6"/>
      <c r="R2367" s="7"/>
      <c r="S2367" s="6"/>
      <c r="T2367" s="7"/>
      <c r="U2367" s="6"/>
      <c r="V2367" s="7"/>
      <c r="W2367" s="6"/>
      <c r="X2367" s="7"/>
    </row>
    <row r="2368" spans="1:24" ht="25.5" x14ac:dyDescent="0.2">
      <c r="A2368" s="6"/>
      <c r="B2368" s="7"/>
      <c r="C2368" s="6"/>
      <c r="D2368" s="7"/>
      <c r="E2368" s="6"/>
      <c r="F2368" s="7"/>
      <c r="G2368" s="6"/>
      <c r="H2368" s="7"/>
      <c r="I2368" s="6"/>
      <c r="J2368" s="7"/>
      <c r="K2368" s="96" t="str">
        <f>HYPERLINK("#'Healthcare'!CMB1","Q6.17.30_10")</f>
        <v>Q6.17.30_10</v>
      </c>
      <c r="L2368" s="93" t="str">
        <f>HYPERLINK("#'Healthcare'!CMB2","Primary indemnity dental plan: Service category: Examinations (non-routine)")</f>
        <v>Primary indemnity dental plan: Service category: Examinations (non-routine)</v>
      </c>
      <c r="M2368" s="6"/>
      <c r="N2368" s="7"/>
      <c r="O2368" s="6"/>
      <c r="P2368" s="7"/>
      <c r="Q2368" s="6"/>
      <c r="R2368" s="7"/>
      <c r="S2368" s="6"/>
      <c r="T2368" s="7"/>
      <c r="U2368" s="6"/>
      <c r="V2368" s="7"/>
      <c r="W2368" s="6"/>
      <c r="X2368" s="7"/>
    </row>
    <row r="2369" spans="1:24" ht="25.5" x14ac:dyDescent="0.2">
      <c r="A2369" s="6"/>
      <c r="B2369" s="7"/>
      <c r="C2369" s="6"/>
      <c r="D2369" s="7"/>
      <c r="E2369" s="6"/>
      <c r="F2369" s="7"/>
      <c r="G2369" s="6"/>
      <c r="H2369" s="7"/>
      <c r="I2369" s="6"/>
      <c r="J2369" s="7"/>
      <c r="K2369" s="96" t="str">
        <f>HYPERLINK("#'Healthcare'!CMC1","Q6.17.30_11")</f>
        <v>Q6.17.30_11</v>
      </c>
      <c r="L2369" s="93" t="str">
        <f>HYPERLINK("#'Healthcare'!CMC2","Primary indemnity dental plan: Service category: Examinations (routine)")</f>
        <v>Primary indemnity dental plan: Service category: Examinations (routine)</v>
      </c>
      <c r="M2369" s="6"/>
      <c r="N2369" s="7"/>
      <c r="O2369" s="6"/>
      <c r="P2369" s="7"/>
      <c r="Q2369" s="6"/>
      <c r="R2369" s="7"/>
      <c r="S2369" s="6"/>
      <c r="T2369" s="7"/>
      <c r="U2369" s="6"/>
      <c r="V2369" s="7"/>
      <c r="W2369" s="6"/>
      <c r="X2369" s="7"/>
    </row>
    <row r="2370" spans="1:24" ht="25.5" x14ac:dyDescent="0.2">
      <c r="A2370" s="6"/>
      <c r="B2370" s="7"/>
      <c r="C2370" s="6"/>
      <c r="D2370" s="7"/>
      <c r="E2370" s="6"/>
      <c r="F2370" s="7"/>
      <c r="G2370" s="6"/>
      <c r="H2370" s="7"/>
      <c r="I2370" s="6"/>
      <c r="J2370" s="7"/>
      <c r="K2370" s="96" t="str">
        <f>HYPERLINK("#'Healthcare'!CMD1","Q6.17.30_12")</f>
        <v>Q6.17.30_12</v>
      </c>
      <c r="L2370" s="93" t="str">
        <f>HYPERLINK("#'Healthcare'!CMD2","Primary indemnity dental plan: Service category: Fluoride treatments")</f>
        <v>Primary indemnity dental plan: Service category: Fluoride treatments</v>
      </c>
      <c r="M2370" s="6"/>
      <c r="N2370" s="7"/>
      <c r="O2370" s="6"/>
      <c r="P2370" s="7"/>
      <c r="Q2370" s="6"/>
      <c r="R2370" s="7"/>
      <c r="S2370" s="6"/>
      <c r="T2370" s="7"/>
      <c r="U2370" s="6"/>
      <c r="V2370" s="7"/>
      <c r="W2370" s="6"/>
      <c r="X2370" s="7"/>
    </row>
    <row r="2371" spans="1:24" ht="25.5" x14ac:dyDescent="0.2">
      <c r="A2371" s="6"/>
      <c r="B2371" s="7"/>
      <c r="C2371" s="6"/>
      <c r="D2371" s="7"/>
      <c r="E2371" s="6"/>
      <c r="F2371" s="7"/>
      <c r="G2371" s="6"/>
      <c r="H2371" s="7"/>
      <c r="I2371" s="6"/>
      <c r="J2371" s="7"/>
      <c r="K2371" s="96" t="str">
        <f>HYPERLINK("#'Healthcare'!CME1","Q6.17.30_13")</f>
        <v>Q6.17.30_13</v>
      </c>
      <c r="L2371" s="93" t="str">
        <f>HYPERLINK("#'Healthcare'!CME2","Primary indemnity dental plan: Service category: Implants")</f>
        <v>Primary indemnity dental plan: Service category: Implants</v>
      </c>
      <c r="M2371" s="6"/>
      <c r="N2371" s="7"/>
      <c r="O2371" s="6"/>
      <c r="P2371" s="7"/>
      <c r="Q2371" s="6"/>
      <c r="R2371" s="7"/>
      <c r="S2371" s="6"/>
      <c r="T2371" s="7"/>
      <c r="U2371" s="6"/>
      <c r="V2371" s="7"/>
      <c r="W2371" s="6"/>
      <c r="X2371" s="7"/>
    </row>
    <row r="2372" spans="1:24" ht="25.5" x14ac:dyDescent="0.2">
      <c r="A2372" s="6"/>
      <c r="B2372" s="7"/>
      <c r="C2372" s="6"/>
      <c r="D2372" s="7"/>
      <c r="E2372" s="6"/>
      <c r="F2372" s="7"/>
      <c r="G2372" s="6"/>
      <c r="H2372" s="7"/>
      <c r="I2372" s="6"/>
      <c r="J2372" s="7"/>
      <c r="K2372" s="96" t="str">
        <f>HYPERLINK("#'Healthcare'!CMF1","Q6.17.30_14")</f>
        <v>Q6.17.30_14</v>
      </c>
      <c r="L2372" s="93" t="str">
        <f>HYPERLINK("#'Healthcare'!CMF2","Primary indemnity dental plan: Service category: Inlays &amp; onlays")</f>
        <v>Primary indemnity dental plan: Service category: Inlays &amp; onlays</v>
      </c>
      <c r="M2372" s="6"/>
      <c r="N2372" s="7"/>
      <c r="O2372" s="6"/>
      <c r="P2372" s="7"/>
      <c r="Q2372" s="6"/>
      <c r="R2372" s="7"/>
      <c r="S2372" s="6"/>
      <c r="T2372" s="7"/>
      <c r="U2372" s="6"/>
      <c r="V2372" s="7"/>
      <c r="W2372" s="6"/>
      <c r="X2372" s="7"/>
    </row>
    <row r="2373" spans="1:24" ht="25.5" x14ac:dyDescent="0.2">
      <c r="A2373" s="6"/>
      <c r="B2373" s="7"/>
      <c r="C2373" s="6"/>
      <c r="D2373" s="7"/>
      <c r="E2373" s="6"/>
      <c r="F2373" s="7"/>
      <c r="G2373" s="6"/>
      <c r="H2373" s="7"/>
      <c r="I2373" s="6"/>
      <c r="J2373" s="7"/>
      <c r="K2373" s="96" t="str">
        <f>HYPERLINK("#'Healthcare'!CMG1","Q6.17.30_15")</f>
        <v>Q6.17.30_15</v>
      </c>
      <c r="L2373" s="93" t="str">
        <f>HYPERLINK("#'Healthcare'!CMG2","Primary indemnity dental plan: Service category: Night guards")</f>
        <v>Primary indemnity dental plan: Service category: Night guards</v>
      </c>
      <c r="M2373" s="6"/>
      <c r="N2373" s="7"/>
      <c r="O2373" s="6"/>
      <c r="P2373" s="7"/>
      <c r="Q2373" s="6"/>
      <c r="R2373" s="7"/>
      <c r="S2373" s="6"/>
      <c r="T2373" s="7"/>
      <c r="U2373" s="6"/>
      <c r="V2373" s="7"/>
      <c r="W2373" s="6"/>
      <c r="X2373" s="7"/>
    </row>
    <row r="2374" spans="1:24" ht="25.5" x14ac:dyDescent="0.2">
      <c r="A2374" s="6"/>
      <c r="B2374" s="7"/>
      <c r="C2374" s="6"/>
      <c r="D2374" s="7"/>
      <c r="E2374" s="6"/>
      <c r="F2374" s="7"/>
      <c r="G2374" s="6"/>
      <c r="H2374" s="7"/>
      <c r="I2374" s="6"/>
      <c r="J2374" s="7"/>
      <c r="K2374" s="96" t="str">
        <f>HYPERLINK("#'Healthcare'!CMH1","Q6.17.30_16")</f>
        <v>Q6.17.30_16</v>
      </c>
      <c r="L2374" s="93" t="str">
        <f>HYPERLINK("#'Healthcare'!CMH2","Primary indemnity dental plan: Service category: Oral surgery")</f>
        <v>Primary indemnity dental plan: Service category: Oral surgery</v>
      </c>
      <c r="M2374" s="6"/>
      <c r="N2374" s="7"/>
      <c r="O2374" s="6"/>
      <c r="P2374" s="7"/>
      <c r="Q2374" s="6"/>
      <c r="R2374" s="7"/>
      <c r="S2374" s="6"/>
      <c r="T2374" s="7"/>
      <c r="U2374" s="6"/>
      <c r="V2374" s="7"/>
      <c r="W2374" s="6"/>
      <c r="X2374" s="7"/>
    </row>
    <row r="2375" spans="1:24" ht="25.5" x14ac:dyDescent="0.2">
      <c r="A2375" s="6"/>
      <c r="B2375" s="7"/>
      <c r="C2375" s="6"/>
      <c r="D2375" s="7"/>
      <c r="E2375" s="6"/>
      <c r="F2375" s="7"/>
      <c r="G2375" s="6"/>
      <c r="H2375" s="7"/>
      <c r="I2375" s="6"/>
      <c r="J2375" s="7"/>
      <c r="K2375" s="96" t="str">
        <f>HYPERLINK("#'Healthcare'!CMI1","Q6.17.30_17")</f>
        <v>Q6.17.30_17</v>
      </c>
      <c r="L2375" s="93" t="str">
        <f>HYPERLINK("#'Healthcare'!CMI2","Primary indemnity dental plan: Service category: Orthodontia")</f>
        <v>Primary indemnity dental plan: Service category: Orthodontia</v>
      </c>
      <c r="M2375" s="6"/>
      <c r="N2375" s="7"/>
      <c r="O2375" s="6"/>
      <c r="P2375" s="7"/>
      <c r="Q2375" s="6"/>
      <c r="R2375" s="7"/>
      <c r="S2375" s="6"/>
      <c r="T2375" s="7"/>
      <c r="U2375" s="6"/>
      <c r="V2375" s="7"/>
      <c r="W2375" s="6"/>
      <c r="X2375" s="7"/>
    </row>
    <row r="2376" spans="1:24" ht="25.5" x14ac:dyDescent="0.2">
      <c r="A2376" s="6"/>
      <c r="B2376" s="7"/>
      <c r="C2376" s="6"/>
      <c r="D2376" s="7"/>
      <c r="E2376" s="6"/>
      <c r="F2376" s="7"/>
      <c r="G2376" s="6"/>
      <c r="H2376" s="7"/>
      <c r="I2376" s="6"/>
      <c r="J2376" s="7"/>
      <c r="K2376" s="96" t="str">
        <f>HYPERLINK("#'Healthcare'!CMJ1","Q6.17.30_18")</f>
        <v>Q6.17.30_18</v>
      </c>
      <c r="L2376" s="93" t="str">
        <f>HYPERLINK("#'Healthcare'!CMJ2","Primary indemnity dental plan: Service category: Periodontal scaling &amp; root planing")</f>
        <v>Primary indemnity dental plan: Service category: Periodontal scaling &amp; root planing</v>
      </c>
      <c r="M2376" s="6"/>
      <c r="N2376" s="7"/>
      <c r="O2376" s="6"/>
      <c r="P2376" s="7"/>
      <c r="Q2376" s="6"/>
      <c r="R2376" s="7"/>
      <c r="S2376" s="6"/>
      <c r="T2376" s="7"/>
      <c r="U2376" s="6"/>
      <c r="V2376" s="7"/>
      <c r="W2376" s="6"/>
      <c r="X2376" s="7"/>
    </row>
    <row r="2377" spans="1:24" ht="25.5" x14ac:dyDescent="0.2">
      <c r="A2377" s="6"/>
      <c r="B2377" s="7"/>
      <c r="C2377" s="6"/>
      <c r="D2377" s="7"/>
      <c r="E2377" s="6"/>
      <c r="F2377" s="7"/>
      <c r="G2377" s="6"/>
      <c r="H2377" s="7"/>
      <c r="I2377" s="6"/>
      <c r="J2377" s="7"/>
      <c r="K2377" s="96" t="str">
        <f>HYPERLINK("#'Healthcare'!CMK1","Q6.17.30_19")</f>
        <v>Q6.17.30_19</v>
      </c>
      <c r="L2377" s="93" t="str">
        <f>HYPERLINK("#'Healthcare'!CMK2","Primary indemnity dental plan: Service category: Periodontal surgery")</f>
        <v>Primary indemnity dental plan: Service category: Periodontal surgery</v>
      </c>
      <c r="M2377" s="6"/>
      <c r="N2377" s="7"/>
      <c r="O2377" s="6"/>
      <c r="P2377" s="7"/>
      <c r="Q2377" s="6"/>
      <c r="R2377" s="7"/>
      <c r="S2377" s="6"/>
      <c r="T2377" s="7"/>
      <c r="U2377" s="6"/>
      <c r="V2377" s="7"/>
      <c r="W2377" s="6"/>
      <c r="X2377" s="7"/>
    </row>
    <row r="2378" spans="1:24" ht="25.5" x14ac:dyDescent="0.2">
      <c r="A2378" s="6"/>
      <c r="B2378" s="7"/>
      <c r="C2378" s="6"/>
      <c r="D2378" s="7"/>
      <c r="E2378" s="6"/>
      <c r="F2378" s="7"/>
      <c r="G2378" s="6"/>
      <c r="H2378" s="7"/>
      <c r="I2378" s="6"/>
      <c r="J2378" s="7"/>
      <c r="K2378" s="96" t="str">
        <f>HYPERLINK("#'Healthcare'!CML1","Q6.17.30_20")</f>
        <v>Q6.17.30_20</v>
      </c>
      <c r="L2378" s="93" t="str">
        <f>HYPERLINK("#'Healthcare'!CML2","Primary indemnity dental plan: Service category: Root canals")</f>
        <v>Primary indemnity dental plan: Service category: Root canals</v>
      </c>
      <c r="M2378" s="6"/>
      <c r="N2378" s="7"/>
      <c r="O2378" s="6"/>
      <c r="P2378" s="7"/>
      <c r="Q2378" s="6"/>
      <c r="R2378" s="7"/>
      <c r="S2378" s="6"/>
      <c r="T2378" s="7"/>
      <c r="U2378" s="6"/>
      <c r="V2378" s="7"/>
      <c r="W2378" s="6"/>
      <c r="X2378" s="7"/>
    </row>
    <row r="2379" spans="1:24" ht="25.5" x14ac:dyDescent="0.2">
      <c r="A2379" s="6"/>
      <c r="B2379" s="7"/>
      <c r="C2379" s="6"/>
      <c r="D2379" s="7"/>
      <c r="E2379" s="6"/>
      <c r="F2379" s="7"/>
      <c r="G2379" s="6"/>
      <c r="H2379" s="7"/>
      <c r="I2379" s="6"/>
      <c r="J2379" s="7"/>
      <c r="K2379" s="96" t="str">
        <f>HYPERLINK("#'Healthcare'!CMM1","Q6.17.30_21")</f>
        <v>Q6.17.30_21</v>
      </c>
      <c r="L2379" s="93" t="str">
        <f>HYPERLINK("#'Healthcare'!CMM2","Primary indemnity dental plan: Service category: Space maintainers")</f>
        <v>Primary indemnity dental plan: Service category: Space maintainers</v>
      </c>
      <c r="M2379" s="6"/>
      <c r="N2379" s="7"/>
      <c r="O2379" s="6"/>
      <c r="P2379" s="7"/>
      <c r="Q2379" s="6"/>
      <c r="R2379" s="7"/>
      <c r="S2379" s="6"/>
      <c r="T2379" s="7"/>
      <c r="U2379" s="6"/>
      <c r="V2379" s="7"/>
      <c r="W2379" s="6"/>
      <c r="X2379" s="7"/>
    </row>
    <row r="2380" spans="1:24" ht="25.5" x14ac:dyDescent="0.2">
      <c r="A2380" s="6"/>
      <c r="B2380" s="7"/>
      <c r="C2380" s="6"/>
      <c r="D2380" s="7"/>
      <c r="E2380" s="6"/>
      <c r="F2380" s="7"/>
      <c r="G2380" s="6"/>
      <c r="H2380" s="7"/>
      <c r="I2380" s="6"/>
      <c r="J2380" s="7"/>
      <c r="K2380" s="96" t="str">
        <f>HYPERLINK("#'Healthcare'!CMN1","Q6.17.30_22")</f>
        <v>Q6.17.30_22</v>
      </c>
      <c r="L2380" s="93" t="str">
        <f>HYPERLINK("#'Healthcare'!CMN2","Primary indemnity dental plan: Service category: Tooth extractions")</f>
        <v>Primary indemnity dental plan: Service category: Tooth extractions</v>
      </c>
      <c r="M2380" s="6"/>
      <c r="N2380" s="7"/>
      <c r="O2380" s="6"/>
      <c r="P2380" s="7"/>
      <c r="Q2380" s="6"/>
      <c r="R2380" s="7"/>
      <c r="S2380" s="6"/>
      <c r="T2380" s="7"/>
      <c r="U2380" s="6"/>
      <c r="V2380" s="7"/>
      <c r="W2380" s="6"/>
      <c r="X2380" s="7"/>
    </row>
    <row r="2381" spans="1:24" ht="25.5" x14ac:dyDescent="0.2">
      <c r="A2381" s="6"/>
      <c r="B2381" s="7"/>
      <c r="C2381" s="6"/>
      <c r="D2381" s="7"/>
      <c r="E2381" s="6"/>
      <c r="F2381" s="7"/>
      <c r="G2381" s="6"/>
      <c r="H2381" s="7"/>
      <c r="I2381" s="6"/>
      <c r="J2381" s="7"/>
      <c r="K2381" s="96" t="str">
        <f>HYPERLINK("#'Healthcare'!CMO1","Q6.17.30_23")</f>
        <v>Q6.17.30_23</v>
      </c>
      <c r="L2381" s="93" t="str">
        <f>HYPERLINK("#'Healthcare'!CMO2","Primary indemnity dental plan: Service category: Tooth sealants")</f>
        <v>Primary indemnity dental plan: Service category: Tooth sealants</v>
      </c>
      <c r="M2381" s="6"/>
      <c r="N2381" s="7"/>
      <c r="O2381" s="6"/>
      <c r="P2381" s="7"/>
      <c r="Q2381" s="6"/>
      <c r="R2381" s="7"/>
      <c r="S2381" s="6"/>
      <c r="T2381" s="7"/>
      <c r="U2381" s="6"/>
      <c r="V2381" s="7"/>
      <c r="W2381" s="6"/>
      <c r="X2381" s="7"/>
    </row>
    <row r="2382" spans="1:24" ht="25.5" x14ac:dyDescent="0.2">
      <c r="A2382" s="6"/>
      <c r="B2382" s="7"/>
      <c r="C2382" s="6"/>
      <c r="D2382" s="7"/>
      <c r="E2382" s="6"/>
      <c r="F2382" s="7"/>
      <c r="G2382" s="6"/>
      <c r="H2382" s="7"/>
      <c r="I2382" s="6"/>
      <c r="J2382" s="7"/>
      <c r="K2382" s="96" t="str">
        <f>HYPERLINK("#'Healthcare'!CMP1","Q6.17.30_24")</f>
        <v>Q6.17.30_24</v>
      </c>
      <c r="L2382" s="93" t="str">
        <f>HYPERLINK("#'Healthcare'!CMP2","Primary indemnity dental plan: Service category: Topical fluoride treatments")</f>
        <v>Primary indemnity dental plan: Service category: Topical fluoride treatments</v>
      </c>
      <c r="M2382" s="6"/>
      <c r="N2382" s="7"/>
      <c r="O2382" s="6"/>
      <c r="P2382" s="7"/>
      <c r="Q2382" s="6"/>
      <c r="R2382" s="7"/>
      <c r="S2382" s="6"/>
      <c r="T2382" s="7"/>
      <c r="U2382" s="6"/>
      <c r="V2382" s="7"/>
      <c r="W2382" s="6"/>
      <c r="X2382" s="7"/>
    </row>
    <row r="2383" spans="1:24" ht="25.5" x14ac:dyDescent="0.2">
      <c r="A2383" s="6"/>
      <c r="B2383" s="7"/>
      <c r="C2383" s="6"/>
      <c r="D2383" s="7"/>
      <c r="E2383" s="6"/>
      <c r="F2383" s="7"/>
      <c r="G2383" s="6"/>
      <c r="H2383" s="7"/>
      <c r="I2383" s="6"/>
      <c r="J2383" s="7"/>
      <c r="K2383" s="96" t="str">
        <f>HYPERLINK("#'Healthcare'!CMQ1","Q6.17.30_25")</f>
        <v>Q6.17.30_25</v>
      </c>
      <c r="L2383" s="93" t="str">
        <f>HYPERLINK("#'Healthcare'!CMQ2","Primary indemnity dental plan: Service category: X-rays - bitewings")</f>
        <v>Primary indemnity dental plan: Service category: X-rays - bitewings</v>
      </c>
      <c r="M2383" s="6"/>
      <c r="N2383" s="7"/>
      <c r="O2383" s="6"/>
      <c r="P2383" s="7"/>
      <c r="Q2383" s="6"/>
      <c r="R2383" s="7"/>
      <c r="S2383" s="6"/>
      <c r="T2383" s="7"/>
      <c r="U2383" s="6"/>
      <c r="V2383" s="7"/>
      <c r="W2383" s="6"/>
      <c r="X2383" s="7"/>
    </row>
    <row r="2384" spans="1:24" ht="25.5" x14ac:dyDescent="0.2">
      <c r="A2384" s="6"/>
      <c r="B2384" s="7"/>
      <c r="C2384" s="6"/>
      <c r="D2384" s="7"/>
      <c r="E2384" s="6"/>
      <c r="F2384" s="7"/>
      <c r="G2384" s="6"/>
      <c r="H2384" s="7"/>
      <c r="I2384" s="6"/>
      <c r="J2384" s="7"/>
      <c r="K2384" s="96" t="str">
        <f>HYPERLINK("#'Healthcare'!CMR1","Q6.17.30_26")</f>
        <v>Q6.17.30_26</v>
      </c>
      <c r="L2384" s="93" t="str">
        <f>HYPERLINK("#'Healthcare'!CMR2","Primary indemnity dental plan: Service category: X-rays - full-mouth, panorex")</f>
        <v>Primary indemnity dental plan: Service category: X-rays - full-mouth, panorex</v>
      </c>
      <c r="M2384" s="6"/>
      <c r="N2384" s="7"/>
      <c r="O2384" s="6"/>
      <c r="P2384" s="7"/>
      <c r="Q2384" s="6"/>
      <c r="R2384" s="7"/>
      <c r="S2384" s="6"/>
      <c r="T2384" s="7"/>
      <c r="U2384" s="6"/>
      <c r="V2384" s="7"/>
      <c r="W2384" s="6"/>
      <c r="X2384" s="7"/>
    </row>
    <row r="2385" spans="1:24" ht="25.5" x14ac:dyDescent="0.2">
      <c r="A2385" s="6"/>
      <c r="B2385" s="7"/>
      <c r="C2385" s="6"/>
      <c r="D2385" s="7"/>
      <c r="E2385" s="6"/>
      <c r="F2385" s="7"/>
      <c r="G2385" s="6"/>
      <c r="H2385" s="7"/>
      <c r="I2385" s="6"/>
      <c r="J2385" s="7"/>
      <c r="K2385" s="96" t="str">
        <f>HYPERLINK("#'Healthcare'!CMS1","Q6.17.30_27")</f>
        <v>Q6.17.30_27</v>
      </c>
      <c r="L2385" s="93" t="str">
        <f>HYPERLINK("#'Healthcare'!CMS2","Primary indemnity dental plan: Service category: X-rays - periapical")</f>
        <v>Primary indemnity dental plan: Service category: X-rays - periapical</v>
      </c>
      <c r="M2385" s="6"/>
      <c r="N2385" s="7"/>
      <c r="O2385" s="6"/>
      <c r="P2385" s="7"/>
      <c r="Q2385" s="6"/>
      <c r="R2385" s="7"/>
      <c r="S2385" s="6"/>
      <c r="T2385" s="7"/>
      <c r="U2385" s="6"/>
      <c r="V2385" s="7"/>
      <c r="W2385" s="6"/>
      <c r="X2385" s="7"/>
    </row>
    <row r="2386" spans="1:24" ht="25.5" x14ac:dyDescent="0.2">
      <c r="A2386" s="6"/>
      <c r="B2386" s="7"/>
      <c r="C2386" s="6"/>
      <c r="D2386" s="7"/>
      <c r="E2386" s="6"/>
      <c r="F2386" s="7"/>
      <c r="G2386" s="6"/>
      <c r="H2386" s="7"/>
      <c r="I2386" s="6"/>
      <c r="J2386" s="7"/>
      <c r="K2386" s="96" t="str">
        <f>HYPERLINK("#'Healthcare'!CMT1","Q6.17.31_1")</f>
        <v>Q6.17.31_1</v>
      </c>
      <c r="L2386" s="93" t="str">
        <f>HYPERLINK("#'Healthcare'!CMT2","Primary indemnity dental plan: Applies to annual limit: Amalgam fillings")</f>
        <v>Primary indemnity dental plan: Applies to annual limit: Amalgam fillings</v>
      </c>
      <c r="M2386" s="6"/>
      <c r="N2386" s="7"/>
      <c r="O2386" s="6"/>
      <c r="P2386" s="7"/>
      <c r="Q2386" s="6"/>
      <c r="R2386" s="7"/>
      <c r="S2386" s="6"/>
      <c r="T2386" s="7"/>
      <c r="U2386" s="6"/>
      <c r="V2386" s="7"/>
      <c r="W2386" s="6"/>
      <c r="X2386" s="7"/>
    </row>
    <row r="2387" spans="1:24" ht="25.5" x14ac:dyDescent="0.2">
      <c r="A2387" s="6"/>
      <c r="B2387" s="7"/>
      <c r="C2387" s="6"/>
      <c r="D2387" s="7"/>
      <c r="E2387" s="6"/>
      <c r="F2387" s="7"/>
      <c r="G2387" s="6"/>
      <c r="H2387" s="7"/>
      <c r="I2387" s="6"/>
      <c r="J2387" s="7"/>
      <c r="K2387" s="96" t="str">
        <f>HYPERLINK("#'Healthcare'!CMU1","Q6.17.31_2")</f>
        <v>Q6.17.31_2</v>
      </c>
      <c r="L2387" s="93" t="str">
        <f>HYPERLINK("#'Healthcare'!CMU2","Primary indemnity dental plan: Applies to annual limit: Anesthesia/sedation")</f>
        <v>Primary indemnity dental plan: Applies to annual limit: Anesthesia/sedation</v>
      </c>
      <c r="M2387" s="6"/>
      <c r="N2387" s="7"/>
      <c r="O2387" s="6"/>
      <c r="P2387" s="7"/>
      <c r="Q2387" s="6"/>
      <c r="R2387" s="7"/>
      <c r="S2387" s="6"/>
      <c r="T2387" s="7"/>
      <c r="U2387" s="6"/>
      <c r="V2387" s="7"/>
      <c r="W2387" s="6"/>
      <c r="X2387" s="7"/>
    </row>
    <row r="2388" spans="1:24" ht="25.5" x14ac:dyDescent="0.2">
      <c r="A2388" s="6"/>
      <c r="B2388" s="7"/>
      <c r="C2388" s="6"/>
      <c r="D2388" s="7"/>
      <c r="E2388" s="6"/>
      <c r="F2388" s="7"/>
      <c r="G2388" s="6"/>
      <c r="H2388" s="7"/>
      <c r="I2388" s="6"/>
      <c r="J2388" s="7"/>
      <c r="K2388" s="96" t="str">
        <f>HYPERLINK("#'Healthcare'!CMV1","Q6.17.31_3")</f>
        <v>Q6.17.31_3</v>
      </c>
      <c r="L2388" s="93" t="str">
        <f>HYPERLINK("#'Healthcare'!CMV2","Primary indemnity dental plan: Applies to annual limit: Bridgework")</f>
        <v>Primary indemnity dental plan: Applies to annual limit: Bridgework</v>
      </c>
      <c r="M2388" s="6"/>
      <c r="N2388" s="7"/>
      <c r="O2388" s="6"/>
      <c r="P2388" s="7"/>
      <c r="Q2388" s="6"/>
      <c r="R2388" s="7"/>
      <c r="S2388" s="6"/>
      <c r="T2388" s="7"/>
      <c r="U2388" s="6"/>
      <c r="V2388" s="7"/>
      <c r="W2388" s="6"/>
      <c r="X2388" s="7"/>
    </row>
    <row r="2389" spans="1:24" ht="25.5" x14ac:dyDescent="0.2">
      <c r="A2389" s="6"/>
      <c r="B2389" s="7"/>
      <c r="C2389" s="6"/>
      <c r="D2389" s="7"/>
      <c r="E2389" s="6"/>
      <c r="F2389" s="7"/>
      <c r="G2389" s="6"/>
      <c r="H2389" s="7"/>
      <c r="I2389" s="6"/>
      <c r="J2389" s="7"/>
      <c r="K2389" s="96" t="str">
        <f>HYPERLINK("#'Healthcare'!CMW1","Q6.17.31_4")</f>
        <v>Q6.17.31_4</v>
      </c>
      <c r="L2389" s="93" t="str">
        <f>HYPERLINK("#'Healthcare'!CMW2","Primary indemnity dental plan: Applies to annual limit: Cleanings (prophylaxis)")</f>
        <v>Primary indemnity dental plan: Applies to annual limit: Cleanings (prophylaxis)</v>
      </c>
      <c r="M2389" s="6"/>
      <c r="N2389" s="7"/>
      <c r="O2389" s="6"/>
      <c r="P2389" s="7"/>
      <c r="Q2389" s="6"/>
      <c r="R2389" s="7"/>
      <c r="S2389" s="6"/>
      <c r="T2389" s="7"/>
      <c r="U2389" s="6"/>
      <c r="V2389" s="7"/>
      <c r="W2389" s="6"/>
      <c r="X2389" s="7"/>
    </row>
    <row r="2390" spans="1:24" ht="25.5" x14ac:dyDescent="0.2">
      <c r="A2390" s="6"/>
      <c r="B2390" s="7"/>
      <c r="C2390" s="6"/>
      <c r="D2390" s="7"/>
      <c r="E2390" s="6"/>
      <c r="F2390" s="7"/>
      <c r="G2390" s="6"/>
      <c r="H2390" s="7"/>
      <c r="I2390" s="6"/>
      <c r="J2390" s="7"/>
      <c r="K2390" s="96" t="str">
        <f>HYPERLINK("#'Healthcare'!CMX1","Q6.17.31_5")</f>
        <v>Q6.17.31_5</v>
      </c>
      <c r="L2390" s="93" t="str">
        <f>HYPERLINK("#'Healthcare'!CMX2","Primary indemnity dental plan: Applies to annual limit: Composite fillings (white fillings)")</f>
        <v>Primary indemnity dental plan: Applies to annual limit: Composite fillings (white fillings)</v>
      </c>
      <c r="M2390" s="6"/>
      <c r="N2390" s="7"/>
      <c r="O2390" s="6"/>
      <c r="P2390" s="7"/>
      <c r="Q2390" s="6"/>
      <c r="R2390" s="7"/>
      <c r="S2390" s="6"/>
      <c r="T2390" s="7"/>
      <c r="U2390" s="6"/>
      <c r="V2390" s="7"/>
      <c r="W2390" s="6"/>
      <c r="X2390" s="7"/>
    </row>
    <row r="2391" spans="1:24" ht="25.5" x14ac:dyDescent="0.2">
      <c r="A2391" s="6"/>
      <c r="B2391" s="7"/>
      <c r="C2391" s="6"/>
      <c r="D2391" s="7"/>
      <c r="E2391" s="6"/>
      <c r="F2391" s="7"/>
      <c r="G2391" s="6"/>
      <c r="H2391" s="7"/>
      <c r="I2391" s="6"/>
      <c r="J2391" s="7"/>
      <c r="K2391" s="96" t="str">
        <f>HYPERLINK("#'Healthcare'!CMY1","Q6.17.31_6")</f>
        <v>Q6.17.31_6</v>
      </c>
      <c r="L2391" s="93" t="str">
        <f>HYPERLINK("#'Healthcare'!CMY2","Primary indemnity dental plan: Applies to annual limit: Crowns")</f>
        <v>Primary indemnity dental plan: Applies to annual limit: Crowns</v>
      </c>
      <c r="M2391" s="6"/>
      <c r="N2391" s="7"/>
      <c r="O2391" s="6"/>
      <c r="P2391" s="7"/>
      <c r="Q2391" s="6"/>
      <c r="R2391" s="7"/>
      <c r="S2391" s="6"/>
      <c r="T2391" s="7"/>
      <c r="U2391" s="6"/>
      <c r="V2391" s="7"/>
      <c r="W2391" s="6"/>
      <c r="X2391" s="7"/>
    </row>
    <row r="2392" spans="1:24" ht="25.5" x14ac:dyDescent="0.2">
      <c r="A2392" s="6"/>
      <c r="B2392" s="7"/>
      <c r="C2392" s="6"/>
      <c r="D2392" s="7"/>
      <c r="E2392" s="6"/>
      <c r="F2392" s="7"/>
      <c r="G2392" s="6"/>
      <c r="H2392" s="7"/>
      <c r="I2392" s="6"/>
      <c r="J2392" s="7"/>
      <c r="K2392" s="96" t="str">
        <f>HYPERLINK("#'Healthcare'!CMZ1","Q6.17.31_7")</f>
        <v>Q6.17.31_7</v>
      </c>
      <c r="L2392" s="93" t="str">
        <f>HYPERLINK("#'Healthcare'!CMZ2","Primary indemnity dental plan: Applies to annual limit: Denture repair")</f>
        <v>Primary indemnity dental plan: Applies to annual limit: Denture repair</v>
      </c>
      <c r="M2392" s="6"/>
      <c r="N2392" s="7"/>
      <c r="O2392" s="6"/>
      <c r="P2392" s="7"/>
      <c r="Q2392" s="6"/>
      <c r="R2392" s="7"/>
      <c r="S2392" s="6"/>
      <c r="T2392" s="7"/>
      <c r="U2392" s="6"/>
      <c r="V2392" s="7"/>
      <c r="W2392" s="6"/>
      <c r="X2392" s="7"/>
    </row>
    <row r="2393" spans="1:24" ht="25.5" x14ac:dyDescent="0.2">
      <c r="A2393" s="6"/>
      <c r="B2393" s="7"/>
      <c r="C2393" s="6"/>
      <c r="D2393" s="7"/>
      <c r="E2393" s="6"/>
      <c r="F2393" s="7"/>
      <c r="G2393" s="6"/>
      <c r="H2393" s="7"/>
      <c r="I2393" s="6"/>
      <c r="J2393" s="7"/>
      <c r="K2393" s="96" t="str">
        <f>HYPERLINK("#'Healthcare'!CNA1","Q6.17.31_8")</f>
        <v>Q6.17.31_8</v>
      </c>
      <c r="L2393" s="93" t="str">
        <f>HYPERLINK("#'Healthcare'!CNA2","Primary indemnity dental plan: Applies to annual limit: Dentures (relines &amp; rebases)")</f>
        <v>Primary indemnity dental plan: Applies to annual limit: Dentures (relines &amp; rebases)</v>
      </c>
      <c r="M2393" s="6"/>
      <c r="N2393" s="7"/>
      <c r="O2393" s="6"/>
      <c r="P2393" s="7"/>
      <c r="Q2393" s="6"/>
      <c r="R2393" s="7"/>
      <c r="S2393" s="6"/>
      <c r="T2393" s="7"/>
      <c r="U2393" s="6"/>
      <c r="V2393" s="7"/>
      <c r="W2393" s="6"/>
      <c r="X2393" s="7"/>
    </row>
    <row r="2394" spans="1:24" ht="25.5" x14ac:dyDescent="0.2">
      <c r="A2394" s="6"/>
      <c r="B2394" s="7"/>
      <c r="C2394" s="6"/>
      <c r="D2394" s="7"/>
      <c r="E2394" s="6"/>
      <c r="F2394" s="7"/>
      <c r="G2394" s="6"/>
      <c r="H2394" s="7"/>
      <c r="I2394" s="6"/>
      <c r="J2394" s="7"/>
      <c r="K2394" s="96" t="str">
        <f>HYPERLINK("#'Healthcare'!CNB1","Q6.17.31_9")</f>
        <v>Q6.17.31_9</v>
      </c>
      <c r="L2394" s="93" t="str">
        <f>HYPERLINK("#'Healthcare'!CNB2","Primary indemnity dental plan: Applies to annual limit: Dentures (removable &amp; Partial)")</f>
        <v>Primary indemnity dental plan: Applies to annual limit: Dentures (removable &amp; Partial)</v>
      </c>
      <c r="M2394" s="6"/>
      <c r="N2394" s="7"/>
      <c r="O2394" s="6"/>
      <c r="P2394" s="7"/>
      <c r="Q2394" s="6"/>
      <c r="R2394" s="7"/>
      <c r="S2394" s="6"/>
      <c r="T2394" s="7"/>
      <c r="U2394" s="6"/>
      <c r="V2394" s="7"/>
      <c r="W2394" s="6"/>
      <c r="X2394" s="7"/>
    </row>
    <row r="2395" spans="1:24" ht="25.5" x14ac:dyDescent="0.2">
      <c r="A2395" s="6"/>
      <c r="B2395" s="7"/>
      <c r="C2395" s="6"/>
      <c r="D2395" s="7"/>
      <c r="E2395" s="6"/>
      <c r="F2395" s="7"/>
      <c r="G2395" s="6"/>
      <c r="H2395" s="7"/>
      <c r="I2395" s="6"/>
      <c r="J2395" s="7"/>
      <c r="K2395" s="96" t="str">
        <f>HYPERLINK("#'Healthcare'!CNC1","Q6.17.31_10")</f>
        <v>Q6.17.31_10</v>
      </c>
      <c r="L2395" s="93" t="str">
        <f>HYPERLINK("#'Healthcare'!CNC2","Primary indemnity dental plan: Applies to annual limit: Examinations (non-routine)")</f>
        <v>Primary indemnity dental plan: Applies to annual limit: Examinations (non-routine)</v>
      </c>
      <c r="M2395" s="6"/>
      <c r="N2395" s="7"/>
      <c r="O2395" s="6"/>
      <c r="P2395" s="7"/>
      <c r="Q2395" s="6"/>
      <c r="R2395" s="7"/>
      <c r="S2395" s="6"/>
      <c r="T2395" s="7"/>
      <c r="U2395" s="6"/>
      <c r="V2395" s="7"/>
      <c r="W2395" s="6"/>
      <c r="X2395" s="7"/>
    </row>
    <row r="2396" spans="1:24" ht="25.5" x14ac:dyDescent="0.2">
      <c r="A2396" s="6"/>
      <c r="B2396" s="7"/>
      <c r="C2396" s="6"/>
      <c r="D2396" s="7"/>
      <c r="E2396" s="6"/>
      <c r="F2396" s="7"/>
      <c r="G2396" s="6"/>
      <c r="H2396" s="7"/>
      <c r="I2396" s="6"/>
      <c r="J2396" s="7"/>
      <c r="K2396" s="96" t="str">
        <f>HYPERLINK("#'Healthcare'!CND1","Q6.17.31_11")</f>
        <v>Q6.17.31_11</v>
      </c>
      <c r="L2396" s="93" t="str">
        <f>HYPERLINK("#'Healthcare'!CND2","Primary indemnity dental plan: Applies to annual limit: Examinations (routine)")</f>
        <v>Primary indemnity dental plan: Applies to annual limit: Examinations (routine)</v>
      </c>
      <c r="M2396" s="6"/>
      <c r="N2396" s="7"/>
      <c r="O2396" s="6"/>
      <c r="P2396" s="7"/>
      <c r="Q2396" s="6"/>
      <c r="R2396" s="7"/>
      <c r="S2396" s="6"/>
      <c r="T2396" s="7"/>
      <c r="U2396" s="6"/>
      <c r="V2396" s="7"/>
      <c r="W2396" s="6"/>
      <c r="X2396" s="7"/>
    </row>
    <row r="2397" spans="1:24" ht="25.5" x14ac:dyDescent="0.2">
      <c r="A2397" s="6"/>
      <c r="B2397" s="7"/>
      <c r="C2397" s="6"/>
      <c r="D2397" s="7"/>
      <c r="E2397" s="6"/>
      <c r="F2397" s="7"/>
      <c r="G2397" s="6"/>
      <c r="H2397" s="7"/>
      <c r="I2397" s="6"/>
      <c r="J2397" s="7"/>
      <c r="K2397" s="96" t="str">
        <f>HYPERLINK("#'Healthcare'!CNE1","Q6.17.31_12")</f>
        <v>Q6.17.31_12</v>
      </c>
      <c r="L2397" s="93" t="str">
        <f>HYPERLINK("#'Healthcare'!CNE2","Primary indemnity dental plan: Applies to annual limit: Fluoride treatments")</f>
        <v>Primary indemnity dental plan: Applies to annual limit: Fluoride treatments</v>
      </c>
      <c r="M2397" s="6"/>
      <c r="N2397" s="7"/>
      <c r="O2397" s="6"/>
      <c r="P2397" s="7"/>
      <c r="Q2397" s="6"/>
      <c r="R2397" s="7"/>
      <c r="S2397" s="6"/>
      <c r="T2397" s="7"/>
      <c r="U2397" s="6"/>
      <c r="V2397" s="7"/>
      <c r="W2397" s="6"/>
      <c r="X2397" s="7"/>
    </row>
    <row r="2398" spans="1:24" ht="25.5" x14ac:dyDescent="0.2">
      <c r="A2398" s="6"/>
      <c r="B2398" s="7"/>
      <c r="C2398" s="6"/>
      <c r="D2398" s="7"/>
      <c r="E2398" s="6"/>
      <c r="F2398" s="7"/>
      <c r="G2398" s="6"/>
      <c r="H2398" s="7"/>
      <c r="I2398" s="6"/>
      <c r="J2398" s="7"/>
      <c r="K2398" s="96" t="str">
        <f>HYPERLINK("#'Healthcare'!CNF1","Q6.17.31_13")</f>
        <v>Q6.17.31_13</v>
      </c>
      <c r="L2398" s="93" t="str">
        <f>HYPERLINK("#'Healthcare'!CNF2","Primary indemnity dental plan: Applies to annual limit: Implants")</f>
        <v>Primary indemnity dental plan: Applies to annual limit: Implants</v>
      </c>
      <c r="M2398" s="6"/>
      <c r="N2398" s="7"/>
      <c r="O2398" s="6"/>
      <c r="P2398" s="7"/>
      <c r="Q2398" s="6"/>
      <c r="R2398" s="7"/>
      <c r="S2398" s="6"/>
      <c r="T2398" s="7"/>
      <c r="U2398" s="6"/>
      <c r="V2398" s="7"/>
      <c r="W2398" s="6"/>
      <c r="X2398" s="7"/>
    </row>
    <row r="2399" spans="1:24" ht="25.5" x14ac:dyDescent="0.2">
      <c r="A2399" s="6"/>
      <c r="B2399" s="7"/>
      <c r="C2399" s="6"/>
      <c r="D2399" s="7"/>
      <c r="E2399" s="6"/>
      <c r="F2399" s="7"/>
      <c r="G2399" s="6"/>
      <c r="H2399" s="7"/>
      <c r="I2399" s="6"/>
      <c r="J2399" s="7"/>
      <c r="K2399" s="96" t="str">
        <f>HYPERLINK("#'Healthcare'!CNG1","Q6.17.31_14")</f>
        <v>Q6.17.31_14</v>
      </c>
      <c r="L2399" s="93" t="str">
        <f>HYPERLINK("#'Healthcare'!CNG2","Primary indemnity dental plan: Applies to annual limit: Inlays &amp; onlays")</f>
        <v>Primary indemnity dental plan: Applies to annual limit: Inlays &amp; onlays</v>
      </c>
      <c r="M2399" s="6"/>
      <c r="N2399" s="7"/>
      <c r="O2399" s="6"/>
      <c r="P2399" s="7"/>
      <c r="Q2399" s="6"/>
      <c r="R2399" s="7"/>
      <c r="S2399" s="6"/>
      <c r="T2399" s="7"/>
      <c r="U2399" s="6"/>
      <c r="V2399" s="7"/>
      <c r="W2399" s="6"/>
      <c r="X2399" s="7"/>
    </row>
    <row r="2400" spans="1:24" ht="25.5" x14ac:dyDescent="0.2">
      <c r="A2400" s="6"/>
      <c r="B2400" s="7"/>
      <c r="C2400" s="6"/>
      <c r="D2400" s="7"/>
      <c r="E2400" s="6"/>
      <c r="F2400" s="7"/>
      <c r="G2400" s="6"/>
      <c r="H2400" s="7"/>
      <c r="I2400" s="6"/>
      <c r="J2400" s="7"/>
      <c r="K2400" s="96" t="str">
        <f>HYPERLINK("#'Healthcare'!CNH1","Q6.17.31_15")</f>
        <v>Q6.17.31_15</v>
      </c>
      <c r="L2400" s="93" t="str">
        <f>HYPERLINK("#'Healthcare'!CNH2","Primary indemnity dental plan: Applies to annual limit: Night guards")</f>
        <v>Primary indemnity dental plan: Applies to annual limit: Night guards</v>
      </c>
      <c r="M2400" s="6"/>
      <c r="N2400" s="7"/>
      <c r="O2400" s="6"/>
      <c r="P2400" s="7"/>
      <c r="Q2400" s="6"/>
      <c r="R2400" s="7"/>
      <c r="S2400" s="6"/>
      <c r="T2400" s="7"/>
      <c r="U2400" s="6"/>
      <c r="V2400" s="7"/>
      <c r="W2400" s="6"/>
      <c r="X2400" s="7"/>
    </row>
    <row r="2401" spans="1:24" ht="25.5" x14ac:dyDescent="0.2">
      <c r="A2401" s="6"/>
      <c r="B2401" s="7"/>
      <c r="C2401" s="6"/>
      <c r="D2401" s="7"/>
      <c r="E2401" s="6"/>
      <c r="F2401" s="7"/>
      <c r="G2401" s="6"/>
      <c r="H2401" s="7"/>
      <c r="I2401" s="6"/>
      <c r="J2401" s="7"/>
      <c r="K2401" s="96" t="str">
        <f>HYPERLINK("#'Healthcare'!CNI1","Q6.17.31_16")</f>
        <v>Q6.17.31_16</v>
      </c>
      <c r="L2401" s="93" t="str">
        <f>HYPERLINK("#'Healthcare'!CNI2","Primary indemnity dental plan: Applies to annual limit: Oral surgery")</f>
        <v>Primary indemnity dental plan: Applies to annual limit: Oral surgery</v>
      </c>
      <c r="M2401" s="6"/>
      <c r="N2401" s="7"/>
      <c r="O2401" s="6"/>
      <c r="P2401" s="7"/>
      <c r="Q2401" s="6"/>
      <c r="R2401" s="7"/>
      <c r="S2401" s="6"/>
      <c r="T2401" s="7"/>
      <c r="U2401" s="6"/>
      <c r="V2401" s="7"/>
      <c r="W2401" s="6"/>
      <c r="X2401" s="7"/>
    </row>
    <row r="2402" spans="1:24" ht="25.5" x14ac:dyDescent="0.2">
      <c r="A2402" s="6"/>
      <c r="B2402" s="7"/>
      <c r="C2402" s="6"/>
      <c r="D2402" s="7"/>
      <c r="E2402" s="6"/>
      <c r="F2402" s="7"/>
      <c r="G2402" s="6"/>
      <c r="H2402" s="7"/>
      <c r="I2402" s="6"/>
      <c r="J2402" s="7"/>
      <c r="K2402" s="96" t="str">
        <f>HYPERLINK("#'Healthcare'!CNJ1","Q6.17.31_17")</f>
        <v>Q6.17.31_17</v>
      </c>
      <c r="L2402" s="93" t="str">
        <f>HYPERLINK("#'Healthcare'!CNJ2","Primary indemnity dental plan: Applies to annual limit: Orthodontia")</f>
        <v>Primary indemnity dental plan: Applies to annual limit: Orthodontia</v>
      </c>
      <c r="M2402" s="6"/>
      <c r="N2402" s="7"/>
      <c r="O2402" s="6"/>
      <c r="P2402" s="7"/>
      <c r="Q2402" s="6"/>
      <c r="R2402" s="7"/>
      <c r="S2402" s="6"/>
      <c r="T2402" s="7"/>
      <c r="U2402" s="6"/>
      <c r="V2402" s="7"/>
      <c r="W2402" s="6"/>
      <c r="X2402" s="7"/>
    </row>
    <row r="2403" spans="1:24" ht="25.5" x14ac:dyDescent="0.2">
      <c r="A2403" s="6"/>
      <c r="B2403" s="7"/>
      <c r="C2403" s="6"/>
      <c r="D2403" s="7"/>
      <c r="E2403" s="6"/>
      <c r="F2403" s="7"/>
      <c r="G2403" s="6"/>
      <c r="H2403" s="7"/>
      <c r="I2403" s="6"/>
      <c r="J2403" s="7"/>
      <c r="K2403" s="96" t="str">
        <f>HYPERLINK("#'Healthcare'!CNK1","Q6.17.31_18")</f>
        <v>Q6.17.31_18</v>
      </c>
      <c r="L2403" s="93" t="str">
        <f>HYPERLINK("#'Healthcare'!CNK2","Primary indemnity dental plan: Applies to annual limit: Periodontal scaling &amp; root planing")</f>
        <v>Primary indemnity dental plan: Applies to annual limit: Periodontal scaling &amp; root planing</v>
      </c>
      <c r="M2403" s="6"/>
      <c r="N2403" s="7"/>
      <c r="O2403" s="6"/>
      <c r="P2403" s="7"/>
      <c r="Q2403" s="6"/>
      <c r="R2403" s="7"/>
      <c r="S2403" s="6"/>
      <c r="T2403" s="7"/>
      <c r="U2403" s="6"/>
      <c r="V2403" s="7"/>
      <c r="W2403" s="6"/>
      <c r="X2403" s="7"/>
    </row>
    <row r="2404" spans="1:24" ht="25.5" x14ac:dyDescent="0.2">
      <c r="A2404" s="6"/>
      <c r="B2404" s="7"/>
      <c r="C2404" s="6"/>
      <c r="D2404" s="7"/>
      <c r="E2404" s="6"/>
      <c r="F2404" s="7"/>
      <c r="G2404" s="6"/>
      <c r="H2404" s="7"/>
      <c r="I2404" s="6"/>
      <c r="J2404" s="7"/>
      <c r="K2404" s="96" t="str">
        <f>HYPERLINK("#'Healthcare'!CNL1","Q6.17.31_19")</f>
        <v>Q6.17.31_19</v>
      </c>
      <c r="L2404" s="93" t="str">
        <f>HYPERLINK("#'Healthcare'!CNL2","Primary indemnity dental plan: Applies to annual limit: Periodontal surgery")</f>
        <v>Primary indemnity dental plan: Applies to annual limit: Periodontal surgery</v>
      </c>
      <c r="M2404" s="6"/>
      <c r="N2404" s="7"/>
      <c r="O2404" s="6"/>
      <c r="P2404" s="7"/>
      <c r="Q2404" s="6"/>
      <c r="R2404" s="7"/>
      <c r="S2404" s="6"/>
      <c r="T2404" s="7"/>
      <c r="U2404" s="6"/>
      <c r="V2404" s="7"/>
      <c r="W2404" s="6"/>
      <c r="X2404" s="7"/>
    </row>
    <row r="2405" spans="1:24" ht="25.5" x14ac:dyDescent="0.2">
      <c r="A2405" s="6"/>
      <c r="B2405" s="7"/>
      <c r="C2405" s="6"/>
      <c r="D2405" s="7"/>
      <c r="E2405" s="6"/>
      <c r="F2405" s="7"/>
      <c r="G2405" s="6"/>
      <c r="H2405" s="7"/>
      <c r="I2405" s="6"/>
      <c r="J2405" s="7"/>
      <c r="K2405" s="96" t="str">
        <f>HYPERLINK("#'Healthcare'!CNM1","Q6.17.31_20")</f>
        <v>Q6.17.31_20</v>
      </c>
      <c r="L2405" s="93" t="str">
        <f>HYPERLINK("#'Healthcare'!CNM2","Primary indemnity dental plan: Applies to annual limit: Root canals")</f>
        <v>Primary indemnity dental plan: Applies to annual limit: Root canals</v>
      </c>
      <c r="M2405" s="6"/>
      <c r="N2405" s="7"/>
      <c r="O2405" s="6"/>
      <c r="P2405" s="7"/>
      <c r="Q2405" s="6"/>
      <c r="R2405" s="7"/>
      <c r="S2405" s="6"/>
      <c r="T2405" s="7"/>
      <c r="U2405" s="6"/>
      <c r="V2405" s="7"/>
      <c r="W2405" s="6"/>
      <c r="X2405" s="7"/>
    </row>
    <row r="2406" spans="1:24" ht="25.5" x14ac:dyDescent="0.2">
      <c r="A2406" s="6"/>
      <c r="B2406" s="7"/>
      <c r="C2406" s="6"/>
      <c r="D2406" s="7"/>
      <c r="E2406" s="6"/>
      <c r="F2406" s="7"/>
      <c r="G2406" s="6"/>
      <c r="H2406" s="7"/>
      <c r="I2406" s="6"/>
      <c r="J2406" s="7"/>
      <c r="K2406" s="96" t="str">
        <f>HYPERLINK("#'Healthcare'!CNN1","Q6.17.31_21")</f>
        <v>Q6.17.31_21</v>
      </c>
      <c r="L2406" s="93" t="str">
        <f>HYPERLINK("#'Healthcare'!CNN2","Primary indemnity dental plan: Applies to annual limit: Space maintainers")</f>
        <v>Primary indemnity dental plan: Applies to annual limit: Space maintainers</v>
      </c>
      <c r="M2406" s="6"/>
      <c r="N2406" s="7"/>
      <c r="O2406" s="6"/>
      <c r="P2406" s="7"/>
      <c r="Q2406" s="6"/>
      <c r="R2406" s="7"/>
      <c r="S2406" s="6"/>
      <c r="T2406" s="7"/>
      <c r="U2406" s="6"/>
      <c r="V2406" s="7"/>
      <c r="W2406" s="6"/>
      <c r="X2406" s="7"/>
    </row>
    <row r="2407" spans="1:24" ht="25.5" x14ac:dyDescent="0.2">
      <c r="A2407" s="6"/>
      <c r="B2407" s="7"/>
      <c r="C2407" s="6"/>
      <c r="D2407" s="7"/>
      <c r="E2407" s="6"/>
      <c r="F2407" s="7"/>
      <c r="G2407" s="6"/>
      <c r="H2407" s="7"/>
      <c r="I2407" s="6"/>
      <c r="J2407" s="7"/>
      <c r="K2407" s="96" t="str">
        <f>HYPERLINK("#'Healthcare'!CNO1","Q6.17.31_22")</f>
        <v>Q6.17.31_22</v>
      </c>
      <c r="L2407" s="93" t="str">
        <f>HYPERLINK("#'Healthcare'!CNO2","Primary indemnity dental plan: Applies to annual limit: Tooth extractions")</f>
        <v>Primary indemnity dental plan: Applies to annual limit: Tooth extractions</v>
      </c>
      <c r="M2407" s="6"/>
      <c r="N2407" s="7"/>
      <c r="O2407" s="6"/>
      <c r="P2407" s="7"/>
      <c r="Q2407" s="6"/>
      <c r="R2407" s="7"/>
      <c r="S2407" s="6"/>
      <c r="T2407" s="7"/>
      <c r="U2407" s="6"/>
      <c r="V2407" s="7"/>
      <c r="W2407" s="6"/>
      <c r="X2407" s="7"/>
    </row>
    <row r="2408" spans="1:24" ht="25.5" x14ac:dyDescent="0.2">
      <c r="A2408" s="6"/>
      <c r="B2408" s="7"/>
      <c r="C2408" s="6"/>
      <c r="D2408" s="7"/>
      <c r="E2408" s="6"/>
      <c r="F2408" s="7"/>
      <c r="G2408" s="6"/>
      <c r="H2408" s="7"/>
      <c r="I2408" s="6"/>
      <c r="J2408" s="7"/>
      <c r="K2408" s="96" t="str">
        <f>HYPERLINK("#'Healthcare'!CNP1","Q6.17.31_23")</f>
        <v>Q6.17.31_23</v>
      </c>
      <c r="L2408" s="93" t="str">
        <f>HYPERLINK("#'Healthcare'!CNP2","Primary indemnity dental plan: Applies to annual limit: Tooth sealants")</f>
        <v>Primary indemnity dental plan: Applies to annual limit: Tooth sealants</v>
      </c>
      <c r="M2408" s="6"/>
      <c r="N2408" s="7"/>
      <c r="O2408" s="6"/>
      <c r="P2408" s="7"/>
      <c r="Q2408" s="6"/>
      <c r="R2408" s="7"/>
      <c r="S2408" s="6"/>
      <c r="T2408" s="7"/>
      <c r="U2408" s="6"/>
      <c r="V2408" s="7"/>
      <c r="W2408" s="6"/>
      <c r="X2408" s="7"/>
    </row>
    <row r="2409" spans="1:24" ht="25.5" x14ac:dyDescent="0.2">
      <c r="A2409" s="6"/>
      <c r="B2409" s="7"/>
      <c r="C2409" s="6"/>
      <c r="D2409" s="7"/>
      <c r="E2409" s="6"/>
      <c r="F2409" s="7"/>
      <c r="G2409" s="6"/>
      <c r="H2409" s="7"/>
      <c r="I2409" s="6"/>
      <c r="J2409" s="7"/>
      <c r="K2409" s="96" t="str">
        <f>HYPERLINK("#'Healthcare'!CNQ1","Q6.17.31_24")</f>
        <v>Q6.17.31_24</v>
      </c>
      <c r="L2409" s="93" t="str">
        <f>HYPERLINK("#'Healthcare'!CNQ2","Primary indemnity dental plan: Applies to annual limit: Topical fluoride treatments")</f>
        <v>Primary indemnity dental plan: Applies to annual limit: Topical fluoride treatments</v>
      </c>
      <c r="M2409" s="6"/>
      <c r="N2409" s="7"/>
      <c r="O2409" s="6"/>
      <c r="P2409" s="7"/>
      <c r="Q2409" s="6"/>
      <c r="R2409" s="7"/>
      <c r="S2409" s="6"/>
      <c r="T2409" s="7"/>
      <c r="U2409" s="6"/>
      <c r="V2409" s="7"/>
      <c r="W2409" s="6"/>
      <c r="X2409" s="7"/>
    </row>
    <row r="2410" spans="1:24" ht="25.5" x14ac:dyDescent="0.2">
      <c r="A2410" s="6"/>
      <c r="B2410" s="7"/>
      <c r="C2410" s="6"/>
      <c r="D2410" s="7"/>
      <c r="E2410" s="6"/>
      <c r="F2410" s="7"/>
      <c r="G2410" s="6"/>
      <c r="H2410" s="7"/>
      <c r="I2410" s="6"/>
      <c r="J2410" s="7"/>
      <c r="K2410" s="96" t="str">
        <f>HYPERLINK("#'Healthcare'!CNR1","Q6.17.31_25")</f>
        <v>Q6.17.31_25</v>
      </c>
      <c r="L2410" s="93" t="str">
        <f>HYPERLINK("#'Healthcare'!CNR2","Primary indemnity dental plan: Applies to annual limit: X-rays - bitewings")</f>
        <v>Primary indemnity dental plan: Applies to annual limit: X-rays - bitewings</v>
      </c>
      <c r="M2410" s="6"/>
      <c r="N2410" s="7"/>
      <c r="O2410" s="6"/>
      <c r="P2410" s="7"/>
      <c r="Q2410" s="6"/>
      <c r="R2410" s="7"/>
      <c r="S2410" s="6"/>
      <c r="T2410" s="7"/>
      <c r="U2410" s="6"/>
      <c r="V2410" s="7"/>
      <c r="W2410" s="6"/>
      <c r="X2410" s="7"/>
    </row>
    <row r="2411" spans="1:24" ht="25.5" x14ac:dyDescent="0.2">
      <c r="A2411" s="6"/>
      <c r="B2411" s="7"/>
      <c r="C2411" s="6"/>
      <c r="D2411" s="7"/>
      <c r="E2411" s="6"/>
      <c r="F2411" s="7"/>
      <c r="G2411" s="6"/>
      <c r="H2411" s="7"/>
      <c r="I2411" s="6"/>
      <c r="J2411" s="7"/>
      <c r="K2411" s="96" t="str">
        <f>HYPERLINK("#'Healthcare'!CNS1","Q6.17.31_26")</f>
        <v>Q6.17.31_26</v>
      </c>
      <c r="L2411" s="93" t="str">
        <f>HYPERLINK("#'Healthcare'!CNS2","Primary indemnity dental plan: Applies to annual limit: X-rays - full-mouth, panorex")</f>
        <v>Primary indemnity dental plan: Applies to annual limit: X-rays - full-mouth, panorex</v>
      </c>
      <c r="M2411" s="6"/>
      <c r="N2411" s="7"/>
      <c r="O2411" s="6"/>
      <c r="P2411" s="7"/>
      <c r="Q2411" s="6"/>
      <c r="R2411" s="7"/>
      <c r="S2411" s="6"/>
      <c r="T2411" s="7"/>
      <c r="U2411" s="6"/>
      <c r="V2411" s="7"/>
      <c r="W2411" s="6"/>
      <c r="X2411" s="7"/>
    </row>
    <row r="2412" spans="1:24" ht="25.5" x14ac:dyDescent="0.2">
      <c r="A2412" s="6"/>
      <c r="B2412" s="7"/>
      <c r="C2412" s="6"/>
      <c r="D2412" s="7"/>
      <c r="E2412" s="6"/>
      <c r="F2412" s="7"/>
      <c r="G2412" s="6"/>
      <c r="H2412" s="7"/>
      <c r="I2412" s="6"/>
      <c r="J2412" s="7"/>
      <c r="K2412" s="96" t="str">
        <f>HYPERLINK("#'Healthcare'!CNT1","Q6.17.31_27")</f>
        <v>Q6.17.31_27</v>
      </c>
      <c r="L2412" s="93" t="str">
        <f>HYPERLINK("#'Healthcare'!CNT2","Primary indemnity dental plan: Applies to annual limit: X-rays - periapical")</f>
        <v>Primary indemnity dental plan: Applies to annual limit: X-rays - periapical</v>
      </c>
      <c r="M2412" s="6"/>
      <c r="N2412" s="7"/>
      <c r="O2412" s="6"/>
      <c r="P2412" s="7"/>
      <c r="Q2412" s="6"/>
      <c r="R2412" s="7"/>
      <c r="S2412" s="6"/>
      <c r="T2412" s="7"/>
      <c r="U2412" s="6"/>
      <c r="V2412" s="7"/>
      <c r="W2412" s="6"/>
      <c r="X2412" s="7"/>
    </row>
    <row r="2413" spans="1:24" ht="25.5" x14ac:dyDescent="0.2">
      <c r="A2413" s="6"/>
      <c r="B2413" s="7"/>
      <c r="C2413" s="6"/>
      <c r="D2413" s="7"/>
      <c r="E2413" s="6"/>
      <c r="F2413" s="7"/>
      <c r="G2413" s="6"/>
      <c r="H2413" s="7"/>
      <c r="I2413" s="6"/>
      <c r="J2413" s="7"/>
      <c r="K2413" s="96" t="str">
        <f>HYPERLINK("#'Healthcare'!CNU1","Q6.17.32_1")</f>
        <v>Q6.17.32_1</v>
      </c>
      <c r="L2413" s="93" t="str">
        <f>HYPERLINK("#'Healthcare'!CNU2","Primary indemnity dental plan: Service frequency limit: Amalgam fillings")</f>
        <v>Primary indemnity dental plan: Service frequency limit: Amalgam fillings</v>
      </c>
      <c r="M2413" s="6"/>
      <c r="N2413" s="7"/>
      <c r="O2413" s="6"/>
      <c r="P2413" s="7"/>
      <c r="Q2413" s="6"/>
      <c r="R2413" s="7"/>
      <c r="S2413" s="6"/>
      <c r="T2413" s="7"/>
      <c r="U2413" s="6"/>
      <c r="V2413" s="7"/>
      <c r="W2413" s="6"/>
      <c r="X2413" s="7"/>
    </row>
    <row r="2414" spans="1:24" ht="25.5" x14ac:dyDescent="0.2">
      <c r="A2414" s="6"/>
      <c r="B2414" s="7"/>
      <c r="C2414" s="6"/>
      <c r="D2414" s="7"/>
      <c r="E2414" s="6"/>
      <c r="F2414" s="7"/>
      <c r="G2414" s="6"/>
      <c r="H2414" s="7"/>
      <c r="I2414" s="6"/>
      <c r="J2414" s="7"/>
      <c r="K2414" s="96" t="str">
        <f>HYPERLINK("#'Healthcare'!CNV1","Q6.17.32_2")</f>
        <v>Q6.17.32_2</v>
      </c>
      <c r="L2414" s="93" t="str">
        <f>HYPERLINK("#'Healthcare'!CNV2","Primary indemnity dental plan: Service frequency limit: Anesthesia/sedation")</f>
        <v>Primary indemnity dental plan: Service frequency limit: Anesthesia/sedation</v>
      </c>
      <c r="M2414" s="6"/>
      <c r="N2414" s="7"/>
      <c r="O2414" s="6"/>
      <c r="P2414" s="7"/>
      <c r="Q2414" s="6"/>
      <c r="R2414" s="7"/>
      <c r="S2414" s="6"/>
      <c r="T2414" s="7"/>
      <c r="U2414" s="6"/>
      <c r="V2414" s="7"/>
      <c r="W2414" s="6"/>
      <c r="X2414" s="7"/>
    </row>
    <row r="2415" spans="1:24" ht="25.5" x14ac:dyDescent="0.2">
      <c r="A2415" s="6"/>
      <c r="B2415" s="7"/>
      <c r="C2415" s="6"/>
      <c r="D2415" s="7"/>
      <c r="E2415" s="6"/>
      <c r="F2415" s="7"/>
      <c r="G2415" s="6"/>
      <c r="H2415" s="7"/>
      <c r="I2415" s="6"/>
      <c r="J2415" s="7"/>
      <c r="K2415" s="96" t="str">
        <f>HYPERLINK("#'Healthcare'!CNW1","Q6.17.32_3")</f>
        <v>Q6.17.32_3</v>
      </c>
      <c r="L2415" s="93" t="str">
        <f>HYPERLINK("#'Healthcare'!CNW2","Primary indemnity dental plan: Service frequency limit: Bridgework")</f>
        <v>Primary indemnity dental plan: Service frequency limit: Bridgework</v>
      </c>
      <c r="M2415" s="6"/>
      <c r="N2415" s="7"/>
      <c r="O2415" s="6"/>
      <c r="P2415" s="7"/>
      <c r="Q2415" s="6"/>
      <c r="R2415" s="7"/>
      <c r="S2415" s="6"/>
      <c r="T2415" s="7"/>
      <c r="U2415" s="6"/>
      <c r="V2415" s="7"/>
      <c r="W2415" s="6"/>
      <c r="X2415" s="7"/>
    </row>
    <row r="2416" spans="1:24" ht="25.5" x14ac:dyDescent="0.2">
      <c r="A2416" s="6"/>
      <c r="B2416" s="7"/>
      <c r="C2416" s="6"/>
      <c r="D2416" s="7"/>
      <c r="E2416" s="6"/>
      <c r="F2416" s="7"/>
      <c r="G2416" s="6"/>
      <c r="H2416" s="7"/>
      <c r="I2416" s="6"/>
      <c r="J2416" s="7"/>
      <c r="K2416" s="96" t="str">
        <f>HYPERLINK("#'Healthcare'!CNX1","Q6.17.32_4")</f>
        <v>Q6.17.32_4</v>
      </c>
      <c r="L2416" s="93" t="str">
        <f>HYPERLINK("#'Healthcare'!CNX2","Primary indemnity dental plan: Service frequency limit: Cleanings (prophylaxis)")</f>
        <v>Primary indemnity dental plan: Service frequency limit: Cleanings (prophylaxis)</v>
      </c>
      <c r="M2416" s="6"/>
      <c r="N2416" s="7"/>
      <c r="O2416" s="6"/>
      <c r="P2416" s="7"/>
      <c r="Q2416" s="6"/>
      <c r="R2416" s="7"/>
      <c r="S2416" s="6"/>
      <c r="T2416" s="7"/>
      <c r="U2416" s="6"/>
      <c r="V2416" s="7"/>
      <c r="W2416" s="6"/>
      <c r="X2416" s="7"/>
    </row>
    <row r="2417" spans="1:24" ht="38.25" x14ac:dyDescent="0.2">
      <c r="A2417" s="6"/>
      <c r="B2417" s="7"/>
      <c r="C2417" s="6"/>
      <c r="D2417" s="7"/>
      <c r="E2417" s="6"/>
      <c r="F2417" s="7"/>
      <c r="G2417" s="6"/>
      <c r="H2417" s="7"/>
      <c r="I2417" s="6"/>
      <c r="J2417" s="7"/>
      <c r="K2417" s="96" t="str">
        <f>HYPERLINK("#'Healthcare'!CNY1","Q6.17.32_5")</f>
        <v>Q6.17.32_5</v>
      </c>
      <c r="L2417" s="93" t="str">
        <f>HYPERLINK("#'Healthcare'!CNY2","Primary indemnity dental plan: Service frequency limit: Composite fillings (white fillings)")</f>
        <v>Primary indemnity dental plan: Service frequency limit: Composite fillings (white fillings)</v>
      </c>
      <c r="M2417" s="6"/>
      <c r="N2417" s="7"/>
      <c r="O2417" s="6"/>
      <c r="P2417" s="7"/>
      <c r="Q2417" s="6"/>
      <c r="R2417" s="7"/>
      <c r="S2417" s="6"/>
      <c r="T2417" s="7"/>
      <c r="U2417" s="6"/>
      <c r="V2417" s="7"/>
      <c r="W2417" s="6"/>
      <c r="X2417" s="7"/>
    </row>
    <row r="2418" spans="1:24" ht="25.5" x14ac:dyDescent="0.2">
      <c r="A2418" s="6"/>
      <c r="B2418" s="7"/>
      <c r="C2418" s="6"/>
      <c r="D2418" s="7"/>
      <c r="E2418" s="6"/>
      <c r="F2418" s="7"/>
      <c r="G2418" s="6"/>
      <c r="H2418" s="7"/>
      <c r="I2418" s="6"/>
      <c r="J2418" s="7"/>
      <c r="K2418" s="96" t="str">
        <f>HYPERLINK("#'Healthcare'!CNZ1","Q6.17.32_6")</f>
        <v>Q6.17.32_6</v>
      </c>
      <c r="L2418" s="93" t="str">
        <f>HYPERLINK("#'Healthcare'!CNZ2","Primary indemnity dental plan: Service frequency limit: Crowns")</f>
        <v>Primary indemnity dental plan: Service frequency limit: Crowns</v>
      </c>
      <c r="M2418" s="6"/>
      <c r="N2418" s="7"/>
      <c r="O2418" s="6"/>
      <c r="P2418" s="7"/>
      <c r="Q2418" s="6"/>
      <c r="R2418" s="7"/>
      <c r="S2418" s="6"/>
      <c r="T2418" s="7"/>
      <c r="U2418" s="6"/>
      <c r="V2418" s="7"/>
      <c r="W2418" s="6"/>
      <c r="X2418" s="7"/>
    </row>
    <row r="2419" spans="1:24" ht="25.5" x14ac:dyDescent="0.2">
      <c r="A2419" s="6"/>
      <c r="B2419" s="7"/>
      <c r="C2419" s="6"/>
      <c r="D2419" s="7"/>
      <c r="E2419" s="6"/>
      <c r="F2419" s="7"/>
      <c r="G2419" s="6"/>
      <c r="H2419" s="7"/>
      <c r="I2419" s="6"/>
      <c r="J2419" s="7"/>
      <c r="K2419" s="96" t="str">
        <f>HYPERLINK("#'Healthcare'!COA1","Q6.17.32_7")</f>
        <v>Q6.17.32_7</v>
      </c>
      <c r="L2419" s="93" t="str">
        <f>HYPERLINK("#'Healthcare'!COA2","Primary indemnity dental plan: Service frequency limit: Denture repair")</f>
        <v>Primary indemnity dental plan: Service frequency limit: Denture repair</v>
      </c>
      <c r="M2419" s="6"/>
      <c r="N2419" s="7"/>
      <c r="O2419" s="6"/>
      <c r="P2419" s="7"/>
      <c r="Q2419" s="6"/>
      <c r="R2419" s="7"/>
      <c r="S2419" s="6"/>
      <c r="T2419" s="7"/>
      <c r="U2419" s="6"/>
      <c r="V2419" s="7"/>
      <c r="W2419" s="6"/>
      <c r="X2419" s="7"/>
    </row>
    <row r="2420" spans="1:24" ht="25.5" x14ac:dyDescent="0.2">
      <c r="A2420" s="6"/>
      <c r="B2420" s="7"/>
      <c r="C2420" s="6"/>
      <c r="D2420" s="7"/>
      <c r="E2420" s="6"/>
      <c r="F2420" s="7"/>
      <c r="G2420" s="6"/>
      <c r="H2420" s="7"/>
      <c r="I2420" s="6"/>
      <c r="J2420" s="7"/>
      <c r="K2420" s="96" t="str">
        <f>HYPERLINK("#'Healthcare'!COB1","Q6.17.32_8")</f>
        <v>Q6.17.32_8</v>
      </c>
      <c r="L2420" s="93" t="str">
        <f>HYPERLINK("#'Healthcare'!COB2","Primary indemnity dental plan: Service frequency limit: Dentures (relines &amp; rebases)")</f>
        <v>Primary indemnity dental plan: Service frequency limit: Dentures (relines &amp; rebases)</v>
      </c>
      <c r="M2420" s="6"/>
      <c r="N2420" s="7"/>
      <c r="O2420" s="6"/>
      <c r="P2420" s="7"/>
      <c r="Q2420" s="6"/>
      <c r="R2420" s="7"/>
      <c r="S2420" s="6"/>
      <c r="T2420" s="7"/>
      <c r="U2420" s="6"/>
      <c r="V2420" s="7"/>
      <c r="W2420" s="6"/>
      <c r="X2420" s="7"/>
    </row>
    <row r="2421" spans="1:24" ht="25.5" x14ac:dyDescent="0.2">
      <c r="A2421" s="6"/>
      <c r="B2421" s="7"/>
      <c r="C2421" s="6"/>
      <c r="D2421" s="7"/>
      <c r="E2421" s="6"/>
      <c r="F2421" s="7"/>
      <c r="G2421" s="6"/>
      <c r="H2421" s="7"/>
      <c r="I2421" s="6"/>
      <c r="J2421" s="7"/>
      <c r="K2421" s="96" t="str">
        <f>HYPERLINK("#'Healthcare'!COC1","Q6.17.32_9")</f>
        <v>Q6.17.32_9</v>
      </c>
      <c r="L2421" s="93" t="str">
        <f>HYPERLINK("#'Healthcare'!COC2","Primary indemnity dental plan: Service frequency limit: Dentures (removable &amp; Partial)")</f>
        <v>Primary indemnity dental plan: Service frequency limit: Dentures (removable &amp; Partial)</v>
      </c>
      <c r="M2421" s="6"/>
      <c r="N2421" s="7"/>
      <c r="O2421" s="6"/>
      <c r="P2421" s="7"/>
      <c r="Q2421" s="6"/>
      <c r="R2421" s="7"/>
      <c r="S2421" s="6"/>
      <c r="T2421" s="7"/>
      <c r="U2421" s="6"/>
      <c r="V2421" s="7"/>
      <c r="W2421" s="6"/>
      <c r="X2421" s="7"/>
    </row>
    <row r="2422" spans="1:24" ht="25.5" x14ac:dyDescent="0.2">
      <c r="A2422" s="6"/>
      <c r="B2422" s="7"/>
      <c r="C2422" s="6"/>
      <c r="D2422" s="7"/>
      <c r="E2422" s="6"/>
      <c r="F2422" s="7"/>
      <c r="G2422" s="6"/>
      <c r="H2422" s="7"/>
      <c r="I2422" s="6"/>
      <c r="J2422" s="7"/>
      <c r="K2422" s="96" t="str">
        <f>HYPERLINK("#'Healthcare'!COD1","Q6.17.32_10")</f>
        <v>Q6.17.32_10</v>
      </c>
      <c r="L2422" s="93" t="str">
        <f>HYPERLINK("#'Healthcare'!COD2","Primary indemnity dental plan: Service frequency limit: Examinations (non-routine)")</f>
        <v>Primary indemnity dental plan: Service frequency limit: Examinations (non-routine)</v>
      </c>
      <c r="M2422" s="6"/>
      <c r="N2422" s="7"/>
      <c r="O2422" s="6"/>
      <c r="P2422" s="7"/>
      <c r="Q2422" s="6"/>
      <c r="R2422" s="7"/>
      <c r="S2422" s="6"/>
      <c r="T2422" s="7"/>
      <c r="U2422" s="6"/>
      <c r="V2422" s="7"/>
      <c r="W2422" s="6"/>
      <c r="X2422" s="7"/>
    </row>
    <row r="2423" spans="1:24" ht="25.5" x14ac:dyDescent="0.2">
      <c r="A2423" s="6"/>
      <c r="B2423" s="7"/>
      <c r="C2423" s="6"/>
      <c r="D2423" s="7"/>
      <c r="E2423" s="6"/>
      <c r="F2423" s="7"/>
      <c r="G2423" s="6"/>
      <c r="H2423" s="7"/>
      <c r="I2423" s="6"/>
      <c r="J2423" s="7"/>
      <c r="K2423" s="96" t="str">
        <f>HYPERLINK("#'Healthcare'!COE1","Q6.17.32_11")</f>
        <v>Q6.17.32_11</v>
      </c>
      <c r="L2423" s="93" t="str">
        <f>HYPERLINK("#'Healthcare'!COE2","Primary indemnity dental plan: Service frequency limit: Examinations (routine)")</f>
        <v>Primary indemnity dental plan: Service frequency limit: Examinations (routine)</v>
      </c>
      <c r="M2423" s="6"/>
      <c r="N2423" s="7"/>
      <c r="O2423" s="6"/>
      <c r="P2423" s="7"/>
      <c r="Q2423" s="6"/>
      <c r="R2423" s="7"/>
      <c r="S2423" s="6"/>
      <c r="T2423" s="7"/>
      <c r="U2423" s="6"/>
      <c r="V2423" s="7"/>
      <c r="W2423" s="6"/>
      <c r="X2423" s="7"/>
    </row>
    <row r="2424" spans="1:24" ht="25.5" x14ac:dyDescent="0.2">
      <c r="A2424" s="6"/>
      <c r="B2424" s="7"/>
      <c r="C2424" s="6"/>
      <c r="D2424" s="7"/>
      <c r="E2424" s="6"/>
      <c r="F2424" s="7"/>
      <c r="G2424" s="6"/>
      <c r="H2424" s="7"/>
      <c r="I2424" s="6"/>
      <c r="J2424" s="7"/>
      <c r="K2424" s="96" t="str">
        <f>HYPERLINK("#'Healthcare'!COF1","Q6.17.32_12")</f>
        <v>Q6.17.32_12</v>
      </c>
      <c r="L2424" s="93" t="str">
        <f>HYPERLINK("#'Healthcare'!COF2","Primary indemnity dental plan: Service frequency limit: Fluoride treatments")</f>
        <v>Primary indemnity dental plan: Service frequency limit: Fluoride treatments</v>
      </c>
      <c r="M2424" s="6"/>
      <c r="N2424" s="7"/>
      <c r="O2424" s="6"/>
      <c r="P2424" s="7"/>
      <c r="Q2424" s="6"/>
      <c r="R2424" s="7"/>
      <c r="S2424" s="6"/>
      <c r="T2424" s="7"/>
      <c r="U2424" s="6"/>
      <c r="V2424" s="7"/>
      <c r="W2424" s="6"/>
      <c r="X2424" s="7"/>
    </row>
    <row r="2425" spans="1:24" ht="25.5" x14ac:dyDescent="0.2">
      <c r="A2425" s="6"/>
      <c r="B2425" s="7"/>
      <c r="C2425" s="6"/>
      <c r="D2425" s="7"/>
      <c r="E2425" s="6"/>
      <c r="F2425" s="7"/>
      <c r="G2425" s="6"/>
      <c r="H2425" s="7"/>
      <c r="I2425" s="6"/>
      <c r="J2425" s="7"/>
      <c r="K2425" s="96" t="str">
        <f>HYPERLINK("#'Healthcare'!COG1","Q6.17.32_13")</f>
        <v>Q6.17.32_13</v>
      </c>
      <c r="L2425" s="93" t="str">
        <f>HYPERLINK("#'Healthcare'!COG2","Primary indemnity dental plan: Service frequency limit: Implants")</f>
        <v>Primary indemnity dental plan: Service frequency limit: Implants</v>
      </c>
      <c r="M2425" s="6"/>
      <c r="N2425" s="7"/>
      <c r="O2425" s="6"/>
      <c r="P2425" s="7"/>
      <c r="Q2425" s="6"/>
      <c r="R2425" s="7"/>
      <c r="S2425" s="6"/>
      <c r="T2425" s="7"/>
      <c r="U2425" s="6"/>
      <c r="V2425" s="7"/>
      <c r="W2425" s="6"/>
      <c r="X2425" s="7"/>
    </row>
    <row r="2426" spans="1:24" ht="25.5" x14ac:dyDescent="0.2">
      <c r="A2426" s="6"/>
      <c r="B2426" s="7"/>
      <c r="C2426" s="6"/>
      <c r="D2426" s="7"/>
      <c r="E2426" s="6"/>
      <c r="F2426" s="7"/>
      <c r="G2426" s="6"/>
      <c r="H2426" s="7"/>
      <c r="I2426" s="6"/>
      <c r="J2426" s="7"/>
      <c r="K2426" s="96" t="str">
        <f>HYPERLINK("#'Healthcare'!COH1","Q6.17.32_14")</f>
        <v>Q6.17.32_14</v>
      </c>
      <c r="L2426" s="93" t="str">
        <f>HYPERLINK("#'Healthcare'!COH2","Primary indemnity dental plan: Service frequency limit: Inlays &amp; onlays")</f>
        <v>Primary indemnity dental plan: Service frequency limit: Inlays &amp; onlays</v>
      </c>
      <c r="M2426" s="6"/>
      <c r="N2426" s="7"/>
      <c r="O2426" s="6"/>
      <c r="P2426" s="7"/>
      <c r="Q2426" s="6"/>
      <c r="R2426" s="7"/>
      <c r="S2426" s="6"/>
      <c r="T2426" s="7"/>
      <c r="U2426" s="6"/>
      <c r="V2426" s="7"/>
      <c r="W2426" s="6"/>
      <c r="X2426" s="7"/>
    </row>
    <row r="2427" spans="1:24" ht="25.5" x14ac:dyDescent="0.2">
      <c r="A2427" s="6"/>
      <c r="B2427" s="7"/>
      <c r="C2427" s="6"/>
      <c r="D2427" s="7"/>
      <c r="E2427" s="6"/>
      <c r="F2427" s="7"/>
      <c r="G2427" s="6"/>
      <c r="H2427" s="7"/>
      <c r="I2427" s="6"/>
      <c r="J2427" s="7"/>
      <c r="K2427" s="96" t="str">
        <f>HYPERLINK("#'Healthcare'!COI1","Q6.17.32_15")</f>
        <v>Q6.17.32_15</v>
      </c>
      <c r="L2427" s="93" t="str">
        <f>HYPERLINK("#'Healthcare'!COI2","Primary indemnity dental plan: Service frequency limit: Night guards")</f>
        <v>Primary indemnity dental plan: Service frequency limit: Night guards</v>
      </c>
      <c r="M2427" s="6"/>
      <c r="N2427" s="7"/>
      <c r="O2427" s="6"/>
      <c r="P2427" s="7"/>
      <c r="Q2427" s="6"/>
      <c r="R2427" s="7"/>
      <c r="S2427" s="6"/>
      <c r="T2427" s="7"/>
      <c r="U2427" s="6"/>
      <c r="V2427" s="7"/>
      <c r="W2427" s="6"/>
      <c r="X2427" s="7"/>
    </row>
    <row r="2428" spans="1:24" ht="25.5" x14ac:dyDescent="0.2">
      <c r="A2428" s="6"/>
      <c r="B2428" s="7"/>
      <c r="C2428" s="6"/>
      <c r="D2428" s="7"/>
      <c r="E2428" s="6"/>
      <c r="F2428" s="7"/>
      <c r="G2428" s="6"/>
      <c r="H2428" s="7"/>
      <c r="I2428" s="6"/>
      <c r="J2428" s="7"/>
      <c r="K2428" s="96" t="str">
        <f>HYPERLINK("#'Healthcare'!COJ1","Q6.17.32_16")</f>
        <v>Q6.17.32_16</v>
      </c>
      <c r="L2428" s="93" t="str">
        <f>HYPERLINK("#'Healthcare'!COJ2","Primary indemnity dental plan: Service frequency limit: Oral surgery")</f>
        <v>Primary indemnity dental plan: Service frequency limit: Oral surgery</v>
      </c>
      <c r="M2428" s="6"/>
      <c r="N2428" s="7"/>
      <c r="O2428" s="6"/>
      <c r="P2428" s="7"/>
      <c r="Q2428" s="6"/>
      <c r="R2428" s="7"/>
      <c r="S2428" s="6"/>
      <c r="T2428" s="7"/>
      <c r="U2428" s="6"/>
      <c r="V2428" s="7"/>
      <c r="W2428" s="6"/>
      <c r="X2428" s="7"/>
    </row>
    <row r="2429" spans="1:24" ht="25.5" x14ac:dyDescent="0.2">
      <c r="A2429" s="6"/>
      <c r="B2429" s="7"/>
      <c r="C2429" s="6"/>
      <c r="D2429" s="7"/>
      <c r="E2429" s="6"/>
      <c r="F2429" s="7"/>
      <c r="G2429" s="6"/>
      <c r="H2429" s="7"/>
      <c r="I2429" s="6"/>
      <c r="J2429" s="7"/>
      <c r="K2429" s="96" t="str">
        <f>HYPERLINK("#'Healthcare'!COK1","Q6.17.32_17")</f>
        <v>Q6.17.32_17</v>
      </c>
      <c r="L2429" s="93" t="str">
        <f>HYPERLINK("#'Healthcare'!COK2","Primary indemnity dental plan: Service frequency limit: Orthodontia")</f>
        <v>Primary indemnity dental plan: Service frequency limit: Orthodontia</v>
      </c>
      <c r="M2429" s="6"/>
      <c r="N2429" s="7"/>
      <c r="O2429" s="6"/>
      <c r="P2429" s="7"/>
      <c r="Q2429" s="6"/>
      <c r="R2429" s="7"/>
      <c r="S2429" s="6"/>
      <c r="T2429" s="7"/>
      <c r="U2429" s="6"/>
      <c r="V2429" s="7"/>
      <c r="W2429" s="6"/>
      <c r="X2429" s="7"/>
    </row>
    <row r="2430" spans="1:24" ht="38.25" x14ac:dyDescent="0.2">
      <c r="A2430" s="6"/>
      <c r="B2430" s="7"/>
      <c r="C2430" s="6"/>
      <c r="D2430" s="7"/>
      <c r="E2430" s="6"/>
      <c r="F2430" s="7"/>
      <c r="G2430" s="6"/>
      <c r="H2430" s="7"/>
      <c r="I2430" s="6"/>
      <c r="J2430" s="7"/>
      <c r="K2430" s="96" t="str">
        <f>HYPERLINK("#'Healthcare'!COL1","Q6.17.32_18")</f>
        <v>Q6.17.32_18</v>
      </c>
      <c r="L2430" s="93" t="str">
        <f>HYPERLINK("#'Healthcare'!COL2","Primary indemnity dental plan: Service frequency limit: Periodontal scaling &amp; root planing")</f>
        <v>Primary indemnity dental plan: Service frequency limit: Periodontal scaling &amp; root planing</v>
      </c>
      <c r="M2430" s="6"/>
      <c r="N2430" s="7"/>
      <c r="O2430" s="6"/>
      <c r="P2430" s="7"/>
      <c r="Q2430" s="6"/>
      <c r="R2430" s="7"/>
      <c r="S2430" s="6"/>
      <c r="T2430" s="7"/>
      <c r="U2430" s="6"/>
      <c r="V2430" s="7"/>
      <c r="W2430" s="6"/>
      <c r="X2430" s="7"/>
    </row>
    <row r="2431" spans="1:24" ht="25.5" x14ac:dyDescent="0.2">
      <c r="A2431" s="6"/>
      <c r="B2431" s="7"/>
      <c r="C2431" s="6"/>
      <c r="D2431" s="7"/>
      <c r="E2431" s="6"/>
      <c r="F2431" s="7"/>
      <c r="G2431" s="6"/>
      <c r="H2431" s="7"/>
      <c r="I2431" s="6"/>
      <c r="J2431" s="7"/>
      <c r="K2431" s="96" t="str">
        <f>HYPERLINK("#'Healthcare'!COM1","Q6.17.32_19")</f>
        <v>Q6.17.32_19</v>
      </c>
      <c r="L2431" s="93" t="str">
        <f>HYPERLINK("#'Healthcare'!COM2","Primary indemnity dental plan: Service frequency limit: Periodontal surgery")</f>
        <v>Primary indemnity dental plan: Service frequency limit: Periodontal surgery</v>
      </c>
      <c r="M2431" s="6"/>
      <c r="N2431" s="7"/>
      <c r="O2431" s="6"/>
      <c r="P2431" s="7"/>
      <c r="Q2431" s="6"/>
      <c r="R2431" s="7"/>
      <c r="S2431" s="6"/>
      <c r="T2431" s="7"/>
      <c r="U2431" s="6"/>
      <c r="V2431" s="7"/>
      <c r="W2431" s="6"/>
      <c r="X2431" s="7"/>
    </row>
    <row r="2432" spans="1:24" ht="25.5" x14ac:dyDescent="0.2">
      <c r="A2432" s="6"/>
      <c r="B2432" s="7"/>
      <c r="C2432" s="6"/>
      <c r="D2432" s="7"/>
      <c r="E2432" s="6"/>
      <c r="F2432" s="7"/>
      <c r="G2432" s="6"/>
      <c r="H2432" s="7"/>
      <c r="I2432" s="6"/>
      <c r="J2432" s="7"/>
      <c r="K2432" s="96" t="str">
        <f>HYPERLINK("#'Healthcare'!CON1","Q6.17.32_20")</f>
        <v>Q6.17.32_20</v>
      </c>
      <c r="L2432" s="93" t="str">
        <f>HYPERLINK("#'Healthcare'!CON2","Primary indemnity dental plan: Service frequency limit: Root canals")</f>
        <v>Primary indemnity dental plan: Service frequency limit: Root canals</v>
      </c>
      <c r="M2432" s="6"/>
      <c r="N2432" s="7"/>
      <c r="O2432" s="6"/>
      <c r="P2432" s="7"/>
      <c r="Q2432" s="6"/>
      <c r="R2432" s="7"/>
      <c r="S2432" s="6"/>
      <c r="T2432" s="7"/>
      <c r="U2432" s="6"/>
      <c r="V2432" s="7"/>
      <c r="W2432" s="6"/>
      <c r="X2432" s="7"/>
    </row>
    <row r="2433" spans="1:24" ht="25.5" x14ac:dyDescent="0.2">
      <c r="A2433" s="6"/>
      <c r="B2433" s="7"/>
      <c r="C2433" s="6"/>
      <c r="D2433" s="7"/>
      <c r="E2433" s="6"/>
      <c r="F2433" s="7"/>
      <c r="G2433" s="6"/>
      <c r="H2433" s="7"/>
      <c r="I2433" s="6"/>
      <c r="J2433" s="7"/>
      <c r="K2433" s="96" t="str">
        <f>HYPERLINK("#'Healthcare'!COO1","Q6.17.32_21")</f>
        <v>Q6.17.32_21</v>
      </c>
      <c r="L2433" s="93" t="str">
        <f>HYPERLINK("#'Healthcare'!COO2","Primary indemnity dental plan: Service frequency limit: Space maintainers")</f>
        <v>Primary indemnity dental plan: Service frequency limit: Space maintainers</v>
      </c>
      <c r="M2433" s="6"/>
      <c r="N2433" s="7"/>
      <c r="O2433" s="6"/>
      <c r="P2433" s="7"/>
      <c r="Q2433" s="6"/>
      <c r="R2433" s="7"/>
      <c r="S2433" s="6"/>
      <c r="T2433" s="7"/>
      <c r="U2433" s="6"/>
      <c r="V2433" s="7"/>
      <c r="W2433" s="6"/>
      <c r="X2433" s="7"/>
    </row>
    <row r="2434" spans="1:24" ht="25.5" x14ac:dyDescent="0.2">
      <c r="A2434" s="6"/>
      <c r="B2434" s="7"/>
      <c r="C2434" s="6"/>
      <c r="D2434" s="7"/>
      <c r="E2434" s="6"/>
      <c r="F2434" s="7"/>
      <c r="G2434" s="6"/>
      <c r="H2434" s="7"/>
      <c r="I2434" s="6"/>
      <c r="J2434" s="7"/>
      <c r="K2434" s="96" t="str">
        <f>HYPERLINK("#'Healthcare'!COP1","Q6.17.32_22")</f>
        <v>Q6.17.32_22</v>
      </c>
      <c r="L2434" s="93" t="str">
        <f>HYPERLINK("#'Healthcare'!COP2","Primary indemnity dental plan: Service frequency limit: Tooth extractions")</f>
        <v>Primary indemnity dental plan: Service frequency limit: Tooth extractions</v>
      </c>
      <c r="M2434" s="6"/>
      <c r="N2434" s="7"/>
      <c r="O2434" s="6"/>
      <c r="P2434" s="7"/>
      <c r="Q2434" s="6"/>
      <c r="R2434" s="7"/>
      <c r="S2434" s="6"/>
      <c r="T2434" s="7"/>
      <c r="U2434" s="6"/>
      <c r="V2434" s="7"/>
      <c r="W2434" s="6"/>
      <c r="X2434" s="7"/>
    </row>
    <row r="2435" spans="1:24" ht="25.5" x14ac:dyDescent="0.2">
      <c r="A2435" s="6"/>
      <c r="B2435" s="7"/>
      <c r="C2435" s="6"/>
      <c r="D2435" s="7"/>
      <c r="E2435" s="6"/>
      <c r="F2435" s="7"/>
      <c r="G2435" s="6"/>
      <c r="H2435" s="7"/>
      <c r="I2435" s="6"/>
      <c r="J2435" s="7"/>
      <c r="K2435" s="96" t="str">
        <f>HYPERLINK("#'Healthcare'!COQ1","Q6.17.32_23")</f>
        <v>Q6.17.32_23</v>
      </c>
      <c r="L2435" s="93" t="str">
        <f>HYPERLINK("#'Healthcare'!COQ2","Primary indemnity dental plan: Service frequency limit: Tooth sealants")</f>
        <v>Primary indemnity dental plan: Service frequency limit: Tooth sealants</v>
      </c>
      <c r="M2435" s="6"/>
      <c r="N2435" s="7"/>
      <c r="O2435" s="6"/>
      <c r="P2435" s="7"/>
      <c r="Q2435" s="6"/>
      <c r="R2435" s="7"/>
      <c r="S2435" s="6"/>
      <c r="T2435" s="7"/>
      <c r="U2435" s="6"/>
      <c r="V2435" s="7"/>
      <c r="W2435" s="6"/>
      <c r="X2435" s="7"/>
    </row>
    <row r="2436" spans="1:24" ht="25.5" x14ac:dyDescent="0.2">
      <c r="A2436" s="6"/>
      <c r="B2436" s="7"/>
      <c r="C2436" s="6"/>
      <c r="D2436" s="7"/>
      <c r="E2436" s="6"/>
      <c r="F2436" s="7"/>
      <c r="G2436" s="6"/>
      <c r="H2436" s="7"/>
      <c r="I2436" s="6"/>
      <c r="J2436" s="7"/>
      <c r="K2436" s="96" t="str">
        <f>HYPERLINK("#'Healthcare'!COR1","Q6.17.32_24")</f>
        <v>Q6.17.32_24</v>
      </c>
      <c r="L2436" s="93" t="str">
        <f>HYPERLINK("#'Healthcare'!COR2","Primary indemnity dental plan: Service frequency limit: Topical fluoride treatments")</f>
        <v>Primary indemnity dental plan: Service frequency limit: Topical fluoride treatments</v>
      </c>
      <c r="M2436" s="6"/>
      <c r="N2436" s="7"/>
      <c r="O2436" s="6"/>
      <c r="P2436" s="7"/>
      <c r="Q2436" s="6"/>
      <c r="R2436" s="7"/>
      <c r="S2436" s="6"/>
      <c r="T2436" s="7"/>
      <c r="U2436" s="6"/>
      <c r="V2436" s="7"/>
      <c r="W2436" s="6"/>
      <c r="X2436" s="7"/>
    </row>
    <row r="2437" spans="1:24" ht="25.5" x14ac:dyDescent="0.2">
      <c r="A2437" s="6"/>
      <c r="B2437" s="7"/>
      <c r="C2437" s="6"/>
      <c r="D2437" s="7"/>
      <c r="E2437" s="6"/>
      <c r="F2437" s="7"/>
      <c r="G2437" s="6"/>
      <c r="H2437" s="7"/>
      <c r="I2437" s="6"/>
      <c r="J2437" s="7"/>
      <c r="K2437" s="96" t="str">
        <f>HYPERLINK("#'Healthcare'!COS1","Q6.17.32_25")</f>
        <v>Q6.17.32_25</v>
      </c>
      <c r="L2437" s="93" t="str">
        <f>HYPERLINK("#'Healthcare'!COS2","Primary indemnity dental plan: Service frequency limit: X-rays - bitewings")</f>
        <v>Primary indemnity dental plan: Service frequency limit: X-rays - bitewings</v>
      </c>
      <c r="M2437" s="6"/>
      <c r="N2437" s="7"/>
      <c r="O2437" s="6"/>
      <c r="P2437" s="7"/>
      <c r="Q2437" s="6"/>
      <c r="R2437" s="7"/>
      <c r="S2437" s="6"/>
      <c r="T2437" s="7"/>
      <c r="U2437" s="6"/>
      <c r="V2437" s="7"/>
      <c r="W2437" s="6"/>
      <c r="X2437" s="7"/>
    </row>
    <row r="2438" spans="1:24" ht="25.5" x14ac:dyDescent="0.2">
      <c r="A2438" s="6"/>
      <c r="B2438" s="7"/>
      <c r="C2438" s="6"/>
      <c r="D2438" s="7"/>
      <c r="E2438" s="6"/>
      <c r="F2438" s="7"/>
      <c r="G2438" s="6"/>
      <c r="H2438" s="7"/>
      <c r="I2438" s="6"/>
      <c r="J2438" s="7"/>
      <c r="K2438" s="96" t="str">
        <f>HYPERLINK("#'Healthcare'!COT1","Q6.17.32_26")</f>
        <v>Q6.17.32_26</v>
      </c>
      <c r="L2438" s="93" t="str">
        <f>HYPERLINK("#'Healthcare'!COT2","Primary indemnity dental plan: Service frequency limit: X-rays - full-mouth, panorex")</f>
        <v>Primary indemnity dental plan: Service frequency limit: X-rays - full-mouth, panorex</v>
      </c>
      <c r="M2438" s="6"/>
      <c r="N2438" s="7"/>
      <c r="O2438" s="6"/>
      <c r="P2438" s="7"/>
      <c r="Q2438" s="6"/>
      <c r="R2438" s="7"/>
      <c r="S2438" s="6"/>
      <c r="T2438" s="7"/>
      <c r="U2438" s="6"/>
      <c r="V2438" s="7"/>
      <c r="W2438" s="6"/>
      <c r="X2438" s="7"/>
    </row>
    <row r="2439" spans="1:24" ht="25.5" x14ac:dyDescent="0.2">
      <c r="A2439" s="6"/>
      <c r="B2439" s="7"/>
      <c r="C2439" s="6"/>
      <c r="D2439" s="7"/>
      <c r="E2439" s="6"/>
      <c r="F2439" s="7"/>
      <c r="G2439" s="6"/>
      <c r="H2439" s="7"/>
      <c r="I2439" s="6"/>
      <c r="J2439" s="7"/>
      <c r="K2439" s="96" t="str">
        <f>HYPERLINK("#'Healthcare'!COU1","Q6.17.32_27")</f>
        <v>Q6.17.32_27</v>
      </c>
      <c r="L2439" s="93" t="str">
        <f>HYPERLINK("#'Healthcare'!COU2","Primary indemnity dental plan: Service frequency limit: X-rays - periapical")</f>
        <v>Primary indemnity dental plan: Service frequency limit: X-rays - periapical</v>
      </c>
      <c r="M2439" s="6"/>
      <c r="N2439" s="7"/>
      <c r="O2439" s="6"/>
      <c r="P2439" s="7"/>
      <c r="Q2439" s="6"/>
      <c r="R2439" s="7"/>
      <c r="S2439" s="6"/>
      <c r="T2439" s="7"/>
      <c r="U2439" s="6"/>
      <c r="V2439" s="7"/>
      <c r="W2439" s="6"/>
      <c r="X2439" s="7"/>
    </row>
    <row r="2440" spans="1:24" ht="25.5" x14ac:dyDescent="0.2">
      <c r="A2440" s="6"/>
      <c r="B2440" s="7"/>
      <c r="C2440" s="6"/>
      <c r="D2440" s="7"/>
      <c r="E2440" s="6"/>
      <c r="F2440" s="7"/>
      <c r="G2440" s="6"/>
      <c r="H2440" s="7"/>
      <c r="I2440" s="6"/>
      <c r="J2440" s="7"/>
      <c r="K2440" s="96" t="str">
        <f>HYPERLINK("#'Healthcare'!COV1","Q6.17.33_1")</f>
        <v>Q6.17.33_1</v>
      </c>
      <c r="L2440" s="93" t="str">
        <f>HYPERLINK("#'Healthcare'!COV2","Primary indemnity dental plan: Age limit applies: Amalgam fillings")</f>
        <v>Primary indemnity dental plan: Age limit applies: Amalgam fillings</v>
      </c>
      <c r="M2440" s="6"/>
      <c r="N2440" s="7"/>
      <c r="O2440" s="6"/>
      <c r="P2440" s="7"/>
      <c r="Q2440" s="6"/>
      <c r="R2440" s="7"/>
      <c r="S2440" s="6"/>
      <c r="T2440" s="7"/>
      <c r="U2440" s="6"/>
      <c r="V2440" s="7"/>
      <c r="W2440" s="6"/>
      <c r="X2440" s="7"/>
    </row>
    <row r="2441" spans="1:24" ht="25.5" x14ac:dyDescent="0.2">
      <c r="A2441" s="6"/>
      <c r="B2441" s="7"/>
      <c r="C2441" s="6"/>
      <c r="D2441" s="7"/>
      <c r="E2441" s="6"/>
      <c r="F2441" s="7"/>
      <c r="G2441" s="6"/>
      <c r="H2441" s="7"/>
      <c r="I2441" s="6"/>
      <c r="J2441" s="7"/>
      <c r="K2441" s="96" t="str">
        <f>HYPERLINK("#'Healthcare'!COW1","Q6.17.33_2")</f>
        <v>Q6.17.33_2</v>
      </c>
      <c r="L2441" s="93" t="str">
        <f>HYPERLINK("#'Healthcare'!COW2","Primary indemnity dental plan: Age limit applies: Anesthesia/sedation")</f>
        <v>Primary indemnity dental plan: Age limit applies: Anesthesia/sedation</v>
      </c>
      <c r="M2441" s="6"/>
      <c r="N2441" s="7"/>
      <c r="O2441" s="6"/>
      <c r="P2441" s="7"/>
      <c r="Q2441" s="6"/>
      <c r="R2441" s="7"/>
      <c r="S2441" s="6"/>
      <c r="T2441" s="7"/>
      <c r="U2441" s="6"/>
      <c r="V2441" s="7"/>
      <c r="W2441" s="6"/>
      <c r="X2441" s="7"/>
    </row>
    <row r="2442" spans="1:24" ht="25.5" x14ac:dyDescent="0.2">
      <c r="A2442" s="6"/>
      <c r="B2442" s="7"/>
      <c r="C2442" s="6"/>
      <c r="D2442" s="7"/>
      <c r="E2442" s="6"/>
      <c r="F2442" s="7"/>
      <c r="G2442" s="6"/>
      <c r="H2442" s="7"/>
      <c r="I2442" s="6"/>
      <c r="J2442" s="7"/>
      <c r="K2442" s="96" t="str">
        <f>HYPERLINK("#'Healthcare'!COX1","Q6.17.33_3")</f>
        <v>Q6.17.33_3</v>
      </c>
      <c r="L2442" s="93" t="str">
        <f>HYPERLINK("#'Healthcare'!COX2","Primary indemnity dental plan: Age limit applies: Bridgework")</f>
        <v>Primary indemnity dental plan: Age limit applies: Bridgework</v>
      </c>
      <c r="M2442" s="6"/>
      <c r="N2442" s="7"/>
      <c r="O2442" s="6"/>
      <c r="P2442" s="7"/>
      <c r="Q2442" s="6"/>
      <c r="R2442" s="7"/>
      <c r="S2442" s="6"/>
      <c r="T2442" s="7"/>
      <c r="U2442" s="6"/>
      <c r="V2442" s="7"/>
      <c r="W2442" s="6"/>
      <c r="X2442" s="7"/>
    </row>
    <row r="2443" spans="1:24" ht="25.5" x14ac:dyDescent="0.2">
      <c r="A2443" s="6"/>
      <c r="B2443" s="7"/>
      <c r="C2443" s="6"/>
      <c r="D2443" s="7"/>
      <c r="E2443" s="6"/>
      <c r="F2443" s="7"/>
      <c r="G2443" s="6"/>
      <c r="H2443" s="7"/>
      <c r="I2443" s="6"/>
      <c r="J2443" s="7"/>
      <c r="K2443" s="96" t="str">
        <f>HYPERLINK("#'Healthcare'!COY1","Q6.17.33_4")</f>
        <v>Q6.17.33_4</v>
      </c>
      <c r="L2443" s="93" t="str">
        <f>HYPERLINK("#'Healthcare'!COY2","Primary indemnity dental plan: Age limit applies: Cleanings (prophylaxis)")</f>
        <v>Primary indemnity dental plan: Age limit applies: Cleanings (prophylaxis)</v>
      </c>
      <c r="M2443" s="6"/>
      <c r="N2443" s="7"/>
      <c r="O2443" s="6"/>
      <c r="P2443" s="7"/>
      <c r="Q2443" s="6"/>
      <c r="R2443" s="7"/>
      <c r="S2443" s="6"/>
      <c r="T2443" s="7"/>
      <c r="U2443" s="6"/>
      <c r="V2443" s="7"/>
      <c r="W2443" s="6"/>
      <c r="X2443" s="7"/>
    </row>
    <row r="2444" spans="1:24" ht="25.5" x14ac:dyDescent="0.2">
      <c r="A2444" s="6"/>
      <c r="B2444" s="7"/>
      <c r="C2444" s="6"/>
      <c r="D2444" s="7"/>
      <c r="E2444" s="6"/>
      <c r="F2444" s="7"/>
      <c r="G2444" s="6"/>
      <c r="H2444" s="7"/>
      <c r="I2444" s="6"/>
      <c r="J2444" s="7"/>
      <c r="K2444" s="96" t="str">
        <f>HYPERLINK("#'Healthcare'!COZ1","Q6.17.33_5")</f>
        <v>Q6.17.33_5</v>
      </c>
      <c r="L2444" s="93" t="str">
        <f>HYPERLINK("#'Healthcare'!COZ2","Primary indemnity dental plan: Age limit applies: Composite fillings (white fillings)")</f>
        <v>Primary indemnity dental plan: Age limit applies: Composite fillings (white fillings)</v>
      </c>
      <c r="M2444" s="6"/>
      <c r="N2444" s="7"/>
      <c r="O2444" s="6"/>
      <c r="P2444" s="7"/>
      <c r="Q2444" s="6"/>
      <c r="R2444" s="7"/>
      <c r="S2444" s="6"/>
      <c r="T2444" s="7"/>
      <c r="U2444" s="6"/>
      <c r="V2444" s="7"/>
      <c r="W2444" s="6"/>
      <c r="X2444" s="7"/>
    </row>
    <row r="2445" spans="1:24" ht="25.5" x14ac:dyDescent="0.2">
      <c r="A2445" s="6"/>
      <c r="B2445" s="7"/>
      <c r="C2445" s="6"/>
      <c r="D2445" s="7"/>
      <c r="E2445" s="6"/>
      <c r="F2445" s="7"/>
      <c r="G2445" s="6"/>
      <c r="H2445" s="7"/>
      <c r="I2445" s="6"/>
      <c r="J2445" s="7"/>
      <c r="K2445" s="96" t="str">
        <f>HYPERLINK("#'Healthcare'!CPA1","Q6.17.33_6")</f>
        <v>Q6.17.33_6</v>
      </c>
      <c r="L2445" s="93" t="str">
        <f>HYPERLINK("#'Healthcare'!CPA2","Primary indemnity dental plan: Age limit applies: Crowns")</f>
        <v>Primary indemnity dental plan: Age limit applies: Crowns</v>
      </c>
      <c r="M2445" s="6"/>
      <c r="N2445" s="7"/>
      <c r="O2445" s="6"/>
      <c r="P2445" s="7"/>
      <c r="Q2445" s="6"/>
      <c r="R2445" s="7"/>
      <c r="S2445" s="6"/>
      <c r="T2445" s="7"/>
      <c r="U2445" s="6"/>
      <c r="V2445" s="7"/>
      <c r="W2445" s="6"/>
      <c r="X2445" s="7"/>
    </row>
    <row r="2446" spans="1:24" ht="25.5" x14ac:dyDescent="0.2">
      <c r="A2446" s="6"/>
      <c r="B2446" s="7"/>
      <c r="C2446" s="6"/>
      <c r="D2446" s="7"/>
      <c r="E2446" s="6"/>
      <c r="F2446" s="7"/>
      <c r="G2446" s="6"/>
      <c r="H2446" s="7"/>
      <c r="I2446" s="6"/>
      <c r="J2446" s="7"/>
      <c r="K2446" s="96" t="str">
        <f>HYPERLINK("#'Healthcare'!CPB1","Q6.17.33_7")</f>
        <v>Q6.17.33_7</v>
      </c>
      <c r="L2446" s="93" t="str">
        <f>HYPERLINK("#'Healthcare'!CPB2","Primary indemnity dental plan: Age limit applies: Denture repair")</f>
        <v>Primary indemnity dental plan: Age limit applies: Denture repair</v>
      </c>
      <c r="M2446" s="6"/>
      <c r="N2446" s="7"/>
      <c r="O2446" s="6"/>
      <c r="P2446" s="7"/>
      <c r="Q2446" s="6"/>
      <c r="R2446" s="7"/>
      <c r="S2446" s="6"/>
      <c r="T2446" s="7"/>
      <c r="U2446" s="6"/>
      <c r="V2446" s="7"/>
      <c r="W2446" s="6"/>
      <c r="X2446" s="7"/>
    </row>
    <row r="2447" spans="1:24" ht="25.5" x14ac:dyDescent="0.2">
      <c r="A2447" s="6"/>
      <c r="B2447" s="7"/>
      <c r="C2447" s="6"/>
      <c r="D2447" s="7"/>
      <c r="E2447" s="6"/>
      <c r="F2447" s="7"/>
      <c r="G2447" s="6"/>
      <c r="H2447" s="7"/>
      <c r="I2447" s="6"/>
      <c r="J2447" s="7"/>
      <c r="K2447" s="96" t="str">
        <f>HYPERLINK("#'Healthcare'!CPC1","Q6.17.33_8")</f>
        <v>Q6.17.33_8</v>
      </c>
      <c r="L2447" s="93" t="str">
        <f>HYPERLINK("#'Healthcare'!CPC2","Primary indemnity dental plan: Age limit applies: Dentures (relines &amp; rebases)")</f>
        <v>Primary indemnity dental plan: Age limit applies: Dentures (relines &amp; rebases)</v>
      </c>
      <c r="M2447" s="6"/>
      <c r="N2447" s="7"/>
      <c r="O2447" s="6"/>
      <c r="P2447" s="7"/>
      <c r="Q2447" s="6"/>
      <c r="R2447" s="7"/>
      <c r="S2447" s="6"/>
      <c r="T2447" s="7"/>
      <c r="U2447" s="6"/>
      <c r="V2447" s="7"/>
      <c r="W2447" s="6"/>
      <c r="X2447" s="7"/>
    </row>
    <row r="2448" spans="1:24" ht="25.5" x14ac:dyDescent="0.2">
      <c r="A2448" s="6"/>
      <c r="B2448" s="7"/>
      <c r="C2448" s="6"/>
      <c r="D2448" s="7"/>
      <c r="E2448" s="6"/>
      <c r="F2448" s="7"/>
      <c r="G2448" s="6"/>
      <c r="H2448" s="7"/>
      <c r="I2448" s="6"/>
      <c r="J2448" s="7"/>
      <c r="K2448" s="96" t="str">
        <f>HYPERLINK("#'Healthcare'!CPD1","Q6.17.33_9")</f>
        <v>Q6.17.33_9</v>
      </c>
      <c r="L2448" s="93" t="str">
        <f>HYPERLINK("#'Healthcare'!CPD2","Primary indemnity dental plan: Age limit applies: Dentures (removable &amp; Partial)")</f>
        <v>Primary indemnity dental plan: Age limit applies: Dentures (removable &amp; Partial)</v>
      </c>
      <c r="M2448" s="6"/>
      <c r="N2448" s="7"/>
      <c r="O2448" s="6"/>
      <c r="P2448" s="7"/>
      <c r="Q2448" s="6"/>
      <c r="R2448" s="7"/>
      <c r="S2448" s="6"/>
      <c r="T2448" s="7"/>
      <c r="U2448" s="6"/>
      <c r="V2448" s="7"/>
      <c r="W2448" s="6"/>
      <c r="X2448" s="7"/>
    </row>
    <row r="2449" spans="1:24" ht="25.5" x14ac:dyDescent="0.2">
      <c r="A2449" s="6"/>
      <c r="B2449" s="7"/>
      <c r="C2449" s="6"/>
      <c r="D2449" s="7"/>
      <c r="E2449" s="6"/>
      <c r="F2449" s="7"/>
      <c r="G2449" s="6"/>
      <c r="H2449" s="7"/>
      <c r="I2449" s="6"/>
      <c r="J2449" s="7"/>
      <c r="K2449" s="96" t="str">
        <f>HYPERLINK("#'Healthcare'!CPE1","Q6.17.33_10")</f>
        <v>Q6.17.33_10</v>
      </c>
      <c r="L2449" s="93" t="str">
        <f>HYPERLINK("#'Healthcare'!CPE2","Primary indemnity dental plan: Age limit applies: Examinations (non-routine)")</f>
        <v>Primary indemnity dental plan: Age limit applies: Examinations (non-routine)</v>
      </c>
      <c r="M2449" s="6"/>
      <c r="N2449" s="7"/>
      <c r="O2449" s="6"/>
      <c r="P2449" s="7"/>
      <c r="Q2449" s="6"/>
      <c r="R2449" s="7"/>
      <c r="S2449" s="6"/>
      <c r="T2449" s="7"/>
      <c r="U2449" s="6"/>
      <c r="V2449" s="7"/>
      <c r="W2449" s="6"/>
      <c r="X2449" s="7"/>
    </row>
    <row r="2450" spans="1:24" ht="25.5" x14ac:dyDescent="0.2">
      <c r="A2450" s="6"/>
      <c r="B2450" s="7"/>
      <c r="C2450" s="6"/>
      <c r="D2450" s="7"/>
      <c r="E2450" s="6"/>
      <c r="F2450" s="7"/>
      <c r="G2450" s="6"/>
      <c r="H2450" s="7"/>
      <c r="I2450" s="6"/>
      <c r="J2450" s="7"/>
      <c r="K2450" s="96" t="str">
        <f>HYPERLINK("#'Healthcare'!CPF1","Q6.17.33_11")</f>
        <v>Q6.17.33_11</v>
      </c>
      <c r="L2450" s="93" t="str">
        <f>HYPERLINK("#'Healthcare'!CPF2","Primary indemnity dental plan: Age limit applies: Examinations (routine)")</f>
        <v>Primary indemnity dental plan: Age limit applies: Examinations (routine)</v>
      </c>
      <c r="M2450" s="6"/>
      <c r="N2450" s="7"/>
      <c r="O2450" s="6"/>
      <c r="P2450" s="7"/>
      <c r="Q2450" s="6"/>
      <c r="R2450" s="7"/>
      <c r="S2450" s="6"/>
      <c r="T2450" s="7"/>
      <c r="U2450" s="6"/>
      <c r="V2450" s="7"/>
      <c r="W2450" s="6"/>
      <c r="X2450" s="7"/>
    </row>
    <row r="2451" spans="1:24" ht="25.5" x14ac:dyDescent="0.2">
      <c r="A2451" s="6"/>
      <c r="B2451" s="7"/>
      <c r="C2451" s="6"/>
      <c r="D2451" s="7"/>
      <c r="E2451" s="6"/>
      <c r="F2451" s="7"/>
      <c r="G2451" s="6"/>
      <c r="H2451" s="7"/>
      <c r="I2451" s="6"/>
      <c r="J2451" s="7"/>
      <c r="K2451" s="96" t="str">
        <f>HYPERLINK("#'Healthcare'!CPG1","Q6.17.33_12")</f>
        <v>Q6.17.33_12</v>
      </c>
      <c r="L2451" s="93" t="str">
        <f>HYPERLINK("#'Healthcare'!CPG2","Primary indemnity dental plan: Age limit applies: Fluoride treatments")</f>
        <v>Primary indemnity dental plan: Age limit applies: Fluoride treatments</v>
      </c>
      <c r="M2451" s="6"/>
      <c r="N2451" s="7"/>
      <c r="O2451" s="6"/>
      <c r="P2451" s="7"/>
      <c r="Q2451" s="6"/>
      <c r="R2451" s="7"/>
      <c r="S2451" s="6"/>
      <c r="T2451" s="7"/>
      <c r="U2451" s="6"/>
      <c r="V2451" s="7"/>
      <c r="W2451" s="6"/>
      <c r="X2451" s="7"/>
    </row>
    <row r="2452" spans="1:24" ht="25.5" x14ac:dyDescent="0.2">
      <c r="A2452" s="6"/>
      <c r="B2452" s="7"/>
      <c r="C2452" s="6"/>
      <c r="D2452" s="7"/>
      <c r="E2452" s="6"/>
      <c r="F2452" s="7"/>
      <c r="G2452" s="6"/>
      <c r="H2452" s="7"/>
      <c r="I2452" s="6"/>
      <c r="J2452" s="7"/>
      <c r="K2452" s="96" t="str">
        <f>HYPERLINK("#'Healthcare'!CPH1","Q6.17.33_13")</f>
        <v>Q6.17.33_13</v>
      </c>
      <c r="L2452" s="93" t="str">
        <f>HYPERLINK("#'Healthcare'!CPH2","Primary indemnity dental plan: Age limit applies: Implants")</f>
        <v>Primary indemnity dental plan: Age limit applies: Implants</v>
      </c>
      <c r="M2452" s="6"/>
      <c r="N2452" s="7"/>
      <c r="O2452" s="6"/>
      <c r="P2452" s="7"/>
      <c r="Q2452" s="6"/>
      <c r="R2452" s="7"/>
      <c r="S2452" s="6"/>
      <c r="T2452" s="7"/>
      <c r="U2452" s="6"/>
      <c r="V2452" s="7"/>
      <c r="W2452" s="6"/>
      <c r="X2452" s="7"/>
    </row>
    <row r="2453" spans="1:24" ht="25.5" x14ac:dyDescent="0.2">
      <c r="A2453" s="6"/>
      <c r="B2453" s="7"/>
      <c r="C2453" s="6"/>
      <c r="D2453" s="7"/>
      <c r="E2453" s="6"/>
      <c r="F2453" s="7"/>
      <c r="G2453" s="6"/>
      <c r="H2453" s="7"/>
      <c r="I2453" s="6"/>
      <c r="J2453" s="7"/>
      <c r="K2453" s="96" t="str">
        <f>HYPERLINK("#'Healthcare'!CPI1","Q6.17.33_14")</f>
        <v>Q6.17.33_14</v>
      </c>
      <c r="L2453" s="93" t="str">
        <f>HYPERLINK("#'Healthcare'!CPI2","Primary indemnity dental plan: Age limit applies: Inlays &amp; onlays")</f>
        <v>Primary indemnity dental plan: Age limit applies: Inlays &amp; onlays</v>
      </c>
      <c r="M2453" s="6"/>
      <c r="N2453" s="7"/>
      <c r="O2453" s="6"/>
      <c r="P2453" s="7"/>
      <c r="Q2453" s="6"/>
      <c r="R2453" s="7"/>
      <c r="S2453" s="6"/>
      <c r="T2453" s="7"/>
      <c r="U2453" s="6"/>
      <c r="V2453" s="7"/>
      <c r="W2453" s="6"/>
      <c r="X2453" s="7"/>
    </row>
    <row r="2454" spans="1:24" ht="25.5" x14ac:dyDescent="0.2">
      <c r="A2454" s="6"/>
      <c r="B2454" s="7"/>
      <c r="C2454" s="6"/>
      <c r="D2454" s="7"/>
      <c r="E2454" s="6"/>
      <c r="F2454" s="7"/>
      <c r="G2454" s="6"/>
      <c r="H2454" s="7"/>
      <c r="I2454" s="6"/>
      <c r="J2454" s="7"/>
      <c r="K2454" s="96" t="str">
        <f>HYPERLINK("#'Healthcare'!CPJ1","Q6.17.33_15")</f>
        <v>Q6.17.33_15</v>
      </c>
      <c r="L2454" s="93" t="str">
        <f>HYPERLINK("#'Healthcare'!CPJ2","Primary indemnity dental plan: Age limit applies: Night guards")</f>
        <v>Primary indemnity dental plan: Age limit applies: Night guards</v>
      </c>
      <c r="M2454" s="6"/>
      <c r="N2454" s="7"/>
      <c r="O2454" s="6"/>
      <c r="P2454" s="7"/>
      <c r="Q2454" s="6"/>
      <c r="R2454" s="7"/>
      <c r="S2454" s="6"/>
      <c r="T2454" s="7"/>
      <c r="U2454" s="6"/>
      <c r="V2454" s="7"/>
      <c r="W2454" s="6"/>
      <c r="X2454" s="7"/>
    </row>
    <row r="2455" spans="1:24" ht="25.5" x14ac:dyDescent="0.2">
      <c r="A2455" s="6"/>
      <c r="B2455" s="7"/>
      <c r="C2455" s="6"/>
      <c r="D2455" s="7"/>
      <c r="E2455" s="6"/>
      <c r="F2455" s="7"/>
      <c r="G2455" s="6"/>
      <c r="H2455" s="7"/>
      <c r="I2455" s="6"/>
      <c r="J2455" s="7"/>
      <c r="K2455" s="96" t="str">
        <f>HYPERLINK("#'Healthcare'!CPK1","Q6.17.33_16")</f>
        <v>Q6.17.33_16</v>
      </c>
      <c r="L2455" s="93" t="str">
        <f>HYPERLINK("#'Healthcare'!CPK2","Primary indemnity dental plan: Age limit applies: Oral surgery")</f>
        <v>Primary indemnity dental plan: Age limit applies: Oral surgery</v>
      </c>
      <c r="M2455" s="6"/>
      <c r="N2455" s="7"/>
      <c r="O2455" s="6"/>
      <c r="P2455" s="7"/>
      <c r="Q2455" s="6"/>
      <c r="R2455" s="7"/>
      <c r="S2455" s="6"/>
      <c r="T2455" s="7"/>
      <c r="U2455" s="6"/>
      <c r="V2455" s="7"/>
      <c r="W2455" s="6"/>
      <c r="X2455" s="7"/>
    </row>
    <row r="2456" spans="1:24" ht="25.5" x14ac:dyDescent="0.2">
      <c r="A2456" s="6"/>
      <c r="B2456" s="7"/>
      <c r="C2456" s="6"/>
      <c r="D2456" s="7"/>
      <c r="E2456" s="6"/>
      <c r="F2456" s="7"/>
      <c r="G2456" s="6"/>
      <c r="H2456" s="7"/>
      <c r="I2456" s="6"/>
      <c r="J2456" s="7"/>
      <c r="K2456" s="96" t="str">
        <f>HYPERLINK("#'Healthcare'!CPL1","Q6.17.33_17")</f>
        <v>Q6.17.33_17</v>
      </c>
      <c r="L2456" s="93" t="str">
        <f>HYPERLINK("#'Healthcare'!CPL2","Primary indemnity dental plan: Age limit applies: Orthodontia")</f>
        <v>Primary indemnity dental plan: Age limit applies: Orthodontia</v>
      </c>
      <c r="M2456" s="6"/>
      <c r="N2456" s="7"/>
      <c r="O2456" s="6"/>
      <c r="P2456" s="7"/>
      <c r="Q2456" s="6"/>
      <c r="R2456" s="7"/>
      <c r="S2456" s="6"/>
      <c r="T2456" s="7"/>
      <c r="U2456" s="6"/>
      <c r="V2456" s="7"/>
      <c r="W2456" s="6"/>
      <c r="X2456" s="7"/>
    </row>
    <row r="2457" spans="1:24" ht="25.5" x14ac:dyDescent="0.2">
      <c r="A2457" s="6"/>
      <c r="B2457" s="7"/>
      <c r="C2457" s="6"/>
      <c r="D2457" s="7"/>
      <c r="E2457" s="6"/>
      <c r="F2457" s="7"/>
      <c r="G2457" s="6"/>
      <c r="H2457" s="7"/>
      <c r="I2457" s="6"/>
      <c r="J2457" s="7"/>
      <c r="K2457" s="96" t="str">
        <f>HYPERLINK("#'Healthcare'!CPM1","Q6.17.33_18")</f>
        <v>Q6.17.33_18</v>
      </c>
      <c r="L2457" s="93" t="str">
        <f>HYPERLINK("#'Healthcare'!CPM2","Primary indemnity dental plan: Age limit applies: Periodontal scaling &amp; root planing")</f>
        <v>Primary indemnity dental plan: Age limit applies: Periodontal scaling &amp; root planing</v>
      </c>
      <c r="M2457" s="6"/>
      <c r="N2457" s="7"/>
      <c r="O2457" s="6"/>
      <c r="P2457" s="7"/>
      <c r="Q2457" s="6"/>
      <c r="R2457" s="7"/>
      <c r="S2457" s="6"/>
      <c r="T2457" s="7"/>
      <c r="U2457" s="6"/>
      <c r="V2457" s="7"/>
      <c r="W2457" s="6"/>
      <c r="X2457" s="7"/>
    </row>
    <row r="2458" spans="1:24" ht="25.5" x14ac:dyDescent="0.2">
      <c r="A2458" s="6"/>
      <c r="B2458" s="7"/>
      <c r="C2458" s="6"/>
      <c r="D2458" s="7"/>
      <c r="E2458" s="6"/>
      <c r="F2458" s="7"/>
      <c r="G2458" s="6"/>
      <c r="H2458" s="7"/>
      <c r="I2458" s="6"/>
      <c r="J2458" s="7"/>
      <c r="K2458" s="96" t="str">
        <f>HYPERLINK("#'Healthcare'!CPN1","Q6.17.33_19")</f>
        <v>Q6.17.33_19</v>
      </c>
      <c r="L2458" s="93" t="str">
        <f>HYPERLINK("#'Healthcare'!CPN2","Primary indemnity dental plan: Age limit applies: Periodontal surgery")</f>
        <v>Primary indemnity dental plan: Age limit applies: Periodontal surgery</v>
      </c>
      <c r="M2458" s="6"/>
      <c r="N2458" s="7"/>
      <c r="O2458" s="6"/>
      <c r="P2458" s="7"/>
      <c r="Q2458" s="6"/>
      <c r="R2458" s="7"/>
      <c r="S2458" s="6"/>
      <c r="T2458" s="7"/>
      <c r="U2458" s="6"/>
      <c r="V2458" s="7"/>
      <c r="W2458" s="6"/>
      <c r="X2458" s="7"/>
    </row>
    <row r="2459" spans="1:24" ht="25.5" x14ac:dyDescent="0.2">
      <c r="A2459" s="6"/>
      <c r="B2459" s="7"/>
      <c r="C2459" s="6"/>
      <c r="D2459" s="7"/>
      <c r="E2459" s="6"/>
      <c r="F2459" s="7"/>
      <c r="G2459" s="6"/>
      <c r="H2459" s="7"/>
      <c r="I2459" s="6"/>
      <c r="J2459" s="7"/>
      <c r="K2459" s="96" t="str">
        <f>HYPERLINK("#'Healthcare'!CPO1","Q6.17.33_20")</f>
        <v>Q6.17.33_20</v>
      </c>
      <c r="L2459" s="93" t="str">
        <f>HYPERLINK("#'Healthcare'!CPO2","Primary indemnity dental plan: Age limit applies: Root canals")</f>
        <v>Primary indemnity dental plan: Age limit applies: Root canals</v>
      </c>
      <c r="M2459" s="6"/>
      <c r="N2459" s="7"/>
      <c r="O2459" s="6"/>
      <c r="P2459" s="7"/>
      <c r="Q2459" s="6"/>
      <c r="R2459" s="7"/>
      <c r="S2459" s="6"/>
      <c r="T2459" s="7"/>
      <c r="U2459" s="6"/>
      <c r="V2459" s="7"/>
      <c r="W2459" s="6"/>
      <c r="X2459" s="7"/>
    </row>
    <row r="2460" spans="1:24" ht="25.5" x14ac:dyDescent="0.2">
      <c r="A2460" s="6"/>
      <c r="B2460" s="7"/>
      <c r="C2460" s="6"/>
      <c r="D2460" s="7"/>
      <c r="E2460" s="6"/>
      <c r="F2460" s="7"/>
      <c r="G2460" s="6"/>
      <c r="H2460" s="7"/>
      <c r="I2460" s="6"/>
      <c r="J2460" s="7"/>
      <c r="K2460" s="96" t="str">
        <f>HYPERLINK("#'Healthcare'!CPP1","Q6.17.33_21")</f>
        <v>Q6.17.33_21</v>
      </c>
      <c r="L2460" s="93" t="str">
        <f>HYPERLINK("#'Healthcare'!CPP2","Primary indemnity dental plan: Age limit applies: Space maintainers")</f>
        <v>Primary indemnity dental plan: Age limit applies: Space maintainers</v>
      </c>
      <c r="M2460" s="6"/>
      <c r="N2460" s="7"/>
      <c r="O2460" s="6"/>
      <c r="P2460" s="7"/>
      <c r="Q2460" s="6"/>
      <c r="R2460" s="7"/>
      <c r="S2460" s="6"/>
      <c r="T2460" s="7"/>
      <c r="U2460" s="6"/>
      <c r="V2460" s="7"/>
      <c r="W2460" s="6"/>
      <c r="X2460" s="7"/>
    </row>
    <row r="2461" spans="1:24" ht="25.5" x14ac:dyDescent="0.2">
      <c r="A2461" s="6"/>
      <c r="B2461" s="7"/>
      <c r="C2461" s="6"/>
      <c r="D2461" s="7"/>
      <c r="E2461" s="6"/>
      <c r="F2461" s="7"/>
      <c r="G2461" s="6"/>
      <c r="H2461" s="7"/>
      <c r="I2461" s="6"/>
      <c r="J2461" s="7"/>
      <c r="K2461" s="96" t="str">
        <f>HYPERLINK("#'Healthcare'!CPQ1","Q6.17.33_22")</f>
        <v>Q6.17.33_22</v>
      </c>
      <c r="L2461" s="93" t="str">
        <f>HYPERLINK("#'Healthcare'!CPQ2","Primary indemnity dental plan: Age limit applies: Tooth extractions")</f>
        <v>Primary indemnity dental plan: Age limit applies: Tooth extractions</v>
      </c>
      <c r="M2461" s="6"/>
      <c r="N2461" s="7"/>
      <c r="O2461" s="6"/>
      <c r="P2461" s="7"/>
      <c r="Q2461" s="6"/>
      <c r="R2461" s="7"/>
      <c r="S2461" s="6"/>
      <c r="T2461" s="7"/>
      <c r="U2461" s="6"/>
      <c r="V2461" s="7"/>
      <c r="W2461" s="6"/>
      <c r="X2461" s="7"/>
    </row>
    <row r="2462" spans="1:24" ht="25.5" x14ac:dyDescent="0.2">
      <c r="A2462" s="6"/>
      <c r="B2462" s="7"/>
      <c r="C2462" s="6"/>
      <c r="D2462" s="7"/>
      <c r="E2462" s="6"/>
      <c r="F2462" s="7"/>
      <c r="G2462" s="6"/>
      <c r="H2462" s="7"/>
      <c r="I2462" s="6"/>
      <c r="J2462" s="7"/>
      <c r="K2462" s="96" t="str">
        <f>HYPERLINK("#'Healthcare'!CPR1","Q6.17.33_23")</f>
        <v>Q6.17.33_23</v>
      </c>
      <c r="L2462" s="93" t="str">
        <f>HYPERLINK("#'Healthcare'!CPR2","Primary indemnity dental plan: Age limit applies: Tooth sealants")</f>
        <v>Primary indemnity dental plan: Age limit applies: Tooth sealants</v>
      </c>
      <c r="M2462" s="6"/>
      <c r="N2462" s="7"/>
      <c r="O2462" s="6"/>
      <c r="P2462" s="7"/>
      <c r="Q2462" s="6"/>
      <c r="R2462" s="7"/>
      <c r="S2462" s="6"/>
      <c r="T2462" s="7"/>
      <c r="U2462" s="6"/>
      <c r="V2462" s="7"/>
      <c r="W2462" s="6"/>
      <c r="X2462" s="7"/>
    </row>
    <row r="2463" spans="1:24" ht="25.5" x14ac:dyDescent="0.2">
      <c r="A2463" s="6"/>
      <c r="B2463" s="7"/>
      <c r="C2463" s="6"/>
      <c r="D2463" s="7"/>
      <c r="E2463" s="6"/>
      <c r="F2463" s="7"/>
      <c r="G2463" s="6"/>
      <c r="H2463" s="7"/>
      <c r="I2463" s="6"/>
      <c r="J2463" s="7"/>
      <c r="K2463" s="96" t="str">
        <f>HYPERLINK("#'Healthcare'!CPS1","Q6.17.33_24")</f>
        <v>Q6.17.33_24</v>
      </c>
      <c r="L2463" s="93" t="str">
        <f>HYPERLINK("#'Healthcare'!CPS2","Primary indemnity dental plan: Age limit applies: Topical fluoride treatments")</f>
        <v>Primary indemnity dental plan: Age limit applies: Topical fluoride treatments</v>
      </c>
      <c r="M2463" s="6"/>
      <c r="N2463" s="7"/>
      <c r="O2463" s="6"/>
      <c r="P2463" s="7"/>
      <c r="Q2463" s="6"/>
      <c r="R2463" s="7"/>
      <c r="S2463" s="6"/>
      <c r="T2463" s="7"/>
      <c r="U2463" s="6"/>
      <c r="V2463" s="7"/>
      <c r="W2463" s="6"/>
      <c r="X2463" s="7"/>
    </row>
    <row r="2464" spans="1:24" ht="25.5" x14ac:dyDescent="0.2">
      <c r="A2464" s="6"/>
      <c r="B2464" s="7"/>
      <c r="C2464" s="6"/>
      <c r="D2464" s="7"/>
      <c r="E2464" s="6"/>
      <c r="F2464" s="7"/>
      <c r="G2464" s="6"/>
      <c r="H2464" s="7"/>
      <c r="I2464" s="6"/>
      <c r="J2464" s="7"/>
      <c r="K2464" s="96" t="str">
        <f>HYPERLINK("#'Healthcare'!CPT1","Q6.17.33_25")</f>
        <v>Q6.17.33_25</v>
      </c>
      <c r="L2464" s="93" t="str">
        <f>HYPERLINK("#'Healthcare'!CPT2","Primary indemnity dental plan: Age limit applies: X-rays - bitewings")</f>
        <v>Primary indemnity dental plan: Age limit applies: X-rays - bitewings</v>
      </c>
      <c r="M2464" s="6"/>
      <c r="N2464" s="7"/>
      <c r="O2464" s="6"/>
      <c r="P2464" s="7"/>
      <c r="Q2464" s="6"/>
      <c r="R2464" s="7"/>
      <c r="S2464" s="6"/>
      <c r="T2464" s="7"/>
      <c r="U2464" s="6"/>
      <c r="V2464" s="7"/>
      <c r="W2464" s="6"/>
      <c r="X2464" s="7"/>
    </row>
    <row r="2465" spans="1:24" ht="25.5" x14ac:dyDescent="0.2">
      <c r="A2465" s="6"/>
      <c r="B2465" s="7"/>
      <c r="C2465" s="6"/>
      <c r="D2465" s="7"/>
      <c r="E2465" s="6"/>
      <c r="F2465" s="7"/>
      <c r="G2465" s="6"/>
      <c r="H2465" s="7"/>
      <c r="I2465" s="6"/>
      <c r="J2465" s="7"/>
      <c r="K2465" s="96" t="str">
        <f>HYPERLINK("#'Healthcare'!CPU1","Q6.17.33_26")</f>
        <v>Q6.17.33_26</v>
      </c>
      <c r="L2465" s="93" t="str">
        <f>HYPERLINK("#'Healthcare'!CPU2","Primary indemnity dental plan: Age limit applies: X-rays - Full-mouth, panorex")</f>
        <v>Primary indemnity dental plan: Age limit applies: X-rays - Full-mouth, panorex</v>
      </c>
      <c r="M2465" s="6"/>
      <c r="N2465" s="7"/>
      <c r="O2465" s="6"/>
      <c r="P2465" s="7"/>
      <c r="Q2465" s="6"/>
      <c r="R2465" s="7"/>
      <c r="S2465" s="6"/>
      <c r="T2465" s="7"/>
      <c r="U2465" s="6"/>
      <c r="V2465" s="7"/>
      <c r="W2465" s="6"/>
      <c r="X2465" s="7"/>
    </row>
    <row r="2466" spans="1:24" ht="25.5" x14ac:dyDescent="0.2">
      <c r="A2466" s="6"/>
      <c r="B2466" s="7"/>
      <c r="C2466" s="6"/>
      <c r="D2466" s="7"/>
      <c r="E2466" s="6"/>
      <c r="F2466" s="7"/>
      <c r="G2466" s="6"/>
      <c r="H2466" s="7"/>
      <c r="I2466" s="6"/>
      <c r="J2466" s="7"/>
      <c r="K2466" s="96" t="str">
        <f>HYPERLINK("#'Healthcare'!CPV1","Q6.17.33_27")</f>
        <v>Q6.17.33_27</v>
      </c>
      <c r="L2466" s="93" t="str">
        <f>HYPERLINK("#'Healthcare'!CPV2","Primary indemnity dental plan: Age limit applies: X-rays - periapical")</f>
        <v>Primary indemnity dental plan: Age limit applies: X-rays - periapical</v>
      </c>
      <c r="M2466" s="6"/>
      <c r="N2466" s="7"/>
      <c r="O2466" s="6"/>
      <c r="P2466" s="7"/>
      <c r="Q2466" s="6"/>
      <c r="R2466" s="7"/>
      <c r="S2466" s="6"/>
      <c r="T2466" s="7"/>
      <c r="U2466" s="6"/>
      <c r="V2466" s="7"/>
      <c r="W2466" s="6"/>
      <c r="X2466" s="7"/>
    </row>
    <row r="2467" spans="1:24" ht="25.5" x14ac:dyDescent="0.2">
      <c r="A2467" s="6"/>
      <c r="B2467" s="7"/>
      <c r="C2467" s="6"/>
      <c r="D2467" s="7"/>
      <c r="E2467" s="6"/>
      <c r="F2467" s="7"/>
      <c r="G2467" s="6"/>
      <c r="H2467" s="7"/>
      <c r="I2467" s="6"/>
      <c r="J2467" s="7"/>
      <c r="K2467" s="96" t="str">
        <f>HYPERLINK("#'Healthcare'!CPW1","Q6.18.2")</f>
        <v>Q6.18.2</v>
      </c>
      <c r="L2467" s="93" t="str">
        <f>HYPERLINK("#'Healthcare'!CPW2","Total number of national self-insured vision plans offered")</f>
        <v>Total number of national self-insured vision plans offered</v>
      </c>
      <c r="M2467" s="6"/>
      <c r="N2467" s="7"/>
      <c r="O2467" s="6"/>
      <c r="P2467" s="7"/>
      <c r="Q2467" s="6"/>
      <c r="R2467" s="7"/>
      <c r="S2467" s="6"/>
      <c r="T2467" s="7"/>
      <c r="U2467" s="6"/>
      <c r="V2467" s="7"/>
      <c r="W2467" s="6"/>
      <c r="X2467" s="7"/>
    </row>
    <row r="2468" spans="1:24" ht="12.75" x14ac:dyDescent="0.2">
      <c r="A2468" s="6"/>
      <c r="B2468" s="7"/>
      <c r="C2468" s="6"/>
      <c r="D2468" s="7"/>
      <c r="E2468" s="6"/>
      <c r="F2468" s="7"/>
      <c r="G2468" s="6"/>
      <c r="H2468" s="7"/>
      <c r="I2468" s="6"/>
      <c r="J2468" s="7"/>
      <c r="K2468" s="96" t="str">
        <f>HYPERLINK("#'Healthcare'!CPX1","Q6.18.4")</f>
        <v>Q6.18.4</v>
      </c>
      <c r="L2468" s="93" t="str">
        <f>HYPERLINK("#'Healthcare'!CPX2","Primary vision plan: In-network exam copay")</f>
        <v>Primary vision plan: In-network exam copay</v>
      </c>
      <c r="M2468" s="6"/>
      <c r="N2468" s="7"/>
      <c r="O2468" s="6"/>
      <c r="P2468" s="7"/>
      <c r="Q2468" s="6"/>
      <c r="R2468" s="7"/>
      <c r="S2468" s="6"/>
      <c r="T2468" s="7"/>
      <c r="U2468" s="6"/>
      <c r="V2468" s="7"/>
      <c r="W2468" s="6"/>
      <c r="X2468" s="7"/>
    </row>
    <row r="2469" spans="1:24" ht="25.5" x14ac:dyDescent="0.2">
      <c r="A2469" s="6"/>
      <c r="B2469" s="7"/>
      <c r="C2469" s="6"/>
      <c r="D2469" s="7"/>
      <c r="E2469" s="6"/>
      <c r="F2469" s="7"/>
      <c r="G2469" s="6"/>
      <c r="H2469" s="7"/>
      <c r="I2469" s="6"/>
      <c r="J2469" s="7"/>
      <c r="K2469" s="96" t="str">
        <f>HYPERLINK("#'Healthcare'!CPY1","Q6.18.5")</f>
        <v>Q6.18.5</v>
      </c>
      <c r="L2469" s="93" t="str">
        <f>HYPERLINK("#'Healthcare'!CPY2","Primary vision plan: In-network exam coinsurance")</f>
        <v>Primary vision plan: In-network exam coinsurance</v>
      </c>
      <c r="M2469" s="6"/>
      <c r="N2469" s="7"/>
      <c r="O2469" s="6"/>
      <c r="P2469" s="7"/>
      <c r="Q2469" s="6"/>
      <c r="R2469" s="7"/>
      <c r="S2469" s="6"/>
      <c r="T2469" s="7"/>
      <c r="U2469" s="6"/>
      <c r="V2469" s="7"/>
      <c r="W2469" s="6"/>
      <c r="X2469" s="7"/>
    </row>
    <row r="2470" spans="1:24" ht="25.5" x14ac:dyDescent="0.2">
      <c r="A2470" s="6"/>
      <c r="B2470" s="7"/>
      <c r="C2470" s="6"/>
      <c r="D2470" s="7"/>
      <c r="E2470" s="6"/>
      <c r="F2470" s="7"/>
      <c r="G2470" s="6"/>
      <c r="H2470" s="7"/>
      <c r="I2470" s="6"/>
      <c r="J2470" s="7"/>
      <c r="K2470" s="96" t="str">
        <f>HYPERLINK("#'Healthcare'!CPZ1","Q6.18.6")</f>
        <v>Q6.18.6</v>
      </c>
      <c r="L2470" s="93" t="str">
        <f>HYPERLINK("#'Healthcare'!CPZ2","Primary vision plan: Out-of-network materials copay")</f>
        <v>Primary vision plan: Out-of-network materials copay</v>
      </c>
      <c r="M2470" s="6"/>
      <c r="N2470" s="7"/>
      <c r="O2470" s="6"/>
      <c r="P2470" s="7"/>
      <c r="Q2470" s="6"/>
      <c r="R2470" s="7"/>
      <c r="S2470" s="6"/>
      <c r="T2470" s="7"/>
      <c r="U2470" s="6"/>
      <c r="V2470" s="7"/>
      <c r="W2470" s="6"/>
      <c r="X2470" s="7"/>
    </row>
    <row r="2471" spans="1:24" ht="25.5" x14ac:dyDescent="0.2">
      <c r="A2471" s="6"/>
      <c r="B2471" s="7"/>
      <c r="C2471" s="6"/>
      <c r="D2471" s="7"/>
      <c r="E2471" s="6"/>
      <c r="F2471" s="7"/>
      <c r="G2471" s="6"/>
      <c r="H2471" s="7"/>
      <c r="I2471" s="6"/>
      <c r="J2471" s="7"/>
      <c r="K2471" s="96" t="str">
        <f>HYPERLINK("#'Healthcare'!CQA1","Q6.18.7")</f>
        <v>Q6.18.7</v>
      </c>
      <c r="L2471" s="93" t="str">
        <f>HYPERLINK("#'Healthcare'!CQA2","Primary vision plan: Out-of-network materials coinsurance")</f>
        <v>Primary vision plan: Out-of-network materials coinsurance</v>
      </c>
      <c r="M2471" s="6"/>
      <c r="N2471" s="7"/>
      <c r="O2471" s="6"/>
      <c r="P2471" s="7"/>
      <c r="Q2471" s="6"/>
      <c r="R2471" s="7"/>
      <c r="S2471" s="6"/>
      <c r="T2471" s="7"/>
      <c r="U2471" s="6"/>
      <c r="V2471" s="7"/>
      <c r="W2471" s="6"/>
      <c r="X2471" s="7"/>
    </row>
    <row r="2472" spans="1:24" ht="25.5" x14ac:dyDescent="0.2">
      <c r="A2472" s="6"/>
      <c r="B2472" s="7"/>
      <c r="C2472" s="6"/>
      <c r="D2472" s="7"/>
      <c r="E2472" s="6"/>
      <c r="F2472" s="7"/>
      <c r="G2472" s="6"/>
      <c r="H2472" s="7"/>
      <c r="I2472" s="6"/>
      <c r="J2472" s="7"/>
      <c r="K2472" s="96" t="str">
        <f>HYPERLINK("#'Healthcare'!CQB1","Q6.18.8_1")</f>
        <v>Q6.18.8_1</v>
      </c>
      <c r="L2472" s="93" t="str">
        <f>HYPERLINK("#'Healthcare'!CQB2","Primary vision plan: Frequency limit: Vision exam")</f>
        <v>Primary vision plan: Frequency limit: Vision exam</v>
      </c>
      <c r="M2472" s="6"/>
      <c r="N2472" s="7"/>
      <c r="O2472" s="6"/>
      <c r="P2472" s="7"/>
      <c r="Q2472" s="6"/>
      <c r="R2472" s="7"/>
      <c r="S2472" s="6"/>
      <c r="T2472" s="7"/>
      <c r="U2472" s="6"/>
      <c r="V2472" s="7"/>
      <c r="W2472" s="6"/>
      <c r="X2472" s="7"/>
    </row>
    <row r="2473" spans="1:24" ht="25.5" x14ac:dyDescent="0.2">
      <c r="A2473" s="6"/>
      <c r="B2473" s="7"/>
      <c r="C2473" s="6"/>
      <c r="D2473" s="7"/>
      <c r="E2473" s="6"/>
      <c r="F2473" s="7"/>
      <c r="G2473" s="6"/>
      <c r="H2473" s="7"/>
      <c r="I2473" s="6"/>
      <c r="J2473" s="7"/>
      <c r="K2473" s="96" t="str">
        <f>HYPERLINK("#'Healthcare'!CQC1","Q6.18.8_2")</f>
        <v>Q6.18.8_2</v>
      </c>
      <c r="L2473" s="93" t="str">
        <f>HYPERLINK("#'Healthcare'!CQC2","Primary vision plan: Frequency limit: Eyeglass lenses")</f>
        <v>Primary vision plan: Frequency limit: Eyeglass lenses</v>
      </c>
      <c r="M2473" s="6"/>
      <c r="N2473" s="7"/>
      <c r="O2473" s="6"/>
      <c r="P2473" s="7"/>
      <c r="Q2473" s="6"/>
      <c r="R2473" s="7"/>
      <c r="S2473" s="6"/>
      <c r="T2473" s="7"/>
      <c r="U2473" s="6"/>
      <c r="V2473" s="7"/>
      <c r="W2473" s="6"/>
      <c r="X2473" s="7"/>
    </row>
    <row r="2474" spans="1:24" ht="25.5" x14ac:dyDescent="0.2">
      <c r="A2474" s="6"/>
      <c r="B2474" s="7"/>
      <c r="C2474" s="6"/>
      <c r="D2474" s="7"/>
      <c r="E2474" s="6"/>
      <c r="F2474" s="7"/>
      <c r="G2474" s="6"/>
      <c r="H2474" s="7"/>
      <c r="I2474" s="6"/>
      <c r="J2474" s="7"/>
      <c r="K2474" s="96" t="str">
        <f>HYPERLINK("#'Healthcare'!CQD1","Q6.18.8_3")</f>
        <v>Q6.18.8_3</v>
      </c>
      <c r="L2474" s="93" t="str">
        <f>HYPERLINK("#'Healthcare'!CQD2","Primary vision plan: Frequency limit: Eyeglass frame")</f>
        <v>Primary vision plan: Frequency limit: Eyeglass frame</v>
      </c>
      <c r="M2474" s="6"/>
      <c r="N2474" s="7"/>
      <c r="O2474" s="6"/>
      <c r="P2474" s="7"/>
      <c r="Q2474" s="6"/>
      <c r="R2474" s="7"/>
      <c r="S2474" s="6"/>
      <c r="T2474" s="7"/>
      <c r="U2474" s="6"/>
      <c r="V2474" s="7"/>
      <c r="W2474" s="6"/>
      <c r="X2474" s="7"/>
    </row>
    <row r="2475" spans="1:24" ht="25.5" x14ac:dyDescent="0.2">
      <c r="A2475" s="6"/>
      <c r="B2475" s="7"/>
      <c r="C2475" s="6"/>
      <c r="D2475" s="7"/>
      <c r="E2475" s="6"/>
      <c r="F2475" s="7"/>
      <c r="G2475" s="6"/>
      <c r="H2475" s="7"/>
      <c r="I2475" s="6"/>
      <c r="J2475" s="7"/>
      <c r="K2475" s="96" t="str">
        <f>HYPERLINK("#'Healthcare'!CQE1","Q6.18.8_4")</f>
        <v>Q6.18.8_4</v>
      </c>
      <c r="L2475" s="93" t="str">
        <f>HYPERLINK("#'Healthcare'!CQE2","Primary vision plan: Frequency limit: Contact lenses (elective)")</f>
        <v>Primary vision plan: Frequency limit: Contact lenses (elective)</v>
      </c>
      <c r="M2475" s="6"/>
      <c r="N2475" s="7"/>
      <c r="O2475" s="6"/>
      <c r="P2475" s="7"/>
      <c r="Q2475" s="6"/>
      <c r="R2475" s="7"/>
      <c r="S2475" s="6"/>
      <c r="T2475" s="7"/>
      <c r="U2475" s="6"/>
      <c r="V2475" s="7"/>
      <c r="W2475" s="6"/>
      <c r="X2475" s="7"/>
    </row>
    <row r="2476" spans="1:24" ht="25.5" x14ac:dyDescent="0.2">
      <c r="A2476" s="6"/>
      <c r="B2476" s="7"/>
      <c r="C2476" s="6"/>
      <c r="D2476" s="7"/>
      <c r="E2476" s="6"/>
      <c r="F2476" s="7"/>
      <c r="G2476" s="6"/>
      <c r="H2476" s="7"/>
      <c r="I2476" s="6"/>
      <c r="J2476" s="7"/>
      <c r="K2476" s="96" t="str">
        <f>HYPERLINK("#'Healthcare'!CQF1","Q6.18.8_5")</f>
        <v>Q6.18.8_5</v>
      </c>
      <c r="L2476" s="93" t="str">
        <f>HYPERLINK("#'Healthcare'!CQF2","Primary vision plan: Frequency limit: Contact lenses (medically necessary)")</f>
        <v>Primary vision plan: Frequency limit: Contact lenses (medically necessary)</v>
      </c>
      <c r="M2476" s="6"/>
      <c r="N2476" s="7"/>
      <c r="O2476" s="6"/>
      <c r="P2476" s="7"/>
      <c r="Q2476" s="6"/>
      <c r="R2476" s="7"/>
      <c r="S2476" s="6"/>
      <c r="T2476" s="7"/>
      <c r="U2476" s="6"/>
      <c r="V2476" s="7"/>
      <c r="W2476" s="6"/>
      <c r="X2476" s="7"/>
    </row>
    <row r="2477" spans="1:24" ht="25.5" x14ac:dyDescent="0.2">
      <c r="A2477" s="6"/>
      <c r="B2477" s="7"/>
      <c r="C2477" s="6"/>
      <c r="D2477" s="7"/>
      <c r="E2477" s="6"/>
      <c r="F2477" s="7"/>
      <c r="G2477" s="6"/>
      <c r="H2477" s="7"/>
      <c r="I2477" s="6"/>
      <c r="J2477" s="7"/>
      <c r="K2477" s="96" t="str">
        <f>HYPERLINK("#'Healthcare'!CQG1","Q6.18.9_1")</f>
        <v>Q6.18.9_1</v>
      </c>
      <c r="L2477" s="93" t="str">
        <f>HYPERLINK("#'Healthcare'!CQG2","Primary vision plan: In-network maximum dollar allowance: Vision exam")</f>
        <v>Primary vision plan: In-network maximum dollar allowance: Vision exam</v>
      </c>
      <c r="M2477" s="6"/>
      <c r="N2477" s="7"/>
      <c r="O2477" s="6"/>
      <c r="P2477" s="7"/>
      <c r="Q2477" s="6"/>
      <c r="R2477" s="7"/>
      <c r="S2477" s="6"/>
      <c r="T2477" s="7"/>
      <c r="U2477" s="6"/>
      <c r="V2477" s="7"/>
      <c r="W2477" s="6"/>
      <c r="X2477" s="7"/>
    </row>
    <row r="2478" spans="1:24" ht="25.5" x14ac:dyDescent="0.2">
      <c r="A2478" s="6"/>
      <c r="B2478" s="7"/>
      <c r="C2478" s="6"/>
      <c r="D2478" s="7"/>
      <c r="E2478" s="6"/>
      <c r="F2478" s="7"/>
      <c r="G2478" s="6"/>
      <c r="H2478" s="7"/>
      <c r="I2478" s="6"/>
      <c r="J2478" s="7"/>
      <c r="K2478" s="96" t="str">
        <f>HYPERLINK("#'Healthcare'!CQH1","Q6.18.9_2")</f>
        <v>Q6.18.9_2</v>
      </c>
      <c r="L2478" s="93" t="str">
        <f>HYPERLINK("#'Healthcare'!CQH2","Primary vision plan: In-network maximum dollar allowance: Eyeglass lenses")</f>
        <v>Primary vision plan: In-network maximum dollar allowance: Eyeglass lenses</v>
      </c>
      <c r="M2478" s="6"/>
      <c r="N2478" s="7"/>
      <c r="O2478" s="6"/>
      <c r="P2478" s="7"/>
      <c r="Q2478" s="6"/>
      <c r="R2478" s="7"/>
      <c r="S2478" s="6"/>
      <c r="T2478" s="7"/>
      <c r="U2478" s="6"/>
      <c r="V2478" s="7"/>
      <c r="W2478" s="6"/>
      <c r="X2478" s="7"/>
    </row>
    <row r="2479" spans="1:24" ht="25.5" x14ac:dyDescent="0.2">
      <c r="A2479" s="6"/>
      <c r="B2479" s="7"/>
      <c r="C2479" s="6"/>
      <c r="D2479" s="7"/>
      <c r="E2479" s="6"/>
      <c r="F2479" s="7"/>
      <c r="G2479" s="6"/>
      <c r="H2479" s="7"/>
      <c r="I2479" s="6"/>
      <c r="J2479" s="7"/>
      <c r="K2479" s="96" t="str">
        <f>HYPERLINK("#'Healthcare'!CQI1","Q6.18.9_3")</f>
        <v>Q6.18.9_3</v>
      </c>
      <c r="L2479" s="93" t="str">
        <f>HYPERLINK("#'Healthcare'!CQI2","Primary vision plan: In-network maximum dollar allowance: Eyeglass frame")</f>
        <v>Primary vision plan: In-network maximum dollar allowance: Eyeglass frame</v>
      </c>
      <c r="M2479" s="6"/>
      <c r="N2479" s="7"/>
      <c r="O2479" s="6"/>
      <c r="P2479" s="7"/>
      <c r="Q2479" s="6"/>
      <c r="R2479" s="7"/>
      <c r="S2479" s="6"/>
      <c r="T2479" s="7"/>
      <c r="U2479" s="6"/>
      <c r="V2479" s="7"/>
      <c r="W2479" s="6"/>
      <c r="X2479" s="7"/>
    </row>
    <row r="2480" spans="1:24" ht="25.5" x14ac:dyDescent="0.2">
      <c r="A2480" s="6"/>
      <c r="B2480" s="7"/>
      <c r="C2480" s="6"/>
      <c r="D2480" s="7"/>
      <c r="E2480" s="6"/>
      <c r="F2480" s="7"/>
      <c r="G2480" s="6"/>
      <c r="H2480" s="7"/>
      <c r="I2480" s="6"/>
      <c r="J2480" s="7"/>
      <c r="K2480" s="96" t="str">
        <f>HYPERLINK("#'Healthcare'!CQJ1","Q6.18.9_4")</f>
        <v>Q6.18.9_4</v>
      </c>
      <c r="L2480" s="93" t="str">
        <f>HYPERLINK("#'Healthcare'!CQJ2","Primary vision plan: In-network maximum dollar allowance: Contact lenses (elective)")</f>
        <v>Primary vision plan: In-network maximum dollar allowance: Contact lenses (elective)</v>
      </c>
      <c r="M2480" s="6"/>
      <c r="N2480" s="7"/>
      <c r="O2480" s="6"/>
      <c r="P2480" s="7"/>
      <c r="Q2480" s="6"/>
      <c r="R2480" s="7"/>
      <c r="S2480" s="6"/>
      <c r="T2480" s="7"/>
      <c r="U2480" s="6"/>
      <c r="V2480" s="7"/>
      <c r="W2480" s="6"/>
      <c r="X2480" s="7"/>
    </row>
    <row r="2481" spans="1:24" ht="25.5" x14ac:dyDescent="0.2">
      <c r="A2481" s="6"/>
      <c r="B2481" s="7"/>
      <c r="C2481" s="6"/>
      <c r="D2481" s="7"/>
      <c r="E2481" s="6"/>
      <c r="F2481" s="7"/>
      <c r="G2481" s="6"/>
      <c r="H2481" s="7"/>
      <c r="I2481" s="6"/>
      <c r="J2481" s="7"/>
      <c r="K2481" s="96" t="str">
        <f>HYPERLINK("#'Healthcare'!CQK1","Q6.18.9_5")</f>
        <v>Q6.18.9_5</v>
      </c>
      <c r="L2481" s="93" t="str">
        <f>HYPERLINK("#'Healthcare'!CQK2","Primary vision plan: In-network maximum dollar allowance: Contact lenses (medically")</f>
        <v>Primary vision plan: In-network maximum dollar allowance: Contact lenses (medically</v>
      </c>
      <c r="M2481" s="6"/>
      <c r="N2481" s="7"/>
      <c r="O2481" s="6"/>
      <c r="P2481" s="7"/>
      <c r="Q2481" s="6"/>
      <c r="R2481" s="7"/>
      <c r="S2481" s="6"/>
      <c r="T2481" s="7"/>
      <c r="U2481" s="6"/>
      <c r="V2481" s="7"/>
      <c r="W2481" s="6"/>
      <c r="X2481" s="7"/>
    </row>
    <row r="2482" spans="1:24" ht="12.75" x14ac:dyDescent="0.2">
      <c r="A2482" s="6"/>
      <c r="B2482" s="7"/>
      <c r="C2482" s="6"/>
      <c r="D2482" s="7"/>
      <c r="E2482" s="6"/>
      <c r="F2482" s="7"/>
      <c r="G2482" s="6"/>
      <c r="H2482" s="7"/>
      <c r="I2482" s="6"/>
      <c r="J2482" s="7"/>
      <c r="K2482" s="96" t="str">
        <f>HYPERLINK("#'Healthcare'!CQL1","Q6.18.10")</f>
        <v>Q6.18.10</v>
      </c>
      <c r="L2482" s="93" t="str">
        <f>HYPERLINK("#'Healthcare'!CQL2","Primary vision plan: Plan coverage")</f>
        <v>Primary vision plan: Plan coverage</v>
      </c>
      <c r="M2482" s="6"/>
      <c r="N2482" s="7"/>
      <c r="O2482" s="6"/>
      <c r="P2482" s="7"/>
      <c r="Q2482" s="6"/>
      <c r="R2482" s="7"/>
      <c r="S2482" s="6"/>
      <c r="T2482" s="7"/>
      <c r="U2482" s="6"/>
      <c r="V2482" s="7"/>
      <c r="W2482" s="6"/>
      <c r="X2482" s="7"/>
    </row>
    <row r="2483" spans="1:24" ht="38.25" x14ac:dyDescent="0.2">
      <c r="A2483" s="6"/>
      <c r="B2483" s="7"/>
      <c r="C2483" s="6"/>
      <c r="D2483" s="7"/>
      <c r="E2483" s="6"/>
      <c r="F2483" s="7"/>
      <c r="G2483" s="6"/>
      <c r="H2483" s="7"/>
      <c r="I2483" s="6"/>
      <c r="J2483" s="7"/>
      <c r="K2483" s="96" t="str">
        <f>HYPERLINK("#'Healthcare'!CQM1","Q6.18.11")</f>
        <v>Q6.18.11</v>
      </c>
      <c r="L2483" s="93" t="str">
        <f>HYPERLINK("#'Healthcare'!CQM2","Primary vision plan: Non-medically necessary contact lenses in lieu of another vision allowance")</f>
        <v>Primary vision plan: Non-medically necessary contact lenses in lieu of another vision allowance</v>
      </c>
      <c r="M2483" s="6"/>
      <c r="N2483" s="7"/>
      <c r="O2483" s="6"/>
      <c r="P2483" s="7"/>
      <c r="Q2483" s="6"/>
      <c r="R2483" s="7"/>
      <c r="S2483" s="6"/>
      <c r="T2483" s="7"/>
      <c r="U2483" s="6"/>
      <c r="V2483" s="7"/>
      <c r="W2483" s="6"/>
      <c r="X2483" s="7"/>
    </row>
    <row r="2484" spans="1:24" ht="25.5" x14ac:dyDescent="0.2">
      <c r="A2484" s="6"/>
      <c r="B2484" s="7"/>
      <c r="C2484" s="6"/>
      <c r="D2484" s="7"/>
      <c r="E2484" s="6"/>
      <c r="F2484" s="7"/>
      <c r="G2484" s="6"/>
      <c r="H2484" s="7"/>
      <c r="I2484" s="6"/>
      <c r="J2484" s="7"/>
      <c r="K2484" s="96" t="str">
        <f>HYPERLINK("#'Healthcare'!CQN1","Q6.18.12")</f>
        <v>Q6.18.12</v>
      </c>
      <c r="L2484" s="93" t="str">
        <f>HYPERLINK("#'Healthcare'!CQN2","Primary vision plan: Contact lens professional fitting included in allowance")</f>
        <v>Primary vision plan: Contact lens professional fitting included in allowance</v>
      </c>
      <c r="M2484" s="6"/>
      <c r="N2484" s="7"/>
      <c r="O2484" s="6"/>
      <c r="P2484" s="7"/>
      <c r="Q2484" s="6"/>
      <c r="R2484" s="7"/>
      <c r="S2484" s="6"/>
      <c r="T2484" s="7"/>
      <c r="U2484" s="6"/>
      <c r="V2484" s="7"/>
      <c r="W2484" s="6"/>
      <c r="X2484" s="7"/>
    </row>
    <row r="2485" spans="1:24" ht="12.75" x14ac:dyDescent="0.2">
      <c r="A2485" s="6"/>
      <c r="B2485" s="7"/>
      <c r="C2485" s="6"/>
      <c r="D2485" s="7"/>
      <c r="E2485" s="6"/>
      <c r="F2485" s="7"/>
      <c r="G2485" s="6"/>
      <c r="H2485" s="7"/>
      <c r="I2485" s="6"/>
      <c r="J2485" s="7"/>
      <c r="K2485" s="96" t="str">
        <f>HYPERLINK("#'Healthcare'!CQO1","Q6.18.13")</f>
        <v>Q6.18.13</v>
      </c>
      <c r="L2485" s="93" t="str">
        <f>HYPERLINK("#'Healthcare'!CQO2","Primary vision plan: Lasik surgery coverage")</f>
        <v>Primary vision plan: Lasik surgery coverage</v>
      </c>
      <c r="M2485" s="6"/>
      <c r="N2485" s="7"/>
      <c r="O2485" s="6"/>
      <c r="P2485" s="7"/>
      <c r="Q2485" s="6"/>
      <c r="R2485" s="7"/>
      <c r="S2485" s="6"/>
      <c r="T2485" s="7"/>
      <c r="U2485" s="6"/>
      <c r="V2485" s="7"/>
      <c r="W2485" s="6"/>
      <c r="X2485" s="7"/>
    </row>
    <row r="2486" spans="1:24" ht="25.5" x14ac:dyDescent="0.2">
      <c r="A2486" s="6"/>
      <c r="B2486" s="7"/>
      <c r="C2486" s="6"/>
      <c r="D2486" s="7"/>
      <c r="E2486" s="6"/>
      <c r="F2486" s="7"/>
      <c r="G2486" s="6"/>
      <c r="H2486" s="7"/>
      <c r="I2486" s="6"/>
      <c r="J2486" s="7"/>
      <c r="K2486" s="96" t="str">
        <f>HYPERLINK("#'Healthcare'!CQP1","Q6.18.14")</f>
        <v>Q6.18.14</v>
      </c>
      <c r="L2486" s="93" t="str">
        <f>HYPERLINK("#'Healthcare'!CQP2","Primary vision plan: Lasik surgery coverage allowance")</f>
        <v>Primary vision plan: Lasik surgery coverage allowance</v>
      </c>
      <c r="M2486" s="6"/>
      <c r="N2486" s="7"/>
      <c r="O2486" s="6"/>
      <c r="P2486" s="7"/>
      <c r="Q2486" s="6"/>
      <c r="R2486" s="7"/>
      <c r="S2486" s="6"/>
      <c r="T2486" s="7"/>
      <c r="U2486" s="6"/>
      <c r="V2486" s="7"/>
      <c r="W2486" s="6"/>
      <c r="X2486" s="7"/>
    </row>
    <row r="2487" spans="1:24" ht="25.5" x14ac:dyDescent="0.2">
      <c r="A2487" s="6"/>
      <c r="B2487" s="7"/>
      <c r="C2487" s="6"/>
      <c r="D2487" s="7"/>
      <c r="E2487" s="6"/>
      <c r="F2487" s="7"/>
      <c r="G2487" s="6"/>
      <c r="H2487" s="7"/>
      <c r="I2487" s="6"/>
      <c r="J2487" s="7"/>
      <c r="K2487" s="96" t="str">
        <f>HYPERLINK("#'Healthcare'!CQQ1","Q6.19.2")</f>
        <v>Q6.19.2</v>
      </c>
      <c r="L2487" s="93" t="str">
        <f>HYPERLINK("#'Healthcare'!CQQ2","Healthcare reform: Member companies - Top challenge(s)")</f>
        <v>Healthcare reform: Member companies - Top challenge(s)</v>
      </c>
      <c r="M2487" s="6"/>
      <c r="N2487" s="7"/>
      <c r="O2487" s="6"/>
      <c r="P2487" s="7"/>
      <c r="Q2487" s="6"/>
      <c r="R2487" s="7"/>
      <c r="S2487" s="6"/>
      <c r="T2487" s="7"/>
      <c r="U2487" s="6"/>
      <c r="V2487" s="7"/>
      <c r="W2487" s="6"/>
      <c r="X2487" s="7"/>
    </row>
    <row r="2488" spans="1:24" ht="25.5" x14ac:dyDescent="0.2">
      <c r="A2488" s="6"/>
      <c r="B2488" s="7"/>
      <c r="C2488" s="6"/>
      <c r="D2488" s="7"/>
      <c r="E2488" s="6"/>
      <c r="F2488" s="7"/>
      <c r="G2488" s="6"/>
      <c r="H2488" s="7"/>
      <c r="I2488" s="6"/>
      <c r="J2488" s="7"/>
      <c r="K2488" s="96" t="str">
        <f>HYPERLINK("#'Healthcare'!CQR1","Q6.19.3")</f>
        <v>Q6.19.3</v>
      </c>
      <c r="L2488" s="93" t="str">
        <f>HYPERLINK("#'Healthcare'!CQR2","Healthcare reform: Member companies - Topic(s) of interest")</f>
        <v>Healthcare reform: Member companies - Topic(s) of interest</v>
      </c>
      <c r="M2488" s="6"/>
      <c r="N2488" s="7"/>
      <c r="O2488" s="6"/>
      <c r="P2488" s="7"/>
      <c r="Q2488" s="6"/>
      <c r="R2488" s="7"/>
      <c r="S2488" s="6"/>
      <c r="T2488" s="7"/>
      <c r="U2488" s="6"/>
      <c r="V2488" s="7"/>
      <c r="W2488" s="6"/>
      <c r="X2488" s="7"/>
    </row>
    <row r="2489" spans="1:24" ht="25.5" x14ac:dyDescent="0.2">
      <c r="A2489" s="6"/>
      <c r="B2489" s="7"/>
      <c r="C2489" s="6"/>
      <c r="D2489" s="7"/>
      <c r="E2489" s="6"/>
      <c r="F2489" s="7"/>
      <c r="G2489" s="6"/>
      <c r="H2489" s="7"/>
      <c r="I2489" s="6"/>
      <c r="J2489" s="7"/>
      <c r="K2489" s="96" t="str">
        <f>HYPERLINK("#'Healthcare'!CQS1","Q6.19.4")</f>
        <v>Q6.19.4</v>
      </c>
      <c r="L2489" s="93" t="str">
        <f>HYPERLINK("#'Healthcare'!CQS2","Healthcare reform: Member companies - Expanded eligibility of covered individuals")</f>
        <v>Healthcare reform: Member companies - Expanded eligibility of covered individuals</v>
      </c>
      <c r="M2489" s="6"/>
      <c r="N2489" s="7"/>
      <c r="O2489" s="6"/>
      <c r="P2489" s="7"/>
      <c r="Q2489" s="6"/>
      <c r="R2489" s="7"/>
      <c r="S2489" s="6"/>
      <c r="T2489" s="7"/>
      <c r="U2489" s="6"/>
      <c r="V2489" s="7"/>
      <c r="W2489" s="6"/>
      <c r="X2489" s="7"/>
    </row>
    <row r="2490" spans="1:24" ht="25.5" x14ac:dyDescent="0.2">
      <c r="A2490" s="6"/>
      <c r="B2490" s="7"/>
      <c r="C2490" s="6"/>
      <c r="D2490" s="7"/>
      <c r="E2490" s="6"/>
      <c r="F2490" s="7"/>
      <c r="G2490" s="6"/>
      <c r="H2490" s="7"/>
      <c r="I2490" s="6"/>
      <c r="J2490" s="7"/>
      <c r="K2490" s="96" t="str">
        <f>HYPERLINK("#'Healthcare'!CQT1","Q6.19.6_1")</f>
        <v>Q6.19.6_1</v>
      </c>
      <c r="L2490" s="93" t="str">
        <f>HYPERLINK("#'Healthcare'!CQT2","Primary medical plan: Benefit status: Accidental dental")</f>
        <v>Primary medical plan: Benefit status: Accidental dental</v>
      </c>
      <c r="M2490" s="6"/>
      <c r="N2490" s="7"/>
      <c r="O2490" s="6"/>
      <c r="P2490" s="7"/>
      <c r="Q2490" s="6"/>
      <c r="R2490" s="7"/>
      <c r="S2490" s="6"/>
      <c r="T2490" s="7"/>
      <c r="U2490" s="6"/>
      <c r="V2490" s="7"/>
      <c r="W2490" s="6"/>
      <c r="X2490" s="7"/>
    </row>
    <row r="2491" spans="1:24" ht="25.5" x14ac:dyDescent="0.2">
      <c r="A2491" s="6"/>
      <c r="B2491" s="7"/>
      <c r="C2491" s="6"/>
      <c r="D2491" s="7"/>
      <c r="E2491" s="6"/>
      <c r="F2491" s="7"/>
      <c r="G2491" s="6"/>
      <c r="H2491" s="7"/>
      <c r="I2491" s="6"/>
      <c r="J2491" s="7"/>
      <c r="K2491" s="96" t="str">
        <f>HYPERLINK("#'Healthcare'!CQU1","Q6.19.6_2")</f>
        <v>Q6.19.6_2</v>
      </c>
      <c r="L2491" s="93" t="str">
        <f>HYPERLINK("#'Healthcare'!CQU2","Primary medical plan: Benefit status: Acupuncture")</f>
        <v>Primary medical plan: Benefit status: Acupuncture</v>
      </c>
      <c r="M2491" s="6"/>
      <c r="N2491" s="7"/>
      <c r="O2491" s="6"/>
      <c r="P2491" s="7"/>
      <c r="Q2491" s="6"/>
      <c r="R2491" s="7"/>
      <c r="S2491" s="6"/>
      <c r="T2491" s="7"/>
      <c r="U2491" s="6"/>
      <c r="V2491" s="7"/>
      <c r="W2491" s="6"/>
      <c r="X2491" s="7"/>
    </row>
    <row r="2492" spans="1:24" ht="12.75" x14ac:dyDescent="0.2">
      <c r="A2492" s="6"/>
      <c r="B2492" s="7"/>
      <c r="C2492" s="6"/>
      <c r="D2492" s="7"/>
      <c r="E2492" s="6"/>
      <c r="F2492" s="7"/>
      <c r="G2492" s="6"/>
      <c r="H2492" s="7"/>
      <c r="I2492" s="6"/>
      <c r="J2492" s="7"/>
      <c r="K2492" s="96" t="str">
        <f>HYPERLINK("#'Healthcare'!CQV1","Q6.19.6_3")</f>
        <v>Q6.19.6_3</v>
      </c>
      <c r="L2492" s="93" t="str">
        <f>HYPERLINK("#'Healthcare'!CQV2","Primary medical plan: Benefit status: Autism")</f>
        <v>Primary medical plan: Benefit status: Autism</v>
      </c>
      <c r="M2492" s="6"/>
      <c r="N2492" s="7"/>
      <c r="O2492" s="6"/>
      <c r="P2492" s="7"/>
      <c r="Q2492" s="6"/>
      <c r="R2492" s="7"/>
      <c r="S2492" s="6"/>
      <c r="T2492" s="7"/>
      <c r="U2492" s="6"/>
      <c r="V2492" s="7"/>
      <c r="W2492" s="6"/>
      <c r="X2492" s="7"/>
    </row>
    <row r="2493" spans="1:24" ht="25.5" x14ac:dyDescent="0.2">
      <c r="A2493" s="6"/>
      <c r="B2493" s="7"/>
      <c r="C2493" s="6"/>
      <c r="D2493" s="7"/>
      <c r="E2493" s="6"/>
      <c r="F2493" s="7"/>
      <c r="G2493" s="6"/>
      <c r="H2493" s="7"/>
      <c r="I2493" s="6"/>
      <c r="J2493" s="7"/>
      <c r="K2493" s="96" t="str">
        <f>HYPERLINK("#'Healthcare'!CQW1","Q6.19.6_4")</f>
        <v>Q6.19.6_4</v>
      </c>
      <c r="L2493" s="93" t="str">
        <f>HYPERLINK("#'Healthcare'!CQW2","Primary medical plan: Benefit status: Chiropractor")</f>
        <v>Primary medical plan: Benefit status: Chiropractor</v>
      </c>
      <c r="M2493" s="6"/>
      <c r="N2493" s="7"/>
      <c r="O2493" s="6"/>
      <c r="P2493" s="7"/>
      <c r="Q2493" s="6"/>
      <c r="R2493" s="7"/>
      <c r="S2493" s="6"/>
      <c r="T2493" s="7"/>
      <c r="U2493" s="6"/>
      <c r="V2493" s="7"/>
      <c r="W2493" s="6"/>
      <c r="X2493" s="7"/>
    </row>
    <row r="2494" spans="1:24" ht="25.5" x14ac:dyDescent="0.2">
      <c r="A2494" s="6"/>
      <c r="B2494" s="7"/>
      <c r="C2494" s="6"/>
      <c r="D2494" s="7"/>
      <c r="E2494" s="6"/>
      <c r="F2494" s="7"/>
      <c r="G2494" s="6"/>
      <c r="H2494" s="7"/>
      <c r="I2494" s="6"/>
      <c r="J2494" s="7"/>
      <c r="K2494" s="96" t="str">
        <f>HYPERLINK("#'Healthcare'!CQX1","Q6.19.6_5")</f>
        <v>Q6.19.6_5</v>
      </c>
      <c r="L2494" s="93" t="str">
        <f>HYPERLINK("#'Healthcare'!CQX2","Primary medical plan: Benefit status: Gender reassignment")</f>
        <v>Primary medical plan: Benefit status: Gender reassignment</v>
      </c>
      <c r="M2494" s="6"/>
      <c r="N2494" s="7"/>
      <c r="O2494" s="6"/>
      <c r="P2494" s="7"/>
      <c r="Q2494" s="6"/>
      <c r="R2494" s="7"/>
      <c r="S2494" s="6"/>
      <c r="T2494" s="7"/>
      <c r="U2494" s="6"/>
      <c r="V2494" s="7"/>
      <c r="W2494" s="6"/>
      <c r="X2494" s="7"/>
    </row>
    <row r="2495" spans="1:24" ht="25.5" x14ac:dyDescent="0.2">
      <c r="A2495" s="6"/>
      <c r="B2495" s="7"/>
      <c r="C2495" s="6"/>
      <c r="D2495" s="7"/>
      <c r="E2495" s="6"/>
      <c r="F2495" s="7"/>
      <c r="G2495" s="6"/>
      <c r="H2495" s="7"/>
      <c r="I2495" s="6"/>
      <c r="J2495" s="7"/>
      <c r="K2495" s="96" t="str">
        <f>HYPERLINK("#'Healthcare'!CQY1","Q6.19.6_6")</f>
        <v>Q6.19.6_6</v>
      </c>
      <c r="L2495" s="93" t="str">
        <f>HYPERLINK("#'Healthcare'!CQY2","Primary medical plan: Benefit status: Hearing aids")</f>
        <v>Primary medical plan: Benefit status: Hearing aids</v>
      </c>
      <c r="M2495" s="6"/>
      <c r="N2495" s="7"/>
      <c r="O2495" s="6"/>
      <c r="P2495" s="7"/>
      <c r="Q2495" s="6"/>
      <c r="R2495" s="7"/>
      <c r="S2495" s="6"/>
      <c r="T2495" s="7"/>
      <c r="U2495" s="6"/>
      <c r="V2495" s="7"/>
      <c r="W2495" s="6"/>
      <c r="X2495" s="7"/>
    </row>
    <row r="2496" spans="1:24" ht="12.75" x14ac:dyDescent="0.2">
      <c r="A2496" s="6"/>
      <c r="B2496" s="7"/>
      <c r="C2496" s="6"/>
      <c r="D2496" s="7"/>
      <c r="E2496" s="6"/>
      <c r="F2496" s="7"/>
      <c r="G2496" s="6"/>
      <c r="H2496" s="7"/>
      <c r="I2496" s="6"/>
      <c r="J2496" s="7"/>
      <c r="K2496" s="96" t="str">
        <f>HYPERLINK("#'Healthcare'!CQZ1","Q6.19.6_7")</f>
        <v>Q6.19.6_7</v>
      </c>
      <c r="L2496" s="93" t="str">
        <f>HYPERLINK("#'Healthcare'!CQZ2","Primary medical plan: Benefit status: Infertility")</f>
        <v>Primary medical plan: Benefit status: Infertility</v>
      </c>
      <c r="M2496" s="6"/>
      <c r="N2496" s="7"/>
      <c r="O2496" s="6"/>
      <c r="P2496" s="7"/>
      <c r="Q2496" s="6"/>
      <c r="R2496" s="7"/>
      <c r="S2496" s="6"/>
      <c r="T2496" s="7"/>
      <c r="U2496" s="6"/>
      <c r="V2496" s="7"/>
      <c r="W2496" s="6"/>
      <c r="X2496" s="7"/>
    </row>
    <row r="2497" spans="1:24" ht="25.5" x14ac:dyDescent="0.2">
      <c r="A2497" s="6"/>
      <c r="B2497" s="7"/>
      <c r="C2497" s="6"/>
      <c r="D2497" s="7"/>
      <c r="E2497" s="6"/>
      <c r="F2497" s="7"/>
      <c r="G2497" s="6"/>
      <c r="H2497" s="7"/>
      <c r="I2497" s="6"/>
      <c r="J2497" s="7"/>
      <c r="K2497" s="96" t="str">
        <f>HYPERLINK("#'Healthcare'!CRA1","Q6.19.6_8")</f>
        <v>Q6.19.6_8</v>
      </c>
      <c r="L2497" s="93" t="str">
        <f>HYPERLINK("#'Healthcare'!CRA2","Primary medical plan: Benefit status: Medicinal marijuana")</f>
        <v>Primary medical plan: Benefit status: Medicinal marijuana</v>
      </c>
      <c r="M2497" s="6"/>
      <c r="N2497" s="7"/>
      <c r="O2497" s="6"/>
      <c r="P2497" s="7"/>
      <c r="Q2497" s="6"/>
      <c r="R2497" s="7"/>
      <c r="S2497" s="6"/>
      <c r="T2497" s="7"/>
      <c r="U2497" s="6"/>
      <c r="V2497" s="7"/>
      <c r="W2497" s="6"/>
      <c r="X2497" s="7"/>
    </row>
    <row r="2498" spans="1:24" ht="25.5" x14ac:dyDescent="0.2">
      <c r="A2498" s="6"/>
      <c r="B2498" s="7"/>
      <c r="C2498" s="6"/>
      <c r="D2498" s="7"/>
      <c r="E2498" s="6"/>
      <c r="F2498" s="7"/>
      <c r="G2498" s="6"/>
      <c r="H2498" s="7"/>
      <c r="I2498" s="6"/>
      <c r="J2498" s="7"/>
      <c r="K2498" s="96" t="str">
        <f>HYPERLINK("#'Healthcare'!CRB1","Q6.19.6_9")</f>
        <v>Q6.19.6_9</v>
      </c>
      <c r="L2498" s="93" t="str">
        <f>HYPERLINK("#'Healthcare'!CRB2","Primary medical plan: Benefit status: Naturopathy")</f>
        <v>Primary medical plan: Benefit status: Naturopathy</v>
      </c>
      <c r="M2498" s="6"/>
      <c r="N2498" s="7"/>
      <c r="O2498" s="6"/>
      <c r="P2498" s="7"/>
      <c r="Q2498" s="6"/>
      <c r="R2498" s="7"/>
      <c r="S2498" s="6"/>
      <c r="T2498" s="7"/>
      <c r="U2498" s="6"/>
      <c r="V2498" s="7"/>
      <c r="W2498" s="6"/>
      <c r="X2498" s="7"/>
    </row>
    <row r="2499" spans="1:24" ht="25.5" x14ac:dyDescent="0.2">
      <c r="A2499" s="6"/>
      <c r="B2499" s="7"/>
      <c r="C2499" s="6"/>
      <c r="D2499" s="7"/>
      <c r="E2499" s="6"/>
      <c r="F2499" s="7"/>
      <c r="G2499" s="6"/>
      <c r="H2499" s="7"/>
      <c r="I2499" s="6"/>
      <c r="J2499" s="7"/>
      <c r="K2499" s="96" t="str">
        <f>HYPERLINK("#'Healthcare'!CRC1","Q6.19.6_10")</f>
        <v>Q6.19.6_10</v>
      </c>
      <c r="L2499" s="93" t="str">
        <f>HYPERLINK("#'Healthcare'!CRC2","Primary medical plan: Benefit status: Non-emergency care outside of the us")</f>
        <v>Primary medical plan: Benefit status: Non-emergency care outside of the us</v>
      </c>
      <c r="M2499" s="6"/>
      <c r="N2499" s="7"/>
      <c r="O2499" s="6"/>
      <c r="P2499" s="7"/>
      <c r="Q2499" s="6"/>
      <c r="R2499" s="7"/>
      <c r="S2499" s="6"/>
      <c r="T2499" s="7"/>
      <c r="U2499" s="6"/>
      <c r="V2499" s="7"/>
      <c r="W2499" s="6"/>
      <c r="X2499" s="7"/>
    </row>
    <row r="2500" spans="1:24" ht="25.5" x14ac:dyDescent="0.2">
      <c r="A2500" s="6"/>
      <c r="B2500" s="7"/>
      <c r="C2500" s="6"/>
      <c r="D2500" s="7"/>
      <c r="E2500" s="6"/>
      <c r="F2500" s="7"/>
      <c r="G2500" s="6"/>
      <c r="H2500" s="7"/>
      <c r="I2500" s="6"/>
      <c r="J2500" s="7"/>
      <c r="K2500" s="96" t="str">
        <f>HYPERLINK("#'Healthcare'!CRD1","Q6.19.6_11")</f>
        <v>Q6.19.6_11</v>
      </c>
      <c r="L2500" s="93" t="str">
        <f>HYPERLINK("#'Healthcare'!CRD2","Primary medical plan: Benefit status: Palliative care")</f>
        <v>Primary medical plan: Benefit status: Palliative care</v>
      </c>
      <c r="M2500" s="6"/>
      <c r="N2500" s="7"/>
      <c r="O2500" s="6"/>
      <c r="P2500" s="7"/>
      <c r="Q2500" s="6"/>
      <c r="R2500" s="7"/>
      <c r="S2500" s="6"/>
      <c r="T2500" s="7"/>
      <c r="U2500" s="6"/>
      <c r="V2500" s="7"/>
      <c r="W2500" s="6"/>
      <c r="X2500" s="7"/>
    </row>
    <row r="2501" spans="1:24" ht="26.25" thickBot="1" x14ac:dyDescent="0.25">
      <c r="A2501" s="6"/>
      <c r="B2501" s="7"/>
      <c r="C2501" s="6"/>
      <c r="D2501" s="7"/>
      <c r="E2501" s="6"/>
      <c r="F2501" s="7"/>
      <c r="G2501" s="6"/>
      <c r="H2501" s="7"/>
      <c r="I2501" s="6"/>
      <c r="J2501" s="7"/>
      <c r="K2501" s="97" t="str">
        <f>HYPERLINK("#'Healthcare'!CRE1","Q6.19.6_12")</f>
        <v>Q6.19.6_12</v>
      </c>
      <c r="L2501" s="94" t="str">
        <f>HYPERLINK("#'Healthcare'!CRE2","Primary medical plan: Benefit status: Private duty nursing")</f>
        <v>Primary medical plan: Benefit status: Private duty nursing</v>
      </c>
      <c r="M2501" s="6"/>
      <c r="N2501" s="7"/>
      <c r="O2501" s="6"/>
      <c r="P2501" s="7"/>
      <c r="Q2501" s="6"/>
      <c r="R2501" s="7"/>
      <c r="S2501" s="6"/>
      <c r="T2501" s="7"/>
      <c r="U2501" s="6"/>
      <c r="V2501" s="7"/>
      <c r="W2501" s="6"/>
      <c r="X2501" s="7"/>
    </row>
  </sheetData>
  <mergeCells count="12">
    <mergeCell ref="W1:X1"/>
    <mergeCell ref="A1:B1"/>
    <mergeCell ref="C1:D1"/>
    <mergeCell ref="E1:F1"/>
    <mergeCell ref="G1:H1"/>
    <mergeCell ref="I1:J1"/>
    <mergeCell ref="K1:L1"/>
    <mergeCell ref="M1:N1"/>
    <mergeCell ref="O1:P1"/>
    <mergeCell ref="Q1:R1"/>
    <mergeCell ref="S1:T1"/>
    <mergeCell ref="U1:V1"/>
  </mergeCells>
  <hyperlinks>
    <hyperlink ref="A1:B1" location="'Company Overview'!A1" display="Company Overview" xr:uid="{00000000-0004-0000-0000-00000C000000}"/>
    <hyperlink ref="C1:D1" location="'Enrollment, Eligib. &amp; Cost'!A1" display="Enrollment, Eligibility &amp; Cost" xr:uid="{00000000-0004-0000-0000-00000D000000}"/>
    <hyperlink ref="E1:F1" location="'Admin, Tools, Audits, Data'!A1" display="Admin, Tools, Audits, Data" xr:uid="{00000000-0004-0000-0000-00000E000000}"/>
    <hyperlink ref="G1:H1" location="'Communications &amp; Engagement'!A1" display="Communications &amp; Engagement" xr:uid="{00000000-0004-0000-0000-00000F000000}"/>
    <hyperlink ref="I1:J1" location="'Other Benefits'!A1" display="Other Benefits" xr:uid="{00000000-0004-0000-0000-000010000000}"/>
    <hyperlink ref="K1:L1" location="Healthcare!A1" display="Healthcare" xr:uid="{00000000-0004-0000-0000-000011000000}"/>
    <hyperlink ref="M1:N1" location="'Disease Mgmt &amp; Wellbeing'!A1" display="Disease Mgmt &amp; Wellbeing" xr:uid="{00000000-0004-0000-0000-000012000000}"/>
    <hyperlink ref="O1:P1" location="'Trends &amp; Emerging Practices'!A1" display="Trends &amp; Emerging Practices" xr:uid="{00000000-0004-0000-0000-000013000000}"/>
    <hyperlink ref="Q1:R1" location="'Income Protection'!A1" display="Income Protection" xr:uid="{00000000-0004-0000-0000-000014000000}"/>
    <hyperlink ref="S1:T1" location="'Retirement, NQDC, Finances'!A1" display="Retirement, NQDC &amp; Finances" xr:uid="{00000000-0004-0000-0000-000015000000}"/>
    <hyperlink ref="U1:V1" location="'Time Off'!A1" display="Time Off" xr:uid="{00000000-0004-0000-0000-000016000000}"/>
    <hyperlink ref="W1:X1" location="Vendors!A1" display="Vendors" xr:uid="{00000000-0004-0000-0000-000017000000}"/>
  </hyperlinks>
  <pageMargins left="0.7" right="0.7" top="0.75" bottom="0.75" header="0.3" footer="0.3"/>
  <pageSetup paperSize="168"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T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11.28515625" style="9" customWidth="1"/>
    <col min="2" max="6" width="30.7109375" style="10" customWidth="1"/>
    <col min="7" max="8" width="30.7109375" style="11" customWidth="1"/>
    <col min="9" max="9" width="30.7109375" style="10" customWidth="1"/>
    <col min="10" max="12" width="30.7109375" style="9" customWidth="1"/>
    <col min="13" max="13" width="50.7109375" style="9" customWidth="1"/>
    <col min="14" max="29" width="30.7109375" style="9" customWidth="1"/>
    <col min="30" max="30" width="60.7109375" style="9" customWidth="1"/>
    <col min="31" max="77" width="30.7109375" style="9" customWidth="1"/>
    <col min="78" max="78" width="40.7109375" style="9" customWidth="1"/>
    <col min="79" max="98" width="30.7109375" style="9" customWidth="1"/>
    <col min="99" max="16384" width="9.140625" style="9"/>
  </cols>
  <sheetData>
    <row r="1" spans="1:98" s="12" customFormat="1" x14ac:dyDescent="0.2">
      <c r="A1" s="66" t="s">
        <v>181</v>
      </c>
      <c r="B1" s="13" t="s">
        <v>4424</v>
      </c>
      <c r="C1" s="13" t="s">
        <v>4425</v>
      </c>
      <c r="D1" s="13" t="s">
        <v>4426</v>
      </c>
      <c r="E1" s="13" t="s">
        <v>4427</v>
      </c>
      <c r="F1" s="13" t="s">
        <v>4428</v>
      </c>
      <c r="G1" s="29" t="s">
        <v>4429</v>
      </c>
      <c r="H1" s="29" t="s">
        <v>4430</v>
      </c>
      <c r="I1" s="13" t="s">
        <v>4431</v>
      </c>
      <c r="J1" s="12" t="s">
        <v>4432</v>
      </c>
      <c r="K1" s="12" t="s">
        <v>4433</v>
      </c>
      <c r="L1" s="12" t="s">
        <v>4434</v>
      </c>
      <c r="M1" s="12" t="s">
        <v>4435</v>
      </c>
      <c r="N1" s="12" t="s">
        <v>4436</v>
      </c>
      <c r="O1" s="12" t="s">
        <v>4437</v>
      </c>
      <c r="P1" s="12" t="s">
        <v>4438</v>
      </c>
      <c r="Q1" s="12" t="s">
        <v>4439</v>
      </c>
      <c r="R1" s="12" t="s">
        <v>4440</v>
      </c>
      <c r="S1" s="12" t="s">
        <v>4441</v>
      </c>
      <c r="T1" s="12" t="s">
        <v>4442</v>
      </c>
      <c r="U1" s="12" t="s">
        <v>4443</v>
      </c>
      <c r="V1" s="12" t="s">
        <v>4444</v>
      </c>
      <c r="W1" s="12" t="s">
        <v>4445</v>
      </c>
      <c r="X1" s="12" t="s">
        <v>4446</v>
      </c>
      <c r="Y1" s="12" t="s">
        <v>4447</v>
      </c>
      <c r="Z1" s="12" t="s">
        <v>4448</v>
      </c>
      <c r="AA1" s="12" t="s">
        <v>4449</v>
      </c>
      <c r="AB1" s="12" t="s">
        <v>4450</v>
      </c>
      <c r="AC1" s="12" t="s">
        <v>4451</v>
      </c>
      <c r="AD1" s="12" t="s">
        <v>4452</v>
      </c>
      <c r="AE1" s="12" t="s">
        <v>4453</v>
      </c>
      <c r="AF1" s="12" t="s">
        <v>4454</v>
      </c>
      <c r="AG1" s="12" t="s">
        <v>4455</v>
      </c>
      <c r="AH1" s="12" t="s">
        <v>4456</v>
      </c>
      <c r="AI1" s="12" t="s">
        <v>4457</v>
      </c>
      <c r="AJ1" s="12" t="s">
        <v>4458</v>
      </c>
      <c r="AK1" s="12" t="s">
        <v>4459</v>
      </c>
      <c r="AL1" s="12" t="s">
        <v>4460</v>
      </c>
      <c r="AM1" s="12" t="s">
        <v>4461</v>
      </c>
      <c r="AN1" s="12" t="s">
        <v>4462</v>
      </c>
      <c r="AO1" s="12" t="s">
        <v>4463</v>
      </c>
      <c r="AP1" s="12" t="s">
        <v>4464</v>
      </c>
      <c r="AQ1" s="12" t="s">
        <v>4465</v>
      </c>
      <c r="AR1" s="12" t="s">
        <v>4466</v>
      </c>
      <c r="AS1" s="12" t="s">
        <v>4467</v>
      </c>
      <c r="AT1" s="12" t="s">
        <v>4468</v>
      </c>
      <c r="AU1" s="12" t="s">
        <v>4469</v>
      </c>
      <c r="AV1" s="12" t="s">
        <v>4470</v>
      </c>
      <c r="AW1" s="12" t="s">
        <v>4471</v>
      </c>
      <c r="AX1" s="12" t="s">
        <v>4472</v>
      </c>
      <c r="AY1" s="12" t="s">
        <v>4473</v>
      </c>
      <c r="AZ1" s="12" t="s">
        <v>4474</v>
      </c>
      <c r="BA1" s="12" t="s">
        <v>4475</v>
      </c>
      <c r="BB1" s="12" t="s">
        <v>4476</v>
      </c>
      <c r="BC1" s="12" t="s">
        <v>4477</v>
      </c>
      <c r="BD1" s="12" t="s">
        <v>4478</v>
      </c>
      <c r="BE1" s="12" t="s">
        <v>4479</v>
      </c>
      <c r="BF1" s="12" t="s">
        <v>4480</v>
      </c>
      <c r="BG1" s="12" t="s">
        <v>4481</v>
      </c>
      <c r="BH1" s="12" t="s">
        <v>4482</v>
      </c>
      <c r="BI1" s="12" t="s">
        <v>4483</v>
      </c>
      <c r="BJ1" s="12" t="s">
        <v>4484</v>
      </c>
      <c r="BK1" s="12" t="s">
        <v>4485</v>
      </c>
      <c r="BL1" s="12" t="s">
        <v>4486</v>
      </c>
      <c r="BM1" s="12" t="s">
        <v>4487</v>
      </c>
      <c r="BN1" s="12" t="s">
        <v>4488</v>
      </c>
      <c r="BO1" s="12" t="s">
        <v>4489</v>
      </c>
      <c r="BP1" s="12" t="s">
        <v>4490</v>
      </c>
      <c r="BQ1" s="12" t="s">
        <v>4491</v>
      </c>
      <c r="BR1" s="12" t="s">
        <v>4492</v>
      </c>
      <c r="BS1" s="12" t="s">
        <v>4493</v>
      </c>
      <c r="BT1" s="12" t="s">
        <v>4494</v>
      </c>
      <c r="BU1" s="12" t="s">
        <v>4495</v>
      </c>
      <c r="BV1" s="12" t="s">
        <v>4496</v>
      </c>
      <c r="BW1" s="12" t="s">
        <v>4497</v>
      </c>
      <c r="BX1" s="12" t="s">
        <v>4498</v>
      </c>
      <c r="BY1" s="12" t="s">
        <v>4499</v>
      </c>
      <c r="BZ1" s="12" t="s">
        <v>4500</v>
      </c>
      <c r="CA1" s="12" t="s">
        <v>4501</v>
      </c>
      <c r="CB1" s="12" t="s">
        <v>4502</v>
      </c>
      <c r="CC1" s="12" t="s">
        <v>4503</v>
      </c>
      <c r="CD1" s="12" t="s">
        <v>4504</v>
      </c>
      <c r="CE1" s="12" t="s">
        <v>4505</v>
      </c>
      <c r="CF1" s="12" t="s">
        <v>4506</v>
      </c>
      <c r="CG1" s="12" t="s">
        <v>4507</v>
      </c>
      <c r="CH1" s="12" t="s">
        <v>4508</v>
      </c>
      <c r="CI1" s="12" t="s">
        <v>4509</v>
      </c>
      <c r="CJ1" s="12" t="s">
        <v>4510</v>
      </c>
      <c r="CK1" s="12" t="s">
        <v>4511</v>
      </c>
      <c r="CL1" s="12" t="s">
        <v>4512</v>
      </c>
      <c r="CM1" s="12" t="s">
        <v>4513</v>
      </c>
      <c r="CN1" s="12" t="s">
        <v>4514</v>
      </c>
      <c r="CO1" s="12" t="s">
        <v>4515</v>
      </c>
      <c r="CP1" s="12" t="s">
        <v>4516</v>
      </c>
      <c r="CQ1" s="12" t="s">
        <v>4517</v>
      </c>
      <c r="CR1" s="12" t="s">
        <v>4518</v>
      </c>
      <c r="CS1" s="12" t="s">
        <v>4519</v>
      </c>
      <c r="CT1" s="12" t="s">
        <v>4520</v>
      </c>
    </row>
    <row r="2" spans="1:98" s="12" customFormat="1" ht="51" x14ac:dyDescent="0.2">
      <c r="A2" s="12" t="s">
        <v>116</v>
      </c>
      <c r="B2" s="73" t="s">
        <v>9350</v>
      </c>
      <c r="C2" s="65" t="s">
        <v>13750</v>
      </c>
      <c r="D2" s="13" t="s">
        <v>9351</v>
      </c>
      <c r="E2" s="13" t="s">
        <v>9352</v>
      </c>
      <c r="F2" s="13" t="s">
        <v>9353</v>
      </c>
      <c r="G2" s="29" t="s">
        <v>9354</v>
      </c>
      <c r="H2" s="74" t="s">
        <v>9355</v>
      </c>
      <c r="I2" s="73" t="s">
        <v>9356</v>
      </c>
      <c r="J2" s="12" t="s">
        <v>9357</v>
      </c>
      <c r="K2" s="75" t="s">
        <v>9358</v>
      </c>
      <c r="L2" s="12" t="s">
        <v>9359</v>
      </c>
      <c r="M2" s="12" t="s">
        <v>9360</v>
      </c>
      <c r="N2" s="75" t="s">
        <v>9361</v>
      </c>
      <c r="O2" s="75" t="s">
        <v>9362</v>
      </c>
      <c r="P2" s="75" t="s">
        <v>9363</v>
      </c>
      <c r="Q2" s="75" t="s">
        <v>9364</v>
      </c>
      <c r="R2" s="75" t="s">
        <v>9365</v>
      </c>
      <c r="S2" s="75" t="s">
        <v>9366</v>
      </c>
      <c r="T2" s="75" t="s">
        <v>9367</v>
      </c>
      <c r="U2" s="75" t="s">
        <v>9368</v>
      </c>
      <c r="V2" s="75" t="s">
        <v>14602</v>
      </c>
      <c r="W2" s="75" t="s">
        <v>9369</v>
      </c>
      <c r="X2" s="75" t="s">
        <v>9370</v>
      </c>
      <c r="Y2" s="75" t="s">
        <v>9371</v>
      </c>
      <c r="Z2" s="75" t="s">
        <v>9372</v>
      </c>
      <c r="AA2" s="75" t="s">
        <v>9373</v>
      </c>
      <c r="AB2" s="75" t="s">
        <v>9374</v>
      </c>
      <c r="AC2" s="75" t="s">
        <v>9375</v>
      </c>
      <c r="AD2" s="75" t="s">
        <v>9376</v>
      </c>
      <c r="AE2" s="75" t="s">
        <v>9377</v>
      </c>
      <c r="AF2" s="75" t="s">
        <v>9378</v>
      </c>
      <c r="AG2" s="12" t="s">
        <v>9379</v>
      </c>
      <c r="AH2" s="75" t="s">
        <v>9380</v>
      </c>
      <c r="AI2" s="75" t="s">
        <v>9381</v>
      </c>
      <c r="AJ2" s="75" t="s">
        <v>9382</v>
      </c>
      <c r="AK2" s="75" t="s">
        <v>9383</v>
      </c>
      <c r="AL2" s="75" t="s">
        <v>9384</v>
      </c>
      <c r="AM2" s="75" t="s">
        <v>9385</v>
      </c>
      <c r="AN2" s="75" t="s">
        <v>9386</v>
      </c>
      <c r="AO2" s="75" t="s">
        <v>9387</v>
      </c>
      <c r="AP2" s="75" t="s">
        <v>9388</v>
      </c>
      <c r="AQ2" s="75" t="s">
        <v>9389</v>
      </c>
      <c r="AR2" s="75" t="s">
        <v>9390</v>
      </c>
      <c r="AS2" s="75" t="s">
        <v>9391</v>
      </c>
      <c r="AT2" s="75" t="s">
        <v>9392</v>
      </c>
      <c r="AU2" s="75" t="s">
        <v>9393</v>
      </c>
      <c r="AV2" s="75" t="s">
        <v>9394</v>
      </c>
      <c r="AW2" s="75" t="s">
        <v>9395</v>
      </c>
      <c r="AX2" s="75" t="s">
        <v>9396</v>
      </c>
      <c r="AY2" s="75" t="s">
        <v>9397</v>
      </c>
      <c r="AZ2" s="75" t="s">
        <v>9398</v>
      </c>
      <c r="BA2" s="75" t="s">
        <v>9399</v>
      </c>
      <c r="BB2" s="75" t="s">
        <v>9400</v>
      </c>
      <c r="BC2" s="75" t="s">
        <v>9401</v>
      </c>
      <c r="BD2" s="75" t="s">
        <v>14603</v>
      </c>
      <c r="BE2" s="75" t="s">
        <v>9402</v>
      </c>
      <c r="BF2" s="75" t="s">
        <v>9403</v>
      </c>
      <c r="BG2" s="75" t="s">
        <v>9404</v>
      </c>
      <c r="BH2" s="75" t="s">
        <v>9405</v>
      </c>
      <c r="BI2" s="75" t="s">
        <v>9406</v>
      </c>
      <c r="BJ2" s="75" t="s">
        <v>9407</v>
      </c>
      <c r="BK2" s="75" t="s">
        <v>9408</v>
      </c>
      <c r="BL2" s="75" t="s">
        <v>9409</v>
      </c>
      <c r="BM2" s="75" t="s">
        <v>9410</v>
      </c>
      <c r="BN2" s="75" t="s">
        <v>9411</v>
      </c>
      <c r="BO2" s="75" t="s">
        <v>9412</v>
      </c>
      <c r="BP2" s="75" t="s">
        <v>9413</v>
      </c>
      <c r="BQ2" s="75" t="s">
        <v>9414</v>
      </c>
      <c r="BR2" s="75" t="s">
        <v>9415</v>
      </c>
      <c r="BS2" s="75" t="s">
        <v>9416</v>
      </c>
      <c r="BT2" s="75" t="s">
        <v>9417</v>
      </c>
      <c r="BU2" s="75" t="s">
        <v>9418</v>
      </c>
      <c r="BV2" s="75" t="s">
        <v>9419</v>
      </c>
      <c r="BW2" s="12" t="s">
        <v>9420</v>
      </c>
      <c r="BX2" s="12" t="s">
        <v>9421</v>
      </c>
      <c r="BY2" s="75" t="s">
        <v>9422</v>
      </c>
      <c r="BZ2" s="75" t="s">
        <v>9423</v>
      </c>
      <c r="CA2" s="12" t="s">
        <v>9424</v>
      </c>
      <c r="CB2" s="12" t="s">
        <v>9425</v>
      </c>
      <c r="CC2" s="75" t="s">
        <v>9426</v>
      </c>
      <c r="CD2" s="75" t="s">
        <v>9427</v>
      </c>
      <c r="CE2" s="12" t="s">
        <v>9428</v>
      </c>
      <c r="CF2" s="75" t="s">
        <v>9429</v>
      </c>
      <c r="CG2" s="75" t="s">
        <v>9430</v>
      </c>
      <c r="CH2" s="75" t="s">
        <v>9431</v>
      </c>
      <c r="CI2" s="12" t="s">
        <v>9432</v>
      </c>
      <c r="CJ2" s="12" t="s">
        <v>9433</v>
      </c>
      <c r="CK2" s="12" t="s">
        <v>9434</v>
      </c>
      <c r="CL2" s="75" t="s">
        <v>9435</v>
      </c>
      <c r="CM2" s="75" t="s">
        <v>9436</v>
      </c>
      <c r="CN2" s="75" t="s">
        <v>9437</v>
      </c>
      <c r="CO2" s="12" t="s">
        <v>9438</v>
      </c>
      <c r="CP2" s="12" t="s">
        <v>9439</v>
      </c>
      <c r="CQ2" s="12" t="s">
        <v>9440</v>
      </c>
      <c r="CR2" s="75" t="s">
        <v>9441</v>
      </c>
      <c r="CS2" s="75" t="s">
        <v>9442</v>
      </c>
      <c r="CT2" s="75" t="s">
        <v>9443</v>
      </c>
    </row>
    <row r="3" spans="1:98" ht="38.25" x14ac:dyDescent="0.2">
      <c r="A3" s="9" t="s">
        <v>152</v>
      </c>
      <c r="B3" s="10">
        <v>41</v>
      </c>
      <c r="C3" s="10" t="s">
        <v>4521</v>
      </c>
      <c r="D3" s="11">
        <v>0.59</v>
      </c>
      <c r="E3" s="11">
        <v>0.4</v>
      </c>
      <c r="G3" s="11">
        <v>0.01</v>
      </c>
      <c r="H3" s="11">
        <v>0.84</v>
      </c>
      <c r="I3" s="11">
        <v>0.16</v>
      </c>
      <c r="J3" s="11">
        <v>0.5</v>
      </c>
      <c r="K3" s="11">
        <v>0.24</v>
      </c>
      <c r="L3" s="9" t="s">
        <v>29</v>
      </c>
      <c r="M3" s="9" t="s">
        <v>4844</v>
      </c>
      <c r="S3" s="9" t="s">
        <v>4845</v>
      </c>
      <c r="X3" s="9" t="s">
        <v>13756</v>
      </c>
      <c r="AA3" s="9" t="s">
        <v>4846</v>
      </c>
      <c r="AG3" s="9" t="s">
        <v>4590</v>
      </c>
      <c r="AH3" s="9" t="s">
        <v>4526</v>
      </c>
      <c r="AI3" s="9" t="s">
        <v>4526</v>
      </c>
      <c r="AJ3" s="9" t="s">
        <v>4526</v>
      </c>
      <c r="AK3" s="9" t="s">
        <v>4531</v>
      </c>
      <c r="AL3" s="9" t="s">
        <v>4526</v>
      </c>
      <c r="AM3" s="9" t="s">
        <v>4526</v>
      </c>
      <c r="AN3" s="9" t="s">
        <v>4531</v>
      </c>
      <c r="AO3" s="9" t="s">
        <v>4526</v>
      </c>
      <c r="AP3" s="9" t="s">
        <v>4526</v>
      </c>
      <c r="AQ3" s="9" t="s">
        <v>4531</v>
      </c>
      <c r="AR3" s="9" t="s">
        <v>4526</v>
      </c>
      <c r="AS3" s="9" t="s">
        <v>4526</v>
      </c>
      <c r="AT3" s="9" t="s">
        <v>4526</v>
      </c>
      <c r="AU3" s="9" t="s">
        <v>4526</v>
      </c>
      <c r="AV3" s="9" t="s">
        <v>4526</v>
      </c>
      <c r="AW3" s="9" t="s">
        <v>4526</v>
      </c>
      <c r="AX3" s="9" t="s">
        <v>4526</v>
      </c>
      <c r="AY3" s="9" t="s">
        <v>4526</v>
      </c>
      <c r="AZ3" s="9" t="s">
        <v>4531</v>
      </c>
      <c r="BA3" s="9" t="s">
        <v>4526</v>
      </c>
      <c r="BB3" s="9" t="s">
        <v>4526</v>
      </c>
      <c r="BC3" s="9" t="s">
        <v>4526</v>
      </c>
      <c r="BD3" s="9" t="s">
        <v>4526</v>
      </c>
      <c r="BE3" s="9" t="s">
        <v>4526</v>
      </c>
      <c r="BF3" s="9" t="s">
        <v>4527</v>
      </c>
      <c r="BG3" s="9" t="s">
        <v>4531</v>
      </c>
      <c r="BH3" s="9" t="s">
        <v>4531</v>
      </c>
      <c r="BI3" s="9" t="s">
        <v>4531</v>
      </c>
      <c r="BJ3" s="9" t="s">
        <v>4526</v>
      </c>
      <c r="BK3" s="9" t="s">
        <v>4526</v>
      </c>
      <c r="BL3" s="9" t="s">
        <v>4526</v>
      </c>
      <c r="BM3" s="9" t="s">
        <v>4531</v>
      </c>
      <c r="BN3" s="9" t="s">
        <v>4528</v>
      </c>
      <c r="BO3" s="9" t="s">
        <v>4527</v>
      </c>
      <c r="BP3" s="9" t="s">
        <v>4526</v>
      </c>
      <c r="BQ3" s="9" t="s">
        <v>4526</v>
      </c>
      <c r="BR3" s="9" t="s">
        <v>4526</v>
      </c>
      <c r="BS3" s="9" t="s">
        <v>4526</v>
      </c>
      <c r="BT3" s="9" t="s">
        <v>4531</v>
      </c>
      <c r="BU3" s="9" t="s">
        <v>4526</v>
      </c>
      <c r="BV3" s="9" t="s">
        <v>4527</v>
      </c>
      <c r="BW3" s="9" t="s">
        <v>13187</v>
      </c>
      <c r="BX3" s="9" t="s">
        <v>4662</v>
      </c>
      <c r="BY3" s="9" t="s">
        <v>13188</v>
      </c>
      <c r="CA3" s="9" t="s">
        <v>13208</v>
      </c>
      <c r="CC3" s="9" t="s">
        <v>13208</v>
      </c>
      <c r="CE3" s="9" t="s">
        <v>4197</v>
      </c>
      <c r="CO3" s="9" t="s">
        <v>4847</v>
      </c>
      <c r="CP3" s="9" t="s">
        <v>4848</v>
      </c>
      <c r="CQ3" s="9" t="s">
        <v>4849</v>
      </c>
    </row>
    <row r="4" spans="1:98" ht="38.25" x14ac:dyDescent="0.2">
      <c r="A4" s="9" t="s">
        <v>133</v>
      </c>
      <c r="B4" s="10">
        <v>35</v>
      </c>
      <c r="C4" s="10" t="s">
        <v>4541</v>
      </c>
      <c r="D4" s="11">
        <v>0.65</v>
      </c>
      <c r="E4" s="11">
        <v>0.35</v>
      </c>
      <c r="H4" s="11">
        <v>0.97</v>
      </c>
      <c r="I4" s="11">
        <v>0.03</v>
      </c>
      <c r="J4" s="11">
        <v>0.7</v>
      </c>
      <c r="K4" s="11">
        <v>0.33</v>
      </c>
      <c r="AG4" s="9" t="s">
        <v>4525</v>
      </c>
      <c r="AH4" s="9" t="s">
        <v>4526</v>
      </c>
      <c r="AI4" s="9" t="s">
        <v>4531</v>
      </c>
      <c r="AJ4" s="9" t="s">
        <v>4531</v>
      </c>
      <c r="AK4" s="9" t="s">
        <v>4531</v>
      </c>
      <c r="AL4" s="9" t="s">
        <v>4531</v>
      </c>
      <c r="AM4" s="9" t="s">
        <v>4526</v>
      </c>
      <c r="AN4" s="9" t="s">
        <v>4526</v>
      </c>
      <c r="AO4" s="9" t="s">
        <v>4526</v>
      </c>
      <c r="AP4" s="9" t="s">
        <v>4526</v>
      </c>
      <c r="AQ4" s="9" t="s">
        <v>4531</v>
      </c>
      <c r="AR4" s="9" t="s">
        <v>4527</v>
      </c>
      <c r="AS4" s="9" t="s">
        <v>4526</v>
      </c>
      <c r="AT4" s="9" t="s">
        <v>4526</v>
      </c>
      <c r="AU4" s="9" t="s">
        <v>4526</v>
      </c>
      <c r="AV4" s="9" t="s">
        <v>4526</v>
      </c>
      <c r="AW4" s="9" t="s">
        <v>4526</v>
      </c>
      <c r="AX4" s="9" t="s">
        <v>4529</v>
      </c>
      <c r="AY4" s="9" t="s">
        <v>4529</v>
      </c>
      <c r="AZ4" s="9" t="s">
        <v>4526</v>
      </c>
      <c r="BA4" s="9" t="s">
        <v>4526</v>
      </c>
      <c r="BB4" s="9" t="s">
        <v>4526</v>
      </c>
      <c r="BC4" s="9" t="s">
        <v>4526</v>
      </c>
      <c r="BD4" s="9" t="s">
        <v>4526</v>
      </c>
      <c r="BE4" s="9" t="s">
        <v>4526</v>
      </c>
      <c r="BF4" s="9" t="s">
        <v>4527</v>
      </c>
      <c r="BG4" s="9" t="s">
        <v>4526</v>
      </c>
      <c r="BH4" s="9" t="s">
        <v>4526</v>
      </c>
      <c r="BI4" s="9" t="s">
        <v>4526</v>
      </c>
      <c r="BJ4" s="9" t="s">
        <v>4526</v>
      </c>
      <c r="BK4" s="9" t="s">
        <v>4526</v>
      </c>
      <c r="BL4" s="9" t="s">
        <v>4529</v>
      </c>
      <c r="BM4" s="9" t="s">
        <v>4531</v>
      </c>
      <c r="BN4" s="9" t="s">
        <v>4527</v>
      </c>
      <c r="BO4" s="9" t="s">
        <v>4527</v>
      </c>
      <c r="BP4" s="9" t="s">
        <v>4526</v>
      </c>
      <c r="BQ4" s="9" t="s">
        <v>4527</v>
      </c>
      <c r="BR4" s="9" t="s">
        <v>4529</v>
      </c>
      <c r="BS4" s="9" t="s">
        <v>4526</v>
      </c>
      <c r="BT4" s="9" t="s">
        <v>4527</v>
      </c>
      <c r="BU4" s="9" t="s">
        <v>4531</v>
      </c>
      <c r="BV4" s="9" t="s">
        <v>4531</v>
      </c>
      <c r="BW4" s="9" t="s">
        <v>4687</v>
      </c>
      <c r="BX4" s="9" t="s">
        <v>4688</v>
      </c>
      <c r="BY4" s="9" t="s">
        <v>13196</v>
      </c>
      <c r="BZ4" s="9" t="s">
        <v>4581</v>
      </c>
      <c r="CA4" s="9" t="s">
        <v>13209</v>
      </c>
      <c r="CC4" s="9" t="s">
        <v>13209</v>
      </c>
      <c r="CE4" s="9" t="s">
        <v>4535</v>
      </c>
      <c r="CO4" s="9" t="s">
        <v>4689</v>
      </c>
      <c r="CR4" s="9" t="s">
        <v>4690</v>
      </c>
      <c r="CS4" s="9" t="s">
        <v>4691</v>
      </c>
    </row>
    <row r="5" spans="1:98" ht="38.25" x14ac:dyDescent="0.2">
      <c r="A5" s="9" t="s">
        <v>156</v>
      </c>
      <c r="B5" s="10">
        <v>44</v>
      </c>
      <c r="C5" s="10" t="s">
        <v>4521</v>
      </c>
      <c r="D5" s="11">
        <v>0.68</v>
      </c>
      <c r="E5" s="11">
        <v>0.32</v>
      </c>
      <c r="F5" s="11"/>
      <c r="G5" s="11">
        <v>0</v>
      </c>
      <c r="H5" s="11">
        <v>0.63</v>
      </c>
      <c r="I5" s="11">
        <v>0.37</v>
      </c>
      <c r="J5" s="11">
        <v>0.31</v>
      </c>
      <c r="K5" s="11">
        <v>0.24</v>
      </c>
      <c r="L5" s="9" t="s">
        <v>4557</v>
      </c>
      <c r="Q5" s="9" t="s">
        <v>4885</v>
      </c>
      <c r="T5" s="9" t="s">
        <v>4886</v>
      </c>
      <c r="X5" s="9" t="s">
        <v>4887</v>
      </c>
      <c r="AD5" s="9" t="s">
        <v>4888</v>
      </c>
      <c r="AE5" s="9" t="s">
        <v>4889</v>
      </c>
      <c r="AG5" s="9" t="s">
        <v>4590</v>
      </c>
      <c r="AH5" s="9" t="s">
        <v>4526</v>
      </c>
      <c r="AI5" s="9" t="s">
        <v>4526</v>
      </c>
      <c r="AJ5" s="9" t="s">
        <v>4527</v>
      </c>
      <c r="AK5" s="9" t="s">
        <v>4527</v>
      </c>
      <c r="AL5" s="9" t="s">
        <v>4528</v>
      </c>
      <c r="AM5" s="9" t="s">
        <v>4526</v>
      </c>
      <c r="AN5" s="9" t="s">
        <v>4531</v>
      </c>
      <c r="AO5" s="9" t="s">
        <v>4526</v>
      </c>
      <c r="AP5" s="9" t="s">
        <v>4526</v>
      </c>
      <c r="AQ5" s="9" t="s">
        <v>4531</v>
      </c>
      <c r="AR5" s="9" t="s">
        <v>4526</v>
      </c>
      <c r="AS5" s="9" t="s">
        <v>4526</v>
      </c>
      <c r="AT5" s="9" t="s">
        <v>4528</v>
      </c>
      <c r="AU5" s="9" t="s">
        <v>4528</v>
      </c>
      <c r="AV5" s="9" t="s">
        <v>4528</v>
      </c>
      <c r="AW5" s="9" t="s">
        <v>4526</v>
      </c>
      <c r="AX5" s="9" t="s">
        <v>4526</v>
      </c>
      <c r="AY5" s="9" t="s">
        <v>4526</v>
      </c>
      <c r="AZ5" s="9" t="s">
        <v>4531</v>
      </c>
      <c r="BA5" s="9" t="s">
        <v>4526</v>
      </c>
      <c r="BB5" s="9" t="s">
        <v>4526</v>
      </c>
      <c r="BC5" s="9" t="s">
        <v>4526</v>
      </c>
      <c r="BD5" s="9" t="s">
        <v>4526</v>
      </c>
      <c r="BE5" s="9" t="s">
        <v>4526</v>
      </c>
      <c r="BF5" s="9" t="s">
        <v>4527</v>
      </c>
      <c r="BG5" s="9" t="s">
        <v>4531</v>
      </c>
      <c r="BH5" s="9" t="s">
        <v>4526</v>
      </c>
      <c r="BI5" s="9" t="s">
        <v>4531</v>
      </c>
      <c r="BJ5" s="9" t="s">
        <v>4526</v>
      </c>
      <c r="BK5" s="9" t="s">
        <v>4526</v>
      </c>
      <c r="BL5" s="9" t="s">
        <v>4526</v>
      </c>
      <c r="BM5" s="9" t="s">
        <v>4526</v>
      </c>
      <c r="BN5" s="9" t="s">
        <v>4527</v>
      </c>
      <c r="BO5" s="9" t="s">
        <v>4527</v>
      </c>
      <c r="BP5" s="9" t="s">
        <v>4526</v>
      </c>
      <c r="BQ5" s="9" t="s">
        <v>4527</v>
      </c>
      <c r="BR5" s="9" t="s">
        <v>4527</v>
      </c>
      <c r="BS5" s="9" t="s">
        <v>4526</v>
      </c>
      <c r="BT5" s="9" t="s">
        <v>4528</v>
      </c>
      <c r="BU5" s="9" t="s">
        <v>4526</v>
      </c>
      <c r="BV5" s="9" t="s">
        <v>4527</v>
      </c>
      <c r="BW5" s="9" t="s">
        <v>4890</v>
      </c>
      <c r="BY5" s="9" t="s">
        <v>4772</v>
      </c>
      <c r="CA5" s="9" t="s">
        <v>13214</v>
      </c>
      <c r="CC5" s="9" t="s">
        <v>13208</v>
      </c>
      <c r="CE5" s="9" t="s">
        <v>4579</v>
      </c>
      <c r="CF5" s="9" t="s">
        <v>4891</v>
      </c>
      <c r="CI5" s="9" t="s">
        <v>4892</v>
      </c>
    </row>
    <row r="6" spans="1:98" ht="38.25" x14ac:dyDescent="0.2">
      <c r="A6" s="9" t="s">
        <v>179</v>
      </c>
      <c r="B6" s="10">
        <v>41</v>
      </c>
      <c r="C6" s="10" t="s">
        <v>4541</v>
      </c>
      <c r="D6" s="11">
        <v>0.59</v>
      </c>
      <c r="E6" s="11">
        <v>0.41</v>
      </c>
      <c r="F6" s="11"/>
      <c r="H6" s="11">
        <v>0.96</v>
      </c>
      <c r="I6" s="11">
        <v>0.04</v>
      </c>
      <c r="J6" s="11">
        <v>0.45</v>
      </c>
      <c r="K6" s="11">
        <v>0.36</v>
      </c>
      <c r="L6" s="9" t="s">
        <v>4639</v>
      </c>
      <c r="M6" s="9" t="s">
        <v>5143</v>
      </c>
      <c r="O6" s="9" t="s">
        <v>5144</v>
      </c>
      <c r="R6" s="9" t="s">
        <v>5145</v>
      </c>
      <c r="S6" s="9" t="s">
        <v>5146</v>
      </c>
      <c r="U6" s="9" t="s">
        <v>5147</v>
      </c>
      <c r="V6" s="9" t="s">
        <v>5148</v>
      </c>
      <c r="X6" s="9" t="s">
        <v>5149</v>
      </c>
      <c r="AA6" s="9" t="s">
        <v>5150</v>
      </c>
      <c r="AG6" s="9" t="s">
        <v>4525</v>
      </c>
      <c r="AH6" s="9" t="s">
        <v>4526</v>
      </c>
      <c r="AI6" s="9" t="s">
        <v>4531</v>
      </c>
      <c r="AJ6" s="9" t="s">
        <v>4527</v>
      </c>
      <c r="AK6" s="9" t="s">
        <v>4531</v>
      </c>
      <c r="AL6" s="9" t="s">
        <v>4531</v>
      </c>
      <c r="AM6" s="9" t="s">
        <v>4529</v>
      </c>
      <c r="AN6" s="9" t="s">
        <v>4529</v>
      </c>
      <c r="AO6" s="9" t="s">
        <v>4526</v>
      </c>
      <c r="AP6" s="9" t="s">
        <v>4526</v>
      </c>
      <c r="AQ6" s="9" t="s">
        <v>4531</v>
      </c>
      <c r="AR6" s="9" t="s">
        <v>4526</v>
      </c>
      <c r="AS6" s="9" t="s">
        <v>4526</v>
      </c>
      <c r="AT6" s="9" t="s">
        <v>4529</v>
      </c>
      <c r="AU6" s="9" t="s">
        <v>4529</v>
      </c>
      <c r="AV6" s="9" t="s">
        <v>4526</v>
      </c>
      <c r="AW6" s="9" t="s">
        <v>4526</v>
      </c>
      <c r="AX6" s="9" t="s">
        <v>4526</v>
      </c>
      <c r="AY6" s="9" t="s">
        <v>4526</v>
      </c>
      <c r="AZ6" s="9" t="s">
        <v>4529</v>
      </c>
      <c r="BA6" s="9" t="s">
        <v>4526</v>
      </c>
      <c r="BB6" s="9" t="s">
        <v>4526</v>
      </c>
      <c r="BC6" s="9" t="s">
        <v>4526</v>
      </c>
      <c r="BD6" s="9" t="s">
        <v>4526</v>
      </c>
      <c r="BE6" s="9" t="s">
        <v>4526</v>
      </c>
      <c r="BF6" s="9" t="s">
        <v>4527</v>
      </c>
      <c r="BG6" s="9" t="s">
        <v>4526</v>
      </c>
      <c r="BH6" s="9" t="s">
        <v>4526</v>
      </c>
      <c r="BI6" s="9" t="s">
        <v>4531</v>
      </c>
      <c r="BJ6" s="9" t="s">
        <v>4526</v>
      </c>
      <c r="BK6" s="9" t="s">
        <v>4531</v>
      </c>
      <c r="BL6" s="9" t="s">
        <v>4529</v>
      </c>
      <c r="BM6" s="9" t="s">
        <v>4526</v>
      </c>
      <c r="BN6" s="9" t="s">
        <v>4527</v>
      </c>
      <c r="BO6" s="9" t="s">
        <v>4530</v>
      </c>
      <c r="BP6" s="9" t="s">
        <v>4526</v>
      </c>
      <c r="BQ6" s="9" t="s">
        <v>4527</v>
      </c>
      <c r="BR6" s="9" t="s">
        <v>4528</v>
      </c>
      <c r="BS6" s="9" t="s">
        <v>4529</v>
      </c>
      <c r="BT6" s="9" t="s">
        <v>4527</v>
      </c>
      <c r="BU6" s="9" t="s">
        <v>4526</v>
      </c>
      <c r="BV6" s="9" t="s">
        <v>4527</v>
      </c>
      <c r="BW6" s="9" t="s">
        <v>13182</v>
      </c>
      <c r="BY6" s="9" t="s">
        <v>13182</v>
      </c>
      <c r="CA6" s="9" t="s">
        <v>13208</v>
      </c>
      <c r="CC6" s="9" t="s">
        <v>13208</v>
      </c>
      <c r="CE6" s="9" t="s">
        <v>4950</v>
      </c>
      <c r="CF6" s="9" t="s">
        <v>5151</v>
      </c>
      <c r="CG6" s="9" t="s">
        <v>5152</v>
      </c>
      <c r="CH6" s="9" t="s">
        <v>5153</v>
      </c>
      <c r="CO6" s="9" t="s">
        <v>5154</v>
      </c>
      <c r="CP6" s="9" t="s">
        <v>1472</v>
      </c>
      <c r="CQ6" s="9" t="s">
        <v>5155</v>
      </c>
      <c r="CR6" s="9" t="s">
        <v>5156</v>
      </c>
      <c r="CS6" s="9" t="s">
        <v>5157</v>
      </c>
      <c r="CT6" s="9" t="s">
        <v>5158</v>
      </c>
    </row>
    <row r="7" spans="1:98" ht="38.25" x14ac:dyDescent="0.2">
      <c r="A7" s="9" t="s">
        <v>122</v>
      </c>
      <c r="B7" s="10">
        <v>36</v>
      </c>
      <c r="C7" s="10" t="s">
        <v>4541</v>
      </c>
      <c r="D7" s="11">
        <v>0.67</v>
      </c>
      <c r="E7" s="11">
        <v>0.33</v>
      </c>
      <c r="H7" s="11">
        <v>0.52</v>
      </c>
      <c r="I7" s="11">
        <v>0.48</v>
      </c>
      <c r="J7" s="11">
        <v>0.54</v>
      </c>
      <c r="K7" s="11">
        <v>0.28000000000000003</v>
      </c>
      <c r="L7" s="9" t="s">
        <v>4557</v>
      </c>
      <c r="AG7" s="9" t="s">
        <v>4525</v>
      </c>
      <c r="AH7" s="9" t="s">
        <v>4526</v>
      </c>
      <c r="AI7" s="9" t="s">
        <v>4526</v>
      </c>
      <c r="AJ7" s="9" t="s">
        <v>4527</v>
      </c>
      <c r="AK7" s="9" t="s">
        <v>4526</v>
      </c>
      <c r="AL7" s="9" t="s">
        <v>4526</v>
      </c>
      <c r="AM7" s="9" t="s">
        <v>4526</v>
      </c>
      <c r="AN7" s="9" t="s">
        <v>4526</v>
      </c>
      <c r="AO7" s="9" t="s">
        <v>4526</v>
      </c>
      <c r="AP7" s="9" t="s">
        <v>4526</v>
      </c>
      <c r="AQ7" s="9" t="s">
        <v>4531</v>
      </c>
      <c r="AR7" s="9" t="s">
        <v>4528</v>
      </c>
      <c r="AS7" s="9" t="s">
        <v>4526</v>
      </c>
      <c r="AT7" s="9" t="s">
        <v>4526</v>
      </c>
      <c r="AU7" s="9" t="s">
        <v>4526</v>
      </c>
      <c r="AV7" s="9" t="s">
        <v>4526</v>
      </c>
      <c r="AW7" s="9" t="s">
        <v>4526</v>
      </c>
      <c r="AX7" s="9" t="s">
        <v>4526</v>
      </c>
      <c r="AY7" s="9" t="s">
        <v>4526</v>
      </c>
      <c r="AZ7" s="9" t="s">
        <v>4531</v>
      </c>
      <c r="BA7" s="9" t="s">
        <v>4526</v>
      </c>
      <c r="BB7" s="9" t="s">
        <v>4526</v>
      </c>
      <c r="BC7" s="9" t="s">
        <v>4526</v>
      </c>
      <c r="BD7" s="9" t="s">
        <v>4526</v>
      </c>
      <c r="BE7" s="9" t="s">
        <v>4526</v>
      </c>
      <c r="BF7" s="9" t="s">
        <v>4526</v>
      </c>
      <c r="BG7" s="9" t="s">
        <v>4526</v>
      </c>
      <c r="BH7" s="9" t="s">
        <v>4531</v>
      </c>
      <c r="BI7" s="9" t="s">
        <v>4531</v>
      </c>
      <c r="BJ7" s="9" t="s">
        <v>4531</v>
      </c>
      <c r="BK7" s="9" t="s">
        <v>4526</v>
      </c>
      <c r="BL7" s="9" t="s">
        <v>4526</v>
      </c>
      <c r="BM7" s="9" t="s">
        <v>4531</v>
      </c>
      <c r="BN7" s="9" t="s">
        <v>4526</v>
      </c>
      <c r="BO7" s="9" t="s">
        <v>4526</v>
      </c>
      <c r="BP7" s="9" t="s">
        <v>4526</v>
      </c>
      <c r="BQ7" s="9" t="s">
        <v>4527</v>
      </c>
      <c r="BR7" s="9" t="s">
        <v>4529</v>
      </c>
      <c r="BS7" s="9" t="s">
        <v>4529</v>
      </c>
      <c r="BT7" s="9" t="s">
        <v>4527</v>
      </c>
      <c r="BU7" s="9" t="s">
        <v>4531</v>
      </c>
      <c r="BV7" s="9" t="s">
        <v>4527</v>
      </c>
      <c r="BW7" s="9" t="s">
        <v>4577</v>
      </c>
      <c r="BY7" s="9" t="s">
        <v>13177</v>
      </c>
      <c r="CA7" s="9" t="s">
        <v>13208</v>
      </c>
      <c r="CC7" s="9" t="s">
        <v>4578</v>
      </c>
      <c r="CE7" s="9" t="s">
        <v>4579</v>
      </c>
      <c r="CF7" s="9" t="s">
        <v>4580</v>
      </c>
      <c r="CG7" s="9" t="s">
        <v>4581</v>
      </c>
      <c r="CI7" s="9" t="s">
        <v>4582</v>
      </c>
    </row>
    <row r="8" spans="1:98" ht="25.5" x14ac:dyDescent="0.2">
      <c r="A8" s="9" t="s">
        <v>160</v>
      </c>
      <c r="B8" s="10">
        <v>42</v>
      </c>
      <c r="C8" s="10" t="s">
        <v>4521</v>
      </c>
      <c r="D8" s="11">
        <v>0.74299999999999999</v>
      </c>
      <c r="E8" s="11">
        <v>0.255</v>
      </c>
      <c r="F8" s="11"/>
      <c r="G8" s="11">
        <v>0</v>
      </c>
      <c r="H8" s="11">
        <v>0.93</v>
      </c>
      <c r="I8" s="11">
        <v>7.0000000000000007E-2</v>
      </c>
      <c r="J8" s="11">
        <v>0.4</v>
      </c>
      <c r="K8" s="11">
        <v>0.23</v>
      </c>
      <c r="AG8" s="9" t="s">
        <v>4525</v>
      </c>
      <c r="AH8" s="9" t="s">
        <v>4526</v>
      </c>
      <c r="AI8" s="9" t="s">
        <v>4531</v>
      </c>
      <c r="AJ8" s="9" t="s">
        <v>4527</v>
      </c>
      <c r="AK8" s="9" t="s">
        <v>4526</v>
      </c>
      <c r="AL8" s="9" t="s">
        <v>4531</v>
      </c>
      <c r="AM8" s="9" t="s">
        <v>4531</v>
      </c>
      <c r="AN8" s="9" t="s">
        <v>4531</v>
      </c>
      <c r="AO8" s="9" t="s">
        <v>4526</v>
      </c>
      <c r="AP8" s="9" t="s">
        <v>4526</v>
      </c>
      <c r="AQ8" s="9" t="s">
        <v>4531</v>
      </c>
      <c r="AR8" s="9" t="s">
        <v>4526</v>
      </c>
      <c r="AS8" s="9" t="s">
        <v>4526</v>
      </c>
      <c r="AT8" s="9" t="s">
        <v>4528</v>
      </c>
      <c r="AU8" s="9" t="s">
        <v>4526</v>
      </c>
      <c r="AV8" s="9" t="s">
        <v>4526</v>
      </c>
      <c r="AW8" s="9" t="s">
        <v>4526</v>
      </c>
      <c r="AX8" s="9" t="s">
        <v>4526</v>
      </c>
      <c r="AY8" s="9" t="s">
        <v>4526</v>
      </c>
      <c r="AZ8" s="9" t="s">
        <v>4531</v>
      </c>
      <c r="BA8" s="9" t="s">
        <v>4526</v>
      </c>
      <c r="BB8" s="9" t="s">
        <v>4526</v>
      </c>
      <c r="BC8" s="9" t="s">
        <v>4526</v>
      </c>
      <c r="BD8" s="9" t="s">
        <v>4526</v>
      </c>
      <c r="BE8" s="9" t="s">
        <v>4526</v>
      </c>
      <c r="BF8" s="9" t="s">
        <v>4531</v>
      </c>
      <c r="BG8" s="9" t="s">
        <v>4531</v>
      </c>
      <c r="BH8" s="9" t="s">
        <v>4531</v>
      </c>
      <c r="BI8" s="9" t="s">
        <v>4526</v>
      </c>
      <c r="BJ8" s="9" t="s">
        <v>4526</v>
      </c>
      <c r="BK8" s="9" t="s">
        <v>4526</v>
      </c>
      <c r="BL8" s="9" t="s">
        <v>4531</v>
      </c>
      <c r="BM8" s="9" t="s">
        <v>4531</v>
      </c>
      <c r="BN8" s="9" t="s">
        <v>4529</v>
      </c>
      <c r="BO8" s="9" t="s">
        <v>4531</v>
      </c>
      <c r="BP8" s="9" t="s">
        <v>4531</v>
      </c>
      <c r="BQ8" s="9" t="s">
        <v>4530</v>
      </c>
      <c r="BR8" s="9" t="s">
        <v>4530</v>
      </c>
      <c r="BS8" s="9" t="s">
        <v>4529</v>
      </c>
      <c r="BT8" s="9" t="s">
        <v>4531</v>
      </c>
      <c r="BU8" s="9" t="s">
        <v>4531</v>
      </c>
      <c r="BV8" s="9" t="s">
        <v>4527</v>
      </c>
      <c r="BW8" s="9" t="s">
        <v>4772</v>
      </c>
      <c r="BX8" s="9" t="s">
        <v>4662</v>
      </c>
      <c r="BY8" s="9" t="s">
        <v>4777</v>
      </c>
      <c r="CA8" s="9" t="s">
        <v>13209</v>
      </c>
      <c r="CC8" s="9" t="s">
        <v>4621</v>
      </c>
      <c r="CE8" s="9" t="s">
        <v>4550</v>
      </c>
      <c r="CL8" s="9" t="s">
        <v>4955</v>
      </c>
      <c r="CO8" s="9" t="s">
        <v>4956</v>
      </c>
    </row>
    <row r="9" spans="1:98" ht="51" x14ac:dyDescent="0.2">
      <c r="A9" s="9" t="s">
        <v>154</v>
      </c>
      <c r="B9" s="10">
        <v>44</v>
      </c>
      <c r="C9" s="10" t="s">
        <v>4556</v>
      </c>
      <c r="D9" s="11">
        <v>0.8</v>
      </c>
      <c r="E9" s="11">
        <v>0.18</v>
      </c>
      <c r="F9" s="11">
        <v>0.02</v>
      </c>
      <c r="G9" s="11">
        <v>0</v>
      </c>
      <c r="H9" s="11">
        <v>0.98</v>
      </c>
      <c r="I9" s="11">
        <v>0.02</v>
      </c>
      <c r="J9" s="11">
        <v>0.46</v>
      </c>
      <c r="K9" s="11">
        <v>0.94</v>
      </c>
      <c r="L9" s="9" t="s">
        <v>13170</v>
      </c>
      <c r="S9" s="9" t="s">
        <v>4863</v>
      </c>
      <c r="T9" s="9" t="s">
        <v>4864</v>
      </c>
      <c r="Z9" s="9" t="s">
        <v>4865</v>
      </c>
      <c r="AF9" s="9" t="s">
        <v>4866</v>
      </c>
      <c r="AG9" s="9" t="s">
        <v>4590</v>
      </c>
      <c r="AH9" s="9" t="s">
        <v>4526</v>
      </c>
      <c r="AI9" s="9" t="s">
        <v>4531</v>
      </c>
      <c r="AJ9" s="9" t="s">
        <v>4527</v>
      </c>
      <c r="AK9" s="9" t="s">
        <v>4526</v>
      </c>
      <c r="AL9" s="9" t="s">
        <v>4527</v>
      </c>
      <c r="AM9" s="9" t="s">
        <v>4526</v>
      </c>
      <c r="AN9" s="9" t="s">
        <v>4526</v>
      </c>
      <c r="AO9" s="9" t="s">
        <v>4526</v>
      </c>
      <c r="AP9" s="9" t="s">
        <v>4526</v>
      </c>
      <c r="AQ9" s="9" t="s">
        <v>4531</v>
      </c>
      <c r="AR9" s="9" t="s">
        <v>4526</v>
      </c>
      <c r="AS9" s="9" t="s">
        <v>4526</v>
      </c>
      <c r="AT9" s="9" t="s">
        <v>4527</v>
      </c>
      <c r="AU9" s="9" t="s">
        <v>4526</v>
      </c>
      <c r="AV9" s="9" t="s">
        <v>4526</v>
      </c>
      <c r="AW9" s="9" t="s">
        <v>4526</v>
      </c>
      <c r="AX9" s="9" t="s">
        <v>4526</v>
      </c>
      <c r="AY9" s="9" t="s">
        <v>4526</v>
      </c>
      <c r="AZ9" s="9" t="s">
        <v>4531</v>
      </c>
      <c r="BA9" s="9" t="s">
        <v>4526</v>
      </c>
      <c r="BB9" s="9" t="s">
        <v>4526</v>
      </c>
      <c r="BC9" s="9" t="s">
        <v>4526</v>
      </c>
      <c r="BD9" s="9" t="s">
        <v>4526</v>
      </c>
      <c r="BE9" s="9" t="s">
        <v>4526</v>
      </c>
      <c r="BF9" s="9" t="s">
        <v>4527</v>
      </c>
      <c r="BG9" s="9" t="s">
        <v>4531</v>
      </c>
      <c r="BH9" s="9" t="s">
        <v>4526</v>
      </c>
      <c r="BI9" s="9" t="s">
        <v>4526</v>
      </c>
      <c r="BJ9" s="9" t="s">
        <v>4526</v>
      </c>
      <c r="BK9" s="9" t="s">
        <v>4526</v>
      </c>
      <c r="BL9" s="9" t="s">
        <v>4526</v>
      </c>
      <c r="BM9" s="9" t="s">
        <v>4526</v>
      </c>
      <c r="BN9" s="9" t="s">
        <v>4529</v>
      </c>
      <c r="BO9" s="9" t="s">
        <v>4530</v>
      </c>
      <c r="BP9" s="9" t="s">
        <v>4526</v>
      </c>
      <c r="BQ9" s="9" t="s">
        <v>4527</v>
      </c>
      <c r="BR9" s="9" t="s">
        <v>4530</v>
      </c>
      <c r="BS9" s="9" t="s">
        <v>4526</v>
      </c>
      <c r="BT9" s="9" t="s">
        <v>4531</v>
      </c>
      <c r="BU9" s="9" t="s">
        <v>4531</v>
      </c>
      <c r="BV9" s="9" t="s">
        <v>4527</v>
      </c>
      <c r="BW9" s="9" t="s">
        <v>4591</v>
      </c>
      <c r="BY9" s="9" t="s">
        <v>4777</v>
      </c>
      <c r="CA9" s="9" t="s">
        <v>13208</v>
      </c>
      <c r="CC9" s="9" t="s">
        <v>13208</v>
      </c>
      <c r="CE9" s="9" t="s">
        <v>4197</v>
      </c>
      <c r="CO9" s="9" t="s">
        <v>4867</v>
      </c>
      <c r="CP9" s="9" t="s">
        <v>4868</v>
      </c>
      <c r="CQ9" s="9" t="s">
        <v>4869</v>
      </c>
    </row>
    <row r="10" spans="1:98" ht="38.25" x14ac:dyDescent="0.2">
      <c r="A10" s="9" t="s">
        <v>170</v>
      </c>
      <c r="B10" s="10">
        <v>33</v>
      </c>
      <c r="C10" s="10" t="s">
        <v>4541</v>
      </c>
      <c r="D10" s="11">
        <v>0.61</v>
      </c>
      <c r="E10" s="11">
        <v>0.39</v>
      </c>
      <c r="F10" s="11"/>
      <c r="H10" s="11">
        <v>0.96</v>
      </c>
      <c r="I10" s="11">
        <v>0.04</v>
      </c>
      <c r="J10" s="11">
        <v>0.76</v>
      </c>
      <c r="K10" s="11">
        <v>0.41</v>
      </c>
      <c r="L10" s="9" t="s">
        <v>4561</v>
      </c>
      <c r="N10" s="9" t="s">
        <v>5043</v>
      </c>
      <c r="P10" s="9" t="s">
        <v>5044</v>
      </c>
      <c r="AG10" s="9" t="s">
        <v>4525</v>
      </c>
      <c r="AH10" s="9" t="s">
        <v>4526</v>
      </c>
      <c r="AI10" s="9" t="s">
        <v>4531</v>
      </c>
      <c r="AJ10" s="9" t="s">
        <v>4527</v>
      </c>
      <c r="AK10" s="9" t="s">
        <v>4531</v>
      </c>
      <c r="AL10" s="9" t="s">
        <v>4531</v>
      </c>
      <c r="AM10" s="9" t="s">
        <v>4526</v>
      </c>
      <c r="AN10" s="9" t="s">
        <v>4526</v>
      </c>
      <c r="AO10" s="9" t="s">
        <v>4526</v>
      </c>
      <c r="AP10" s="9" t="s">
        <v>4526</v>
      </c>
      <c r="AQ10" s="9" t="s">
        <v>4531</v>
      </c>
      <c r="AR10" s="9" t="s">
        <v>4526</v>
      </c>
      <c r="AS10" s="9" t="s">
        <v>4526</v>
      </c>
      <c r="AT10" s="9" t="s">
        <v>4526</v>
      </c>
      <c r="AU10" s="9" t="s">
        <v>4529</v>
      </c>
      <c r="AV10" s="9" t="s">
        <v>4526</v>
      </c>
      <c r="AW10" s="9" t="s">
        <v>4526</v>
      </c>
      <c r="AX10" s="9" t="s">
        <v>4526</v>
      </c>
      <c r="AY10" s="9" t="s">
        <v>4526</v>
      </c>
      <c r="AZ10" s="9" t="s">
        <v>4529</v>
      </c>
      <c r="BA10" s="9" t="s">
        <v>4526</v>
      </c>
      <c r="BB10" s="9" t="s">
        <v>4526</v>
      </c>
      <c r="BC10" s="9" t="s">
        <v>4526</v>
      </c>
      <c r="BD10" s="9" t="s">
        <v>4526</v>
      </c>
      <c r="BE10" s="9" t="s">
        <v>4526</v>
      </c>
      <c r="BF10" s="9" t="s">
        <v>4531</v>
      </c>
      <c r="BG10" s="9" t="s">
        <v>4531</v>
      </c>
      <c r="BH10" s="9" t="s">
        <v>4531</v>
      </c>
      <c r="BI10" s="9" t="s">
        <v>4531</v>
      </c>
      <c r="BJ10" s="9" t="s">
        <v>4531</v>
      </c>
      <c r="BK10" s="9" t="s">
        <v>4531</v>
      </c>
      <c r="BL10" s="9" t="s">
        <v>4531</v>
      </c>
      <c r="BM10" s="9" t="s">
        <v>4529</v>
      </c>
      <c r="BN10" s="9" t="s">
        <v>4529</v>
      </c>
      <c r="BO10" s="9" t="s">
        <v>4531</v>
      </c>
      <c r="BP10" s="9" t="s">
        <v>4526</v>
      </c>
      <c r="BQ10" s="9" t="s">
        <v>4527</v>
      </c>
      <c r="BR10" s="9" t="s">
        <v>4529</v>
      </c>
      <c r="BS10" s="9" t="s">
        <v>4529</v>
      </c>
      <c r="BT10" s="9" t="s">
        <v>4531</v>
      </c>
      <c r="BU10" s="9" t="s">
        <v>4531</v>
      </c>
      <c r="BV10" s="9" t="s">
        <v>4531</v>
      </c>
      <c r="BW10" s="9" t="s">
        <v>5045</v>
      </c>
      <c r="BX10" s="9" t="s">
        <v>5046</v>
      </c>
      <c r="BY10" s="9" t="s">
        <v>13180</v>
      </c>
      <c r="BZ10" s="9" t="s">
        <v>5047</v>
      </c>
      <c r="CA10" s="9" t="s">
        <v>13207</v>
      </c>
      <c r="CB10" s="9" t="s">
        <v>5048</v>
      </c>
      <c r="CC10" s="9" t="s">
        <v>13207</v>
      </c>
      <c r="CD10" s="9" t="s">
        <v>5049</v>
      </c>
      <c r="CE10" s="9" t="s">
        <v>5050</v>
      </c>
      <c r="CF10" s="9" t="s">
        <v>5051</v>
      </c>
    </row>
    <row r="11" spans="1:98" ht="63.75" x14ac:dyDescent="0.2">
      <c r="A11" s="9" t="s">
        <v>176</v>
      </c>
      <c r="B11" s="10">
        <v>42</v>
      </c>
      <c r="C11" s="10" t="s">
        <v>4541</v>
      </c>
      <c r="D11" s="11">
        <v>0.57999999999999996</v>
      </c>
      <c r="E11" s="11">
        <v>0.42</v>
      </c>
      <c r="F11" s="11"/>
      <c r="H11" s="11">
        <v>0.8</v>
      </c>
      <c r="I11" s="11">
        <v>0.2</v>
      </c>
      <c r="J11" s="11">
        <v>0.41</v>
      </c>
      <c r="K11" s="11">
        <v>0.26</v>
      </c>
      <c r="L11" s="9" t="s">
        <v>4743</v>
      </c>
      <c r="M11" s="9" t="s">
        <v>5093</v>
      </c>
      <c r="N11" s="9" t="s">
        <v>5094</v>
      </c>
      <c r="O11" s="9" t="s">
        <v>5095</v>
      </c>
      <c r="Q11" s="9" t="s">
        <v>5096</v>
      </c>
      <c r="R11" s="9" t="s">
        <v>5097</v>
      </c>
      <c r="S11" s="9" t="s">
        <v>5098</v>
      </c>
      <c r="T11" s="9" t="s">
        <v>5099</v>
      </c>
      <c r="U11" s="9" t="s">
        <v>5097</v>
      </c>
      <c r="V11" s="9" t="s">
        <v>5100</v>
      </c>
      <c r="W11" s="9" t="s">
        <v>5101</v>
      </c>
      <c r="Z11" s="9" t="s">
        <v>5102</v>
      </c>
      <c r="AA11" s="9" t="s">
        <v>5103</v>
      </c>
      <c r="AC11" s="9" t="s">
        <v>5104</v>
      </c>
      <c r="AD11" s="9" t="s">
        <v>5105</v>
      </c>
      <c r="AE11" s="9" t="s">
        <v>5106</v>
      </c>
      <c r="AG11" s="9" t="s">
        <v>4525</v>
      </c>
      <c r="AH11" s="9" t="s">
        <v>4526</v>
      </c>
      <c r="AI11" s="9" t="s">
        <v>4528</v>
      </c>
      <c r="AJ11" s="9" t="s">
        <v>4527</v>
      </c>
      <c r="AK11" s="9" t="s">
        <v>4531</v>
      </c>
      <c r="AL11" s="9" t="s">
        <v>4526</v>
      </c>
      <c r="AM11" s="9" t="s">
        <v>4526</v>
      </c>
      <c r="AN11" s="9" t="s">
        <v>4526</v>
      </c>
      <c r="AO11" s="9" t="s">
        <v>4526</v>
      </c>
      <c r="AP11" s="9" t="s">
        <v>4526</v>
      </c>
      <c r="AQ11" s="9" t="s">
        <v>4531</v>
      </c>
      <c r="AR11" s="9" t="s">
        <v>4526</v>
      </c>
      <c r="AS11" s="9" t="s">
        <v>4526</v>
      </c>
      <c r="AT11" s="9" t="s">
        <v>4529</v>
      </c>
      <c r="AU11" s="9" t="s">
        <v>4529</v>
      </c>
      <c r="AV11" s="9" t="s">
        <v>4526</v>
      </c>
      <c r="AW11" s="9" t="s">
        <v>4526</v>
      </c>
      <c r="AX11" s="9" t="s">
        <v>4526</v>
      </c>
      <c r="AY11" s="9" t="s">
        <v>4526</v>
      </c>
      <c r="AZ11" s="9" t="s">
        <v>4531</v>
      </c>
      <c r="BA11" s="9" t="s">
        <v>4526</v>
      </c>
      <c r="BB11" s="9" t="s">
        <v>4526</v>
      </c>
      <c r="BC11" s="9" t="s">
        <v>4526</v>
      </c>
      <c r="BD11" s="9" t="s">
        <v>4526</v>
      </c>
      <c r="BE11" s="9" t="s">
        <v>4526</v>
      </c>
      <c r="BF11" s="9" t="s">
        <v>4526</v>
      </c>
      <c r="BG11" s="9" t="s">
        <v>4526</v>
      </c>
      <c r="BH11" s="9" t="s">
        <v>4526</v>
      </c>
      <c r="BI11" s="9" t="s">
        <v>4531</v>
      </c>
      <c r="BJ11" s="9" t="s">
        <v>4526</v>
      </c>
      <c r="BK11" s="9" t="s">
        <v>4531</v>
      </c>
      <c r="BL11" s="9" t="s">
        <v>4531</v>
      </c>
      <c r="BM11" s="9" t="s">
        <v>4531</v>
      </c>
      <c r="BN11" s="9" t="s">
        <v>4526</v>
      </c>
      <c r="BO11" s="9" t="s">
        <v>4526</v>
      </c>
      <c r="BP11" s="9" t="s">
        <v>4526</v>
      </c>
      <c r="BQ11" s="9" t="s">
        <v>4529</v>
      </c>
      <c r="BR11" s="9" t="s">
        <v>4529</v>
      </c>
      <c r="BS11" s="9" t="s">
        <v>4529</v>
      </c>
      <c r="BT11" s="9" t="s">
        <v>4526</v>
      </c>
      <c r="BU11" s="9" t="s">
        <v>4531</v>
      </c>
      <c r="BV11" s="9" t="s">
        <v>4530</v>
      </c>
      <c r="BW11" s="9" t="s">
        <v>13192</v>
      </c>
      <c r="BY11" s="9" t="s">
        <v>5107</v>
      </c>
      <c r="CA11" s="9" t="s">
        <v>13214</v>
      </c>
      <c r="CB11" s="9" t="s">
        <v>5108</v>
      </c>
      <c r="CC11" s="9" t="s">
        <v>13214</v>
      </c>
      <c r="CD11" s="9" t="s">
        <v>5108</v>
      </c>
      <c r="CE11" s="9" t="s">
        <v>4634</v>
      </c>
      <c r="CF11" s="9" t="s">
        <v>5109</v>
      </c>
      <c r="CG11" s="9" t="s">
        <v>5110</v>
      </c>
      <c r="CH11" s="9" t="s">
        <v>5111</v>
      </c>
      <c r="CI11" s="9" t="s">
        <v>5112</v>
      </c>
      <c r="CJ11" s="9" t="s">
        <v>5113</v>
      </c>
      <c r="CK11" s="9" t="s">
        <v>5114</v>
      </c>
      <c r="CL11" s="9" t="s">
        <v>5115</v>
      </c>
      <c r="CM11" s="9" t="s">
        <v>5116</v>
      </c>
      <c r="CN11" s="9" t="s">
        <v>5117</v>
      </c>
      <c r="CO11" s="9" t="s">
        <v>5118</v>
      </c>
      <c r="CP11" s="9" t="s">
        <v>5119</v>
      </c>
      <c r="CQ11" s="9" t="s">
        <v>5120</v>
      </c>
    </row>
    <row r="12" spans="1:98" ht="38.25" x14ac:dyDescent="0.2">
      <c r="A12" s="9" t="s">
        <v>175</v>
      </c>
      <c r="B12" s="10">
        <v>47</v>
      </c>
      <c r="C12" s="10" t="s">
        <v>4521</v>
      </c>
      <c r="D12" s="11">
        <v>0.71</v>
      </c>
      <c r="E12" s="11">
        <v>0.28999999999999998</v>
      </c>
      <c r="F12" s="11"/>
      <c r="G12" s="11">
        <v>0</v>
      </c>
      <c r="H12" s="11">
        <v>0.92</v>
      </c>
      <c r="I12" s="11">
        <v>0.08</v>
      </c>
      <c r="J12" s="11">
        <v>0.28000000000000003</v>
      </c>
      <c r="K12" s="11">
        <v>0.34</v>
      </c>
      <c r="N12" s="9" t="s">
        <v>5079</v>
      </c>
      <c r="O12" s="9" t="s">
        <v>5080</v>
      </c>
      <c r="R12" s="9" t="s">
        <v>5081</v>
      </c>
      <c r="T12" s="9" t="s">
        <v>5082</v>
      </c>
      <c r="X12" s="9" t="s">
        <v>5083</v>
      </c>
      <c r="Y12" s="9" t="s">
        <v>5084</v>
      </c>
      <c r="AD12" s="9" t="s">
        <v>4888</v>
      </c>
      <c r="AF12" s="9" t="s">
        <v>5084</v>
      </c>
      <c r="AG12" s="9" t="s">
        <v>4590</v>
      </c>
      <c r="AH12" s="9" t="s">
        <v>4526</v>
      </c>
      <c r="AI12" s="9" t="s">
        <v>4526</v>
      </c>
      <c r="AJ12" s="9" t="s">
        <v>4531</v>
      </c>
      <c r="AK12" s="9" t="s">
        <v>4526</v>
      </c>
      <c r="AL12" s="9" t="s">
        <v>4528</v>
      </c>
      <c r="AM12" s="9" t="s">
        <v>4528</v>
      </c>
      <c r="AN12" s="9" t="s">
        <v>4528</v>
      </c>
      <c r="AO12" s="9" t="s">
        <v>4528</v>
      </c>
      <c r="AP12" s="9" t="s">
        <v>4528</v>
      </c>
      <c r="AQ12" s="9" t="s">
        <v>4531</v>
      </c>
      <c r="AR12" s="9" t="s">
        <v>4526</v>
      </c>
      <c r="AS12" s="9" t="s">
        <v>4526</v>
      </c>
      <c r="AT12" s="9" t="s">
        <v>4529</v>
      </c>
      <c r="AU12" s="9" t="s">
        <v>4526</v>
      </c>
      <c r="AV12" s="9" t="s">
        <v>4526</v>
      </c>
      <c r="AW12" s="9" t="s">
        <v>4526</v>
      </c>
      <c r="AX12" s="9" t="s">
        <v>4526</v>
      </c>
      <c r="AY12" s="9" t="s">
        <v>4526</v>
      </c>
      <c r="AZ12" s="9" t="s">
        <v>4531</v>
      </c>
      <c r="BA12" s="9" t="s">
        <v>4526</v>
      </c>
      <c r="BB12" s="9" t="s">
        <v>4526</v>
      </c>
      <c r="BC12" s="9" t="s">
        <v>4526</v>
      </c>
      <c r="BD12" s="9" t="s">
        <v>4526</v>
      </c>
      <c r="BE12" s="9" t="s">
        <v>4526</v>
      </c>
      <c r="BF12" s="9" t="s">
        <v>4531</v>
      </c>
      <c r="BG12" s="9" t="s">
        <v>4531</v>
      </c>
      <c r="BH12" s="9" t="s">
        <v>4531</v>
      </c>
      <c r="BI12" s="9" t="s">
        <v>4531</v>
      </c>
      <c r="BJ12" s="9" t="s">
        <v>4526</v>
      </c>
      <c r="BK12" s="9" t="s">
        <v>4531</v>
      </c>
      <c r="BL12" s="9" t="s">
        <v>4526</v>
      </c>
      <c r="BM12" s="9" t="s">
        <v>4531</v>
      </c>
      <c r="BN12" s="9" t="s">
        <v>4529</v>
      </c>
      <c r="BO12" s="9" t="s">
        <v>4527</v>
      </c>
      <c r="BP12" s="9" t="s">
        <v>4526</v>
      </c>
      <c r="BQ12" s="9" t="s">
        <v>4527</v>
      </c>
      <c r="BR12" s="9" t="s">
        <v>4529</v>
      </c>
      <c r="BS12" s="9" t="s">
        <v>4530</v>
      </c>
      <c r="BT12" s="9" t="s">
        <v>4531</v>
      </c>
      <c r="BU12" s="9" t="s">
        <v>4530</v>
      </c>
      <c r="BV12" s="9" t="s">
        <v>4527</v>
      </c>
      <c r="BW12" s="9" t="s">
        <v>4591</v>
      </c>
      <c r="BY12" s="9" t="s">
        <v>13205</v>
      </c>
      <c r="BZ12" s="9" t="s">
        <v>5085</v>
      </c>
      <c r="CA12" s="9" t="s">
        <v>13209</v>
      </c>
      <c r="CC12" s="9" t="s">
        <v>4621</v>
      </c>
      <c r="CE12" s="9" t="s">
        <v>13217</v>
      </c>
      <c r="CF12" s="9" t="s">
        <v>5086</v>
      </c>
      <c r="CG12" s="9" t="s">
        <v>5087</v>
      </c>
      <c r="CH12" s="9" t="s">
        <v>5088</v>
      </c>
      <c r="CI12" s="9" t="s">
        <v>5089</v>
      </c>
      <c r="CJ12" s="9" t="s">
        <v>5090</v>
      </c>
      <c r="CK12" s="9" t="s">
        <v>5091</v>
      </c>
      <c r="CO12" s="9" t="s">
        <v>5092</v>
      </c>
    </row>
    <row r="13" spans="1:98" ht="114.75" x14ac:dyDescent="0.2">
      <c r="A13" s="9" t="s">
        <v>121</v>
      </c>
      <c r="B13" s="10">
        <v>44</v>
      </c>
      <c r="C13" s="10" t="s">
        <v>4541</v>
      </c>
      <c r="D13" s="11">
        <v>0.78</v>
      </c>
      <c r="E13" s="11">
        <v>0.22</v>
      </c>
      <c r="H13" s="11">
        <v>0.96</v>
      </c>
      <c r="I13" s="11">
        <v>0.04</v>
      </c>
      <c r="J13" s="11">
        <v>0.38</v>
      </c>
      <c r="K13" s="11">
        <v>0.75</v>
      </c>
      <c r="L13" s="9" t="s">
        <v>29</v>
      </c>
      <c r="M13" s="9" t="s">
        <v>4566</v>
      </c>
      <c r="N13" s="9" t="s">
        <v>4567</v>
      </c>
      <c r="T13" s="9" t="s">
        <v>13754</v>
      </c>
      <c r="X13" s="9" t="s">
        <v>13755</v>
      </c>
      <c r="AB13" s="9" t="s">
        <v>4568</v>
      </c>
      <c r="AD13" s="9" t="s">
        <v>13763</v>
      </c>
      <c r="AG13" s="9" t="s">
        <v>4525</v>
      </c>
      <c r="AH13" s="9" t="s">
        <v>4526</v>
      </c>
      <c r="AI13" s="9" t="s">
        <v>4526</v>
      </c>
      <c r="AJ13" s="9" t="s">
        <v>4527</v>
      </c>
      <c r="AK13" s="9" t="s">
        <v>4531</v>
      </c>
      <c r="AL13" s="9" t="s">
        <v>4527</v>
      </c>
      <c r="AM13" s="9" t="s">
        <v>4526</v>
      </c>
      <c r="AN13" s="9" t="s">
        <v>4526</v>
      </c>
      <c r="AO13" s="9" t="s">
        <v>4526</v>
      </c>
      <c r="AP13" s="9" t="s">
        <v>4526</v>
      </c>
      <c r="AQ13" s="9" t="s">
        <v>4531</v>
      </c>
      <c r="AR13" s="9" t="s">
        <v>4527</v>
      </c>
      <c r="AS13" s="9" t="s">
        <v>4528</v>
      </c>
      <c r="AT13" s="9" t="s">
        <v>4527</v>
      </c>
      <c r="AU13" s="9" t="s">
        <v>4530</v>
      </c>
      <c r="AV13" s="9" t="s">
        <v>4526</v>
      </c>
      <c r="AW13" s="9" t="s">
        <v>4526</v>
      </c>
      <c r="AX13" s="9" t="s">
        <v>4526</v>
      </c>
      <c r="AY13" s="9" t="s">
        <v>4526</v>
      </c>
      <c r="AZ13" s="9" t="s">
        <v>4526</v>
      </c>
      <c r="BA13" s="9" t="s">
        <v>4526</v>
      </c>
      <c r="BB13" s="9" t="s">
        <v>4526</v>
      </c>
      <c r="BC13" s="9" t="s">
        <v>4526</v>
      </c>
      <c r="BD13" s="9" t="s">
        <v>4526</v>
      </c>
      <c r="BE13" s="9" t="s">
        <v>4526</v>
      </c>
      <c r="BF13" s="9" t="s">
        <v>4527</v>
      </c>
      <c r="BG13" s="9" t="s">
        <v>4531</v>
      </c>
      <c r="BH13" s="9" t="s">
        <v>4531</v>
      </c>
      <c r="BI13" s="9" t="s">
        <v>4531</v>
      </c>
      <c r="BJ13" s="9" t="s">
        <v>4526</v>
      </c>
      <c r="BK13" s="9" t="s">
        <v>4526</v>
      </c>
      <c r="BL13" s="9" t="s">
        <v>4531</v>
      </c>
      <c r="BM13" s="9" t="s">
        <v>4531</v>
      </c>
      <c r="BN13" s="9" t="s">
        <v>4529</v>
      </c>
      <c r="BO13" s="9" t="s">
        <v>4531</v>
      </c>
      <c r="BP13" s="9" t="s">
        <v>4526</v>
      </c>
      <c r="BQ13" s="9" t="s">
        <v>4526</v>
      </c>
      <c r="BR13" s="9" t="s">
        <v>4526</v>
      </c>
      <c r="BS13" s="9" t="s">
        <v>4530</v>
      </c>
      <c r="BT13" s="9" t="s">
        <v>4527</v>
      </c>
      <c r="BU13" s="9" t="s">
        <v>4526</v>
      </c>
      <c r="BV13" s="9" t="s">
        <v>4527</v>
      </c>
      <c r="BW13" s="9" t="s">
        <v>13174</v>
      </c>
      <c r="BX13" s="9" t="s">
        <v>4569</v>
      </c>
      <c r="BY13" s="9" t="s">
        <v>13175</v>
      </c>
      <c r="BZ13" s="9" t="s">
        <v>4570</v>
      </c>
      <c r="CA13" s="9" t="s">
        <v>13207</v>
      </c>
      <c r="CB13" s="9" t="s">
        <v>4571</v>
      </c>
      <c r="CC13" s="9" t="s">
        <v>4572</v>
      </c>
      <c r="CD13" s="9" t="s">
        <v>4573</v>
      </c>
      <c r="CE13" s="9" t="s">
        <v>4574</v>
      </c>
      <c r="CF13" s="9" t="s">
        <v>4575</v>
      </c>
      <c r="CR13" s="9" t="s">
        <v>13768</v>
      </c>
      <c r="CS13" s="9" t="s">
        <v>4576</v>
      </c>
    </row>
    <row r="14" spans="1:98" ht="51" x14ac:dyDescent="0.2">
      <c r="A14" s="9" t="s">
        <v>147</v>
      </c>
      <c r="B14" s="10">
        <v>49</v>
      </c>
      <c r="C14" s="10" t="s">
        <v>4541</v>
      </c>
      <c r="D14" s="11">
        <v>0.8</v>
      </c>
      <c r="E14" s="11">
        <v>0.2</v>
      </c>
      <c r="H14" s="11">
        <v>0.92</v>
      </c>
      <c r="I14" s="11">
        <v>0.08</v>
      </c>
      <c r="J14" s="11">
        <v>0.25</v>
      </c>
      <c r="K14" s="11">
        <v>0.66</v>
      </c>
      <c r="L14" s="9" t="s">
        <v>29</v>
      </c>
      <c r="M14" s="9" t="s">
        <v>4795</v>
      </c>
      <c r="T14" s="9" t="s">
        <v>4796</v>
      </c>
      <c r="X14" s="9" t="s">
        <v>4797</v>
      </c>
      <c r="Y14" s="9" t="s">
        <v>4798</v>
      </c>
      <c r="AB14" s="9" t="s">
        <v>4799</v>
      </c>
      <c r="AF14" s="9" t="s">
        <v>4800</v>
      </c>
      <c r="AG14" s="9" t="s">
        <v>4590</v>
      </c>
      <c r="AH14" s="9" t="s">
        <v>4526</v>
      </c>
      <c r="AI14" s="9" t="s">
        <v>4531</v>
      </c>
      <c r="AJ14" s="9" t="s">
        <v>4527</v>
      </c>
      <c r="AK14" s="9" t="s">
        <v>4531</v>
      </c>
      <c r="AL14" s="9" t="s">
        <v>4526</v>
      </c>
      <c r="AM14" s="9" t="s">
        <v>4526</v>
      </c>
      <c r="AN14" s="9" t="s">
        <v>4526</v>
      </c>
      <c r="AO14" s="9" t="s">
        <v>4526</v>
      </c>
      <c r="AP14" s="9" t="s">
        <v>4526</v>
      </c>
      <c r="AQ14" s="9" t="s">
        <v>4531</v>
      </c>
      <c r="AR14" s="9" t="s">
        <v>4526</v>
      </c>
      <c r="AS14" s="9" t="s">
        <v>4526</v>
      </c>
      <c r="AT14" s="9" t="s">
        <v>4526</v>
      </c>
      <c r="AU14" s="9" t="s">
        <v>4526</v>
      </c>
      <c r="AV14" s="9" t="s">
        <v>4526</v>
      </c>
      <c r="AW14" s="9" t="s">
        <v>4526</v>
      </c>
      <c r="AX14" s="9" t="s">
        <v>4526</v>
      </c>
      <c r="AY14" s="9" t="s">
        <v>4526</v>
      </c>
      <c r="AZ14" s="9" t="s">
        <v>4531</v>
      </c>
      <c r="BA14" s="9" t="s">
        <v>4526</v>
      </c>
      <c r="BB14" s="9" t="s">
        <v>4526</v>
      </c>
      <c r="BC14" s="9" t="s">
        <v>4526</v>
      </c>
      <c r="BD14" s="9" t="s">
        <v>4526</v>
      </c>
      <c r="BE14" s="9" t="s">
        <v>4526</v>
      </c>
      <c r="BF14" s="9" t="s">
        <v>4527</v>
      </c>
      <c r="BG14" s="9" t="s">
        <v>4531</v>
      </c>
      <c r="BH14" s="9" t="s">
        <v>4526</v>
      </c>
      <c r="BI14" s="9" t="s">
        <v>4531</v>
      </c>
      <c r="BJ14" s="9" t="s">
        <v>4526</v>
      </c>
      <c r="BK14" s="9" t="s">
        <v>4526</v>
      </c>
      <c r="BL14" s="9" t="s">
        <v>4526</v>
      </c>
      <c r="BM14" s="9" t="s">
        <v>4531</v>
      </c>
      <c r="BN14" s="9" t="s">
        <v>4528</v>
      </c>
      <c r="BO14" s="9" t="s">
        <v>4526</v>
      </c>
      <c r="BP14" s="9" t="s">
        <v>4526</v>
      </c>
      <c r="BQ14" s="9" t="s">
        <v>4527</v>
      </c>
      <c r="BR14" s="9" t="s">
        <v>4527</v>
      </c>
      <c r="BS14" s="9" t="s">
        <v>4529</v>
      </c>
      <c r="BT14" s="9" t="s">
        <v>4531</v>
      </c>
      <c r="BU14" s="9" t="s">
        <v>4531</v>
      </c>
      <c r="BV14" s="9" t="s">
        <v>4530</v>
      </c>
      <c r="BW14" s="9" t="s">
        <v>13175</v>
      </c>
      <c r="BX14" s="9" t="s">
        <v>13193</v>
      </c>
      <c r="BY14" s="9" t="s">
        <v>13186</v>
      </c>
      <c r="BZ14" s="9" t="s">
        <v>4801</v>
      </c>
      <c r="CA14" s="9" t="s">
        <v>13209</v>
      </c>
      <c r="CC14" s="9" t="s">
        <v>13216</v>
      </c>
      <c r="CD14" s="9" t="s">
        <v>4802</v>
      </c>
      <c r="CE14" s="9" t="s">
        <v>4657</v>
      </c>
      <c r="CF14" s="9" t="s">
        <v>4803</v>
      </c>
      <c r="CG14" s="9" t="s">
        <v>4804</v>
      </c>
      <c r="CH14" s="9" t="s">
        <v>4805</v>
      </c>
      <c r="CO14" s="9" t="s">
        <v>4806</v>
      </c>
      <c r="CP14" s="9" t="s">
        <v>4807</v>
      </c>
      <c r="CQ14" s="9" t="s">
        <v>4808</v>
      </c>
    </row>
    <row r="15" spans="1:98" ht="63.75" x14ac:dyDescent="0.2">
      <c r="A15" s="9" t="s">
        <v>138</v>
      </c>
      <c r="B15" s="10">
        <v>42</v>
      </c>
      <c r="C15" s="10" t="s">
        <v>4541</v>
      </c>
      <c r="D15" s="11">
        <v>0.74</v>
      </c>
      <c r="E15" s="11">
        <v>0.26</v>
      </c>
      <c r="H15" s="11">
        <v>0.79</v>
      </c>
      <c r="I15" s="11">
        <v>0.21</v>
      </c>
      <c r="J15" s="11">
        <v>0.4</v>
      </c>
      <c r="K15" s="11">
        <v>0.88</v>
      </c>
      <c r="L15" s="9" t="s">
        <v>13169</v>
      </c>
      <c r="T15" s="9" t="s">
        <v>4711</v>
      </c>
      <c r="U15" s="9" t="s">
        <v>4712</v>
      </c>
      <c r="W15" s="9" t="s">
        <v>4713</v>
      </c>
      <c r="AD15" s="9" t="s">
        <v>4714</v>
      </c>
      <c r="AE15" s="9" t="s">
        <v>4715</v>
      </c>
      <c r="AF15" s="9" t="s">
        <v>4716</v>
      </c>
      <c r="AG15" s="9" t="s">
        <v>4525</v>
      </c>
      <c r="AH15" s="9" t="s">
        <v>4529</v>
      </c>
      <c r="AI15" s="9" t="s">
        <v>4529</v>
      </c>
      <c r="AJ15" s="9" t="s">
        <v>4530</v>
      </c>
      <c r="AK15" s="9" t="s">
        <v>4531</v>
      </c>
      <c r="AL15" s="9" t="s">
        <v>4530</v>
      </c>
      <c r="AM15" s="9" t="s">
        <v>4530</v>
      </c>
      <c r="AN15" s="9" t="s">
        <v>4530</v>
      </c>
      <c r="AO15" s="9" t="s">
        <v>4530</v>
      </c>
      <c r="AP15" s="9" t="s">
        <v>4530</v>
      </c>
      <c r="AQ15" s="9" t="s">
        <v>4531</v>
      </c>
      <c r="AR15" s="9" t="s">
        <v>4530</v>
      </c>
      <c r="AS15" s="9" t="s">
        <v>4529</v>
      </c>
      <c r="AT15" s="9" t="s">
        <v>4530</v>
      </c>
      <c r="AU15" s="9" t="s">
        <v>4530</v>
      </c>
      <c r="AV15" s="9" t="s">
        <v>4529</v>
      </c>
      <c r="AW15" s="9" t="s">
        <v>4527</v>
      </c>
      <c r="AX15" s="9" t="s">
        <v>4526</v>
      </c>
      <c r="AY15" s="9" t="s">
        <v>4526</v>
      </c>
      <c r="AZ15" s="9" t="s">
        <v>4526</v>
      </c>
      <c r="BA15" s="9" t="s">
        <v>4529</v>
      </c>
      <c r="BB15" s="9" t="s">
        <v>4529</v>
      </c>
      <c r="BC15" s="9" t="s">
        <v>4529</v>
      </c>
      <c r="BD15" s="9" t="s">
        <v>4529</v>
      </c>
      <c r="BE15" s="9" t="s">
        <v>4529</v>
      </c>
      <c r="BF15" s="9" t="s">
        <v>4527</v>
      </c>
      <c r="BG15" s="9" t="s">
        <v>4529</v>
      </c>
      <c r="BH15" s="9" t="s">
        <v>4527</v>
      </c>
      <c r="BI15" s="9" t="s">
        <v>4531</v>
      </c>
      <c r="BJ15" s="9" t="s">
        <v>4530</v>
      </c>
      <c r="BK15" s="9" t="s">
        <v>4530</v>
      </c>
      <c r="BL15" s="9" t="s">
        <v>4531</v>
      </c>
      <c r="BM15" s="9" t="s">
        <v>4531</v>
      </c>
      <c r="BN15" s="9" t="s">
        <v>4529</v>
      </c>
      <c r="BO15" s="9" t="s">
        <v>4527</v>
      </c>
      <c r="BP15" s="9" t="s">
        <v>4529</v>
      </c>
      <c r="BQ15" s="9" t="s">
        <v>4527</v>
      </c>
      <c r="BR15" s="9" t="s">
        <v>4530</v>
      </c>
      <c r="BS15" s="9" t="s">
        <v>4530</v>
      </c>
      <c r="BT15" s="9" t="s">
        <v>4527</v>
      </c>
      <c r="BU15" s="9" t="s">
        <v>4530</v>
      </c>
      <c r="BV15" s="9" t="s">
        <v>4527</v>
      </c>
      <c r="BW15" s="9" t="s">
        <v>13177</v>
      </c>
      <c r="BY15" s="9" t="s">
        <v>13177</v>
      </c>
      <c r="CA15" s="9" t="s">
        <v>4569</v>
      </c>
      <c r="CC15" s="9" t="s">
        <v>4569</v>
      </c>
      <c r="CE15" s="9" t="s">
        <v>4717</v>
      </c>
      <c r="CI15" s="9" t="s">
        <v>4718</v>
      </c>
      <c r="CJ15" s="9" t="s">
        <v>30</v>
      </c>
      <c r="CK15" s="9" t="s">
        <v>4719</v>
      </c>
      <c r="CR15" s="9" t="s">
        <v>4720</v>
      </c>
      <c r="CS15" s="9" t="s">
        <v>4371</v>
      </c>
      <c r="CT15" s="9" t="s">
        <v>4721</v>
      </c>
    </row>
    <row r="16" spans="1:98" ht="89.25" x14ac:dyDescent="0.2">
      <c r="A16" s="9" t="s">
        <v>118</v>
      </c>
      <c r="B16" s="10">
        <v>46</v>
      </c>
      <c r="C16" s="10" t="s">
        <v>4541</v>
      </c>
      <c r="D16" s="11">
        <v>0.59</v>
      </c>
      <c r="E16" s="11">
        <v>0.41</v>
      </c>
      <c r="H16" s="11">
        <v>0.63</v>
      </c>
      <c r="I16" s="11">
        <v>0.37</v>
      </c>
      <c r="J16" s="11">
        <v>0.33</v>
      </c>
      <c r="K16" s="11">
        <v>0.27</v>
      </c>
      <c r="L16" s="9" t="s">
        <v>29</v>
      </c>
      <c r="M16" s="9" t="s">
        <v>13751</v>
      </c>
      <c r="R16" s="9" t="s">
        <v>4542</v>
      </c>
      <c r="S16" s="9" t="s">
        <v>4543</v>
      </c>
      <c r="T16" s="9" t="s">
        <v>4544</v>
      </c>
      <c r="V16" s="9" t="s">
        <v>4542</v>
      </c>
      <c r="X16" s="9" t="s">
        <v>4545</v>
      </c>
      <c r="AA16" s="9" t="s">
        <v>4546</v>
      </c>
      <c r="AD16" s="9" t="s">
        <v>4547</v>
      </c>
      <c r="AG16" s="9" t="s">
        <v>4525</v>
      </c>
      <c r="AH16" s="9" t="s">
        <v>4526</v>
      </c>
      <c r="AI16" s="9" t="s">
        <v>4528</v>
      </c>
      <c r="AJ16" s="9" t="s">
        <v>4527</v>
      </c>
      <c r="AK16" s="9" t="s">
        <v>4531</v>
      </c>
      <c r="AL16" s="9" t="s">
        <v>4526</v>
      </c>
      <c r="AM16" s="9" t="s">
        <v>4526</v>
      </c>
      <c r="AN16" s="9" t="s">
        <v>4531</v>
      </c>
      <c r="AO16" s="9" t="s">
        <v>4526</v>
      </c>
      <c r="AP16" s="9" t="s">
        <v>4526</v>
      </c>
      <c r="AQ16" s="9" t="s">
        <v>4531</v>
      </c>
      <c r="AR16" s="9" t="s">
        <v>4527</v>
      </c>
      <c r="AS16" s="9" t="s">
        <v>4526</v>
      </c>
      <c r="AT16" s="9" t="s">
        <v>4527</v>
      </c>
      <c r="AU16" s="9" t="s">
        <v>4529</v>
      </c>
      <c r="AV16" s="9" t="s">
        <v>4526</v>
      </c>
      <c r="AW16" s="9" t="s">
        <v>4528</v>
      </c>
      <c r="AX16" s="9" t="s">
        <v>4526</v>
      </c>
      <c r="AY16" s="9" t="s">
        <v>4528</v>
      </c>
      <c r="AZ16" s="9" t="s">
        <v>4531</v>
      </c>
      <c r="BA16" s="9" t="s">
        <v>4526</v>
      </c>
      <c r="BB16" s="9" t="s">
        <v>4526</v>
      </c>
      <c r="BC16" s="9" t="s">
        <v>4526</v>
      </c>
      <c r="BD16" s="9" t="s">
        <v>4526</v>
      </c>
      <c r="BE16" s="9" t="s">
        <v>4526</v>
      </c>
      <c r="BF16" s="9" t="s">
        <v>4527</v>
      </c>
      <c r="BG16" s="9" t="s">
        <v>4531</v>
      </c>
      <c r="BH16" s="9" t="s">
        <v>4531</v>
      </c>
      <c r="BI16" s="9" t="s">
        <v>4531</v>
      </c>
      <c r="BJ16" s="9" t="s">
        <v>4531</v>
      </c>
      <c r="BK16" s="9" t="s">
        <v>4526</v>
      </c>
      <c r="BL16" s="9" t="s">
        <v>4531</v>
      </c>
      <c r="BM16" s="9" t="s">
        <v>4531</v>
      </c>
      <c r="BN16" s="9" t="s">
        <v>4529</v>
      </c>
      <c r="BO16" s="9" t="s">
        <v>4527</v>
      </c>
      <c r="BP16" s="9" t="s">
        <v>4531</v>
      </c>
      <c r="BQ16" s="9" t="s">
        <v>4527</v>
      </c>
      <c r="BR16" s="9" t="s">
        <v>4527</v>
      </c>
      <c r="BS16" s="9" t="s">
        <v>4528</v>
      </c>
      <c r="BT16" s="9" t="s">
        <v>4527</v>
      </c>
      <c r="BU16" s="9" t="s">
        <v>4527</v>
      </c>
      <c r="BV16" s="9" t="s">
        <v>4527</v>
      </c>
      <c r="BW16" s="9" t="s">
        <v>13173</v>
      </c>
      <c r="BY16" s="9" t="s">
        <v>4548</v>
      </c>
      <c r="BZ16" s="9" t="s">
        <v>4549</v>
      </c>
      <c r="CA16" s="9" t="s">
        <v>13206</v>
      </c>
      <c r="CC16" s="9" t="s">
        <v>13206</v>
      </c>
      <c r="CE16" s="9" t="s">
        <v>4550</v>
      </c>
      <c r="CL16" s="9" t="s">
        <v>4551</v>
      </c>
      <c r="CM16" s="9" t="s">
        <v>4552</v>
      </c>
      <c r="CN16" s="9" t="s">
        <v>4553</v>
      </c>
      <c r="CO16" s="9" t="s">
        <v>4554</v>
      </c>
      <c r="CP16" s="9" t="s">
        <v>4555</v>
      </c>
    </row>
    <row r="17" spans="1:98" ht="38.25" x14ac:dyDescent="0.2">
      <c r="A17" s="9" t="s">
        <v>134</v>
      </c>
      <c r="B17" s="10">
        <v>36</v>
      </c>
      <c r="C17" s="10" t="s">
        <v>4541</v>
      </c>
      <c r="D17" s="11">
        <v>0.67</v>
      </c>
      <c r="E17" s="11">
        <v>0.33</v>
      </c>
      <c r="H17" s="11">
        <v>0.96</v>
      </c>
      <c r="I17" s="11">
        <v>0.04</v>
      </c>
      <c r="J17" s="11">
        <v>0.66</v>
      </c>
      <c r="K17" s="11">
        <v>0.66</v>
      </c>
      <c r="L17" s="9" t="s">
        <v>4557</v>
      </c>
      <c r="AG17" s="9" t="s">
        <v>4525</v>
      </c>
      <c r="AH17" s="9" t="s">
        <v>4528</v>
      </c>
      <c r="AI17" s="9" t="s">
        <v>4528</v>
      </c>
      <c r="AJ17" s="9" t="s">
        <v>4527</v>
      </c>
      <c r="AK17" s="9" t="s">
        <v>4528</v>
      </c>
      <c r="AL17" s="9" t="s">
        <v>4530</v>
      </c>
      <c r="AM17" s="9" t="s">
        <v>4528</v>
      </c>
      <c r="AN17" s="9" t="s">
        <v>4528</v>
      </c>
      <c r="AO17" s="9" t="s">
        <v>4528</v>
      </c>
      <c r="AP17" s="9" t="s">
        <v>4528</v>
      </c>
      <c r="AQ17" s="9" t="s">
        <v>4531</v>
      </c>
      <c r="AR17" s="9" t="s">
        <v>4530</v>
      </c>
      <c r="AS17" s="9" t="s">
        <v>4526</v>
      </c>
      <c r="AT17" s="9" t="s">
        <v>4526</v>
      </c>
      <c r="AU17" s="9" t="s">
        <v>4526</v>
      </c>
      <c r="AV17" s="9" t="s">
        <v>4526</v>
      </c>
      <c r="AW17" s="9" t="s">
        <v>4526</v>
      </c>
      <c r="AX17" s="9" t="s">
        <v>4530</v>
      </c>
      <c r="AY17" s="9" t="s">
        <v>4530</v>
      </c>
      <c r="AZ17" s="9" t="s">
        <v>4526</v>
      </c>
      <c r="BA17" s="9" t="s">
        <v>4526</v>
      </c>
      <c r="BB17" s="9" t="s">
        <v>4526</v>
      </c>
      <c r="BC17" s="9" t="s">
        <v>4526</v>
      </c>
      <c r="BD17" s="9" t="s">
        <v>4526</v>
      </c>
      <c r="BE17" s="9" t="s">
        <v>4526</v>
      </c>
      <c r="BF17" s="9" t="s">
        <v>4527</v>
      </c>
      <c r="BG17" s="9" t="s">
        <v>4530</v>
      </c>
      <c r="BH17" s="9" t="s">
        <v>4531</v>
      </c>
      <c r="BI17" s="9" t="s">
        <v>4531</v>
      </c>
      <c r="BJ17" s="9" t="s">
        <v>4528</v>
      </c>
      <c r="BK17" s="9" t="s">
        <v>4528</v>
      </c>
      <c r="BL17" s="9" t="s">
        <v>4531</v>
      </c>
      <c r="BM17" s="9" t="s">
        <v>4527</v>
      </c>
      <c r="BN17" s="9" t="s">
        <v>4527</v>
      </c>
      <c r="BO17" s="9" t="s">
        <v>4527</v>
      </c>
      <c r="BP17" s="9" t="s">
        <v>4527</v>
      </c>
      <c r="BQ17" s="9" t="s">
        <v>4527</v>
      </c>
      <c r="BR17" s="9" t="s">
        <v>4527</v>
      </c>
      <c r="BS17" s="9" t="s">
        <v>4527</v>
      </c>
      <c r="BT17" s="9" t="s">
        <v>4527</v>
      </c>
      <c r="BU17" s="9" t="s">
        <v>4531</v>
      </c>
      <c r="BV17" s="9" t="s">
        <v>4527</v>
      </c>
      <c r="BW17" s="9" t="s">
        <v>13182</v>
      </c>
      <c r="BY17" s="9" t="s">
        <v>4692</v>
      </c>
      <c r="CA17" s="9" t="s">
        <v>13209</v>
      </c>
      <c r="CC17" s="9" t="s">
        <v>13209</v>
      </c>
    </row>
    <row r="18" spans="1:98" ht="51" x14ac:dyDescent="0.2">
      <c r="A18" s="9" t="s">
        <v>171</v>
      </c>
      <c r="B18" s="10">
        <v>46</v>
      </c>
      <c r="C18" s="10" t="s">
        <v>4556</v>
      </c>
      <c r="D18" s="11">
        <v>0.76</v>
      </c>
      <c r="E18" s="11">
        <v>0.24</v>
      </c>
      <c r="F18" s="11">
        <v>0</v>
      </c>
      <c r="G18" s="11">
        <v>0</v>
      </c>
      <c r="H18" s="11">
        <v>0.94</v>
      </c>
      <c r="I18" s="11">
        <v>0.06</v>
      </c>
      <c r="J18" s="11">
        <v>0.3</v>
      </c>
      <c r="K18" s="11">
        <v>0.63</v>
      </c>
      <c r="AG18" s="9" t="s">
        <v>4590</v>
      </c>
      <c r="AH18" s="9" t="s">
        <v>4526</v>
      </c>
      <c r="AI18" s="9" t="s">
        <v>4526</v>
      </c>
      <c r="AJ18" s="9" t="s">
        <v>4527</v>
      </c>
      <c r="AK18" s="9" t="s">
        <v>4526</v>
      </c>
      <c r="AL18" s="9" t="s">
        <v>4526</v>
      </c>
      <c r="AM18" s="9" t="s">
        <v>4526</v>
      </c>
      <c r="AN18" s="9" t="s">
        <v>4526</v>
      </c>
      <c r="AO18" s="9" t="s">
        <v>4526</v>
      </c>
      <c r="AP18" s="9" t="s">
        <v>4526</v>
      </c>
      <c r="AQ18" s="9" t="s">
        <v>4531</v>
      </c>
      <c r="AR18" s="9" t="s">
        <v>4526</v>
      </c>
      <c r="AS18" s="9" t="s">
        <v>4526</v>
      </c>
      <c r="AT18" s="9" t="s">
        <v>4529</v>
      </c>
      <c r="AU18" s="9" t="s">
        <v>4526</v>
      </c>
      <c r="AV18" s="9" t="s">
        <v>4528</v>
      </c>
      <c r="AW18" s="9" t="s">
        <v>4526</v>
      </c>
      <c r="AX18" s="9" t="s">
        <v>4526</v>
      </c>
      <c r="AY18" s="9" t="s">
        <v>4528</v>
      </c>
      <c r="AZ18" s="9" t="s">
        <v>4531</v>
      </c>
      <c r="BA18" s="9" t="s">
        <v>4526</v>
      </c>
      <c r="BB18" s="9" t="s">
        <v>4526</v>
      </c>
      <c r="BC18" s="9" t="s">
        <v>4526</v>
      </c>
      <c r="BD18" s="9" t="s">
        <v>4526</v>
      </c>
      <c r="BE18" s="9" t="s">
        <v>4526</v>
      </c>
      <c r="BF18" s="9" t="s">
        <v>4529</v>
      </c>
      <c r="BG18" s="9" t="s">
        <v>4531</v>
      </c>
      <c r="BH18" s="9" t="s">
        <v>4531</v>
      </c>
      <c r="BI18" s="9" t="s">
        <v>4526</v>
      </c>
      <c r="BJ18" s="9" t="s">
        <v>4526</v>
      </c>
      <c r="BK18" s="9" t="s">
        <v>4526</v>
      </c>
      <c r="BL18" s="9" t="s">
        <v>4526</v>
      </c>
      <c r="BM18" s="9" t="s">
        <v>4526</v>
      </c>
      <c r="BN18" s="9" t="s">
        <v>4529</v>
      </c>
      <c r="BO18" s="9" t="s">
        <v>4527</v>
      </c>
      <c r="BP18" s="9" t="s">
        <v>4531</v>
      </c>
      <c r="BQ18" s="9" t="s">
        <v>4527</v>
      </c>
      <c r="BR18" s="9" t="s">
        <v>4531</v>
      </c>
      <c r="BS18" s="9" t="s">
        <v>4530</v>
      </c>
      <c r="BT18" s="9" t="s">
        <v>4530</v>
      </c>
      <c r="BU18" s="9" t="s">
        <v>4526</v>
      </c>
      <c r="BV18" s="9" t="s">
        <v>4527</v>
      </c>
      <c r="BW18" s="9" t="s">
        <v>4772</v>
      </c>
      <c r="BX18" s="9" t="s">
        <v>5052</v>
      </c>
      <c r="BY18" s="9" t="s">
        <v>5053</v>
      </c>
      <c r="BZ18" s="9" t="s">
        <v>5054</v>
      </c>
      <c r="CA18" s="9" t="s">
        <v>5055</v>
      </c>
      <c r="CB18" s="9" t="s">
        <v>4606</v>
      </c>
      <c r="CC18" s="9" t="s">
        <v>5056</v>
      </c>
      <c r="CD18" s="9" t="s">
        <v>4606</v>
      </c>
      <c r="CE18" s="9" t="s">
        <v>4657</v>
      </c>
      <c r="CF18" s="9" t="s">
        <v>5057</v>
      </c>
      <c r="CG18" s="9" t="s">
        <v>5058</v>
      </c>
      <c r="CO18" s="9" t="s">
        <v>5059</v>
      </c>
      <c r="CP18" s="9" t="s">
        <v>5060</v>
      </c>
      <c r="CQ18" s="9" t="s">
        <v>13770</v>
      </c>
    </row>
    <row r="19" spans="1:98" ht="38.25" x14ac:dyDescent="0.2">
      <c r="A19" s="9" t="s">
        <v>123</v>
      </c>
      <c r="B19" s="10">
        <v>44</v>
      </c>
      <c r="C19" s="10" t="s">
        <v>4521</v>
      </c>
      <c r="D19" s="11">
        <v>0.79</v>
      </c>
      <c r="E19" s="11">
        <v>0.21</v>
      </c>
      <c r="G19" s="11">
        <v>0</v>
      </c>
      <c r="H19" s="11">
        <v>0.71</v>
      </c>
      <c r="I19" s="11">
        <v>0.28999999999999998</v>
      </c>
      <c r="J19" s="11">
        <v>0.34</v>
      </c>
      <c r="K19" s="11">
        <v>0.45</v>
      </c>
      <c r="L19" s="9" t="s">
        <v>4583</v>
      </c>
      <c r="M19" s="9" t="s">
        <v>4584</v>
      </c>
      <c r="O19" s="9" t="s">
        <v>4585</v>
      </c>
      <c r="Q19" s="9" t="s">
        <v>4586</v>
      </c>
      <c r="W19" s="9" t="s">
        <v>4587</v>
      </c>
      <c r="AA19" s="9" t="s">
        <v>4588</v>
      </c>
      <c r="AD19" s="9" t="s">
        <v>4589</v>
      </c>
      <c r="AG19" s="9" t="s">
        <v>4590</v>
      </c>
      <c r="AH19" s="9" t="s">
        <v>4526</v>
      </c>
      <c r="AI19" s="9" t="s">
        <v>4526</v>
      </c>
      <c r="AJ19" s="9" t="s">
        <v>4526</v>
      </c>
      <c r="AK19" s="9" t="s">
        <v>4526</v>
      </c>
      <c r="AL19" s="9" t="s">
        <v>4527</v>
      </c>
      <c r="AM19" s="9" t="s">
        <v>4526</v>
      </c>
      <c r="AN19" s="9" t="s">
        <v>4531</v>
      </c>
      <c r="AO19" s="9" t="s">
        <v>4526</v>
      </c>
      <c r="AP19" s="9" t="s">
        <v>4526</v>
      </c>
      <c r="AQ19" s="9" t="s">
        <v>4531</v>
      </c>
      <c r="AR19" s="9" t="s">
        <v>4531</v>
      </c>
      <c r="AS19" s="9" t="s">
        <v>4526</v>
      </c>
      <c r="AT19" s="9" t="s">
        <v>4527</v>
      </c>
      <c r="AU19" s="9" t="s">
        <v>4527</v>
      </c>
      <c r="AV19" s="9" t="s">
        <v>4526</v>
      </c>
      <c r="AW19" s="9" t="s">
        <v>4526</v>
      </c>
      <c r="AX19" s="9" t="s">
        <v>4526</v>
      </c>
      <c r="AY19" s="9" t="s">
        <v>4526</v>
      </c>
      <c r="AZ19" s="9" t="s">
        <v>4531</v>
      </c>
      <c r="BA19" s="9" t="s">
        <v>4526</v>
      </c>
      <c r="BB19" s="9" t="s">
        <v>4526</v>
      </c>
      <c r="BC19" s="9" t="s">
        <v>4526</v>
      </c>
      <c r="BD19" s="9" t="s">
        <v>4526</v>
      </c>
      <c r="BE19" s="9" t="s">
        <v>4526</v>
      </c>
      <c r="BF19" s="9" t="s">
        <v>4526</v>
      </c>
      <c r="BG19" s="9" t="s">
        <v>4526</v>
      </c>
      <c r="BH19" s="9" t="s">
        <v>4531</v>
      </c>
      <c r="BI19" s="9" t="s">
        <v>4527</v>
      </c>
      <c r="BJ19" s="9" t="s">
        <v>4526</v>
      </c>
      <c r="BK19" s="9" t="s">
        <v>4526</v>
      </c>
      <c r="BL19" s="9" t="s">
        <v>4526</v>
      </c>
      <c r="BM19" s="9" t="s">
        <v>4531</v>
      </c>
      <c r="BN19" s="9" t="s">
        <v>4526</v>
      </c>
      <c r="BO19" s="9" t="s">
        <v>4530</v>
      </c>
      <c r="BP19" s="9" t="s">
        <v>4531</v>
      </c>
      <c r="BQ19" s="9" t="s">
        <v>4527</v>
      </c>
      <c r="BR19" s="9" t="s">
        <v>4527</v>
      </c>
      <c r="BS19" s="9" t="s">
        <v>4527</v>
      </c>
      <c r="BT19" s="9" t="s">
        <v>4527</v>
      </c>
      <c r="BU19" s="9" t="s">
        <v>4531</v>
      </c>
      <c r="BV19" s="9" t="s">
        <v>4527</v>
      </c>
      <c r="BW19" s="9" t="s">
        <v>4591</v>
      </c>
      <c r="BY19" s="9" t="s">
        <v>4591</v>
      </c>
      <c r="CA19" s="9" t="s">
        <v>13208</v>
      </c>
      <c r="CC19" s="9" t="s">
        <v>13208</v>
      </c>
      <c r="CE19" s="9" t="s">
        <v>4560</v>
      </c>
      <c r="CF19" s="9" t="s">
        <v>4592</v>
      </c>
      <c r="CL19" s="9" t="s">
        <v>4593</v>
      </c>
      <c r="CO19" s="9" t="s">
        <v>4594</v>
      </c>
    </row>
    <row r="20" spans="1:98" ht="38.25" x14ac:dyDescent="0.2">
      <c r="A20" s="9" t="s">
        <v>125</v>
      </c>
      <c r="B20" s="10">
        <v>47</v>
      </c>
      <c r="C20" s="10" t="s">
        <v>4613</v>
      </c>
      <c r="D20" s="11">
        <v>0.79</v>
      </c>
      <c r="E20" s="11">
        <v>0.21</v>
      </c>
      <c r="F20" s="11">
        <v>0</v>
      </c>
      <c r="H20" s="11">
        <v>0.96</v>
      </c>
      <c r="I20" s="11">
        <v>0.04</v>
      </c>
      <c r="J20" s="11">
        <v>0.28999999999999998</v>
      </c>
      <c r="K20" s="11">
        <v>0.64</v>
      </c>
      <c r="L20" s="9" t="s">
        <v>4614</v>
      </c>
      <c r="W20" s="9" t="s">
        <v>4615</v>
      </c>
      <c r="AG20" s="9" t="s">
        <v>4590</v>
      </c>
      <c r="AH20" s="9" t="s">
        <v>4530</v>
      </c>
      <c r="AI20" s="9" t="s">
        <v>4530</v>
      </c>
      <c r="AJ20" s="9" t="s">
        <v>4527</v>
      </c>
      <c r="AK20" s="9" t="s">
        <v>4531</v>
      </c>
      <c r="AL20" s="9" t="s">
        <v>4527</v>
      </c>
      <c r="AM20" s="9" t="s">
        <v>4526</v>
      </c>
      <c r="AN20" s="9" t="s">
        <v>4530</v>
      </c>
      <c r="AO20" s="9" t="s">
        <v>4530</v>
      </c>
      <c r="AP20" s="9" t="s">
        <v>4530</v>
      </c>
      <c r="AQ20" s="9" t="s">
        <v>4531</v>
      </c>
      <c r="AR20" s="9" t="s">
        <v>4528</v>
      </c>
      <c r="AS20" s="9" t="s">
        <v>4530</v>
      </c>
      <c r="AT20" s="9" t="s">
        <v>4530</v>
      </c>
      <c r="AU20" s="9" t="s">
        <v>4529</v>
      </c>
      <c r="AV20" s="9" t="s">
        <v>4529</v>
      </c>
      <c r="AW20" s="9" t="s">
        <v>4530</v>
      </c>
      <c r="AX20" s="9" t="s">
        <v>4527</v>
      </c>
      <c r="AY20" s="9" t="s">
        <v>4527</v>
      </c>
      <c r="AZ20" s="9" t="s">
        <v>4531</v>
      </c>
      <c r="BA20" s="9" t="s">
        <v>4530</v>
      </c>
      <c r="BB20" s="9" t="s">
        <v>4530</v>
      </c>
      <c r="BC20" s="9" t="s">
        <v>4530</v>
      </c>
      <c r="BD20" s="9" t="s">
        <v>4530</v>
      </c>
      <c r="BE20" s="9" t="s">
        <v>4530</v>
      </c>
      <c r="BF20" s="9" t="s">
        <v>4527</v>
      </c>
      <c r="BG20" s="9" t="s">
        <v>4531</v>
      </c>
      <c r="BH20" s="9" t="s">
        <v>4530</v>
      </c>
      <c r="BI20" s="9" t="s">
        <v>4531</v>
      </c>
      <c r="BJ20" s="9" t="s">
        <v>4530</v>
      </c>
      <c r="BK20" s="9" t="s">
        <v>4529</v>
      </c>
      <c r="BL20" s="9" t="s">
        <v>4530</v>
      </c>
      <c r="BM20" s="9" t="s">
        <v>4529</v>
      </c>
      <c r="BN20" s="9" t="s">
        <v>4527</v>
      </c>
      <c r="BO20" s="9" t="s">
        <v>4527</v>
      </c>
      <c r="BP20" s="9" t="s">
        <v>4530</v>
      </c>
      <c r="BQ20" s="9" t="s">
        <v>4527</v>
      </c>
      <c r="BR20" s="9" t="s">
        <v>4527</v>
      </c>
      <c r="BS20" s="9" t="s">
        <v>4530</v>
      </c>
      <c r="BT20" s="9" t="s">
        <v>4527</v>
      </c>
      <c r="BU20" s="9" t="s">
        <v>4531</v>
      </c>
      <c r="BV20" s="9" t="s">
        <v>4527</v>
      </c>
      <c r="BW20" s="9" t="s">
        <v>13175</v>
      </c>
      <c r="BX20" s="9" t="s">
        <v>4616</v>
      </c>
      <c r="BY20" s="9" t="s">
        <v>13173</v>
      </c>
      <c r="CA20" s="9" t="s">
        <v>13208</v>
      </c>
      <c r="CC20" s="9" t="s">
        <v>13208</v>
      </c>
      <c r="CE20" s="9" t="s">
        <v>4574</v>
      </c>
      <c r="CF20" s="9" t="s">
        <v>4617</v>
      </c>
      <c r="CG20" s="9" t="s">
        <v>4618</v>
      </c>
      <c r="CH20" s="9" t="s">
        <v>4619</v>
      </c>
      <c r="CR20" s="9" t="s">
        <v>4620</v>
      </c>
    </row>
    <row r="21" spans="1:98" ht="51" x14ac:dyDescent="0.2">
      <c r="A21" s="9" t="s">
        <v>169</v>
      </c>
      <c r="B21" s="10">
        <v>32</v>
      </c>
      <c r="C21" s="10" t="s">
        <v>4556</v>
      </c>
      <c r="D21" s="11">
        <v>0.54</v>
      </c>
      <c r="E21" s="11">
        <v>0.45990999999999999</v>
      </c>
      <c r="F21" s="11">
        <v>0</v>
      </c>
      <c r="G21" s="11">
        <v>0</v>
      </c>
      <c r="H21" s="11">
        <v>0.68</v>
      </c>
      <c r="I21" s="11">
        <v>0.32</v>
      </c>
      <c r="J21" s="11">
        <v>0.84</v>
      </c>
      <c r="K21" s="11">
        <v>0.27</v>
      </c>
      <c r="L21" s="9" t="s">
        <v>29</v>
      </c>
      <c r="M21" s="9" t="s">
        <v>5036</v>
      </c>
      <c r="AG21" s="9" t="s">
        <v>4525</v>
      </c>
      <c r="AH21" s="9" t="s">
        <v>4526</v>
      </c>
      <c r="AI21" s="9" t="s">
        <v>4531</v>
      </c>
      <c r="AJ21" s="9" t="s">
        <v>4527</v>
      </c>
      <c r="AK21" s="9" t="s">
        <v>4531</v>
      </c>
      <c r="AL21" s="9" t="s">
        <v>4531</v>
      </c>
      <c r="AM21" s="9" t="s">
        <v>4526</v>
      </c>
      <c r="AN21" s="9" t="s">
        <v>4526</v>
      </c>
      <c r="AO21" s="9" t="s">
        <v>4526</v>
      </c>
      <c r="AP21" s="9" t="s">
        <v>4526</v>
      </c>
      <c r="AQ21" s="9" t="s">
        <v>4531</v>
      </c>
      <c r="AR21" s="9" t="s">
        <v>4526</v>
      </c>
      <c r="AS21" s="9" t="s">
        <v>4526</v>
      </c>
      <c r="AT21" s="9" t="s">
        <v>4528</v>
      </c>
      <c r="AU21" s="9" t="s">
        <v>4526</v>
      </c>
      <c r="AV21" s="9" t="s">
        <v>4526</v>
      </c>
      <c r="AW21" s="9" t="s">
        <v>4526</v>
      </c>
      <c r="AX21" s="9" t="s">
        <v>4526</v>
      </c>
      <c r="AY21" s="9" t="s">
        <v>4526</v>
      </c>
      <c r="AZ21" s="9" t="s">
        <v>4531</v>
      </c>
      <c r="BA21" s="9" t="s">
        <v>4526</v>
      </c>
      <c r="BB21" s="9" t="s">
        <v>4526</v>
      </c>
      <c r="BC21" s="9" t="s">
        <v>4526</v>
      </c>
      <c r="BD21" s="9" t="s">
        <v>4526</v>
      </c>
      <c r="BE21" s="9" t="s">
        <v>4526</v>
      </c>
      <c r="BF21" s="9" t="s">
        <v>4526</v>
      </c>
      <c r="BG21" s="9" t="s">
        <v>4526</v>
      </c>
      <c r="BH21" s="9" t="s">
        <v>4531</v>
      </c>
      <c r="BI21" s="9" t="s">
        <v>4531</v>
      </c>
      <c r="BJ21" s="9" t="s">
        <v>4526</v>
      </c>
      <c r="BK21" s="9" t="s">
        <v>4531</v>
      </c>
      <c r="BL21" s="9" t="s">
        <v>4531</v>
      </c>
      <c r="BM21" s="9" t="s">
        <v>4531</v>
      </c>
      <c r="BN21" s="9" t="s">
        <v>4526</v>
      </c>
      <c r="BO21" s="9" t="s">
        <v>4527</v>
      </c>
      <c r="BP21" s="9" t="s">
        <v>4526</v>
      </c>
      <c r="BQ21" s="9" t="s">
        <v>4526</v>
      </c>
      <c r="BR21" s="9" t="s">
        <v>4527</v>
      </c>
      <c r="BS21" s="9" t="s">
        <v>4530</v>
      </c>
      <c r="BT21" s="9" t="s">
        <v>4531</v>
      </c>
      <c r="BU21" s="9" t="s">
        <v>4531</v>
      </c>
      <c r="BV21" s="9" t="s">
        <v>4531</v>
      </c>
      <c r="BW21" s="9" t="s">
        <v>13180</v>
      </c>
      <c r="BY21" s="9" t="s">
        <v>13204</v>
      </c>
      <c r="CA21" s="9" t="s">
        <v>13209</v>
      </c>
      <c r="CC21" s="9" t="s">
        <v>4949</v>
      </c>
      <c r="CE21" s="9" t="s">
        <v>4657</v>
      </c>
      <c r="CF21" s="9" t="s">
        <v>5037</v>
      </c>
      <c r="CG21" s="9" t="s">
        <v>5038</v>
      </c>
      <c r="CH21" s="9" t="s">
        <v>5039</v>
      </c>
      <c r="CO21" s="9" t="s">
        <v>5040</v>
      </c>
      <c r="CP21" s="9" t="s">
        <v>5041</v>
      </c>
      <c r="CQ21" s="9" t="s">
        <v>5042</v>
      </c>
    </row>
    <row r="22" spans="1:98" ht="51" x14ac:dyDescent="0.2">
      <c r="A22" s="9" t="s">
        <v>159</v>
      </c>
      <c r="B22" s="10">
        <v>34</v>
      </c>
      <c r="C22" s="10" t="s">
        <v>4521</v>
      </c>
      <c r="D22" s="11">
        <v>0.49</v>
      </c>
      <c r="E22" s="11">
        <v>0.5</v>
      </c>
      <c r="F22" s="11"/>
      <c r="G22" s="11">
        <v>0.01</v>
      </c>
      <c r="H22" s="11">
        <v>0.98</v>
      </c>
      <c r="I22" s="11">
        <v>0.02</v>
      </c>
      <c r="J22" s="11">
        <v>0.78</v>
      </c>
      <c r="K22" s="11">
        <v>0.43</v>
      </c>
      <c r="L22" s="9" t="s">
        <v>4557</v>
      </c>
      <c r="Q22" s="9" t="s">
        <v>4935</v>
      </c>
      <c r="R22" s="9" t="s">
        <v>4936</v>
      </c>
      <c r="T22" s="9" t="s">
        <v>4937</v>
      </c>
      <c r="U22" s="9" t="s">
        <v>4938</v>
      </c>
      <c r="V22" s="9" t="s">
        <v>4939</v>
      </c>
      <c r="W22" s="9" t="s">
        <v>4940</v>
      </c>
      <c r="Y22" s="9" t="s">
        <v>4941</v>
      </c>
      <c r="AA22" s="9" t="s">
        <v>4942</v>
      </c>
      <c r="AB22" s="9" t="s">
        <v>4943</v>
      </c>
      <c r="AC22" s="9" t="s">
        <v>4944</v>
      </c>
      <c r="AD22" s="9" t="s">
        <v>13765</v>
      </c>
      <c r="AE22" s="9" t="s">
        <v>4945</v>
      </c>
      <c r="AF22" s="9" t="s">
        <v>4946</v>
      </c>
      <c r="AG22" s="9" t="s">
        <v>4590</v>
      </c>
      <c r="AH22" s="9" t="s">
        <v>4529</v>
      </c>
      <c r="AI22" s="9" t="s">
        <v>4531</v>
      </c>
      <c r="AJ22" s="9" t="s">
        <v>4527</v>
      </c>
      <c r="AK22" s="9" t="s">
        <v>4530</v>
      </c>
      <c r="AL22" s="9" t="s">
        <v>4531</v>
      </c>
      <c r="AM22" s="9" t="s">
        <v>4526</v>
      </c>
      <c r="AN22" s="9" t="s">
        <v>4526</v>
      </c>
      <c r="AO22" s="9" t="s">
        <v>4530</v>
      </c>
      <c r="AP22" s="9" t="s">
        <v>4530</v>
      </c>
      <c r="AQ22" s="9" t="s">
        <v>4531</v>
      </c>
      <c r="AR22" s="9" t="s">
        <v>4526</v>
      </c>
      <c r="AS22" s="9" t="s">
        <v>4530</v>
      </c>
      <c r="AT22" s="9" t="s">
        <v>4529</v>
      </c>
      <c r="AU22" s="9" t="s">
        <v>4530</v>
      </c>
      <c r="AV22" s="9" t="s">
        <v>4529</v>
      </c>
      <c r="AW22" s="9" t="s">
        <v>4527</v>
      </c>
      <c r="AX22" s="9" t="s">
        <v>4526</v>
      </c>
      <c r="AY22" s="9" t="s">
        <v>4529</v>
      </c>
      <c r="AZ22" s="9" t="s">
        <v>4531</v>
      </c>
      <c r="BA22" s="9" t="s">
        <v>4529</v>
      </c>
      <c r="BB22" s="9" t="s">
        <v>4529</v>
      </c>
      <c r="BC22" s="9" t="s">
        <v>4529</v>
      </c>
      <c r="BD22" s="9" t="s">
        <v>4530</v>
      </c>
      <c r="BE22" s="9" t="s">
        <v>4530</v>
      </c>
      <c r="BF22" s="9" t="s">
        <v>4531</v>
      </c>
      <c r="BG22" s="9" t="s">
        <v>4531</v>
      </c>
      <c r="BH22" s="9" t="s">
        <v>4531</v>
      </c>
      <c r="BI22" s="9" t="s">
        <v>4531</v>
      </c>
      <c r="BJ22" s="9" t="s">
        <v>4531</v>
      </c>
      <c r="BK22" s="9" t="s">
        <v>4527</v>
      </c>
      <c r="BL22" s="9" t="s">
        <v>4527</v>
      </c>
      <c r="BM22" s="9" t="s">
        <v>4529</v>
      </c>
      <c r="BN22" s="9" t="s">
        <v>4530</v>
      </c>
      <c r="BO22" s="9" t="s">
        <v>4527</v>
      </c>
      <c r="BP22" s="9" t="s">
        <v>4529</v>
      </c>
      <c r="BQ22" s="9" t="s">
        <v>4528</v>
      </c>
      <c r="BR22" s="9" t="s">
        <v>4528</v>
      </c>
      <c r="BS22" s="9" t="s">
        <v>4526</v>
      </c>
      <c r="BT22" s="9" t="s">
        <v>4529</v>
      </c>
      <c r="BU22" s="9" t="s">
        <v>4531</v>
      </c>
      <c r="BV22" s="9" t="s">
        <v>4529</v>
      </c>
      <c r="BW22" s="9" t="s">
        <v>29</v>
      </c>
      <c r="BX22" s="9" t="s">
        <v>4947</v>
      </c>
      <c r="BY22" s="9" t="s">
        <v>4948</v>
      </c>
      <c r="BZ22" s="9" t="s">
        <v>4662</v>
      </c>
      <c r="CA22" s="9" t="s">
        <v>4949</v>
      </c>
      <c r="CC22" s="9" t="s">
        <v>4949</v>
      </c>
      <c r="CE22" s="9" t="s">
        <v>4950</v>
      </c>
      <c r="CF22" s="9" t="s">
        <v>4951</v>
      </c>
      <c r="CG22" s="9" t="s">
        <v>4952</v>
      </c>
      <c r="CO22" s="9" t="s">
        <v>4953</v>
      </c>
      <c r="CR22" s="9" t="s">
        <v>4954</v>
      </c>
    </row>
    <row r="23" spans="1:98" ht="51" x14ac:dyDescent="0.2">
      <c r="A23" s="9" t="s">
        <v>166</v>
      </c>
      <c r="B23" s="10">
        <v>40</v>
      </c>
      <c r="C23" s="10" t="s">
        <v>4541</v>
      </c>
      <c r="D23" s="11">
        <v>0.7</v>
      </c>
      <c r="E23" s="11">
        <v>0.3</v>
      </c>
      <c r="F23" s="11"/>
      <c r="H23" s="11">
        <v>0.94</v>
      </c>
      <c r="I23" s="11">
        <v>0.06</v>
      </c>
      <c r="J23" s="11">
        <v>0.43</v>
      </c>
      <c r="K23" s="11">
        <v>0.26</v>
      </c>
      <c r="L23" s="9" t="s">
        <v>13166</v>
      </c>
      <c r="M23" s="9" t="s">
        <v>4998</v>
      </c>
      <c r="O23" s="9" t="s">
        <v>4999</v>
      </c>
      <c r="T23" s="9" t="s">
        <v>5000</v>
      </c>
      <c r="AG23" s="9" t="s">
        <v>4590</v>
      </c>
      <c r="AH23" s="9" t="s">
        <v>4526</v>
      </c>
      <c r="AI23" s="9" t="s">
        <v>4531</v>
      </c>
      <c r="AJ23" s="9" t="s">
        <v>4527</v>
      </c>
      <c r="AK23" s="9" t="s">
        <v>4531</v>
      </c>
      <c r="AL23" s="9" t="s">
        <v>4528</v>
      </c>
      <c r="AM23" s="9" t="s">
        <v>4529</v>
      </c>
      <c r="AN23" s="9" t="s">
        <v>4531</v>
      </c>
      <c r="AO23" s="9" t="s">
        <v>4526</v>
      </c>
      <c r="AP23" s="9" t="s">
        <v>4526</v>
      </c>
      <c r="AQ23" s="9" t="s">
        <v>4531</v>
      </c>
      <c r="AR23" s="9" t="s">
        <v>4526</v>
      </c>
      <c r="AS23" s="9" t="s">
        <v>4526</v>
      </c>
      <c r="AT23" s="9" t="s">
        <v>4526</v>
      </c>
      <c r="AU23" s="9" t="s">
        <v>4526</v>
      </c>
      <c r="AV23" s="9" t="s">
        <v>4526</v>
      </c>
      <c r="AW23" s="9" t="s">
        <v>4526</v>
      </c>
      <c r="AX23" s="9" t="s">
        <v>4526</v>
      </c>
      <c r="AY23" s="9" t="s">
        <v>4526</v>
      </c>
      <c r="AZ23" s="9" t="s">
        <v>4531</v>
      </c>
      <c r="BA23" s="9" t="s">
        <v>4526</v>
      </c>
      <c r="BB23" s="9" t="s">
        <v>4526</v>
      </c>
      <c r="BC23" s="9" t="s">
        <v>4526</v>
      </c>
      <c r="BD23" s="9" t="s">
        <v>4526</v>
      </c>
      <c r="BE23" s="9" t="s">
        <v>4526</v>
      </c>
      <c r="BF23" s="9" t="s">
        <v>4527</v>
      </c>
      <c r="BG23" s="9" t="s">
        <v>4531</v>
      </c>
      <c r="BH23" s="9" t="s">
        <v>4531</v>
      </c>
      <c r="BI23" s="9" t="s">
        <v>4531</v>
      </c>
      <c r="BJ23" s="9" t="s">
        <v>4531</v>
      </c>
      <c r="BK23" s="9" t="s">
        <v>4526</v>
      </c>
      <c r="BL23" s="9" t="s">
        <v>4526</v>
      </c>
      <c r="BM23" s="9" t="s">
        <v>4531</v>
      </c>
      <c r="BN23" s="9" t="s">
        <v>4526</v>
      </c>
      <c r="BO23" s="9" t="s">
        <v>4527</v>
      </c>
      <c r="BP23" s="9" t="s">
        <v>4531</v>
      </c>
      <c r="BQ23" s="9" t="s">
        <v>4527</v>
      </c>
      <c r="BR23" s="9" t="s">
        <v>4530</v>
      </c>
      <c r="BS23" s="9" t="s">
        <v>4526</v>
      </c>
      <c r="BT23" s="9" t="s">
        <v>4531</v>
      </c>
      <c r="BU23" s="9" t="s">
        <v>4531</v>
      </c>
      <c r="BV23" s="9" t="s">
        <v>4527</v>
      </c>
      <c r="BW23" s="9" t="s">
        <v>4772</v>
      </c>
      <c r="BX23" s="9" t="s">
        <v>5001</v>
      </c>
      <c r="BY23" s="9" t="s">
        <v>4772</v>
      </c>
      <c r="BZ23" s="9" t="s">
        <v>5001</v>
      </c>
      <c r="CA23" s="9" t="s">
        <v>13207</v>
      </c>
      <c r="CB23" s="9" t="s">
        <v>5002</v>
      </c>
      <c r="CC23" s="9" t="s">
        <v>5003</v>
      </c>
      <c r="CE23" s="9" t="s">
        <v>4657</v>
      </c>
      <c r="CF23" s="9" t="s">
        <v>5004</v>
      </c>
      <c r="CG23" s="9" t="s">
        <v>5005</v>
      </c>
      <c r="CH23" s="9" t="s">
        <v>5006</v>
      </c>
      <c r="CO23" s="9" t="s">
        <v>5004</v>
      </c>
      <c r="CP23" s="9" t="s">
        <v>5005</v>
      </c>
      <c r="CQ23" s="9" t="s">
        <v>5007</v>
      </c>
    </row>
    <row r="24" spans="1:98" ht="76.5" x14ac:dyDescent="0.2">
      <c r="A24" s="9" t="s">
        <v>157</v>
      </c>
      <c r="B24" s="10">
        <v>43</v>
      </c>
      <c r="C24" s="10" t="s">
        <v>4556</v>
      </c>
      <c r="D24" s="11">
        <v>0.72499999999999998</v>
      </c>
      <c r="E24" s="11">
        <v>0.27200000000000002</v>
      </c>
      <c r="F24" s="11">
        <v>0</v>
      </c>
      <c r="G24" s="11">
        <v>0</v>
      </c>
      <c r="H24" s="11">
        <v>0.9</v>
      </c>
      <c r="I24" s="11">
        <v>0.1</v>
      </c>
      <c r="J24" s="11">
        <v>0.45</v>
      </c>
      <c r="K24" s="11">
        <v>0.45</v>
      </c>
      <c r="L24" s="9" t="s">
        <v>4557</v>
      </c>
      <c r="AA24" s="9" t="s">
        <v>4893</v>
      </c>
      <c r="AG24" s="9" t="s">
        <v>4590</v>
      </c>
      <c r="AH24" s="9" t="s">
        <v>4526</v>
      </c>
      <c r="AJ24" s="9" t="s">
        <v>4527</v>
      </c>
      <c r="AK24" s="9" t="s">
        <v>4531</v>
      </c>
      <c r="AL24" s="9" t="s">
        <v>4531</v>
      </c>
      <c r="AM24" s="9" t="s">
        <v>4527</v>
      </c>
      <c r="AN24" s="9" t="s">
        <v>4527</v>
      </c>
      <c r="AO24" s="9" t="s">
        <v>4526</v>
      </c>
      <c r="AP24" s="9" t="s">
        <v>4526</v>
      </c>
      <c r="AQ24" s="9" t="s">
        <v>4531</v>
      </c>
      <c r="AR24" s="9" t="s">
        <v>4526</v>
      </c>
      <c r="AS24" s="9" t="s">
        <v>4526</v>
      </c>
      <c r="AT24" s="9" t="s">
        <v>4527</v>
      </c>
      <c r="AU24" s="9" t="s">
        <v>4527</v>
      </c>
      <c r="AV24" s="9" t="s">
        <v>4526</v>
      </c>
      <c r="AW24" s="9" t="s">
        <v>4526</v>
      </c>
      <c r="AX24" s="9" t="s">
        <v>4526</v>
      </c>
      <c r="AY24" s="9" t="s">
        <v>4526</v>
      </c>
      <c r="AZ24" s="9" t="s">
        <v>4531</v>
      </c>
      <c r="BA24" s="9" t="s">
        <v>4526</v>
      </c>
      <c r="BB24" s="9" t="s">
        <v>4526</v>
      </c>
      <c r="BC24" s="9" t="s">
        <v>4526</v>
      </c>
      <c r="BD24" s="9" t="s">
        <v>4526</v>
      </c>
      <c r="BE24" s="9" t="s">
        <v>4526</v>
      </c>
      <c r="BF24" s="9" t="s">
        <v>4527</v>
      </c>
      <c r="BG24" s="9" t="s">
        <v>4527</v>
      </c>
      <c r="BH24" s="9" t="s">
        <v>4527</v>
      </c>
      <c r="BI24" s="9" t="s">
        <v>4526</v>
      </c>
      <c r="BJ24" s="9" t="s">
        <v>4526</v>
      </c>
      <c r="BK24" s="9" t="s">
        <v>4526</v>
      </c>
      <c r="BL24" s="9" t="s">
        <v>4526</v>
      </c>
      <c r="BM24" s="9" t="s">
        <v>4531</v>
      </c>
      <c r="BN24" s="9" t="s">
        <v>4526</v>
      </c>
      <c r="BO24" s="9" t="s">
        <v>4527</v>
      </c>
      <c r="BP24" s="9" t="s">
        <v>4526</v>
      </c>
      <c r="BQ24" s="9" t="s">
        <v>4526</v>
      </c>
      <c r="BR24" s="9" t="s">
        <v>4527</v>
      </c>
      <c r="BS24" s="9" t="s">
        <v>4529</v>
      </c>
      <c r="BT24" s="9" t="s">
        <v>4527</v>
      </c>
      <c r="BU24" s="9" t="s">
        <v>4531</v>
      </c>
      <c r="BV24" s="9" t="s">
        <v>4527</v>
      </c>
      <c r="BW24" s="9" t="s">
        <v>4687</v>
      </c>
      <c r="BX24" s="9" t="s">
        <v>4894</v>
      </c>
      <c r="BY24" s="9" t="s">
        <v>13196</v>
      </c>
      <c r="BZ24" s="9" t="s">
        <v>4895</v>
      </c>
      <c r="CA24" s="9" t="s">
        <v>4572</v>
      </c>
      <c r="CB24" s="9" t="s">
        <v>4896</v>
      </c>
      <c r="CC24" s="9" t="s">
        <v>13208</v>
      </c>
      <c r="CE24" s="9" t="s">
        <v>4574</v>
      </c>
      <c r="CF24" s="9" t="s">
        <v>4897</v>
      </c>
      <c r="CG24" s="9" t="s">
        <v>4898</v>
      </c>
      <c r="CH24" s="9" t="s">
        <v>4899</v>
      </c>
      <c r="CR24" s="9" t="s">
        <v>4900</v>
      </c>
      <c r="CS24" s="9" t="s">
        <v>4901</v>
      </c>
      <c r="CT24" s="9" t="s">
        <v>4902</v>
      </c>
    </row>
    <row r="25" spans="1:98" ht="38.25" x14ac:dyDescent="0.2">
      <c r="A25" s="9" t="s">
        <v>144</v>
      </c>
      <c r="B25" s="10">
        <v>44</v>
      </c>
      <c r="C25" s="10" t="s">
        <v>4541</v>
      </c>
      <c r="D25" s="11">
        <v>0.67</v>
      </c>
      <c r="E25" s="11">
        <v>0.33</v>
      </c>
      <c r="H25" s="11">
        <v>0.95</v>
      </c>
      <c r="I25" s="11">
        <v>0.05</v>
      </c>
      <c r="J25" s="11">
        <v>0.34</v>
      </c>
      <c r="K25" s="11">
        <v>0.18</v>
      </c>
      <c r="L25" s="9" t="s">
        <v>4557</v>
      </c>
      <c r="T25" s="9" t="s">
        <v>4774</v>
      </c>
      <c r="AA25" s="9" t="s">
        <v>4775</v>
      </c>
      <c r="AG25" s="9" t="s">
        <v>4525</v>
      </c>
      <c r="AH25" s="9" t="s">
        <v>4526</v>
      </c>
      <c r="AI25" s="9" t="s">
        <v>4526</v>
      </c>
      <c r="AJ25" s="9" t="s">
        <v>4527</v>
      </c>
      <c r="AK25" s="9" t="s">
        <v>4526</v>
      </c>
      <c r="AL25" s="9" t="s">
        <v>4530</v>
      </c>
      <c r="AM25" s="9" t="s">
        <v>4526</v>
      </c>
      <c r="AN25" s="9" t="s">
        <v>4531</v>
      </c>
      <c r="AO25" s="9" t="s">
        <v>4526</v>
      </c>
      <c r="AP25" s="9" t="s">
        <v>4526</v>
      </c>
      <c r="AQ25" s="9" t="s">
        <v>4531</v>
      </c>
      <c r="AR25" s="9" t="s">
        <v>4526</v>
      </c>
      <c r="AS25" s="9" t="s">
        <v>4526</v>
      </c>
      <c r="AT25" s="9" t="s">
        <v>4530</v>
      </c>
      <c r="AU25" s="9" t="s">
        <v>4530</v>
      </c>
      <c r="AV25" s="9" t="s">
        <v>4526</v>
      </c>
      <c r="AW25" s="9" t="s">
        <v>4526</v>
      </c>
      <c r="AX25" s="9" t="s">
        <v>4526</v>
      </c>
      <c r="AY25" s="9" t="s">
        <v>4526</v>
      </c>
      <c r="AZ25" s="9" t="s">
        <v>4529</v>
      </c>
      <c r="BA25" s="9" t="s">
        <v>4526</v>
      </c>
      <c r="BB25" s="9" t="s">
        <v>4526</v>
      </c>
      <c r="BC25" s="9" t="s">
        <v>4526</v>
      </c>
      <c r="BD25" s="9" t="s">
        <v>4526</v>
      </c>
      <c r="BE25" s="9" t="s">
        <v>4526</v>
      </c>
      <c r="BF25" s="9" t="s">
        <v>4526</v>
      </c>
      <c r="BG25" s="9" t="s">
        <v>4526</v>
      </c>
      <c r="BH25" s="9" t="s">
        <v>4526</v>
      </c>
      <c r="BI25" s="9" t="s">
        <v>4531</v>
      </c>
      <c r="BJ25" s="9" t="s">
        <v>4526</v>
      </c>
      <c r="BK25" s="9" t="s">
        <v>4526</v>
      </c>
      <c r="BL25" s="9" t="s">
        <v>4526</v>
      </c>
      <c r="BM25" s="9" t="s">
        <v>4531</v>
      </c>
      <c r="BN25" s="9" t="s">
        <v>4528</v>
      </c>
      <c r="BO25" s="9" t="s">
        <v>4530</v>
      </c>
      <c r="BP25" s="9" t="s">
        <v>4526</v>
      </c>
      <c r="BQ25" s="9" t="s">
        <v>4530</v>
      </c>
      <c r="BR25" s="9" t="s">
        <v>4530</v>
      </c>
      <c r="BS25" s="9" t="s">
        <v>4530</v>
      </c>
      <c r="BT25" s="9" t="s">
        <v>4527</v>
      </c>
      <c r="BU25" s="9" t="s">
        <v>4528</v>
      </c>
      <c r="BV25" s="9" t="s">
        <v>4527</v>
      </c>
      <c r="BW25" s="9" t="s">
        <v>4772</v>
      </c>
      <c r="BX25" s="9" t="s">
        <v>4776</v>
      </c>
      <c r="BY25" s="9" t="s">
        <v>4777</v>
      </c>
      <c r="CA25" s="9" t="s">
        <v>13211</v>
      </c>
      <c r="CC25" s="9" t="s">
        <v>13211</v>
      </c>
      <c r="CE25" s="9" t="s">
        <v>4197</v>
      </c>
      <c r="CO25" s="9" t="s">
        <v>4778</v>
      </c>
      <c r="CP25" s="9" t="s">
        <v>4779</v>
      </c>
    </row>
    <row r="26" spans="1:98" ht="25.5" x14ac:dyDescent="0.2">
      <c r="A26" s="9" t="s">
        <v>140</v>
      </c>
      <c r="B26" s="10">
        <v>46</v>
      </c>
      <c r="C26" s="10" t="s">
        <v>4541</v>
      </c>
      <c r="D26" s="11">
        <v>0.75</v>
      </c>
      <c r="E26" s="11">
        <v>0.25</v>
      </c>
      <c r="H26" s="11">
        <v>0.9</v>
      </c>
      <c r="I26" s="11">
        <v>0.1</v>
      </c>
      <c r="J26" s="11">
        <v>0.31</v>
      </c>
      <c r="K26" s="11">
        <v>0.49</v>
      </c>
      <c r="L26" s="9" t="s">
        <v>4561</v>
      </c>
      <c r="Q26" s="9" t="s">
        <v>4729</v>
      </c>
      <c r="U26" s="9" t="s">
        <v>4730</v>
      </c>
      <c r="W26" s="9" t="s">
        <v>4731</v>
      </c>
      <c r="X26" s="9" t="s">
        <v>4732</v>
      </c>
      <c r="Y26" s="9" t="s">
        <v>4733</v>
      </c>
      <c r="Z26" s="9" t="s">
        <v>4734</v>
      </c>
      <c r="AB26" s="9" t="s">
        <v>4735</v>
      </c>
      <c r="AC26" s="9" t="s">
        <v>4736</v>
      </c>
      <c r="AD26" s="9" t="s">
        <v>4737</v>
      </c>
      <c r="AG26" s="9" t="s">
        <v>4590</v>
      </c>
      <c r="AH26" s="9" t="s">
        <v>4526</v>
      </c>
      <c r="AI26" s="9" t="s">
        <v>4526</v>
      </c>
      <c r="AJ26" s="9" t="s">
        <v>4527</v>
      </c>
      <c r="AK26" s="9" t="s">
        <v>4531</v>
      </c>
      <c r="AL26" s="9" t="s">
        <v>4526</v>
      </c>
      <c r="AM26" s="9" t="s">
        <v>4526</v>
      </c>
      <c r="AN26" s="9" t="s">
        <v>4531</v>
      </c>
      <c r="AO26" s="9" t="s">
        <v>4526</v>
      </c>
      <c r="AP26" s="9" t="s">
        <v>4526</v>
      </c>
      <c r="AQ26" s="9" t="s">
        <v>4531</v>
      </c>
      <c r="AR26" s="9" t="s">
        <v>4527</v>
      </c>
      <c r="AS26" s="9" t="s">
        <v>4526</v>
      </c>
      <c r="AT26" s="9" t="s">
        <v>4527</v>
      </c>
      <c r="AU26" s="9" t="s">
        <v>4527</v>
      </c>
      <c r="AV26" s="9" t="s">
        <v>4526</v>
      </c>
      <c r="AW26" s="9" t="s">
        <v>4526</v>
      </c>
      <c r="AX26" s="9" t="s">
        <v>4526</v>
      </c>
      <c r="AY26" s="9" t="s">
        <v>4526</v>
      </c>
      <c r="AZ26" s="9" t="s">
        <v>4531</v>
      </c>
      <c r="BA26" s="9" t="s">
        <v>4526</v>
      </c>
      <c r="BB26" s="9" t="s">
        <v>4526</v>
      </c>
      <c r="BC26" s="9" t="s">
        <v>4526</v>
      </c>
      <c r="BD26" s="9" t="s">
        <v>4526</v>
      </c>
      <c r="BE26" s="9" t="s">
        <v>4526</v>
      </c>
      <c r="BF26" s="9" t="s">
        <v>4530</v>
      </c>
      <c r="BG26" s="9" t="s">
        <v>4531</v>
      </c>
      <c r="BH26" s="9" t="s">
        <v>4530</v>
      </c>
      <c r="BI26" s="9" t="s">
        <v>4531</v>
      </c>
      <c r="BJ26" s="9" t="s">
        <v>4526</v>
      </c>
      <c r="BK26" s="9" t="s">
        <v>4526</v>
      </c>
      <c r="BL26" s="9" t="s">
        <v>4530</v>
      </c>
      <c r="BM26" s="9" t="s">
        <v>4531</v>
      </c>
      <c r="BN26" s="9" t="s">
        <v>4530</v>
      </c>
      <c r="BO26" s="9" t="s">
        <v>4527</v>
      </c>
      <c r="BP26" s="9" t="s">
        <v>4526</v>
      </c>
      <c r="BQ26" s="9" t="s">
        <v>4527</v>
      </c>
      <c r="BR26" s="9" t="s">
        <v>4526</v>
      </c>
      <c r="BS26" s="9" t="s">
        <v>4526</v>
      </c>
      <c r="BT26" s="9" t="s">
        <v>4527</v>
      </c>
      <c r="BU26" s="9" t="s">
        <v>4526</v>
      </c>
      <c r="BV26" s="9" t="s">
        <v>4527</v>
      </c>
      <c r="BW26" s="9" t="s">
        <v>13173</v>
      </c>
      <c r="BY26" s="9" t="s">
        <v>4738</v>
      </c>
      <c r="CA26" s="9" t="s">
        <v>13209</v>
      </c>
      <c r="CC26" s="9" t="s">
        <v>13209</v>
      </c>
      <c r="CE26" s="9" t="s">
        <v>4657</v>
      </c>
      <c r="CF26" s="9" t="s">
        <v>4739</v>
      </c>
      <c r="CG26" s="9" t="s">
        <v>4740</v>
      </c>
      <c r="CO26" s="9" t="s">
        <v>4741</v>
      </c>
      <c r="CP26" s="9" t="s">
        <v>4740</v>
      </c>
      <c r="CQ26" s="9" t="s">
        <v>4742</v>
      </c>
    </row>
    <row r="27" spans="1:98" ht="38.25" x14ac:dyDescent="0.2">
      <c r="A27" s="9" t="s">
        <v>127</v>
      </c>
      <c r="B27" s="10">
        <v>43</v>
      </c>
      <c r="C27" s="10" t="s">
        <v>4613</v>
      </c>
      <c r="D27" s="11">
        <v>0.7</v>
      </c>
      <c r="E27" s="11">
        <v>0.3</v>
      </c>
      <c r="F27" s="11">
        <v>0</v>
      </c>
      <c r="H27" s="11">
        <v>0.92</v>
      </c>
      <c r="I27" s="11">
        <v>0.08</v>
      </c>
      <c r="J27" s="11">
        <v>0.4</v>
      </c>
      <c r="K27" s="11">
        <v>0.43</v>
      </c>
      <c r="L27" s="9" t="s">
        <v>13165</v>
      </c>
      <c r="O27" s="9" t="s">
        <v>4625</v>
      </c>
      <c r="AA27" s="9" t="s">
        <v>4626</v>
      </c>
      <c r="AG27" s="9" t="s">
        <v>4590</v>
      </c>
      <c r="AH27" s="9" t="s">
        <v>4526</v>
      </c>
      <c r="AI27" s="9" t="s">
        <v>4526</v>
      </c>
      <c r="AJ27" s="9" t="s">
        <v>4527</v>
      </c>
      <c r="AK27" s="9" t="s">
        <v>4531</v>
      </c>
      <c r="AL27" s="9" t="s">
        <v>4526</v>
      </c>
      <c r="AM27" s="9" t="s">
        <v>4526</v>
      </c>
      <c r="AN27" s="9" t="s">
        <v>4526</v>
      </c>
      <c r="AO27" s="9" t="s">
        <v>4526</v>
      </c>
      <c r="AP27" s="9" t="s">
        <v>4526</v>
      </c>
      <c r="AQ27" s="9" t="s">
        <v>4526</v>
      </c>
      <c r="AR27" s="9" t="s">
        <v>4527</v>
      </c>
      <c r="AS27" s="9" t="s">
        <v>4526</v>
      </c>
      <c r="AT27" s="9" t="s">
        <v>4530</v>
      </c>
      <c r="AU27" s="9" t="s">
        <v>4529</v>
      </c>
      <c r="AV27" s="9" t="s">
        <v>4526</v>
      </c>
      <c r="AW27" s="9" t="s">
        <v>4526</v>
      </c>
      <c r="AX27" s="9" t="s">
        <v>4526</v>
      </c>
      <c r="AY27" s="9" t="s">
        <v>4526</v>
      </c>
      <c r="AZ27" s="9" t="s">
        <v>4531</v>
      </c>
      <c r="BA27" s="9" t="s">
        <v>4526</v>
      </c>
      <c r="BB27" s="9" t="s">
        <v>4526</v>
      </c>
      <c r="BC27" s="9" t="s">
        <v>4526</v>
      </c>
      <c r="BD27" s="9" t="s">
        <v>4526</v>
      </c>
      <c r="BE27" s="9" t="s">
        <v>4526</v>
      </c>
      <c r="BF27" s="9" t="s">
        <v>4526</v>
      </c>
      <c r="BG27" s="9" t="s">
        <v>4526</v>
      </c>
      <c r="BH27" s="9" t="s">
        <v>4531</v>
      </c>
      <c r="BI27" s="9" t="s">
        <v>4526</v>
      </c>
      <c r="BJ27" s="9" t="s">
        <v>4526</v>
      </c>
      <c r="BK27" s="9" t="s">
        <v>4531</v>
      </c>
      <c r="BL27" s="9" t="s">
        <v>4531</v>
      </c>
      <c r="BM27" s="9" t="s">
        <v>4530</v>
      </c>
      <c r="BN27" s="9" t="s">
        <v>4528</v>
      </c>
      <c r="BO27" s="9" t="s">
        <v>4527</v>
      </c>
      <c r="BP27" s="9" t="s">
        <v>4526</v>
      </c>
      <c r="BQ27" s="9" t="s">
        <v>4527</v>
      </c>
      <c r="BR27" s="9" t="s">
        <v>4530</v>
      </c>
      <c r="BS27" s="9" t="s">
        <v>4529</v>
      </c>
      <c r="BT27" s="9" t="s">
        <v>4529</v>
      </c>
      <c r="BU27" s="9" t="s">
        <v>4526</v>
      </c>
      <c r="BV27" s="9" t="s">
        <v>4527</v>
      </c>
      <c r="BW27" s="9" t="s">
        <v>13176</v>
      </c>
      <c r="BX27" s="9" t="s">
        <v>4627</v>
      </c>
      <c r="BY27" s="9" t="s">
        <v>13182</v>
      </c>
      <c r="CA27" s="9" t="s">
        <v>13207</v>
      </c>
      <c r="CB27" s="9" t="s">
        <v>4628</v>
      </c>
      <c r="CC27" s="9" t="s">
        <v>4578</v>
      </c>
      <c r="CD27" s="9" t="s">
        <v>4629</v>
      </c>
      <c r="CE27" s="9" t="s">
        <v>4550</v>
      </c>
      <c r="CL27" s="9" t="s">
        <v>4630</v>
      </c>
      <c r="CM27" s="9" t="s">
        <v>4631</v>
      </c>
      <c r="CN27" s="9" t="s">
        <v>4632</v>
      </c>
      <c r="CO27" s="9" t="s">
        <v>4632</v>
      </c>
      <c r="CP27" s="9" t="s">
        <v>4633</v>
      </c>
    </row>
    <row r="28" spans="1:98" ht="63.75" x14ac:dyDescent="0.2">
      <c r="A28" s="9" t="s">
        <v>131</v>
      </c>
      <c r="B28" s="10">
        <v>38</v>
      </c>
      <c r="C28" s="10" t="s">
        <v>4541</v>
      </c>
      <c r="D28" s="11">
        <v>0.61</v>
      </c>
      <c r="E28" s="11">
        <v>0.39</v>
      </c>
      <c r="H28" s="11">
        <v>0.74</v>
      </c>
      <c r="I28" s="11">
        <v>0.26</v>
      </c>
      <c r="J28" s="11">
        <v>0.57999999999999996</v>
      </c>
      <c r="K28" s="11">
        <v>0.5</v>
      </c>
      <c r="L28" s="9" t="s">
        <v>29</v>
      </c>
      <c r="M28" s="9" t="s">
        <v>4660</v>
      </c>
      <c r="R28" s="9" t="s">
        <v>4661</v>
      </c>
      <c r="AG28" s="9" t="s">
        <v>4525</v>
      </c>
      <c r="AH28" s="9" t="s">
        <v>4526</v>
      </c>
      <c r="AI28" s="9" t="s">
        <v>4526</v>
      </c>
      <c r="AJ28" s="9" t="s">
        <v>4527</v>
      </c>
      <c r="AK28" s="9" t="s">
        <v>4531</v>
      </c>
      <c r="AL28" s="9" t="s">
        <v>4530</v>
      </c>
      <c r="AM28" s="9" t="s">
        <v>4530</v>
      </c>
      <c r="AN28" s="9" t="s">
        <v>4531</v>
      </c>
      <c r="AO28" s="9" t="s">
        <v>4526</v>
      </c>
      <c r="AP28" s="9" t="s">
        <v>4526</v>
      </c>
      <c r="AQ28" s="9" t="s">
        <v>4531</v>
      </c>
      <c r="AR28" s="9" t="s">
        <v>4527</v>
      </c>
      <c r="AS28" s="9" t="s">
        <v>4528</v>
      </c>
      <c r="AT28" s="9" t="s">
        <v>4528</v>
      </c>
      <c r="AU28" s="9" t="s">
        <v>4527</v>
      </c>
      <c r="AV28" s="9" t="s">
        <v>4528</v>
      </c>
      <c r="AW28" s="9" t="s">
        <v>4528</v>
      </c>
      <c r="AX28" s="9" t="s">
        <v>4526</v>
      </c>
      <c r="AY28" s="9" t="s">
        <v>4526</v>
      </c>
      <c r="AZ28" s="9" t="s">
        <v>4526</v>
      </c>
      <c r="BA28" s="9" t="s">
        <v>4526</v>
      </c>
      <c r="BB28" s="9" t="s">
        <v>4526</v>
      </c>
      <c r="BC28" s="9" t="s">
        <v>4526</v>
      </c>
      <c r="BD28" s="9" t="s">
        <v>4526</v>
      </c>
      <c r="BE28" s="9" t="s">
        <v>4526</v>
      </c>
      <c r="BF28" s="9" t="s">
        <v>4527</v>
      </c>
      <c r="BG28" s="9" t="s">
        <v>4531</v>
      </c>
      <c r="BH28" s="9" t="s">
        <v>4526</v>
      </c>
      <c r="BI28" s="9" t="s">
        <v>4531</v>
      </c>
      <c r="BJ28" s="9" t="s">
        <v>4526</v>
      </c>
      <c r="BK28" s="9" t="s">
        <v>4531</v>
      </c>
      <c r="BL28" s="9" t="s">
        <v>4526</v>
      </c>
      <c r="BM28" s="9" t="s">
        <v>4531</v>
      </c>
      <c r="BN28" s="9" t="s">
        <v>4527</v>
      </c>
      <c r="BO28" s="9" t="s">
        <v>4527</v>
      </c>
      <c r="BP28" s="9" t="s">
        <v>4526</v>
      </c>
      <c r="BQ28" s="9" t="s">
        <v>4527</v>
      </c>
      <c r="BR28" s="9" t="s">
        <v>4530</v>
      </c>
      <c r="BS28" s="9" t="s">
        <v>4529</v>
      </c>
      <c r="BT28" s="9" t="s">
        <v>4531</v>
      </c>
      <c r="BU28" s="9" t="s">
        <v>4531</v>
      </c>
      <c r="BV28" s="9" t="s">
        <v>4527</v>
      </c>
      <c r="BW28" s="9" t="s">
        <v>13180</v>
      </c>
      <c r="BX28" s="9" t="s">
        <v>4662</v>
      </c>
      <c r="BY28" s="9" t="s">
        <v>13195</v>
      </c>
      <c r="CA28" s="9" t="s">
        <v>13208</v>
      </c>
      <c r="CC28" s="9" t="s">
        <v>13208</v>
      </c>
      <c r="CE28" s="9" t="s">
        <v>4663</v>
      </c>
      <c r="CF28" s="9" t="s">
        <v>4664</v>
      </c>
      <c r="CG28" s="9" t="s">
        <v>4665</v>
      </c>
      <c r="CH28" s="9" t="s">
        <v>4666</v>
      </c>
      <c r="CI28" s="9" t="s">
        <v>4667</v>
      </c>
      <c r="CJ28" s="9" t="s">
        <v>4668</v>
      </c>
      <c r="CK28" s="9" t="s">
        <v>4669</v>
      </c>
      <c r="CR28" s="9" t="s">
        <v>4670</v>
      </c>
      <c r="CS28" s="9" t="s">
        <v>4671</v>
      </c>
      <c r="CT28" s="9" t="s">
        <v>4672</v>
      </c>
    </row>
    <row r="29" spans="1:98" ht="38.25" x14ac:dyDescent="0.2">
      <c r="A29" s="9" t="s">
        <v>139</v>
      </c>
      <c r="B29" s="10">
        <v>39</v>
      </c>
      <c r="C29" s="10" t="s">
        <v>4541</v>
      </c>
      <c r="D29" s="11">
        <v>0.56999999999999995</v>
      </c>
      <c r="E29" s="11">
        <v>0.43</v>
      </c>
      <c r="H29" s="11">
        <v>0.78</v>
      </c>
      <c r="I29" s="11">
        <v>0.22</v>
      </c>
      <c r="J29" s="11">
        <v>0.56999999999999995</v>
      </c>
      <c r="K29" s="11">
        <v>0.3</v>
      </c>
      <c r="L29" s="9" t="s">
        <v>13166</v>
      </c>
      <c r="M29" s="9" t="s">
        <v>4722</v>
      </c>
      <c r="X29" s="9" t="s">
        <v>4732</v>
      </c>
      <c r="AD29" s="9" t="s">
        <v>4723</v>
      </c>
      <c r="AG29" s="9" t="s">
        <v>4525</v>
      </c>
      <c r="AH29" s="9" t="s">
        <v>4528</v>
      </c>
      <c r="AI29" s="9" t="s">
        <v>4528</v>
      </c>
      <c r="AJ29" s="9" t="s">
        <v>4530</v>
      </c>
      <c r="AK29" s="9" t="s">
        <v>4531</v>
      </c>
      <c r="AL29" s="9" t="s">
        <v>4530</v>
      </c>
      <c r="AM29" s="9" t="s">
        <v>4526</v>
      </c>
      <c r="AN29" s="9" t="s">
        <v>4526</v>
      </c>
      <c r="AO29" s="9" t="s">
        <v>4528</v>
      </c>
      <c r="AP29" s="9" t="s">
        <v>4528</v>
      </c>
      <c r="AQ29" s="9" t="s">
        <v>4531</v>
      </c>
      <c r="AR29" s="9" t="s">
        <v>4529</v>
      </c>
      <c r="AS29" s="9" t="s">
        <v>4529</v>
      </c>
      <c r="AT29" s="9" t="s">
        <v>4529</v>
      </c>
      <c r="AU29" s="9" t="s">
        <v>4529</v>
      </c>
      <c r="AV29" s="9" t="s">
        <v>4529</v>
      </c>
      <c r="AW29" s="9" t="s">
        <v>4529</v>
      </c>
      <c r="AX29" s="9" t="s">
        <v>4526</v>
      </c>
      <c r="AY29" s="9" t="s">
        <v>4526</v>
      </c>
      <c r="AZ29" s="9" t="s">
        <v>4531</v>
      </c>
      <c r="BA29" s="9" t="s">
        <v>4526</v>
      </c>
      <c r="BB29" s="9" t="s">
        <v>4526</v>
      </c>
      <c r="BC29" s="9" t="s">
        <v>4526</v>
      </c>
      <c r="BD29" s="9" t="s">
        <v>4526</v>
      </c>
      <c r="BE29" s="9" t="s">
        <v>4529</v>
      </c>
      <c r="BF29" s="9" t="s">
        <v>4527</v>
      </c>
      <c r="BG29" s="9" t="s">
        <v>4531</v>
      </c>
      <c r="BH29" s="9" t="s">
        <v>4531</v>
      </c>
      <c r="BI29" s="9" t="s">
        <v>4530</v>
      </c>
      <c r="BJ29" s="9" t="s">
        <v>4526</v>
      </c>
      <c r="BK29" s="9" t="s">
        <v>4530</v>
      </c>
      <c r="BL29" s="9" t="s">
        <v>4526</v>
      </c>
      <c r="BM29" s="9" t="s">
        <v>4526</v>
      </c>
      <c r="BN29" s="9" t="s">
        <v>4526</v>
      </c>
      <c r="BO29" s="9" t="s">
        <v>4527</v>
      </c>
      <c r="BP29" s="9" t="s">
        <v>4526</v>
      </c>
      <c r="BQ29" s="9" t="s">
        <v>4527</v>
      </c>
      <c r="BR29" s="9" t="s">
        <v>4527</v>
      </c>
      <c r="BS29" s="9" t="s">
        <v>4530</v>
      </c>
      <c r="BT29" s="9" t="s">
        <v>4527</v>
      </c>
      <c r="BU29" s="9" t="s">
        <v>4531</v>
      </c>
      <c r="BV29" s="9" t="s">
        <v>4527</v>
      </c>
      <c r="BW29" s="9" t="s">
        <v>13183</v>
      </c>
      <c r="BY29" s="9" t="s">
        <v>13187</v>
      </c>
      <c r="BZ29" s="9" t="s">
        <v>4662</v>
      </c>
      <c r="CA29" s="9" t="s">
        <v>13209</v>
      </c>
      <c r="CC29" s="9" t="s">
        <v>13214</v>
      </c>
      <c r="CD29" s="9" t="s">
        <v>4724</v>
      </c>
      <c r="CE29" s="9" t="s">
        <v>4657</v>
      </c>
      <c r="CF29" s="9" t="s">
        <v>4725</v>
      </c>
      <c r="CG29" s="9" t="s">
        <v>4726</v>
      </c>
      <c r="CO29" s="9" t="s">
        <v>4727</v>
      </c>
      <c r="CP29" s="9" t="s">
        <v>4728</v>
      </c>
    </row>
    <row r="30" spans="1:98" ht="25.5" x14ac:dyDescent="0.2">
      <c r="A30" s="9" t="s">
        <v>120</v>
      </c>
      <c r="B30" s="10">
        <v>35</v>
      </c>
      <c r="C30" s="10" t="s">
        <v>4541</v>
      </c>
      <c r="D30" s="11">
        <v>0.8</v>
      </c>
      <c r="E30" s="11">
        <v>0.2</v>
      </c>
      <c r="H30" s="11">
        <v>0.99</v>
      </c>
      <c r="I30" s="11">
        <v>0.01</v>
      </c>
      <c r="J30" s="11">
        <v>0.2</v>
      </c>
      <c r="K30" s="11">
        <v>0.8</v>
      </c>
      <c r="L30" s="9" t="s">
        <v>4561</v>
      </c>
      <c r="AD30" s="9" t="s">
        <v>4562</v>
      </c>
      <c r="AG30" s="9" t="s">
        <v>4525</v>
      </c>
      <c r="AH30" s="9" t="s">
        <v>4526</v>
      </c>
      <c r="AI30" s="9" t="s">
        <v>4527</v>
      </c>
      <c r="AJ30" s="9" t="s">
        <v>4527</v>
      </c>
      <c r="AK30" s="9" t="s">
        <v>4531</v>
      </c>
      <c r="AL30" s="9" t="s">
        <v>4526</v>
      </c>
      <c r="AM30" s="9" t="s">
        <v>4531</v>
      </c>
      <c r="AN30" s="9" t="s">
        <v>4531</v>
      </c>
      <c r="AO30" s="9" t="s">
        <v>4526</v>
      </c>
      <c r="AP30" s="9" t="s">
        <v>4526</v>
      </c>
      <c r="AQ30" s="9" t="s">
        <v>4531</v>
      </c>
      <c r="AR30" s="9" t="s">
        <v>4526</v>
      </c>
      <c r="AS30" s="9" t="s">
        <v>4526</v>
      </c>
      <c r="AT30" s="9" t="s">
        <v>4529</v>
      </c>
      <c r="AU30" s="9" t="s">
        <v>4529</v>
      </c>
      <c r="AV30" s="9" t="s">
        <v>4526</v>
      </c>
      <c r="AW30" s="9" t="s">
        <v>4526</v>
      </c>
      <c r="AX30" s="9" t="s">
        <v>4526</v>
      </c>
      <c r="AY30" s="9" t="s">
        <v>4526</v>
      </c>
      <c r="AZ30" s="9" t="s">
        <v>4531</v>
      </c>
      <c r="BA30" s="9" t="s">
        <v>4526</v>
      </c>
      <c r="BB30" s="9" t="s">
        <v>4526</v>
      </c>
      <c r="BC30" s="9" t="s">
        <v>4526</v>
      </c>
      <c r="BD30" s="9" t="s">
        <v>4526</v>
      </c>
      <c r="BE30" s="9" t="s">
        <v>4526</v>
      </c>
      <c r="BF30" s="9" t="s">
        <v>4531</v>
      </c>
      <c r="BG30" s="9" t="s">
        <v>4531</v>
      </c>
      <c r="BH30" s="9" t="s">
        <v>4531</v>
      </c>
      <c r="BI30" s="9" t="s">
        <v>4531</v>
      </c>
      <c r="BJ30" s="9" t="s">
        <v>4531</v>
      </c>
      <c r="BK30" s="9" t="s">
        <v>4531</v>
      </c>
      <c r="BL30" s="9" t="s">
        <v>4531</v>
      </c>
      <c r="BM30" s="9" t="s">
        <v>4531</v>
      </c>
      <c r="BN30" s="9" t="s">
        <v>4531</v>
      </c>
      <c r="BO30" s="9" t="s">
        <v>4531</v>
      </c>
      <c r="BP30" s="9" t="s">
        <v>4531</v>
      </c>
      <c r="BQ30" s="9" t="s">
        <v>4526</v>
      </c>
      <c r="BR30" s="9" t="s">
        <v>4529</v>
      </c>
      <c r="BS30" s="9" t="s">
        <v>4529</v>
      </c>
      <c r="BT30" s="9" t="s">
        <v>4527</v>
      </c>
      <c r="BU30" s="9" t="s">
        <v>4531</v>
      </c>
      <c r="BV30" s="9" t="s">
        <v>4531</v>
      </c>
      <c r="BW30" s="9" t="s">
        <v>29</v>
      </c>
      <c r="BY30" s="9" t="s">
        <v>29</v>
      </c>
      <c r="CA30" s="9" t="s">
        <v>29</v>
      </c>
      <c r="CC30" s="9" t="s">
        <v>29</v>
      </c>
      <c r="CE30" s="9" t="s">
        <v>4563</v>
      </c>
      <c r="CI30" s="9" t="s">
        <v>4564</v>
      </c>
      <c r="CO30" s="9" t="s">
        <v>4565</v>
      </c>
    </row>
    <row r="31" spans="1:98" ht="38.25" x14ac:dyDescent="0.2">
      <c r="A31" s="9" t="s">
        <v>174</v>
      </c>
      <c r="B31" s="10">
        <v>34</v>
      </c>
      <c r="C31" s="10" t="s">
        <v>4541</v>
      </c>
      <c r="D31" s="11">
        <v>0.56000000000000005</v>
      </c>
      <c r="E31" s="11">
        <v>0.44</v>
      </c>
      <c r="F31" s="11"/>
      <c r="H31" s="11">
        <v>0.93</v>
      </c>
      <c r="I31" s="11">
        <v>7.0000000000000007E-2</v>
      </c>
      <c r="J31" s="11">
        <v>0.72</v>
      </c>
      <c r="K31" s="11">
        <v>0.46</v>
      </c>
      <c r="T31" s="9" t="s">
        <v>5073</v>
      </c>
      <c r="AA31" s="9" t="s">
        <v>5074</v>
      </c>
      <c r="AB31" s="9" t="s">
        <v>5075</v>
      </c>
      <c r="AG31" s="9" t="s">
        <v>4590</v>
      </c>
      <c r="AH31" s="9" t="s">
        <v>4526</v>
      </c>
      <c r="AI31" s="9" t="s">
        <v>4531</v>
      </c>
      <c r="AJ31" s="9" t="s">
        <v>4527</v>
      </c>
      <c r="AK31" s="9" t="s">
        <v>4531</v>
      </c>
      <c r="AL31" s="9" t="s">
        <v>4531</v>
      </c>
      <c r="AM31" s="9" t="s">
        <v>4526</v>
      </c>
      <c r="AN31" s="9" t="s">
        <v>4526</v>
      </c>
      <c r="AO31" s="9" t="s">
        <v>4526</v>
      </c>
      <c r="AP31" s="9" t="s">
        <v>4526</v>
      </c>
      <c r="AQ31" s="9" t="s">
        <v>4531</v>
      </c>
      <c r="AR31" s="9" t="s">
        <v>4526</v>
      </c>
      <c r="AS31" s="9" t="s">
        <v>4526</v>
      </c>
      <c r="AT31" s="9" t="s">
        <v>4526</v>
      </c>
      <c r="AU31" s="9" t="s">
        <v>4526</v>
      </c>
      <c r="AV31" s="9" t="s">
        <v>4526</v>
      </c>
      <c r="AW31" s="9" t="s">
        <v>4526</v>
      </c>
      <c r="AX31" s="9" t="s">
        <v>4526</v>
      </c>
      <c r="AY31" s="9" t="s">
        <v>4526</v>
      </c>
      <c r="AZ31" s="9" t="s">
        <v>4531</v>
      </c>
      <c r="BA31" s="9" t="s">
        <v>4526</v>
      </c>
      <c r="BB31" s="9" t="s">
        <v>4526</v>
      </c>
      <c r="BC31" s="9" t="s">
        <v>4526</v>
      </c>
      <c r="BD31" s="9" t="s">
        <v>4526</v>
      </c>
      <c r="BE31" s="9" t="s">
        <v>4526</v>
      </c>
      <c r="BF31" s="9" t="s">
        <v>4531</v>
      </c>
      <c r="BG31" s="9" t="s">
        <v>4531</v>
      </c>
      <c r="BH31" s="9" t="s">
        <v>4531</v>
      </c>
      <c r="BI31" s="9" t="s">
        <v>4531</v>
      </c>
      <c r="BJ31" s="9" t="s">
        <v>4526</v>
      </c>
      <c r="BK31" s="9" t="s">
        <v>4526</v>
      </c>
      <c r="BL31" s="9" t="s">
        <v>4526</v>
      </c>
      <c r="BM31" s="9" t="s">
        <v>4526</v>
      </c>
      <c r="BN31" s="9" t="s">
        <v>4526</v>
      </c>
      <c r="BO31" s="9" t="s">
        <v>4527</v>
      </c>
      <c r="BP31" s="9" t="s">
        <v>4526</v>
      </c>
      <c r="BQ31" s="9" t="s">
        <v>4527</v>
      </c>
      <c r="BR31" s="9" t="s">
        <v>4526</v>
      </c>
      <c r="BS31" s="9" t="s">
        <v>4530</v>
      </c>
      <c r="BT31" s="9" t="s">
        <v>4527</v>
      </c>
      <c r="BU31" s="9" t="s">
        <v>4531</v>
      </c>
      <c r="BV31" s="9" t="s">
        <v>4527</v>
      </c>
      <c r="BW31" s="9" t="s">
        <v>5076</v>
      </c>
      <c r="BY31" s="9" t="s">
        <v>13200</v>
      </c>
      <c r="CA31" s="9" t="s">
        <v>13209</v>
      </c>
      <c r="CC31" s="9" t="s">
        <v>13209</v>
      </c>
      <c r="CE31" s="9" t="s">
        <v>29</v>
      </c>
      <c r="CR31" s="9" t="s">
        <v>5077</v>
      </c>
      <c r="CS31" s="9" t="s">
        <v>5078</v>
      </c>
    </row>
    <row r="32" spans="1:98" ht="38.25" x14ac:dyDescent="0.2">
      <c r="A32" s="9" t="s">
        <v>124</v>
      </c>
      <c r="B32" s="10">
        <v>41</v>
      </c>
      <c r="C32" s="10" t="s">
        <v>4556</v>
      </c>
      <c r="D32" s="11">
        <v>0.62</v>
      </c>
      <c r="E32" s="11">
        <v>0.38</v>
      </c>
      <c r="F32" s="11">
        <v>0</v>
      </c>
      <c r="G32" s="11">
        <v>0</v>
      </c>
      <c r="H32" s="11">
        <v>0.88</v>
      </c>
      <c r="I32" s="11">
        <v>0.12</v>
      </c>
      <c r="J32" s="11">
        <v>0.51</v>
      </c>
      <c r="K32" s="11">
        <v>0.21</v>
      </c>
      <c r="L32" s="9" t="s">
        <v>4583</v>
      </c>
      <c r="M32" s="9" t="s">
        <v>4595</v>
      </c>
      <c r="P32" s="9" t="s">
        <v>4596</v>
      </c>
      <c r="S32" s="9" t="s">
        <v>4597</v>
      </c>
      <c r="U32" s="9" t="s">
        <v>4598</v>
      </c>
      <c r="X32" s="9" t="s">
        <v>4599</v>
      </c>
      <c r="AA32" s="9" t="s">
        <v>4600</v>
      </c>
      <c r="AD32" s="9" t="s">
        <v>4601</v>
      </c>
      <c r="AE32" s="9" t="s">
        <v>4602</v>
      </c>
      <c r="AG32" s="9" t="s">
        <v>4525</v>
      </c>
      <c r="AH32" s="9" t="s">
        <v>4530</v>
      </c>
      <c r="AI32" s="9" t="s">
        <v>4527</v>
      </c>
      <c r="AJ32" s="9" t="s">
        <v>4527</v>
      </c>
      <c r="AK32" s="9" t="s">
        <v>4531</v>
      </c>
      <c r="AL32" s="9" t="s">
        <v>4530</v>
      </c>
      <c r="AM32" s="9" t="s">
        <v>4526</v>
      </c>
      <c r="AN32" s="9" t="s">
        <v>4526</v>
      </c>
      <c r="AO32" s="9" t="s">
        <v>4526</v>
      </c>
      <c r="AP32" s="9" t="s">
        <v>4526</v>
      </c>
      <c r="AQ32" s="9" t="s">
        <v>4531</v>
      </c>
      <c r="AR32" s="9" t="s">
        <v>4526</v>
      </c>
      <c r="AS32" s="9" t="s">
        <v>4526</v>
      </c>
      <c r="AT32" s="9" t="s">
        <v>4530</v>
      </c>
      <c r="AU32" s="9" t="s">
        <v>4529</v>
      </c>
      <c r="AV32" s="9" t="s">
        <v>4526</v>
      </c>
      <c r="AW32" s="9" t="s">
        <v>4526</v>
      </c>
      <c r="AX32" s="9" t="s">
        <v>4526</v>
      </c>
      <c r="AY32" s="9" t="s">
        <v>4526</v>
      </c>
      <c r="AZ32" s="9" t="s">
        <v>4526</v>
      </c>
      <c r="BA32" s="9" t="s">
        <v>4526</v>
      </c>
      <c r="BB32" s="9" t="s">
        <v>4526</v>
      </c>
      <c r="BC32" s="9" t="s">
        <v>4526</v>
      </c>
      <c r="BD32" s="9" t="s">
        <v>4526</v>
      </c>
      <c r="BE32" s="9" t="s">
        <v>4526</v>
      </c>
      <c r="BF32" s="9" t="s">
        <v>4527</v>
      </c>
      <c r="BG32" s="9" t="s">
        <v>4531</v>
      </c>
      <c r="BH32" s="9" t="s">
        <v>4531</v>
      </c>
      <c r="BI32" s="9" t="s">
        <v>4531</v>
      </c>
      <c r="BJ32" s="9" t="s">
        <v>4526</v>
      </c>
      <c r="BK32" s="9" t="s">
        <v>4531</v>
      </c>
      <c r="BL32" s="9" t="s">
        <v>4526</v>
      </c>
      <c r="BM32" s="9" t="s">
        <v>4526</v>
      </c>
      <c r="BN32" s="9" t="s">
        <v>4530</v>
      </c>
      <c r="BO32" s="9" t="s">
        <v>4531</v>
      </c>
      <c r="BP32" s="9" t="s">
        <v>4531</v>
      </c>
      <c r="BQ32" s="9" t="s">
        <v>4530</v>
      </c>
      <c r="BR32" s="9" t="s">
        <v>4530</v>
      </c>
      <c r="BS32" s="9" t="s">
        <v>4529</v>
      </c>
      <c r="BT32" s="9" t="s">
        <v>4529</v>
      </c>
      <c r="BU32" s="9" t="s">
        <v>4531</v>
      </c>
      <c r="BV32" s="9" t="s">
        <v>4530</v>
      </c>
      <c r="BW32" s="9" t="s">
        <v>4603</v>
      </c>
      <c r="BX32" s="9" t="s">
        <v>4581</v>
      </c>
      <c r="BY32" s="9" t="s">
        <v>4604</v>
      </c>
      <c r="BZ32" s="9" t="s">
        <v>4605</v>
      </c>
      <c r="CA32" s="9" t="s">
        <v>13207</v>
      </c>
      <c r="CB32" s="9" t="s">
        <v>4606</v>
      </c>
      <c r="CC32" s="9" t="s">
        <v>13214</v>
      </c>
      <c r="CD32" s="9" t="s">
        <v>4607</v>
      </c>
      <c r="CE32" s="9" t="s">
        <v>13217</v>
      </c>
      <c r="CF32" s="9" t="s">
        <v>4608</v>
      </c>
      <c r="CG32" s="9" t="s">
        <v>4609</v>
      </c>
      <c r="CI32" s="9" t="s">
        <v>4610</v>
      </c>
      <c r="CO32" s="9" t="s">
        <v>4611</v>
      </c>
      <c r="CP32" s="9" t="s">
        <v>4612</v>
      </c>
    </row>
    <row r="33" spans="1:98" ht="51" x14ac:dyDescent="0.2">
      <c r="A33" s="9" t="s">
        <v>117</v>
      </c>
      <c r="B33" s="10">
        <v>40</v>
      </c>
      <c r="C33" s="10" t="s">
        <v>4521</v>
      </c>
      <c r="D33" s="11">
        <v>0.62</v>
      </c>
      <c r="E33" s="11">
        <v>0.37</v>
      </c>
      <c r="G33" s="11">
        <v>0.01</v>
      </c>
      <c r="H33" s="11">
        <v>0.94</v>
      </c>
      <c r="I33" s="11">
        <v>0.06</v>
      </c>
      <c r="J33" s="11">
        <v>0.6</v>
      </c>
      <c r="K33" s="11">
        <v>0.45</v>
      </c>
      <c r="L33" s="9" t="s">
        <v>13164</v>
      </c>
      <c r="M33" s="9" t="s">
        <v>4522</v>
      </c>
      <c r="X33" s="9" t="s">
        <v>4523</v>
      </c>
      <c r="AD33" s="9" t="s">
        <v>4524</v>
      </c>
      <c r="AG33" s="9" t="s">
        <v>4525</v>
      </c>
      <c r="AH33" s="9" t="s">
        <v>4526</v>
      </c>
      <c r="AI33" s="9" t="s">
        <v>4526</v>
      </c>
      <c r="AJ33" s="9" t="s">
        <v>4527</v>
      </c>
      <c r="AK33" s="9" t="s">
        <v>4526</v>
      </c>
      <c r="AL33" s="9" t="s">
        <v>4526</v>
      </c>
      <c r="AM33" s="9" t="s">
        <v>4526</v>
      </c>
      <c r="AN33" s="9" t="s">
        <v>4526</v>
      </c>
      <c r="AO33" s="9" t="s">
        <v>4526</v>
      </c>
      <c r="AP33" s="9" t="s">
        <v>4526</v>
      </c>
      <c r="AQ33" s="9" t="s">
        <v>4526</v>
      </c>
      <c r="AR33" s="9" t="s">
        <v>4527</v>
      </c>
      <c r="AS33" s="9" t="s">
        <v>4528</v>
      </c>
      <c r="AT33" s="9" t="s">
        <v>4529</v>
      </c>
      <c r="AU33" s="9" t="s">
        <v>4530</v>
      </c>
      <c r="AV33" s="9" t="s">
        <v>4528</v>
      </c>
      <c r="AW33" s="9" t="s">
        <v>4528</v>
      </c>
      <c r="AX33" s="9" t="s">
        <v>4526</v>
      </c>
      <c r="AY33" s="9" t="s">
        <v>4526</v>
      </c>
      <c r="AZ33" s="9" t="s">
        <v>4526</v>
      </c>
      <c r="BA33" s="9" t="s">
        <v>4526</v>
      </c>
      <c r="BB33" s="9" t="s">
        <v>4526</v>
      </c>
      <c r="BC33" s="9" t="s">
        <v>4526</v>
      </c>
      <c r="BD33" s="9" t="s">
        <v>4526</v>
      </c>
      <c r="BE33" s="9" t="s">
        <v>4528</v>
      </c>
      <c r="BF33" s="9" t="s">
        <v>4527</v>
      </c>
      <c r="BG33" s="9" t="s">
        <v>4527</v>
      </c>
      <c r="BH33" s="9" t="s">
        <v>4527</v>
      </c>
      <c r="BI33" s="9" t="s">
        <v>4531</v>
      </c>
      <c r="BJ33" s="9" t="s">
        <v>4526</v>
      </c>
      <c r="BK33" s="9" t="s">
        <v>4526</v>
      </c>
      <c r="BL33" s="9" t="s">
        <v>4527</v>
      </c>
      <c r="BM33" s="9" t="s">
        <v>4526</v>
      </c>
      <c r="BN33" s="9" t="s">
        <v>4528</v>
      </c>
      <c r="BO33" s="9" t="s">
        <v>4527</v>
      </c>
      <c r="BP33" s="9" t="s">
        <v>4526</v>
      </c>
      <c r="BQ33" s="9" t="s">
        <v>4526</v>
      </c>
      <c r="BR33" s="9" t="s">
        <v>4526</v>
      </c>
      <c r="BS33" s="9" t="s">
        <v>4526</v>
      </c>
      <c r="BT33" s="9" t="s">
        <v>4526</v>
      </c>
      <c r="BU33" s="9" t="s">
        <v>4526</v>
      </c>
      <c r="BV33" s="9" t="s">
        <v>4527</v>
      </c>
      <c r="BW33" s="9" t="s">
        <v>13172</v>
      </c>
      <c r="BY33" s="9" t="s">
        <v>4532</v>
      </c>
      <c r="CA33" s="9" t="s">
        <v>4533</v>
      </c>
      <c r="CC33" s="9" t="s">
        <v>4534</v>
      </c>
      <c r="CE33" s="9" t="s">
        <v>4535</v>
      </c>
      <c r="CO33" s="9" t="s">
        <v>4536</v>
      </c>
      <c r="CP33" s="9" t="s">
        <v>4537</v>
      </c>
      <c r="CQ33" s="9" t="s">
        <v>4538</v>
      </c>
      <c r="CR33" s="9" t="s">
        <v>4539</v>
      </c>
      <c r="CS33" s="9" t="s">
        <v>4540</v>
      </c>
    </row>
    <row r="34" spans="1:98" ht="63.75" x14ac:dyDescent="0.2">
      <c r="A34" s="9" t="s">
        <v>168</v>
      </c>
      <c r="B34" s="10">
        <v>41</v>
      </c>
      <c r="C34" s="10" t="s">
        <v>4521</v>
      </c>
      <c r="D34" s="11">
        <v>0.67</v>
      </c>
      <c r="E34" s="11">
        <v>0.33</v>
      </c>
      <c r="F34" s="11"/>
      <c r="G34" s="11">
        <v>0</v>
      </c>
      <c r="H34" s="11">
        <v>0.89</v>
      </c>
      <c r="I34" s="11">
        <v>0.11</v>
      </c>
      <c r="J34" s="11">
        <v>0.5</v>
      </c>
      <c r="K34" s="11">
        <v>0.4</v>
      </c>
      <c r="L34" s="9" t="s">
        <v>13165</v>
      </c>
      <c r="O34" s="9" t="s">
        <v>5022</v>
      </c>
      <c r="U34" s="9" t="s">
        <v>5023</v>
      </c>
      <c r="V34" s="9" t="s">
        <v>5024</v>
      </c>
      <c r="Y34" s="9" t="s">
        <v>13762</v>
      </c>
      <c r="AB34" s="9" t="s">
        <v>5025</v>
      </c>
      <c r="AG34" s="9" t="s">
        <v>4525</v>
      </c>
      <c r="AH34" s="9" t="s">
        <v>4526</v>
      </c>
      <c r="AI34" s="9" t="s">
        <v>4527</v>
      </c>
      <c r="AJ34" s="9" t="s">
        <v>4527</v>
      </c>
      <c r="AK34" s="9" t="s">
        <v>4526</v>
      </c>
      <c r="AL34" s="9" t="s">
        <v>4529</v>
      </c>
      <c r="AM34" s="9" t="s">
        <v>4526</v>
      </c>
      <c r="AN34" s="9" t="s">
        <v>4526</v>
      </c>
      <c r="AO34" s="9" t="s">
        <v>4526</v>
      </c>
      <c r="AP34" s="9" t="s">
        <v>4526</v>
      </c>
      <c r="AQ34" s="9" t="s">
        <v>4531</v>
      </c>
      <c r="AR34" s="9" t="s">
        <v>4526</v>
      </c>
      <c r="AS34" s="9" t="s">
        <v>4526</v>
      </c>
      <c r="AT34" s="9" t="s">
        <v>4526</v>
      </c>
      <c r="AU34" s="9" t="s">
        <v>4526</v>
      </c>
      <c r="AV34" s="9" t="s">
        <v>4526</v>
      </c>
      <c r="AW34" s="9" t="s">
        <v>4526</v>
      </c>
      <c r="AX34" s="9" t="s">
        <v>4526</v>
      </c>
      <c r="AY34" s="9" t="s">
        <v>4526</v>
      </c>
      <c r="AZ34" s="9" t="s">
        <v>4531</v>
      </c>
      <c r="BA34" s="9" t="s">
        <v>4526</v>
      </c>
      <c r="BB34" s="9" t="s">
        <v>4526</v>
      </c>
      <c r="BC34" s="9" t="s">
        <v>4526</v>
      </c>
      <c r="BD34" s="9" t="s">
        <v>4526</v>
      </c>
      <c r="BE34" s="9" t="s">
        <v>4526</v>
      </c>
      <c r="BF34" s="9" t="s">
        <v>4527</v>
      </c>
      <c r="BG34" s="9" t="s">
        <v>4531</v>
      </c>
      <c r="BH34" s="9" t="s">
        <v>4531</v>
      </c>
      <c r="BI34" s="9" t="s">
        <v>4531</v>
      </c>
      <c r="BJ34" s="9" t="s">
        <v>4531</v>
      </c>
      <c r="BK34" s="9" t="s">
        <v>4529</v>
      </c>
      <c r="BL34" s="9" t="s">
        <v>4526</v>
      </c>
      <c r="BM34" s="9" t="s">
        <v>4531</v>
      </c>
      <c r="BN34" s="9" t="s">
        <v>4529</v>
      </c>
      <c r="BO34" s="9" t="s">
        <v>4530</v>
      </c>
      <c r="BP34" s="9" t="s">
        <v>4526</v>
      </c>
      <c r="BQ34" s="9" t="s">
        <v>4526</v>
      </c>
      <c r="BR34" s="9" t="s">
        <v>4526</v>
      </c>
      <c r="BS34" s="9" t="s">
        <v>4526</v>
      </c>
      <c r="BT34" s="9" t="s">
        <v>4531</v>
      </c>
      <c r="BU34" s="9" t="s">
        <v>4531</v>
      </c>
      <c r="BV34" s="9" t="s">
        <v>4527</v>
      </c>
      <c r="BW34" s="9" t="s">
        <v>5026</v>
      </c>
      <c r="BY34" s="9" t="s">
        <v>4772</v>
      </c>
      <c r="BZ34" s="9" t="s">
        <v>5027</v>
      </c>
      <c r="CA34" s="9" t="s">
        <v>13209</v>
      </c>
      <c r="CC34" s="9" t="s">
        <v>13209</v>
      </c>
      <c r="CE34" s="9" t="s">
        <v>5028</v>
      </c>
      <c r="CF34" s="9" t="s">
        <v>5029</v>
      </c>
      <c r="CG34" s="9" t="s">
        <v>5030</v>
      </c>
      <c r="CH34" s="9" t="s">
        <v>5031</v>
      </c>
      <c r="CL34" s="9" t="s">
        <v>5032</v>
      </c>
      <c r="CO34" s="9" t="s">
        <v>5033</v>
      </c>
      <c r="CP34" s="9" t="s">
        <v>5034</v>
      </c>
      <c r="CQ34" s="9" t="s">
        <v>5035</v>
      </c>
    </row>
    <row r="35" spans="1:98" ht="38.25" x14ac:dyDescent="0.2">
      <c r="A35" s="9" t="s">
        <v>143</v>
      </c>
      <c r="B35" s="10">
        <v>44</v>
      </c>
      <c r="C35" s="10" t="s">
        <v>4541</v>
      </c>
      <c r="D35" s="11">
        <v>0.77</v>
      </c>
      <c r="E35" s="11">
        <v>0.23</v>
      </c>
      <c r="H35" s="11">
        <v>0.7</v>
      </c>
      <c r="I35" s="11">
        <v>0.3</v>
      </c>
      <c r="J35" s="11">
        <v>0.38</v>
      </c>
      <c r="L35" s="9" t="s">
        <v>4583</v>
      </c>
      <c r="M35" s="9" t="s">
        <v>4768</v>
      </c>
      <c r="S35" s="9" t="s">
        <v>4769</v>
      </c>
      <c r="U35" s="9" t="s">
        <v>4770</v>
      </c>
      <c r="W35" s="9" t="s">
        <v>4771</v>
      </c>
      <c r="AG35" s="9" t="s">
        <v>4525</v>
      </c>
      <c r="AH35" s="9" t="s">
        <v>4526</v>
      </c>
      <c r="AI35" s="9" t="s">
        <v>4526</v>
      </c>
      <c r="AJ35" s="9" t="s">
        <v>4527</v>
      </c>
      <c r="AK35" s="9" t="s">
        <v>4531</v>
      </c>
      <c r="AL35" s="9" t="s">
        <v>4526</v>
      </c>
      <c r="AM35" s="9" t="s">
        <v>4526</v>
      </c>
      <c r="AN35" s="9" t="s">
        <v>4531</v>
      </c>
      <c r="AO35" s="9" t="s">
        <v>4526</v>
      </c>
      <c r="AP35" s="9" t="s">
        <v>4526</v>
      </c>
      <c r="AQ35" s="9" t="s">
        <v>4531</v>
      </c>
      <c r="AR35" s="9" t="s">
        <v>4526</v>
      </c>
      <c r="AS35" s="9" t="s">
        <v>4526</v>
      </c>
      <c r="AT35" s="9" t="s">
        <v>4529</v>
      </c>
      <c r="AU35" s="9" t="s">
        <v>4529</v>
      </c>
      <c r="AV35" s="9" t="s">
        <v>4526</v>
      </c>
      <c r="AW35" s="9" t="s">
        <v>4526</v>
      </c>
      <c r="AX35" s="9" t="s">
        <v>4526</v>
      </c>
      <c r="AY35" s="9" t="s">
        <v>4526</v>
      </c>
      <c r="AZ35" s="9" t="s">
        <v>4531</v>
      </c>
      <c r="BA35" s="9" t="s">
        <v>4526</v>
      </c>
      <c r="BB35" s="9" t="s">
        <v>4526</v>
      </c>
      <c r="BC35" s="9" t="s">
        <v>4526</v>
      </c>
      <c r="BD35" s="9" t="s">
        <v>4526</v>
      </c>
      <c r="BE35" s="9" t="s">
        <v>4526</v>
      </c>
      <c r="BF35" s="9" t="s">
        <v>4526</v>
      </c>
      <c r="BG35" s="9" t="s">
        <v>4531</v>
      </c>
      <c r="BH35" s="9" t="s">
        <v>4531</v>
      </c>
      <c r="BI35" s="9" t="s">
        <v>4531</v>
      </c>
      <c r="BJ35" s="9" t="s">
        <v>4526</v>
      </c>
      <c r="BK35" s="9" t="s">
        <v>4531</v>
      </c>
      <c r="BL35" s="9" t="s">
        <v>4526</v>
      </c>
      <c r="BM35" s="9" t="s">
        <v>4531</v>
      </c>
      <c r="BN35" s="9" t="s">
        <v>4529</v>
      </c>
      <c r="BO35" s="9" t="s">
        <v>4530</v>
      </c>
      <c r="BP35" s="9" t="s">
        <v>4526</v>
      </c>
      <c r="BQ35" s="9" t="s">
        <v>4527</v>
      </c>
      <c r="BR35" s="9" t="s">
        <v>4527</v>
      </c>
      <c r="BS35" s="9" t="s">
        <v>4526</v>
      </c>
      <c r="BT35" s="9" t="s">
        <v>4527</v>
      </c>
      <c r="BU35" s="9" t="s">
        <v>4526</v>
      </c>
      <c r="BV35" s="9" t="s">
        <v>4527</v>
      </c>
      <c r="BW35" s="9" t="s">
        <v>4772</v>
      </c>
      <c r="BX35" s="9" t="s">
        <v>4773</v>
      </c>
      <c r="BY35" s="9" t="s">
        <v>4772</v>
      </c>
      <c r="CA35" s="9" t="s">
        <v>13210</v>
      </c>
      <c r="CC35" s="9" t="s">
        <v>13208</v>
      </c>
    </row>
    <row r="36" spans="1:98" ht="127.5" x14ac:dyDescent="0.2">
      <c r="A36" s="9" t="s">
        <v>180</v>
      </c>
      <c r="B36" s="10">
        <v>35</v>
      </c>
      <c r="C36" s="10" t="s">
        <v>4521</v>
      </c>
      <c r="D36" s="11">
        <v>0.56000000000000005</v>
      </c>
      <c r="E36" s="11">
        <v>0.43</v>
      </c>
      <c r="F36" s="11"/>
      <c r="G36" s="11">
        <v>0.01</v>
      </c>
      <c r="H36" s="11">
        <v>0.77</v>
      </c>
      <c r="I36" s="11">
        <v>0.23</v>
      </c>
      <c r="J36" s="11">
        <v>0.68</v>
      </c>
      <c r="K36" s="11">
        <v>0.22</v>
      </c>
      <c r="L36" s="9" t="s">
        <v>4557</v>
      </c>
      <c r="O36" s="9" t="s">
        <v>5159</v>
      </c>
      <c r="Q36" s="9" t="s">
        <v>5160</v>
      </c>
      <c r="R36" s="9" t="s">
        <v>5161</v>
      </c>
      <c r="S36" s="9" t="s">
        <v>5162</v>
      </c>
      <c r="U36" s="9" t="s">
        <v>5163</v>
      </c>
      <c r="W36" s="9" t="s">
        <v>5164</v>
      </c>
      <c r="X36" s="9" t="s">
        <v>5165</v>
      </c>
      <c r="Z36" s="9" t="s">
        <v>5166</v>
      </c>
      <c r="AB36" s="9" t="s">
        <v>5167</v>
      </c>
      <c r="AD36" s="9" t="s">
        <v>5168</v>
      </c>
      <c r="AF36" s="9" t="s">
        <v>5169</v>
      </c>
      <c r="AG36" s="9" t="s">
        <v>4525</v>
      </c>
      <c r="AH36" s="9" t="s">
        <v>4526</v>
      </c>
      <c r="AI36" s="9" t="s">
        <v>4531</v>
      </c>
      <c r="AJ36" s="9" t="s">
        <v>4527</v>
      </c>
      <c r="AK36" s="9" t="s">
        <v>4531</v>
      </c>
      <c r="AL36" s="9" t="s">
        <v>4531</v>
      </c>
      <c r="AM36" s="9" t="s">
        <v>4526</v>
      </c>
      <c r="AN36" s="9" t="s">
        <v>4526</v>
      </c>
      <c r="AO36" s="9" t="s">
        <v>4526</v>
      </c>
      <c r="AP36" s="9" t="s">
        <v>4526</v>
      </c>
      <c r="AQ36" s="9" t="s">
        <v>4531</v>
      </c>
      <c r="AR36" s="9" t="s">
        <v>4526</v>
      </c>
      <c r="AS36" s="9" t="s">
        <v>4526</v>
      </c>
      <c r="AT36" s="9" t="s">
        <v>4526</v>
      </c>
      <c r="AU36" s="9" t="s">
        <v>4526</v>
      </c>
      <c r="AV36" s="9" t="s">
        <v>4526</v>
      </c>
      <c r="AW36" s="9" t="s">
        <v>4526</v>
      </c>
      <c r="AX36" s="9" t="s">
        <v>4526</v>
      </c>
      <c r="AY36" s="9" t="s">
        <v>4526</v>
      </c>
      <c r="AZ36" s="9" t="s">
        <v>4531</v>
      </c>
      <c r="BA36" s="9" t="s">
        <v>4526</v>
      </c>
      <c r="BB36" s="9" t="s">
        <v>4526</v>
      </c>
      <c r="BC36" s="9" t="s">
        <v>4526</v>
      </c>
      <c r="BD36" s="9" t="s">
        <v>4526</v>
      </c>
      <c r="BE36" s="9" t="s">
        <v>4526</v>
      </c>
      <c r="BF36" s="9" t="s">
        <v>4531</v>
      </c>
      <c r="BG36" s="9" t="s">
        <v>4531</v>
      </c>
      <c r="BH36" s="9" t="s">
        <v>4531</v>
      </c>
      <c r="BI36" s="9" t="s">
        <v>4531</v>
      </c>
      <c r="BJ36" s="9" t="s">
        <v>4526</v>
      </c>
      <c r="BK36" s="9" t="s">
        <v>4531</v>
      </c>
      <c r="BL36" s="9" t="s">
        <v>4526</v>
      </c>
      <c r="BM36" s="9" t="s">
        <v>4526</v>
      </c>
      <c r="BN36" s="9" t="s">
        <v>4526</v>
      </c>
      <c r="BO36" s="9" t="s">
        <v>4531</v>
      </c>
      <c r="BP36" s="9" t="s">
        <v>4526</v>
      </c>
      <c r="BQ36" s="9" t="s">
        <v>4527</v>
      </c>
      <c r="BR36" s="9" t="s">
        <v>4527</v>
      </c>
      <c r="BS36" s="9" t="s">
        <v>4526</v>
      </c>
      <c r="BT36" s="9" t="s">
        <v>4526</v>
      </c>
      <c r="BU36" s="9" t="s">
        <v>4531</v>
      </c>
      <c r="BV36" s="9" t="s">
        <v>4531</v>
      </c>
      <c r="BW36" s="9" t="s">
        <v>5170</v>
      </c>
      <c r="BX36" s="9" t="s">
        <v>5171</v>
      </c>
      <c r="BY36" s="9" t="s">
        <v>5172</v>
      </c>
      <c r="BZ36" s="9" t="s">
        <v>5173</v>
      </c>
      <c r="CA36" s="9" t="s">
        <v>13208</v>
      </c>
      <c r="CC36" s="9" t="s">
        <v>13208</v>
      </c>
      <c r="CE36" s="9" t="s">
        <v>4197</v>
      </c>
      <c r="CO36" s="9" t="s">
        <v>5174</v>
      </c>
      <c r="CP36" s="9" t="s">
        <v>5175</v>
      </c>
      <c r="CQ36" s="9" t="s">
        <v>5176</v>
      </c>
    </row>
    <row r="37" spans="1:98" ht="51" x14ac:dyDescent="0.2">
      <c r="A37" s="9" t="s">
        <v>158</v>
      </c>
      <c r="B37" s="10">
        <v>38</v>
      </c>
      <c r="C37" s="10" t="s">
        <v>4556</v>
      </c>
      <c r="D37" s="11">
        <v>0.56999999999999995</v>
      </c>
      <c r="E37" s="11">
        <v>0.42</v>
      </c>
      <c r="F37" s="11">
        <v>0</v>
      </c>
      <c r="G37" s="11">
        <v>0.01</v>
      </c>
      <c r="H37" s="11">
        <v>0.77</v>
      </c>
      <c r="I37" s="11">
        <v>0.23</v>
      </c>
      <c r="J37" s="11">
        <v>0.64</v>
      </c>
      <c r="K37" s="11">
        <v>0.51</v>
      </c>
      <c r="L37" s="9" t="s">
        <v>13171</v>
      </c>
      <c r="N37" s="9" t="s">
        <v>4903</v>
      </c>
      <c r="O37" s="9" t="s">
        <v>4904</v>
      </c>
      <c r="P37" s="9" t="s">
        <v>4905</v>
      </c>
      <c r="Q37" s="9" t="s">
        <v>4906</v>
      </c>
      <c r="R37" s="9" t="s">
        <v>4907</v>
      </c>
      <c r="S37" s="9" t="s">
        <v>4908</v>
      </c>
      <c r="T37" s="9" t="s">
        <v>4909</v>
      </c>
      <c r="U37" s="9" t="s">
        <v>4910</v>
      </c>
      <c r="V37" s="9" t="s">
        <v>4911</v>
      </c>
      <c r="W37" s="9" t="s">
        <v>4912</v>
      </c>
      <c r="X37" s="9" t="s">
        <v>4913</v>
      </c>
      <c r="Y37" s="9" t="s">
        <v>4914</v>
      </c>
      <c r="Z37" s="9" t="s">
        <v>4915</v>
      </c>
      <c r="AA37" s="9" t="s">
        <v>4916</v>
      </c>
      <c r="AB37" s="9" t="s">
        <v>4917</v>
      </c>
      <c r="AC37" s="9" t="s">
        <v>4918</v>
      </c>
      <c r="AD37" s="9" t="s">
        <v>4919</v>
      </c>
      <c r="AE37" s="9" t="s">
        <v>4920</v>
      </c>
      <c r="AF37" s="9" t="s">
        <v>4921</v>
      </c>
      <c r="AG37" s="9" t="s">
        <v>4525</v>
      </c>
      <c r="AH37" s="9" t="s">
        <v>4526</v>
      </c>
      <c r="AI37" s="9" t="s">
        <v>4526</v>
      </c>
      <c r="AJ37" s="9" t="s">
        <v>4527</v>
      </c>
      <c r="AK37" s="9" t="s">
        <v>4531</v>
      </c>
      <c r="AL37" s="9" t="s">
        <v>4529</v>
      </c>
      <c r="AM37" s="9" t="s">
        <v>4526</v>
      </c>
      <c r="AN37" s="9" t="s">
        <v>4526</v>
      </c>
      <c r="AO37" s="9" t="s">
        <v>4526</v>
      </c>
      <c r="AP37" s="9" t="s">
        <v>4526</v>
      </c>
      <c r="AQ37" s="9" t="s">
        <v>4526</v>
      </c>
      <c r="AR37" s="9" t="s">
        <v>4531</v>
      </c>
      <c r="AS37" s="9" t="s">
        <v>4526</v>
      </c>
      <c r="AT37" s="9" t="s">
        <v>4529</v>
      </c>
      <c r="AU37" s="9" t="s">
        <v>4529</v>
      </c>
      <c r="AV37" s="9" t="s">
        <v>4526</v>
      </c>
      <c r="AW37" s="9" t="s">
        <v>4526</v>
      </c>
      <c r="AX37" s="9" t="s">
        <v>4526</v>
      </c>
      <c r="AY37" s="9" t="s">
        <v>4526</v>
      </c>
      <c r="AZ37" s="9" t="s">
        <v>4526</v>
      </c>
      <c r="BA37" s="9" t="s">
        <v>4526</v>
      </c>
      <c r="BB37" s="9" t="s">
        <v>4526</v>
      </c>
      <c r="BC37" s="9" t="s">
        <v>4526</v>
      </c>
      <c r="BD37" s="9" t="s">
        <v>4526</v>
      </c>
      <c r="BE37" s="9" t="s">
        <v>4526</v>
      </c>
      <c r="BF37" s="9" t="s">
        <v>4527</v>
      </c>
      <c r="BG37" s="9" t="s">
        <v>4531</v>
      </c>
      <c r="BH37" s="9" t="s">
        <v>4526</v>
      </c>
      <c r="BI37" s="9" t="s">
        <v>4531</v>
      </c>
      <c r="BJ37" s="9" t="s">
        <v>4526</v>
      </c>
      <c r="BK37" s="9" t="s">
        <v>4526</v>
      </c>
      <c r="BL37" s="9" t="s">
        <v>4526</v>
      </c>
      <c r="BM37" s="9" t="s">
        <v>4526</v>
      </c>
      <c r="BN37" s="9" t="s">
        <v>4526</v>
      </c>
      <c r="BO37" s="9" t="s">
        <v>4529</v>
      </c>
      <c r="BP37" s="9" t="s">
        <v>4526</v>
      </c>
      <c r="BQ37" s="9" t="s">
        <v>4527</v>
      </c>
      <c r="BR37" s="9" t="s">
        <v>4529</v>
      </c>
      <c r="BS37" s="9" t="s">
        <v>4526</v>
      </c>
      <c r="BT37" s="9" t="s">
        <v>4531</v>
      </c>
      <c r="BU37" s="9" t="s">
        <v>4526</v>
      </c>
      <c r="BV37" s="9" t="s">
        <v>4527</v>
      </c>
      <c r="BW37" s="9" t="s">
        <v>4922</v>
      </c>
      <c r="BY37" s="9" t="s">
        <v>13201</v>
      </c>
      <c r="CA37" s="9" t="s">
        <v>13208</v>
      </c>
      <c r="CC37" s="9" t="s">
        <v>4621</v>
      </c>
      <c r="CE37" s="9" t="s">
        <v>4634</v>
      </c>
      <c r="CF37" s="9" t="s">
        <v>4923</v>
      </c>
      <c r="CG37" s="9" t="s">
        <v>4924</v>
      </c>
      <c r="CH37" s="9" t="s">
        <v>4925</v>
      </c>
      <c r="CI37" s="9" t="s">
        <v>4926</v>
      </c>
      <c r="CJ37" s="9" t="s">
        <v>4927</v>
      </c>
      <c r="CK37" s="9" t="s">
        <v>4928</v>
      </c>
      <c r="CL37" s="9" t="s">
        <v>4929</v>
      </c>
      <c r="CM37" s="9" t="s">
        <v>4930</v>
      </c>
      <c r="CN37" s="9" t="s">
        <v>4931</v>
      </c>
      <c r="CO37" s="9" t="s">
        <v>4932</v>
      </c>
      <c r="CP37" s="9" t="s">
        <v>4933</v>
      </c>
      <c r="CQ37" s="9" t="s">
        <v>4934</v>
      </c>
    </row>
    <row r="38" spans="1:98" ht="51" x14ac:dyDescent="0.2">
      <c r="A38" s="9" t="s">
        <v>150</v>
      </c>
      <c r="B38" s="10">
        <v>45</v>
      </c>
      <c r="C38" s="10" t="s">
        <v>4541</v>
      </c>
      <c r="D38" s="11">
        <v>0.75</v>
      </c>
      <c r="E38" s="11">
        <v>0.25</v>
      </c>
      <c r="H38" s="11">
        <v>0.95</v>
      </c>
      <c r="I38" s="11">
        <v>0.05</v>
      </c>
      <c r="J38" s="11">
        <v>0.31</v>
      </c>
      <c r="K38" s="11">
        <v>0.2</v>
      </c>
      <c r="L38" s="9" t="s">
        <v>4561</v>
      </c>
      <c r="N38" s="9" t="s">
        <v>4826</v>
      </c>
      <c r="X38" s="9" t="s">
        <v>4827</v>
      </c>
      <c r="AB38" s="9" t="s">
        <v>4828</v>
      </c>
      <c r="AG38" s="9" t="s">
        <v>4590</v>
      </c>
      <c r="AH38" s="9" t="s">
        <v>4526</v>
      </c>
      <c r="AI38" s="9" t="s">
        <v>4526</v>
      </c>
      <c r="AJ38" s="9" t="s">
        <v>4527</v>
      </c>
      <c r="AK38" s="9" t="s">
        <v>4528</v>
      </c>
      <c r="AL38" s="9" t="s">
        <v>4527</v>
      </c>
      <c r="AM38" s="9" t="s">
        <v>4526</v>
      </c>
      <c r="AN38" s="9" t="s">
        <v>4526</v>
      </c>
      <c r="AO38" s="9" t="s">
        <v>4526</v>
      </c>
      <c r="AP38" s="9" t="s">
        <v>4526</v>
      </c>
      <c r="AQ38" s="9" t="s">
        <v>4531</v>
      </c>
      <c r="AR38" s="9" t="s">
        <v>4526</v>
      </c>
      <c r="AS38" s="9" t="s">
        <v>4526</v>
      </c>
      <c r="AT38" s="9" t="s">
        <v>4527</v>
      </c>
      <c r="AU38" s="9" t="s">
        <v>4526</v>
      </c>
      <c r="AV38" s="9" t="s">
        <v>4526</v>
      </c>
      <c r="AW38" s="9" t="s">
        <v>4526</v>
      </c>
      <c r="AX38" s="9" t="s">
        <v>4526</v>
      </c>
      <c r="AY38" s="9" t="s">
        <v>4528</v>
      </c>
      <c r="AZ38" s="9" t="s">
        <v>4531</v>
      </c>
      <c r="BA38" s="9" t="s">
        <v>4526</v>
      </c>
      <c r="BB38" s="9" t="s">
        <v>4526</v>
      </c>
      <c r="BC38" s="9" t="s">
        <v>4526</v>
      </c>
      <c r="BD38" s="9" t="s">
        <v>4526</v>
      </c>
      <c r="BE38" s="9" t="s">
        <v>4526</v>
      </c>
      <c r="BF38" s="9" t="s">
        <v>4527</v>
      </c>
      <c r="BG38" s="9" t="s">
        <v>4531</v>
      </c>
      <c r="BH38" s="9" t="s">
        <v>4531</v>
      </c>
      <c r="BI38" s="9" t="s">
        <v>4531</v>
      </c>
      <c r="BJ38" s="9" t="s">
        <v>4526</v>
      </c>
      <c r="BK38" s="9" t="s">
        <v>4526</v>
      </c>
      <c r="BL38" s="9" t="s">
        <v>4526</v>
      </c>
      <c r="BM38" s="9" t="s">
        <v>4531</v>
      </c>
      <c r="BN38" s="9" t="s">
        <v>4527</v>
      </c>
      <c r="BO38" s="9" t="s">
        <v>4527</v>
      </c>
      <c r="BP38" s="9" t="s">
        <v>4526</v>
      </c>
      <c r="BQ38" s="9" t="s">
        <v>4527</v>
      </c>
      <c r="BR38" s="9" t="s">
        <v>4526</v>
      </c>
      <c r="BS38" s="9" t="s">
        <v>4529</v>
      </c>
      <c r="BT38" s="9" t="s">
        <v>4531</v>
      </c>
      <c r="BU38" s="9" t="s">
        <v>4526</v>
      </c>
      <c r="BV38" s="9" t="s">
        <v>4527</v>
      </c>
      <c r="BW38" s="9" t="s">
        <v>13186</v>
      </c>
      <c r="BX38" s="9" t="s">
        <v>4662</v>
      </c>
      <c r="BY38" s="9" t="s">
        <v>4772</v>
      </c>
      <c r="BZ38" s="9" t="s">
        <v>4829</v>
      </c>
      <c r="CA38" s="9" t="s">
        <v>13213</v>
      </c>
      <c r="CB38" s="9" t="s">
        <v>4830</v>
      </c>
      <c r="CC38" s="9" t="s">
        <v>13212</v>
      </c>
      <c r="CD38" s="9" t="s">
        <v>4830</v>
      </c>
      <c r="CE38" s="9" t="s">
        <v>4197</v>
      </c>
      <c r="CO38" s="9" t="s">
        <v>4831</v>
      </c>
      <c r="CP38" s="9" t="s">
        <v>4832</v>
      </c>
      <c r="CQ38" s="9" t="s">
        <v>4833</v>
      </c>
    </row>
    <row r="39" spans="1:98" ht="102" x14ac:dyDescent="0.2">
      <c r="A39" s="9" t="s">
        <v>135</v>
      </c>
      <c r="B39" s="10">
        <v>48</v>
      </c>
      <c r="C39" s="10" t="s">
        <v>4521</v>
      </c>
      <c r="D39" s="11">
        <v>0.73</v>
      </c>
      <c r="E39" s="11">
        <v>0.27</v>
      </c>
      <c r="G39" s="11">
        <v>0</v>
      </c>
      <c r="H39" s="11">
        <v>0.94</v>
      </c>
      <c r="I39" s="11">
        <v>0.06</v>
      </c>
      <c r="J39" s="11">
        <v>0.27</v>
      </c>
      <c r="K39" s="11">
        <v>0.28000000000000003</v>
      </c>
      <c r="L39" s="9" t="s">
        <v>13167</v>
      </c>
      <c r="M39" s="9" t="s">
        <v>4693</v>
      </c>
      <c r="T39" s="9" t="s">
        <v>4694</v>
      </c>
      <c r="X39" s="9" t="s">
        <v>4732</v>
      </c>
      <c r="AD39" s="9" t="s">
        <v>4695</v>
      </c>
      <c r="AG39" s="9" t="s">
        <v>4590</v>
      </c>
      <c r="AH39" s="9" t="s">
        <v>4526</v>
      </c>
      <c r="AI39" s="9" t="s">
        <v>4526</v>
      </c>
      <c r="AJ39" s="9" t="s">
        <v>4527</v>
      </c>
      <c r="AK39" s="9" t="s">
        <v>4526</v>
      </c>
      <c r="AL39" s="9" t="s">
        <v>4527</v>
      </c>
      <c r="AM39" s="9" t="s">
        <v>4526</v>
      </c>
      <c r="AN39" s="9" t="s">
        <v>4526</v>
      </c>
      <c r="AO39" s="9" t="s">
        <v>4526</v>
      </c>
      <c r="AP39" s="9" t="s">
        <v>4526</v>
      </c>
      <c r="AQ39" s="9" t="s">
        <v>4526</v>
      </c>
      <c r="AR39" s="9" t="s">
        <v>4527</v>
      </c>
      <c r="AS39" s="9" t="s">
        <v>4526</v>
      </c>
      <c r="AT39" s="9" t="s">
        <v>4527</v>
      </c>
      <c r="AU39" s="9" t="s">
        <v>4530</v>
      </c>
      <c r="AV39" s="9" t="s">
        <v>4526</v>
      </c>
      <c r="AW39" s="9" t="s">
        <v>4526</v>
      </c>
      <c r="AX39" s="9" t="s">
        <v>4526</v>
      </c>
      <c r="AY39" s="9" t="s">
        <v>4526</v>
      </c>
      <c r="AZ39" s="9" t="s">
        <v>4531</v>
      </c>
      <c r="BA39" s="9" t="s">
        <v>4526</v>
      </c>
      <c r="BB39" s="9" t="s">
        <v>4526</v>
      </c>
      <c r="BC39" s="9" t="s">
        <v>4526</v>
      </c>
      <c r="BD39" s="9" t="s">
        <v>4526</v>
      </c>
      <c r="BE39" s="9" t="s">
        <v>4526</v>
      </c>
      <c r="BF39" s="9" t="s">
        <v>4526</v>
      </c>
      <c r="BG39" s="9" t="s">
        <v>4526</v>
      </c>
      <c r="BH39" s="9" t="s">
        <v>4526</v>
      </c>
      <c r="BI39" s="9" t="s">
        <v>4526</v>
      </c>
      <c r="BJ39" s="9" t="s">
        <v>4526</v>
      </c>
      <c r="BK39" s="9" t="s">
        <v>4526</v>
      </c>
      <c r="BL39" s="9" t="s">
        <v>4531</v>
      </c>
      <c r="BM39" s="9" t="s">
        <v>4531</v>
      </c>
      <c r="BN39" s="9" t="s">
        <v>4526</v>
      </c>
      <c r="BO39" s="9" t="s">
        <v>4528</v>
      </c>
      <c r="BP39" s="9" t="s">
        <v>4526</v>
      </c>
      <c r="BQ39" s="9" t="s">
        <v>4526</v>
      </c>
      <c r="BR39" s="9" t="s">
        <v>4528</v>
      </c>
      <c r="BS39" s="9" t="s">
        <v>4528</v>
      </c>
      <c r="BT39" s="9" t="s">
        <v>4527</v>
      </c>
      <c r="BU39" s="9" t="s">
        <v>4526</v>
      </c>
      <c r="BV39" s="9" t="s">
        <v>4527</v>
      </c>
      <c r="BW39" s="9" t="s">
        <v>4696</v>
      </c>
      <c r="BX39" s="9" t="s">
        <v>4697</v>
      </c>
      <c r="BY39" s="9" t="s">
        <v>13197</v>
      </c>
      <c r="CA39" s="9" t="s">
        <v>4698</v>
      </c>
      <c r="CC39" s="9" t="s">
        <v>4621</v>
      </c>
      <c r="CE39" s="9" t="s">
        <v>4535</v>
      </c>
      <c r="CO39" s="9" t="s">
        <v>4699</v>
      </c>
      <c r="CP39" s="9" t="s">
        <v>4700</v>
      </c>
      <c r="CQ39" s="9" t="s">
        <v>13769</v>
      </c>
      <c r="CR39" s="9" t="s">
        <v>4701</v>
      </c>
      <c r="CS39" s="9" t="s">
        <v>4702</v>
      </c>
      <c r="CT39" s="9" t="s">
        <v>4703</v>
      </c>
    </row>
    <row r="40" spans="1:98" ht="38.25" x14ac:dyDescent="0.2">
      <c r="A40" s="9" t="s">
        <v>137</v>
      </c>
      <c r="B40" s="10">
        <v>47</v>
      </c>
      <c r="C40" s="10" t="s">
        <v>4541</v>
      </c>
      <c r="D40" s="11">
        <v>0.68</v>
      </c>
      <c r="E40" s="11">
        <v>0.32</v>
      </c>
      <c r="H40" s="11">
        <v>0.81</v>
      </c>
      <c r="I40" s="11">
        <v>0.19</v>
      </c>
      <c r="J40" s="11">
        <v>0.24</v>
      </c>
      <c r="K40" s="11">
        <v>0.28000000000000003</v>
      </c>
      <c r="L40" s="9" t="s">
        <v>13168</v>
      </c>
      <c r="S40" s="9" t="s">
        <v>4706</v>
      </c>
      <c r="U40" s="9" t="s">
        <v>4707</v>
      </c>
      <c r="W40" s="9" t="s">
        <v>4708</v>
      </c>
      <c r="X40" s="9" t="s">
        <v>13756</v>
      </c>
      <c r="AD40" s="9" t="s">
        <v>13764</v>
      </c>
      <c r="AG40" s="9" t="s">
        <v>4525</v>
      </c>
      <c r="AH40" s="9" t="s">
        <v>4526</v>
      </c>
      <c r="AI40" s="9" t="s">
        <v>4526</v>
      </c>
      <c r="AJ40" s="9" t="s">
        <v>4530</v>
      </c>
      <c r="AK40" s="9" t="s">
        <v>4526</v>
      </c>
      <c r="AL40" s="9" t="s">
        <v>4527</v>
      </c>
      <c r="AM40" s="9" t="s">
        <v>4526</v>
      </c>
      <c r="AN40" s="9" t="s">
        <v>4531</v>
      </c>
      <c r="AO40" s="9" t="s">
        <v>4526</v>
      </c>
      <c r="AP40" s="9" t="s">
        <v>4526</v>
      </c>
      <c r="AQ40" s="9" t="s">
        <v>4526</v>
      </c>
      <c r="AR40" s="9" t="s">
        <v>4527</v>
      </c>
      <c r="AS40" s="9" t="s">
        <v>4526</v>
      </c>
      <c r="AT40" s="9" t="s">
        <v>4527</v>
      </c>
      <c r="AU40" s="9" t="s">
        <v>4530</v>
      </c>
      <c r="AV40" s="9" t="s">
        <v>4526</v>
      </c>
      <c r="AW40" s="9" t="s">
        <v>4526</v>
      </c>
      <c r="AX40" s="9" t="s">
        <v>4526</v>
      </c>
      <c r="AY40" s="9" t="s">
        <v>4526</v>
      </c>
      <c r="AZ40" s="9" t="s">
        <v>4531</v>
      </c>
      <c r="BA40" s="9" t="s">
        <v>4526</v>
      </c>
      <c r="BB40" s="9" t="s">
        <v>4526</v>
      </c>
      <c r="BC40" s="9" t="s">
        <v>4526</v>
      </c>
      <c r="BD40" s="9" t="s">
        <v>4526</v>
      </c>
      <c r="BE40" s="9" t="s">
        <v>4526</v>
      </c>
      <c r="BF40" s="9" t="s">
        <v>4526</v>
      </c>
      <c r="BG40" s="9" t="s">
        <v>4526</v>
      </c>
      <c r="BH40" s="9" t="s">
        <v>4531</v>
      </c>
      <c r="BI40" s="9" t="s">
        <v>4526</v>
      </c>
      <c r="BJ40" s="9" t="s">
        <v>4526</v>
      </c>
      <c r="BK40" s="9" t="s">
        <v>4526</v>
      </c>
      <c r="BL40" s="9" t="s">
        <v>4526</v>
      </c>
      <c r="BM40" s="9" t="s">
        <v>4531</v>
      </c>
      <c r="BN40" s="9" t="s">
        <v>4526</v>
      </c>
      <c r="BO40" s="9" t="s">
        <v>4531</v>
      </c>
      <c r="BP40" s="9" t="s">
        <v>4526</v>
      </c>
      <c r="BQ40" s="9" t="s">
        <v>4527</v>
      </c>
      <c r="BR40" s="9" t="s">
        <v>4530</v>
      </c>
      <c r="BS40" s="9" t="s">
        <v>4530</v>
      </c>
      <c r="BT40" s="9" t="s">
        <v>4527</v>
      </c>
      <c r="BU40" s="9" t="s">
        <v>4526</v>
      </c>
      <c r="BV40" s="9" t="s">
        <v>4527</v>
      </c>
      <c r="BW40" s="9" t="s">
        <v>13173</v>
      </c>
      <c r="BY40" s="9" t="s">
        <v>13199</v>
      </c>
      <c r="CA40" s="9" t="s">
        <v>13209</v>
      </c>
      <c r="CC40" s="9" t="s">
        <v>13209</v>
      </c>
      <c r="CE40" s="9" t="s">
        <v>4550</v>
      </c>
      <c r="CL40" s="9" t="s">
        <v>4709</v>
      </c>
      <c r="CO40" s="9" t="s">
        <v>4710</v>
      </c>
    </row>
    <row r="41" spans="1:98" ht="38.25" x14ac:dyDescent="0.2">
      <c r="A41" s="9" t="s">
        <v>142</v>
      </c>
      <c r="B41" s="10">
        <v>47</v>
      </c>
      <c r="C41" s="10" t="s">
        <v>4556</v>
      </c>
      <c r="D41" s="11">
        <v>0.8</v>
      </c>
      <c r="E41" s="11">
        <v>0.2</v>
      </c>
      <c r="F41" s="11">
        <v>0</v>
      </c>
      <c r="G41" s="11">
        <v>0</v>
      </c>
      <c r="H41" s="11">
        <v>0.77</v>
      </c>
      <c r="I41" s="11">
        <v>0.23</v>
      </c>
      <c r="J41" s="11">
        <v>0.32</v>
      </c>
      <c r="K41" s="11">
        <v>0.61</v>
      </c>
      <c r="L41" s="9" t="s">
        <v>4561</v>
      </c>
      <c r="X41" s="9" t="s">
        <v>4756</v>
      </c>
      <c r="AA41" s="9" t="s">
        <v>4757</v>
      </c>
      <c r="AC41" s="9" t="s">
        <v>4758</v>
      </c>
      <c r="AD41" s="9" t="s">
        <v>4759</v>
      </c>
      <c r="AG41" s="9" t="s">
        <v>4590</v>
      </c>
      <c r="AH41" s="9" t="s">
        <v>4526</v>
      </c>
      <c r="AI41" s="9" t="s">
        <v>4526</v>
      </c>
      <c r="AJ41" s="9" t="s">
        <v>4527</v>
      </c>
      <c r="AK41" s="9" t="s">
        <v>4526</v>
      </c>
      <c r="AL41" s="9" t="s">
        <v>4527</v>
      </c>
      <c r="AM41" s="9" t="s">
        <v>4526</v>
      </c>
      <c r="AN41" s="9" t="s">
        <v>4531</v>
      </c>
      <c r="AO41" s="9" t="s">
        <v>4526</v>
      </c>
      <c r="AP41" s="9" t="s">
        <v>4526</v>
      </c>
      <c r="AQ41" s="9" t="s">
        <v>4531</v>
      </c>
      <c r="AR41" s="9" t="s">
        <v>4526</v>
      </c>
      <c r="AS41" s="9" t="s">
        <v>4526</v>
      </c>
      <c r="AT41" s="9" t="s">
        <v>4527</v>
      </c>
      <c r="AU41" s="9" t="s">
        <v>4526</v>
      </c>
      <c r="AV41" s="9" t="s">
        <v>4526</v>
      </c>
      <c r="AW41" s="9" t="s">
        <v>4526</v>
      </c>
      <c r="AX41" s="9" t="s">
        <v>4526</v>
      </c>
      <c r="AY41" s="9" t="s">
        <v>4526</v>
      </c>
      <c r="AZ41" s="9" t="s">
        <v>4531</v>
      </c>
      <c r="BA41" s="9" t="s">
        <v>4526</v>
      </c>
      <c r="BB41" s="9" t="s">
        <v>4526</v>
      </c>
      <c r="BC41" s="9" t="s">
        <v>4526</v>
      </c>
      <c r="BD41" s="9" t="s">
        <v>4526</v>
      </c>
      <c r="BE41" s="9" t="s">
        <v>4526</v>
      </c>
      <c r="BF41" s="9" t="s">
        <v>4526</v>
      </c>
      <c r="BG41" s="9" t="s">
        <v>4531</v>
      </c>
      <c r="BH41" s="9" t="s">
        <v>4526</v>
      </c>
      <c r="BI41" s="9" t="s">
        <v>4531</v>
      </c>
      <c r="BJ41" s="9" t="s">
        <v>4526</v>
      </c>
      <c r="BK41" s="9" t="s">
        <v>4526</v>
      </c>
      <c r="BL41" s="9" t="s">
        <v>4526</v>
      </c>
      <c r="BM41" s="9" t="s">
        <v>4531</v>
      </c>
      <c r="BN41" s="9" t="s">
        <v>4529</v>
      </c>
      <c r="BO41" s="9" t="s">
        <v>4527</v>
      </c>
      <c r="BP41" s="9" t="s">
        <v>4526</v>
      </c>
      <c r="BQ41" s="9" t="s">
        <v>4527</v>
      </c>
      <c r="BR41" s="9" t="s">
        <v>4529</v>
      </c>
      <c r="BS41" s="9" t="s">
        <v>4529</v>
      </c>
      <c r="BT41" s="9" t="s">
        <v>4527</v>
      </c>
      <c r="BU41" s="9" t="s">
        <v>4526</v>
      </c>
      <c r="BV41" s="9" t="s">
        <v>4527</v>
      </c>
      <c r="BW41" s="9" t="s">
        <v>4591</v>
      </c>
      <c r="BY41" s="9" t="s">
        <v>4591</v>
      </c>
      <c r="CA41" s="9" t="s">
        <v>13208</v>
      </c>
      <c r="CC41" s="9" t="s">
        <v>13210</v>
      </c>
      <c r="CE41" s="9" t="s">
        <v>13217</v>
      </c>
      <c r="CF41" s="9" t="s">
        <v>4760</v>
      </c>
      <c r="CG41" s="9" t="s">
        <v>4761</v>
      </c>
      <c r="CI41" s="9" t="s">
        <v>4762</v>
      </c>
      <c r="CJ41" s="9" t="s">
        <v>4763</v>
      </c>
      <c r="CK41" s="9" t="s">
        <v>4764</v>
      </c>
      <c r="CO41" s="9" t="s">
        <v>4765</v>
      </c>
      <c r="CP41" s="9" t="s">
        <v>4766</v>
      </c>
      <c r="CQ41" s="9" t="s">
        <v>4767</v>
      </c>
    </row>
    <row r="42" spans="1:98" ht="76.5" x14ac:dyDescent="0.2">
      <c r="A42" s="9" t="s">
        <v>161</v>
      </c>
      <c r="B42" s="10">
        <v>43</v>
      </c>
      <c r="C42" s="10" t="s">
        <v>4541</v>
      </c>
      <c r="D42" s="11">
        <v>0.78</v>
      </c>
      <c r="E42" s="11">
        <v>0.22</v>
      </c>
      <c r="F42" s="11"/>
      <c r="H42" s="11">
        <v>0.9</v>
      </c>
      <c r="I42" s="11">
        <v>0.1</v>
      </c>
      <c r="J42" s="11">
        <v>0.44</v>
      </c>
      <c r="K42" s="11">
        <v>0.69</v>
      </c>
      <c r="L42" s="9" t="s">
        <v>4557</v>
      </c>
      <c r="N42" s="9" t="s">
        <v>4957</v>
      </c>
      <c r="O42" s="9" t="s">
        <v>4958</v>
      </c>
      <c r="P42" s="9" t="s">
        <v>4959</v>
      </c>
      <c r="S42" s="9" t="s">
        <v>4960</v>
      </c>
      <c r="W42" s="9" t="s">
        <v>4961</v>
      </c>
      <c r="AA42" s="9" t="s">
        <v>4962</v>
      </c>
      <c r="AB42" s="9" t="s">
        <v>4963</v>
      </c>
      <c r="AD42" s="9" t="s">
        <v>4964</v>
      </c>
      <c r="AF42" s="9" t="s">
        <v>4965</v>
      </c>
      <c r="AG42" s="9" t="s">
        <v>4525</v>
      </c>
      <c r="AH42" s="9" t="s">
        <v>4526</v>
      </c>
      <c r="AI42" s="9" t="s">
        <v>4526</v>
      </c>
      <c r="AJ42" s="9" t="s">
        <v>4527</v>
      </c>
      <c r="AK42" s="9" t="s">
        <v>4531</v>
      </c>
      <c r="AL42" s="9" t="s">
        <v>4527</v>
      </c>
      <c r="AM42" s="9" t="s">
        <v>4526</v>
      </c>
      <c r="AN42" s="9" t="s">
        <v>4526</v>
      </c>
      <c r="AO42" s="9" t="s">
        <v>4526</v>
      </c>
      <c r="AP42" s="9" t="s">
        <v>4526</v>
      </c>
      <c r="AQ42" s="9" t="s">
        <v>4531</v>
      </c>
      <c r="AR42" s="9" t="s">
        <v>4526</v>
      </c>
      <c r="AS42" s="9" t="s">
        <v>4526</v>
      </c>
      <c r="AT42" s="9" t="s">
        <v>4527</v>
      </c>
      <c r="AU42" s="9" t="s">
        <v>4530</v>
      </c>
      <c r="AV42" s="9" t="s">
        <v>4526</v>
      </c>
      <c r="AW42" s="9" t="s">
        <v>4526</v>
      </c>
      <c r="AX42" s="9" t="s">
        <v>4528</v>
      </c>
      <c r="AY42" s="9" t="s">
        <v>4529</v>
      </c>
      <c r="AZ42" s="9" t="s">
        <v>4531</v>
      </c>
      <c r="BA42" s="9" t="s">
        <v>4526</v>
      </c>
      <c r="BB42" s="9" t="s">
        <v>4526</v>
      </c>
      <c r="BC42" s="9" t="s">
        <v>4526</v>
      </c>
      <c r="BD42" s="9" t="s">
        <v>4526</v>
      </c>
      <c r="BE42" s="9" t="s">
        <v>4526</v>
      </c>
      <c r="BF42" s="9" t="s">
        <v>4527</v>
      </c>
      <c r="BG42" s="9" t="s">
        <v>4526</v>
      </c>
      <c r="BH42" s="9" t="s">
        <v>4526</v>
      </c>
      <c r="BI42" s="9" t="s">
        <v>4531</v>
      </c>
      <c r="BJ42" s="9" t="s">
        <v>4526</v>
      </c>
      <c r="BK42" s="9" t="s">
        <v>4526</v>
      </c>
      <c r="BL42" s="9" t="s">
        <v>4526</v>
      </c>
      <c r="BM42" s="9" t="s">
        <v>4531</v>
      </c>
      <c r="BN42" s="9" t="s">
        <v>4529</v>
      </c>
      <c r="BO42" s="9" t="s">
        <v>4527</v>
      </c>
      <c r="BP42" s="9" t="s">
        <v>4526</v>
      </c>
      <c r="BQ42" s="9" t="s">
        <v>4527</v>
      </c>
      <c r="BR42" s="9" t="s">
        <v>4527</v>
      </c>
      <c r="BS42" s="9" t="s">
        <v>4530</v>
      </c>
      <c r="BT42" s="9" t="s">
        <v>4527</v>
      </c>
      <c r="BU42" s="9" t="s">
        <v>4529</v>
      </c>
      <c r="BV42" s="9" t="s">
        <v>4527</v>
      </c>
      <c r="BW42" s="9" t="s">
        <v>13189</v>
      </c>
      <c r="BY42" s="9" t="s">
        <v>13202</v>
      </c>
      <c r="CA42" s="9" t="s">
        <v>13208</v>
      </c>
      <c r="CC42" s="9" t="s">
        <v>13208</v>
      </c>
      <c r="CE42" s="9" t="s">
        <v>13218</v>
      </c>
      <c r="CF42" s="9" t="s">
        <v>4966</v>
      </c>
      <c r="CI42" s="9" t="s">
        <v>4967</v>
      </c>
      <c r="CJ42" s="9" t="s">
        <v>4968</v>
      </c>
      <c r="CO42" s="9" t="s">
        <v>4969</v>
      </c>
      <c r="CR42" s="9" t="s">
        <v>4970</v>
      </c>
      <c r="CS42" s="9" t="s">
        <v>4971</v>
      </c>
      <c r="CT42" s="9" t="s">
        <v>4972</v>
      </c>
    </row>
    <row r="43" spans="1:98" ht="25.5" x14ac:dyDescent="0.2">
      <c r="A43" s="9" t="s">
        <v>163</v>
      </c>
      <c r="B43" s="10">
        <v>41</v>
      </c>
      <c r="C43" s="10" t="s">
        <v>4541</v>
      </c>
      <c r="D43" s="11">
        <v>0.81</v>
      </c>
      <c r="E43" s="11">
        <v>0.19</v>
      </c>
      <c r="F43" s="11"/>
      <c r="H43" s="11">
        <v>0.57999999999999996</v>
      </c>
      <c r="I43" s="11">
        <v>0.42</v>
      </c>
      <c r="J43" s="11">
        <v>0.45</v>
      </c>
      <c r="K43" s="11">
        <v>0.42</v>
      </c>
      <c r="L43" s="9" t="s">
        <v>4614</v>
      </c>
      <c r="S43" s="9" t="s">
        <v>4983</v>
      </c>
      <c r="U43" s="9" t="s">
        <v>4984</v>
      </c>
      <c r="AD43" s="9" t="s">
        <v>4985</v>
      </c>
      <c r="AG43" s="9" t="s">
        <v>4590</v>
      </c>
      <c r="AH43" s="9" t="s">
        <v>4526</v>
      </c>
      <c r="AI43" s="9" t="s">
        <v>4526</v>
      </c>
      <c r="AJ43" s="9" t="s">
        <v>4531</v>
      </c>
      <c r="AK43" s="9" t="s">
        <v>4531</v>
      </c>
      <c r="AL43" s="9" t="s">
        <v>4526</v>
      </c>
      <c r="AM43" s="9" t="s">
        <v>4526</v>
      </c>
      <c r="AN43" s="9" t="s">
        <v>4531</v>
      </c>
      <c r="AO43" s="9" t="s">
        <v>4526</v>
      </c>
      <c r="AP43" s="9" t="s">
        <v>4526</v>
      </c>
      <c r="AQ43" s="9" t="s">
        <v>4526</v>
      </c>
      <c r="AR43" s="9" t="s">
        <v>4531</v>
      </c>
      <c r="AS43" s="9" t="s">
        <v>4526</v>
      </c>
      <c r="AT43" s="9" t="s">
        <v>4526</v>
      </c>
      <c r="AU43" s="9" t="s">
        <v>4526</v>
      </c>
      <c r="AV43" s="9" t="s">
        <v>4526</v>
      </c>
      <c r="AW43" s="9" t="s">
        <v>4526</v>
      </c>
      <c r="AX43" s="9" t="s">
        <v>4526</v>
      </c>
      <c r="AY43" s="9" t="s">
        <v>4526</v>
      </c>
      <c r="AZ43" s="9" t="s">
        <v>4531</v>
      </c>
      <c r="BA43" s="9" t="s">
        <v>4526</v>
      </c>
      <c r="BB43" s="9" t="s">
        <v>4526</v>
      </c>
      <c r="BC43" s="9" t="s">
        <v>4526</v>
      </c>
      <c r="BD43" s="9" t="s">
        <v>4526</v>
      </c>
      <c r="BE43" s="9" t="s">
        <v>4526</v>
      </c>
      <c r="BF43" s="9" t="s">
        <v>4527</v>
      </c>
      <c r="BG43" s="9" t="s">
        <v>4527</v>
      </c>
      <c r="BH43" s="9" t="s">
        <v>4527</v>
      </c>
      <c r="BI43" s="9" t="s">
        <v>4527</v>
      </c>
      <c r="BJ43" s="9" t="s">
        <v>4526</v>
      </c>
      <c r="BK43" s="9" t="s">
        <v>4526</v>
      </c>
      <c r="BL43" s="9" t="s">
        <v>4526</v>
      </c>
      <c r="BM43" s="9" t="s">
        <v>4526</v>
      </c>
      <c r="BN43" s="9" t="s">
        <v>4526</v>
      </c>
      <c r="BO43" s="9" t="s">
        <v>4527</v>
      </c>
      <c r="BP43" s="9" t="s">
        <v>4527</v>
      </c>
      <c r="BQ43" s="9" t="s">
        <v>4526</v>
      </c>
      <c r="BR43" s="9" t="s">
        <v>4526</v>
      </c>
      <c r="BS43" s="9" t="s">
        <v>4526</v>
      </c>
      <c r="BT43" s="9" t="s">
        <v>4527</v>
      </c>
      <c r="BU43" s="9" t="s">
        <v>4526</v>
      </c>
      <c r="BV43" s="9" t="s">
        <v>4526</v>
      </c>
      <c r="BW43" s="9" t="s">
        <v>4777</v>
      </c>
      <c r="BY43" s="9" t="s">
        <v>4777</v>
      </c>
      <c r="CA43" s="9" t="s">
        <v>13209</v>
      </c>
      <c r="CC43" s="9" t="s">
        <v>13209</v>
      </c>
      <c r="CE43" s="9" t="s">
        <v>4657</v>
      </c>
      <c r="CF43" s="9" t="s">
        <v>4986</v>
      </c>
      <c r="CG43" s="9" t="s">
        <v>4987</v>
      </c>
      <c r="CO43" s="9" t="s">
        <v>4988</v>
      </c>
      <c r="CP43" s="9" t="s">
        <v>4333</v>
      </c>
      <c r="CQ43" s="9" t="s">
        <v>4989</v>
      </c>
    </row>
    <row r="44" spans="1:98" ht="89.25" x14ac:dyDescent="0.2">
      <c r="A44" s="9" t="s">
        <v>165</v>
      </c>
      <c r="B44" s="10">
        <v>48</v>
      </c>
      <c r="C44" s="10" t="s">
        <v>4521</v>
      </c>
      <c r="D44" s="11">
        <v>0.73</v>
      </c>
      <c r="E44" s="11">
        <v>0.27</v>
      </c>
      <c r="F44" s="11"/>
      <c r="G44" s="11">
        <v>0</v>
      </c>
      <c r="H44" s="11">
        <v>0.75</v>
      </c>
      <c r="I44" s="11">
        <v>0.25</v>
      </c>
      <c r="J44" s="11">
        <v>0.23</v>
      </c>
      <c r="K44" s="11">
        <v>0.56999999999999995</v>
      </c>
      <c r="L44" s="9" t="s">
        <v>4557</v>
      </c>
      <c r="AG44" s="9" t="s">
        <v>4590</v>
      </c>
      <c r="AH44" s="9" t="s">
        <v>4526</v>
      </c>
      <c r="AI44" s="9" t="s">
        <v>4526</v>
      </c>
      <c r="AJ44" s="9" t="s">
        <v>4527</v>
      </c>
      <c r="AK44" s="9" t="s">
        <v>4526</v>
      </c>
      <c r="AL44" s="9" t="s">
        <v>4527</v>
      </c>
      <c r="AM44" s="9" t="s">
        <v>4527</v>
      </c>
      <c r="AN44" s="9" t="s">
        <v>4527</v>
      </c>
      <c r="AO44" s="9" t="s">
        <v>4526</v>
      </c>
      <c r="AP44" s="9" t="s">
        <v>4526</v>
      </c>
      <c r="AQ44" s="9" t="s">
        <v>4531</v>
      </c>
      <c r="AR44" s="9" t="s">
        <v>4526</v>
      </c>
      <c r="AS44" s="9" t="s">
        <v>4526</v>
      </c>
      <c r="AT44" s="9" t="s">
        <v>4527</v>
      </c>
      <c r="AU44" s="9" t="s">
        <v>4529</v>
      </c>
      <c r="AV44" s="9" t="s">
        <v>4526</v>
      </c>
      <c r="AW44" s="9" t="s">
        <v>4526</v>
      </c>
      <c r="AX44" s="9" t="s">
        <v>4526</v>
      </c>
      <c r="AY44" s="9" t="s">
        <v>4529</v>
      </c>
      <c r="AZ44" s="9" t="s">
        <v>4531</v>
      </c>
      <c r="BA44" s="9" t="s">
        <v>4526</v>
      </c>
      <c r="BB44" s="9" t="s">
        <v>4526</v>
      </c>
      <c r="BC44" s="9" t="s">
        <v>4526</v>
      </c>
      <c r="BD44" s="9" t="s">
        <v>4526</v>
      </c>
      <c r="BE44" s="9" t="s">
        <v>4526</v>
      </c>
      <c r="BF44" s="9" t="s">
        <v>4527</v>
      </c>
      <c r="BG44" s="9" t="s">
        <v>4531</v>
      </c>
      <c r="BH44" s="9" t="s">
        <v>4531</v>
      </c>
      <c r="BI44" s="9" t="s">
        <v>4531</v>
      </c>
      <c r="BJ44" s="9" t="s">
        <v>4530</v>
      </c>
      <c r="BK44" s="9" t="s">
        <v>4530</v>
      </c>
      <c r="BL44" s="9" t="s">
        <v>4530</v>
      </c>
      <c r="BM44" s="9" t="s">
        <v>4530</v>
      </c>
      <c r="BN44" s="9" t="s">
        <v>4527</v>
      </c>
      <c r="BO44" s="9" t="s">
        <v>4531</v>
      </c>
      <c r="BP44" s="9" t="s">
        <v>4530</v>
      </c>
      <c r="BQ44" s="9" t="s">
        <v>4527</v>
      </c>
      <c r="BR44" s="9" t="s">
        <v>4527</v>
      </c>
      <c r="BS44" s="9" t="s">
        <v>4529</v>
      </c>
      <c r="BT44" s="9" t="s">
        <v>4527</v>
      </c>
      <c r="BU44" s="9" t="s">
        <v>4531</v>
      </c>
      <c r="BV44" s="9" t="s">
        <v>4527</v>
      </c>
      <c r="BW44" s="9" t="s">
        <v>4687</v>
      </c>
      <c r="BX44" s="9" t="s">
        <v>4991</v>
      </c>
      <c r="BY44" s="9" t="s">
        <v>4777</v>
      </c>
      <c r="CA44" s="9" t="s">
        <v>13209</v>
      </c>
      <c r="CC44" s="9" t="s">
        <v>13209</v>
      </c>
      <c r="CE44" s="9" t="s">
        <v>4550</v>
      </c>
      <c r="CL44" s="9" t="s">
        <v>4992</v>
      </c>
      <c r="CM44" s="9" t="s">
        <v>4993</v>
      </c>
      <c r="CN44" s="9" t="s">
        <v>4994</v>
      </c>
      <c r="CO44" s="9" t="s">
        <v>4995</v>
      </c>
      <c r="CP44" s="9" t="s">
        <v>4996</v>
      </c>
      <c r="CQ44" s="9" t="s">
        <v>4997</v>
      </c>
    </row>
    <row r="45" spans="1:98" ht="89.25" x14ac:dyDescent="0.2">
      <c r="A45" s="9" t="s">
        <v>129</v>
      </c>
      <c r="B45" s="10">
        <v>45</v>
      </c>
      <c r="C45" s="10" t="s">
        <v>4541</v>
      </c>
      <c r="D45" s="11">
        <v>0.72</v>
      </c>
      <c r="E45" s="11">
        <v>0.28000000000000003</v>
      </c>
      <c r="H45" s="11">
        <v>0.8</v>
      </c>
      <c r="I45" s="11">
        <v>0.2</v>
      </c>
      <c r="J45" s="11">
        <v>0.33</v>
      </c>
      <c r="K45" s="11">
        <v>0.25</v>
      </c>
      <c r="L45" s="9" t="s">
        <v>4639</v>
      </c>
      <c r="M45" s="9" t="s">
        <v>4640</v>
      </c>
      <c r="O45" s="9" t="s">
        <v>4641</v>
      </c>
      <c r="S45" s="9" t="s">
        <v>4642</v>
      </c>
      <c r="U45" s="9" t="s">
        <v>4643</v>
      </c>
      <c r="AA45" s="9" t="s">
        <v>4644</v>
      </c>
      <c r="AD45" s="9" t="s">
        <v>4645</v>
      </c>
      <c r="AF45" s="9" t="s">
        <v>4646</v>
      </c>
      <c r="AG45" s="9" t="s">
        <v>4525</v>
      </c>
      <c r="AH45" s="9" t="s">
        <v>4526</v>
      </c>
      <c r="AI45" s="9" t="s">
        <v>4526</v>
      </c>
      <c r="AJ45" s="9" t="s">
        <v>4526</v>
      </c>
      <c r="AK45" s="9" t="s">
        <v>4531</v>
      </c>
      <c r="AL45" s="9" t="s">
        <v>4529</v>
      </c>
      <c r="AM45" s="9" t="s">
        <v>4529</v>
      </c>
      <c r="AN45" s="9" t="s">
        <v>4526</v>
      </c>
      <c r="AO45" s="9" t="s">
        <v>4526</v>
      </c>
      <c r="AP45" s="9" t="s">
        <v>4526</v>
      </c>
      <c r="AQ45" s="9" t="s">
        <v>4531</v>
      </c>
      <c r="AR45" s="9" t="s">
        <v>4526</v>
      </c>
      <c r="AS45" s="9" t="s">
        <v>4526</v>
      </c>
      <c r="AT45" s="9" t="s">
        <v>4527</v>
      </c>
      <c r="AU45" s="9" t="s">
        <v>4526</v>
      </c>
      <c r="AV45" s="9" t="s">
        <v>4526</v>
      </c>
      <c r="AW45" s="9" t="s">
        <v>4526</v>
      </c>
      <c r="AX45" s="9" t="s">
        <v>4526</v>
      </c>
      <c r="AY45" s="9" t="s">
        <v>4526</v>
      </c>
      <c r="AZ45" s="9" t="s">
        <v>4531</v>
      </c>
      <c r="BA45" s="9" t="s">
        <v>4526</v>
      </c>
      <c r="BB45" s="9" t="s">
        <v>4526</v>
      </c>
      <c r="BC45" s="9" t="s">
        <v>4526</v>
      </c>
      <c r="BD45" s="9" t="s">
        <v>4526</v>
      </c>
      <c r="BE45" s="9" t="s">
        <v>4526</v>
      </c>
      <c r="BF45" s="9" t="s">
        <v>4526</v>
      </c>
      <c r="BG45" s="9" t="s">
        <v>4526</v>
      </c>
      <c r="BH45" s="9" t="s">
        <v>4531</v>
      </c>
      <c r="BI45" s="9" t="s">
        <v>4531</v>
      </c>
      <c r="BJ45" s="9" t="s">
        <v>4526</v>
      </c>
      <c r="BK45" s="9" t="s">
        <v>4526</v>
      </c>
      <c r="BL45" s="9" t="s">
        <v>4526</v>
      </c>
      <c r="BM45" s="9" t="s">
        <v>4531</v>
      </c>
      <c r="BN45" s="9" t="s">
        <v>4526</v>
      </c>
      <c r="BO45" s="9" t="s">
        <v>4531</v>
      </c>
      <c r="BP45" s="9" t="s">
        <v>4526</v>
      </c>
      <c r="BQ45" s="9" t="s">
        <v>4529</v>
      </c>
      <c r="BR45" s="9" t="s">
        <v>4526</v>
      </c>
      <c r="BS45" s="9" t="s">
        <v>4526</v>
      </c>
      <c r="BT45" s="9" t="s">
        <v>4526</v>
      </c>
      <c r="BU45" s="9" t="s">
        <v>4526</v>
      </c>
      <c r="BV45" s="9" t="s">
        <v>4527</v>
      </c>
      <c r="BW45" s="9" t="s">
        <v>13178</v>
      </c>
      <c r="BY45" s="9" t="s">
        <v>13192</v>
      </c>
      <c r="CA45" s="9" t="s">
        <v>13207</v>
      </c>
      <c r="CB45" s="9" t="s">
        <v>4647</v>
      </c>
      <c r="CC45" s="9" t="s">
        <v>13215</v>
      </c>
      <c r="CE45" s="9" t="s">
        <v>13217</v>
      </c>
      <c r="CF45" s="9" t="s">
        <v>4648</v>
      </c>
      <c r="CG45" s="9" t="s">
        <v>4649</v>
      </c>
      <c r="CI45" s="9" t="s">
        <v>4650</v>
      </c>
      <c r="CO45" s="9" t="s">
        <v>4651</v>
      </c>
      <c r="CP45" s="9" t="s">
        <v>4652</v>
      </c>
      <c r="CQ45" s="9" t="s">
        <v>4653</v>
      </c>
    </row>
    <row r="46" spans="1:98" ht="25.5" x14ac:dyDescent="0.2">
      <c r="A46" s="9" t="s">
        <v>153</v>
      </c>
      <c r="B46" s="10">
        <v>41</v>
      </c>
      <c r="C46" s="10" t="s">
        <v>4521</v>
      </c>
      <c r="D46" s="11">
        <v>0.76400000000000001</v>
      </c>
      <c r="E46" s="11">
        <v>0.23530000000000001</v>
      </c>
      <c r="G46" s="11" t="s">
        <v>13163</v>
      </c>
      <c r="H46" s="11">
        <v>0.97089999999999999</v>
      </c>
      <c r="I46" s="11">
        <v>2.9100000000000001E-2</v>
      </c>
      <c r="J46" s="11">
        <v>0.32</v>
      </c>
      <c r="K46" s="11">
        <v>0.33</v>
      </c>
      <c r="L46" s="9" t="s">
        <v>4614</v>
      </c>
      <c r="T46" s="9" t="s">
        <v>4850</v>
      </c>
      <c r="U46" s="9" t="s">
        <v>4851</v>
      </c>
      <c r="W46" s="9" t="s">
        <v>4852</v>
      </c>
      <c r="AG46" s="9" t="s">
        <v>4525</v>
      </c>
      <c r="AH46" s="9" t="s">
        <v>4528</v>
      </c>
      <c r="AI46" s="9" t="s">
        <v>4531</v>
      </c>
      <c r="AJ46" s="9" t="s">
        <v>4527</v>
      </c>
      <c r="AK46" s="9" t="s">
        <v>4531</v>
      </c>
      <c r="AL46" s="9" t="s">
        <v>4531</v>
      </c>
      <c r="AM46" s="9" t="s">
        <v>4531</v>
      </c>
      <c r="AN46" s="9" t="s">
        <v>4526</v>
      </c>
      <c r="AO46" s="9" t="s">
        <v>4526</v>
      </c>
      <c r="AP46" s="9" t="s">
        <v>4526</v>
      </c>
      <c r="AQ46" s="9" t="s">
        <v>4526</v>
      </c>
      <c r="AR46" s="9" t="s">
        <v>4526</v>
      </c>
      <c r="AS46" s="9" t="s">
        <v>4526</v>
      </c>
      <c r="AT46" s="9" t="s">
        <v>4526</v>
      </c>
      <c r="AU46" s="9" t="s">
        <v>4526</v>
      </c>
      <c r="AV46" s="9" t="s">
        <v>4526</v>
      </c>
      <c r="AW46" s="9" t="s">
        <v>4526</v>
      </c>
      <c r="AX46" s="9" t="s">
        <v>4526</v>
      </c>
      <c r="AY46" s="9" t="s">
        <v>4526</v>
      </c>
      <c r="AZ46" s="9" t="s">
        <v>4531</v>
      </c>
      <c r="BA46" s="9" t="s">
        <v>4526</v>
      </c>
      <c r="BB46" s="9" t="s">
        <v>4526</v>
      </c>
      <c r="BC46" s="9" t="s">
        <v>4526</v>
      </c>
      <c r="BD46" s="9" t="s">
        <v>4526</v>
      </c>
      <c r="BE46" s="9" t="s">
        <v>4526</v>
      </c>
      <c r="BF46" s="9" t="s">
        <v>4527</v>
      </c>
      <c r="BG46" s="9" t="s">
        <v>4531</v>
      </c>
      <c r="BH46" s="9" t="s">
        <v>4531</v>
      </c>
      <c r="BI46" s="9" t="s">
        <v>4526</v>
      </c>
      <c r="BJ46" s="9" t="s">
        <v>4531</v>
      </c>
      <c r="BK46" s="9" t="s">
        <v>4526</v>
      </c>
      <c r="BL46" s="9" t="s">
        <v>4531</v>
      </c>
      <c r="BM46" s="9" t="s">
        <v>4531</v>
      </c>
      <c r="BN46" s="9" t="s">
        <v>4526</v>
      </c>
      <c r="BO46" s="9" t="s">
        <v>4527</v>
      </c>
      <c r="BP46" s="9" t="s">
        <v>4531</v>
      </c>
      <c r="BQ46" s="9" t="s">
        <v>4527</v>
      </c>
      <c r="BR46" s="9" t="s">
        <v>4526</v>
      </c>
      <c r="BS46" s="9" t="s">
        <v>4530</v>
      </c>
      <c r="BT46" s="9" t="s">
        <v>4526</v>
      </c>
      <c r="BU46" s="9" t="s">
        <v>4531</v>
      </c>
      <c r="BV46" s="9" t="s">
        <v>4527</v>
      </c>
      <c r="BW46" s="9" t="s">
        <v>13188</v>
      </c>
      <c r="BX46" s="9" t="s">
        <v>4853</v>
      </c>
      <c r="BY46" s="9" t="s">
        <v>4854</v>
      </c>
      <c r="CA46" s="9" t="s">
        <v>13207</v>
      </c>
      <c r="CB46" s="9" t="s">
        <v>4855</v>
      </c>
      <c r="CC46" s="9" t="s">
        <v>13207</v>
      </c>
      <c r="CD46" s="9" t="s">
        <v>4856</v>
      </c>
      <c r="CE46" s="9" t="s">
        <v>4657</v>
      </c>
      <c r="CF46" s="9" t="s">
        <v>4857</v>
      </c>
      <c r="CG46" s="9" t="s">
        <v>4858</v>
      </c>
      <c r="CH46" s="9" t="s">
        <v>4859</v>
      </c>
      <c r="CO46" s="9" t="s">
        <v>4860</v>
      </c>
      <c r="CP46" s="9" t="s">
        <v>4861</v>
      </c>
      <c r="CQ46" s="9" t="s">
        <v>4862</v>
      </c>
    </row>
    <row r="47" spans="1:98" ht="25.5" x14ac:dyDescent="0.2">
      <c r="A47" s="9" t="s">
        <v>164</v>
      </c>
      <c r="B47" s="10">
        <v>43</v>
      </c>
      <c r="C47" s="10" t="s">
        <v>4541</v>
      </c>
      <c r="D47" s="11">
        <v>0.69599999999999995</v>
      </c>
      <c r="E47" s="11">
        <v>0.30399999999999999</v>
      </c>
      <c r="F47" s="11"/>
      <c r="H47" s="11">
        <v>1</v>
      </c>
      <c r="I47" s="11">
        <v>0</v>
      </c>
      <c r="J47" s="11">
        <v>0.42</v>
      </c>
      <c r="K47" s="11">
        <v>0.09</v>
      </c>
      <c r="L47" s="9" t="s">
        <v>4614</v>
      </c>
      <c r="AG47" s="9" t="s">
        <v>4590</v>
      </c>
      <c r="AK47" s="9" t="s">
        <v>4526</v>
      </c>
      <c r="AO47" s="9" t="s">
        <v>4526</v>
      </c>
      <c r="AP47" s="9" t="s">
        <v>4526</v>
      </c>
      <c r="AQ47" s="9" t="s">
        <v>4526</v>
      </c>
      <c r="AR47" s="9" t="s">
        <v>4526</v>
      </c>
      <c r="AS47" s="9" t="s">
        <v>4526</v>
      </c>
      <c r="AV47" s="9" t="s">
        <v>4526</v>
      </c>
      <c r="AW47" s="9" t="s">
        <v>4526</v>
      </c>
      <c r="AX47" s="9" t="s">
        <v>4526</v>
      </c>
      <c r="AY47" s="9" t="s">
        <v>4526</v>
      </c>
      <c r="AZ47" s="9" t="s">
        <v>4526</v>
      </c>
      <c r="BA47" s="9" t="s">
        <v>4526</v>
      </c>
      <c r="BB47" s="9" t="s">
        <v>4526</v>
      </c>
      <c r="BC47" s="9" t="s">
        <v>4526</v>
      </c>
      <c r="BD47" s="9" t="s">
        <v>4526</v>
      </c>
      <c r="BE47" s="9" t="s">
        <v>4526</v>
      </c>
      <c r="BJ47" s="9" t="s">
        <v>4526</v>
      </c>
      <c r="BL47" s="9" t="s">
        <v>4526</v>
      </c>
      <c r="BM47" s="9" t="s">
        <v>4526</v>
      </c>
      <c r="BN47" s="9" t="s">
        <v>4528</v>
      </c>
      <c r="BO47" s="9" t="s">
        <v>4529</v>
      </c>
      <c r="BP47" s="9" t="s">
        <v>4527</v>
      </c>
      <c r="BQ47" s="9" t="s">
        <v>4526</v>
      </c>
      <c r="BR47" s="9" t="s">
        <v>4526</v>
      </c>
      <c r="BS47" s="9" t="s">
        <v>4526</v>
      </c>
      <c r="BT47" s="9" t="s">
        <v>4526</v>
      </c>
      <c r="BU47" s="9" t="s">
        <v>4528</v>
      </c>
      <c r="BV47" s="9" t="s">
        <v>4526</v>
      </c>
      <c r="BW47" s="9" t="s">
        <v>4990</v>
      </c>
      <c r="BY47" s="9" t="s">
        <v>4990</v>
      </c>
      <c r="CA47" s="9" t="s">
        <v>13209</v>
      </c>
      <c r="CC47" s="9" t="s">
        <v>13209</v>
      </c>
    </row>
    <row r="48" spans="1:98" ht="38.25" x14ac:dyDescent="0.2">
      <c r="A48" s="9" t="s">
        <v>155</v>
      </c>
      <c r="B48" s="10">
        <v>49</v>
      </c>
      <c r="C48" s="10" t="s">
        <v>4613</v>
      </c>
      <c r="D48" s="11">
        <v>0.78</v>
      </c>
      <c r="E48" s="11">
        <v>0.22</v>
      </c>
      <c r="F48" s="11">
        <v>0</v>
      </c>
      <c r="H48" s="11">
        <v>0.63</v>
      </c>
      <c r="I48" s="11">
        <v>0.37</v>
      </c>
      <c r="J48" s="11">
        <v>0.19</v>
      </c>
      <c r="K48" s="11">
        <v>0.37</v>
      </c>
      <c r="L48" s="9" t="s">
        <v>4561</v>
      </c>
      <c r="N48" s="9" t="s">
        <v>4870</v>
      </c>
      <c r="O48" s="9" t="s">
        <v>4871</v>
      </c>
      <c r="U48" s="9" t="s">
        <v>4872</v>
      </c>
      <c r="AD48" s="9" t="s">
        <v>4873</v>
      </c>
      <c r="AG48" s="9" t="s">
        <v>4525</v>
      </c>
      <c r="AH48" s="9" t="s">
        <v>4526</v>
      </c>
      <c r="AI48" s="9" t="s">
        <v>4526</v>
      </c>
      <c r="AJ48" s="9" t="s">
        <v>4527</v>
      </c>
      <c r="AK48" s="9" t="s">
        <v>4531</v>
      </c>
      <c r="AL48" s="9" t="s">
        <v>4527</v>
      </c>
      <c r="AM48" s="9" t="s">
        <v>4526</v>
      </c>
      <c r="AN48" s="9" t="s">
        <v>4527</v>
      </c>
      <c r="AO48" s="9" t="s">
        <v>4526</v>
      </c>
      <c r="AP48" s="9" t="s">
        <v>4526</v>
      </c>
      <c r="AQ48" s="9" t="s">
        <v>4531</v>
      </c>
      <c r="AR48" s="9" t="s">
        <v>4526</v>
      </c>
      <c r="AS48" s="9" t="s">
        <v>4526</v>
      </c>
      <c r="AT48" s="9" t="s">
        <v>4527</v>
      </c>
      <c r="AU48" s="9" t="s">
        <v>4529</v>
      </c>
      <c r="AV48" s="9" t="s">
        <v>4526</v>
      </c>
      <c r="AW48" s="9" t="s">
        <v>4529</v>
      </c>
      <c r="AX48" s="9" t="s">
        <v>4526</v>
      </c>
      <c r="AY48" s="9" t="s">
        <v>4526</v>
      </c>
      <c r="AZ48" s="9" t="s">
        <v>4531</v>
      </c>
      <c r="BA48" s="9" t="s">
        <v>4526</v>
      </c>
      <c r="BB48" s="9" t="s">
        <v>4526</v>
      </c>
      <c r="BC48" s="9" t="s">
        <v>4526</v>
      </c>
      <c r="BD48" s="9" t="s">
        <v>4526</v>
      </c>
      <c r="BE48" s="9" t="s">
        <v>4526</v>
      </c>
      <c r="BF48" s="9" t="s">
        <v>4526</v>
      </c>
      <c r="BG48" s="9" t="s">
        <v>4527</v>
      </c>
      <c r="BH48" s="9" t="s">
        <v>4531</v>
      </c>
      <c r="BI48" s="9" t="s">
        <v>4531</v>
      </c>
      <c r="BJ48" s="9" t="s">
        <v>4526</v>
      </c>
      <c r="BK48" s="9" t="s">
        <v>4529</v>
      </c>
      <c r="BL48" s="9" t="s">
        <v>4526</v>
      </c>
      <c r="BM48" s="9" t="s">
        <v>4531</v>
      </c>
      <c r="BN48" s="9" t="s">
        <v>4526</v>
      </c>
      <c r="BO48" s="9" t="s">
        <v>4531</v>
      </c>
      <c r="BP48" s="9" t="s">
        <v>4526</v>
      </c>
      <c r="BQ48" s="9" t="s">
        <v>4526</v>
      </c>
      <c r="BR48" s="9" t="s">
        <v>4526</v>
      </c>
      <c r="BS48" s="9" t="s">
        <v>4529</v>
      </c>
      <c r="BT48" s="9" t="s">
        <v>4531</v>
      </c>
      <c r="BU48" s="9" t="s">
        <v>4526</v>
      </c>
      <c r="BV48" s="9" t="s">
        <v>4531</v>
      </c>
      <c r="BW48" s="9" t="s">
        <v>13173</v>
      </c>
      <c r="BY48" s="9" t="s">
        <v>13173</v>
      </c>
      <c r="CA48" s="9" t="s">
        <v>4621</v>
      </c>
      <c r="CC48" s="9" t="s">
        <v>4621</v>
      </c>
      <c r="CE48" s="9" t="s">
        <v>4634</v>
      </c>
      <c r="CF48" s="9" t="s">
        <v>4874</v>
      </c>
      <c r="CG48" s="9" t="s">
        <v>4875</v>
      </c>
      <c r="CH48" s="9" t="s">
        <v>4876</v>
      </c>
      <c r="CI48" s="9" t="s">
        <v>4877</v>
      </c>
      <c r="CJ48" s="9" t="s">
        <v>4878</v>
      </c>
      <c r="CK48" s="9" t="s">
        <v>13767</v>
      </c>
      <c r="CL48" s="9" t="s">
        <v>4879</v>
      </c>
      <c r="CM48" s="9" t="s">
        <v>4880</v>
      </c>
      <c r="CN48" s="9" t="s">
        <v>4881</v>
      </c>
      <c r="CO48" s="9" t="s">
        <v>4882</v>
      </c>
      <c r="CP48" s="9" t="s">
        <v>4883</v>
      </c>
      <c r="CQ48" s="9" t="s">
        <v>4884</v>
      </c>
    </row>
    <row r="49" spans="1:98" ht="38.25" x14ac:dyDescent="0.2">
      <c r="A49" s="9" t="s">
        <v>128</v>
      </c>
      <c r="B49" s="10">
        <v>41</v>
      </c>
      <c r="C49" s="10" t="s">
        <v>4521</v>
      </c>
      <c r="D49" s="11">
        <v>0.72</v>
      </c>
      <c r="E49" s="11">
        <v>0.28000000000000003</v>
      </c>
      <c r="G49" s="11">
        <v>0</v>
      </c>
      <c r="H49" s="11">
        <v>0.96</v>
      </c>
      <c r="I49" s="11">
        <v>0.04</v>
      </c>
      <c r="J49" s="11">
        <v>0.47</v>
      </c>
      <c r="K49" s="11">
        <v>0.35</v>
      </c>
      <c r="L49" s="9" t="s">
        <v>13166</v>
      </c>
      <c r="M49" s="9" t="s">
        <v>13752</v>
      </c>
      <c r="AG49" s="9" t="s">
        <v>4590</v>
      </c>
      <c r="AH49" s="9" t="s">
        <v>4526</v>
      </c>
      <c r="AI49" s="9" t="s">
        <v>4531</v>
      </c>
      <c r="AJ49" s="9" t="s">
        <v>4527</v>
      </c>
      <c r="AK49" s="9" t="s">
        <v>4531</v>
      </c>
      <c r="AL49" s="9" t="s">
        <v>4528</v>
      </c>
      <c r="AM49" s="9" t="s">
        <v>4526</v>
      </c>
      <c r="AN49" s="9" t="s">
        <v>4531</v>
      </c>
      <c r="AO49" s="9" t="s">
        <v>4526</v>
      </c>
      <c r="AP49" s="9" t="s">
        <v>4526</v>
      </c>
      <c r="AQ49" s="9" t="s">
        <v>4531</v>
      </c>
      <c r="AR49" s="9" t="s">
        <v>4526</v>
      </c>
      <c r="AS49" s="9" t="s">
        <v>4530</v>
      </c>
      <c r="AT49" s="9" t="s">
        <v>4526</v>
      </c>
      <c r="AU49" s="9" t="s">
        <v>4527</v>
      </c>
      <c r="AV49" s="9" t="s">
        <v>4530</v>
      </c>
      <c r="AW49" s="9" t="s">
        <v>4530</v>
      </c>
      <c r="AX49" s="9" t="s">
        <v>4526</v>
      </c>
      <c r="AY49" s="9" t="s">
        <v>4526</v>
      </c>
      <c r="AZ49" s="9" t="s">
        <v>4531</v>
      </c>
      <c r="BA49" s="9" t="s">
        <v>4526</v>
      </c>
      <c r="BB49" s="9" t="s">
        <v>4526</v>
      </c>
      <c r="BC49" s="9" t="s">
        <v>4526</v>
      </c>
      <c r="BD49" s="9" t="s">
        <v>4526</v>
      </c>
      <c r="BE49" s="9" t="s">
        <v>4526</v>
      </c>
      <c r="BF49" s="9" t="s">
        <v>4527</v>
      </c>
      <c r="BG49" s="9" t="s">
        <v>4531</v>
      </c>
      <c r="BH49" s="9" t="s">
        <v>4526</v>
      </c>
      <c r="BI49" s="9" t="s">
        <v>4531</v>
      </c>
      <c r="BJ49" s="9" t="s">
        <v>4526</v>
      </c>
      <c r="BK49" s="9" t="s">
        <v>4526</v>
      </c>
      <c r="BL49" s="9" t="s">
        <v>4531</v>
      </c>
      <c r="BM49" s="9" t="s">
        <v>4531</v>
      </c>
      <c r="BN49" s="9" t="s">
        <v>4526</v>
      </c>
      <c r="BO49" s="9" t="s">
        <v>4527</v>
      </c>
      <c r="BP49" s="9" t="s">
        <v>4531</v>
      </c>
      <c r="BQ49" s="9" t="s">
        <v>4527</v>
      </c>
      <c r="BR49" s="9" t="s">
        <v>4527</v>
      </c>
      <c r="BS49" s="9" t="s">
        <v>4529</v>
      </c>
      <c r="BT49" s="9" t="s">
        <v>4526</v>
      </c>
      <c r="BU49" s="9" t="s">
        <v>4526</v>
      </c>
      <c r="BV49" s="9" t="s">
        <v>4527</v>
      </c>
      <c r="BW49" s="9" t="s">
        <v>13177</v>
      </c>
      <c r="BY49" s="9" t="s">
        <v>13194</v>
      </c>
      <c r="CA49" s="9" t="s">
        <v>13209</v>
      </c>
      <c r="CC49" s="9" t="s">
        <v>13208</v>
      </c>
      <c r="CE49" s="9" t="s">
        <v>4634</v>
      </c>
      <c r="CF49" s="9" t="s">
        <v>4635</v>
      </c>
      <c r="CI49" s="9" t="s">
        <v>4636</v>
      </c>
      <c r="CO49" s="9" t="s">
        <v>4637</v>
      </c>
      <c r="CP49" s="9" t="s">
        <v>4624</v>
      </c>
      <c r="CQ49" s="9" t="s">
        <v>4638</v>
      </c>
    </row>
    <row r="50" spans="1:98" ht="25.5" x14ac:dyDescent="0.2">
      <c r="A50" s="9" t="s">
        <v>126</v>
      </c>
      <c r="B50" s="10">
        <v>48</v>
      </c>
      <c r="C50" s="10" t="s">
        <v>4521</v>
      </c>
      <c r="D50" s="11">
        <v>0.76</v>
      </c>
      <c r="E50" s="11">
        <v>0.23</v>
      </c>
      <c r="F50" s="11"/>
      <c r="G50" s="11">
        <v>0.01</v>
      </c>
      <c r="H50" s="11">
        <v>0.98</v>
      </c>
      <c r="I50" s="11">
        <v>0.02</v>
      </c>
      <c r="J50" s="11">
        <v>0.26</v>
      </c>
      <c r="K50" s="11">
        <v>0.39</v>
      </c>
      <c r="X50" s="9" t="s">
        <v>4732</v>
      </c>
      <c r="AG50" s="9" t="s">
        <v>4525</v>
      </c>
      <c r="AH50" s="9" t="s">
        <v>4526</v>
      </c>
      <c r="AI50" s="9" t="s">
        <v>4526</v>
      </c>
      <c r="AJ50" s="9" t="s">
        <v>4526</v>
      </c>
      <c r="AK50" s="9" t="s">
        <v>4526</v>
      </c>
      <c r="AL50" s="9" t="s">
        <v>4526</v>
      </c>
      <c r="AM50" s="9" t="s">
        <v>4526</v>
      </c>
      <c r="AN50" s="9" t="s">
        <v>4531</v>
      </c>
      <c r="AO50" s="9" t="s">
        <v>4526</v>
      </c>
      <c r="AP50" s="9" t="s">
        <v>4526</v>
      </c>
      <c r="AQ50" s="9" t="s">
        <v>4531</v>
      </c>
      <c r="AR50" s="9" t="s">
        <v>4526</v>
      </c>
      <c r="AS50" s="9" t="s">
        <v>4526</v>
      </c>
      <c r="AT50" s="9" t="s">
        <v>4526</v>
      </c>
      <c r="AU50" s="9" t="s">
        <v>4526</v>
      </c>
      <c r="AV50" s="9" t="s">
        <v>4526</v>
      </c>
      <c r="AW50" s="9" t="s">
        <v>4526</v>
      </c>
      <c r="AX50" s="9" t="s">
        <v>4526</v>
      </c>
      <c r="AY50" s="9" t="s">
        <v>4526</v>
      </c>
      <c r="AZ50" s="9" t="s">
        <v>4531</v>
      </c>
      <c r="BA50" s="9" t="s">
        <v>4526</v>
      </c>
      <c r="BB50" s="9" t="s">
        <v>4526</v>
      </c>
      <c r="BC50" s="9" t="s">
        <v>4526</v>
      </c>
      <c r="BD50" s="9" t="s">
        <v>4526</v>
      </c>
      <c r="BE50" s="9" t="s">
        <v>4526</v>
      </c>
      <c r="BF50" s="9" t="s">
        <v>4527</v>
      </c>
      <c r="BG50" s="9" t="s">
        <v>4531</v>
      </c>
      <c r="BH50" s="9" t="s">
        <v>4531</v>
      </c>
      <c r="BI50" s="9" t="s">
        <v>4531</v>
      </c>
      <c r="BJ50" s="9" t="s">
        <v>4526</v>
      </c>
      <c r="BK50" s="9" t="s">
        <v>4526</v>
      </c>
      <c r="BL50" s="9" t="s">
        <v>4531</v>
      </c>
      <c r="BM50" s="9" t="s">
        <v>4531</v>
      </c>
      <c r="BN50" s="9" t="s">
        <v>4526</v>
      </c>
      <c r="BO50" s="9" t="s">
        <v>4531</v>
      </c>
      <c r="BP50" s="9" t="s">
        <v>4531</v>
      </c>
      <c r="BQ50" s="9" t="s">
        <v>4528</v>
      </c>
      <c r="BR50" s="9" t="s">
        <v>4528</v>
      </c>
      <c r="BS50" s="9" t="s">
        <v>4526</v>
      </c>
      <c r="BT50" s="9" t="s">
        <v>4531</v>
      </c>
      <c r="BU50" s="9" t="s">
        <v>4526</v>
      </c>
      <c r="BV50" s="9" t="s">
        <v>4526</v>
      </c>
      <c r="BW50" s="9" t="s">
        <v>13172</v>
      </c>
      <c r="BY50" s="9" t="s">
        <v>4591</v>
      </c>
      <c r="CA50" s="9" t="s">
        <v>13209</v>
      </c>
      <c r="CC50" s="9" t="s">
        <v>4621</v>
      </c>
      <c r="CE50" s="9" t="s">
        <v>4197</v>
      </c>
      <c r="CO50" s="9" t="s">
        <v>4622</v>
      </c>
      <c r="CP50" s="9" t="s">
        <v>4623</v>
      </c>
      <c r="CQ50" s="9" t="s">
        <v>4624</v>
      </c>
    </row>
    <row r="51" spans="1:98" ht="38.25" x14ac:dyDescent="0.2">
      <c r="A51" s="9" t="s">
        <v>130</v>
      </c>
      <c r="B51" s="10">
        <v>36</v>
      </c>
      <c r="C51" s="10" t="s">
        <v>4541</v>
      </c>
      <c r="D51" s="11">
        <v>0.61</v>
      </c>
      <c r="E51" s="11">
        <v>0.39</v>
      </c>
      <c r="H51" s="11">
        <v>0.67</v>
      </c>
      <c r="I51" s="11">
        <v>0.33</v>
      </c>
      <c r="J51" s="11">
        <v>0.57999999999999996</v>
      </c>
      <c r="K51" s="11">
        <v>0.2</v>
      </c>
      <c r="L51" s="9" t="s">
        <v>4561</v>
      </c>
      <c r="AG51" s="9" t="s">
        <v>4590</v>
      </c>
      <c r="AH51" s="9" t="s">
        <v>4529</v>
      </c>
      <c r="AI51" s="9" t="s">
        <v>4531</v>
      </c>
      <c r="AJ51" s="9" t="s">
        <v>4529</v>
      </c>
      <c r="AK51" s="9" t="s">
        <v>4531</v>
      </c>
      <c r="AL51" s="9" t="s">
        <v>4529</v>
      </c>
      <c r="AM51" s="9" t="s">
        <v>4531</v>
      </c>
      <c r="AN51" s="9" t="s">
        <v>4531</v>
      </c>
      <c r="AO51" s="9" t="s">
        <v>4529</v>
      </c>
      <c r="AP51" s="9" t="s">
        <v>4529</v>
      </c>
      <c r="AQ51" s="9" t="s">
        <v>4531</v>
      </c>
      <c r="AR51" s="9" t="s">
        <v>4529</v>
      </c>
      <c r="AS51" s="9" t="s">
        <v>4530</v>
      </c>
      <c r="AT51" s="9" t="s">
        <v>4527</v>
      </c>
      <c r="AU51" s="9" t="s">
        <v>4529</v>
      </c>
      <c r="AV51" s="9" t="s">
        <v>4529</v>
      </c>
      <c r="AW51" s="9" t="s">
        <v>4530</v>
      </c>
      <c r="AX51" s="9" t="s">
        <v>4526</v>
      </c>
      <c r="AY51" s="9" t="s">
        <v>4526</v>
      </c>
      <c r="AZ51" s="9" t="s">
        <v>4531</v>
      </c>
      <c r="BA51" s="9" t="s">
        <v>4530</v>
      </c>
      <c r="BB51" s="9" t="s">
        <v>4530</v>
      </c>
      <c r="BC51" s="9" t="s">
        <v>4530</v>
      </c>
      <c r="BD51" s="9" t="s">
        <v>4530</v>
      </c>
      <c r="BE51" s="9" t="s">
        <v>4530</v>
      </c>
      <c r="BF51" s="9" t="s">
        <v>4531</v>
      </c>
      <c r="BG51" s="9" t="s">
        <v>4531</v>
      </c>
      <c r="BH51" s="9" t="s">
        <v>4531</v>
      </c>
      <c r="BI51" s="9" t="s">
        <v>4531</v>
      </c>
      <c r="BJ51" s="9" t="s">
        <v>4527</v>
      </c>
      <c r="BK51" s="9" t="s">
        <v>4531</v>
      </c>
      <c r="BL51" s="9" t="s">
        <v>4527</v>
      </c>
      <c r="BM51" s="9" t="s">
        <v>4531</v>
      </c>
      <c r="BN51" s="9" t="s">
        <v>4529</v>
      </c>
      <c r="BO51" s="9" t="s">
        <v>4531</v>
      </c>
      <c r="BP51" s="9" t="s">
        <v>4530</v>
      </c>
      <c r="BQ51" s="9" t="s">
        <v>4528</v>
      </c>
      <c r="BR51" s="9" t="s">
        <v>4531</v>
      </c>
      <c r="BS51" s="9" t="s">
        <v>4526</v>
      </c>
      <c r="BT51" s="9" t="s">
        <v>4526</v>
      </c>
      <c r="BU51" s="9" t="s">
        <v>4531</v>
      </c>
      <c r="BV51" s="9" t="s">
        <v>4526</v>
      </c>
      <c r="BW51" s="9" t="s">
        <v>13179</v>
      </c>
      <c r="BX51" s="9" t="s">
        <v>4654</v>
      </c>
      <c r="BY51" s="9" t="s">
        <v>13186</v>
      </c>
      <c r="BZ51" s="9" t="s">
        <v>4655</v>
      </c>
      <c r="CA51" s="9" t="s">
        <v>4572</v>
      </c>
      <c r="CB51" s="9" t="s">
        <v>4656</v>
      </c>
      <c r="CC51" s="9" t="s">
        <v>13207</v>
      </c>
      <c r="CD51" s="9" t="s">
        <v>4656</v>
      </c>
      <c r="CE51" s="9" t="s">
        <v>4657</v>
      </c>
      <c r="CF51" s="9" t="s">
        <v>4658</v>
      </c>
      <c r="CO51" s="9" t="s">
        <v>4659</v>
      </c>
    </row>
    <row r="52" spans="1:98" ht="38.25" x14ac:dyDescent="0.2">
      <c r="A52" s="9" t="s">
        <v>173</v>
      </c>
      <c r="B52" s="10">
        <v>36</v>
      </c>
      <c r="C52" s="10" t="s">
        <v>4541</v>
      </c>
      <c r="D52" s="11">
        <v>0.78</v>
      </c>
      <c r="E52" s="11">
        <v>0.22</v>
      </c>
      <c r="F52" s="11"/>
      <c r="H52" s="11">
        <v>0.22</v>
      </c>
      <c r="I52" s="11">
        <v>0.78</v>
      </c>
      <c r="J52" s="11">
        <v>0.59</v>
      </c>
      <c r="K52" s="11">
        <v>0.13</v>
      </c>
      <c r="AG52" s="9" t="s">
        <v>4590</v>
      </c>
      <c r="AH52" s="9" t="s">
        <v>4526</v>
      </c>
      <c r="AI52" s="9" t="s">
        <v>4531</v>
      </c>
      <c r="AJ52" s="9" t="s">
        <v>4527</v>
      </c>
      <c r="AK52" s="9" t="s">
        <v>4526</v>
      </c>
      <c r="AL52" s="9" t="s">
        <v>4531</v>
      </c>
      <c r="AM52" s="9" t="s">
        <v>4531</v>
      </c>
      <c r="AN52" s="9" t="s">
        <v>4531</v>
      </c>
      <c r="AO52" s="9" t="s">
        <v>4526</v>
      </c>
      <c r="AP52" s="9" t="s">
        <v>4526</v>
      </c>
      <c r="AQ52" s="9" t="s">
        <v>4531</v>
      </c>
      <c r="AR52" s="9" t="s">
        <v>4527</v>
      </c>
      <c r="AS52" s="9" t="s">
        <v>4526</v>
      </c>
      <c r="AT52" s="9" t="s">
        <v>4527</v>
      </c>
      <c r="AU52" s="9" t="s">
        <v>4526</v>
      </c>
      <c r="AV52" s="9" t="s">
        <v>4526</v>
      </c>
      <c r="AW52" s="9" t="s">
        <v>4526</v>
      </c>
      <c r="AX52" s="9" t="s">
        <v>4526</v>
      </c>
      <c r="AY52" s="9" t="s">
        <v>4526</v>
      </c>
      <c r="AZ52" s="9" t="s">
        <v>4526</v>
      </c>
      <c r="BA52" s="9" t="s">
        <v>4526</v>
      </c>
      <c r="BB52" s="9" t="s">
        <v>4526</v>
      </c>
      <c r="BC52" s="9" t="s">
        <v>4526</v>
      </c>
      <c r="BD52" s="9" t="s">
        <v>4526</v>
      </c>
      <c r="BE52" s="9" t="s">
        <v>4526</v>
      </c>
      <c r="BF52" s="9" t="s">
        <v>4527</v>
      </c>
      <c r="BG52" s="9" t="s">
        <v>4528</v>
      </c>
      <c r="BH52" s="9" t="s">
        <v>4531</v>
      </c>
      <c r="BI52" s="9" t="s">
        <v>4531</v>
      </c>
      <c r="BJ52" s="9" t="s">
        <v>4526</v>
      </c>
      <c r="BK52" s="9" t="s">
        <v>4531</v>
      </c>
      <c r="BL52" s="9" t="s">
        <v>4526</v>
      </c>
      <c r="BM52" s="9" t="s">
        <v>4531</v>
      </c>
      <c r="BN52" s="9" t="s">
        <v>4529</v>
      </c>
      <c r="BO52" s="9" t="s">
        <v>4527</v>
      </c>
      <c r="BP52" s="9" t="s">
        <v>4526</v>
      </c>
      <c r="BQ52" s="9" t="s">
        <v>4527</v>
      </c>
      <c r="BR52" s="9" t="s">
        <v>4530</v>
      </c>
      <c r="BS52" s="9" t="s">
        <v>4529</v>
      </c>
      <c r="BT52" s="9" t="s">
        <v>4531</v>
      </c>
      <c r="BU52" s="9" t="s">
        <v>4531</v>
      </c>
      <c r="BV52" s="9" t="s">
        <v>4531</v>
      </c>
      <c r="BW52" s="9" t="s">
        <v>13191</v>
      </c>
      <c r="BY52" s="9" t="s">
        <v>13182</v>
      </c>
      <c r="CA52" s="9" t="s">
        <v>13209</v>
      </c>
      <c r="CC52" s="9" t="s">
        <v>13209</v>
      </c>
      <c r="CE52" s="9" t="s">
        <v>5068</v>
      </c>
      <c r="CF52" s="9" t="s">
        <v>5069</v>
      </c>
      <c r="CG52" s="9" t="s">
        <v>5070</v>
      </c>
      <c r="CL52" s="9" t="s">
        <v>5071</v>
      </c>
      <c r="CM52" s="9" t="s">
        <v>5072</v>
      </c>
    </row>
    <row r="53" spans="1:98" ht="38.25" x14ac:dyDescent="0.2">
      <c r="A53" s="9" t="s">
        <v>178</v>
      </c>
      <c r="B53" s="10">
        <v>47</v>
      </c>
      <c r="C53" s="10" t="s">
        <v>4541</v>
      </c>
      <c r="D53" s="11">
        <v>0.72</v>
      </c>
      <c r="E53" s="11">
        <v>0.28000000000000003</v>
      </c>
      <c r="F53" s="11"/>
      <c r="H53" s="11">
        <v>0.73</v>
      </c>
      <c r="I53" s="11">
        <v>0.27</v>
      </c>
      <c r="J53" s="11">
        <v>0.27</v>
      </c>
      <c r="K53" s="11">
        <v>0.55000000000000004</v>
      </c>
      <c r="L53" s="9" t="s">
        <v>4819</v>
      </c>
      <c r="U53" s="9" t="s">
        <v>5133</v>
      </c>
      <c r="W53" s="9" t="s">
        <v>5134</v>
      </c>
      <c r="AA53" s="9" t="s">
        <v>5135</v>
      </c>
      <c r="AB53" s="9" t="s">
        <v>5136</v>
      </c>
      <c r="AG53" s="9" t="s">
        <v>4525</v>
      </c>
      <c r="AH53" s="9" t="s">
        <v>4526</v>
      </c>
      <c r="AI53" s="9" t="s">
        <v>4526</v>
      </c>
      <c r="AJ53" s="9" t="s">
        <v>4527</v>
      </c>
      <c r="AK53" s="9" t="s">
        <v>4531</v>
      </c>
      <c r="AL53" s="9" t="s">
        <v>4530</v>
      </c>
      <c r="AM53" s="9" t="s">
        <v>4529</v>
      </c>
      <c r="AN53" s="9" t="s">
        <v>4531</v>
      </c>
      <c r="AO53" s="9" t="s">
        <v>4526</v>
      </c>
      <c r="AP53" s="9" t="s">
        <v>4526</v>
      </c>
      <c r="AQ53" s="9" t="s">
        <v>4531</v>
      </c>
      <c r="AR53" s="9" t="s">
        <v>4530</v>
      </c>
      <c r="AS53" s="9" t="s">
        <v>4526</v>
      </c>
      <c r="AT53" s="9" t="s">
        <v>4528</v>
      </c>
      <c r="AU53" s="9" t="s">
        <v>4530</v>
      </c>
      <c r="AV53" s="9" t="s">
        <v>4526</v>
      </c>
      <c r="AW53" s="9" t="s">
        <v>4526</v>
      </c>
      <c r="AX53" s="9" t="s">
        <v>4526</v>
      </c>
      <c r="AY53" s="9" t="s">
        <v>4526</v>
      </c>
      <c r="AZ53" s="9" t="s">
        <v>4531</v>
      </c>
      <c r="BA53" s="9" t="s">
        <v>4526</v>
      </c>
      <c r="BB53" s="9" t="s">
        <v>4526</v>
      </c>
      <c r="BC53" s="9" t="s">
        <v>4526</v>
      </c>
      <c r="BD53" s="9" t="s">
        <v>4526</v>
      </c>
      <c r="BE53" s="9" t="s">
        <v>4526</v>
      </c>
      <c r="BF53" s="9" t="s">
        <v>4526</v>
      </c>
      <c r="BG53" s="9" t="s">
        <v>4526</v>
      </c>
      <c r="BH53" s="9" t="s">
        <v>4531</v>
      </c>
      <c r="BI53" s="9" t="s">
        <v>4531</v>
      </c>
      <c r="BJ53" s="9" t="s">
        <v>4526</v>
      </c>
      <c r="BK53" s="9" t="s">
        <v>4528</v>
      </c>
      <c r="BL53" s="9" t="s">
        <v>4526</v>
      </c>
      <c r="BM53" s="9" t="s">
        <v>4531</v>
      </c>
      <c r="BN53" s="9" t="s">
        <v>4529</v>
      </c>
      <c r="BO53" s="9" t="s">
        <v>4527</v>
      </c>
      <c r="BP53" s="9" t="s">
        <v>4531</v>
      </c>
      <c r="BQ53" s="9" t="s">
        <v>4527</v>
      </c>
      <c r="BR53" s="9" t="s">
        <v>4530</v>
      </c>
      <c r="BS53" s="9" t="s">
        <v>4530</v>
      </c>
      <c r="BT53" s="9" t="s">
        <v>4527</v>
      </c>
      <c r="BU53" s="9" t="s">
        <v>4529</v>
      </c>
      <c r="BV53" s="9" t="s">
        <v>4527</v>
      </c>
      <c r="BW53" s="9" t="s">
        <v>5137</v>
      </c>
      <c r="BY53" s="9" t="s">
        <v>5138</v>
      </c>
      <c r="CA53" s="9" t="s">
        <v>13209</v>
      </c>
      <c r="CC53" s="9" t="s">
        <v>13209</v>
      </c>
      <c r="CE53" s="9" t="s">
        <v>4574</v>
      </c>
      <c r="CF53" s="9" t="s">
        <v>5139</v>
      </c>
      <c r="CG53" s="9" t="s">
        <v>5140</v>
      </c>
      <c r="CR53" s="9" t="s">
        <v>5141</v>
      </c>
      <c r="CS53" s="9" t="s">
        <v>5142</v>
      </c>
    </row>
    <row r="54" spans="1:98" ht="38.25" x14ac:dyDescent="0.2">
      <c r="A54" s="9" t="s">
        <v>151</v>
      </c>
      <c r="B54" s="10">
        <v>37</v>
      </c>
      <c r="C54" s="10" t="s">
        <v>4556</v>
      </c>
      <c r="D54" s="11">
        <v>0.49</v>
      </c>
      <c r="E54" s="11">
        <v>0.5</v>
      </c>
      <c r="F54" s="11">
        <v>0</v>
      </c>
      <c r="G54" s="11">
        <v>0.01</v>
      </c>
      <c r="H54" s="11">
        <v>0.81</v>
      </c>
      <c r="I54" s="11">
        <v>0.19</v>
      </c>
      <c r="J54" s="11">
        <v>0.72</v>
      </c>
      <c r="K54" s="11">
        <v>0.44</v>
      </c>
      <c r="L54" s="9" t="s">
        <v>4557</v>
      </c>
      <c r="S54" s="9" t="s">
        <v>4834</v>
      </c>
      <c r="W54" s="9" t="s">
        <v>4835</v>
      </c>
      <c r="X54" s="9" t="s">
        <v>4732</v>
      </c>
      <c r="AG54" s="9" t="s">
        <v>4590</v>
      </c>
      <c r="AH54" s="9" t="s">
        <v>4526</v>
      </c>
      <c r="AI54" s="9" t="s">
        <v>4531</v>
      </c>
      <c r="AJ54" s="9" t="s">
        <v>4527</v>
      </c>
      <c r="AK54" s="9" t="s">
        <v>4531</v>
      </c>
      <c r="AL54" s="9" t="s">
        <v>4531</v>
      </c>
      <c r="AM54" s="9" t="s">
        <v>4526</v>
      </c>
      <c r="AN54" s="9" t="s">
        <v>4526</v>
      </c>
      <c r="AO54" s="9" t="s">
        <v>4526</v>
      </c>
      <c r="AP54" s="9" t="s">
        <v>4526</v>
      </c>
      <c r="AQ54" s="9" t="s">
        <v>4531</v>
      </c>
      <c r="AR54" s="9" t="s">
        <v>4531</v>
      </c>
      <c r="AS54" s="9" t="s">
        <v>4529</v>
      </c>
      <c r="AT54" s="9" t="s">
        <v>4527</v>
      </c>
      <c r="AU54" s="9" t="s">
        <v>4530</v>
      </c>
      <c r="AV54" s="9" t="s">
        <v>4530</v>
      </c>
      <c r="AW54" s="9" t="s">
        <v>4530</v>
      </c>
      <c r="AX54" s="9" t="s">
        <v>4531</v>
      </c>
      <c r="AY54" s="9" t="s">
        <v>4526</v>
      </c>
      <c r="AZ54" s="9" t="s">
        <v>4531</v>
      </c>
      <c r="BA54" s="9" t="s">
        <v>4526</v>
      </c>
      <c r="BB54" s="9" t="s">
        <v>4526</v>
      </c>
      <c r="BC54" s="9" t="s">
        <v>4526</v>
      </c>
      <c r="BD54" s="9" t="s">
        <v>4526</v>
      </c>
      <c r="BE54" s="9" t="s">
        <v>4526</v>
      </c>
      <c r="BF54" s="9" t="s">
        <v>4531</v>
      </c>
      <c r="BG54" s="9" t="s">
        <v>4531</v>
      </c>
      <c r="BH54" s="9" t="s">
        <v>4531</v>
      </c>
      <c r="BI54" s="9" t="s">
        <v>4531</v>
      </c>
      <c r="BJ54" s="9" t="s">
        <v>4531</v>
      </c>
      <c r="BK54" s="9" t="s">
        <v>4531</v>
      </c>
      <c r="BL54" s="9" t="s">
        <v>4531</v>
      </c>
      <c r="BM54" s="9" t="s">
        <v>4531</v>
      </c>
      <c r="BN54" s="9" t="s">
        <v>4530</v>
      </c>
      <c r="BO54" s="9" t="s">
        <v>4527</v>
      </c>
      <c r="BP54" s="9" t="s">
        <v>4526</v>
      </c>
      <c r="BQ54" s="9" t="s">
        <v>4527</v>
      </c>
      <c r="BR54" s="9" t="s">
        <v>4529</v>
      </c>
      <c r="BS54" s="9" t="s">
        <v>4529</v>
      </c>
      <c r="BT54" s="9" t="s">
        <v>4527</v>
      </c>
      <c r="BU54" s="9" t="s">
        <v>4531</v>
      </c>
      <c r="BV54" s="9" t="s">
        <v>4526</v>
      </c>
      <c r="BW54" s="9" t="s">
        <v>13180</v>
      </c>
      <c r="BX54" s="9" t="s">
        <v>4836</v>
      </c>
      <c r="BY54" s="9" t="s">
        <v>4548</v>
      </c>
      <c r="BZ54" s="9" t="s">
        <v>4837</v>
      </c>
      <c r="CA54" s="9" t="s">
        <v>13208</v>
      </c>
      <c r="CC54" s="9" t="s">
        <v>13209</v>
      </c>
      <c r="CE54" s="9" t="s">
        <v>4574</v>
      </c>
      <c r="CF54" s="9" t="s">
        <v>4838</v>
      </c>
      <c r="CG54" s="9" t="s">
        <v>4839</v>
      </c>
      <c r="CH54" s="9" t="s">
        <v>4840</v>
      </c>
      <c r="CR54" s="9" t="s">
        <v>4841</v>
      </c>
      <c r="CS54" s="9" t="s">
        <v>4842</v>
      </c>
      <c r="CT54" s="9" t="s">
        <v>4843</v>
      </c>
    </row>
    <row r="55" spans="1:98" ht="38.25" x14ac:dyDescent="0.2">
      <c r="A55" s="9" t="s">
        <v>172</v>
      </c>
      <c r="B55" s="10">
        <v>39</v>
      </c>
      <c r="C55" s="10" t="s">
        <v>4521</v>
      </c>
      <c r="D55" s="11">
        <v>0.77680000000000005</v>
      </c>
      <c r="E55" s="11">
        <v>0.221</v>
      </c>
      <c r="F55" s="11"/>
      <c r="G55" s="11">
        <v>0</v>
      </c>
      <c r="H55" s="11">
        <v>0.99</v>
      </c>
      <c r="I55" s="11">
        <v>0.01</v>
      </c>
      <c r="J55" s="11">
        <v>0.65</v>
      </c>
      <c r="K55" s="11">
        <v>0.19</v>
      </c>
      <c r="L55" s="9" t="s">
        <v>4561</v>
      </c>
      <c r="AB55" s="9" t="s">
        <v>5061</v>
      </c>
      <c r="AD55" s="9" t="s">
        <v>5062</v>
      </c>
      <c r="AG55" s="9" t="s">
        <v>4590</v>
      </c>
      <c r="AH55" s="9" t="s">
        <v>4526</v>
      </c>
      <c r="AI55" s="9" t="s">
        <v>4526</v>
      </c>
      <c r="AJ55" s="9" t="s">
        <v>4529</v>
      </c>
      <c r="AK55" s="9" t="s">
        <v>4531</v>
      </c>
      <c r="AL55" s="9" t="s">
        <v>4531</v>
      </c>
      <c r="AM55" s="9" t="s">
        <v>4531</v>
      </c>
      <c r="AN55" s="9" t="s">
        <v>4531</v>
      </c>
      <c r="AO55" s="9" t="s">
        <v>4526</v>
      </c>
      <c r="AP55" s="9" t="s">
        <v>4531</v>
      </c>
      <c r="AQ55" s="9" t="s">
        <v>4531</v>
      </c>
      <c r="AR55" s="9" t="s">
        <v>4526</v>
      </c>
      <c r="AS55" s="9" t="s">
        <v>4526</v>
      </c>
      <c r="AT55" s="9" t="s">
        <v>4526</v>
      </c>
      <c r="AU55" s="9" t="s">
        <v>4526</v>
      </c>
      <c r="AV55" s="9" t="s">
        <v>4526</v>
      </c>
      <c r="AW55" s="9" t="s">
        <v>4526</v>
      </c>
      <c r="AX55" s="9" t="s">
        <v>4528</v>
      </c>
      <c r="AY55" s="9" t="s">
        <v>4528</v>
      </c>
      <c r="AZ55" s="9" t="s">
        <v>4531</v>
      </c>
      <c r="BA55" s="9" t="s">
        <v>4526</v>
      </c>
      <c r="BB55" s="9" t="s">
        <v>4526</v>
      </c>
      <c r="BC55" s="9" t="s">
        <v>4526</v>
      </c>
      <c r="BD55" s="9" t="s">
        <v>4526</v>
      </c>
      <c r="BE55" s="9" t="s">
        <v>4526</v>
      </c>
      <c r="BF55" s="9" t="s">
        <v>4531</v>
      </c>
      <c r="BG55" s="9" t="s">
        <v>4531</v>
      </c>
      <c r="BH55" s="9" t="s">
        <v>4531</v>
      </c>
      <c r="BI55" s="9" t="s">
        <v>4531</v>
      </c>
      <c r="BJ55" s="9" t="s">
        <v>4526</v>
      </c>
      <c r="BK55" s="9" t="s">
        <v>4526</v>
      </c>
      <c r="BL55" s="9" t="s">
        <v>4531</v>
      </c>
      <c r="BM55" s="9" t="s">
        <v>4531</v>
      </c>
      <c r="BN55" s="9" t="s">
        <v>4526</v>
      </c>
      <c r="BO55" s="9" t="s">
        <v>4531</v>
      </c>
      <c r="BP55" s="9" t="s">
        <v>4531</v>
      </c>
      <c r="BQ55" s="9" t="s">
        <v>4526</v>
      </c>
      <c r="BR55" s="9" t="s">
        <v>4529</v>
      </c>
      <c r="BS55" s="9" t="s">
        <v>4531</v>
      </c>
      <c r="BT55" s="9" t="s">
        <v>4529</v>
      </c>
      <c r="BU55" s="9" t="s">
        <v>4531</v>
      </c>
      <c r="BV55" s="9" t="s">
        <v>4531</v>
      </c>
      <c r="BW55" s="9" t="s">
        <v>5063</v>
      </c>
      <c r="BY55" s="9" t="s">
        <v>5064</v>
      </c>
      <c r="CE55" s="9" t="s">
        <v>13217</v>
      </c>
      <c r="CF55" s="9" t="s">
        <v>5065</v>
      </c>
      <c r="CG55" s="9" t="s">
        <v>5066</v>
      </c>
      <c r="CI55" s="9" t="s">
        <v>5067</v>
      </c>
      <c r="CO55" s="9" t="s">
        <v>4685</v>
      </c>
      <c r="CP55" s="9" t="s">
        <v>4333</v>
      </c>
    </row>
    <row r="56" spans="1:98" ht="25.5" x14ac:dyDescent="0.2">
      <c r="A56" s="9" t="s">
        <v>119</v>
      </c>
      <c r="B56" s="10">
        <v>35</v>
      </c>
      <c r="C56" s="10" t="s">
        <v>4556</v>
      </c>
      <c r="D56" s="11">
        <v>0.56000000000000005</v>
      </c>
      <c r="E56" s="11">
        <v>0.44</v>
      </c>
      <c r="F56" s="11">
        <v>0</v>
      </c>
      <c r="G56" s="11">
        <v>0</v>
      </c>
      <c r="H56" s="11">
        <v>0.96</v>
      </c>
      <c r="I56" s="11">
        <v>0.04</v>
      </c>
      <c r="J56" s="11">
        <v>0.76</v>
      </c>
      <c r="K56" s="11">
        <v>0.43</v>
      </c>
      <c r="L56" s="9" t="s">
        <v>4557</v>
      </c>
      <c r="AG56" s="9" t="s">
        <v>4525</v>
      </c>
      <c r="AH56" s="9" t="s">
        <v>4529</v>
      </c>
      <c r="AI56" s="9" t="s">
        <v>4531</v>
      </c>
      <c r="AJ56" s="9" t="s">
        <v>4529</v>
      </c>
      <c r="AK56" s="9" t="s">
        <v>4531</v>
      </c>
      <c r="AL56" s="9" t="s">
        <v>4531</v>
      </c>
      <c r="AM56" s="9" t="s">
        <v>4526</v>
      </c>
      <c r="AN56" s="9" t="s">
        <v>4526</v>
      </c>
      <c r="AO56" s="9" t="s">
        <v>4529</v>
      </c>
      <c r="AP56" s="9" t="s">
        <v>4529</v>
      </c>
      <c r="AQ56" s="9" t="s">
        <v>4531</v>
      </c>
      <c r="AR56" s="9" t="s">
        <v>4529</v>
      </c>
      <c r="AS56" s="9" t="s">
        <v>4529</v>
      </c>
      <c r="AT56" s="9" t="s">
        <v>4529</v>
      </c>
      <c r="AU56" s="9" t="s">
        <v>4529</v>
      </c>
      <c r="AV56" s="9" t="s">
        <v>4529</v>
      </c>
      <c r="AW56" s="9" t="s">
        <v>4529</v>
      </c>
      <c r="AX56" s="9" t="s">
        <v>4526</v>
      </c>
      <c r="AY56" s="9" t="s">
        <v>4526</v>
      </c>
      <c r="AZ56" s="9" t="s">
        <v>4526</v>
      </c>
      <c r="BA56" s="9" t="s">
        <v>4529</v>
      </c>
      <c r="BB56" s="9" t="s">
        <v>4529</v>
      </c>
      <c r="BC56" s="9" t="s">
        <v>4529</v>
      </c>
      <c r="BD56" s="9" t="s">
        <v>4529</v>
      </c>
      <c r="BE56" s="9" t="s">
        <v>4529</v>
      </c>
      <c r="BF56" s="9" t="s">
        <v>4531</v>
      </c>
      <c r="BG56" s="9" t="s">
        <v>4531</v>
      </c>
      <c r="BH56" s="9" t="s">
        <v>4531</v>
      </c>
      <c r="BI56" s="9" t="s">
        <v>4531</v>
      </c>
      <c r="BJ56" s="9" t="s">
        <v>4531</v>
      </c>
      <c r="BK56" s="9" t="s">
        <v>4530</v>
      </c>
      <c r="BL56" s="9" t="s">
        <v>4531</v>
      </c>
      <c r="BM56" s="9" t="s">
        <v>4531</v>
      </c>
      <c r="BN56" s="9" t="s">
        <v>4527</v>
      </c>
      <c r="BO56" s="9" t="s">
        <v>4531</v>
      </c>
      <c r="BP56" s="9" t="s">
        <v>4529</v>
      </c>
      <c r="BQ56" s="9" t="s">
        <v>4529</v>
      </c>
      <c r="BR56" s="9" t="s">
        <v>4529</v>
      </c>
      <c r="BS56" s="9" t="s">
        <v>4528</v>
      </c>
      <c r="BT56" s="9" t="s">
        <v>4527</v>
      </c>
      <c r="BU56" s="9" t="s">
        <v>4531</v>
      </c>
      <c r="BV56" s="9" t="s">
        <v>4529</v>
      </c>
      <c r="BW56" s="9" t="s">
        <v>4558</v>
      </c>
      <c r="BY56" s="9" t="s">
        <v>4558</v>
      </c>
      <c r="CA56" s="9" t="s">
        <v>4559</v>
      </c>
      <c r="CC56" s="9" t="s">
        <v>13209</v>
      </c>
      <c r="CE56" s="9" t="s">
        <v>4560</v>
      </c>
    </row>
    <row r="57" spans="1:98" ht="63.75" x14ac:dyDescent="0.2">
      <c r="A57" s="9" t="s">
        <v>146</v>
      </c>
      <c r="B57" s="10">
        <v>50</v>
      </c>
      <c r="C57" s="10" t="s">
        <v>4541</v>
      </c>
      <c r="D57" s="11">
        <v>0.65</v>
      </c>
      <c r="E57" s="11">
        <v>0.35</v>
      </c>
      <c r="H57" s="11">
        <v>0.81</v>
      </c>
      <c r="I57" s="11">
        <v>0.19</v>
      </c>
      <c r="J57" s="11">
        <v>0.27</v>
      </c>
      <c r="K57" s="11">
        <v>0.42</v>
      </c>
      <c r="L57" s="9" t="s">
        <v>29</v>
      </c>
      <c r="M57" s="9" t="s">
        <v>4786</v>
      </c>
      <c r="W57" s="9" t="s">
        <v>4787</v>
      </c>
      <c r="AB57" s="9" t="s">
        <v>4788</v>
      </c>
      <c r="AD57" s="9" t="s">
        <v>4789</v>
      </c>
      <c r="AG57" s="9" t="s">
        <v>4525</v>
      </c>
      <c r="AH57" s="9" t="s">
        <v>4526</v>
      </c>
      <c r="AI57" s="9" t="s">
        <v>4531</v>
      </c>
      <c r="AJ57" s="9" t="s">
        <v>4527</v>
      </c>
      <c r="AK57" s="9" t="s">
        <v>4526</v>
      </c>
      <c r="AL57" s="9" t="s">
        <v>4526</v>
      </c>
      <c r="AM57" s="9" t="s">
        <v>4531</v>
      </c>
      <c r="AN57" s="9" t="s">
        <v>4531</v>
      </c>
      <c r="AO57" s="9" t="s">
        <v>4526</v>
      </c>
      <c r="AP57" s="9" t="s">
        <v>4526</v>
      </c>
      <c r="AQ57" s="9" t="s">
        <v>4531</v>
      </c>
      <c r="AR57" s="9" t="s">
        <v>4526</v>
      </c>
      <c r="AS57" s="9" t="s">
        <v>4526</v>
      </c>
      <c r="AT57" s="9" t="s">
        <v>4527</v>
      </c>
      <c r="AU57" s="9" t="s">
        <v>4526</v>
      </c>
      <c r="AV57" s="9" t="s">
        <v>4526</v>
      </c>
      <c r="AW57" s="9" t="s">
        <v>4526</v>
      </c>
      <c r="AX57" s="9" t="s">
        <v>4529</v>
      </c>
      <c r="AY57" s="9" t="s">
        <v>4529</v>
      </c>
      <c r="AZ57" s="9" t="s">
        <v>4531</v>
      </c>
      <c r="BA57" s="9" t="s">
        <v>4526</v>
      </c>
      <c r="BB57" s="9" t="s">
        <v>4526</v>
      </c>
      <c r="BC57" s="9" t="s">
        <v>4526</v>
      </c>
      <c r="BD57" s="9" t="s">
        <v>4526</v>
      </c>
      <c r="BE57" s="9" t="s">
        <v>4526</v>
      </c>
      <c r="BF57" s="9" t="s">
        <v>4527</v>
      </c>
      <c r="BG57" s="9" t="s">
        <v>4531</v>
      </c>
      <c r="BH57" s="9" t="s">
        <v>4531</v>
      </c>
      <c r="BI57" s="9" t="s">
        <v>4531</v>
      </c>
      <c r="BJ57" s="9" t="s">
        <v>4526</v>
      </c>
      <c r="BK57" s="9" t="s">
        <v>4526</v>
      </c>
      <c r="BL57" s="9" t="s">
        <v>4526</v>
      </c>
      <c r="BM57" s="9" t="s">
        <v>4531</v>
      </c>
      <c r="BN57" s="9" t="s">
        <v>4530</v>
      </c>
      <c r="BO57" s="9" t="s">
        <v>4527</v>
      </c>
      <c r="BP57" s="9" t="s">
        <v>4531</v>
      </c>
      <c r="BQ57" s="9" t="s">
        <v>4527</v>
      </c>
      <c r="BR57" s="9" t="s">
        <v>4526</v>
      </c>
      <c r="BS57" s="9" t="s">
        <v>4526</v>
      </c>
      <c r="BT57" s="9" t="s">
        <v>4527</v>
      </c>
      <c r="BU57" s="9" t="s">
        <v>4531</v>
      </c>
      <c r="BV57" s="9" t="s">
        <v>4527</v>
      </c>
      <c r="BW57" s="9" t="s">
        <v>4790</v>
      </c>
      <c r="BY57" s="9" t="s">
        <v>4790</v>
      </c>
      <c r="CA57" s="9" t="s">
        <v>13209</v>
      </c>
      <c r="CC57" s="9" t="s">
        <v>13209</v>
      </c>
      <c r="CE57" s="9" t="s">
        <v>4560</v>
      </c>
      <c r="CF57" s="9" t="s">
        <v>4791</v>
      </c>
      <c r="CG57" s="9" t="s">
        <v>4792</v>
      </c>
      <c r="CL57" s="9" t="s">
        <v>4793</v>
      </c>
      <c r="CM57" s="9" t="s">
        <v>4794</v>
      </c>
      <c r="CO57" s="9" t="s">
        <v>4793</v>
      </c>
    </row>
    <row r="58" spans="1:98" ht="38.25" x14ac:dyDescent="0.2">
      <c r="A58" s="9" t="s">
        <v>149</v>
      </c>
      <c r="B58" s="10">
        <v>39</v>
      </c>
      <c r="C58" s="10" t="s">
        <v>4541</v>
      </c>
      <c r="D58" s="11">
        <v>0.7</v>
      </c>
      <c r="E58" s="11">
        <v>0.3</v>
      </c>
      <c r="H58" s="11">
        <v>0.96</v>
      </c>
      <c r="I58" s="11">
        <v>0.04</v>
      </c>
      <c r="J58" s="11">
        <v>0.49</v>
      </c>
      <c r="K58" s="11">
        <v>0.6</v>
      </c>
      <c r="L58" s="9" t="s">
        <v>4819</v>
      </c>
      <c r="N58" s="9" t="s">
        <v>797</v>
      </c>
      <c r="O58" s="9" t="s">
        <v>797</v>
      </c>
      <c r="P58" s="9" t="s">
        <v>797</v>
      </c>
      <c r="Q58" s="9" t="s">
        <v>797</v>
      </c>
      <c r="R58" s="9" t="s">
        <v>797</v>
      </c>
      <c r="S58" s="9" t="s">
        <v>797</v>
      </c>
      <c r="T58" s="9" t="s">
        <v>797</v>
      </c>
      <c r="U58" s="9" t="s">
        <v>797</v>
      </c>
      <c r="V58" s="9" t="s">
        <v>797</v>
      </c>
      <c r="W58" s="9" t="s">
        <v>797</v>
      </c>
      <c r="X58" s="9" t="s">
        <v>797</v>
      </c>
      <c r="Y58" s="9" t="s">
        <v>797</v>
      </c>
      <c r="Z58" s="9" t="s">
        <v>797</v>
      </c>
      <c r="AA58" s="9" t="s">
        <v>797</v>
      </c>
      <c r="AB58" s="9" t="s">
        <v>797</v>
      </c>
      <c r="AC58" s="9" t="s">
        <v>797</v>
      </c>
      <c r="AD58" s="9" t="s">
        <v>797</v>
      </c>
      <c r="AE58" s="9" t="s">
        <v>797</v>
      </c>
      <c r="AF58" s="9" t="s">
        <v>797</v>
      </c>
      <c r="AG58" s="9" t="s">
        <v>4590</v>
      </c>
      <c r="AH58" s="9" t="s">
        <v>4526</v>
      </c>
      <c r="AI58" s="9" t="s">
        <v>4526</v>
      </c>
      <c r="AJ58" s="9" t="s">
        <v>4526</v>
      </c>
      <c r="AK58" s="9" t="s">
        <v>4526</v>
      </c>
      <c r="AL58" s="9" t="s">
        <v>4526</v>
      </c>
      <c r="AM58" s="9" t="s">
        <v>4526</v>
      </c>
      <c r="AN58" s="9" t="s">
        <v>4526</v>
      </c>
      <c r="AO58" s="9" t="s">
        <v>4526</v>
      </c>
      <c r="AP58" s="9" t="s">
        <v>4526</v>
      </c>
      <c r="AQ58" s="9" t="s">
        <v>4531</v>
      </c>
      <c r="AR58" s="9" t="s">
        <v>4527</v>
      </c>
      <c r="AS58" s="9" t="s">
        <v>4526</v>
      </c>
      <c r="AT58" s="9" t="s">
        <v>4526</v>
      </c>
      <c r="AU58" s="9" t="s">
        <v>4526</v>
      </c>
      <c r="AV58" s="9" t="s">
        <v>4526</v>
      </c>
      <c r="AW58" s="9" t="s">
        <v>4526</v>
      </c>
      <c r="AX58" s="9" t="s">
        <v>4526</v>
      </c>
      <c r="AY58" s="9" t="s">
        <v>4526</v>
      </c>
      <c r="AZ58" s="9" t="s">
        <v>4526</v>
      </c>
      <c r="BA58" s="9" t="s">
        <v>4526</v>
      </c>
      <c r="BB58" s="9" t="s">
        <v>4526</v>
      </c>
      <c r="BC58" s="9" t="s">
        <v>4526</v>
      </c>
      <c r="BD58" s="9" t="s">
        <v>4526</v>
      </c>
      <c r="BE58" s="9" t="s">
        <v>4526</v>
      </c>
      <c r="BF58" s="9" t="s">
        <v>4531</v>
      </c>
      <c r="BG58" s="9" t="s">
        <v>4526</v>
      </c>
      <c r="BH58" s="9" t="s">
        <v>4531</v>
      </c>
      <c r="BI58" s="9" t="s">
        <v>4526</v>
      </c>
      <c r="BJ58" s="9" t="s">
        <v>4526</v>
      </c>
      <c r="BK58" s="9" t="s">
        <v>4526</v>
      </c>
      <c r="BL58" s="9" t="s">
        <v>4531</v>
      </c>
      <c r="BM58" s="9" t="s">
        <v>4531</v>
      </c>
      <c r="BN58" s="9" t="s">
        <v>4529</v>
      </c>
      <c r="BO58" s="9" t="s">
        <v>4527</v>
      </c>
      <c r="BP58" s="9" t="s">
        <v>4529</v>
      </c>
      <c r="BQ58" s="9" t="s">
        <v>4529</v>
      </c>
      <c r="BR58" s="9" t="s">
        <v>4529</v>
      </c>
      <c r="BS58" s="9" t="s">
        <v>4526</v>
      </c>
      <c r="BT58" s="9" t="s">
        <v>4526</v>
      </c>
      <c r="BU58" s="9" t="s">
        <v>4528</v>
      </c>
      <c r="BV58" s="9" t="s">
        <v>4530</v>
      </c>
      <c r="BW58" s="9" t="s">
        <v>13185</v>
      </c>
      <c r="BY58" s="9" t="s">
        <v>13200</v>
      </c>
      <c r="CA58" s="9" t="s">
        <v>13209</v>
      </c>
      <c r="CC58" s="9" t="s">
        <v>13209</v>
      </c>
      <c r="CE58" s="9" t="s">
        <v>4820</v>
      </c>
      <c r="CF58" s="9" t="s">
        <v>4821</v>
      </c>
      <c r="CI58" s="9" t="s">
        <v>4822</v>
      </c>
      <c r="CL58" s="9" t="s">
        <v>4823</v>
      </c>
      <c r="CO58" s="9" t="s">
        <v>4821</v>
      </c>
      <c r="CR58" s="9" t="s">
        <v>4824</v>
      </c>
      <c r="CS58" s="9" t="s">
        <v>4825</v>
      </c>
    </row>
    <row r="59" spans="1:98" ht="89.25" x14ac:dyDescent="0.2">
      <c r="A59" s="9" t="s">
        <v>145</v>
      </c>
      <c r="B59" s="10">
        <v>35</v>
      </c>
      <c r="C59" s="10" t="s">
        <v>4521</v>
      </c>
      <c r="D59" s="11">
        <v>0.55200000000000005</v>
      </c>
      <c r="E59" s="11">
        <v>0.439</v>
      </c>
      <c r="G59" s="11">
        <v>0.01</v>
      </c>
      <c r="H59" s="11">
        <v>0.84</v>
      </c>
      <c r="I59" s="11">
        <v>0.16</v>
      </c>
      <c r="J59" s="11">
        <v>0.71</v>
      </c>
      <c r="K59" s="11">
        <v>0.33</v>
      </c>
      <c r="L59" s="9" t="s">
        <v>4583</v>
      </c>
      <c r="M59" s="9" t="s">
        <v>4780</v>
      </c>
      <c r="N59" s="9" t="s">
        <v>4781</v>
      </c>
      <c r="O59" s="9" t="s">
        <v>14608</v>
      </c>
      <c r="S59" s="9" t="s">
        <v>14610</v>
      </c>
      <c r="T59" s="9" t="s">
        <v>4782</v>
      </c>
      <c r="U59" s="9" t="s">
        <v>4783</v>
      </c>
      <c r="Y59" s="9" t="s">
        <v>13758</v>
      </c>
      <c r="Z59" s="9" t="s">
        <v>4784</v>
      </c>
      <c r="AD59" s="9" t="s">
        <v>14606</v>
      </c>
      <c r="AG59" s="9" t="s">
        <v>4525</v>
      </c>
      <c r="AH59" s="9" t="s">
        <v>4526</v>
      </c>
      <c r="AI59" s="9" t="s">
        <v>4531</v>
      </c>
      <c r="AJ59" s="9" t="s">
        <v>4527</v>
      </c>
      <c r="AK59" s="9" t="s">
        <v>4526</v>
      </c>
      <c r="AL59" s="9" t="s">
        <v>4526</v>
      </c>
      <c r="AM59" s="9" t="s">
        <v>4526</v>
      </c>
      <c r="AN59" s="9" t="s">
        <v>4526</v>
      </c>
      <c r="AO59" s="9" t="s">
        <v>4526</v>
      </c>
      <c r="AP59" s="9" t="s">
        <v>4531</v>
      </c>
      <c r="AQ59" s="9" t="s">
        <v>4531</v>
      </c>
      <c r="AR59" s="9" t="s">
        <v>4526</v>
      </c>
      <c r="AS59" s="9" t="s">
        <v>4526</v>
      </c>
      <c r="AT59" s="9" t="s">
        <v>4526</v>
      </c>
      <c r="AU59" s="9" t="s">
        <v>4526</v>
      </c>
      <c r="AV59" s="9" t="s">
        <v>4526</v>
      </c>
      <c r="AW59" s="9" t="s">
        <v>4526</v>
      </c>
      <c r="AX59" s="9" t="s">
        <v>4526</v>
      </c>
      <c r="AY59" s="9" t="s">
        <v>4526</v>
      </c>
      <c r="AZ59" s="9" t="s">
        <v>4531</v>
      </c>
      <c r="BA59" s="9" t="s">
        <v>4526</v>
      </c>
      <c r="BB59" s="9" t="s">
        <v>4526</v>
      </c>
      <c r="BC59" s="9" t="s">
        <v>4526</v>
      </c>
      <c r="BD59" s="9" t="s">
        <v>4526</v>
      </c>
      <c r="BE59" s="9" t="s">
        <v>4526</v>
      </c>
      <c r="BF59" s="9" t="s">
        <v>4526</v>
      </c>
      <c r="BG59" s="9" t="s">
        <v>4531</v>
      </c>
      <c r="BH59" s="9" t="s">
        <v>4526</v>
      </c>
      <c r="BI59" s="9" t="s">
        <v>4526</v>
      </c>
      <c r="BJ59" s="9" t="s">
        <v>4526</v>
      </c>
      <c r="BK59" s="9" t="s">
        <v>4526</v>
      </c>
      <c r="BL59" s="9" t="s">
        <v>4527</v>
      </c>
      <c r="BM59" s="9" t="s">
        <v>4531</v>
      </c>
      <c r="BN59" s="9" t="s">
        <v>4526</v>
      </c>
      <c r="BO59" s="9" t="s">
        <v>4526</v>
      </c>
      <c r="BP59" s="9" t="s">
        <v>4526</v>
      </c>
      <c r="BQ59" s="9" t="s">
        <v>4526</v>
      </c>
      <c r="BR59" s="9" t="s">
        <v>4526</v>
      </c>
      <c r="BS59" s="9" t="s">
        <v>4526</v>
      </c>
      <c r="BT59" s="9" t="s">
        <v>4531</v>
      </c>
      <c r="BU59" s="9" t="s">
        <v>4531</v>
      </c>
      <c r="BV59" s="9" t="s">
        <v>4527</v>
      </c>
      <c r="BW59" s="9" t="s">
        <v>13184</v>
      </c>
      <c r="BX59" s="9" t="s">
        <v>4785</v>
      </c>
      <c r="BY59" s="9" t="s">
        <v>13195</v>
      </c>
      <c r="CA59" s="9" t="s">
        <v>13209</v>
      </c>
      <c r="CC59" s="9" t="s">
        <v>13209</v>
      </c>
      <c r="CE59" s="9" t="s">
        <v>13217</v>
      </c>
      <c r="CF59" s="9" t="s">
        <v>14607</v>
      </c>
    </row>
    <row r="60" spans="1:98" ht="25.5" x14ac:dyDescent="0.2">
      <c r="A60" s="9" t="s">
        <v>141</v>
      </c>
      <c r="B60" s="10">
        <v>48</v>
      </c>
      <c r="C60" s="10" t="s">
        <v>4541</v>
      </c>
      <c r="D60" s="11">
        <v>0.74</v>
      </c>
      <c r="E60" s="11">
        <v>0.26</v>
      </c>
      <c r="H60" s="11">
        <v>0.75</v>
      </c>
      <c r="I60" s="11">
        <v>0.25</v>
      </c>
      <c r="J60" s="11">
        <v>0.24</v>
      </c>
      <c r="K60" s="11">
        <v>0.54</v>
      </c>
      <c r="L60" s="9" t="s">
        <v>4743</v>
      </c>
      <c r="M60" s="9" t="s">
        <v>4744</v>
      </c>
      <c r="T60" s="9" t="s">
        <v>4745</v>
      </c>
      <c r="U60" s="9" t="s">
        <v>4746</v>
      </c>
      <c r="W60" s="9" t="s">
        <v>4747</v>
      </c>
      <c r="X60" s="9" t="s">
        <v>13757</v>
      </c>
      <c r="AB60" s="9" t="s">
        <v>4748</v>
      </c>
      <c r="AD60" s="9" t="s">
        <v>4749</v>
      </c>
      <c r="AE60" s="9" t="s">
        <v>4750</v>
      </c>
      <c r="AG60" s="9" t="s">
        <v>4525</v>
      </c>
      <c r="AH60" s="9" t="s">
        <v>4529</v>
      </c>
      <c r="AI60" s="9" t="s">
        <v>4529</v>
      </c>
      <c r="AJ60" s="9" t="s">
        <v>4530</v>
      </c>
      <c r="AK60" s="9" t="s">
        <v>4531</v>
      </c>
      <c r="AL60" s="9" t="s">
        <v>4526</v>
      </c>
      <c r="AM60" s="9" t="s">
        <v>4526</v>
      </c>
      <c r="AN60" s="9" t="s">
        <v>4529</v>
      </c>
      <c r="AO60" s="9" t="s">
        <v>4530</v>
      </c>
      <c r="AP60" s="9" t="s">
        <v>4530</v>
      </c>
      <c r="AQ60" s="9" t="s">
        <v>4531</v>
      </c>
      <c r="AR60" s="9" t="s">
        <v>4531</v>
      </c>
      <c r="AS60" s="9" t="s">
        <v>4530</v>
      </c>
      <c r="AT60" s="9" t="s">
        <v>4530</v>
      </c>
      <c r="AU60" s="9" t="s">
        <v>4530</v>
      </c>
      <c r="AV60" s="9" t="s">
        <v>4530</v>
      </c>
      <c r="AW60" s="9" t="s">
        <v>4530</v>
      </c>
      <c r="AX60" s="9" t="s">
        <v>4530</v>
      </c>
      <c r="AY60" s="9" t="s">
        <v>4530</v>
      </c>
      <c r="AZ60" s="9" t="s">
        <v>4531</v>
      </c>
      <c r="BA60" s="9" t="s">
        <v>4530</v>
      </c>
      <c r="BB60" s="9" t="s">
        <v>4530</v>
      </c>
      <c r="BC60" s="9" t="s">
        <v>4530</v>
      </c>
      <c r="BD60" s="9" t="s">
        <v>4530</v>
      </c>
      <c r="BE60" s="9" t="s">
        <v>4530</v>
      </c>
      <c r="BF60" s="9" t="s">
        <v>4529</v>
      </c>
      <c r="BG60" s="9" t="s">
        <v>4531</v>
      </c>
      <c r="BH60" s="9" t="s">
        <v>4531</v>
      </c>
      <c r="BI60" s="9" t="s">
        <v>4531</v>
      </c>
      <c r="BJ60" s="9" t="s">
        <v>4531</v>
      </c>
      <c r="BK60" s="9" t="s">
        <v>4530</v>
      </c>
      <c r="BL60" s="9" t="s">
        <v>4531</v>
      </c>
      <c r="BM60" s="9" t="s">
        <v>4527</v>
      </c>
      <c r="BN60" s="9" t="s">
        <v>4531</v>
      </c>
      <c r="BO60" s="9" t="s">
        <v>4531</v>
      </c>
      <c r="BP60" s="9" t="s">
        <v>4530</v>
      </c>
      <c r="BQ60" s="9" t="s">
        <v>4530</v>
      </c>
      <c r="BR60" s="9" t="s">
        <v>4529</v>
      </c>
      <c r="BS60" s="9" t="s">
        <v>4529</v>
      </c>
      <c r="BT60" s="9" t="s">
        <v>4529</v>
      </c>
      <c r="BU60" s="9" t="s">
        <v>4530</v>
      </c>
      <c r="BV60" s="9" t="s">
        <v>4531</v>
      </c>
      <c r="BW60" s="9" t="s">
        <v>4591</v>
      </c>
      <c r="BY60" s="9" t="s">
        <v>4751</v>
      </c>
      <c r="CA60" s="9" t="s">
        <v>4569</v>
      </c>
      <c r="CC60" s="9" t="s">
        <v>4569</v>
      </c>
      <c r="CE60" s="9" t="s">
        <v>4752</v>
      </c>
      <c r="CI60" s="9" t="s">
        <v>4753</v>
      </c>
      <c r="CJ60" s="9" t="s">
        <v>4754</v>
      </c>
      <c r="CK60" s="9" t="s">
        <v>4755</v>
      </c>
    </row>
    <row r="61" spans="1:98" ht="38.25" x14ac:dyDescent="0.2">
      <c r="A61" s="9" t="s">
        <v>132</v>
      </c>
      <c r="B61" s="10">
        <v>38</v>
      </c>
      <c r="C61" s="10" t="s">
        <v>4541</v>
      </c>
      <c r="D61" s="11">
        <v>0.71</v>
      </c>
      <c r="E61" s="11">
        <v>0.28999999999999998</v>
      </c>
      <c r="H61" s="11">
        <v>0.89</v>
      </c>
      <c r="I61" s="11">
        <v>0.11</v>
      </c>
      <c r="J61" s="11">
        <v>0.61</v>
      </c>
      <c r="K61" s="11">
        <v>0.23</v>
      </c>
      <c r="L61" s="9" t="s">
        <v>4557</v>
      </c>
      <c r="O61" s="9" t="s">
        <v>4673</v>
      </c>
      <c r="R61" s="9" t="s">
        <v>4674</v>
      </c>
      <c r="T61" s="9" t="s">
        <v>4675</v>
      </c>
      <c r="X61" s="9" t="s">
        <v>4676</v>
      </c>
      <c r="AB61" s="9" t="s">
        <v>4677</v>
      </c>
      <c r="AC61" s="9" t="s">
        <v>4678</v>
      </c>
      <c r="AD61" s="9" t="s">
        <v>4679</v>
      </c>
      <c r="AF61" s="9" t="s">
        <v>4680</v>
      </c>
      <c r="AG61" s="9" t="s">
        <v>4590</v>
      </c>
      <c r="AH61" s="9" t="s">
        <v>4526</v>
      </c>
      <c r="AI61" s="9" t="s">
        <v>4527</v>
      </c>
      <c r="AJ61" s="9" t="s">
        <v>4527</v>
      </c>
      <c r="AK61" s="9" t="s">
        <v>4529</v>
      </c>
      <c r="AL61" s="9" t="s">
        <v>4530</v>
      </c>
      <c r="AM61" s="9" t="s">
        <v>4530</v>
      </c>
      <c r="AN61" s="9" t="s">
        <v>4531</v>
      </c>
      <c r="AO61" s="9" t="s">
        <v>4528</v>
      </c>
      <c r="AP61" s="9" t="s">
        <v>4531</v>
      </c>
      <c r="AQ61" s="9" t="s">
        <v>4531</v>
      </c>
      <c r="AR61" s="9" t="s">
        <v>4529</v>
      </c>
      <c r="AS61" s="9" t="s">
        <v>4529</v>
      </c>
      <c r="AT61" s="9" t="s">
        <v>4529</v>
      </c>
      <c r="AU61" s="9" t="s">
        <v>4527</v>
      </c>
      <c r="AV61" s="9" t="s">
        <v>4529</v>
      </c>
      <c r="AW61" s="9" t="s">
        <v>4529</v>
      </c>
      <c r="AX61" s="9" t="s">
        <v>4530</v>
      </c>
      <c r="AY61" s="9" t="s">
        <v>4530</v>
      </c>
      <c r="AZ61" s="9" t="s">
        <v>4530</v>
      </c>
      <c r="BA61" s="9" t="s">
        <v>4529</v>
      </c>
      <c r="BB61" s="9" t="s">
        <v>4530</v>
      </c>
      <c r="BC61" s="9" t="s">
        <v>4530</v>
      </c>
      <c r="BD61" s="9" t="s">
        <v>4530</v>
      </c>
      <c r="BE61" s="9" t="s">
        <v>4530</v>
      </c>
      <c r="BF61" s="9" t="s">
        <v>4527</v>
      </c>
      <c r="BG61" s="9" t="s">
        <v>4531</v>
      </c>
      <c r="BH61" s="9" t="s">
        <v>4530</v>
      </c>
      <c r="BI61" s="9" t="s">
        <v>4531</v>
      </c>
      <c r="BJ61" s="9" t="s">
        <v>4530</v>
      </c>
      <c r="BK61" s="9" t="s">
        <v>4530</v>
      </c>
      <c r="BL61" s="9" t="s">
        <v>4530</v>
      </c>
      <c r="BM61" s="9" t="s">
        <v>4530</v>
      </c>
      <c r="BN61" s="9" t="s">
        <v>4530</v>
      </c>
      <c r="BO61" s="9" t="s">
        <v>4527</v>
      </c>
      <c r="BP61" s="9" t="s">
        <v>4527</v>
      </c>
      <c r="BQ61" s="9" t="s">
        <v>4527</v>
      </c>
      <c r="BR61" s="9" t="s">
        <v>4529</v>
      </c>
      <c r="BS61" s="9" t="s">
        <v>4529</v>
      </c>
      <c r="BT61" s="9" t="s">
        <v>4527</v>
      </c>
      <c r="BU61" s="9" t="s">
        <v>4530</v>
      </c>
      <c r="BV61" s="9" t="s">
        <v>4527</v>
      </c>
      <c r="BW61" s="9" t="s">
        <v>13181</v>
      </c>
      <c r="BY61" s="9" t="s">
        <v>13181</v>
      </c>
      <c r="CA61" s="9" t="s">
        <v>13207</v>
      </c>
      <c r="CC61" s="9" t="s">
        <v>13209</v>
      </c>
      <c r="CE61" s="9" t="s">
        <v>13217</v>
      </c>
      <c r="CF61" s="9" t="s">
        <v>4681</v>
      </c>
      <c r="CG61" s="9" t="s">
        <v>4682</v>
      </c>
      <c r="CH61" s="9" t="s">
        <v>4683</v>
      </c>
      <c r="CI61" s="9" t="s">
        <v>4684</v>
      </c>
      <c r="CO61" s="9" t="s">
        <v>4685</v>
      </c>
      <c r="CP61" s="9" t="s">
        <v>4624</v>
      </c>
      <c r="CQ61" s="9" t="s">
        <v>4686</v>
      </c>
    </row>
    <row r="62" spans="1:98" ht="38.25" x14ac:dyDescent="0.2">
      <c r="A62" s="9" t="s">
        <v>136</v>
      </c>
      <c r="B62" s="10">
        <v>47</v>
      </c>
      <c r="C62" s="10" t="s">
        <v>4521</v>
      </c>
      <c r="D62" s="11">
        <v>0.74790000000000001</v>
      </c>
      <c r="E62" s="11">
        <v>0.2407</v>
      </c>
      <c r="G62" s="11">
        <v>0.01</v>
      </c>
      <c r="H62" s="11">
        <v>0.83550000000000002</v>
      </c>
      <c r="I62" s="11">
        <v>0.16449999999999998</v>
      </c>
      <c r="J62" s="11">
        <v>0.28999999999999998</v>
      </c>
      <c r="K62" s="11">
        <v>0.22</v>
      </c>
      <c r="L62" s="9" t="s">
        <v>4561</v>
      </c>
      <c r="AB62" s="9" t="s">
        <v>4704</v>
      </c>
      <c r="AG62" s="9" t="s">
        <v>4590</v>
      </c>
      <c r="AH62" s="9" t="s">
        <v>4526</v>
      </c>
      <c r="AI62" s="9" t="s">
        <v>4526</v>
      </c>
      <c r="AJ62" s="9" t="s">
        <v>4531</v>
      </c>
      <c r="AK62" s="9" t="s">
        <v>4527</v>
      </c>
      <c r="AL62" s="9" t="s">
        <v>4529</v>
      </c>
      <c r="AM62" s="9" t="s">
        <v>4528</v>
      </c>
      <c r="AN62" s="9" t="s">
        <v>4531</v>
      </c>
      <c r="AO62" s="9" t="s">
        <v>4526</v>
      </c>
      <c r="AP62" s="9" t="s">
        <v>4526</v>
      </c>
      <c r="AQ62" s="9" t="s">
        <v>4531</v>
      </c>
      <c r="AR62" s="9" t="s">
        <v>4526</v>
      </c>
      <c r="AS62" s="9" t="s">
        <v>4526</v>
      </c>
      <c r="AT62" s="9" t="s">
        <v>4526</v>
      </c>
      <c r="AU62" s="9" t="s">
        <v>4526</v>
      </c>
      <c r="AV62" s="9" t="s">
        <v>4526</v>
      </c>
      <c r="AW62" s="9" t="s">
        <v>4526</v>
      </c>
      <c r="AX62" s="9" t="s">
        <v>4526</v>
      </c>
      <c r="AY62" s="9" t="s">
        <v>4526</v>
      </c>
      <c r="AZ62" s="9" t="s">
        <v>4531</v>
      </c>
      <c r="BA62" s="9" t="s">
        <v>4526</v>
      </c>
      <c r="BB62" s="9" t="s">
        <v>4526</v>
      </c>
      <c r="BC62" s="9" t="s">
        <v>4526</v>
      </c>
      <c r="BD62" s="9" t="s">
        <v>4526</v>
      </c>
      <c r="BE62" s="9" t="s">
        <v>4526</v>
      </c>
      <c r="BF62" s="9" t="s">
        <v>4529</v>
      </c>
      <c r="BG62" s="9" t="s">
        <v>4531</v>
      </c>
      <c r="BH62" s="9" t="s">
        <v>4531</v>
      </c>
      <c r="BI62" s="9" t="s">
        <v>4531</v>
      </c>
      <c r="BJ62" s="9" t="s">
        <v>4526</v>
      </c>
      <c r="BK62" s="9" t="s">
        <v>4526</v>
      </c>
      <c r="BL62" s="9" t="s">
        <v>4526</v>
      </c>
      <c r="BM62" s="9" t="s">
        <v>4526</v>
      </c>
      <c r="BN62" s="9" t="s">
        <v>4529</v>
      </c>
      <c r="BO62" s="9" t="s">
        <v>4526</v>
      </c>
      <c r="BP62" s="9" t="s">
        <v>4526</v>
      </c>
      <c r="BQ62" s="9" t="s">
        <v>4530</v>
      </c>
      <c r="BR62" s="9" t="s">
        <v>4530</v>
      </c>
      <c r="BS62" s="9" t="s">
        <v>4529</v>
      </c>
      <c r="BT62" s="9" t="s">
        <v>4528</v>
      </c>
      <c r="BU62" s="9" t="s">
        <v>4526</v>
      </c>
      <c r="BV62" s="9" t="s">
        <v>4530</v>
      </c>
      <c r="BW62" s="9" t="s">
        <v>13172</v>
      </c>
      <c r="BY62" s="9" t="s">
        <v>13198</v>
      </c>
      <c r="CA62" s="9" t="s">
        <v>13207</v>
      </c>
      <c r="CC62" s="9" t="s">
        <v>13214</v>
      </c>
      <c r="CE62" s="9" t="s">
        <v>4197</v>
      </c>
      <c r="CO62" s="9" t="s">
        <v>4705</v>
      </c>
    </row>
    <row r="63" spans="1:98" ht="63.75" x14ac:dyDescent="0.2">
      <c r="A63" s="9" t="s">
        <v>177</v>
      </c>
      <c r="B63" s="10">
        <v>41</v>
      </c>
      <c r="C63" s="10" t="s">
        <v>4521</v>
      </c>
      <c r="D63" s="11">
        <v>0.7</v>
      </c>
      <c r="E63" s="11">
        <v>0.28999999999999998</v>
      </c>
      <c r="F63" s="11"/>
      <c r="G63" s="11">
        <v>0.01</v>
      </c>
      <c r="H63" s="11">
        <v>0.9</v>
      </c>
      <c r="I63" s="11">
        <v>0.1</v>
      </c>
      <c r="J63" s="11">
        <v>0.44</v>
      </c>
      <c r="K63" s="11">
        <v>0.22</v>
      </c>
      <c r="L63" s="9" t="s">
        <v>4583</v>
      </c>
      <c r="M63" s="9" t="s">
        <v>13753</v>
      </c>
      <c r="P63" s="9" t="s">
        <v>5121</v>
      </c>
      <c r="Q63" s="9" t="s">
        <v>5122</v>
      </c>
      <c r="S63" s="9" t="s">
        <v>5123</v>
      </c>
      <c r="W63" s="9" t="s">
        <v>5124</v>
      </c>
      <c r="AC63" s="9" t="s">
        <v>5125</v>
      </c>
      <c r="AD63" s="9" t="s">
        <v>13766</v>
      </c>
      <c r="AF63" s="9" t="s">
        <v>5126</v>
      </c>
      <c r="AG63" s="9" t="s">
        <v>4590</v>
      </c>
      <c r="AH63" s="9" t="s">
        <v>4526</v>
      </c>
      <c r="AI63" s="9" t="s">
        <v>4526</v>
      </c>
      <c r="AJ63" s="9" t="s">
        <v>4527</v>
      </c>
      <c r="AK63" s="9" t="s">
        <v>4531</v>
      </c>
      <c r="AL63" s="9" t="s">
        <v>4527</v>
      </c>
      <c r="AM63" s="9" t="s">
        <v>4526</v>
      </c>
      <c r="AN63" s="9" t="s">
        <v>4526</v>
      </c>
      <c r="AO63" s="9" t="s">
        <v>4526</v>
      </c>
      <c r="AP63" s="9" t="s">
        <v>4526</v>
      </c>
      <c r="AQ63" s="9" t="s">
        <v>4531</v>
      </c>
      <c r="AR63" s="9" t="s">
        <v>4529</v>
      </c>
      <c r="AS63" s="9" t="s">
        <v>4526</v>
      </c>
      <c r="AT63" s="9" t="s">
        <v>4530</v>
      </c>
      <c r="AU63" s="9" t="s">
        <v>4530</v>
      </c>
      <c r="AV63" s="9" t="s">
        <v>4528</v>
      </c>
      <c r="AW63" s="9" t="s">
        <v>4528</v>
      </c>
      <c r="AX63" s="9" t="s">
        <v>4526</v>
      </c>
      <c r="AY63" s="9" t="s">
        <v>4526</v>
      </c>
      <c r="AZ63" s="9" t="s">
        <v>4527</v>
      </c>
      <c r="BA63" s="9" t="s">
        <v>4526</v>
      </c>
      <c r="BB63" s="9" t="s">
        <v>4526</v>
      </c>
      <c r="BC63" s="9" t="s">
        <v>4526</v>
      </c>
      <c r="BD63" s="9" t="s">
        <v>4526</v>
      </c>
      <c r="BE63" s="9" t="s">
        <v>4528</v>
      </c>
      <c r="BF63" s="9" t="s">
        <v>4527</v>
      </c>
      <c r="BG63" s="9" t="s">
        <v>4531</v>
      </c>
      <c r="BH63" s="9" t="s">
        <v>4528</v>
      </c>
      <c r="BI63" s="9" t="s">
        <v>4531</v>
      </c>
      <c r="BJ63" s="9" t="s">
        <v>4526</v>
      </c>
      <c r="BK63" s="9" t="s">
        <v>4530</v>
      </c>
      <c r="BL63" s="9" t="s">
        <v>4530</v>
      </c>
      <c r="BM63" s="9" t="s">
        <v>4529</v>
      </c>
      <c r="BN63" s="9" t="s">
        <v>4526</v>
      </c>
      <c r="BO63" s="9" t="s">
        <v>4527</v>
      </c>
      <c r="BP63" s="9" t="s">
        <v>4526</v>
      </c>
      <c r="BQ63" s="9" t="s">
        <v>4527</v>
      </c>
      <c r="BR63" s="9" t="s">
        <v>4529</v>
      </c>
      <c r="BS63" s="9" t="s">
        <v>4529</v>
      </c>
      <c r="BT63" s="9" t="s">
        <v>4527</v>
      </c>
      <c r="BU63" s="9" t="s">
        <v>4526</v>
      </c>
      <c r="BV63" s="9" t="s">
        <v>4527</v>
      </c>
      <c r="BW63" s="9" t="s">
        <v>13175</v>
      </c>
      <c r="BX63" s="9" t="s">
        <v>5127</v>
      </c>
      <c r="BY63" s="9" t="s">
        <v>13201</v>
      </c>
      <c r="CA63" s="9" t="s">
        <v>4621</v>
      </c>
      <c r="CC63" s="9" t="s">
        <v>4811</v>
      </c>
      <c r="CE63" s="9" t="s">
        <v>4579</v>
      </c>
      <c r="CF63" s="9" t="s">
        <v>5128</v>
      </c>
      <c r="CG63" s="9" t="s">
        <v>5129</v>
      </c>
      <c r="CI63" s="9" t="s">
        <v>5130</v>
      </c>
      <c r="CJ63" s="9" t="s">
        <v>5131</v>
      </c>
      <c r="CK63" s="9" t="s">
        <v>5132</v>
      </c>
    </row>
    <row r="64" spans="1:98" ht="89.25" x14ac:dyDescent="0.2">
      <c r="A64" s="9" t="s">
        <v>162</v>
      </c>
      <c r="B64" s="10">
        <v>38</v>
      </c>
      <c r="C64" s="10" t="s">
        <v>4521</v>
      </c>
      <c r="D64" s="11">
        <v>0.6159</v>
      </c>
      <c r="E64" s="11">
        <v>0.38200000000000001</v>
      </c>
      <c r="F64" s="11"/>
      <c r="G64" s="11">
        <v>0</v>
      </c>
      <c r="H64" s="11">
        <v>0.77749999999999997</v>
      </c>
      <c r="I64" s="11">
        <v>0.2225</v>
      </c>
      <c r="J64" s="11">
        <v>0.66</v>
      </c>
      <c r="K64" s="11">
        <v>0.32</v>
      </c>
      <c r="L64" s="9" t="s">
        <v>4743</v>
      </c>
      <c r="M64" s="9" t="s">
        <v>4973</v>
      </c>
      <c r="N64" s="9" t="s">
        <v>4974</v>
      </c>
      <c r="U64" s="9" t="s">
        <v>13760</v>
      </c>
      <c r="W64" s="9" t="s">
        <v>4975</v>
      </c>
      <c r="X64" s="9" t="s">
        <v>13759</v>
      </c>
      <c r="Z64" s="9" t="s">
        <v>4976</v>
      </c>
      <c r="AA64" s="9" t="s">
        <v>4977</v>
      </c>
      <c r="AG64" s="9" t="s">
        <v>4590</v>
      </c>
      <c r="AH64" s="9" t="s">
        <v>4527</v>
      </c>
      <c r="AI64" s="9" t="s">
        <v>4531</v>
      </c>
      <c r="AJ64" s="9" t="s">
        <v>4527</v>
      </c>
      <c r="AK64" s="9" t="s">
        <v>4526</v>
      </c>
      <c r="AL64" s="9" t="s">
        <v>4526</v>
      </c>
      <c r="AM64" s="9" t="s">
        <v>4526</v>
      </c>
      <c r="AN64" s="9" t="s">
        <v>4526</v>
      </c>
      <c r="AO64" s="9" t="s">
        <v>4526</v>
      </c>
      <c r="AP64" s="9" t="s">
        <v>4526</v>
      </c>
      <c r="AQ64" s="9" t="s">
        <v>4531</v>
      </c>
      <c r="AR64" s="9" t="s">
        <v>4526</v>
      </c>
      <c r="AS64" s="9" t="s">
        <v>4526</v>
      </c>
      <c r="AT64" s="9" t="s">
        <v>4526</v>
      </c>
      <c r="AU64" s="9" t="s">
        <v>4526</v>
      </c>
      <c r="AV64" s="9" t="s">
        <v>4526</v>
      </c>
      <c r="AW64" s="9" t="s">
        <v>4526</v>
      </c>
      <c r="AX64" s="9" t="s">
        <v>4526</v>
      </c>
      <c r="AY64" s="9" t="s">
        <v>4526</v>
      </c>
      <c r="AZ64" s="9" t="s">
        <v>4526</v>
      </c>
      <c r="BA64" s="9" t="s">
        <v>4526</v>
      </c>
      <c r="BB64" s="9" t="s">
        <v>4526</v>
      </c>
      <c r="BC64" s="9" t="s">
        <v>4526</v>
      </c>
      <c r="BD64" s="9" t="s">
        <v>4526</v>
      </c>
      <c r="BE64" s="9" t="s">
        <v>4526</v>
      </c>
      <c r="BF64" s="9" t="s">
        <v>4526</v>
      </c>
      <c r="BG64" s="9" t="s">
        <v>4531</v>
      </c>
      <c r="BH64" s="9" t="s">
        <v>4531</v>
      </c>
      <c r="BI64" s="9" t="s">
        <v>4531</v>
      </c>
      <c r="BJ64" s="9" t="s">
        <v>4526</v>
      </c>
      <c r="BK64" s="9" t="s">
        <v>4526</v>
      </c>
      <c r="BL64" s="9" t="s">
        <v>4526</v>
      </c>
      <c r="BM64" s="9" t="s">
        <v>4531</v>
      </c>
      <c r="BN64" s="9" t="s">
        <v>4526</v>
      </c>
      <c r="BO64" s="9" t="s">
        <v>4527</v>
      </c>
      <c r="BP64" s="9" t="s">
        <v>4529</v>
      </c>
      <c r="BQ64" s="9" t="s">
        <v>4530</v>
      </c>
      <c r="BR64" s="9" t="s">
        <v>4527</v>
      </c>
      <c r="BS64" s="9" t="s">
        <v>4526</v>
      </c>
      <c r="BT64" s="9" t="s">
        <v>4526</v>
      </c>
      <c r="BU64" s="9" t="s">
        <v>4528</v>
      </c>
      <c r="BV64" s="9" t="s">
        <v>4527</v>
      </c>
      <c r="BW64" s="9" t="s">
        <v>13190</v>
      </c>
      <c r="BY64" s="9" t="s">
        <v>13203</v>
      </c>
      <c r="CA64" s="9" t="s">
        <v>13209</v>
      </c>
      <c r="CC64" s="9" t="s">
        <v>4978</v>
      </c>
      <c r="CD64" s="9" t="s">
        <v>4979</v>
      </c>
      <c r="CE64" s="9" t="s">
        <v>29</v>
      </c>
      <c r="CR64" s="9" t="s">
        <v>4980</v>
      </c>
      <c r="CS64" s="9" t="s">
        <v>4981</v>
      </c>
      <c r="CT64" s="9" t="s">
        <v>4982</v>
      </c>
    </row>
    <row r="65" spans="1:98" ht="63.75" x14ac:dyDescent="0.2">
      <c r="A65" s="9" t="s">
        <v>148</v>
      </c>
      <c r="B65" s="10">
        <v>34</v>
      </c>
      <c r="C65" s="10" t="s">
        <v>4613</v>
      </c>
      <c r="D65" s="11">
        <v>0.81</v>
      </c>
      <c r="E65" s="11">
        <v>0.19</v>
      </c>
      <c r="F65" s="11">
        <v>0</v>
      </c>
      <c r="H65" s="11">
        <v>0.77</v>
      </c>
      <c r="I65" s="11">
        <v>0.23</v>
      </c>
      <c r="J65" s="11">
        <v>0.37</v>
      </c>
      <c r="K65" s="11">
        <v>0.49</v>
      </c>
      <c r="AF65" s="9" t="s">
        <v>4809</v>
      </c>
      <c r="AG65" s="9" t="s">
        <v>4590</v>
      </c>
      <c r="AH65" s="9" t="s">
        <v>4526</v>
      </c>
      <c r="AI65" s="9" t="s">
        <v>4526</v>
      </c>
      <c r="AJ65" s="9" t="s">
        <v>4526</v>
      </c>
      <c r="AK65" s="9" t="s">
        <v>4531</v>
      </c>
      <c r="AL65" s="9" t="s">
        <v>4526</v>
      </c>
      <c r="AM65" s="9" t="s">
        <v>4526</v>
      </c>
      <c r="AN65" s="9" t="s">
        <v>4531</v>
      </c>
      <c r="AO65" s="9" t="s">
        <v>4526</v>
      </c>
      <c r="AP65" s="9" t="s">
        <v>4526</v>
      </c>
      <c r="AQ65" s="9" t="s">
        <v>4531</v>
      </c>
      <c r="AR65" s="9" t="s">
        <v>4526</v>
      </c>
      <c r="AS65" s="9" t="s">
        <v>4526</v>
      </c>
      <c r="AT65" s="9" t="s">
        <v>4528</v>
      </c>
      <c r="AU65" s="9" t="s">
        <v>4526</v>
      </c>
      <c r="AV65" s="9" t="s">
        <v>4526</v>
      </c>
      <c r="AW65" s="9" t="s">
        <v>4526</v>
      </c>
      <c r="AX65" s="9" t="s">
        <v>4526</v>
      </c>
      <c r="AY65" s="9" t="s">
        <v>4526</v>
      </c>
      <c r="AZ65" s="9" t="s">
        <v>4531</v>
      </c>
      <c r="BA65" s="9" t="s">
        <v>4526</v>
      </c>
      <c r="BB65" s="9" t="s">
        <v>4526</v>
      </c>
      <c r="BC65" s="9" t="s">
        <v>4526</v>
      </c>
      <c r="BD65" s="9" t="s">
        <v>4526</v>
      </c>
      <c r="BE65" s="9" t="s">
        <v>4526</v>
      </c>
      <c r="BF65" s="9" t="s">
        <v>4526</v>
      </c>
      <c r="BG65" s="9" t="s">
        <v>4526</v>
      </c>
      <c r="BH65" s="9" t="s">
        <v>4531</v>
      </c>
      <c r="BI65" s="9" t="s">
        <v>4526</v>
      </c>
      <c r="BJ65" s="9" t="s">
        <v>4531</v>
      </c>
      <c r="BK65" s="9" t="s">
        <v>4531</v>
      </c>
      <c r="BL65" s="9" t="s">
        <v>4531</v>
      </c>
      <c r="BM65" s="9" t="s">
        <v>4531</v>
      </c>
      <c r="BN65" s="9" t="s">
        <v>4526</v>
      </c>
      <c r="BO65" s="9" t="s">
        <v>4528</v>
      </c>
      <c r="BP65" s="9" t="s">
        <v>4526</v>
      </c>
      <c r="BQ65" s="9" t="s">
        <v>4526</v>
      </c>
      <c r="BR65" s="9" t="s">
        <v>4526</v>
      </c>
      <c r="BS65" s="9" t="s">
        <v>4526</v>
      </c>
      <c r="BT65" s="9" t="s">
        <v>4526</v>
      </c>
      <c r="BU65" s="9" t="s">
        <v>4531</v>
      </c>
      <c r="BV65" s="9" t="s">
        <v>4526</v>
      </c>
      <c r="BW65" s="9" t="s">
        <v>4777</v>
      </c>
      <c r="BY65" s="9" t="s">
        <v>4772</v>
      </c>
      <c r="BZ65" s="9" t="s">
        <v>4810</v>
      </c>
      <c r="CA65" s="9" t="s">
        <v>4811</v>
      </c>
      <c r="CC65" s="9" t="s">
        <v>4812</v>
      </c>
      <c r="CE65" s="9" t="s">
        <v>4657</v>
      </c>
      <c r="CF65" s="9" t="s">
        <v>4813</v>
      </c>
      <c r="CG65" s="9" t="s">
        <v>4814</v>
      </c>
      <c r="CH65" s="9" t="s">
        <v>4815</v>
      </c>
      <c r="CO65" s="9" t="s">
        <v>4816</v>
      </c>
      <c r="CP65" s="9" t="s">
        <v>4817</v>
      </c>
      <c r="CQ65" s="9" t="s">
        <v>4818</v>
      </c>
    </row>
    <row r="66" spans="1:98" ht="38.25" x14ac:dyDescent="0.2">
      <c r="A66" s="9" t="s">
        <v>167</v>
      </c>
      <c r="B66" s="10">
        <v>40</v>
      </c>
      <c r="C66" s="10" t="s">
        <v>4541</v>
      </c>
      <c r="D66" s="11">
        <v>0.74</v>
      </c>
      <c r="E66" s="11">
        <v>0.26</v>
      </c>
      <c r="F66" s="11"/>
      <c r="H66" s="11">
        <v>0.86</v>
      </c>
      <c r="I66" s="11">
        <v>0.14000000000000001</v>
      </c>
      <c r="J66" s="11">
        <v>0.55000000000000004</v>
      </c>
      <c r="K66" s="11">
        <v>0.24</v>
      </c>
      <c r="L66" s="9" t="s">
        <v>13165</v>
      </c>
      <c r="N66" s="9" t="s">
        <v>5008</v>
      </c>
      <c r="O66" s="9" t="s">
        <v>5009</v>
      </c>
      <c r="U66" s="9" t="s">
        <v>5010</v>
      </c>
      <c r="W66" s="9" t="s">
        <v>5011</v>
      </c>
      <c r="X66" s="9" t="s">
        <v>13761</v>
      </c>
      <c r="Y66" s="9" t="s">
        <v>5012</v>
      </c>
      <c r="AA66" s="9" t="s">
        <v>5013</v>
      </c>
      <c r="AD66" s="9" t="s">
        <v>5014</v>
      </c>
      <c r="AE66" s="9" t="s">
        <v>5015</v>
      </c>
      <c r="AG66" s="9" t="s">
        <v>4590</v>
      </c>
      <c r="AH66" s="9" t="s">
        <v>4526</v>
      </c>
      <c r="AI66" s="9" t="s">
        <v>4526</v>
      </c>
      <c r="AJ66" s="9" t="s">
        <v>4527</v>
      </c>
      <c r="AK66" s="9" t="s">
        <v>4526</v>
      </c>
      <c r="AL66" s="9" t="s">
        <v>4529</v>
      </c>
      <c r="AM66" s="9" t="s">
        <v>4526</v>
      </c>
      <c r="AN66" s="9" t="s">
        <v>4526</v>
      </c>
      <c r="AO66" s="9" t="s">
        <v>4526</v>
      </c>
      <c r="AP66" s="9" t="s">
        <v>4526</v>
      </c>
      <c r="AQ66" s="9" t="s">
        <v>4531</v>
      </c>
      <c r="AR66" s="9" t="s">
        <v>4526</v>
      </c>
      <c r="AS66" s="9" t="s">
        <v>4526</v>
      </c>
      <c r="AT66" s="9" t="s">
        <v>4528</v>
      </c>
      <c r="AU66" s="9" t="s">
        <v>4526</v>
      </c>
      <c r="AV66" s="9" t="s">
        <v>4526</v>
      </c>
      <c r="AW66" s="9" t="s">
        <v>4526</v>
      </c>
      <c r="AX66" s="9" t="s">
        <v>4526</v>
      </c>
      <c r="AY66" s="9" t="s">
        <v>4528</v>
      </c>
      <c r="AZ66" s="9" t="s">
        <v>4531</v>
      </c>
      <c r="BA66" s="9" t="s">
        <v>4526</v>
      </c>
      <c r="BB66" s="9" t="s">
        <v>4526</v>
      </c>
      <c r="BC66" s="9" t="s">
        <v>4526</v>
      </c>
      <c r="BD66" s="9" t="s">
        <v>4526</v>
      </c>
      <c r="BE66" s="9" t="s">
        <v>4526</v>
      </c>
      <c r="BF66" s="9" t="s">
        <v>4530</v>
      </c>
      <c r="BG66" s="9" t="s">
        <v>4531</v>
      </c>
      <c r="BH66" s="9" t="s">
        <v>4526</v>
      </c>
      <c r="BI66" s="9" t="s">
        <v>4531</v>
      </c>
      <c r="BJ66" s="9" t="s">
        <v>4526</v>
      </c>
      <c r="BK66" s="9" t="s">
        <v>4526</v>
      </c>
      <c r="BL66" s="9" t="s">
        <v>4526</v>
      </c>
      <c r="BM66" s="9" t="s">
        <v>4531</v>
      </c>
      <c r="BN66" s="9" t="s">
        <v>4526</v>
      </c>
      <c r="BO66" s="9" t="s">
        <v>4526</v>
      </c>
      <c r="BP66" s="9" t="s">
        <v>4526</v>
      </c>
      <c r="BQ66" s="9" t="s">
        <v>4526</v>
      </c>
      <c r="BR66" s="9" t="s">
        <v>4529</v>
      </c>
      <c r="BS66" s="9" t="s">
        <v>4529</v>
      </c>
      <c r="BT66" s="9" t="s">
        <v>4527</v>
      </c>
      <c r="BU66" s="9" t="s">
        <v>4526</v>
      </c>
      <c r="BV66" s="9" t="s">
        <v>4527</v>
      </c>
      <c r="BW66" s="9" t="s">
        <v>13180</v>
      </c>
      <c r="BX66" s="9" t="s">
        <v>4685</v>
      </c>
      <c r="BY66" s="9" t="s">
        <v>13180</v>
      </c>
      <c r="BZ66" s="9" t="s">
        <v>4685</v>
      </c>
      <c r="CA66" s="9" t="s">
        <v>13209</v>
      </c>
      <c r="CC66" s="9" t="s">
        <v>13209</v>
      </c>
      <c r="CE66" s="9" t="s">
        <v>13217</v>
      </c>
      <c r="CF66" s="9" t="s">
        <v>5016</v>
      </c>
      <c r="CG66" s="9" t="s">
        <v>5017</v>
      </c>
      <c r="CH66" s="9" t="s">
        <v>5018</v>
      </c>
      <c r="CI66" s="9" t="s">
        <v>5019</v>
      </c>
      <c r="CJ66" s="9" t="s">
        <v>5020</v>
      </c>
      <c r="CO66" s="9" t="s">
        <v>5021</v>
      </c>
    </row>
    <row r="67" spans="1:98" x14ac:dyDescent="0.2">
      <c r="A67" s="71" t="s">
        <v>14025</v>
      </c>
      <c r="B67" s="72">
        <f>COUNTA(B3:B66)</f>
        <v>64</v>
      </c>
      <c r="C67" s="72">
        <f t="shared" ref="C67:BN67" si="0">COUNTA(C3:C66)</f>
        <v>64</v>
      </c>
      <c r="D67" s="72">
        <f t="shared" si="0"/>
        <v>64</v>
      </c>
      <c r="E67" s="72">
        <f t="shared" si="0"/>
        <v>64</v>
      </c>
      <c r="F67" s="72">
        <f t="shared" si="0"/>
        <v>13</v>
      </c>
      <c r="G67" s="72">
        <f t="shared" si="0"/>
        <v>28</v>
      </c>
      <c r="H67" s="72">
        <f t="shared" si="0"/>
        <v>64</v>
      </c>
      <c r="I67" s="72">
        <f t="shared" si="0"/>
        <v>64</v>
      </c>
      <c r="J67" s="72">
        <f t="shared" si="0"/>
        <v>64</v>
      </c>
      <c r="K67" s="72">
        <f t="shared" si="0"/>
        <v>63</v>
      </c>
      <c r="L67" s="72">
        <f t="shared" si="0"/>
        <v>56</v>
      </c>
      <c r="M67" s="72">
        <f t="shared" si="0"/>
        <v>22</v>
      </c>
      <c r="N67" s="72">
        <f t="shared" si="0"/>
        <v>12</v>
      </c>
      <c r="O67" s="72">
        <f t="shared" si="0"/>
        <v>16</v>
      </c>
      <c r="P67" s="72">
        <f t="shared" si="0"/>
        <v>6</v>
      </c>
      <c r="Q67" s="72">
        <f t="shared" si="0"/>
        <v>9</v>
      </c>
      <c r="R67" s="72">
        <f t="shared" si="0"/>
        <v>10</v>
      </c>
      <c r="S67" s="72">
        <f t="shared" si="0"/>
        <v>17</v>
      </c>
      <c r="T67" s="72">
        <f t="shared" si="0"/>
        <v>19</v>
      </c>
      <c r="U67" s="72">
        <f t="shared" si="0"/>
        <v>21</v>
      </c>
      <c r="V67" s="72">
        <f t="shared" si="0"/>
        <v>7</v>
      </c>
      <c r="W67" s="72">
        <f t="shared" si="0"/>
        <v>20</v>
      </c>
      <c r="X67" s="72">
        <f t="shared" si="0"/>
        <v>24</v>
      </c>
      <c r="Y67" s="72">
        <f t="shared" si="0"/>
        <v>9</v>
      </c>
      <c r="Z67" s="72">
        <f t="shared" si="0"/>
        <v>8</v>
      </c>
      <c r="AA67" s="72">
        <f t="shared" si="0"/>
        <v>19</v>
      </c>
      <c r="AB67" s="72">
        <f t="shared" si="0"/>
        <v>17</v>
      </c>
      <c r="AC67" s="72">
        <f t="shared" si="0"/>
        <v>8</v>
      </c>
      <c r="AD67" s="72">
        <f t="shared" si="0"/>
        <v>30</v>
      </c>
      <c r="AE67" s="72">
        <f t="shared" si="0"/>
        <v>9</v>
      </c>
      <c r="AF67" s="72">
        <f t="shared" si="0"/>
        <v>13</v>
      </c>
      <c r="AG67" s="72">
        <f t="shared" si="0"/>
        <v>64</v>
      </c>
      <c r="AH67" s="72">
        <f t="shared" si="0"/>
        <v>63</v>
      </c>
      <c r="AI67" s="72">
        <f t="shared" si="0"/>
        <v>62</v>
      </c>
      <c r="AJ67" s="72">
        <f t="shared" si="0"/>
        <v>63</v>
      </c>
      <c r="AK67" s="72">
        <f t="shared" si="0"/>
        <v>64</v>
      </c>
      <c r="AL67" s="72">
        <f t="shared" si="0"/>
        <v>63</v>
      </c>
      <c r="AM67" s="72">
        <f t="shared" si="0"/>
        <v>63</v>
      </c>
      <c r="AN67" s="72">
        <f t="shared" si="0"/>
        <v>63</v>
      </c>
      <c r="AO67" s="72">
        <f t="shared" si="0"/>
        <v>64</v>
      </c>
      <c r="AP67" s="72">
        <f t="shared" si="0"/>
        <v>64</v>
      </c>
      <c r="AQ67" s="72">
        <f t="shared" si="0"/>
        <v>64</v>
      </c>
      <c r="AR67" s="72">
        <f t="shared" si="0"/>
        <v>64</v>
      </c>
      <c r="AS67" s="72">
        <f t="shared" si="0"/>
        <v>64</v>
      </c>
      <c r="AT67" s="72">
        <f t="shared" si="0"/>
        <v>63</v>
      </c>
      <c r="AU67" s="72">
        <f t="shared" si="0"/>
        <v>63</v>
      </c>
      <c r="AV67" s="72">
        <f t="shared" si="0"/>
        <v>64</v>
      </c>
      <c r="AW67" s="72">
        <f t="shared" si="0"/>
        <v>64</v>
      </c>
      <c r="AX67" s="72">
        <f t="shared" si="0"/>
        <v>64</v>
      </c>
      <c r="AY67" s="72">
        <f t="shared" si="0"/>
        <v>64</v>
      </c>
      <c r="AZ67" s="72">
        <f t="shared" si="0"/>
        <v>64</v>
      </c>
      <c r="BA67" s="72">
        <f t="shared" si="0"/>
        <v>64</v>
      </c>
      <c r="BB67" s="72">
        <f t="shared" si="0"/>
        <v>64</v>
      </c>
      <c r="BC67" s="72">
        <f t="shared" si="0"/>
        <v>64</v>
      </c>
      <c r="BD67" s="72">
        <f t="shared" si="0"/>
        <v>64</v>
      </c>
      <c r="BE67" s="72">
        <f t="shared" si="0"/>
        <v>64</v>
      </c>
      <c r="BF67" s="72">
        <f t="shared" si="0"/>
        <v>63</v>
      </c>
      <c r="BG67" s="72">
        <f t="shared" si="0"/>
        <v>63</v>
      </c>
      <c r="BH67" s="72">
        <f t="shared" si="0"/>
        <v>63</v>
      </c>
      <c r="BI67" s="72">
        <f t="shared" si="0"/>
        <v>63</v>
      </c>
      <c r="BJ67" s="72">
        <f t="shared" si="0"/>
        <v>64</v>
      </c>
      <c r="BK67" s="72">
        <f t="shared" si="0"/>
        <v>63</v>
      </c>
      <c r="BL67" s="72">
        <f t="shared" si="0"/>
        <v>64</v>
      </c>
      <c r="BM67" s="72">
        <f t="shared" si="0"/>
        <v>64</v>
      </c>
      <c r="BN67" s="72">
        <f t="shared" si="0"/>
        <v>64</v>
      </c>
      <c r="BO67" s="72">
        <f t="shared" ref="BO67:CT67" si="1">COUNTA(BO3:BO66)</f>
        <v>64</v>
      </c>
      <c r="BP67" s="72">
        <f t="shared" si="1"/>
        <v>64</v>
      </c>
      <c r="BQ67" s="72">
        <f t="shared" si="1"/>
        <v>64</v>
      </c>
      <c r="BR67" s="72">
        <f t="shared" si="1"/>
        <v>64</v>
      </c>
      <c r="BS67" s="72">
        <f t="shared" si="1"/>
        <v>64</v>
      </c>
      <c r="BT67" s="72">
        <f t="shared" si="1"/>
        <v>64</v>
      </c>
      <c r="BU67" s="72">
        <f t="shared" si="1"/>
        <v>64</v>
      </c>
      <c r="BV67" s="72">
        <f t="shared" si="1"/>
        <v>64</v>
      </c>
      <c r="BW67" s="72">
        <f t="shared" si="1"/>
        <v>64</v>
      </c>
      <c r="BX67" s="72">
        <f t="shared" si="1"/>
        <v>26</v>
      </c>
      <c r="BY67" s="72">
        <f t="shared" si="1"/>
        <v>64</v>
      </c>
      <c r="BZ67" s="72">
        <f t="shared" si="1"/>
        <v>19</v>
      </c>
      <c r="CA67" s="72">
        <f t="shared" si="1"/>
        <v>63</v>
      </c>
      <c r="CB67" s="72">
        <f t="shared" si="1"/>
        <v>12</v>
      </c>
      <c r="CC67" s="72">
        <f t="shared" si="1"/>
        <v>63</v>
      </c>
      <c r="CD67" s="72">
        <f t="shared" si="1"/>
        <v>12</v>
      </c>
      <c r="CE67" s="72">
        <f t="shared" si="1"/>
        <v>61</v>
      </c>
      <c r="CF67" s="72">
        <f t="shared" si="1"/>
        <v>40</v>
      </c>
      <c r="CG67" s="72">
        <f t="shared" si="1"/>
        <v>31</v>
      </c>
      <c r="CH67" s="72">
        <f t="shared" si="1"/>
        <v>17</v>
      </c>
      <c r="CI67" s="72">
        <f t="shared" si="1"/>
        <v>20</v>
      </c>
      <c r="CJ67" s="72">
        <f t="shared" si="1"/>
        <v>11</v>
      </c>
      <c r="CK67" s="72">
        <f t="shared" si="1"/>
        <v>9</v>
      </c>
      <c r="CL67" s="72">
        <f t="shared" si="1"/>
        <v>13</v>
      </c>
      <c r="CM67" s="72">
        <f t="shared" si="1"/>
        <v>8</v>
      </c>
      <c r="CN67" s="72">
        <f t="shared" si="1"/>
        <v>6</v>
      </c>
      <c r="CO67" s="72">
        <f t="shared" si="1"/>
        <v>44</v>
      </c>
      <c r="CP67" s="72">
        <f t="shared" si="1"/>
        <v>31</v>
      </c>
      <c r="CQ67" s="72">
        <f t="shared" si="1"/>
        <v>25</v>
      </c>
      <c r="CR67" s="72">
        <f t="shared" si="1"/>
        <v>16</v>
      </c>
      <c r="CS67" s="72">
        <f t="shared" si="1"/>
        <v>14</v>
      </c>
      <c r="CT67" s="72">
        <f t="shared" si="1"/>
        <v>8</v>
      </c>
    </row>
  </sheetData>
  <autoFilter ref="A2:CT66" xr:uid="{B21398D0-2862-4BCB-AF9F-4F43E48215CC}"/>
  <sortState xmlns:xlrd2="http://schemas.microsoft.com/office/spreadsheetml/2017/richdata2" ref="A3:CT66">
    <sortCondition ref="A3:A66"/>
  </sortState>
  <conditionalFormatting sqref="A3:A66">
    <cfRule type="duplicateValues" dxfId="11" priority="1"/>
    <cfRule type="duplicateValues" dxfId="10" priority="2"/>
    <cfRule type="duplicateValues" dxfId="9" priority="3"/>
  </conditionalFormatting>
  <hyperlinks>
    <hyperlink ref="A1" location="Index!A1" display="Index" xr:uid="{00000000-0004-0000-0100-000000000000}"/>
  </hyperlink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H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11.42578125" style="14" bestFit="1" customWidth="1"/>
    <col min="2" max="18" width="30.7109375" style="17" customWidth="1"/>
    <col min="19" max="28" width="30.7109375" style="18" customWidth="1"/>
    <col min="29" max="29" width="30.7109375" style="19" customWidth="1"/>
    <col min="30" max="34" width="30.7109375" style="18" customWidth="1"/>
    <col min="35" max="35" width="30.7109375" style="37" customWidth="1"/>
    <col min="36" max="36" width="30.7109375" style="34" customWidth="1"/>
    <col min="37" max="45" width="30.7109375" style="18" customWidth="1"/>
    <col min="46" max="46" width="30.7109375" style="19" customWidth="1"/>
    <col min="47" max="47" width="30.7109375" style="18" customWidth="1"/>
    <col min="48" max="48" width="30.7109375" style="19" customWidth="1"/>
    <col min="49" max="49" width="30.7109375" style="18" customWidth="1"/>
    <col min="50" max="50" width="30.7109375" style="19" customWidth="1"/>
    <col min="51" max="59" width="30.7109375" style="18" customWidth="1"/>
    <col min="60" max="60" width="30.7109375" style="40" customWidth="1"/>
    <col min="61" max="61" width="30.7109375" style="18" customWidth="1"/>
    <col min="62" max="62" width="30.7109375" style="40" customWidth="1"/>
    <col min="63" max="63" width="30.7109375" style="18" customWidth="1"/>
    <col min="64" max="64" width="30.7109375" style="40" customWidth="1"/>
    <col min="65" max="65" width="30.7109375" style="18" customWidth="1"/>
    <col min="66" max="66" width="30.7109375" style="40" customWidth="1"/>
    <col min="67" max="67" width="30.7109375" style="18" customWidth="1"/>
    <col min="68" max="68" width="30.7109375" style="40" customWidth="1"/>
    <col min="69" max="69" width="30.7109375" style="18" customWidth="1"/>
    <col min="70" max="85" width="30.7109375" style="43" customWidth="1"/>
    <col min="86" max="86" width="30.7109375" style="18" customWidth="1"/>
    <col min="87" max="102" width="30.7109375" style="43" customWidth="1"/>
    <col min="103" max="103" width="30.7109375" style="19" customWidth="1"/>
    <col min="104" max="119" width="30.7109375" style="43" customWidth="1"/>
    <col min="120" max="120" width="30.7109375" style="18" customWidth="1"/>
    <col min="121" max="136" width="30.7109375" style="43" customWidth="1"/>
    <col min="137" max="137" width="30.7109375" style="18" customWidth="1"/>
    <col min="138" max="153" width="30.7109375" style="43" customWidth="1"/>
    <col min="154" max="154" width="30.7109375" style="19" customWidth="1"/>
    <col min="155" max="171" width="30.7109375" style="18" customWidth="1"/>
    <col min="172" max="187" width="30.7109375" style="43" customWidth="1"/>
    <col min="188" max="190" width="30.7109375" style="18" customWidth="1"/>
    <col min="191" max="206" width="30.7109375" style="43" customWidth="1"/>
    <col min="207" max="208" width="30.7109375" style="18" customWidth="1"/>
    <col min="209" max="224" width="30.7109375" style="43" customWidth="1"/>
    <col min="225" max="226" width="30.7109375" style="18" customWidth="1"/>
    <col min="227" max="229" width="30.7109375" style="40" customWidth="1"/>
    <col min="230" max="236" width="30.7109375" style="18" customWidth="1"/>
    <col min="237" max="239" width="90.7109375" style="18" customWidth="1"/>
    <col min="240" max="240" width="60.7109375" style="18" customWidth="1"/>
    <col min="241" max="241" width="30.7109375" style="18" customWidth="1"/>
    <col min="242" max="242" width="50.7109375" style="18" customWidth="1"/>
    <col min="243" max="243" width="60.7109375" style="18" customWidth="1"/>
    <col min="244" max="259" width="30.7109375" style="18" customWidth="1"/>
    <col min="260" max="260" width="150.7109375" style="18" customWidth="1"/>
    <col min="261" max="268" width="30.7109375" style="18" customWidth="1"/>
    <col min="269" max="16384" width="9.140625" style="14"/>
  </cols>
  <sheetData>
    <row r="1" spans="1:268" s="15" customFormat="1" x14ac:dyDescent="0.2">
      <c r="A1" s="67" t="s">
        <v>181</v>
      </c>
      <c r="B1" s="12" t="s">
        <v>5177</v>
      </c>
      <c r="C1" s="12" t="s">
        <v>5178</v>
      </c>
      <c r="D1" s="12" t="s">
        <v>5179</v>
      </c>
      <c r="E1" s="12" t="s">
        <v>5180</v>
      </c>
      <c r="F1" s="12" t="s">
        <v>5181</v>
      </c>
      <c r="G1" s="12" t="s">
        <v>5182</v>
      </c>
      <c r="H1" s="12" t="s">
        <v>5183</v>
      </c>
      <c r="I1" s="12" t="s">
        <v>5184</v>
      </c>
      <c r="J1" s="12" t="s">
        <v>5185</v>
      </c>
      <c r="K1" s="12" t="s">
        <v>5186</v>
      </c>
      <c r="L1" s="12" t="s">
        <v>5187</v>
      </c>
      <c r="M1" s="12" t="s">
        <v>5188</v>
      </c>
      <c r="N1" s="12" t="s">
        <v>5189</v>
      </c>
      <c r="O1" s="12" t="s">
        <v>5190</v>
      </c>
      <c r="P1" s="12" t="s">
        <v>5191</v>
      </c>
      <c r="Q1" s="12" t="s">
        <v>5192</v>
      </c>
      <c r="R1" s="12" t="s">
        <v>5193</v>
      </c>
      <c r="S1" s="13" t="s">
        <v>5194</v>
      </c>
      <c r="T1" s="13" t="s">
        <v>5195</v>
      </c>
      <c r="U1" s="13" t="s">
        <v>5196</v>
      </c>
      <c r="V1" s="13" t="s">
        <v>5197</v>
      </c>
      <c r="W1" s="13" t="s">
        <v>5198</v>
      </c>
      <c r="X1" s="13" t="s">
        <v>5199</v>
      </c>
      <c r="Y1" s="13" t="s">
        <v>5200</v>
      </c>
      <c r="Z1" s="13" t="s">
        <v>5201</v>
      </c>
      <c r="AA1" s="13" t="s">
        <v>5202</v>
      </c>
      <c r="AB1" s="13" t="s">
        <v>5203</v>
      </c>
      <c r="AC1" s="29" t="s">
        <v>5204</v>
      </c>
      <c r="AD1" s="13" t="s">
        <v>5205</v>
      </c>
      <c r="AE1" s="13" t="s">
        <v>5206</v>
      </c>
      <c r="AF1" s="13" t="s">
        <v>5207</v>
      </c>
      <c r="AG1" s="13" t="s">
        <v>5208</v>
      </c>
      <c r="AH1" s="13" t="s">
        <v>5209</v>
      </c>
      <c r="AI1" s="35" t="s">
        <v>5210</v>
      </c>
      <c r="AJ1" s="32" t="s">
        <v>5211</v>
      </c>
      <c r="AK1" s="13" t="s">
        <v>5212</v>
      </c>
      <c r="AL1" s="13" t="s">
        <v>5213</v>
      </c>
      <c r="AM1" s="13" t="s">
        <v>5214</v>
      </c>
      <c r="AN1" s="13" t="s">
        <v>5215</v>
      </c>
      <c r="AO1" s="13" t="s">
        <v>5216</v>
      </c>
      <c r="AP1" s="13" t="s">
        <v>5217</v>
      </c>
      <c r="AQ1" s="13" t="s">
        <v>5218</v>
      </c>
      <c r="AR1" s="13" t="s">
        <v>5219</v>
      </c>
      <c r="AS1" s="13" t="s">
        <v>5220</v>
      </c>
      <c r="AT1" s="29" t="s">
        <v>5221</v>
      </c>
      <c r="AU1" s="13" t="s">
        <v>5222</v>
      </c>
      <c r="AV1" s="29" t="s">
        <v>5223</v>
      </c>
      <c r="AW1" s="13" t="s">
        <v>5224</v>
      </c>
      <c r="AX1" s="29" t="s">
        <v>5225</v>
      </c>
      <c r="AY1" s="13" t="s">
        <v>5226</v>
      </c>
      <c r="AZ1" s="13" t="s">
        <v>5227</v>
      </c>
      <c r="BA1" s="13" t="s">
        <v>5228</v>
      </c>
      <c r="BB1" s="13" t="s">
        <v>5229</v>
      </c>
      <c r="BC1" s="13" t="s">
        <v>5230</v>
      </c>
      <c r="BD1" s="13" t="s">
        <v>5231</v>
      </c>
      <c r="BE1" s="13" t="s">
        <v>5232</v>
      </c>
      <c r="BF1" s="13" t="s">
        <v>5233</v>
      </c>
      <c r="BG1" s="13" t="s">
        <v>5234</v>
      </c>
      <c r="BH1" s="38" t="s">
        <v>5235</v>
      </c>
      <c r="BI1" s="13" t="s">
        <v>5236</v>
      </c>
      <c r="BJ1" s="38" t="s">
        <v>5237</v>
      </c>
      <c r="BK1" s="13" t="s">
        <v>5238</v>
      </c>
      <c r="BL1" s="38" t="s">
        <v>5239</v>
      </c>
      <c r="BM1" s="13" t="s">
        <v>5240</v>
      </c>
      <c r="BN1" s="38" t="s">
        <v>5241</v>
      </c>
      <c r="BO1" s="13" t="s">
        <v>5242</v>
      </c>
      <c r="BP1" s="38" t="s">
        <v>5243</v>
      </c>
      <c r="BQ1" s="13" t="s">
        <v>5244</v>
      </c>
      <c r="BR1" s="41" t="s">
        <v>5245</v>
      </c>
      <c r="BS1" s="41" t="s">
        <v>5246</v>
      </c>
      <c r="BT1" s="41" t="s">
        <v>5247</v>
      </c>
      <c r="BU1" s="41" t="s">
        <v>5248</v>
      </c>
      <c r="BV1" s="41" t="s">
        <v>5249</v>
      </c>
      <c r="BW1" s="41" t="s">
        <v>5250</v>
      </c>
      <c r="BX1" s="41" t="s">
        <v>5251</v>
      </c>
      <c r="BY1" s="41" t="s">
        <v>5252</v>
      </c>
      <c r="BZ1" s="41" t="s">
        <v>5253</v>
      </c>
      <c r="CA1" s="41" t="s">
        <v>5254</v>
      </c>
      <c r="CB1" s="41" t="s">
        <v>5255</v>
      </c>
      <c r="CC1" s="41" t="s">
        <v>5256</v>
      </c>
      <c r="CD1" s="41" t="s">
        <v>5257</v>
      </c>
      <c r="CE1" s="41" t="s">
        <v>5258</v>
      </c>
      <c r="CF1" s="41" t="s">
        <v>5259</v>
      </c>
      <c r="CG1" s="41" t="s">
        <v>5260</v>
      </c>
      <c r="CH1" s="13" t="s">
        <v>5261</v>
      </c>
      <c r="CI1" s="41" t="s">
        <v>5262</v>
      </c>
      <c r="CJ1" s="41" t="s">
        <v>5263</v>
      </c>
      <c r="CK1" s="41" t="s">
        <v>5264</v>
      </c>
      <c r="CL1" s="41" t="s">
        <v>5265</v>
      </c>
      <c r="CM1" s="41" t="s">
        <v>5266</v>
      </c>
      <c r="CN1" s="41" t="s">
        <v>5267</v>
      </c>
      <c r="CO1" s="41" t="s">
        <v>5268</v>
      </c>
      <c r="CP1" s="41" t="s">
        <v>5269</v>
      </c>
      <c r="CQ1" s="41" t="s">
        <v>5270</v>
      </c>
      <c r="CR1" s="41" t="s">
        <v>5271</v>
      </c>
      <c r="CS1" s="41" t="s">
        <v>5272</v>
      </c>
      <c r="CT1" s="41" t="s">
        <v>5273</v>
      </c>
      <c r="CU1" s="41" t="s">
        <v>5274</v>
      </c>
      <c r="CV1" s="41" t="s">
        <v>5275</v>
      </c>
      <c r="CW1" s="41" t="s">
        <v>5276</v>
      </c>
      <c r="CX1" s="41" t="s">
        <v>5277</v>
      </c>
      <c r="CY1" s="29" t="s">
        <v>5278</v>
      </c>
      <c r="CZ1" s="41" t="s">
        <v>5279</v>
      </c>
      <c r="DA1" s="41" t="s">
        <v>5280</v>
      </c>
      <c r="DB1" s="41" t="s">
        <v>5281</v>
      </c>
      <c r="DC1" s="41" t="s">
        <v>5282</v>
      </c>
      <c r="DD1" s="41" t="s">
        <v>5283</v>
      </c>
      <c r="DE1" s="41" t="s">
        <v>5284</v>
      </c>
      <c r="DF1" s="41" t="s">
        <v>5285</v>
      </c>
      <c r="DG1" s="41" t="s">
        <v>5286</v>
      </c>
      <c r="DH1" s="41" t="s">
        <v>5287</v>
      </c>
      <c r="DI1" s="41" t="s">
        <v>5288</v>
      </c>
      <c r="DJ1" s="41" t="s">
        <v>5289</v>
      </c>
      <c r="DK1" s="41" t="s">
        <v>5290</v>
      </c>
      <c r="DL1" s="41" t="s">
        <v>5291</v>
      </c>
      <c r="DM1" s="41" t="s">
        <v>5292</v>
      </c>
      <c r="DN1" s="41" t="s">
        <v>5293</v>
      </c>
      <c r="DO1" s="41" t="s">
        <v>5294</v>
      </c>
      <c r="DP1" s="13" t="s">
        <v>5295</v>
      </c>
      <c r="DQ1" s="41" t="s">
        <v>5296</v>
      </c>
      <c r="DR1" s="41" t="s">
        <v>5297</v>
      </c>
      <c r="DS1" s="41" t="s">
        <v>5298</v>
      </c>
      <c r="DT1" s="41" t="s">
        <v>5299</v>
      </c>
      <c r="DU1" s="41" t="s">
        <v>5300</v>
      </c>
      <c r="DV1" s="41" t="s">
        <v>5301</v>
      </c>
      <c r="DW1" s="41" t="s">
        <v>5302</v>
      </c>
      <c r="DX1" s="41" t="s">
        <v>5303</v>
      </c>
      <c r="DY1" s="41" t="s">
        <v>5304</v>
      </c>
      <c r="DZ1" s="41" t="s">
        <v>5305</v>
      </c>
      <c r="EA1" s="41" t="s">
        <v>5306</v>
      </c>
      <c r="EB1" s="41" t="s">
        <v>5307</v>
      </c>
      <c r="EC1" s="41" t="s">
        <v>5308</v>
      </c>
      <c r="ED1" s="41" t="s">
        <v>5309</v>
      </c>
      <c r="EE1" s="41" t="s">
        <v>5310</v>
      </c>
      <c r="EF1" s="41" t="s">
        <v>5311</v>
      </c>
      <c r="EG1" s="13" t="s">
        <v>5312</v>
      </c>
      <c r="EH1" s="41" t="s">
        <v>5313</v>
      </c>
      <c r="EI1" s="41" t="s">
        <v>5314</v>
      </c>
      <c r="EJ1" s="41" t="s">
        <v>5315</v>
      </c>
      <c r="EK1" s="41" t="s">
        <v>5316</v>
      </c>
      <c r="EL1" s="41" t="s">
        <v>5317</v>
      </c>
      <c r="EM1" s="41" t="s">
        <v>5318</v>
      </c>
      <c r="EN1" s="41" t="s">
        <v>5319</v>
      </c>
      <c r="EO1" s="41" t="s">
        <v>5320</v>
      </c>
      <c r="EP1" s="41" t="s">
        <v>5321</v>
      </c>
      <c r="EQ1" s="41" t="s">
        <v>5322</v>
      </c>
      <c r="ER1" s="41" t="s">
        <v>5323</v>
      </c>
      <c r="ES1" s="41" t="s">
        <v>5324</v>
      </c>
      <c r="ET1" s="41" t="s">
        <v>5325</v>
      </c>
      <c r="EU1" s="41" t="s">
        <v>5326</v>
      </c>
      <c r="EV1" s="41" t="s">
        <v>5327</v>
      </c>
      <c r="EW1" s="41" t="s">
        <v>5328</v>
      </c>
      <c r="EX1" s="29" t="s">
        <v>5329</v>
      </c>
      <c r="EY1" s="13" t="s">
        <v>5330</v>
      </c>
      <c r="EZ1" s="13" t="s">
        <v>5331</v>
      </c>
      <c r="FA1" s="13" t="s">
        <v>5332</v>
      </c>
      <c r="FB1" s="13" t="s">
        <v>5333</v>
      </c>
      <c r="FC1" s="13" t="s">
        <v>5334</v>
      </c>
      <c r="FD1" s="13" t="s">
        <v>5335</v>
      </c>
      <c r="FE1" s="13" t="s">
        <v>5336</v>
      </c>
      <c r="FF1" s="13" t="s">
        <v>5337</v>
      </c>
      <c r="FG1" s="13" t="s">
        <v>5338</v>
      </c>
      <c r="FH1" s="13" t="s">
        <v>5339</v>
      </c>
      <c r="FI1" s="13" t="s">
        <v>5340</v>
      </c>
      <c r="FJ1" s="13" t="s">
        <v>5341</v>
      </c>
      <c r="FK1" s="13" t="s">
        <v>5342</v>
      </c>
      <c r="FL1" s="13" t="s">
        <v>5343</v>
      </c>
      <c r="FM1" s="13" t="s">
        <v>5344</v>
      </c>
      <c r="FN1" s="13" t="s">
        <v>5345</v>
      </c>
      <c r="FO1" s="13" t="s">
        <v>5346</v>
      </c>
      <c r="FP1" s="41" t="s">
        <v>5347</v>
      </c>
      <c r="FQ1" s="41" t="s">
        <v>5348</v>
      </c>
      <c r="FR1" s="41" t="s">
        <v>5349</v>
      </c>
      <c r="FS1" s="41" t="s">
        <v>5350</v>
      </c>
      <c r="FT1" s="41" t="s">
        <v>5351</v>
      </c>
      <c r="FU1" s="41" t="s">
        <v>5352</v>
      </c>
      <c r="FV1" s="41" t="s">
        <v>5353</v>
      </c>
      <c r="FW1" s="41" t="s">
        <v>5354</v>
      </c>
      <c r="FX1" s="41" t="s">
        <v>5355</v>
      </c>
      <c r="FY1" s="41" t="s">
        <v>5356</v>
      </c>
      <c r="FZ1" s="41" t="s">
        <v>5357</v>
      </c>
      <c r="GA1" s="41" t="s">
        <v>5358</v>
      </c>
      <c r="GB1" s="41" t="s">
        <v>5359</v>
      </c>
      <c r="GC1" s="41" t="s">
        <v>5360</v>
      </c>
      <c r="GD1" s="41" t="s">
        <v>5361</v>
      </c>
      <c r="GE1" s="41" t="s">
        <v>5362</v>
      </c>
      <c r="GF1" s="13" t="s">
        <v>5363</v>
      </c>
      <c r="GG1" s="13" t="s">
        <v>5364</v>
      </c>
      <c r="GH1" s="13" t="s">
        <v>5365</v>
      </c>
      <c r="GI1" s="41" t="s">
        <v>5366</v>
      </c>
      <c r="GJ1" s="41" t="s">
        <v>5367</v>
      </c>
      <c r="GK1" s="41" t="s">
        <v>5368</v>
      </c>
      <c r="GL1" s="41" t="s">
        <v>5369</v>
      </c>
      <c r="GM1" s="41" t="s">
        <v>5370</v>
      </c>
      <c r="GN1" s="41" t="s">
        <v>5371</v>
      </c>
      <c r="GO1" s="41" t="s">
        <v>5372</v>
      </c>
      <c r="GP1" s="41" t="s">
        <v>5373</v>
      </c>
      <c r="GQ1" s="41" t="s">
        <v>5374</v>
      </c>
      <c r="GR1" s="41" t="s">
        <v>5375</v>
      </c>
      <c r="GS1" s="41" t="s">
        <v>5376</v>
      </c>
      <c r="GT1" s="41" t="s">
        <v>5377</v>
      </c>
      <c r="GU1" s="41" t="s">
        <v>5378</v>
      </c>
      <c r="GV1" s="41" t="s">
        <v>5379</v>
      </c>
      <c r="GW1" s="41" t="s">
        <v>5380</v>
      </c>
      <c r="GX1" s="41" t="s">
        <v>5381</v>
      </c>
      <c r="GY1" s="13" t="s">
        <v>5382</v>
      </c>
      <c r="GZ1" s="13" t="s">
        <v>5383</v>
      </c>
      <c r="HA1" s="41" t="s">
        <v>5384</v>
      </c>
      <c r="HB1" s="41" t="s">
        <v>5385</v>
      </c>
      <c r="HC1" s="41" t="s">
        <v>5386</v>
      </c>
      <c r="HD1" s="41" t="s">
        <v>5387</v>
      </c>
      <c r="HE1" s="41" t="s">
        <v>5388</v>
      </c>
      <c r="HF1" s="41" t="s">
        <v>5389</v>
      </c>
      <c r="HG1" s="41" t="s">
        <v>5390</v>
      </c>
      <c r="HH1" s="41" t="s">
        <v>5391</v>
      </c>
      <c r="HI1" s="41" t="s">
        <v>5392</v>
      </c>
      <c r="HJ1" s="41" t="s">
        <v>5393</v>
      </c>
      <c r="HK1" s="41" t="s">
        <v>5394</v>
      </c>
      <c r="HL1" s="41" t="s">
        <v>5395</v>
      </c>
      <c r="HM1" s="41" t="s">
        <v>5396</v>
      </c>
      <c r="HN1" s="41" t="s">
        <v>5397</v>
      </c>
      <c r="HO1" s="41" t="s">
        <v>5398</v>
      </c>
      <c r="HP1" s="41" t="s">
        <v>5399</v>
      </c>
      <c r="HQ1" s="13" t="s">
        <v>5400</v>
      </c>
      <c r="HR1" s="13" t="s">
        <v>5401</v>
      </c>
      <c r="HS1" s="38" t="s">
        <v>5402</v>
      </c>
      <c r="HT1" s="38" t="s">
        <v>5403</v>
      </c>
      <c r="HU1" s="38" t="s">
        <v>5404</v>
      </c>
      <c r="HV1" s="13" t="s">
        <v>5405</v>
      </c>
      <c r="HW1" s="13" t="s">
        <v>5406</v>
      </c>
      <c r="HX1" s="13" t="s">
        <v>5407</v>
      </c>
      <c r="HY1" s="13" t="s">
        <v>5408</v>
      </c>
      <c r="HZ1" s="13" t="s">
        <v>5409</v>
      </c>
      <c r="IA1" s="13" t="s">
        <v>5410</v>
      </c>
      <c r="IB1" s="13" t="s">
        <v>5411</v>
      </c>
      <c r="IC1" s="13" t="s">
        <v>5412</v>
      </c>
      <c r="ID1" s="13" t="s">
        <v>5413</v>
      </c>
      <c r="IE1" s="13" t="s">
        <v>5414</v>
      </c>
      <c r="IF1" s="13" t="s">
        <v>5415</v>
      </c>
      <c r="IG1" s="13" t="s">
        <v>5416</v>
      </c>
      <c r="IH1" s="13" t="s">
        <v>5417</v>
      </c>
      <c r="II1" s="13" t="s">
        <v>5418</v>
      </c>
      <c r="IJ1" s="13" t="s">
        <v>5419</v>
      </c>
      <c r="IK1" s="13" t="s">
        <v>5420</v>
      </c>
      <c r="IL1" s="13" t="s">
        <v>5421</v>
      </c>
      <c r="IM1" s="13" t="s">
        <v>5422</v>
      </c>
      <c r="IN1" s="13" t="s">
        <v>5423</v>
      </c>
      <c r="IO1" s="13" t="s">
        <v>5424</v>
      </c>
      <c r="IP1" s="13" t="s">
        <v>5425</v>
      </c>
      <c r="IQ1" s="13" t="s">
        <v>5426</v>
      </c>
      <c r="IR1" s="13" t="s">
        <v>5427</v>
      </c>
      <c r="IS1" s="13" t="s">
        <v>5428</v>
      </c>
      <c r="IT1" s="13" t="s">
        <v>5429</v>
      </c>
      <c r="IU1" s="13" t="s">
        <v>5430</v>
      </c>
      <c r="IV1" s="13" t="s">
        <v>5431</v>
      </c>
      <c r="IW1" s="13" t="s">
        <v>5432</v>
      </c>
      <c r="IX1" s="13" t="s">
        <v>5433</v>
      </c>
      <c r="IY1" s="13" t="s">
        <v>5434</v>
      </c>
      <c r="IZ1" s="13" t="s">
        <v>5435</v>
      </c>
      <c r="JA1" s="13" t="s">
        <v>5436</v>
      </c>
      <c r="JB1" s="13" t="s">
        <v>5437</v>
      </c>
      <c r="JC1" s="13" t="s">
        <v>5438</v>
      </c>
      <c r="JD1" s="13" t="s">
        <v>5439</v>
      </c>
      <c r="JE1" s="13" t="s">
        <v>5440</v>
      </c>
      <c r="JF1" s="13" t="s">
        <v>5441</v>
      </c>
      <c r="JG1" s="13" t="s">
        <v>5442</v>
      </c>
      <c r="JH1" s="13" t="s">
        <v>5443</v>
      </c>
    </row>
    <row r="2" spans="1:268" s="15" customFormat="1" ht="76.5" x14ac:dyDescent="0.2">
      <c r="A2" s="30" t="s">
        <v>116</v>
      </c>
      <c r="B2" s="75" t="s">
        <v>9444</v>
      </c>
      <c r="C2" s="75" t="s">
        <v>9445</v>
      </c>
      <c r="D2" s="12" t="s">
        <v>9446</v>
      </c>
      <c r="E2" s="12" t="s">
        <v>14604</v>
      </c>
      <c r="F2" s="75" t="s">
        <v>9447</v>
      </c>
      <c r="G2" s="75" t="s">
        <v>9448</v>
      </c>
      <c r="H2" s="12" t="s">
        <v>9449</v>
      </c>
      <c r="I2" s="75" t="s">
        <v>9450</v>
      </c>
      <c r="J2" s="75" t="s">
        <v>9451</v>
      </c>
      <c r="K2" s="12" t="s">
        <v>9452</v>
      </c>
      <c r="L2" s="75" t="s">
        <v>9453</v>
      </c>
      <c r="M2" s="75" t="s">
        <v>9454</v>
      </c>
      <c r="N2" s="75" t="s">
        <v>9455</v>
      </c>
      <c r="O2" s="75" t="s">
        <v>9456</v>
      </c>
      <c r="P2" s="75" t="s">
        <v>9457</v>
      </c>
      <c r="Q2" s="75" t="s">
        <v>9458</v>
      </c>
      <c r="R2" s="12" t="s">
        <v>9459</v>
      </c>
      <c r="S2" s="73" t="s">
        <v>9460</v>
      </c>
      <c r="T2" s="73" t="s">
        <v>9461</v>
      </c>
      <c r="U2" s="73" t="s">
        <v>9462</v>
      </c>
      <c r="V2" s="73" t="s">
        <v>9463</v>
      </c>
      <c r="W2" s="73" t="s">
        <v>9464</v>
      </c>
      <c r="X2" s="73" t="s">
        <v>9465</v>
      </c>
      <c r="Y2" s="73" t="s">
        <v>9466</v>
      </c>
      <c r="Z2" s="73" t="s">
        <v>9467</v>
      </c>
      <c r="AA2" s="73" t="s">
        <v>9468</v>
      </c>
      <c r="AB2" s="73" t="s">
        <v>9469</v>
      </c>
      <c r="AC2" s="74" t="s">
        <v>9470</v>
      </c>
      <c r="AD2" s="73" t="s">
        <v>9471</v>
      </c>
      <c r="AE2" s="73" t="s">
        <v>9472</v>
      </c>
      <c r="AF2" s="73" t="s">
        <v>9473</v>
      </c>
      <c r="AG2" s="73" t="s">
        <v>9474</v>
      </c>
      <c r="AH2" s="73" t="s">
        <v>9475</v>
      </c>
      <c r="AI2" s="35" t="s">
        <v>9476</v>
      </c>
      <c r="AJ2" s="76" t="s">
        <v>9477</v>
      </c>
      <c r="AK2" s="73" t="s">
        <v>9478</v>
      </c>
      <c r="AL2" s="73" t="s">
        <v>9479</v>
      </c>
      <c r="AM2" s="73" t="s">
        <v>9480</v>
      </c>
      <c r="AN2" s="73" t="s">
        <v>9481</v>
      </c>
      <c r="AO2" s="13" t="s">
        <v>9482</v>
      </c>
      <c r="AP2" s="13" t="s">
        <v>9483</v>
      </c>
      <c r="AQ2" s="13" t="s">
        <v>9484</v>
      </c>
      <c r="AR2" s="13" t="s">
        <v>9485</v>
      </c>
      <c r="AS2" s="13" t="s">
        <v>9486</v>
      </c>
      <c r="AT2" s="74" t="s">
        <v>9487</v>
      </c>
      <c r="AU2" s="73" t="s">
        <v>9488</v>
      </c>
      <c r="AV2" s="74" t="s">
        <v>9489</v>
      </c>
      <c r="AW2" s="73" t="s">
        <v>9490</v>
      </c>
      <c r="AX2" s="74" t="s">
        <v>9491</v>
      </c>
      <c r="AY2" s="73" t="s">
        <v>9492</v>
      </c>
      <c r="AZ2" s="13" t="s">
        <v>9493</v>
      </c>
      <c r="BA2" s="13" t="s">
        <v>9494</v>
      </c>
      <c r="BB2" s="13" t="s">
        <v>9495</v>
      </c>
      <c r="BC2" s="13" t="s">
        <v>9496</v>
      </c>
      <c r="BD2" s="13" t="s">
        <v>9497</v>
      </c>
      <c r="BE2" s="13" t="s">
        <v>9498</v>
      </c>
      <c r="BF2" s="73" t="s">
        <v>9499</v>
      </c>
      <c r="BG2" s="13" t="s">
        <v>9500</v>
      </c>
      <c r="BH2" s="38" t="s">
        <v>9501</v>
      </c>
      <c r="BI2" s="73" t="s">
        <v>9502</v>
      </c>
      <c r="BJ2" s="77" t="s">
        <v>9503</v>
      </c>
      <c r="BK2" s="13" t="s">
        <v>9504</v>
      </c>
      <c r="BL2" s="38" t="s">
        <v>9505</v>
      </c>
      <c r="BM2" s="73" t="s">
        <v>9506</v>
      </c>
      <c r="BN2" s="77" t="s">
        <v>9507</v>
      </c>
      <c r="BO2" s="13" t="s">
        <v>9508</v>
      </c>
      <c r="BP2" s="38" t="s">
        <v>9509</v>
      </c>
      <c r="BQ2" s="13" t="s">
        <v>9510</v>
      </c>
      <c r="BR2" s="78" t="s">
        <v>9511</v>
      </c>
      <c r="BS2" s="78" t="s">
        <v>9512</v>
      </c>
      <c r="BT2" s="78" t="s">
        <v>9513</v>
      </c>
      <c r="BU2" s="78" t="s">
        <v>9514</v>
      </c>
      <c r="BV2" s="78" t="s">
        <v>9515</v>
      </c>
      <c r="BW2" s="78" t="s">
        <v>9516</v>
      </c>
      <c r="BX2" s="78" t="s">
        <v>9517</v>
      </c>
      <c r="BY2" s="78" t="s">
        <v>9518</v>
      </c>
      <c r="BZ2" s="78" t="s">
        <v>9519</v>
      </c>
      <c r="CA2" s="78" t="s">
        <v>9520</v>
      </c>
      <c r="CB2" s="78" t="s">
        <v>9521</v>
      </c>
      <c r="CC2" s="78" t="s">
        <v>9522</v>
      </c>
      <c r="CD2" s="78" t="s">
        <v>9523</v>
      </c>
      <c r="CE2" s="78" t="s">
        <v>9524</v>
      </c>
      <c r="CF2" s="78" t="s">
        <v>9525</v>
      </c>
      <c r="CG2" s="78" t="s">
        <v>9526</v>
      </c>
      <c r="CH2" s="13" t="s">
        <v>9527</v>
      </c>
      <c r="CI2" s="78" t="s">
        <v>9528</v>
      </c>
      <c r="CJ2" s="78" t="s">
        <v>9529</v>
      </c>
      <c r="CK2" s="78" t="s">
        <v>9530</v>
      </c>
      <c r="CL2" s="78" t="s">
        <v>9531</v>
      </c>
      <c r="CM2" s="78" t="s">
        <v>9532</v>
      </c>
      <c r="CN2" s="78" t="s">
        <v>9533</v>
      </c>
      <c r="CO2" s="78" t="s">
        <v>9534</v>
      </c>
      <c r="CP2" s="78" t="s">
        <v>9535</v>
      </c>
      <c r="CQ2" s="78" t="s">
        <v>9536</v>
      </c>
      <c r="CR2" s="78" t="s">
        <v>9537</v>
      </c>
      <c r="CS2" s="78" t="s">
        <v>9538</v>
      </c>
      <c r="CT2" s="78" t="s">
        <v>9539</v>
      </c>
      <c r="CU2" s="78" t="s">
        <v>9540</v>
      </c>
      <c r="CV2" s="78" t="s">
        <v>9541</v>
      </c>
      <c r="CW2" s="78" t="s">
        <v>9542</v>
      </c>
      <c r="CX2" s="78" t="s">
        <v>9543</v>
      </c>
      <c r="CY2" s="51" t="s">
        <v>9544</v>
      </c>
      <c r="CZ2" s="78" t="s">
        <v>9545</v>
      </c>
      <c r="DA2" s="78" t="s">
        <v>9546</v>
      </c>
      <c r="DB2" s="78" t="s">
        <v>9547</v>
      </c>
      <c r="DC2" s="78" t="s">
        <v>9548</v>
      </c>
      <c r="DD2" s="78" t="s">
        <v>9549</v>
      </c>
      <c r="DE2" s="78" t="s">
        <v>9550</v>
      </c>
      <c r="DF2" s="78" t="s">
        <v>9551</v>
      </c>
      <c r="DG2" s="78" t="s">
        <v>9552</v>
      </c>
      <c r="DH2" s="78" t="s">
        <v>9553</v>
      </c>
      <c r="DI2" s="78" t="s">
        <v>9554</v>
      </c>
      <c r="DJ2" s="78" t="s">
        <v>9555</v>
      </c>
      <c r="DK2" s="78" t="s">
        <v>9556</v>
      </c>
      <c r="DL2" s="78" t="s">
        <v>9557</v>
      </c>
      <c r="DM2" s="78" t="s">
        <v>9558</v>
      </c>
      <c r="DN2" s="78" t="s">
        <v>9559</v>
      </c>
      <c r="DO2" s="78" t="s">
        <v>9560</v>
      </c>
      <c r="DP2" s="13" t="s">
        <v>9561</v>
      </c>
      <c r="DQ2" s="78" t="s">
        <v>9562</v>
      </c>
      <c r="DR2" s="78" t="s">
        <v>9563</v>
      </c>
      <c r="DS2" s="78" t="s">
        <v>9564</v>
      </c>
      <c r="DT2" s="78" t="s">
        <v>9565</v>
      </c>
      <c r="DU2" s="78" t="s">
        <v>9566</v>
      </c>
      <c r="DV2" s="78" t="s">
        <v>9567</v>
      </c>
      <c r="DW2" s="78" t="s">
        <v>9568</v>
      </c>
      <c r="DX2" s="78" t="s">
        <v>9569</v>
      </c>
      <c r="DY2" s="78" t="s">
        <v>9570</v>
      </c>
      <c r="DZ2" s="78" t="s">
        <v>9571</v>
      </c>
      <c r="EA2" s="78" t="s">
        <v>9572</v>
      </c>
      <c r="EB2" s="78" t="s">
        <v>9573</v>
      </c>
      <c r="EC2" s="78" t="s">
        <v>9574</v>
      </c>
      <c r="ED2" s="78" t="s">
        <v>9575</v>
      </c>
      <c r="EE2" s="78" t="s">
        <v>9576</v>
      </c>
      <c r="EF2" s="78" t="s">
        <v>9577</v>
      </c>
      <c r="EG2" s="13" t="s">
        <v>9578</v>
      </c>
      <c r="EH2" s="78" t="s">
        <v>9579</v>
      </c>
      <c r="EI2" s="78" t="s">
        <v>9580</v>
      </c>
      <c r="EJ2" s="78" t="s">
        <v>9581</v>
      </c>
      <c r="EK2" s="78" t="s">
        <v>9582</v>
      </c>
      <c r="EL2" s="78" t="s">
        <v>9583</v>
      </c>
      <c r="EM2" s="78" t="s">
        <v>9584</v>
      </c>
      <c r="EN2" s="78" t="s">
        <v>9585</v>
      </c>
      <c r="EO2" s="78" t="s">
        <v>9586</v>
      </c>
      <c r="EP2" s="78" t="s">
        <v>9587</v>
      </c>
      <c r="EQ2" s="78" t="s">
        <v>9588</v>
      </c>
      <c r="ER2" s="78" t="s">
        <v>9589</v>
      </c>
      <c r="ES2" s="78" t="s">
        <v>9590</v>
      </c>
      <c r="ET2" s="78" t="s">
        <v>9591</v>
      </c>
      <c r="EU2" s="78" t="s">
        <v>9592</v>
      </c>
      <c r="EV2" s="78" t="s">
        <v>9593</v>
      </c>
      <c r="EW2" s="78" t="s">
        <v>9594</v>
      </c>
      <c r="EX2" s="29" t="s">
        <v>9595</v>
      </c>
      <c r="EY2" s="73" t="s">
        <v>9596</v>
      </c>
      <c r="EZ2" s="73" t="s">
        <v>9597</v>
      </c>
      <c r="FA2" s="73" t="s">
        <v>9598</v>
      </c>
      <c r="FB2" s="73" t="s">
        <v>9599</v>
      </c>
      <c r="FC2" s="73" t="s">
        <v>9600</v>
      </c>
      <c r="FD2" s="73" t="s">
        <v>9601</v>
      </c>
      <c r="FE2" s="73" t="s">
        <v>9602</v>
      </c>
      <c r="FF2" s="73" t="s">
        <v>9603</v>
      </c>
      <c r="FG2" s="73" t="s">
        <v>9604</v>
      </c>
      <c r="FH2" s="73" t="s">
        <v>9605</v>
      </c>
      <c r="FI2" s="73" t="s">
        <v>9606</v>
      </c>
      <c r="FJ2" s="73" t="s">
        <v>9607</v>
      </c>
      <c r="FK2" s="73" t="s">
        <v>9608</v>
      </c>
      <c r="FL2" s="73" t="s">
        <v>9609</v>
      </c>
      <c r="FM2" s="73" t="s">
        <v>9610</v>
      </c>
      <c r="FN2" s="73" t="s">
        <v>9611</v>
      </c>
      <c r="FO2" s="13" t="s">
        <v>9612</v>
      </c>
      <c r="FP2" s="78" t="s">
        <v>9613</v>
      </c>
      <c r="FQ2" s="78" t="s">
        <v>9614</v>
      </c>
      <c r="FR2" s="78" t="s">
        <v>9615</v>
      </c>
      <c r="FS2" s="78" t="s">
        <v>9616</v>
      </c>
      <c r="FT2" s="78" t="s">
        <v>9617</v>
      </c>
      <c r="FU2" s="78" t="s">
        <v>9618</v>
      </c>
      <c r="FV2" s="78" t="s">
        <v>9619</v>
      </c>
      <c r="FW2" s="78" t="s">
        <v>9620</v>
      </c>
      <c r="FX2" s="78" t="s">
        <v>9621</v>
      </c>
      <c r="FY2" s="78" t="s">
        <v>9622</v>
      </c>
      <c r="FZ2" s="78" t="s">
        <v>9623</v>
      </c>
      <c r="GA2" s="78" t="s">
        <v>9624</v>
      </c>
      <c r="GB2" s="78" t="s">
        <v>9625</v>
      </c>
      <c r="GC2" s="78" t="s">
        <v>9626</v>
      </c>
      <c r="GD2" s="78" t="s">
        <v>9627</v>
      </c>
      <c r="GE2" s="78" t="s">
        <v>9628</v>
      </c>
      <c r="GF2" s="13" t="s">
        <v>9629</v>
      </c>
      <c r="GG2" s="73" t="s">
        <v>9630</v>
      </c>
      <c r="GH2" s="13" t="s">
        <v>9631</v>
      </c>
      <c r="GI2" s="78" t="s">
        <v>9632</v>
      </c>
      <c r="GJ2" s="78" t="s">
        <v>9633</v>
      </c>
      <c r="GK2" s="78" t="s">
        <v>9634</v>
      </c>
      <c r="GL2" s="78" t="s">
        <v>9635</v>
      </c>
      <c r="GM2" s="78" t="s">
        <v>9636</v>
      </c>
      <c r="GN2" s="78" t="s">
        <v>9637</v>
      </c>
      <c r="GO2" s="78" t="s">
        <v>9638</v>
      </c>
      <c r="GP2" s="78" t="s">
        <v>9639</v>
      </c>
      <c r="GQ2" s="78" t="s">
        <v>9640</v>
      </c>
      <c r="GR2" s="78" t="s">
        <v>9641</v>
      </c>
      <c r="GS2" s="78" t="s">
        <v>9642</v>
      </c>
      <c r="GT2" s="78" t="s">
        <v>9643</v>
      </c>
      <c r="GU2" s="78" t="s">
        <v>9644</v>
      </c>
      <c r="GV2" s="78" t="s">
        <v>9645</v>
      </c>
      <c r="GW2" s="78" t="s">
        <v>9646</v>
      </c>
      <c r="GX2" s="78" t="s">
        <v>9647</v>
      </c>
      <c r="GY2" s="13" t="s">
        <v>9648</v>
      </c>
      <c r="GZ2" s="73" t="s">
        <v>9649</v>
      </c>
      <c r="HA2" s="41" t="s">
        <v>9650</v>
      </c>
      <c r="HB2" s="41" t="s">
        <v>9651</v>
      </c>
      <c r="HC2" s="41" t="s">
        <v>9652</v>
      </c>
      <c r="HD2" s="41" t="s">
        <v>9653</v>
      </c>
      <c r="HE2" s="41" t="s">
        <v>9654</v>
      </c>
      <c r="HF2" s="41" t="s">
        <v>9655</v>
      </c>
      <c r="HG2" s="41" t="s">
        <v>9656</v>
      </c>
      <c r="HH2" s="41" t="s">
        <v>9657</v>
      </c>
      <c r="HI2" s="41" t="s">
        <v>9658</v>
      </c>
      <c r="HJ2" s="41" t="s">
        <v>9659</v>
      </c>
      <c r="HK2" s="41" t="s">
        <v>9660</v>
      </c>
      <c r="HL2" s="41" t="s">
        <v>9661</v>
      </c>
      <c r="HM2" s="41" t="s">
        <v>9662</v>
      </c>
      <c r="HN2" s="41" t="s">
        <v>9663</v>
      </c>
      <c r="HO2" s="41" t="s">
        <v>9664</v>
      </c>
      <c r="HP2" s="41" t="s">
        <v>9665</v>
      </c>
      <c r="HQ2" s="73" t="s">
        <v>9666</v>
      </c>
      <c r="HR2" s="13" t="s">
        <v>9667</v>
      </c>
      <c r="HS2" s="38" t="s">
        <v>9668</v>
      </c>
      <c r="HT2" s="38" t="s">
        <v>9669</v>
      </c>
      <c r="HU2" s="38" t="s">
        <v>9670</v>
      </c>
      <c r="HV2" s="73" t="s">
        <v>9671</v>
      </c>
      <c r="HW2" s="23" t="s">
        <v>14029</v>
      </c>
      <c r="HX2" s="73" t="s">
        <v>9672</v>
      </c>
      <c r="HY2" s="73" t="s">
        <v>9673</v>
      </c>
      <c r="HZ2" s="73" t="s">
        <v>9674</v>
      </c>
      <c r="IA2" s="13" t="s">
        <v>9675</v>
      </c>
      <c r="IB2" s="13" t="s">
        <v>9676</v>
      </c>
      <c r="IC2" s="73" t="s">
        <v>9677</v>
      </c>
      <c r="ID2" s="73" t="s">
        <v>9678</v>
      </c>
      <c r="IE2" s="73" t="s">
        <v>9679</v>
      </c>
      <c r="IF2" s="73" t="s">
        <v>9680</v>
      </c>
      <c r="IG2" s="73" t="s">
        <v>9681</v>
      </c>
      <c r="IH2" s="73" t="s">
        <v>9682</v>
      </c>
      <c r="II2" s="73" t="s">
        <v>14027</v>
      </c>
      <c r="IJ2" s="13" t="s">
        <v>9683</v>
      </c>
      <c r="IK2" s="13" t="s">
        <v>9684</v>
      </c>
      <c r="IL2" s="73" t="s">
        <v>9685</v>
      </c>
      <c r="IM2" s="13" t="s">
        <v>9686</v>
      </c>
      <c r="IN2" s="13" t="s">
        <v>9687</v>
      </c>
      <c r="IO2" s="13" t="s">
        <v>9688</v>
      </c>
      <c r="IP2" s="73" t="s">
        <v>14028</v>
      </c>
      <c r="IQ2" s="13" t="s">
        <v>9689</v>
      </c>
      <c r="IR2" s="13" t="s">
        <v>9690</v>
      </c>
      <c r="IS2" s="13" t="s">
        <v>9691</v>
      </c>
      <c r="IT2" s="13" t="s">
        <v>9692</v>
      </c>
      <c r="IU2" s="13" t="s">
        <v>9693</v>
      </c>
      <c r="IV2" s="13" t="s">
        <v>9694</v>
      </c>
      <c r="IW2" s="13" t="s">
        <v>9695</v>
      </c>
      <c r="IX2" s="73" t="s">
        <v>9696</v>
      </c>
      <c r="IY2" s="73" t="s">
        <v>9697</v>
      </c>
      <c r="IZ2" s="13" t="s">
        <v>9698</v>
      </c>
      <c r="JA2" s="73" t="s">
        <v>9699</v>
      </c>
      <c r="JB2" s="73" t="s">
        <v>9700</v>
      </c>
      <c r="JC2" s="73" t="s">
        <v>14031</v>
      </c>
      <c r="JD2" s="79" t="s">
        <v>14032</v>
      </c>
      <c r="JE2" s="73" t="s">
        <v>14033</v>
      </c>
      <c r="JF2" s="13" t="s">
        <v>9701</v>
      </c>
      <c r="JG2" s="73" t="s">
        <v>9702</v>
      </c>
      <c r="JH2" s="13" t="s">
        <v>9703</v>
      </c>
    </row>
    <row r="3" spans="1:268" ht="76.5" x14ac:dyDescent="0.2">
      <c r="A3" s="31" t="s">
        <v>152</v>
      </c>
      <c r="B3" s="9" t="s">
        <v>2185</v>
      </c>
      <c r="C3" s="9"/>
      <c r="D3" s="9" t="s">
        <v>25</v>
      </c>
      <c r="E3" s="9"/>
      <c r="F3" s="9" t="s">
        <v>5467</v>
      </c>
      <c r="G3" s="9"/>
      <c r="H3" s="9">
        <v>20</v>
      </c>
      <c r="I3" s="9">
        <v>20</v>
      </c>
      <c r="J3" s="9"/>
      <c r="K3" s="9" t="s">
        <v>28</v>
      </c>
      <c r="L3" s="9" t="s">
        <v>5468</v>
      </c>
      <c r="M3" s="9" t="s">
        <v>5468</v>
      </c>
      <c r="N3" s="9" t="s">
        <v>5447</v>
      </c>
      <c r="O3" s="9" t="s">
        <v>5447</v>
      </c>
      <c r="P3" s="9" t="s">
        <v>5447</v>
      </c>
      <c r="Q3" s="9" t="s">
        <v>5447</v>
      </c>
      <c r="R3" s="9" t="s">
        <v>5469</v>
      </c>
      <c r="S3" s="11">
        <v>0.09</v>
      </c>
      <c r="T3" s="11">
        <v>0.39</v>
      </c>
      <c r="U3" s="11">
        <v>0.11</v>
      </c>
      <c r="V3" s="10"/>
      <c r="W3" s="11">
        <v>0.12</v>
      </c>
      <c r="X3" s="10"/>
      <c r="Y3" s="10"/>
      <c r="Z3" s="10"/>
      <c r="AA3" s="10"/>
      <c r="AB3" s="10"/>
      <c r="AC3" s="11">
        <v>0.28999999999999998</v>
      </c>
      <c r="AD3" s="10"/>
      <c r="AE3" s="10"/>
      <c r="AF3" s="10"/>
      <c r="AG3" s="10"/>
      <c r="AH3" s="10"/>
      <c r="AI3" s="36">
        <v>3</v>
      </c>
      <c r="AJ3" s="33">
        <v>0.05</v>
      </c>
      <c r="AK3" s="33">
        <v>0.04</v>
      </c>
      <c r="AL3" s="33">
        <v>0.12</v>
      </c>
      <c r="AM3" s="33">
        <v>0.04</v>
      </c>
      <c r="AN3" s="33">
        <v>7.0000000000000007E-2</v>
      </c>
      <c r="AO3" s="33">
        <v>-0.08</v>
      </c>
      <c r="AP3" s="33">
        <v>-2.1000000000000001E-2</v>
      </c>
      <c r="AQ3" s="33"/>
      <c r="AR3" s="33"/>
      <c r="AS3" s="33">
        <v>1.6E-2</v>
      </c>
      <c r="AT3" s="11">
        <v>0.92</v>
      </c>
      <c r="AU3" s="11">
        <v>0.92</v>
      </c>
      <c r="AV3" s="11">
        <v>0.8</v>
      </c>
      <c r="AW3" s="11">
        <v>0.8</v>
      </c>
      <c r="AX3" s="11">
        <v>0.42</v>
      </c>
      <c r="AY3" s="11">
        <v>0.42</v>
      </c>
      <c r="AZ3" s="11">
        <v>0.83</v>
      </c>
      <c r="BA3" s="11">
        <v>0.83</v>
      </c>
      <c r="BB3" s="11">
        <v>0.74</v>
      </c>
      <c r="BC3" s="11">
        <v>0.74</v>
      </c>
      <c r="BD3" s="11">
        <v>0.34</v>
      </c>
      <c r="BE3" s="11">
        <v>0.34</v>
      </c>
      <c r="BF3" s="10" t="s">
        <v>25</v>
      </c>
      <c r="BG3" s="10" t="s">
        <v>25</v>
      </c>
      <c r="BH3" s="39"/>
      <c r="BI3" s="10" t="s">
        <v>25</v>
      </c>
      <c r="BJ3" s="39"/>
      <c r="BK3" s="10" t="s">
        <v>25</v>
      </c>
      <c r="BL3" s="39"/>
      <c r="BM3" s="10" t="s">
        <v>25</v>
      </c>
      <c r="BN3" s="39"/>
      <c r="BO3" s="10" t="s">
        <v>28</v>
      </c>
      <c r="BP3" s="39">
        <v>600</v>
      </c>
      <c r="BQ3" s="10" t="s">
        <v>5479</v>
      </c>
      <c r="BR3" s="42"/>
      <c r="BS3" s="42">
        <v>844</v>
      </c>
      <c r="BT3" s="42">
        <v>1680</v>
      </c>
      <c r="BU3" s="42"/>
      <c r="BV3" s="42">
        <v>1265</v>
      </c>
      <c r="BW3" s="42"/>
      <c r="BX3" s="42"/>
      <c r="BY3" s="42"/>
      <c r="BZ3" s="42"/>
      <c r="CA3" s="42"/>
      <c r="CB3" s="42">
        <v>2433</v>
      </c>
      <c r="CC3" s="42"/>
      <c r="CD3" s="42"/>
      <c r="CE3" s="42"/>
      <c r="CF3" s="42"/>
      <c r="CG3" s="42"/>
      <c r="CH3" s="11">
        <v>0.82</v>
      </c>
      <c r="CI3" s="42"/>
      <c r="CJ3" s="42"/>
      <c r="CK3" s="42"/>
      <c r="CL3" s="42"/>
      <c r="CM3" s="42"/>
      <c r="CN3" s="42"/>
      <c r="CO3" s="42"/>
      <c r="CP3" s="42"/>
      <c r="CQ3" s="42"/>
      <c r="CR3" s="42"/>
      <c r="CS3" s="42"/>
      <c r="CT3" s="42"/>
      <c r="CU3" s="42"/>
      <c r="CV3" s="42"/>
      <c r="CW3" s="42"/>
      <c r="CX3" s="42"/>
      <c r="CY3" s="11"/>
      <c r="CZ3" s="42"/>
      <c r="DA3" s="42">
        <v>829</v>
      </c>
      <c r="DB3" s="42">
        <v>1650</v>
      </c>
      <c r="DC3" s="42"/>
      <c r="DD3" s="42">
        <v>1243</v>
      </c>
      <c r="DE3" s="42"/>
      <c r="DF3" s="42"/>
      <c r="DG3" s="42"/>
      <c r="DH3" s="42"/>
      <c r="DI3" s="42"/>
      <c r="DJ3" s="42">
        <v>2389</v>
      </c>
      <c r="DK3" s="42"/>
      <c r="DL3" s="42"/>
      <c r="DM3" s="42"/>
      <c r="DN3" s="42"/>
      <c r="DO3" s="42"/>
      <c r="DP3" s="11">
        <v>0.87</v>
      </c>
      <c r="DQ3" s="42"/>
      <c r="DR3" s="42">
        <v>608</v>
      </c>
      <c r="DS3" s="42">
        <v>1216</v>
      </c>
      <c r="DT3" s="42"/>
      <c r="DU3" s="42">
        <v>912</v>
      </c>
      <c r="DV3" s="42"/>
      <c r="DW3" s="42"/>
      <c r="DX3" s="42"/>
      <c r="DY3" s="42"/>
      <c r="DZ3" s="42"/>
      <c r="EA3" s="42">
        <v>1714</v>
      </c>
      <c r="EB3" s="42"/>
      <c r="EC3" s="42"/>
      <c r="ED3" s="42"/>
      <c r="EE3" s="42"/>
      <c r="EF3" s="42"/>
      <c r="EG3" s="11">
        <v>0.81</v>
      </c>
      <c r="EH3" s="42"/>
      <c r="EI3" s="42"/>
      <c r="EJ3" s="42"/>
      <c r="EK3" s="42"/>
      <c r="EL3" s="42"/>
      <c r="EM3" s="42"/>
      <c r="EN3" s="42"/>
      <c r="EO3" s="42"/>
      <c r="EP3" s="42"/>
      <c r="EQ3" s="42"/>
      <c r="ER3" s="42"/>
      <c r="ES3" s="42"/>
      <c r="ET3" s="42"/>
      <c r="EU3" s="42"/>
      <c r="EV3" s="42"/>
      <c r="EW3" s="42"/>
      <c r="EX3" s="10"/>
      <c r="EY3" s="10"/>
      <c r="EZ3" s="10"/>
      <c r="FA3" s="10"/>
      <c r="FB3" s="10"/>
      <c r="FC3" s="10"/>
      <c r="FD3" s="10"/>
      <c r="FE3" s="10"/>
      <c r="FF3" s="10"/>
      <c r="FG3" s="10"/>
      <c r="FH3" s="10"/>
      <c r="FI3" s="10"/>
      <c r="FJ3" s="10"/>
      <c r="FK3" s="10"/>
      <c r="FL3" s="10"/>
      <c r="FM3" s="10"/>
      <c r="FN3" s="10"/>
      <c r="FO3" s="10"/>
      <c r="FP3" s="42"/>
      <c r="FQ3" s="42"/>
      <c r="FR3" s="42"/>
      <c r="FS3" s="42"/>
      <c r="FT3" s="42"/>
      <c r="FU3" s="42"/>
      <c r="FV3" s="42"/>
      <c r="FW3" s="42"/>
      <c r="FX3" s="42"/>
      <c r="FY3" s="42"/>
      <c r="FZ3" s="42"/>
      <c r="GA3" s="42"/>
      <c r="GB3" s="42"/>
      <c r="GC3" s="42"/>
      <c r="GD3" s="42"/>
      <c r="GE3" s="42"/>
      <c r="GF3" s="10"/>
      <c r="GG3" s="10">
        <v>2</v>
      </c>
      <c r="GH3" s="10" t="s">
        <v>5450</v>
      </c>
      <c r="GI3" s="42">
        <v>0</v>
      </c>
      <c r="GJ3" s="42">
        <v>37.51</v>
      </c>
      <c r="GK3" s="42">
        <v>75.03</v>
      </c>
      <c r="GL3" s="42"/>
      <c r="GM3" s="42">
        <v>56.25</v>
      </c>
      <c r="GN3" s="42"/>
      <c r="GO3" s="42"/>
      <c r="GP3" s="42"/>
      <c r="GQ3" s="42"/>
      <c r="GR3" s="42"/>
      <c r="GS3" s="42">
        <v>108.81</v>
      </c>
      <c r="GT3" s="42"/>
      <c r="GU3" s="42"/>
      <c r="GV3" s="42"/>
      <c r="GW3" s="42"/>
      <c r="GX3" s="42"/>
      <c r="GY3" s="11">
        <v>0.83</v>
      </c>
      <c r="GZ3" s="10">
        <v>2</v>
      </c>
      <c r="HA3" s="42"/>
      <c r="HB3" s="42">
        <v>9.5</v>
      </c>
      <c r="HC3" s="42">
        <v>19.010000000000002</v>
      </c>
      <c r="HD3" s="42"/>
      <c r="HE3" s="42">
        <v>14.26</v>
      </c>
      <c r="HF3" s="42"/>
      <c r="HG3" s="42"/>
      <c r="HH3" s="42"/>
      <c r="HI3" s="42"/>
      <c r="HJ3" s="42"/>
      <c r="HK3" s="42">
        <v>27.56</v>
      </c>
      <c r="HL3" s="42"/>
      <c r="HM3" s="42"/>
      <c r="HN3" s="42"/>
      <c r="HO3" s="42"/>
      <c r="HP3" s="42"/>
      <c r="HQ3" s="11">
        <v>0.56000000000000005</v>
      </c>
      <c r="HR3" s="10" t="s">
        <v>5451</v>
      </c>
      <c r="HS3" s="39">
        <v>350000</v>
      </c>
      <c r="HT3" s="39"/>
      <c r="HU3" s="39"/>
      <c r="HV3" s="10" t="s">
        <v>25</v>
      </c>
      <c r="HW3" s="10" t="s">
        <v>25</v>
      </c>
      <c r="HX3" s="10" t="s">
        <v>5452</v>
      </c>
      <c r="HY3" s="10" t="s">
        <v>5452</v>
      </c>
      <c r="HZ3" s="10" t="s">
        <v>5453</v>
      </c>
      <c r="IA3" s="10" t="s">
        <v>25</v>
      </c>
      <c r="IB3" s="10"/>
      <c r="IC3" s="10" t="s">
        <v>5635</v>
      </c>
      <c r="ID3" s="10" t="s">
        <v>13247</v>
      </c>
      <c r="IE3" s="10" t="s">
        <v>5507</v>
      </c>
      <c r="IF3" s="10" t="s">
        <v>72</v>
      </c>
      <c r="IG3" s="10" t="s">
        <v>72</v>
      </c>
      <c r="IH3" s="10" t="s">
        <v>72</v>
      </c>
      <c r="II3" s="10" t="s">
        <v>72</v>
      </c>
      <c r="IJ3" s="10" t="s">
        <v>2692</v>
      </c>
      <c r="IK3" s="10"/>
      <c r="IL3" s="10" t="s">
        <v>25</v>
      </c>
      <c r="IM3" s="10" t="s">
        <v>2758</v>
      </c>
      <c r="IN3" s="10"/>
      <c r="IO3" s="10" t="s">
        <v>25</v>
      </c>
      <c r="IP3" s="10" t="s">
        <v>2201</v>
      </c>
      <c r="IQ3" s="10" t="s">
        <v>5458</v>
      </c>
      <c r="IR3" s="10" t="s">
        <v>5458</v>
      </c>
      <c r="IS3" s="10" t="s">
        <v>5458</v>
      </c>
      <c r="IT3" s="10" t="s">
        <v>5459</v>
      </c>
      <c r="IU3" s="10" t="s">
        <v>5459</v>
      </c>
      <c r="IV3" s="10" t="s">
        <v>5458</v>
      </c>
      <c r="IW3" s="10" t="s">
        <v>5458</v>
      </c>
      <c r="IX3" s="10" t="s">
        <v>5460</v>
      </c>
      <c r="IY3" s="10"/>
      <c r="IZ3" s="10" t="s">
        <v>5636</v>
      </c>
      <c r="JA3" s="10" t="s">
        <v>13301</v>
      </c>
      <c r="JB3" s="10" t="s">
        <v>5515</v>
      </c>
      <c r="JC3" s="10" t="s">
        <v>5515</v>
      </c>
      <c r="JD3" s="10" t="s">
        <v>5477</v>
      </c>
      <c r="JE3" s="10" t="s">
        <v>5463</v>
      </c>
      <c r="JF3" s="10" t="s">
        <v>5464</v>
      </c>
      <c r="JG3" s="10" t="s">
        <v>5465</v>
      </c>
      <c r="JH3" s="10" t="s">
        <v>5496</v>
      </c>
    </row>
    <row r="4" spans="1:268" ht="89.25" x14ac:dyDescent="0.2">
      <c r="A4" s="31" t="s">
        <v>133</v>
      </c>
      <c r="B4" s="9" t="s">
        <v>5444</v>
      </c>
      <c r="C4" s="9"/>
      <c r="D4" s="9" t="s">
        <v>25</v>
      </c>
      <c r="E4" s="9"/>
      <c r="F4" s="9" t="s">
        <v>5467</v>
      </c>
      <c r="G4" s="9"/>
      <c r="H4" s="9">
        <v>20</v>
      </c>
      <c r="I4" s="9"/>
      <c r="J4" s="9"/>
      <c r="K4" s="9" t="s">
        <v>25</v>
      </c>
      <c r="L4" s="9"/>
      <c r="M4" s="9"/>
      <c r="N4" s="9"/>
      <c r="O4" s="9"/>
      <c r="P4" s="9"/>
      <c r="Q4" s="9"/>
      <c r="R4" s="9" t="s">
        <v>5469</v>
      </c>
      <c r="S4" s="11">
        <v>0.01</v>
      </c>
      <c r="T4" s="11">
        <v>0.5</v>
      </c>
      <c r="U4" s="11">
        <v>0.14000000000000001</v>
      </c>
      <c r="V4" s="10"/>
      <c r="W4" s="11">
        <v>0.08</v>
      </c>
      <c r="X4" s="10"/>
      <c r="Y4" s="10"/>
      <c r="Z4" s="10"/>
      <c r="AA4" s="10"/>
      <c r="AB4" s="10"/>
      <c r="AC4" s="11">
        <v>0.27</v>
      </c>
      <c r="AD4" s="10"/>
      <c r="AE4" s="10"/>
      <c r="AF4" s="10"/>
      <c r="AG4" s="10"/>
      <c r="AH4" s="10"/>
      <c r="AI4" s="36">
        <v>2</v>
      </c>
      <c r="AJ4" s="33">
        <v>2.8999999999999998E-2</v>
      </c>
      <c r="AK4" s="33">
        <v>8.5000000000000006E-2</v>
      </c>
      <c r="AL4" s="33">
        <v>0.14000000000000001</v>
      </c>
      <c r="AM4" s="33">
        <v>4.2999999999999997E-2</v>
      </c>
      <c r="AN4" s="33">
        <v>-8.0000000000000002E-3</v>
      </c>
      <c r="AO4" s="33">
        <v>1.2E-2</v>
      </c>
      <c r="AP4" s="33">
        <v>6.7000000000000004E-2</v>
      </c>
      <c r="AQ4" s="33">
        <v>0.122</v>
      </c>
      <c r="AR4" s="33">
        <v>4.2999999999999997E-2</v>
      </c>
      <c r="AS4" s="33">
        <v>-1.6E-2</v>
      </c>
      <c r="AT4" s="11">
        <v>0.99</v>
      </c>
      <c r="AU4" s="11"/>
      <c r="AV4" s="11">
        <v>0.94</v>
      </c>
      <c r="AW4" s="11"/>
      <c r="AX4" s="11">
        <v>0.9</v>
      </c>
      <c r="AY4" s="11"/>
      <c r="AZ4" s="11">
        <v>0.8</v>
      </c>
      <c r="BA4" s="11"/>
      <c r="BB4" s="11">
        <v>0.64</v>
      </c>
      <c r="BC4" s="11"/>
      <c r="BD4" s="11">
        <v>0.66</v>
      </c>
      <c r="BE4" s="11"/>
      <c r="BF4" s="10" t="s">
        <v>25</v>
      </c>
      <c r="BG4" s="10" t="s">
        <v>25</v>
      </c>
      <c r="BH4" s="39"/>
      <c r="BI4" s="10" t="s">
        <v>25</v>
      </c>
      <c r="BJ4" s="39"/>
      <c r="BK4" s="10" t="s">
        <v>25</v>
      </c>
      <c r="BL4" s="39"/>
      <c r="BM4" s="10" t="s">
        <v>25</v>
      </c>
      <c r="BN4" s="39"/>
      <c r="BO4" s="10" t="s">
        <v>25</v>
      </c>
      <c r="BP4" s="39"/>
      <c r="BQ4" s="10" t="s">
        <v>5530</v>
      </c>
      <c r="BR4" s="42">
        <v>0</v>
      </c>
      <c r="BS4" s="42">
        <v>852.41</v>
      </c>
      <c r="BT4" s="42">
        <v>1875.26</v>
      </c>
      <c r="BU4" s="42"/>
      <c r="BV4" s="42">
        <v>1619.54</v>
      </c>
      <c r="BW4" s="42"/>
      <c r="BX4" s="42"/>
      <c r="BY4" s="42"/>
      <c r="BZ4" s="42"/>
      <c r="CA4" s="42"/>
      <c r="CB4" s="42">
        <v>2642.37</v>
      </c>
      <c r="CC4" s="42"/>
      <c r="CD4" s="42"/>
      <c r="CE4" s="42"/>
      <c r="CF4" s="42"/>
      <c r="CG4" s="42"/>
      <c r="CH4" s="11">
        <v>0.91</v>
      </c>
      <c r="CI4" s="42">
        <v>0</v>
      </c>
      <c r="CJ4" s="42">
        <v>831.1</v>
      </c>
      <c r="CK4" s="42">
        <v>1828.37</v>
      </c>
      <c r="CL4" s="42"/>
      <c r="CM4" s="42">
        <v>1578.99</v>
      </c>
      <c r="CN4" s="42"/>
      <c r="CO4" s="42"/>
      <c r="CP4" s="42"/>
      <c r="CQ4" s="42"/>
      <c r="CR4" s="42"/>
      <c r="CS4" s="42">
        <v>2576.25</v>
      </c>
      <c r="CT4" s="42"/>
      <c r="CU4" s="42"/>
      <c r="CV4" s="42"/>
      <c r="CW4" s="42"/>
      <c r="CX4" s="42"/>
      <c r="CY4" s="11">
        <v>0.9</v>
      </c>
      <c r="CZ4" s="42">
        <v>0</v>
      </c>
      <c r="DA4" s="42">
        <v>768.49</v>
      </c>
      <c r="DB4" s="42">
        <v>1690.64</v>
      </c>
      <c r="DC4" s="42"/>
      <c r="DD4" s="42">
        <v>1460.1</v>
      </c>
      <c r="DE4" s="42"/>
      <c r="DF4" s="42"/>
      <c r="DG4" s="42"/>
      <c r="DH4" s="42"/>
      <c r="DI4" s="42"/>
      <c r="DJ4" s="42">
        <v>2382.2399999999998</v>
      </c>
      <c r="DK4" s="42"/>
      <c r="DL4" s="42"/>
      <c r="DM4" s="42"/>
      <c r="DN4" s="42"/>
      <c r="DO4" s="42"/>
      <c r="DP4" s="11">
        <v>0.92</v>
      </c>
      <c r="DQ4" s="42">
        <v>0</v>
      </c>
      <c r="DR4" s="42">
        <v>469.69</v>
      </c>
      <c r="DS4" s="42">
        <v>1033.32</v>
      </c>
      <c r="DT4" s="42"/>
      <c r="DU4" s="42">
        <v>939.43</v>
      </c>
      <c r="DV4" s="42"/>
      <c r="DW4" s="42"/>
      <c r="DX4" s="42"/>
      <c r="DY4" s="42"/>
      <c r="DZ4" s="42"/>
      <c r="EA4" s="42">
        <v>1409.11</v>
      </c>
      <c r="EB4" s="42"/>
      <c r="EC4" s="42"/>
      <c r="ED4" s="42"/>
      <c r="EE4" s="42"/>
      <c r="EF4" s="42"/>
      <c r="EG4" s="11">
        <v>0.85</v>
      </c>
      <c r="EH4" s="42"/>
      <c r="EI4" s="42"/>
      <c r="EJ4" s="42"/>
      <c r="EK4" s="42"/>
      <c r="EL4" s="42"/>
      <c r="EM4" s="42"/>
      <c r="EN4" s="42"/>
      <c r="EO4" s="42"/>
      <c r="EP4" s="42"/>
      <c r="EQ4" s="42"/>
      <c r="ER4" s="42"/>
      <c r="ES4" s="42"/>
      <c r="ET4" s="42"/>
      <c r="EU4" s="42"/>
      <c r="EV4" s="42"/>
      <c r="EW4" s="42"/>
      <c r="EX4" s="10"/>
      <c r="EY4" s="10"/>
      <c r="EZ4" s="10"/>
      <c r="FA4" s="10"/>
      <c r="FB4" s="10"/>
      <c r="FC4" s="10"/>
      <c r="FD4" s="10"/>
      <c r="FE4" s="10"/>
      <c r="FF4" s="10"/>
      <c r="FG4" s="10"/>
      <c r="FH4" s="10"/>
      <c r="FI4" s="10"/>
      <c r="FJ4" s="10"/>
      <c r="FK4" s="10"/>
      <c r="FL4" s="10"/>
      <c r="FM4" s="10"/>
      <c r="FN4" s="10"/>
      <c r="FO4" s="10"/>
      <c r="FP4" s="42"/>
      <c r="FQ4" s="42"/>
      <c r="FR4" s="42"/>
      <c r="FS4" s="42"/>
      <c r="FT4" s="42"/>
      <c r="FU4" s="42"/>
      <c r="FV4" s="42"/>
      <c r="FW4" s="42"/>
      <c r="FX4" s="42"/>
      <c r="FY4" s="42"/>
      <c r="FZ4" s="42"/>
      <c r="GA4" s="42"/>
      <c r="GB4" s="42"/>
      <c r="GC4" s="42"/>
      <c r="GD4" s="42"/>
      <c r="GE4" s="42"/>
      <c r="GF4" s="10"/>
      <c r="GG4" s="10">
        <v>2</v>
      </c>
      <c r="GH4" s="10" t="s">
        <v>5450</v>
      </c>
      <c r="GI4" s="42">
        <v>0</v>
      </c>
      <c r="GJ4" s="42">
        <v>86.3</v>
      </c>
      <c r="GK4" s="42">
        <v>167.57</v>
      </c>
      <c r="GL4" s="42"/>
      <c r="GM4" s="42">
        <v>183</v>
      </c>
      <c r="GN4" s="42"/>
      <c r="GO4" s="42"/>
      <c r="GP4" s="42"/>
      <c r="GQ4" s="42"/>
      <c r="GR4" s="42"/>
      <c r="GS4" s="42">
        <v>264.17</v>
      </c>
      <c r="GT4" s="42"/>
      <c r="GU4" s="42"/>
      <c r="GV4" s="42"/>
      <c r="GW4" s="42"/>
      <c r="GX4" s="42"/>
      <c r="GY4" s="11">
        <v>0.81</v>
      </c>
      <c r="GZ4" s="10">
        <v>2</v>
      </c>
      <c r="HA4" s="42">
        <v>0</v>
      </c>
      <c r="HB4" s="42">
        <v>9.9600000000000009</v>
      </c>
      <c r="HC4" s="42">
        <v>19.91</v>
      </c>
      <c r="HD4" s="42"/>
      <c r="HE4" s="42">
        <v>16.920000000000002</v>
      </c>
      <c r="HF4" s="42"/>
      <c r="HG4" s="42"/>
      <c r="HH4" s="42"/>
      <c r="HI4" s="42"/>
      <c r="HJ4" s="42"/>
      <c r="HK4" s="42">
        <v>26.88</v>
      </c>
      <c r="HL4" s="42"/>
      <c r="HM4" s="42"/>
      <c r="HN4" s="42"/>
      <c r="HO4" s="42"/>
      <c r="HP4" s="42"/>
      <c r="HQ4" s="11">
        <v>0.88</v>
      </c>
      <c r="HR4" s="10" t="s">
        <v>25</v>
      </c>
      <c r="HS4" s="39"/>
      <c r="HT4" s="39"/>
      <c r="HU4" s="39"/>
      <c r="HV4" s="10"/>
      <c r="HW4" s="10"/>
      <c r="HX4" s="10" t="s">
        <v>5452</v>
      </c>
      <c r="HY4" s="10" t="s">
        <v>5452</v>
      </c>
      <c r="HZ4" s="10" t="s">
        <v>5452</v>
      </c>
      <c r="IA4" s="10" t="s">
        <v>25</v>
      </c>
      <c r="IB4" s="10"/>
      <c r="IC4" s="10" t="s">
        <v>5558</v>
      </c>
      <c r="ID4" s="10"/>
      <c r="IE4" s="10" t="s">
        <v>13275</v>
      </c>
      <c r="IF4" s="10" t="s">
        <v>13298</v>
      </c>
      <c r="IG4" s="10"/>
      <c r="IH4" s="10"/>
      <c r="II4" s="10"/>
      <c r="IJ4" s="10" t="s">
        <v>29</v>
      </c>
      <c r="IK4" s="10" t="s">
        <v>5559</v>
      </c>
      <c r="IL4" s="10" t="s">
        <v>25</v>
      </c>
      <c r="IM4" s="10" t="s">
        <v>2758</v>
      </c>
      <c r="IN4" s="10"/>
      <c r="IO4" s="10" t="s">
        <v>29</v>
      </c>
      <c r="IP4" s="10" t="s">
        <v>2201</v>
      </c>
      <c r="IQ4" s="10" t="s">
        <v>5458</v>
      </c>
      <c r="IR4" s="10" t="s">
        <v>5458</v>
      </c>
      <c r="IS4" s="10" t="s">
        <v>5459</v>
      </c>
      <c r="IT4" s="10" t="s">
        <v>5459</v>
      </c>
      <c r="IU4" s="10" t="s">
        <v>5459</v>
      </c>
      <c r="IV4" s="10" t="s">
        <v>5458</v>
      </c>
      <c r="IW4" s="10" t="s">
        <v>5458</v>
      </c>
      <c r="IX4" s="10" t="s">
        <v>29</v>
      </c>
      <c r="IY4" s="10" t="s">
        <v>5560</v>
      </c>
      <c r="IZ4" s="10" t="s">
        <v>14030</v>
      </c>
      <c r="JA4" s="10" t="s">
        <v>13301</v>
      </c>
      <c r="JB4" s="10" t="s">
        <v>5485</v>
      </c>
      <c r="JC4" s="10" t="s">
        <v>5485</v>
      </c>
      <c r="JD4" s="10" t="s">
        <v>5477</v>
      </c>
      <c r="JE4" s="10" t="s">
        <v>5486</v>
      </c>
      <c r="JF4" s="10" t="s">
        <v>5464</v>
      </c>
      <c r="JG4" s="10" t="s">
        <v>5465</v>
      </c>
      <c r="JH4" s="10" t="s">
        <v>5466</v>
      </c>
    </row>
    <row r="5" spans="1:268" ht="76.5" x14ac:dyDescent="0.2">
      <c r="A5" s="31" t="s">
        <v>156</v>
      </c>
      <c r="B5" s="9" t="s">
        <v>2185</v>
      </c>
      <c r="C5" s="9"/>
      <c r="D5" s="9" t="s">
        <v>25</v>
      </c>
      <c r="E5" s="9"/>
      <c r="F5" s="9" t="s">
        <v>5467</v>
      </c>
      <c r="G5" s="9"/>
      <c r="H5" s="9">
        <v>30</v>
      </c>
      <c r="I5" s="9">
        <v>20</v>
      </c>
      <c r="J5" s="9">
        <v>29</v>
      </c>
      <c r="K5" s="9" t="s">
        <v>28</v>
      </c>
      <c r="L5" s="9" t="s">
        <v>5468</v>
      </c>
      <c r="M5" s="9" t="s">
        <v>5468</v>
      </c>
      <c r="N5" s="9"/>
      <c r="O5" s="9"/>
      <c r="P5" s="9"/>
      <c r="Q5" s="9"/>
      <c r="R5" s="9" t="s">
        <v>5469</v>
      </c>
      <c r="S5" s="11">
        <v>0.09</v>
      </c>
      <c r="T5" s="11">
        <v>0.33</v>
      </c>
      <c r="U5" s="11">
        <v>0.15</v>
      </c>
      <c r="V5" s="10"/>
      <c r="W5" s="11">
        <v>0.08</v>
      </c>
      <c r="X5" s="10"/>
      <c r="Y5" s="10"/>
      <c r="Z5" s="10"/>
      <c r="AA5" s="10"/>
      <c r="AB5" s="10"/>
      <c r="AC5" s="11">
        <v>0.35</v>
      </c>
      <c r="AD5" s="10"/>
      <c r="AE5" s="10"/>
      <c r="AF5" s="10"/>
      <c r="AG5" s="10"/>
      <c r="AH5" s="10"/>
      <c r="AI5" s="36">
        <v>3</v>
      </c>
      <c r="AJ5" s="33">
        <v>4.5999999999999999E-2</v>
      </c>
      <c r="AK5" s="33">
        <v>4.5999999999999999E-2</v>
      </c>
      <c r="AL5" s="33">
        <v>4.5999999999999999E-2</v>
      </c>
      <c r="AM5" s="33">
        <v>4.5999999999999999E-2</v>
      </c>
      <c r="AN5" s="33">
        <v>3.2000000000000001E-2</v>
      </c>
      <c r="AO5" s="33">
        <v>4.5999999999999999E-2</v>
      </c>
      <c r="AP5" s="33">
        <v>4.5999999999999999E-2</v>
      </c>
      <c r="AQ5" s="33">
        <v>4.5999999999999999E-2</v>
      </c>
      <c r="AR5" s="33">
        <v>4.5999999999999999E-2</v>
      </c>
      <c r="AS5" s="33">
        <v>3.2000000000000001E-2</v>
      </c>
      <c r="AT5" s="11">
        <v>0.9</v>
      </c>
      <c r="AU5" s="11"/>
      <c r="AV5" s="11">
        <v>0.93</v>
      </c>
      <c r="AW5" s="11"/>
      <c r="AX5" s="11">
        <v>0.74</v>
      </c>
      <c r="AY5" s="11"/>
      <c r="AZ5" s="11">
        <v>0.8</v>
      </c>
      <c r="BA5" s="11"/>
      <c r="BB5" s="11">
        <v>0.93</v>
      </c>
      <c r="BC5" s="11"/>
      <c r="BD5" s="11">
        <v>0.74</v>
      </c>
      <c r="BE5" s="11"/>
      <c r="BF5" s="10" t="s">
        <v>25</v>
      </c>
      <c r="BG5" s="10" t="s">
        <v>25</v>
      </c>
      <c r="BH5" s="39"/>
      <c r="BI5" s="10" t="s">
        <v>25</v>
      </c>
      <c r="BJ5" s="39"/>
      <c r="BK5" s="10" t="s">
        <v>25</v>
      </c>
      <c r="BL5" s="39"/>
      <c r="BM5" s="10" t="s">
        <v>25</v>
      </c>
      <c r="BN5" s="39"/>
      <c r="BO5" s="10" t="s">
        <v>25</v>
      </c>
      <c r="BP5" s="39"/>
      <c r="BQ5" s="10" t="s">
        <v>5479</v>
      </c>
      <c r="BR5" s="42"/>
      <c r="BS5" s="42">
        <v>777</v>
      </c>
      <c r="BT5" s="42">
        <v>1553</v>
      </c>
      <c r="BU5" s="42"/>
      <c r="BV5" s="42">
        <v>1320</v>
      </c>
      <c r="BW5" s="42"/>
      <c r="BX5" s="42"/>
      <c r="BY5" s="42"/>
      <c r="BZ5" s="42"/>
      <c r="CA5" s="42"/>
      <c r="CB5" s="42">
        <v>2329</v>
      </c>
      <c r="CC5" s="42"/>
      <c r="CD5" s="42"/>
      <c r="CE5" s="42"/>
      <c r="CF5" s="42"/>
      <c r="CG5" s="42"/>
      <c r="CH5" s="11">
        <v>0.95</v>
      </c>
      <c r="CI5" s="42"/>
      <c r="CJ5" s="42"/>
      <c r="CK5" s="42"/>
      <c r="CL5" s="42"/>
      <c r="CM5" s="42"/>
      <c r="CN5" s="42"/>
      <c r="CO5" s="42"/>
      <c r="CP5" s="42"/>
      <c r="CQ5" s="42"/>
      <c r="CR5" s="42"/>
      <c r="CS5" s="42"/>
      <c r="CT5" s="42"/>
      <c r="CU5" s="42"/>
      <c r="CV5" s="42"/>
      <c r="CW5" s="42"/>
      <c r="CX5" s="42"/>
      <c r="CY5" s="11"/>
      <c r="CZ5" s="42"/>
      <c r="DA5" s="42">
        <v>611</v>
      </c>
      <c r="DB5" s="42">
        <v>1221</v>
      </c>
      <c r="DC5" s="42"/>
      <c r="DD5" s="42">
        <v>1038</v>
      </c>
      <c r="DE5" s="42"/>
      <c r="DF5" s="42"/>
      <c r="DG5" s="42"/>
      <c r="DH5" s="42"/>
      <c r="DI5" s="42"/>
      <c r="DJ5" s="42">
        <v>1832</v>
      </c>
      <c r="DK5" s="42"/>
      <c r="DL5" s="42"/>
      <c r="DM5" s="42"/>
      <c r="DN5" s="42"/>
      <c r="DO5" s="42"/>
      <c r="DP5" s="11">
        <v>0.95</v>
      </c>
      <c r="DQ5" s="42"/>
      <c r="DR5" s="42">
        <v>668</v>
      </c>
      <c r="DS5" s="42">
        <v>1403</v>
      </c>
      <c r="DT5" s="42"/>
      <c r="DU5" s="42">
        <v>1202</v>
      </c>
      <c r="DV5" s="42"/>
      <c r="DW5" s="42"/>
      <c r="DX5" s="42"/>
      <c r="DY5" s="42"/>
      <c r="DZ5" s="42"/>
      <c r="EA5" s="42">
        <v>1937</v>
      </c>
      <c r="EB5" s="42"/>
      <c r="EC5" s="42"/>
      <c r="ED5" s="42"/>
      <c r="EE5" s="42"/>
      <c r="EF5" s="42"/>
      <c r="EG5" s="11">
        <v>0.87</v>
      </c>
      <c r="EH5" s="42"/>
      <c r="EI5" s="42"/>
      <c r="EJ5" s="42"/>
      <c r="EK5" s="42"/>
      <c r="EL5" s="42"/>
      <c r="EM5" s="42"/>
      <c r="EN5" s="42"/>
      <c r="EO5" s="42"/>
      <c r="EP5" s="42"/>
      <c r="EQ5" s="42"/>
      <c r="ER5" s="42"/>
      <c r="ES5" s="42"/>
      <c r="ET5" s="42"/>
      <c r="EU5" s="42"/>
      <c r="EV5" s="42"/>
      <c r="EW5" s="42"/>
      <c r="EX5" s="10"/>
      <c r="EY5" s="10"/>
      <c r="EZ5" s="10"/>
      <c r="FA5" s="10"/>
      <c r="FB5" s="10"/>
      <c r="FC5" s="10"/>
      <c r="FD5" s="10"/>
      <c r="FE5" s="10"/>
      <c r="FF5" s="10"/>
      <c r="FG5" s="10"/>
      <c r="FH5" s="10"/>
      <c r="FI5" s="10"/>
      <c r="FJ5" s="10"/>
      <c r="FK5" s="10"/>
      <c r="FL5" s="10"/>
      <c r="FM5" s="10"/>
      <c r="FN5" s="10"/>
      <c r="FO5" s="10"/>
      <c r="FP5" s="42"/>
      <c r="FQ5" s="42"/>
      <c r="FR5" s="42"/>
      <c r="FS5" s="42"/>
      <c r="FT5" s="42"/>
      <c r="FU5" s="42"/>
      <c r="FV5" s="42"/>
      <c r="FW5" s="42"/>
      <c r="FX5" s="42"/>
      <c r="FY5" s="42"/>
      <c r="FZ5" s="42"/>
      <c r="GA5" s="42"/>
      <c r="GB5" s="42"/>
      <c r="GC5" s="42"/>
      <c r="GD5" s="42"/>
      <c r="GE5" s="42"/>
      <c r="GF5" s="10"/>
      <c r="GG5" s="10">
        <v>2</v>
      </c>
      <c r="GH5" s="10" t="s">
        <v>5450</v>
      </c>
      <c r="GI5" s="42"/>
      <c r="GJ5" s="42">
        <v>62</v>
      </c>
      <c r="GK5" s="42">
        <v>118</v>
      </c>
      <c r="GL5" s="42"/>
      <c r="GM5" s="42">
        <v>101</v>
      </c>
      <c r="GN5" s="42"/>
      <c r="GO5" s="42"/>
      <c r="GP5" s="42"/>
      <c r="GQ5" s="42"/>
      <c r="GR5" s="42"/>
      <c r="GS5" s="42">
        <v>183</v>
      </c>
      <c r="GT5" s="42"/>
      <c r="GU5" s="42"/>
      <c r="GV5" s="42"/>
      <c r="GW5" s="42"/>
      <c r="GX5" s="42"/>
      <c r="GY5" s="11">
        <v>0.93</v>
      </c>
      <c r="GZ5" s="10">
        <v>2</v>
      </c>
      <c r="HA5" s="42"/>
      <c r="HB5" s="42">
        <v>28</v>
      </c>
      <c r="HC5" s="42">
        <v>55</v>
      </c>
      <c r="HD5" s="42"/>
      <c r="HE5" s="42">
        <v>55</v>
      </c>
      <c r="HF5" s="42"/>
      <c r="HG5" s="42"/>
      <c r="HH5" s="42"/>
      <c r="HI5" s="42"/>
      <c r="HJ5" s="42"/>
      <c r="HK5" s="42">
        <v>55</v>
      </c>
      <c r="HL5" s="42"/>
      <c r="HM5" s="42"/>
      <c r="HN5" s="42"/>
      <c r="HO5" s="42"/>
      <c r="HP5" s="42"/>
      <c r="HQ5" s="11">
        <v>0.74</v>
      </c>
      <c r="HR5" s="10" t="s">
        <v>5451</v>
      </c>
      <c r="HS5" s="39">
        <v>750000</v>
      </c>
      <c r="HT5" s="39"/>
      <c r="HU5" s="39"/>
      <c r="HV5" s="10" t="s">
        <v>25</v>
      </c>
      <c r="HW5" s="10" t="s">
        <v>25</v>
      </c>
      <c r="HX5" s="10" t="s">
        <v>5498</v>
      </c>
      <c r="HY5" s="10" t="s">
        <v>5498</v>
      </c>
      <c r="HZ5" s="10" t="s">
        <v>5453</v>
      </c>
      <c r="IA5" s="10" t="s">
        <v>25</v>
      </c>
      <c r="IB5" s="10"/>
      <c r="IC5" s="10" t="s">
        <v>5652</v>
      </c>
      <c r="ID5" s="10" t="s">
        <v>13249</v>
      </c>
      <c r="IE5" s="10" t="s">
        <v>5653</v>
      </c>
      <c r="IF5" s="10" t="s">
        <v>5507</v>
      </c>
      <c r="IG5" s="10" t="s">
        <v>72</v>
      </c>
      <c r="IH5" s="10" t="s">
        <v>72</v>
      </c>
      <c r="II5" s="10" t="s">
        <v>72</v>
      </c>
      <c r="IJ5" s="10" t="s">
        <v>2758</v>
      </c>
      <c r="IK5" s="10"/>
      <c r="IL5" s="10" t="s">
        <v>25</v>
      </c>
      <c r="IM5" s="10" t="s">
        <v>2758</v>
      </c>
      <c r="IN5" s="10"/>
      <c r="IO5" s="10" t="s">
        <v>5472</v>
      </c>
      <c r="IP5" s="10" t="s">
        <v>2201</v>
      </c>
      <c r="IQ5" s="10" t="s">
        <v>5458</v>
      </c>
      <c r="IR5" s="10" t="s">
        <v>5458</v>
      </c>
      <c r="IS5" s="10" t="s">
        <v>5458</v>
      </c>
      <c r="IT5" s="10" t="s">
        <v>5474</v>
      </c>
      <c r="IU5" s="10" t="s">
        <v>5474</v>
      </c>
      <c r="IV5" s="10" t="s">
        <v>5458</v>
      </c>
      <c r="IW5" s="10" t="s">
        <v>5474</v>
      </c>
      <c r="IX5" s="10" t="s">
        <v>5460</v>
      </c>
      <c r="IY5" s="10"/>
      <c r="IZ5" s="10" t="s">
        <v>5654</v>
      </c>
      <c r="JA5" s="10" t="s">
        <v>13301</v>
      </c>
      <c r="JB5" s="10" t="s">
        <v>5527</v>
      </c>
      <c r="JC5" s="10" t="s">
        <v>5527</v>
      </c>
      <c r="JD5" s="10" t="s">
        <v>5477</v>
      </c>
      <c r="JE5" s="10" t="s">
        <v>5486</v>
      </c>
      <c r="JF5" s="10" t="s">
        <v>5464</v>
      </c>
      <c r="JG5" s="10" t="s">
        <v>5465</v>
      </c>
      <c r="JH5" s="10" t="s">
        <v>5509</v>
      </c>
    </row>
    <row r="6" spans="1:268" ht="102" x14ac:dyDescent="0.2">
      <c r="A6" s="31" t="s">
        <v>179</v>
      </c>
      <c r="B6" s="9" t="s">
        <v>5494</v>
      </c>
      <c r="C6" s="9"/>
      <c r="D6" s="9" t="s">
        <v>28</v>
      </c>
      <c r="E6" s="9" t="s">
        <v>5737</v>
      </c>
      <c r="F6" s="9" t="s">
        <v>5467</v>
      </c>
      <c r="G6" s="9"/>
      <c r="H6" s="9">
        <v>20</v>
      </c>
      <c r="I6" s="9">
        <v>20</v>
      </c>
      <c r="J6" s="9"/>
      <c r="K6" s="9" t="s">
        <v>25</v>
      </c>
      <c r="L6" s="9"/>
      <c r="M6" s="9"/>
      <c r="N6" s="9"/>
      <c r="O6" s="9"/>
      <c r="P6" s="9"/>
      <c r="Q6" s="9"/>
      <c r="R6" s="9" t="s">
        <v>5469</v>
      </c>
      <c r="S6" s="11">
        <v>0.08</v>
      </c>
      <c r="T6" s="11">
        <v>0.35</v>
      </c>
      <c r="U6" s="11">
        <v>0.12</v>
      </c>
      <c r="V6" s="10"/>
      <c r="W6" s="11">
        <v>0.08</v>
      </c>
      <c r="X6" s="10"/>
      <c r="Y6" s="10"/>
      <c r="Z6" s="10"/>
      <c r="AA6" s="10"/>
      <c r="AB6" s="10"/>
      <c r="AC6" s="11">
        <v>0.37</v>
      </c>
      <c r="AD6" s="10"/>
      <c r="AE6" s="10"/>
      <c r="AF6" s="10"/>
      <c r="AG6" s="10"/>
      <c r="AH6" s="10"/>
      <c r="AI6" s="36">
        <v>3</v>
      </c>
      <c r="AJ6" s="33">
        <v>4.2999999999999997E-2</v>
      </c>
      <c r="AK6" s="33">
        <v>4.9000000000000002E-2</v>
      </c>
      <c r="AL6" s="33"/>
      <c r="AM6" s="33"/>
      <c r="AN6" s="33">
        <v>1.6E-2</v>
      </c>
      <c r="AO6" s="33">
        <v>2.3E-2</v>
      </c>
      <c r="AP6" s="33">
        <v>1.7000000000000001E-2</v>
      </c>
      <c r="AQ6" s="33"/>
      <c r="AR6" s="33"/>
      <c r="AS6" s="33">
        <v>2.7999999999999997E-2</v>
      </c>
      <c r="AT6" s="11">
        <v>0.92</v>
      </c>
      <c r="AU6" s="11">
        <v>0.95</v>
      </c>
      <c r="AV6" s="11">
        <v>0.8</v>
      </c>
      <c r="AW6" s="11">
        <v>0.81</v>
      </c>
      <c r="AX6" s="11">
        <v>0.57999999999999996</v>
      </c>
      <c r="AY6" s="11">
        <v>0.57999999999999996</v>
      </c>
      <c r="AZ6" s="11">
        <v>0.87</v>
      </c>
      <c r="BA6" s="11">
        <v>0.91</v>
      </c>
      <c r="BB6" s="11">
        <v>0.76</v>
      </c>
      <c r="BC6" s="11">
        <v>0.77</v>
      </c>
      <c r="BD6" s="11">
        <v>0.43</v>
      </c>
      <c r="BE6" s="11">
        <v>0.43</v>
      </c>
      <c r="BF6" s="10" t="s">
        <v>25</v>
      </c>
      <c r="BG6" s="10" t="s">
        <v>25</v>
      </c>
      <c r="BH6" s="39"/>
      <c r="BI6" s="10" t="s">
        <v>25</v>
      </c>
      <c r="BJ6" s="39"/>
      <c r="BK6" s="10" t="s">
        <v>25</v>
      </c>
      <c r="BL6" s="39"/>
      <c r="BM6" s="10" t="s">
        <v>25</v>
      </c>
      <c r="BN6" s="39"/>
      <c r="BO6" s="10" t="s">
        <v>25</v>
      </c>
      <c r="BP6" s="39"/>
      <c r="BQ6" s="10" t="s">
        <v>5479</v>
      </c>
      <c r="BR6" s="42">
        <v>0</v>
      </c>
      <c r="BS6" s="42">
        <v>713.15</v>
      </c>
      <c r="BT6" s="42">
        <v>1497.6</v>
      </c>
      <c r="BU6" s="42"/>
      <c r="BV6" s="42">
        <v>1354.97</v>
      </c>
      <c r="BW6" s="42"/>
      <c r="BX6" s="42"/>
      <c r="BY6" s="42"/>
      <c r="BZ6" s="42"/>
      <c r="CA6" s="42"/>
      <c r="CB6" s="42">
        <v>2139.4299999999998</v>
      </c>
      <c r="CC6" s="42"/>
      <c r="CD6" s="42"/>
      <c r="CE6" s="42"/>
      <c r="CF6" s="42"/>
      <c r="CG6" s="42"/>
      <c r="CH6" s="11">
        <v>0.88</v>
      </c>
      <c r="CI6" s="42"/>
      <c r="CJ6" s="42"/>
      <c r="CK6" s="42"/>
      <c r="CL6" s="42"/>
      <c r="CM6" s="42"/>
      <c r="CN6" s="42"/>
      <c r="CO6" s="42"/>
      <c r="CP6" s="42"/>
      <c r="CQ6" s="42"/>
      <c r="CR6" s="42"/>
      <c r="CS6" s="42"/>
      <c r="CT6" s="42"/>
      <c r="CU6" s="42"/>
      <c r="CV6" s="42"/>
      <c r="CW6" s="42"/>
      <c r="CX6" s="42"/>
      <c r="CY6" s="11"/>
      <c r="CZ6" s="42">
        <v>0</v>
      </c>
      <c r="DA6" s="42">
        <v>640.41</v>
      </c>
      <c r="DB6" s="42">
        <v>1344.82</v>
      </c>
      <c r="DC6" s="42"/>
      <c r="DD6" s="42">
        <v>1216.76</v>
      </c>
      <c r="DE6" s="42"/>
      <c r="DF6" s="42"/>
      <c r="DG6" s="42"/>
      <c r="DH6" s="42"/>
      <c r="DI6" s="42"/>
      <c r="DJ6" s="42">
        <v>1921.21</v>
      </c>
      <c r="DK6" s="42"/>
      <c r="DL6" s="42"/>
      <c r="DM6" s="42"/>
      <c r="DN6" s="42"/>
      <c r="DO6" s="42"/>
      <c r="DP6" s="11">
        <v>0.9</v>
      </c>
      <c r="DQ6" s="42">
        <v>0</v>
      </c>
      <c r="DR6" s="42">
        <v>531.91</v>
      </c>
      <c r="DS6" s="42">
        <v>1170.17</v>
      </c>
      <c r="DT6" s="42"/>
      <c r="DU6" s="42">
        <v>1063.79</v>
      </c>
      <c r="DV6" s="42"/>
      <c r="DW6" s="42"/>
      <c r="DX6" s="42"/>
      <c r="DY6" s="42"/>
      <c r="DZ6" s="42"/>
      <c r="EA6" s="42">
        <v>1595.71</v>
      </c>
      <c r="EB6" s="42"/>
      <c r="EC6" s="42"/>
      <c r="ED6" s="42"/>
      <c r="EE6" s="42"/>
      <c r="EF6" s="42"/>
      <c r="EG6" s="11">
        <v>0.88</v>
      </c>
      <c r="EH6" s="42"/>
      <c r="EI6" s="42"/>
      <c r="EJ6" s="42"/>
      <c r="EK6" s="42"/>
      <c r="EL6" s="42"/>
      <c r="EM6" s="42"/>
      <c r="EN6" s="42"/>
      <c r="EO6" s="42"/>
      <c r="EP6" s="42"/>
      <c r="EQ6" s="42"/>
      <c r="ER6" s="42"/>
      <c r="ES6" s="42"/>
      <c r="ET6" s="42"/>
      <c r="EU6" s="42"/>
      <c r="EV6" s="42"/>
      <c r="EW6" s="42"/>
      <c r="EX6" s="10"/>
      <c r="EY6" s="10"/>
      <c r="EZ6" s="10"/>
      <c r="FA6" s="10"/>
      <c r="FB6" s="10"/>
      <c r="FC6" s="10"/>
      <c r="FD6" s="10"/>
      <c r="FE6" s="10"/>
      <c r="FF6" s="10"/>
      <c r="FG6" s="10"/>
      <c r="FH6" s="10"/>
      <c r="FI6" s="10"/>
      <c r="FJ6" s="10"/>
      <c r="FK6" s="10"/>
      <c r="FL6" s="10"/>
      <c r="FM6" s="10"/>
      <c r="FN6" s="10"/>
      <c r="FO6" s="10"/>
      <c r="FP6" s="42"/>
      <c r="FQ6" s="42"/>
      <c r="FR6" s="42"/>
      <c r="FS6" s="42"/>
      <c r="FT6" s="42"/>
      <c r="FU6" s="42"/>
      <c r="FV6" s="42"/>
      <c r="FW6" s="42"/>
      <c r="FX6" s="42"/>
      <c r="FY6" s="42"/>
      <c r="FZ6" s="42"/>
      <c r="GA6" s="42"/>
      <c r="GB6" s="42"/>
      <c r="GC6" s="42"/>
      <c r="GD6" s="42"/>
      <c r="GE6" s="42"/>
      <c r="GF6" s="10"/>
      <c r="GG6" s="10">
        <v>1</v>
      </c>
      <c r="GH6" s="10" t="s">
        <v>5450</v>
      </c>
      <c r="GI6" s="42">
        <v>0</v>
      </c>
      <c r="GJ6" s="42">
        <v>48.7</v>
      </c>
      <c r="GK6" s="42">
        <v>100.16</v>
      </c>
      <c r="GL6" s="42"/>
      <c r="GM6" s="42">
        <v>104.54</v>
      </c>
      <c r="GN6" s="42"/>
      <c r="GO6" s="42"/>
      <c r="GP6" s="42"/>
      <c r="GQ6" s="42"/>
      <c r="GR6" s="42"/>
      <c r="GS6" s="42">
        <v>168.41</v>
      </c>
      <c r="GT6" s="42"/>
      <c r="GU6" s="42"/>
      <c r="GV6" s="42"/>
      <c r="GW6" s="42"/>
      <c r="GX6" s="42"/>
      <c r="GY6" s="11">
        <v>0.8</v>
      </c>
      <c r="GZ6" s="10">
        <v>1</v>
      </c>
      <c r="HA6" s="42">
        <v>0</v>
      </c>
      <c r="HB6" s="42">
        <v>16.13</v>
      </c>
      <c r="HC6" s="42">
        <v>25.04</v>
      </c>
      <c r="HD6" s="42"/>
      <c r="HE6" s="42">
        <v>25.26</v>
      </c>
      <c r="HF6" s="42"/>
      <c r="HG6" s="42"/>
      <c r="HH6" s="42"/>
      <c r="HI6" s="42"/>
      <c r="HJ6" s="42"/>
      <c r="HK6" s="42">
        <v>40.380000000000003</v>
      </c>
      <c r="HL6" s="42"/>
      <c r="HM6" s="42"/>
      <c r="HN6" s="42"/>
      <c r="HO6" s="42"/>
      <c r="HP6" s="42"/>
      <c r="HQ6" s="11">
        <v>0.57999999999999996</v>
      </c>
      <c r="HR6" s="10" t="s">
        <v>5451</v>
      </c>
      <c r="HS6" s="39">
        <v>550000</v>
      </c>
      <c r="HT6" s="39"/>
      <c r="HU6" s="39"/>
      <c r="HV6" s="10" t="s">
        <v>5591</v>
      </c>
      <c r="HW6" s="10" t="s">
        <v>25</v>
      </c>
      <c r="HX6" s="10" t="s">
        <v>5498</v>
      </c>
      <c r="HY6" s="10" t="s">
        <v>5498</v>
      </c>
      <c r="HZ6" s="10" t="s">
        <v>5498</v>
      </c>
      <c r="IA6" s="10" t="s">
        <v>25</v>
      </c>
      <c r="IB6" s="10"/>
      <c r="IC6" s="10" t="s">
        <v>5738</v>
      </c>
      <c r="ID6" s="10" t="s">
        <v>13268</v>
      </c>
      <c r="IE6" s="10" t="s">
        <v>13290</v>
      </c>
      <c r="IF6" s="10" t="s">
        <v>5739</v>
      </c>
      <c r="IG6" s="10" t="s">
        <v>5563</v>
      </c>
      <c r="IH6" s="10" t="s">
        <v>5674</v>
      </c>
      <c r="II6" s="10" t="s">
        <v>5563</v>
      </c>
      <c r="IJ6" s="10" t="s">
        <v>2758</v>
      </c>
      <c r="IK6" s="10"/>
      <c r="IL6" s="10" t="s">
        <v>5508</v>
      </c>
      <c r="IM6" s="10" t="s">
        <v>5457</v>
      </c>
      <c r="IN6" s="10"/>
      <c r="IO6" s="10" t="s">
        <v>25</v>
      </c>
      <c r="IP6" s="10" t="s">
        <v>2201</v>
      </c>
      <c r="IQ6" s="10" t="s">
        <v>5458</v>
      </c>
      <c r="IR6" s="10" t="s">
        <v>5458</v>
      </c>
      <c r="IS6" s="10" t="s">
        <v>5521</v>
      </c>
      <c r="IT6" s="10" t="s">
        <v>5473</v>
      </c>
      <c r="IU6" s="10" t="s">
        <v>5473</v>
      </c>
      <c r="IV6" s="10" t="s">
        <v>5458</v>
      </c>
      <c r="IW6" s="10" t="s">
        <v>5458</v>
      </c>
      <c r="IX6" s="10" t="s">
        <v>5460</v>
      </c>
      <c r="IY6" s="10"/>
      <c r="IZ6" s="10" t="s">
        <v>5740</v>
      </c>
      <c r="JA6" s="10" t="s">
        <v>5741</v>
      </c>
      <c r="JB6" s="10"/>
      <c r="JC6" s="10" t="s">
        <v>5461</v>
      </c>
      <c r="JD6" s="10" t="s">
        <v>5462</v>
      </c>
      <c r="JE6" s="10" t="s">
        <v>28</v>
      </c>
      <c r="JF6" s="10" t="s">
        <v>5478</v>
      </c>
      <c r="JG6" s="10" t="s">
        <v>5465</v>
      </c>
      <c r="JH6" s="10" t="s">
        <v>5496</v>
      </c>
    </row>
    <row r="7" spans="1:268" ht="89.25" x14ac:dyDescent="0.2">
      <c r="A7" s="31" t="s">
        <v>122</v>
      </c>
      <c r="B7" s="9" t="s">
        <v>5494</v>
      </c>
      <c r="C7" s="9"/>
      <c r="D7" s="9" t="s">
        <v>28</v>
      </c>
      <c r="E7" s="9" t="s">
        <v>5497</v>
      </c>
      <c r="F7" s="9" t="s">
        <v>5467</v>
      </c>
      <c r="G7" s="9"/>
      <c r="H7" s="9">
        <v>20</v>
      </c>
      <c r="I7" s="9">
        <v>15</v>
      </c>
      <c r="J7" s="9">
        <v>19</v>
      </c>
      <c r="K7" s="9" t="s">
        <v>28</v>
      </c>
      <c r="L7" s="9" t="s">
        <v>5446</v>
      </c>
      <c r="M7" s="9" t="s">
        <v>5447</v>
      </c>
      <c r="N7" s="9" t="s">
        <v>5447</v>
      </c>
      <c r="O7" s="9" t="s">
        <v>5447</v>
      </c>
      <c r="P7" s="9" t="s">
        <v>5447</v>
      </c>
      <c r="Q7" s="9" t="s">
        <v>5447</v>
      </c>
      <c r="R7" s="9" t="s">
        <v>5469</v>
      </c>
      <c r="S7" s="11">
        <v>0</v>
      </c>
      <c r="T7" s="11"/>
      <c r="U7" s="11"/>
      <c r="V7" s="10"/>
      <c r="W7" s="11"/>
      <c r="X7" s="10"/>
      <c r="Y7" s="10"/>
      <c r="Z7" s="10"/>
      <c r="AA7" s="10"/>
      <c r="AB7" s="10"/>
      <c r="AC7" s="11"/>
      <c r="AD7" s="10"/>
      <c r="AE7" s="10"/>
      <c r="AF7" s="10"/>
      <c r="AG7" s="10"/>
      <c r="AH7" s="10"/>
      <c r="AI7" s="36">
        <v>2</v>
      </c>
      <c r="AJ7" s="33">
        <v>0.05</v>
      </c>
      <c r="AK7" s="33">
        <v>0.1</v>
      </c>
      <c r="AL7" s="33">
        <v>0.15</v>
      </c>
      <c r="AM7" s="33">
        <v>0.1</v>
      </c>
      <c r="AN7" s="33">
        <v>0.05</v>
      </c>
      <c r="AO7" s="33">
        <v>4.0999999999999995E-2</v>
      </c>
      <c r="AP7" s="33">
        <v>0.107</v>
      </c>
      <c r="AQ7" s="33">
        <v>0.19800000000000001</v>
      </c>
      <c r="AR7" s="33">
        <v>4.0999999999999995E-2</v>
      </c>
      <c r="AS7" s="33">
        <v>0.04</v>
      </c>
      <c r="AT7" s="11">
        <v>0.83</v>
      </c>
      <c r="AU7" s="11">
        <v>0.71</v>
      </c>
      <c r="AV7" s="11">
        <v>0.55000000000000004</v>
      </c>
      <c r="AW7" s="11">
        <v>0.57999999999999996</v>
      </c>
      <c r="AX7" s="11">
        <v>0.55000000000000004</v>
      </c>
      <c r="AY7" s="11"/>
      <c r="AZ7" s="11">
        <v>0.77</v>
      </c>
      <c r="BA7" s="11">
        <v>0.67</v>
      </c>
      <c r="BB7" s="11">
        <v>0.42</v>
      </c>
      <c r="BC7" s="11">
        <v>0.38</v>
      </c>
      <c r="BD7" s="11">
        <v>0.75</v>
      </c>
      <c r="BE7" s="11">
        <v>0.26</v>
      </c>
      <c r="BF7" s="10" t="s">
        <v>25</v>
      </c>
      <c r="BG7" s="10" t="s">
        <v>25</v>
      </c>
      <c r="BH7" s="39"/>
      <c r="BI7" s="10" t="s">
        <v>25</v>
      </c>
      <c r="BJ7" s="39"/>
      <c r="BK7" s="10" t="s">
        <v>25</v>
      </c>
      <c r="BL7" s="39"/>
      <c r="BM7" s="10" t="s">
        <v>28</v>
      </c>
      <c r="BN7" s="39">
        <v>600</v>
      </c>
      <c r="BO7" s="10" t="s">
        <v>25</v>
      </c>
      <c r="BP7" s="39"/>
      <c r="BQ7" s="10" t="s">
        <v>5479</v>
      </c>
      <c r="BR7" s="42"/>
      <c r="BS7" s="42">
        <v>708</v>
      </c>
      <c r="BT7" s="42">
        <v>1416</v>
      </c>
      <c r="BU7" s="42"/>
      <c r="BV7" s="42">
        <v>1577</v>
      </c>
      <c r="BW7" s="42"/>
      <c r="BX7" s="42"/>
      <c r="BY7" s="42"/>
      <c r="BZ7" s="42"/>
      <c r="CA7" s="42"/>
      <c r="CB7" s="42">
        <v>2285</v>
      </c>
      <c r="CC7" s="42"/>
      <c r="CD7" s="42"/>
      <c r="CE7" s="42"/>
      <c r="CF7" s="42"/>
      <c r="CG7" s="42"/>
      <c r="CH7" s="11">
        <v>0.82</v>
      </c>
      <c r="CI7" s="42"/>
      <c r="CJ7" s="42"/>
      <c r="CK7" s="42"/>
      <c r="CL7" s="42"/>
      <c r="CM7" s="42"/>
      <c r="CN7" s="42"/>
      <c r="CO7" s="42"/>
      <c r="CP7" s="42"/>
      <c r="CQ7" s="42"/>
      <c r="CR7" s="42"/>
      <c r="CS7" s="42"/>
      <c r="CT7" s="42"/>
      <c r="CU7" s="42"/>
      <c r="CV7" s="42"/>
      <c r="CW7" s="42"/>
      <c r="CX7" s="42"/>
      <c r="CY7" s="11"/>
      <c r="CZ7" s="42"/>
      <c r="DA7" s="42">
        <v>720</v>
      </c>
      <c r="DB7" s="42">
        <v>1441</v>
      </c>
      <c r="DC7" s="42"/>
      <c r="DD7" s="42">
        <v>1605</v>
      </c>
      <c r="DE7" s="42"/>
      <c r="DF7" s="42"/>
      <c r="DG7" s="42"/>
      <c r="DH7" s="42"/>
      <c r="DI7" s="42"/>
      <c r="DJ7" s="42">
        <v>2326</v>
      </c>
      <c r="DK7" s="42"/>
      <c r="DL7" s="42"/>
      <c r="DM7" s="42"/>
      <c r="DN7" s="42"/>
      <c r="DO7" s="42"/>
      <c r="DP7" s="11">
        <v>0.89</v>
      </c>
      <c r="DQ7" s="42"/>
      <c r="DR7" s="42"/>
      <c r="DS7" s="42"/>
      <c r="DT7" s="42"/>
      <c r="DU7" s="42"/>
      <c r="DV7" s="42"/>
      <c r="DW7" s="42"/>
      <c r="DX7" s="42"/>
      <c r="DY7" s="42"/>
      <c r="DZ7" s="42"/>
      <c r="EA7" s="42"/>
      <c r="EB7" s="42"/>
      <c r="EC7" s="42"/>
      <c r="ED7" s="42"/>
      <c r="EE7" s="42"/>
      <c r="EF7" s="42"/>
      <c r="EG7" s="11">
        <v>0.85</v>
      </c>
      <c r="EH7" s="42"/>
      <c r="EI7" s="42"/>
      <c r="EJ7" s="42"/>
      <c r="EK7" s="42"/>
      <c r="EL7" s="42"/>
      <c r="EM7" s="42"/>
      <c r="EN7" s="42"/>
      <c r="EO7" s="42"/>
      <c r="EP7" s="42"/>
      <c r="EQ7" s="42"/>
      <c r="ER7" s="42"/>
      <c r="ES7" s="42"/>
      <c r="ET7" s="42"/>
      <c r="EU7" s="42"/>
      <c r="EV7" s="42"/>
      <c r="EW7" s="42"/>
      <c r="EX7" s="10"/>
      <c r="EY7" s="10"/>
      <c r="EZ7" s="10"/>
      <c r="FA7" s="10"/>
      <c r="FB7" s="10"/>
      <c r="FC7" s="10"/>
      <c r="FD7" s="10"/>
      <c r="FE7" s="10"/>
      <c r="FF7" s="10"/>
      <c r="FG7" s="10"/>
      <c r="FH7" s="10"/>
      <c r="FI7" s="10"/>
      <c r="FJ7" s="10"/>
      <c r="FK7" s="10"/>
      <c r="FL7" s="10"/>
      <c r="FM7" s="10"/>
      <c r="FN7" s="10"/>
      <c r="FO7" s="10"/>
      <c r="FP7" s="42"/>
      <c r="FQ7" s="42"/>
      <c r="FR7" s="42"/>
      <c r="FS7" s="42"/>
      <c r="FT7" s="42"/>
      <c r="FU7" s="42"/>
      <c r="FV7" s="42"/>
      <c r="FW7" s="42"/>
      <c r="FX7" s="42"/>
      <c r="FY7" s="42"/>
      <c r="FZ7" s="42"/>
      <c r="GA7" s="42"/>
      <c r="GB7" s="42"/>
      <c r="GC7" s="42"/>
      <c r="GD7" s="42"/>
      <c r="GE7" s="42"/>
      <c r="GF7" s="10"/>
      <c r="GG7" s="10">
        <v>1</v>
      </c>
      <c r="GH7" s="10" t="s">
        <v>5450</v>
      </c>
      <c r="GI7" s="42"/>
      <c r="GJ7" s="42">
        <v>59</v>
      </c>
      <c r="GK7" s="42">
        <v>113</v>
      </c>
      <c r="GL7" s="42"/>
      <c r="GM7" s="42">
        <v>125</v>
      </c>
      <c r="GN7" s="42"/>
      <c r="GO7" s="42"/>
      <c r="GP7" s="42"/>
      <c r="GQ7" s="42"/>
      <c r="GR7" s="42"/>
      <c r="GS7" s="42">
        <v>179</v>
      </c>
      <c r="GT7" s="42"/>
      <c r="GU7" s="42"/>
      <c r="GV7" s="42"/>
      <c r="GW7" s="42"/>
      <c r="GX7" s="42"/>
      <c r="GY7" s="11">
        <v>0.54</v>
      </c>
      <c r="GZ7" s="10">
        <v>1</v>
      </c>
      <c r="HA7" s="42"/>
      <c r="HB7" s="42">
        <v>11</v>
      </c>
      <c r="HC7" s="42">
        <v>24</v>
      </c>
      <c r="HD7" s="42"/>
      <c r="HE7" s="42">
        <v>20</v>
      </c>
      <c r="HF7" s="42"/>
      <c r="HG7" s="42"/>
      <c r="HH7" s="42"/>
      <c r="HI7" s="42"/>
      <c r="HJ7" s="42"/>
      <c r="HK7" s="42">
        <v>33</v>
      </c>
      <c r="HL7" s="42"/>
      <c r="HM7" s="42"/>
      <c r="HN7" s="42"/>
      <c r="HO7" s="42"/>
      <c r="HP7" s="42"/>
      <c r="HQ7" s="11">
        <v>0.75</v>
      </c>
      <c r="HR7" s="10" t="s">
        <v>25</v>
      </c>
      <c r="HS7" s="39"/>
      <c r="HT7" s="39"/>
      <c r="HU7" s="39"/>
      <c r="HV7" s="10"/>
      <c r="HW7" s="10"/>
      <c r="HX7" s="10" t="s">
        <v>5498</v>
      </c>
      <c r="HY7" s="10" t="s">
        <v>5498</v>
      </c>
      <c r="HZ7" s="10" t="s">
        <v>5498</v>
      </c>
      <c r="IA7" s="10" t="s">
        <v>25</v>
      </c>
      <c r="IB7" s="10"/>
      <c r="IC7" s="10" t="s">
        <v>5499</v>
      </c>
      <c r="ID7" s="10" t="s">
        <v>13236</v>
      </c>
      <c r="IE7" s="10" t="s">
        <v>5500</v>
      </c>
      <c r="IF7" s="10" t="s">
        <v>5501</v>
      </c>
      <c r="IG7" s="10" t="s">
        <v>72</v>
      </c>
      <c r="IH7" s="10"/>
      <c r="II7" s="10" t="s">
        <v>72</v>
      </c>
      <c r="IJ7" s="10" t="s">
        <v>2692</v>
      </c>
      <c r="IK7" s="10"/>
      <c r="IL7" s="10" t="s">
        <v>25</v>
      </c>
      <c r="IM7" s="10" t="s">
        <v>5457</v>
      </c>
      <c r="IN7" s="10"/>
      <c r="IO7" s="10" t="s">
        <v>25</v>
      </c>
      <c r="IP7" s="10" t="s">
        <v>28</v>
      </c>
      <c r="IQ7" s="10" t="s">
        <v>5458</v>
      </c>
      <c r="IR7" s="10" t="s">
        <v>5458</v>
      </c>
      <c r="IS7" s="10" t="s">
        <v>5458</v>
      </c>
      <c r="IT7" s="10" t="s">
        <v>5502</v>
      </c>
      <c r="IU7" s="10" t="s">
        <v>5502</v>
      </c>
      <c r="IV7" s="10" t="s">
        <v>5458</v>
      </c>
      <c r="IW7" s="10" t="s">
        <v>5458</v>
      </c>
      <c r="IX7" s="10" t="s">
        <v>5460</v>
      </c>
      <c r="IY7" s="10"/>
      <c r="IZ7" s="10" t="s">
        <v>5503</v>
      </c>
      <c r="JA7" s="10" t="s">
        <v>13301</v>
      </c>
      <c r="JB7" s="10" t="s">
        <v>5504</v>
      </c>
      <c r="JC7" s="10" t="s">
        <v>5504</v>
      </c>
      <c r="JD7" s="10" t="s">
        <v>5505</v>
      </c>
      <c r="JE7" s="10" t="s">
        <v>5463</v>
      </c>
      <c r="JF7" s="10" t="s">
        <v>5464</v>
      </c>
      <c r="JG7" s="10" t="s">
        <v>5465</v>
      </c>
      <c r="JH7" s="10" t="s">
        <v>5466</v>
      </c>
    </row>
    <row r="8" spans="1:268" ht="76.5" x14ac:dyDescent="0.2">
      <c r="A8" s="31" t="s">
        <v>160</v>
      </c>
      <c r="B8" s="9" t="s">
        <v>5494</v>
      </c>
      <c r="C8" s="9"/>
      <c r="D8" s="9" t="s">
        <v>28</v>
      </c>
      <c r="E8" s="9" t="s">
        <v>5667</v>
      </c>
      <c r="F8" s="9" t="s">
        <v>5467</v>
      </c>
      <c r="G8" s="9"/>
      <c r="H8" s="9">
        <v>30</v>
      </c>
      <c r="I8" s="9">
        <v>30</v>
      </c>
      <c r="J8" s="9">
        <v>40</v>
      </c>
      <c r="K8" s="9" t="s">
        <v>25</v>
      </c>
      <c r="L8" s="9"/>
      <c r="M8" s="9"/>
      <c r="N8" s="9"/>
      <c r="O8" s="9"/>
      <c r="P8" s="9"/>
      <c r="Q8" s="9"/>
      <c r="R8" s="9" t="s">
        <v>5469</v>
      </c>
      <c r="S8" s="11">
        <v>7.0000000000000007E-2</v>
      </c>
      <c r="T8" s="11">
        <v>0.3</v>
      </c>
      <c r="U8" s="11">
        <v>0.12</v>
      </c>
      <c r="V8" s="10"/>
      <c r="W8" s="11">
        <v>0.08</v>
      </c>
      <c r="X8" s="10"/>
      <c r="Y8" s="10"/>
      <c r="Z8" s="10"/>
      <c r="AA8" s="10"/>
      <c r="AB8" s="10"/>
      <c r="AC8" s="11">
        <v>0.43</v>
      </c>
      <c r="AD8" s="10"/>
      <c r="AE8" s="10"/>
      <c r="AF8" s="10"/>
      <c r="AG8" s="10"/>
      <c r="AH8" s="10"/>
      <c r="AI8" s="36">
        <v>3</v>
      </c>
      <c r="AJ8" s="33">
        <v>2.6000000000000002E-2</v>
      </c>
      <c r="AK8" s="33">
        <v>0.09</v>
      </c>
      <c r="AL8" s="33">
        <v>0.09</v>
      </c>
      <c r="AM8" s="33">
        <v>0.25700000000000001</v>
      </c>
      <c r="AN8" s="33">
        <v>3.9E-2</v>
      </c>
      <c r="AO8" s="33">
        <v>2.6000000000000002E-2</v>
      </c>
      <c r="AP8" s="33">
        <v>0.09</v>
      </c>
      <c r="AQ8" s="33">
        <v>0.09</v>
      </c>
      <c r="AR8" s="33">
        <v>0.25700000000000001</v>
      </c>
      <c r="AS8" s="33">
        <v>3.9E-2</v>
      </c>
      <c r="AT8" s="11">
        <v>0.91</v>
      </c>
      <c r="AU8" s="11">
        <v>0.91</v>
      </c>
      <c r="AV8" s="11">
        <v>0.91</v>
      </c>
      <c r="AW8" s="11">
        <v>0.91</v>
      </c>
      <c r="AX8" s="11">
        <v>1</v>
      </c>
      <c r="AY8" s="11">
        <v>1</v>
      </c>
      <c r="AZ8" s="11">
        <v>0.91</v>
      </c>
      <c r="BA8" s="11">
        <v>0.91</v>
      </c>
      <c r="BB8" s="11">
        <v>0.91</v>
      </c>
      <c r="BC8" s="11">
        <v>0.91</v>
      </c>
      <c r="BD8" s="11">
        <v>1</v>
      </c>
      <c r="BE8" s="11">
        <v>1</v>
      </c>
      <c r="BF8" s="10" t="s">
        <v>25</v>
      </c>
      <c r="BG8" s="10" t="s">
        <v>28</v>
      </c>
      <c r="BH8" s="39">
        <v>100</v>
      </c>
      <c r="BI8" s="10" t="s">
        <v>25</v>
      </c>
      <c r="BJ8" s="39"/>
      <c r="BK8" s="10" t="s">
        <v>25</v>
      </c>
      <c r="BL8" s="39"/>
      <c r="BM8" s="10" t="s">
        <v>25</v>
      </c>
      <c r="BN8" s="39"/>
      <c r="BO8" s="10" t="s">
        <v>25</v>
      </c>
      <c r="BP8" s="39"/>
      <c r="BQ8" s="10" t="s">
        <v>5479</v>
      </c>
      <c r="BR8" s="42">
        <v>100</v>
      </c>
      <c r="BS8" s="42">
        <v>828.53</v>
      </c>
      <c r="BT8" s="42">
        <v>1925.57</v>
      </c>
      <c r="BU8" s="42"/>
      <c r="BV8" s="42">
        <v>1412.62</v>
      </c>
      <c r="BW8" s="42"/>
      <c r="BX8" s="42"/>
      <c r="BY8" s="42"/>
      <c r="BZ8" s="42"/>
      <c r="CA8" s="42"/>
      <c r="CB8" s="42">
        <v>2423.5300000000002</v>
      </c>
      <c r="CC8" s="42"/>
      <c r="CD8" s="42"/>
      <c r="CE8" s="42"/>
      <c r="CF8" s="42"/>
      <c r="CG8" s="42"/>
      <c r="CH8" s="11">
        <v>0.9</v>
      </c>
      <c r="CI8" s="42"/>
      <c r="CJ8" s="42"/>
      <c r="CK8" s="42"/>
      <c r="CL8" s="42"/>
      <c r="CM8" s="42"/>
      <c r="CN8" s="42"/>
      <c r="CO8" s="42"/>
      <c r="CP8" s="42"/>
      <c r="CQ8" s="42"/>
      <c r="CR8" s="42"/>
      <c r="CS8" s="42"/>
      <c r="CT8" s="42"/>
      <c r="CU8" s="42"/>
      <c r="CV8" s="42"/>
      <c r="CW8" s="42"/>
      <c r="CX8" s="42"/>
      <c r="CY8" s="11"/>
      <c r="CZ8" s="42">
        <v>100</v>
      </c>
      <c r="DA8" s="42">
        <v>810.59</v>
      </c>
      <c r="DB8" s="42">
        <v>1851.78</v>
      </c>
      <c r="DC8" s="42"/>
      <c r="DD8" s="42">
        <v>1422.01</v>
      </c>
      <c r="DE8" s="42"/>
      <c r="DF8" s="42"/>
      <c r="DG8" s="42"/>
      <c r="DH8" s="42"/>
      <c r="DI8" s="42"/>
      <c r="DJ8" s="42">
        <v>2265.89</v>
      </c>
      <c r="DK8" s="42"/>
      <c r="DL8" s="42"/>
      <c r="DM8" s="42"/>
      <c r="DN8" s="42"/>
      <c r="DO8" s="42"/>
      <c r="DP8" s="11">
        <v>0.9</v>
      </c>
      <c r="DQ8" s="42">
        <v>100</v>
      </c>
      <c r="DR8" s="42">
        <v>631.51</v>
      </c>
      <c r="DS8" s="42">
        <v>1452.47</v>
      </c>
      <c r="DT8" s="42"/>
      <c r="DU8" s="42">
        <v>1073.56</v>
      </c>
      <c r="DV8" s="42"/>
      <c r="DW8" s="42"/>
      <c r="DX8" s="42"/>
      <c r="DY8" s="42"/>
      <c r="DZ8" s="42"/>
      <c r="EA8" s="42">
        <v>1831.37</v>
      </c>
      <c r="EB8" s="42"/>
      <c r="EC8" s="42"/>
      <c r="ED8" s="42"/>
      <c r="EE8" s="42"/>
      <c r="EF8" s="42"/>
      <c r="EG8" s="11">
        <v>0.9</v>
      </c>
      <c r="EH8" s="42"/>
      <c r="EI8" s="42"/>
      <c r="EJ8" s="42"/>
      <c r="EK8" s="42"/>
      <c r="EL8" s="42"/>
      <c r="EM8" s="42"/>
      <c r="EN8" s="42"/>
      <c r="EO8" s="42"/>
      <c r="EP8" s="42"/>
      <c r="EQ8" s="42"/>
      <c r="ER8" s="42"/>
      <c r="ES8" s="42"/>
      <c r="ET8" s="42"/>
      <c r="EU8" s="42"/>
      <c r="EV8" s="42"/>
      <c r="EW8" s="42"/>
      <c r="EX8" s="10"/>
      <c r="EY8" s="10"/>
      <c r="EZ8" s="10"/>
      <c r="FA8" s="10"/>
      <c r="FB8" s="10"/>
      <c r="FC8" s="10"/>
      <c r="FD8" s="10"/>
      <c r="FE8" s="10"/>
      <c r="FF8" s="10"/>
      <c r="FG8" s="10"/>
      <c r="FH8" s="10"/>
      <c r="FI8" s="10"/>
      <c r="FJ8" s="10"/>
      <c r="FK8" s="10"/>
      <c r="FL8" s="10"/>
      <c r="FM8" s="10"/>
      <c r="FN8" s="10"/>
      <c r="FO8" s="10"/>
      <c r="FP8" s="42"/>
      <c r="FQ8" s="42"/>
      <c r="FR8" s="42"/>
      <c r="FS8" s="42"/>
      <c r="FT8" s="42"/>
      <c r="FU8" s="42"/>
      <c r="FV8" s="42"/>
      <c r="FW8" s="42"/>
      <c r="FX8" s="42"/>
      <c r="FY8" s="42"/>
      <c r="FZ8" s="42"/>
      <c r="GA8" s="42"/>
      <c r="GB8" s="42"/>
      <c r="GC8" s="42"/>
      <c r="GD8" s="42"/>
      <c r="GE8" s="42"/>
      <c r="GF8" s="10"/>
      <c r="GG8" s="10">
        <v>2</v>
      </c>
      <c r="GH8" s="10" t="s">
        <v>5450</v>
      </c>
      <c r="GI8" s="42">
        <v>0</v>
      </c>
      <c r="GJ8" s="42">
        <v>57.65</v>
      </c>
      <c r="GK8" s="42">
        <v>132.59</v>
      </c>
      <c r="GL8" s="42"/>
      <c r="GM8" s="42">
        <v>98</v>
      </c>
      <c r="GN8" s="42"/>
      <c r="GO8" s="42"/>
      <c r="GP8" s="42"/>
      <c r="GQ8" s="42"/>
      <c r="GR8" s="42"/>
      <c r="GS8" s="42">
        <v>167.18</v>
      </c>
      <c r="GT8" s="42"/>
      <c r="GU8" s="42"/>
      <c r="GV8" s="42"/>
      <c r="GW8" s="42"/>
      <c r="GX8" s="42"/>
      <c r="GY8" s="11">
        <v>1</v>
      </c>
      <c r="GZ8" s="10">
        <v>1</v>
      </c>
      <c r="HA8" s="42">
        <v>0</v>
      </c>
      <c r="HB8" s="42">
        <v>12.61</v>
      </c>
      <c r="HC8" s="42">
        <v>20.23</v>
      </c>
      <c r="HD8" s="42"/>
      <c r="HE8" s="42">
        <v>32.08</v>
      </c>
      <c r="HF8" s="42"/>
      <c r="HG8" s="42"/>
      <c r="HH8" s="42"/>
      <c r="HI8" s="42"/>
      <c r="HJ8" s="42"/>
      <c r="HK8" s="42">
        <v>32.08</v>
      </c>
      <c r="HL8" s="42"/>
      <c r="HM8" s="42"/>
      <c r="HN8" s="42"/>
      <c r="HO8" s="42"/>
      <c r="HP8" s="42"/>
      <c r="HQ8" s="11">
        <v>1</v>
      </c>
      <c r="HR8" s="10" t="s">
        <v>5537</v>
      </c>
      <c r="HS8" s="39">
        <v>300000</v>
      </c>
      <c r="HT8" s="39">
        <v>1500000</v>
      </c>
      <c r="HU8" s="39">
        <v>150000</v>
      </c>
      <c r="HV8" s="10" t="s">
        <v>25</v>
      </c>
      <c r="HW8" s="10" t="s">
        <v>25</v>
      </c>
      <c r="HX8" s="10" t="s">
        <v>5452</v>
      </c>
      <c r="HY8" s="10" t="s">
        <v>5452</v>
      </c>
      <c r="HZ8" s="10" t="s">
        <v>5452</v>
      </c>
      <c r="IA8" s="10" t="s">
        <v>25</v>
      </c>
      <c r="IB8" s="10"/>
      <c r="IC8" s="10" t="s">
        <v>5668</v>
      </c>
      <c r="ID8" s="10" t="s">
        <v>13252</v>
      </c>
      <c r="IE8" s="10" t="s">
        <v>13252</v>
      </c>
      <c r="IF8" s="10" t="s">
        <v>5563</v>
      </c>
      <c r="IG8" s="10"/>
      <c r="IH8" s="10"/>
      <c r="II8" s="10" t="s">
        <v>5563</v>
      </c>
      <c r="IJ8" s="10" t="s">
        <v>2692</v>
      </c>
      <c r="IK8" s="10"/>
      <c r="IL8" s="10" t="s">
        <v>25</v>
      </c>
      <c r="IM8" s="10" t="s">
        <v>5457</v>
      </c>
      <c r="IN8" s="10"/>
      <c r="IO8" s="10" t="s">
        <v>28</v>
      </c>
      <c r="IP8" s="10" t="s">
        <v>2201</v>
      </c>
      <c r="IQ8" s="10" t="s">
        <v>5458</v>
      </c>
      <c r="IR8" s="10" t="s">
        <v>5459</v>
      </c>
      <c r="IS8" s="10" t="s">
        <v>5459</v>
      </c>
      <c r="IT8" s="10" t="s">
        <v>5459</v>
      </c>
      <c r="IU8" s="10" t="s">
        <v>5459</v>
      </c>
      <c r="IV8" s="10" t="s">
        <v>5458</v>
      </c>
      <c r="IW8" s="10" t="s">
        <v>5458</v>
      </c>
      <c r="IX8" s="10" t="s">
        <v>5483</v>
      </c>
      <c r="IY8" s="10"/>
      <c r="IZ8" s="10" t="s">
        <v>5669</v>
      </c>
      <c r="JA8" s="10" t="s">
        <v>13301</v>
      </c>
      <c r="JB8" s="10" t="s">
        <v>5504</v>
      </c>
      <c r="JC8" s="10" t="s">
        <v>5504</v>
      </c>
      <c r="JD8" s="10" t="s">
        <v>5462</v>
      </c>
      <c r="JE8" s="10" t="s">
        <v>5486</v>
      </c>
      <c r="JF8" s="10" t="s">
        <v>5464</v>
      </c>
      <c r="JG8" s="10" t="s">
        <v>5465</v>
      </c>
      <c r="JH8" s="10" t="s">
        <v>5496</v>
      </c>
    </row>
    <row r="9" spans="1:268" ht="127.5" x14ac:dyDescent="0.2">
      <c r="A9" s="31" t="s">
        <v>154</v>
      </c>
      <c r="B9" s="9" t="s">
        <v>5494</v>
      </c>
      <c r="C9" s="9"/>
      <c r="D9" s="9" t="s">
        <v>25</v>
      </c>
      <c r="E9" s="9"/>
      <c r="F9" s="9" t="s">
        <v>5467</v>
      </c>
      <c r="G9" s="9"/>
      <c r="H9" s="9">
        <v>20</v>
      </c>
      <c r="I9" s="9">
        <v>20</v>
      </c>
      <c r="J9" s="9">
        <v>32</v>
      </c>
      <c r="K9" s="9" t="s">
        <v>28</v>
      </c>
      <c r="L9" s="9" t="s">
        <v>5468</v>
      </c>
      <c r="M9" s="9" t="s">
        <v>5468</v>
      </c>
      <c r="N9" s="9" t="s">
        <v>5644</v>
      </c>
      <c r="O9" s="9" t="s">
        <v>5447</v>
      </c>
      <c r="P9" s="9" t="s">
        <v>5447</v>
      </c>
      <c r="Q9" s="9" t="s">
        <v>5447</v>
      </c>
      <c r="R9" s="9" t="s">
        <v>5645</v>
      </c>
      <c r="S9" s="11">
        <v>0.05</v>
      </c>
      <c r="T9" s="11">
        <v>0.32</v>
      </c>
      <c r="U9" s="11">
        <v>0.16</v>
      </c>
      <c r="V9" s="10"/>
      <c r="W9" s="11"/>
      <c r="X9" s="11">
        <v>0.03</v>
      </c>
      <c r="Y9" s="11">
        <v>0.03</v>
      </c>
      <c r="Z9" s="10"/>
      <c r="AA9" s="10"/>
      <c r="AB9" s="10"/>
      <c r="AC9" s="11"/>
      <c r="AD9" s="11">
        <v>0.14000000000000001</v>
      </c>
      <c r="AE9" s="11">
        <v>0.27</v>
      </c>
      <c r="AF9" s="11"/>
      <c r="AG9" s="10"/>
      <c r="AH9" s="10"/>
      <c r="AI9" s="36">
        <v>4</v>
      </c>
      <c r="AJ9" s="33">
        <v>0.05</v>
      </c>
      <c r="AK9" s="33">
        <v>0.09</v>
      </c>
      <c r="AL9" s="33">
        <v>0.15</v>
      </c>
      <c r="AM9" s="33">
        <v>0.05</v>
      </c>
      <c r="AN9" s="33">
        <v>-3.0200000000000001E-2</v>
      </c>
      <c r="AO9" s="33">
        <v>0.05</v>
      </c>
      <c r="AP9" s="33">
        <v>0.09</v>
      </c>
      <c r="AQ9" s="33">
        <v>0.15</v>
      </c>
      <c r="AR9" s="33">
        <v>0.05</v>
      </c>
      <c r="AS9" s="33">
        <v>-3.0200000000000001E-2</v>
      </c>
      <c r="AT9" s="11">
        <v>0.85</v>
      </c>
      <c r="AU9" s="11">
        <v>0.85</v>
      </c>
      <c r="AV9" s="11">
        <v>0.76</v>
      </c>
      <c r="AW9" s="11">
        <v>0.76</v>
      </c>
      <c r="AX9" s="11">
        <v>0.72</v>
      </c>
      <c r="AY9" s="11">
        <v>0.72</v>
      </c>
      <c r="AZ9" s="11">
        <v>0.88</v>
      </c>
      <c r="BA9" s="11">
        <v>0.88</v>
      </c>
      <c r="BB9" s="11">
        <v>0.73</v>
      </c>
      <c r="BC9" s="11">
        <v>0.73</v>
      </c>
      <c r="BD9" s="11">
        <v>0.7</v>
      </c>
      <c r="BE9" s="11">
        <v>0.7</v>
      </c>
      <c r="BF9" s="10" t="s">
        <v>25</v>
      </c>
      <c r="BG9" s="10" t="s">
        <v>28</v>
      </c>
      <c r="BH9" s="39">
        <v>100</v>
      </c>
      <c r="BI9" s="10" t="s">
        <v>25</v>
      </c>
      <c r="BJ9" s="39"/>
      <c r="BK9" s="10" t="s">
        <v>25</v>
      </c>
      <c r="BL9" s="39"/>
      <c r="BM9" s="10" t="s">
        <v>25</v>
      </c>
      <c r="BN9" s="39"/>
      <c r="BO9" s="10" t="s">
        <v>25</v>
      </c>
      <c r="BP9" s="39"/>
      <c r="BQ9" s="10" t="s">
        <v>5479</v>
      </c>
      <c r="BR9" s="42">
        <v>100</v>
      </c>
      <c r="BS9" s="42">
        <v>848.24</v>
      </c>
      <c r="BT9" s="42">
        <v>1696.47</v>
      </c>
      <c r="BU9" s="42"/>
      <c r="BV9" s="42"/>
      <c r="BW9" s="42">
        <v>1338.06</v>
      </c>
      <c r="BX9" s="42">
        <v>1827.94</v>
      </c>
      <c r="BY9" s="42"/>
      <c r="BZ9" s="42"/>
      <c r="CA9" s="42"/>
      <c r="CB9" s="42"/>
      <c r="CC9" s="42">
        <v>2186.33</v>
      </c>
      <c r="CD9" s="42">
        <v>2676.19</v>
      </c>
      <c r="CE9" s="42"/>
      <c r="CF9" s="42"/>
      <c r="CG9" s="42"/>
      <c r="CH9" s="11">
        <v>0.8</v>
      </c>
      <c r="CI9" s="42"/>
      <c r="CJ9" s="42"/>
      <c r="CK9" s="42"/>
      <c r="CL9" s="42"/>
      <c r="CM9" s="42"/>
      <c r="CN9" s="42"/>
      <c r="CO9" s="42"/>
      <c r="CP9" s="42"/>
      <c r="CQ9" s="42"/>
      <c r="CR9" s="42"/>
      <c r="CS9" s="42"/>
      <c r="CT9" s="42"/>
      <c r="CU9" s="42"/>
      <c r="CV9" s="42"/>
      <c r="CW9" s="42"/>
      <c r="CX9" s="42"/>
      <c r="CY9" s="11"/>
      <c r="CZ9" s="42">
        <v>100</v>
      </c>
      <c r="DA9" s="42">
        <v>836.42</v>
      </c>
      <c r="DB9" s="42">
        <v>1630.08</v>
      </c>
      <c r="DC9" s="42"/>
      <c r="DD9" s="42"/>
      <c r="DE9" s="42">
        <v>1292.27</v>
      </c>
      <c r="DF9" s="42">
        <v>1774.81</v>
      </c>
      <c r="DG9" s="42"/>
      <c r="DH9" s="42"/>
      <c r="DI9" s="42"/>
      <c r="DJ9" s="42"/>
      <c r="DK9" s="42">
        <v>2085.92</v>
      </c>
      <c r="DL9" s="42">
        <v>2547.62</v>
      </c>
      <c r="DM9" s="42"/>
      <c r="DN9" s="42"/>
      <c r="DO9" s="42"/>
      <c r="DP9" s="11">
        <v>0.92</v>
      </c>
      <c r="DQ9" s="42">
        <v>100</v>
      </c>
      <c r="DR9" s="42">
        <v>547.01</v>
      </c>
      <c r="DS9" s="42">
        <v>1094.03</v>
      </c>
      <c r="DT9" s="42"/>
      <c r="DU9" s="42"/>
      <c r="DV9" s="42">
        <v>864.29</v>
      </c>
      <c r="DW9" s="42">
        <v>1176.08</v>
      </c>
      <c r="DX9" s="42"/>
      <c r="DY9" s="42"/>
      <c r="DZ9" s="42"/>
      <c r="EA9" s="42"/>
      <c r="EB9" s="42">
        <v>1411.3</v>
      </c>
      <c r="EC9" s="42">
        <v>1728.56</v>
      </c>
      <c r="ED9" s="42"/>
      <c r="EE9" s="42"/>
      <c r="EF9" s="42"/>
      <c r="EG9" s="11">
        <v>0.84</v>
      </c>
      <c r="EH9" s="42"/>
      <c r="EI9" s="42"/>
      <c r="EJ9" s="42"/>
      <c r="EK9" s="42"/>
      <c r="EL9" s="42"/>
      <c r="EM9" s="42"/>
      <c r="EN9" s="42"/>
      <c r="EO9" s="42"/>
      <c r="EP9" s="42"/>
      <c r="EQ9" s="42"/>
      <c r="ER9" s="42"/>
      <c r="ES9" s="42"/>
      <c r="ET9" s="42"/>
      <c r="EU9" s="42"/>
      <c r="EV9" s="42"/>
      <c r="EW9" s="42"/>
      <c r="EX9" s="10"/>
      <c r="EY9" s="10"/>
      <c r="EZ9" s="10"/>
      <c r="FA9" s="10"/>
      <c r="FB9" s="10"/>
      <c r="FC9" s="10"/>
      <c r="FD9" s="10"/>
      <c r="FE9" s="10"/>
      <c r="FF9" s="10"/>
      <c r="FG9" s="10"/>
      <c r="FH9" s="10"/>
      <c r="FI9" s="10"/>
      <c r="FJ9" s="10"/>
      <c r="FK9" s="10"/>
      <c r="FL9" s="10"/>
      <c r="FM9" s="10"/>
      <c r="FN9" s="10"/>
      <c r="FO9" s="10"/>
      <c r="FP9" s="42"/>
      <c r="FQ9" s="42"/>
      <c r="FR9" s="42"/>
      <c r="FS9" s="42"/>
      <c r="FT9" s="42"/>
      <c r="FU9" s="42"/>
      <c r="FV9" s="42"/>
      <c r="FW9" s="42"/>
      <c r="FX9" s="42"/>
      <c r="FY9" s="42"/>
      <c r="FZ9" s="42"/>
      <c r="GA9" s="42"/>
      <c r="GB9" s="42"/>
      <c r="GC9" s="42"/>
      <c r="GD9" s="42"/>
      <c r="GE9" s="42"/>
      <c r="GF9" s="10"/>
      <c r="GG9" s="10">
        <v>2</v>
      </c>
      <c r="GH9" s="10" t="s">
        <v>5450</v>
      </c>
      <c r="GI9" s="42">
        <v>100</v>
      </c>
      <c r="GJ9" s="42">
        <v>76.459999999999994</v>
      </c>
      <c r="GK9" s="42">
        <v>157.5</v>
      </c>
      <c r="GL9" s="42"/>
      <c r="GM9" s="42"/>
      <c r="GN9" s="42">
        <v>132.28</v>
      </c>
      <c r="GO9" s="42">
        <v>188.85</v>
      </c>
      <c r="GP9" s="42"/>
      <c r="GQ9" s="42"/>
      <c r="GR9" s="42"/>
      <c r="GS9" s="42"/>
      <c r="GT9" s="42">
        <v>214.09</v>
      </c>
      <c r="GU9" s="42">
        <v>269.89999999999998</v>
      </c>
      <c r="GV9" s="42"/>
      <c r="GW9" s="42"/>
      <c r="GX9" s="42"/>
      <c r="GY9" s="11">
        <v>0.73</v>
      </c>
      <c r="GZ9" s="10">
        <v>1</v>
      </c>
      <c r="HA9" s="42">
        <v>100</v>
      </c>
      <c r="HB9" s="42">
        <v>20.11</v>
      </c>
      <c r="HC9" s="42">
        <v>40.21</v>
      </c>
      <c r="HD9" s="42"/>
      <c r="HE9" s="42"/>
      <c r="HF9" s="42">
        <v>33.979999999999997</v>
      </c>
      <c r="HG9" s="42">
        <v>47.65</v>
      </c>
      <c r="HH9" s="42"/>
      <c r="HI9" s="42"/>
      <c r="HJ9" s="42"/>
      <c r="HK9" s="42"/>
      <c r="HL9" s="42">
        <v>54.09</v>
      </c>
      <c r="HM9" s="42">
        <v>67.75</v>
      </c>
      <c r="HN9" s="42"/>
      <c r="HO9" s="42"/>
      <c r="HP9" s="42"/>
      <c r="HQ9" s="11">
        <v>0.7</v>
      </c>
      <c r="HR9" s="10" t="s">
        <v>5451</v>
      </c>
      <c r="HS9" s="39">
        <v>1100000</v>
      </c>
      <c r="HT9" s="39"/>
      <c r="HU9" s="39">
        <v>100000000</v>
      </c>
      <c r="HV9" s="10" t="s">
        <v>25</v>
      </c>
      <c r="HW9" s="10" t="s">
        <v>25</v>
      </c>
      <c r="HX9" s="10" t="s">
        <v>5452</v>
      </c>
      <c r="HY9" s="10" t="s">
        <v>5452</v>
      </c>
      <c r="HZ9" s="10" t="s">
        <v>5452</v>
      </c>
      <c r="IA9" s="10" t="s">
        <v>25</v>
      </c>
      <c r="IB9" s="10"/>
      <c r="IC9" s="10" t="s">
        <v>5646</v>
      </c>
      <c r="ID9" s="10" t="s">
        <v>13248</v>
      </c>
      <c r="IE9" s="10" t="s">
        <v>13281</v>
      </c>
      <c r="IF9" s="10" t="s">
        <v>5501</v>
      </c>
      <c r="IG9" s="10" t="s">
        <v>72</v>
      </c>
      <c r="IH9" s="10" t="s">
        <v>72</v>
      </c>
      <c r="II9" s="10" t="s">
        <v>72</v>
      </c>
      <c r="IJ9" s="10" t="s">
        <v>2692</v>
      </c>
      <c r="IK9" s="10"/>
      <c r="IL9" s="10" t="s">
        <v>5525</v>
      </c>
      <c r="IM9" s="10" t="s">
        <v>5457</v>
      </c>
      <c r="IN9" s="10"/>
      <c r="IO9" s="10" t="s">
        <v>25</v>
      </c>
      <c r="IP9" s="10" t="s">
        <v>2201</v>
      </c>
      <c r="IQ9" s="10" t="s">
        <v>5458</v>
      </c>
      <c r="IR9" s="10" t="s">
        <v>5458</v>
      </c>
      <c r="IS9" s="10" t="s">
        <v>5458</v>
      </c>
      <c r="IT9" s="10" t="s">
        <v>5474</v>
      </c>
      <c r="IU9" s="10" t="s">
        <v>5474</v>
      </c>
      <c r="IV9" s="10" t="s">
        <v>5458</v>
      </c>
      <c r="IW9" s="10" t="s">
        <v>5458</v>
      </c>
      <c r="IX9" s="10" t="s">
        <v>5483</v>
      </c>
      <c r="IY9" s="10"/>
      <c r="IZ9" s="10" t="s">
        <v>5647</v>
      </c>
      <c r="JA9" s="10" t="s">
        <v>13301</v>
      </c>
      <c r="JB9" s="10" t="s">
        <v>5485</v>
      </c>
      <c r="JC9" s="10" t="s">
        <v>5485</v>
      </c>
      <c r="JD9" s="10" t="s">
        <v>5505</v>
      </c>
      <c r="JE9" s="10" t="s">
        <v>5486</v>
      </c>
      <c r="JF9" s="10" t="s">
        <v>5464</v>
      </c>
      <c r="JG9" s="10" t="s">
        <v>5465</v>
      </c>
      <c r="JH9" s="10" t="s">
        <v>5466</v>
      </c>
    </row>
    <row r="10" spans="1:268" ht="102" x14ac:dyDescent="0.2">
      <c r="A10" s="31" t="s">
        <v>170</v>
      </c>
      <c r="B10" s="9" t="s">
        <v>13219</v>
      </c>
      <c r="C10" s="9" t="s">
        <v>5698</v>
      </c>
      <c r="D10" s="9" t="s">
        <v>25</v>
      </c>
      <c r="E10" s="9"/>
      <c r="F10" s="9" t="s">
        <v>5467</v>
      </c>
      <c r="G10" s="9"/>
      <c r="H10" s="9">
        <v>40</v>
      </c>
      <c r="I10" s="9">
        <v>20</v>
      </c>
      <c r="J10" s="9">
        <v>39</v>
      </c>
      <c r="K10" s="9" t="s">
        <v>25</v>
      </c>
      <c r="L10" s="9"/>
      <c r="M10" s="9"/>
      <c r="N10" s="9"/>
      <c r="O10" s="9"/>
      <c r="P10" s="9"/>
      <c r="Q10" s="9"/>
      <c r="R10" s="9" t="s">
        <v>5699</v>
      </c>
      <c r="S10" s="11">
        <v>0.06</v>
      </c>
      <c r="T10" s="11">
        <v>0.56000000000000005</v>
      </c>
      <c r="U10" s="11">
        <v>0.11</v>
      </c>
      <c r="V10" s="11">
        <v>0.01</v>
      </c>
      <c r="W10" s="11">
        <v>0.06</v>
      </c>
      <c r="X10" s="10"/>
      <c r="Y10" s="10"/>
      <c r="Z10" s="10"/>
      <c r="AA10" s="10"/>
      <c r="AB10" s="10"/>
      <c r="AC10" s="11">
        <v>0.2</v>
      </c>
      <c r="AD10" s="10"/>
      <c r="AE10" s="10"/>
      <c r="AF10" s="10"/>
      <c r="AG10" s="10"/>
      <c r="AH10" s="10"/>
      <c r="AI10" s="36">
        <v>4.5</v>
      </c>
      <c r="AJ10" s="33">
        <v>2.2000000000000002E-2</v>
      </c>
      <c r="AK10" s="33">
        <v>0</v>
      </c>
      <c r="AL10" s="33"/>
      <c r="AM10" s="33"/>
      <c r="AN10" s="33"/>
      <c r="AO10" s="33">
        <v>2.2000000000000002E-2</v>
      </c>
      <c r="AP10" s="33"/>
      <c r="AQ10" s="33"/>
      <c r="AR10" s="33"/>
      <c r="AS10" s="33"/>
      <c r="AT10" s="11">
        <v>1</v>
      </c>
      <c r="AU10" s="11">
        <v>1</v>
      </c>
      <c r="AV10" s="11">
        <v>1</v>
      </c>
      <c r="AW10" s="11">
        <v>1</v>
      </c>
      <c r="AX10" s="11">
        <v>1</v>
      </c>
      <c r="AY10" s="11">
        <v>1</v>
      </c>
      <c r="AZ10" s="11">
        <v>0.8</v>
      </c>
      <c r="BA10" s="11">
        <v>0.8</v>
      </c>
      <c r="BB10" s="11">
        <v>0.8</v>
      </c>
      <c r="BC10" s="11">
        <v>0.8</v>
      </c>
      <c r="BD10" s="11">
        <v>0.8</v>
      </c>
      <c r="BE10" s="11">
        <v>0.8</v>
      </c>
      <c r="BF10" s="10" t="s">
        <v>25</v>
      </c>
      <c r="BG10" s="10" t="s">
        <v>28</v>
      </c>
      <c r="BH10" s="39">
        <v>150</v>
      </c>
      <c r="BI10" s="10" t="s">
        <v>28</v>
      </c>
      <c r="BJ10" s="39">
        <v>0</v>
      </c>
      <c r="BK10" s="10" t="s">
        <v>28</v>
      </c>
      <c r="BL10" s="39">
        <v>0</v>
      </c>
      <c r="BM10" s="10" t="s">
        <v>25</v>
      </c>
      <c r="BN10" s="39"/>
      <c r="BO10" s="10" t="s">
        <v>25</v>
      </c>
      <c r="BP10" s="39"/>
      <c r="BQ10" s="10" t="s">
        <v>5479</v>
      </c>
      <c r="BR10" s="42">
        <v>150</v>
      </c>
      <c r="BS10" s="42">
        <v>786.03</v>
      </c>
      <c r="BT10" s="42">
        <v>1761.49</v>
      </c>
      <c r="BU10" s="42">
        <v>2432.0500000000002</v>
      </c>
      <c r="BV10" s="42">
        <v>1413.56</v>
      </c>
      <c r="BW10" s="42"/>
      <c r="BX10" s="42"/>
      <c r="BY10" s="42"/>
      <c r="BZ10" s="42"/>
      <c r="CA10" s="42"/>
      <c r="CB10" s="42">
        <v>2432.0500000000002</v>
      </c>
      <c r="CC10" s="42"/>
      <c r="CD10" s="42"/>
      <c r="CE10" s="42"/>
      <c r="CF10" s="42"/>
      <c r="CG10" s="42"/>
      <c r="CH10" s="11">
        <v>0.9</v>
      </c>
      <c r="CI10" s="42"/>
      <c r="CJ10" s="42"/>
      <c r="CK10" s="42"/>
      <c r="CL10" s="42"/>
      <c r="CM10" s="42"/>
      <c r="CN10" s="42"/>
      <c r="CO10" s="42"/>
      <c r="CP10" s="42"/>
      <c r="CQ10" s="42"/>
      <c r="CR10" s="42"/>
      <c r="CS10" s="42"/>
      <c r="CT10" s="42"/>
      <c r="CU10" s="42"/>
      <c r="CV10" s="42"/>
      <c r="CW10" s="42"/>
      <c r="CX10" s="42"/>
      <c r="CY10" s="11"/>
      <c r="CZ10" s="42">
        <v>150</v>
      </c>
      <c r="DA10" s="42">
        <v>669.84</v>
      </c>
      <c r="DB10" s="42">
        <v>1468.87</v>
      </c>
      <c r="DC10" s="42">
        <v>2068.1</v>
      </c>
      <c r="DD10" s="42">
        <v>1202.51</v>
      </c>
      <c r="DE10" s="42"/>
      <c r="DF10" s="42"/>
      <c r="DG10" s="42"/>
      <c r="DH10" s="42"/>
      <c r="DI10" s="42"/>
      <c r="DJ10" s="42">
        <v>2068.1</v>
      </c>
      <c r="DK10" s="42"/>
      <c r="DL10" s="42"/>
      <c r="DM10" s="42"/>
      <c r="DN10" s="42"/>
      <c r="DO10" s="42"/>
      <c r="DP10" s="11">
        <v>0.9</v>
      </c>
      <c r="DQ10" s="42">
        <v>150</v>
      </c>
      <c r="DR10" s="42">
        <v>501.57</v>
      </c>
      <c r="DS10" s="42">
        <v>1103.45</v>
      </c>
      <c r="DT10" s="42">
        <v>1555.84</v>
      </c>
      <c r="DU10" s="42">
        <v>902.83</v>
      </c>
      <c r="DV10" s="42"/>
      <c r="DW10" s="42"/>
      <c r="DX10" s="42"/>
      <c r="DY10" s="42"/>
      <c r="DZ10" s="42"/>
      <c r="EA10" s="42">
        <v>1555.84</v>
      </c>
      <c r="EB10" s="42"/>
      <c r="EC10" s="42"/>
      <c r="ED10" s="42"/>
      <c r="EE10" s="42"/>
      <c r="EF10" s="42"/>
      <c r="EG10" s="11">
        <v>0.9</v>
      </c>
      <c r="EH10" s="42"/>
      <c r="EI10" s="42"/>
      <c r="EJ10" s="42"/>
      <c r="EK10" s="42"/>
      <c r="EL10" s="42"/>
      <c r="EM10" s="42"/>
      <c r="EN10" s="42"/>
      <c r="EO10" s="42"/>
      <c r="EP10" s="42"/>
      <c r="EQ10" s="42"/>
      <c r="ER10" s="42"/>
      <c r="ES10" s="42"/>
      <c r="ET10" s="42"/>
      <c r="EU10" s="42"/>
      <c r="EV10" s="42"/>
      <c r="EW10" s="42"/>
      <c r="EX10" s="10"/>
      <c r="EY10" s="10"/>
      <c r="EZ10" s="10"/>
      <c r="FA10" s="10"/>
      <c r="FB10" s="10"/>
      <c r="FC10" s="10"/>
      <c r="FD10" s="10"/>
      <c r="FE10" s="10"/>
      <c r="FF10" s="10"/>
      <c r="FG10" s="10"/>
      <c r="FH10" s="10"/>
      <c r="FI10" s="10"/>
      <c r="FJ10" s="10"/>
      <c r="FK10" s="10"/>
      <c r="FL10" s="10"/>
      <c r="FM10" s="10"/>
      <c r="FN10" s="10"/>
      <c r="FO10" s="10"/>
      <c r="FP10" s="42"/>
      <c r="FQ10" s="42"/>
      <c r="FR10" s="42"/>
      <c r="FS10" s="42"/>
      <c r="FT10" s="42"/>
      <c r="FU10" s="42"/>
      <c r="FV10" s="42"/>
      <c r="FW10" s="42"/>
      <c r="FX10" s="42"/>
      <c r="FY10" s="42"/>
      <c r="FZ10" s="42"/>
      <c r="GA10" s="42"/>
      <c r="GB10" s="42"/>
      <c r="GC10" s="42"/>
      <c r="GD10" s="42"/>
      <c r="GE10" s="42"/>
      <c r="GF10" s="10"/>
      <c r="GG10" s="10">
        <v>2</v>
      </c>
      <c r="GH10" s="10" t="s">
        <v>5450</v>
      </c>
      <c r="GI10" s="42">
        <v>0</v>
      </c>
      <c r="GJ10" s="42">
        <v>41.03</v>
      </c>
      <c r="GK10" s="42">
        <v>81.94</v>
      </c>
      <c r="GL10" s="42">
        <v>138.37</v>
      </c>
      <c r="GM10" s="42">
        <v>97.46</v>
      </c>
      <c r="GN10" s="42"/>
      <c r="GO10" s="42"/>
      <c r="GP10" s="42"/>
      <c r="GQ10" s="42"/>
      <c r="GR10" s="42"/>
      <c r="GS10" s="42">
        <v>138.37</v>
      </c>
      <c r="GT10" s="42"/>
      <c r="GU10" s="42"/>
      <c r="GV10" s="42"/>
      <c r="GW10" s="42"/>
      <c r="GX10" s="42"/>
      <c r="GY10" s="11">
        <v>0.95</v>
      </c>
      <c r="GZ10" s="10">
        <v>1</v>
      </c>
      <c r="HA10" s="42">
        <v>0</v>
      </c>
      <c r="HB10" s="42">
        <v>2</v>
      </c>
      <c r="HC10" s="42">
        <v>2</v>
      </c>
      <c r="HD10" s="42">
        <v>2</v>
      </c>
      <c r="HE10" s="42">
        <v>2</v>
      </c>
      <c r="HF10" s="42"/>
      <c r="HG10" s="42"/>
      <c r="HH10" s="42"/>
      <c r="HI10" s="42"/>
      <c r="HJ10" s="42"/>
      <c r="HK10" s="42">
        <v>4</v>
      </c>
      <c r="HL10" s="42"/>
      <c r="HM10" s="42"/>
      <c r="HN10" s="42"/>
      <c r="HO10" s="42"/>
      <c r="HP10" s="42"/>
      <c r="HQ10" s="11">
        <v>0.95</v>
      </c>
      <c r="HR10" s="10" t="s">
        <v>5537</v>
      </c>
      <c r="HS10" s="39">
        <v>200000</v>
      </c>
      <c r="HT10" s="39">
        <v>125000</v>
      </c>
      <c r="HU10" s="39"/>
      <c r="HV10" s="10" t="s">
        <v>25</v>
      </c>
      <c r="HW10" s="10" t="s">
        <v>25</v>
      </c>
      <c r="HX10" s="10" t="s">
        <v>5452</v>
      </c>
      <c r="HY10" s="10" t="s">
        <v>5452</v>
      </c>
      <c r="HZ10" s="10" t="s">
        <v>5452</v>
      </c>
      <c r="IA10" s="10" t="s">
        <v>25</v>
      </c>
      <c r="IB10" s="10"/>
      <c r="IC10" s="10" t="s">
        <v>5700</v>
      </c>
      <c r="ID10" s="10" t="s">
        <v>13261</v>
      </c>
      <c r="IE10" s="10" t="s">
        <v>5701</v>
      </c>
      <c r="IF10" s="10" t="s">
        <v>72</v>
      </c>
      <c r="IG10" s="10" t="s">
        <v>72</v>
      </c>
      <c r="IH10" s="10" t="s">
        <v>72</v>
      </c>
      <c r="II10" s="10" t="s">
        <v>72</v>
      </c>
      <c r="IJ10" s="10" t="s">
        <v>2692</v>
      </c>
      <c r="IK10" s="10"/>
      <c r="IL10" s="10" t="s">
        <v>25</v>
      </c>
      <c r="IM10" s="10" t="s">
        <v>2692</v>
      </c>
      <c r="IN10" s="10"/>
      <c r="IO10" s="10" t="s">
        <v>25</v>
      </c>
      <c r="IP10" s="10" t="s">
        <v>2201</v>
      </c>
      <c r="IQ10" s="10" t="s">
        <v>5458</v>
      </c>
      <c r="IR10" s="10" t="s">
        <v>5458</v>
      </c>
      <c r="IS10" s="10" t="s">
        <v>5474</v>
      </c>
      <c r="IT10" s="10" t="s">
        <v>5474</v>
      </c>
      <c r="IU10" s="10" t="s">
        <v>5474</v>
      </c>
      <c r="IV10" s="10" t="s">
        <v>5458</v>
      </c>
      <c r="IW10" s="10" t="s">
        <v>5458</v>
      </c>
      <c r="IX10" s="10" t="s">
        <v>5483</v>
      </c>
      <c r="IY10" s="10"/>
      <c r="IZ10" s="10" t="s">
        <v>5702</v>
      </c>
      <c r="JA10" s="10" t="s">
        <v>13301</v>
      </c>
      <c r="JB10" s="10" t="s">
        <v>5703</v>
      </c>
      <c r="JC10" s="10" t="s">
        <v>5703</v>
      </c>
      <c r="JD10" s="10" t="s">
        <v>5477</v>
      </c>
      <c r="JE10" s="10" t="s">
        <v>5463</v>
      </c>
      <c r="JF10" s="10" t="s">
        <v>5516</v>
      </c>
      <c r="JG10" s="10" t="s">
        <v>5465</v>
      </c>
      <c r="JH10" s="10" t="s">
        <v>5509</v>
      </c>
    </row>
    <row r="11" spans="1:268" ht="114.75" x14ac:dyDescent="0.2">
      <c r="A11" s="31" t="s">
        <v>176</v>
      </c>
      <c r="B11" s="9" t="s">
        <v>5724</v>
      </c>
      <c r="C11" s="9"/>
      <c r="D11" s="9" t="s">
        <v>25</v>
      </c>
      <c r="E11" s="9"/>
      <c r="F11" s="9" t="s">
        <v>5467</v>
      </c>
      <c r="G11" s="9"/>
      <c r="H11" s="9">
        <v>20</v>
      </c>
      <c r="I11" s="9">
        <v>20</v>
      </c>
      <c r="J11" s="9">
        <v>29</v>
      </c>
      <c r="K11" s="9" t="s">
        <v>28</v>
      </c>
      <c r="L11" s="9" t="s">
        <v>5468</v>
      </c>
      <c r="M11" s="9" t="s">
        <v>5468</v>
      </c>
      <c r="N11" s="9"/>
      <c r="O11" s="9"/>
      <c r="P11" s="9"/>
      <c r="Q11" s="9" t="s">
        <v>5447</v>
      </c>
      <c r="R11" s="9" t="s">
        <v>5469</v>
      </c>
      <c r="S11" s="11">
        <v>0.05</v>
      </c>
      <c r="T11" s="11">
        <v>0.36</v>
      </c>
      <c r="U11" s="11">
        <v>0.12</v>
      </c>
      <c r="V11" s="10"/>
      <c r="W11" s="11">
        <v>0.09</v>
      </c>
      <c r="X11" s="10"/>
      <c r="Y11" s="10"/>
      <c r="Z11" s="10"/>
      <c r="AA11" s="10"/>
      <c r="AB11" s="10"/>
      <c r="AC11" s="11">
        <v>0.38</v>
      </c>
      <c r="AD11" s="10"/>
      <c r="AE11" s="10"/>
      <c r="AF11" s="10"/>
      <c r="AG11" s="10"/>
      <c r="AH11" s="10"/>
      <c r="AI11" s="36">
        <v>1.5</v>
      </c>
      <c r="AJ11" s="33">
        <v>2.5000000000000001E-2</v>
      </c>
      <c r="AK11" s="33">
        <v>1.9E-2</v>
      </c>
      <c r="AL11" s="33">
        <v>1.9E-2</v>
      </c>
      <c r="AM11" s="33">
        <v>1.9E-2</v>
      </c>
      <c r="AN11" s="33">
        <v>8.199999999999999E-2</v>
      </c>
      <c r="AO11" s="33">
        <v>3.7000000000000005E-2</v>
      </c>
      <c r="AP11" s="33"/>
      <c r="AQ11" s="33"/>
      <c r="AR11" s="33">
        <v>2.6000000000000002E-2</v>
      </c>
      <c r="AS11" s="33">
        <v>1.1000000000000001E-2</v>
      </c>
      <c r="AT11" s="11">
        <v>0.91</v>
      </c>
      <c r="AU11" s="11">
        <v>0.91</v>
      </c>
      <c r="AV11" s="11">
        <v>0.79</v>
      </c>
      <c r="AW11" s="11">
        <v>0.79</v>
      </c>
      <c r="AX11" s="11">
        <v>0.7</v>
      </c>
      <c r="AY11" s="11">
        <v>0.7</v>
      </c>
      <c r="AZ11" s="11">
        <v>0.84</v>
      </c>
      <c r="BA11" s="11">
        <v>0.84</v>
      </c>
      <c r="BB11" s="11">
        <v>0.79</v>
      </c>
      <c r="BC11" s="11">
        <v>0.79</v>
      </c>
      <c r="BD11" s="11">
        <v>0.7</v>
      </c>
      <c r="BE11" s="11">
        <v>0.7</v>
      </c>
      <c r="BF11" s="10" t="s">
        <v>28</v>
      </c>
      <c r="BG11" s="10" t="s">
        <v>25</v>
      </c>
      <c r="BH11" s="39"/>
      <c r="BI11" s="10" t="s">
        <v>25</v>
      </c>
      <c r="BJ11" s="39"/>
      <c r="BK11" s="10" t="s">
        <v>25</v>
      </c>
      <c r="BL11" s="39"/>
      <c r="BM11" s="10" t="s">
        <v>25</v>
      </c>
      <c r="BN11" s="39"/>
      <c r="BO11" s="10" t="s">
        <v>25</v>
      </c>
      <c r="BP11" s="39"/>
      <c r="BQ11" s="10" t="s">
        <v>5725</v>
      </c>
      <c r="BR11" s="42">
        <v>0</v>
      </c>
      <c r="BS11" s="42">
        <v>914.74</v>
      </c>
      <c r="BT11" s="42">
        <v>1916.74</v>
      </c>
      <c r="BU11" s="42"/>
      <c r="BV11" s="42">
        <v>1642.74</v>
      </c>
      <c r="BW11" s="42"/>
      <c r="BX11" s="42"/>
      <c r="BY11" s="42"/>
      <c r="BZ11" s="42"/>
      <c r="CA11" s="42"/>
      <c r="CB11" s="42">
        <v>2642.74</v>
      </c>
      <c r="CC11" s="42"/>
      <c r="CD11" s="42"/>
      <c r="CE11" s="42"/>
      <c r="CF11" s="42"/>
      <c r="CG11" s="42"/>
      <c r="CH11" s="11">
        <v>0.79</v>
      </c>
      <c r="CI11" s="42">
        <v>0</v>
      </c>
      <c r="CJ11" s="42">
        <v>754.74</v>
      </c>
      <c r="CK11" s="42">
        <v>1578.74</v>
      </c>
      <c r="CL11" s="42"/>
      <c r="CM11" s="42">
        <v>1354.74</v>
      </c>
      <c r="CN11" s="42"/>
      <c r="CO11" s="42"/>
      <c r="CP11" s="42"/>
      <c r="CQ11" s="42"/>
      <c r="CR11" s="42"/>
      <c r="CS11" s="42">
        <v>2178.7399999999998</v>
      </c>
      <c r="CT11" s="42"/>
      <c r="CU11" s="42"/>
      <c r="CV11" s="42"/>
      <c r="CW11" s="42"/>
      <c r="CX11" s="42"/>
      <c r="CY11" s="11">
        <v>0.86</v>
      </c>
      <c r="CZ11" s="42">
        <v>0</v>
      </c>
      <c r="DA11" s="42">
        <v>842.74</v>
      </c>
      <c r="DB11" s="42">
        <v>1746.74</v>
      </c>
      <c r="DC11" s="42"/>
      <c r="DD11" s="42">
        <v>1526.74</v>
      </c>
      <c r="DE11" s="42"/>
      <c r="DF11" s="42"/>
      <c r="DG11" s="42"/>
      <c r="DH11" s="42"/>
      <c r="DI11" s="42"/>
      <c r="DJ11" s="42">
        <v>2332.7399999999998</v>
      </c>
      <c r="DK11" s="42"/>
      <c r="DL11" s="42"/>
      <c r="DM11" s="42"/>
      <c r="DN11" s="42"/>
      <c r="DO11" s="42"/>
      <c r="DP11" s="11">
        <v>0.96</v>
      </c>
      <c r="DQ11" s="42">
        <v>0</v>
      </c>
      <c r="DR11" s="42">
        <v>574.74</v>
      </c>
      <c r="DS11" s="42">
        <v>1203.74</v>
      </c>
      <c r="DT11" s="42"/>
      <c r="DU11" s="42">
        <v>1031.74</v>
      </c>
      <c r="DV11" s="42"/>
      <c r="DW11" s="42"/>
      <c r="DX11" s="42"/>
      <c r="DY11" s="42"/>
      <c r="DZ11" s="42"/>
      <c r="EA11" s="42">
        <v>1660.74</v>
      </c>
      <c r="EB11" s="42"/>
      <c r="EC11" s="42"/>
      <c r="ED11" s="42"/>
      <c r="EE11" s="42"/>
      <c r="EF11" s="42"/>
      <c r="EG11" s="11">
        <v>0.87</v>
      </c>
      <c r="EH11" s="42">
        <v>0</v>
      </c>
      <c r="EI11" s="42">
        <v>774.74</v>
      </c>
      <c r="EJ11" s="42">
        <v>1622.74</v>
      </c>
      <c r="EK11" s="42"/>
      <c r="EL11" s="42">
        <v>1392.74</v>
      </c>
      <c r="EM11" s="42"/>
      <c r="EN11" s="42"/>
      <c r="EO11" s="42"/>
      <c r="EP11" s="42"/>
      <c r="EQ11" s="42"/>
      <c r="ER11" s="42">
        <v>2238.7399999999998</v>
      </c>
      <c r="ES11" s="42"/>
      <c r="ET11" s="42"/>
      <c r="EU11" s="42"/>
      <c r="EV11" s="42"/>
      <c r="EW11" s="42"/>
      <c r="EX11" s="11">
        <v>0.85</v>
      </c>
      <c r="EY11" s="10"/>
      <c r="EZ11" s="10"/>
      <c r="FA11" s="10"/>
      <c r="FB11" s="10"/>
      <c r="FC11" s="10"/>
      <c r="FD11" s="10"/>
      <c r="FE11" s="10"/>
      <c r="FF11" s="10"/>
      <c r="FG11" s="10"/>
      <c r="FH11" s="10"/>
      <c r="FI11" s="10"/>
      <c r="FJ11" s="10"/>
      <c r="FK11" s="10"/>
      <c r="FL11" s="10"/>
      <c r="FM11" s="10"/>
      <c r="FN11" s="10"/>
      <c r="FO11" s="10"/>
      <c r="FP11" s="42"/>
      <c r="FQ11" s="42"/>
      <c r="FR11" s="42"/>
      <c r="FS11" s="42"/>
      <c r="FT11" s="42"/>
      <c r="FU11" s="42"/>
      <c r="FV11" s="42"/>
      <c r="FW11" s="42"/>
      <c r="FX11" s="42"/>
      <c r="FY11" s="42"/>
      <c r="FZ11" s="42"/>
      <c r="GA11" s="42"/>
      <c r="GB11" s="42"/>
      <c r="GC11" s="42"/>
      <c r="GD11" s="42"/>
      <c r="GE11" s="42"/>
      <c r="GF11" s="10"/>
      <c r="GG11" s="10">
        <v>3</v>
      </c>
      <c r="GH11" s="10" t="s">
        <v>5450</v>
      </c>
      <c r="GI11" s="42">
        <v>0</v>
      </c>
      <c r="GJ11" s="42">
        <v>60</v>
      </c>
      <c r="GK11" s="42">
        <v>128</v>
      </c>
      <c r="GL11" s="42"/>
      <c r="GM11" s="42">
        <v>108</v>
      </c>
      <c r="GN11" s="42"/>
      <c r="GO11" s="42"/>
      <c r="GP11" s="42"/>
      <c r="GQ11" s="42"/>
      <c r="GR11" s="42"/>
      <c r="GS11" s="42">
        <v>178</v>
      </c>
      <c r="GT11" s="42"/>
      <c r="GU11" s="42"/>
      <c r="GV11" s="42"/>
      <c r="GW11" s="42"/>
      <c r="GX11" s="42"/>
      <c r="GY11" s="11">
        <v>0.8</v>
      </c>
      <c r="GZ11" s="10">
        <v>2</v>
      </c>
      <c r="HA11" s="42">
        <v>0</v>
      </c>
      <c r="HB11" s="42">
        <v>8</v>
      </c>
      <c r="HC11" s="42">
        <v>16</v>
      </c>
      <c r="HD11" s="42"/>
      <c r="HE11" s="42">
        <v>12</v>
      </c>
      <c r="HF11" s="42"/>
      <c r="HG11" s="42"/>
      <c r="HH11" s="42"/>
      <c r="HI11" s="42"/>
      <c r="HJ11" s="42"/>
      <c r="HK11" s="42">
        <v>20</v>
      </c>
      <c r="HL11" s="42"/>
      <c r="HM11" s="42"/>
      <c r="HN11" s="42"/>
      <c r="HO11" s="42"/>
      <c r="HP11" s="42"/>
      <c r="HQ11" s="11">
        <v>1</v>
      </c>
      <c r="HR11" s="10" t="s">
        <v>5451</v>
      </c>
      <c r="HS11" s="39">
        <v>700000</v>
      </c>
      <c r="HT11" s="39"/>
      <c r="HU11" s="39"/>
      <c r="HV11" s="10" t="s">
        <v>25</v>
      </c>
      <c r="HW11" s="10" t="s">
        <v>25</v>
      </c>
      <c r="HX11" s="10" t="s">
        <v>5452</v>
      </c>
      <c r="HY11" s="10" t="s">
        <v>5452</v>
      </c>
      <c r="HZ11" s="10" t="s">
        <v>5452</v>
      </c>
      <c r="IA11" s="10" t="s">
        <v>25</v>
      </c>
      <c r="IB11" s="10"/>
      <c r="IC11" s="10" t="s">
        <v>5726</v>
      </c>
      <c r="ID11" s="10" t="s">
        <v>13265</v>
      </c>
      <c r="IE11" s="10" t="s">
        <v>5727</v>
      </c>
      <c r="IF11" s="10" t="s">
        <v>5507</v>
      </c>
      <c r="IG11" s="10"/>
      <c r="IH11" s="10" t="s">
        <v>5507</v>
      </c>
      <c r="II11" s="10" t="s">
        <v>72</v>
      </c>
      <c r="IJ11" s="10" t="s">
        <v>2692</v>
      </c>
      <c r="IK11" s="10"/>
      <c r="IL11" s="10" t="s">
        <v>25</v>
      </c>
      <c r="IM11" s="10" t="s">
        <v>5457</v>
      </c>
      <c r="IN11" s="10"/>
      <c r="IO11" s="10" t="s">
        <v>25</v>
      </c>
      <c r="IP11" s="10" t="s">
        <v>28</v>
      </c>
      <c r="IQ11" s="10" t="s">
        <v>5513</v>
      </c>
      <c r="IR11" s="10" t="s">
        <v>5513</v>
      </c>
      <c r="IS11" s="10" t="s">
        <v>5513</v>
      </c>
      <c r="IT11" s="10" t="s">
        <v>5473</v>
      </c>
      <c r="IU11" s="10" t="s">
        <v>5473</v>
      </c>
      <c r="IV11" s="10" t="s">
        <v>5513</v>
      </c>
      <c r="IW11" s="10" t="s">
        <v>5513</v>
      </c>
      <c r="IX11" s="10" t="s">
        <v>5483</v>
      </c>
      <c r="IY11" s="10"/>
      <c r="IZ11" s="10" t="s">
        <v>5728</v>
      </c>
      <c r="JA11" s="10" t="s">
        <v>13301</v>
      </c>
      <c r="JB11" s="10" t="s">
        <v>5461</v>
      </c>
      <c r="JC11" s="10" t="s">
        <v>5461</v>
      </c>
      <c r="JD11" s="10" t="s">
        <v>5477</v>
      </c>
      <c r="JE11" s="10" t="s">
        <v>5486</v>
      </c>
      <c r="JF11" s="10" t="s">
        <v>5464</v>
      </c>
      <c r="JG11" s="10" t="s">
        <v>13302</v>
      </c>
      <c r="JH11" s="10" t="s">
        <v>5466</v>
      </c>
    </row>
    <row r="12" spans="1:268" ht="76.5" x14ac:dyDescent="0.2">
      <c r="A12" s="31" t="s">
        <v>175</v>
      </c>
      <c r="B12" s="9" t="s">
        <v>2185</v>
      </c>
      <c r="C12" s="9"/>
      <c r="D12" s="9" t="s">
        <v>25</v>
      </c>
      <c r="E12" s="9"/>
      <c r="F12" s="9"/>
      <c r="G12" s="9"/>
      <c r="H12" s="9">
        <v>40</v>
      </c>
      <c r="I12" s="9">
        <v>1</v>
      </c>
      <c r="J12" s="9">
        <v>39</v>
      </c>
      <c r="K12" s="9" t="s">
        <v>28</v>
      </c>
      <c r="L12" s="9" t="s">
        <v>5468</v>
      </c>
      <c r="M12" s="9" t="s">
        <v>5468</v>
      </c>
      <c r="N12" s="9" t="s">
        <v>5447</v>
      </c>
      <c r="O12" s="9" t="s">
        <v>5447</v>
      </c>
      <c r="P12" s="9" t="s">
        <v>5447</v>
      </c>
      <c r="Q12" s="9" t="s">
        <v>5447</v>
      </c>
      <c r="R12" s="9" t="s">
        <v>5469</v>
      </c>
      <c r="S12" s="11">
        <v>0.1</v>
      </c>
      <c r="T12" s="11">
        <v>0.31</v>
      </c>
      <c r="U12" s="11">
        <v>0.12</v>
      </c>
      <c r="V12" s="10"/>
      <c r="W12" s="11">
        <v>0.14000000000000001</v>
      </c>
      <c r="X12" s="10"/>
      <c r="Y12" s="10"/>
      <c r="Z12" s="10"/>
      <c r="AA12" s="10"/>
      <c r="AB12" s="10"/>
      <c r="AC12" s="11">
        <v>0.33</v>
      </c>
      <c r="AD12" s="10"/>
      <c r="AE12" s="10"/>
      <c r="AF12" s="10"/>
      <c r="AG12" s="10"/>
      <c r="AH12" s="10"/>
      <c r="AI12" s="36">
        <v>3</v>
      </c>
      <c r="AJ12" s="33">
        <v>6.5000000000000002E-2</v>
      </c>
      <c r="AK12" s="33">
        <v>0.09</v>
      </c>
      <c r="AL12" s="33"/>
      <c r="AM12" s="33"/>
      <c r="AN12" s="33">
        <v>5.5999999999999994E-2</v>
      </c>
      <c r="AO12" s="33"/>
      <c r="AP12" s="33"/>
      <c r="AQ12" s="33"/>
      <c r="AR12" s="33"/>
      <c r="AS12" s="33"/>
      <c r="AT12" s="11">
        <v>0.83900000000000008</v>
      </c>
      <c r="AU12" s="11">
        <v>0.83900000000000008</v>
      </c>
      <c r="AV12" s="11">
        <v>0.78200000000000003</v>
      </c>
      <c r="AW12" s="11">
        <v>0.78200000000000003</v>
      </c>
      <c r="AX12" s="11">
        <v>0.25700000000000001</v>
      </c>
      <c r="AY12" s="11">
        <v>0.25700000000000001</v>
      </c>
      <c r="AZ12" s="11">
        <v>0.72799999999999998</v>
      </c>
      <c r="BA12" s="11">
        <v>0.72799999999999998</v>
      </c>
      <c r="BB12" s="11">
        <v>0.84</v>
      </c>
      <c r="BC12" s="11">
        <v>0.84</v>
      </c>
      <c r="BD12" s="11">
        <v>0.245</v>
      </c>
      <c r="BE12" s="11">
        <v>0.245</v>
      </c>
      <c r="BF12" s="10" t="s">
        <v>25</v>
      </c>
      <c r="BG12" s="10" t="s">
        <v>25</v>
      </c>
      <c r="BH12" s="39"/>
      <c r="BI12" s="10" t="s">
        <v>25</v>
      </c>
      <c r="BJ12" s="39"/>
      <c r="BK12" s="10" t="s">
        <v>25</v>
      </c>
      <c r="BL12" s="39"/>
      <c r="BM12" s="10" t="s">
        <v>28</v>
      </c>
      <c r="BN12" s="39">
        <v>1200</v>
      </c>
      <c r="BO12" s="10" t="s">
        <v>28</v>
      </c>
      <c r="BP12" s="39">
        <v>1200</v>
      </c>
      <c r="BQ12" s="10" t="s">
        <v>5479</v>
      </c>
      <c r="BR12" s="42">
        <v>0</v>
      </c>
      <c r="BS12" s="42">
        <v>793.31</v>
      </c>
      <c r="BT12" s="42">
        <v>1716.2</v>
      </c>
      <c r="BU12" s="42"/>
      <c r="BV12" s="42">
        <v>1420.03</v>
      </c>
      <c r="BW12" s="42"/>
      <c r="BX12" s="42"/>
      <c r="BY12" s="42"/>
      <c r="BZ12" s="42"/>
      <c r="CA12" s="42"/>
      <c r="CB12" s="42">
        <v>2315.6999999999998</v>
      </c>
      <c r="CC12" s="42"/>
      <c r="CD12" s="42"/>
      <c r="CE12" s="42"/>
      <c r="CF12" s="42"/>
      <c r="CG12" s="42"/>
      <c r="CH12" s="11">
        <v>0.73599999999999999</v>
      </c>
      <c r="CI12" s="42"/>
      <c r="CJ12" s="42"/>
      <c r="CK12" s="42"/>
      <c r="CL12" s="42"/>
      <c r="CM12" s="42"/>
      <c r="CN12" s="42"/>
      <c r="CO12" s="42"/>
      <c r="CP12" s="42"/>
      <c r="CQ12" s="42"/>
      <c r="CR12" s="42"/>
      <c r="CS12" s="42"/>
      <c r="CT12" s="42"/>
      <c r="CU12" s="42"/>
      <c r="CV12" s="42"/>
      <c r="CW12" s="42"/>
      <c r="CX12" s="42"/>
      <c r="CY12" s="11"/>
      <c r="CZ12" s="42">
        <v>0</v>
      </c>
      <c r="DA12" s="42">
        <v>552.64</v>
      </c>
      <c r="DB12" s="42">
        <v>1216.43</v>
      </c>
      <c r="DC12" s="42"/>
      <c r="DD12" s="42">
        <v>995.17</v>
      </c>
      <c r="DE12" s="42"/>
      <c r="DF12" s="42"/>
      <c r="DG12" s="42"/>
      <c r="DH12" s="42"/>
      <c r="DI12" s="42"/>
      <c r="DJ12" s="42">
        <v>1657.93</v>
      </c>
      <c r="DK12" s="42"/>
      <c r="DL12" s="42"/>
      <c r="DM12" s="42"/>
      <c r="DN12" s="42"/>
      <c r="DO12" s="42"/>
      <c r="DP12" s="11">
        <v>0.81799999999999995</v>
      </c>
      <c r="DQ12" s="42"/>
      <c r="DR12" s="42">
        <v>630.63</v>
      </c>
      <c r="DS12" s="42">
        <v>1257.17</v>
      </c>
      <c r="DT12" s="42"/>
      <c r="DU12" s="42">
        <v>945.45</v>
      </c>
      <c r="DV12" s="42"/>
      <c r="DW12" s="42"/>
      <c r="DX12" s="42"/>
      <c r="DY12" s="42"/>
      <c r="DZ12" s="42"/>
      <c r="EA12" s="42">
        <v>1777.32</v>
      </c>
      <c r="EB12" s="42"/>
      <c r="EC12" s="42"/>
      <c r="ED12" s="42"/>
      <c r="EE12" s="42"/>
      <c r="EF12" s="42"/>
      <c r="EG12" s="11">
        <v>0.71499999999999997</v>
      </c>
      <c r="EH12" s="42"/>
      <c r="EI12" s="42"/>
      <c r="EJ12" s="42"/>
      <c r="EK12" s="42"/>
      <c r="EL12" s="42"/>
      <c r="EM12" s="42"/>
      <c r="EN12" s="42"/>
      <c r="EO12" s="42"/>
      <c r="EP12" s="42"/>
      <c r="EQ12" s="42"/>
      <c r="ER12" s="42"/>
      <c r="ES12" s="42"/>
      <c r="ET12" s="42"/>
      <c r="EU12" s="42"/>
      <c r="EV12" s="42"/>
      <c r="EW12" s="42"/>
      <c r="EX12" s="10"/>
      <c r="EY12" s="10"/>
      <c r="EZ12" s="10"/>
      <c r="FA12" s="10"/>
      <c r="FB12" s="10"/>
      <c r="FC12" s="10"/>
      <c r="FD12" s="10"/>
      <c r="FE12" s="10"/>
      <c r="FF12" s="10"/>
      <c r="FG12" s="10"/>
      <c r="FH12" s="10"/>
      <c r="FI12" s="10"/>
      <c r="FJ12" s="10"/>
      <c r="FK12" s="10"/>
      <c r="FL12" s="10"/>
      <c r="FM12" s="10"/>
      <c r="FN12" s="10"/>
      <c r="FO12" s="10"/>
      <c r="FP12" s="42"/>
      <c r="FQ12" s="42"/>
      <c r="FR12" s="42"/>
      <c r="FS12" s="42"/>
      <c r="FT12" s="42"/>
      <c r="FU12" s="42"/>
      <c r="FV12" s="42"/>
      <c r="FW12" s="42"/>
      <c r="FX12" s="42"/>
      <c r="FY12" s="42"/>
      <c r="FZ12" s="42"/>
      <c r="GA12" s="42"/>
      <c r="GB12" s="42"/>
      <c r="GC12" s="42"/>
      <c r="GD12" s="42"/>
      <c r="GE12" s="42"/>
      <c r="GF12" s="10"/>
      <c r="GG12" s="10">
        <v>3</v>
      </c>
      <c r="GH12" s="10" t="s">
        <v>5450</v>
      </c>
      <c r="GI12" s="42">
        <v>0</v>
      </c>
      <c r="GJ12" s="42">
        <v>28.9</v>
      </c>
      <c r="GK12" s="42">
        <v>58.56</v>
      </c>
      <c r="GL12" s="42"/>
      <c r="GM12" s="42">
        <v>62.88</v>
      </c>
      <c r="GN12" s="42"/>
      <c r="GO12" s="42"/>
      <c r="GP12" s="42"/>
      <c r="GQ12" s="42"/>
      <c r="GR12" s="42"/>
      <c r="GS12" s="42">
        <v>98.95</v>
      </c>
      <c r="GT12" s="42"/>
      <c r="GU12" s="42"/>
      <c r="GV12" s="42"/>
      <c r="GW12" s="42"/>
      <c r="GX12" s="42"/>
      <c r="GY12" s="11">
        <v>0.78200000000000003</v>
      </c>
      <c r="GZ12" s="10">
        <v>2</v>
      </c>
      <c r="HA12" s="42">
        <v>0</v>
      </c>
      <c r="HB12" s="42">
        <v>8.86</v>
      </c>
      <c r="HC12" s="42">
        <v>17.71</v>
      </c>
      <c r="HD12" s="42"/>
      <c r="HE12" s="42">
        <v>13.28</v>
      </c>
      <c r="HF12" s="42"/>
      <c r="HG12" s="42"/>
      <c r="HH12" s="42"/>
      <c r="HI12" s="42"/>
      <c r="HJ12" s="42"/>
      <c r="HK12" s="42">
        <v>25.69</v>
      </c>
      <c r="HL12" s="42"/>
      <c r="HM12" s="42"/>
      <c r="HN12" s="42"/>
      <c r="HO12" s="42"/>
      <c r="HP12" s="42"/>
      <c r="HQ12" s="11">
        <v>0.377</v>
      </c>
      <c r="HR12" s="10" t="s">
        <v>5451</v>
      </c>
      <c r="HS12" s="39">
        <v>400000</v>
      </c>
      <c r="HT12" s="39"/>
      <c r="HU12" s="39"/>
      <c r="HV12" s="10" t="s">
        <v>25</v>
      </c>
      <c r="HW12" s="10" t="s">
        <v>25</v>
      </c>
      <c r="HX12" s="10" t="s">
        <v>5452</v>
      </c>
      <c r="HY12" s="10" t="s">
        <v>5452</v>
      </c>
      <c r="HZ12" s="10" t="s">
        <v>5453</v>
      </c>
      <c r="IA12" s="10" t="s">
        <v>25</v>
      </c>
      <c r="IB12" s="10"/>
      <c r="IC12" s="10" t="s">
        <v>5721</v>
      </c>
      <c r="ID12" s="10" t="s">
        <v>13264</v>
      </c>
      <c r="IE12" s="10" t="s">
        <v>5722</v>
      </c>
      <c r="IF12" s="10"/>
      <c r="IG12" s="10"/>
      <c r="IH12" s="10"/>
      <c r="II12" s="10"/>
      <c r="IJ12" s="10" t="s">
        <v>2692</v>
      </c>
      <c r="IK12" s="10"/>
      <c r="IL12" s="10" t="s">
        <v>25</v>
      </c>
      <c r="IM12" s="10" t="s">
        <v>2758</v>
      </c>
      <c r="IN12" s="10"/>
      <c r="IO12" s="10" t="s">
        <v>25</v>
      </c>
      <c r="IP12" s="10" t="s">
        <v>2201</v>
      </c>
      <c r="IQ12" s="10" t="s">
        <v>5458</v>
      </c>
      <c r="IR12" s="10" t="s">
        <v>5458</v>
      </c>
      <c r="IS12" s="10" t="s">
        <v>5458</v>
      </c>
      <c r="IT12" s="10" t="s">
        <v>5502</v>
      </c>
      <c r="IU12" s="10" t="s">
        <v>5502</v>
      </c>
      <c r="IV12" s="10" t="s">
        <v>5458</v>
      </c>
      <c r="IW12" s="10" t="s">
        <v>5458</v>
      </c>
      <c r="IX12" s="10" t="s">
        <v>5460</v>
      </c>
      <c r="IY12" s="10"/>
      <c r="IZ12" s="10" t="s">
        <v>5723</v>
      </c>
      <c r="JA12" s="10" t="s">
        <v>13301</v>
      </c>
      <c r="JB12" s="10" t="s">
        <v>5515</v>
      </c>
      <c r="JC12" s="10" t="s">
        <v>5515</v>
      </c>
      <c r="JD12" s="10" t="s">
        <v>5462</v>
      </c>
      <c r="JE12" s="10" t="s">
        <v>28</v>
      </c>
      <c r="JF12" s="10" t="s">
        <v>5464</v>
      </c>
      <c r="JG12" s="10" t="s">
        <v>5465</v>
      </c>
      <c r="JH12" s="10" t="s">
        <v>5496</v>
      </c>
    </row>
    <row r="13" spans="1:268" ht="89.25" x14ac:dyDescent="0.2">
      <c r="A13" s="31" t="s">
        <v>121</v>
      </c>
      <c r="B13" s="9" t="s">
        <v>5494</v>
      </c>
      <c r="C13" s="9"/>
      <c r="D13" s="9" t="s">
        <v>25</v>
      </c>
      <c r="E13" s="9"/>
      <c r="F13" s="9" t="s">
        <v>5467</v>
      </c>
      <c r="G13" s="9"/>
      <c r="H13" s="9">
        <v>30</v>
      </c>
      <c r="I13" s="9">
        <v>20</v>
      </c>
      <c r="J13" s="9">
        <v>29</v>
      </c>
      <c r="K13" s="9" t="s">
        <v>28</v>
      </c>
      <c r="L13" s="9" t="s">
        <v>5468</v>
      </c>
      <c r="M13" s="9" t="s">
        <v>5468</v>
      </c>
      <c r="N13" s="9" t="s">
        <v>5468</v>
      </c>
      <c r="O13" s="9" t="s">
        <v>5447</v>
      </c>
      <c r="P13" s="9" t="s">
        <v>5447</v>
      </c>
      <c r="Q13" s="9" t="s">
        <v>5447</v>
      </c>
      <c r="R13" s="9" t="s">
        <v>5469</v>
      </c>
      <c r="S13" s="11">
        <v>0.06</v>
      </c>
      <c r="T13" s="11">
        <v>0.35</v>
      </c>
      <c r="U13" s="11">
        <v>0.13</v>
      </c>
      <c r="V13" s="10"/>
      <c r="W13" s="11">
        <v>0.09</v>
      </c>
      <c r="X13" s="10"/>
      <c r="Y13" s="10"/>
      <c r="Z13" s="10"/>
      <c r="AA13" s="10"/>
      <c r="AB13" s="10"/>
      <c r="AC13" s="11">
        <v>0.37</v>
      </c>
      <c r="AD13" s="10"/>
      <c r="AE13" s="10"/>
      <c r="AF13" s="10"/>
      <c r="AG13" s="10"/>
      <c r="AH13" s="10"/>
      <c r="AI13" s="36">
        <v>1.5</v>
      </c>
      <c r="AJ13" s="33">
        <v>7.0000000000000007E-2</v>
      </c>
      <c r="AK13" s="33"/>
      <c r="AL13" s="33"/>
      <c r="AM13" s="33"/>
      <c r="AN13" s="33">
        <v>-6.0000000000000001E-3</v>
      </c>
      <c r="AO13" s="33">
        <v>7.0000000000000007E-2</v>
      </c>
      <c r="AP13" s="33"/>
      <c r="AQ13" s="33"/>
      <c r="AR13" s="33"/>
      <c r="AS13" s="33">
        <v>-6.0000000000000001E-3</v>
      </c>
      <c r="AT13" s="11">
        <v>0.8</v>
      </c>
      <c r="AU13" s="11">
        <v>0.84</v>
      </c>
      <c r="AV13" s="11">
        <v>0.8</v>
      </c>
      <c r="AW13" s="11">
        <v>0.79</v>
      </c>
      <c r="AX13" s="11">
        <v>0.8</v>
      </c>
      <c r="AY13" s="11">
        <v>0.72</v>
      </c>
      <c r="AZ13" s="11">
        <v>0.77</v>
      </c>
      <c r="BA13" s="11">
        <v>0.77</v>
      </c>
      <c r="BB13" s="11">
        <v>0.77</v>
      </c>
      <c r="BC13" s="11">
        <v>0.73</v>
      </c>
      <c r="BD13" s="11">
        <v>0.77</v>
      </c>
      <c r="BE13" s="11">
        <v>0.72</v>
      </c>
      <c r="BF13" s="10" t="s">
        <v>25</v>
      </c>
      <c r="BG13" s="10" t="s">
        <v>25</v>
      </c>
      <c r="BH13" s="39"/>
      <c r="BI13" s="10" t="s">
        <v>25</v>
      </c>
      <c r="BJ13" s="39"/>
      <c r="BK13" s="10" t="s">
        <v>25</v>
      </c>
      <c r="BL13" s="39"/>
      <c r="BM13" s="10" t="s">
        <v>25</v>
      </c>
      <c r="BN13" s="39"/>
      <c r="BO13" s="10" t="s">
        <v>25</v>
      </c>
      <c r="BP13" s="39"/>
      <c r="BQ13" s="10" t="s">
        <v>5479</v>
      </c>
      <c r="BR13" s="42">
        <v>0</v>
      </c>
      <c r="BS13" s="42">
        <v>673.88</v>
      </c>
      <c r="BT13" s="42">
        <v>1410.77</v>
      </c>
      <c r="BU13" s="42"/>
      <c r="BV13" s="42">
        <v>1212.23</v>
      </c>
      <c r="BW13" s="42"/>
      <c r="BX13" s="42"/>
      <c r="BY13" s="42"/>
      <c r="BZ13" s="42"/>
      <c r="CA13" s="42"/>
      <c r="CB13" s="42">
        <v>1953.04</v>
      </c>
      <c r="CC13" s="42"/>
      <c r="CD13" s="42"/>
      <c r="CE13" s="42"/>
      <c r="CF13" s="42"/>
      <c r="CG13" s="42"/>
      <c r="CH13" s="11">
        <v>0.73</v>
      </c>
      <c r="CI13" s="42"/>
      <c r="CJ13" s="42"/>
      <c r="CK13" s="42"/>
      <c r="CL13" s="42"/>
      <c r="CM13" s="42"/>
      <c r="CN13" s="42"/>
      <c r="CO13" s="42"/>
      <c r="CP13" s="42"/>
      <c r="CQ13" s="42"/>
      <c r="CR13" s="42"/>
      <c r="CS13" s="42"/>
      <c r="CT13" s="42"/>
      <c r="CU13" s="42"/>
      <c r="CV13" s="42"/>
      <c r="CW13" s="42"/>
      <c r="CX13" s="42"/>
      <c r="CY13" s="11"/>
      <c r="CZ13" s="42">
        <v>0</v>
      </c>
      <c r="DA13" s="42">
        <v>577.66</v>
      </c>
      <c r="DB13" s="42">
        <v>1209.29</v>
      </c>
      <c r="DC13" s="42"/>
      <c r="DD13" s="42">
        <v>1039.1600000000001</v>
      </c>
      <c r="DE13" s="42"/>
      <c r="DF13" s="42"/>
      <c r="DG13" s="42"/>
      <c r="DH13" s="42"/>
      <c r="DI13" s="42"/>
      <c r="DJ13" s="42">
        <v>1674.23</v>
      </c>
      <c r="DK13" s="42"/>
      <c r="DL13" s="42"/>
      <c r="DM13" s="42"/>
      <c r="DN13" s="42"/>
      <c r="DO13" s="42"/>
      <c r="DP13" s="11">
        <v>0.88900000000000001</v>
      </c>
      <c r="DQ13" s="42">
        <v>0</v>
      </c>
      <c r="DR13" s="42">
        <v>616.45000000000005</v>
      </c>
      <c r="DS13" s="42">
        <v>1294.56</v>
      </c>
      <c r="DT13" s="42"/>
      <c r="DU13" s="42">
        <v>1109.6099999999999</v>
      </c>
      <c r="DV13" s="42"/>
      <c r="DW13" s="42"/>
      <c r="DX13" s="42"/>
      <c r="DY13" s="42"/>
      <c r="DZ13" s="42"/>
      <c r="EA13" s="42">
        <v>1787.72</v>
      </c>
      <c r="EB13" s="42"/>
      <c r="EC13" s="42"/>
      <c r="ED13" s="42"/>
      <c r="EE13" s="42"/>
      <c r="EF13" s="42"/>
      <c r="EG13" s="11">
        <v>0.78900000000000003</v>
      </c>
      <c r="EH13" s="42"/>
      <c r="EI13" s="42"/>
      <c r="EJ13" s="42"/>
      <c r="EK13" s="42"/>
      <c r="EL13" s="42"/>
      <c r="EM13" s="42"/>
      <c r="EN13" s="42"/>
      <c r="EO13" s="42"/>
      <c r="EP13" s="42"/>
      <c r="EQ13" s="42"/>
      <c r="ER13" s="42"/>
      <c r="ES13" s="42"/>
      <c r="ET13" s="42"/>
      <c r="EU13" s="42"/>
      <c r="EV13" s="42"/>
      <c r="EW13" s="42"/>
      <c r="EX13" s="10"/>
      <c r="EY13" s="10"/>
      <c r="EZ13" s="10"/>
      <c r="FA13" s="10"/>
      <c r="FB13" s="10"/>
      <c r="FC13" s="10"/>
      <c r="FD13" s="10"/>
      <c r="FE13" s="10"/>
      <c r="FF13" s="10"/>
      <c r="FG13" s="10"/>
      <c r="FH13" s="10"/>
      <c r="FI13" s="10"/>
      <c r="FJ13" s="10"/>
      <c r="FK13" s="10"/>
      <c r="FL13" s="10"/>
      <c r="FM13" s="10"/>
      <c r="FN13" s="10"/>
      <c r="FO13" s="10"/>
      <c r="FP13" s="42"/>
      <c r="FQ13" s="42"/>
      <c r="FR13" s="42"/>
      <c r="FS13" s="42"/>
      <c r="FT13" s="42"/>
      <c r="FU13" s="42"/>
      <c r="FV13" s="42"/>
      <c r="FW13" s="42"/>
      <c r="FX13" s="42"/>
      <c r="FY13" s="42"/>
      <c r="FZ13" s="42"/>
      <c r="GA13" s="42"/>
      <c r="GB13" s="42"/>
      <c r="GC13" s="42"/>
      <c r="GD13" s="42"/>
      <c r="GE13" s="42"/>
      <c r="GF13" s="10"/>
      <c r="GG13" s="10">
        <v>2</v>
      </c>
      <c r="GH13" s="10" t="s">
        <v>5450</v>
      </c>
      <c r="GI13" s="42">
        <v>0</v>
      </c>
      <c r="GJ13" s="42">
        <v>56.42</v>
      </c>
      <c r="GK13" s="42">
        <v>118.47</v>
      </c>
      <c r="GL13" s="42"/>
      <c r="GM13" s="42">
        <v>101.55</v>
      </c>
      <c r="GN13" s="42"/>
      <c r="GO13" s="42"/>
      <c r="GP13" s="42"/>
      <c r="GQ13" s="42"/>
      <c r="GR13" s="42"/>
      <c r="GS13" s="42">
        <v>163.61000000000001</v>
      </c>
      <c r="GT13" s="42"/>
      <c r="GU13" s="42"/>
      <c r="GV13" s="42"/>
      <c r="GW13" s="42"/>
      <c r="GX13" s="42"/>
      <c r="GY13" s="11">
        <v>0.72699999999999998</v>
      </c>
      <c r="GZ13" s="10">
        <v>2</v>
      </c>
      <c r="HA13" s="42">
        <v>0</v>
      </c>
      <c r="HB13" s="42">
        <v>6.05</v>
      </c>
      <c r="HC13" s="42">
        <v>12.01</v>
      </c>
      <c r="HD13" s="42"/>
      <c r="HE13" s="42">
        <v>12.84</v>
      </c>
      <c r="HF13" s="42"/>
      <c r="HG13" s="42"/>
      <c r="HH13" s="42"/>
      <c r="HI13" s="42"/>
      <c r="HJ13" s="42"/>
      <c r="HK13" s="42">
        <v>20.49</v>
      </c>
      <c r="HL13" s="42"/>
      <c r="HM13" s="42"/>
      <c r="HN13" s="42"/>
      <c r="HO13" s="42"/>
      <c r="HP13" s="42"/>
      <c r="HQ13" s="11">
        <v>0.71</v>
      </c>
      <c r="HR13" s="10" t="s">
        <v>5451</v>
      </c>
      <c r="HS13" s="39">
        <v>375000</v>
      </c>
      <c r="HT13" s="39"/>
      <c r="HU13" s="39">
        <v>375000</v>
      </c>
      <c r="HV13" s="10" t="s">
        <v>28</v>
      </c>
      <c r="HW13" s="10" t="s">
        <v>28</v>
      </c>
      <c r="HX13" s="10" t="s">
        <v>5452</v>
      </c>
      <c r="HY13" s="10" t="s">
        <v>5452</v>
      </c>
      <c r="HZ13" s="10" t="s">
        <v>5452</v>
      </c>
      <c r="IA13" s="10" t="s">
        <v>25</v>
      </c>
      <c r="IB13" s="10"/>
      <c r="IC13" s="10" t="s">
        <v>13222</v>
      </c>
      <c r="ID13" s="10" t="s">
        <v>13235</v>
      </c>
      <c r="IE13" s="10" t="s">
        <v>5495</v>
      </c>
      <c r="IF13" s="10" t="s">
        <v>72</v>
      </c>
      <c r="IG13" s="10" t="s">
        <v>72</v>
      </c>
      <c r="IH13" s="10" t="s">
        <v>72</v>
      </c>
      <c r="II13" s="10" t="s">
        <v>72</v>
      </c>
      <c r="IJ13" s="10" t="s">
        <v>2692</v>
      </c>
      <c r="IK13" s="10"/>
      <c r="IL13" s="10" t="s">
        <v>25</v>
      </c>
      <c r="IM13" s="10" t="s">
        <v>5457</v>
      </c>
      <c r="IN13" s="10"/>
      <c r="IO13" s="10" t="s">
        <v>25</v>
      </c>
      <c r="IP13" s="10" t="s">
        <v>28</v>
      </c>
      <c r="IQ13" s="10" t="s">
        <v>5459</v>
      </c>
      <c r="IR13" s="10" t="s">
        <v>5459</v>
      </c>
      <c r="IS13" s="10" t="s">
        <v>5459</v>
      </c>
      <c r="IT13" s="10" t="s">
        <v>5459</v>
      </c>
      <c r="IU13" s="10" t="s">
        <v>5459</v>
      </c>
      <c r="IV13" s="10" t="s">
        <v>5459</v>
      </c>
      <c r="IW13" s="10" t="s">
        <v>5459</v>
      </c>
      <c r="IX13" s="10" t="s">
        <v>5483</v>
      </c>
      <c r="IY13" s="10"/>
      <c r="IZ13" s="10" t="s">
        <v>14611</v>
      </c>
      <c r="JA13" s="10" t="s">
        <v>13301</v>
      </c>
      <c r="JB13" s="10" t="s">
        <v>5461</v>
      </c>
      <c r="JC13" s="10" t="s">
        <v>5461</v>
      </c>
      <c r="JD13" s="10" t="s">
        <v>5462</v>
      </c>
      <c r="JE13" s="10" t="s">
        <v>5486</v>
      </c>
      <c r="JF13" s="10" t="s">
        <v>5464</v>
      </c>
      <c r="JG13" s="10" t="s">
        <v>5465</v>
      </c>
      <c r="JH13" s="10" t="s">
        <v>5496</v>
      </c>
    </row>
    <row r="14" spans="1:268" ht="89.25" x14ac:dyDescent="0.2">
      <c r="A14" s="31" t="s">
        <v>147</v>
      </c>
      <c r="B14" s="9" t="s">
        <v>5444</v>
      </c>
      <c r="C14" s="9"/>
      <c r="D14" s="9" t="s">
        <v>25</v>
      </c>
      <c r="E14" s="9"/>
      <c r="F14" s="9" t="s">
        <v>5467</v>
      </c>
      <c r="G14" s="9"/>
      <c r="H14" s="9">
        <v>30</v>
      </c>
      <c r="I14" s="9"/>
      <c r="J14" s="9"/>
      <c r="K14" s="9" t="s">
        <v>25</v>
      </c>
      <c r="L14" s="9"/>
      <c r="M14" s="9"/>
      <c r="N14" s="9"/>
      <c r="O14" s="9"/>
      <c r="P14" s="9"/>
      <c r="Q14" s="9"/>
      <c r="R14" s="9" t="s">
        <v>5469</v>
      </c>
      <c r="S14" s="11">
        <v>0.13</v>
      </c>
      <c r="T14" s="11">
        <v>0.23</v>
      </c>
      <c r="U14" s="11">
        <v>0.15</v>
      </c>
      <c r="V14" s="10"/>
      <c r="W14" s="11">
        <v>0.06</v>
      </c>
      <c r="X14" s="10"/>
      <c r="Y14" s="10"/>
      <c r="Z14" s="10"/>
      <c r="AA14" s="10"/>
      <c r="AB14" s="10"/>
      <c r="AC14" s="11">
        <v>0.43</v>
      </c>
      <c r="AD14" s="10"/>
      <c r="AE14" s="10"/>
      <c r="AF14" s="10"/>
      <c r="AG14" s="10"/>
      <c r="AH14" s="10"/>
      <c r="AI14" s="36">
        <v>3.5</v>
      </c>
      <c r="AJ14" s="33">
        <v>0.09</v>
      </c>
      <c r="AK14" s="33"/>
      <c r="AL14" s="33"/>
      <c r="AM14" s="33"/>
      <c r="AN14" s="33">
        <v>0.11599999999999999</v>
      </c>
      <c r="AO14" s="33">
        <v>0.121</v>
      </c>
      <c r="AP14" s="33"/>
      <c r="AQ14" s="33"/>
      <c r="AR14" s="33"/>
      <c r="AS14" s="33">
        <v>3.2000000000000001E-2</v>
      </c>
      <c r="AT14" s="11">
        <v>0.87</v>
      </c>
      <c r="AU14" s="11"/>
      <c r="AV14" s="11">
        <v>0.64</v>
      </c>
      <c r="AW14" s="11"/>
      <c r="AX14" s="11">
        <v>0.59</v>
      </c>
      <c r="AY14" s="11"/>
      <c r="AZ14" s="11">
        <v>0.85</v>
      </c>
      <c r="BA14" s="11"/>
      <c r="BB14" s="11">
        <v>0.59</v>
      </c>
      <c r="BC14" s="11"/>
      <c r="BD14" s="11">
        <v>0.47</v>
      </c>
      <c r="BE14" s="11"/>
      <c r="BF14" s="10" t="s">
        <v>25</v>
      </c>
      <c r="BG14" s="10" t="s">
        <v>28</v>
      </c>
      <c r="BH14" s="39">
        <v>250</v>
      </c>
      <c r="BI14" s="10" t="s">
        <v>25</v>
      </c>
      <c r="BJ14" s="39"/>
      <c r="BK14" s="10" t="s">
        <v>25</v>
      </c>
      <c r="BL14" s="39"/>
      <c r="BM14" s="10" t="s">
        <v>25</v>
      </c>
      <c r="BN14" s="39"/>
      <c r="BO14" s="10" t="s">
        <v>25</v>
      </c>
      <c r="BP14" s="39"/>
      <c r="BQ14" s="10" t="s">
        <v>5530</v>
      </c>
      <c r="BR14" s="42">
        <v>250</v>
      </c>
      <c r="BS14" s="42">
        <v>814.15</v>
      </c>
      <c r="BT14" s="42">
        <v>1872.61</v>
      </c>
      <c r="BU14" s="42"/>
      <c r="BV14" s="42">
        <v>1546.99</v>
      </c>
      <c r="BW14" s="42"/>
      <c r="BX14" s="42"/>
      <c r="BY14" s="42"/>
      <c r="BZ14" s="42"/>
      <c r="CA14" s="42"/>
      <c r="CB14" s="42">
        <v>2605.38</v>
      </c>
      <c r="CC14" s="42"/>
      <c r="CD14" s="42"/>
      <c r="CE14" s="42"/>
      <c r="CF14" s="42"/>
      <c r="CG14" s="42"/>
      <c r="CH14" s="11">
        <v>0.84</v>
      </c>
      <c r="CI14" s="42">
        <v>250</v>
      </c>
      <c r="CJ14" s="42">
        <v>657.15</v>
      </c>
      <c r="CK14" s="42">
        <v>1511.49</v>
      </c>
      <c r="CL14" s="42"/>
      <c r="CM14" s="42">
        <v>1248.6400000000001</v>
      </c>
      <c r="CN14" s="42"/>
      <c r="CO14" s="42"/>
      <c r="CP14" s="42"/>
      <c r="CQ14" s="42"/>
      <c r="CR14" s="42"/>
      <c r="CS14" s="42">
        <v>2102.94</v>
      </c>
      <c r="CT14" s="42"/>
      <c r="CU14" s="42"/>
      <c r="CV14" s="42"/>
      <c r="CW14" s="42"/>
      <c r="CX14" s="42"/>
      <c r="CY14" s="11">
        <v>0.84</v>
      </c>
      <c r="CZ14" s="42">
        <v>250</v>
      </c>
      <c r="DA14" s="42">
        <v>594.08000000000004</v>
      </c>
      <c r="DB14" s="42">
        <v>1366.42</v>
      </c>
      <c r="DC14" s="42"/>
      <c r="DD14" s="42">
        <v>1128.79</v>
      </c>
      <c r="DE14" s="42"/>
      <c r="DF14" s="42"/>
      <c r="DG14" s="42"/>
      <c r="DH14" s="42"/>
      <c r="DI14" s="42"/>
      <c r="DJ14" s="42">
        <v>1901.09</v>
      </c>
      <c r="DK14" s="42"/>
      <c r="DL14" s="42"/>
      <c r="DM14" s="42"/>
      <c r="DN14" s="42"/>
      <c r="DO14" s="42"/>
      <c r="DP14" s="11">
        <v>0.91</v>
      </c>
      <c r="DQ14" s="42">
        <v>250</v>
      </c>
      <c r="DR14" s="42">
        <v>550.25</v>
      </c>
      <c r="DS14" s="42">
        <v>1265.57</v>
      </c>
      <c r="DT14" s="42"/>
      <c r="DU14" s="42">
        <v>1039.97</v>
      </c>
      <c r="DV14" s="42"/>
      <c r="DW14" s="42"/>
      <c r="DX14" s="42"/>
      <c r="DY14" s="42"/>
      <c r="DZ14" s="42"/>
      <c r="EA14" s="42">
        <v>1760.79</v>
      </c>
      <c r="EB14" s="42"/>
      <c r="EC14" s="42"/>
      <c r="ED14" s="42"/>
      <c r="EE14" s="42"/>
      <c r="EF14" s="42"/>
      <c r="EG14" s="11">
        <v>0.84</v>
      </c>
      <c r="EH14" s="42"/>
      <c r="EI14" s="42"/>
      <c r="EJ14" s="42"/>
      <c r="EK14" s="42"/>
      <c r="EL14" s="42"/>
      <c r="EM14" s="42"/>
      <c r="EN14" s="42"/>
      <c r="EO14" s="42"/>
      <c r="EP14" s="42"/>
      <c r="EQ14" s="42"/>
      <c r="ER14" s="42"/>
      <c r="ES14" s="42"/>
      <c r="ET14" s="42"/>
      <c r="EU14" s="42"/>
      <c r="EV14" s="42"/>
      <c r="EW14" s="42"/>
      <c r="EX14" s="10"/>
      <c r="EY14" s="10"/>
      <c r="EZ14" s="10"/>
      <c r="FA14" s="10"/>
      <c r="FB14" s="10"/>
      <c r="FC14" s="10"/>
      <c r="FD14" s="10"/>
      <c r="FE14" s="10"/>
      <c r="FF14" s="10"/>
      <c r="FG14" s="10"/>
      <c r="FH14" s="10"/>
      <c r="FI14" s="10"/>
      <c r="FJ14" s="10"/>
      <c r="FK14" s="10"/>
      <c r="FL14" s="10"/>
      <c r="FM14" s="10"/>
      <c r="FN14" s="10"/>
      <c r="FO14" s="10"/>
      <c r="FP14" s="42"/>
      <c r="FQ14" s="42"/>
      <c r="FR14" s="42"/>
      <c r="FS14" s="42"/>
      <c r="FT14" s="42"/>
      <c r="FU14" s="42"/>
      <c r="FV14" s="42"/>
      <c r="FW14" s="42"/>
      <c r="FX14" s="42"/>
      <c r="FY14" s="42"/>
      <c r="FZ14" s="42"/>
      <c r="GA14" s="42"/>
      <c r="GB14" s="42"/>
      <c r="GC14" s="42"/>
      <c r="GD14" s="42"/>
      <c r="GE14" s="42"/>
      <c r="GF14" s="10"/>
      <c r="GG14" s="10">
        <v>2</v>
      </c>
      <c r="GH14" s="10" t="s">
        <v>5450</v>
      </c>
      <c r="GI14" s="42"/>
      <c r="GJ14" s="42">
        <v>63.8</v>
      </c>
      <c r="GK14" s="42">
        <v>146.72999999999999</v>
      </c>
      <c r="GL14" s="42"/>
      <c r="GM14" s="42">
        <v>124.79</v>
      </c>
      <c r="GN14" s="42"/>
      <c r="GO14" s="42"/>
      <c r="GP14" s="42"/>
      <c r="GQ14" s="42"/>
      <c r="GR14" s="42"/>
      <c r="GS14" s="42">
        <v>210.17</v>
      </c>
      <c r="GT14" s="42"/>
      <c r="GU14" s="42"/>
      <c r="GV14" s="42"/>
      <c r="GW14" s="42"/>
      <c r="GX14" s="42"/>
      <c r="GY14" s="11">
        <v>0.74</v>
      </c>
      <c r="GZ14" s="10">
        <v>2</v>
      </c>
      <c r="HA14" s="42"/>
      <c r="HB14" s="42">
        <v>17.98</v>
      </c>
      <c r="HC14" s="42">
        <v>41.35</v>
      </c>
      <c r="HD14" s="42"/>
      <c r="HE14" s="42">
        <v>35.22</v>
      </c>
      <c r="HF14" s="42"/>
      <c r="HG14" s="42"/>
      <c r="HH14" s="42"/>
      <c r="HI14" s="42"/>
      <c r="HJ14" s="42"/>
      <c r="HK14" s="42">
        <v>59.31</v>
      </c>
      <c r="HL14" s="42"/>
      <c r="HM14" s="42"/>
      <c r="HN14" s="42"/>
      <c r="HO14" s="42"/>
      <c r="HP14" s="42"/>
      <c r="HQ14" s="11">
        <v>0.56000000000000005</v>
      </c>
      <c r="HR14" s="10" t="s">
        <v>5451</v>
      </c>
      <c r="HS14" s="39">
        <v>500000</v>
      </c>
      <c r="HT14" s="39"/>
      <c r="HU14" s="39"/>
      <c r="HV14" s="10" t="s">
        <v>25</v>
      </c>
      <c r="HW14" s="10" t="s">
        <v>25</v>
      </c>
      <c r="HX14" s="10" t="s">
        <v>5452</v>
      </c>
      <c r="HY14" s="10" t="s">
        <v>5453</v>
      </c>
      <c r="HZ14" s="10" t="s">
        <v>5452</v>
      </c>
      <c r="IA14" s="10" t="s">
        <v>28</v>
      </c>
      <c r="IB14" s="10" t="s">
        <v>5617</v>
      </c>
      <c r="IC14" s="10" t="s">
        <v>13231</v>
      </c>
      <c r="ID14" s="10" t="s">
        <v>5618</v>
      </c>
      <c r="IE14" s="10" t="s">
        <v>13279</v>
      </c>
      <c r="IF14" s="10" t="s">
        <v>13293</v>
      </c>
      <c r="IG14" s="10" t="s">
        <v>13293</v>
      </c>
      <c r="IH14" s="10" t="s">
        <v>72</v>
      </c>
      <c r="II14" s="10" t="s">
        <v>5519</v>
      </c>
      <c r="IJ14" s="10" t="s">
        <v>2692</v>
      </c>
      <c r="IK14" s="10"/>
      <c r="IL14" s="10" t="s">
        <v>5508</v>
      </c>
      <c r="IM14" s="10" t="s">
        <v>5457</v>
      </c>
      <c r="IN14" s="10"/>
      <c r="IO14" s="10" t="s">
        <v>25</v>
      </c>
      <c r="IP14" s="10" t="s">
        <v>28</v>
      </c>
      <c r="IQ14" s="10" t="s">
        <v>5458</v>
      </c>
      <c r="IR14" s="10" t="s">
        <v>5458</v>
      </c>
      <c r="IS14" s="10" t="s">
        <v>5458</v>
      </c>
      <c r="IT14" s="10" t="s">
        <v>5502</v>
      </c>
      <c r="IU14" s="10" t="s">
        <v>5502</v>
      </c>
      <c r="IV14" s="10" t="s">
        <v>5458</v>
      </c>
      <c r="IW14" s="10" t="s">
        <v>5458</v>
      </c>
      <c r="IX14" s="10" t="s">
        <v>5483</v>
      </c>
      <c r="IY14" s="10"/>
      <c r="IZ14" s="10" t="s">
        <v>13772</v>
      </c>
      <c r="JA14" s="10" t="s">
        <v>13301</v>
      </c>
      <c r="JB14" s="10" t="s">
        <v>5504</v>
      </c>
      <c r="JC14" s="10" t="s">
        <v>5504</v>
      </c>
      <c r="JD14" s="10" t="s">
        <v>5462</v>
      </c>
      <c r="JE14" s="10" t="s">
        <v>28</v>
      </c>
      <c r="JF14" s="10" t="s">
        <v>5464</v>
      </c>
      <c r="JG14" s="10" t="s">
        <v>5465</v>
      </c>
      <c r="JH14" s="10" t="s">
        <v>5496</v>
      </c>
    </row>
    <row r="15" spans="1:268" ht="153" x14ac:dyDescent="0.2">
      <c r="A15" s="31" t="s">
        <v>138</v>
      </c>
      <c r="B15" s="9" t="s">
        <v>5494</v>
      </c>
      <c r="C15" s="9"/>
      <c r="D15" s="9" t="s">
        <v>25</v>
      </c>
      <c r="E15" s="9"/>
      <c r="F15" s="9" t="s">
        <v>5467</v>
      </c>
      <c r="G15" s="9"/>
      <c r="H15" s="9">
        <v>32</v>
      </c>
      <c r="I15" s="9">
        <v>1</v>
      </c>
      <c r="J15" s="9">
        <v>31</v>
      </c>
      <c r="K15" s="9" t="s">
        <v>28</v>
      </c>
      <c r="L15" s="9" t="s">
        <v>5468</v>
      </c>
      <c r="M15" s="9" t="s">
        <v>5468</v>
      </c>
      <c r="N15" s="9" t="s">
        <v>5447</v>
      </c>
      <c r="O15" s="9"/>
      <c r="P15" s="9"/>
      <c r="Q15" s="9"/>
      <c r="R15" s="9" t="s">
        <v>13221</v>
      </c>
      <c r="S15" s="11">
        <v>0.03</v>
      </c>
      <c r="T15" s="11">
        <v>0.33</v>
      </c>
      <c r="U15" s="11">
        <v>0.12</v>
      </c>
      <c r="V15" s="10"/>
      <c r="W15" s="11"/>
      <c r="X15" s="11">
        <v>0.04</v>
      </c>
      <c r="Y15" s="11">
        <v>0.04</v>
      </c>
      <c r="Z15" s="11">
        <v>0.01</v>
      </c>
      <c r="AA15" s="10"/>
      <c r="AB15" s="10"/>
      <c r="AC15" s="11"/>
      <c r="AD15" s="11">
        <v>0.13</v>
      </c>
      <c r="AE15" s="11">
        <v>0.21</v>
      </c>
      <c r="AF15" s="11">
        <v>0.09</v>
      </c>
      <c r="AG15" s="10"/>
      <c r="AH15" s="10"/>
      <c r="AI15" s="36">
        <v>3</v>
      </c>
      <c r="AJ15" s="33">
        <v>0.05</v>
      </c>
      <c r="AK15" s="33">
        <v>0.05</v>
      </c>
      <c r="AL15" s="33">
        <v>0.12</v>
      </c>
      <c r="AM15" s="33"/>
      <c r="AN15" s="33"/>
      <c r="AO15" s="33">
        <v>4.2000000000000003E-2</v>
      </c>
      <c r="AP15" s="33">
        <v>5.2999999999999999E-2</v>
      </c>
      <c r="AQ15" s="33">
        <v>0.12</v>
      </c>
      <c r="AR15" s="33"/>
      <c r="AS15" s="33"/>
      <c r="AT15" s="11">
        <v>0.8</v>
      </c>
      <c r="AU15" s="11">
        <v>0.8</v>
      </c>
      <c r="AV15" s="11">
        <v>0.62</v>
      </c>
      <c r="AW15" s="11">
        <v>0.62</v>
      </c>
      <c r="AX15" s="11">
        <v>0.81</v>
      </c>
      <c r="AY15" s="11">
        <v>0.81</v>
      </c>
      <c r="AZ15" s="11">
        <v>0.8</v>
      </c>
      <c r="BA15" s="11">
        <v>0.8</v>
      </c>
      <c r="BB15" s="11">
        <v>0.62</v>
      </c>
      <c r="BC15" s="11">
        <v>0.62</v>
      </c>
      <c r="BD15" s="11">
        <v>0.81</v>
      </c>
      <c r="BE15" s="11">
        <v>0.81</v>
      </c>
      <c r="BF15" s="10" t="s">
        <v>25</v>
      </c>
      <c r="BG15" s="10" t="s">
        <v>25</v>
      </c>
      <c r="BH15" s="39"/>
      <c r="BI15" s="10" t="s">
        <v>25</v>
      </c>
      <c r="BJ15" s="39"/>
      <c r="BK15" s="10" t="s">
        <v>25</v>
      </c>
      <c r="BL15" s="39"/>
      <c r="BM15" s="10" t="s">
        <v>25</v>
      </c>
      <c r="BN15" s="39"/>
      <c r="BO15" s="10" t="s">
        <v>25</v>
      </c>
      <c r="BP15" s="39"/>
      <c r="BQ15" s="10" t="s">
        <v>5479</v>
      </c>
      <c r="BR15" s="42">
        <v>0</v>
      </c>
      <c r="BS15" s="42">
        <v>840.56</v>
      </c>
      <c r="BT15" s="42">
        <v>2031.36</v>
      </c>
      <c r="BU15" s="42"/>
      <c r="BV15" s="42"/>
      <c r="BW15" s="42">
        <v>1291.43</v>
      </c>
      <c r="BX15" s="42">
        <v>1742.4</v>
      </c>
      <c r="BY15" s="42">
        <v>2263.67</v>
      </c>
      <c r="BZ15" s="42"/>
      <c r="CA15" s="42"/>
      <c r="CB15" s="42"/>
      <c r="CC15" s="42">
        <v>2482.12</v>
      </c>
      <c r="CD15" s="42">
        <v>2933.15</v>
      </c>
      <c r="CE15" s="42">
        <v>3582.41</v>
      </c>
      <c r="CF15" s="42"/>
      <c r="CG15" s="42"/>
      <c r="CH15" s="11">
        <v>0.81</v>
      </c>
      <c r="CI15" s="42"/>
      <c r="CJ15" s="42"/>
      <c r="CK15" s="42"/>
      <c r="CL15" s="42"/>
      <c r="CM15" s="42"/>
      <c r="CN15" s="42"/>
      <c r="CO15" s="42"/>
      <c r="CP15" s="42"/>
      <c r="CQ15" s="42"/>
      <c r="CR15" s="42"/>
      <c r="CS15" s="42"/>
      <c r="CT15" s="42"/>
      <c r="CU15" s="42"/>
      <c r="CV15" s="42"/>
      <c r="CW15" s="42"/>
      <c r="CX15" s="42"/>
      <c r="CY15" s="11"/>
      <c r="CZ15" s="42">
        <v>0</v>
      </c>
      <c r="DA15" s="42">
        <v>538.29</v>
      </c>
      <c r="DB15" s="42">
        <v>1300.8699999999999</v>
      </c>
      <c r="DC15" s="42"/>
      <c r="DD15" s="42"/>
      <c r="DE15" s="42">
        <v>827.02</v>
      </c>
      <c r="DF15" s="42">
        <v>1115.82</v>
      </c>
      <c r="DG15" s="42">
        <v>1531.63</v>
      </c>
      <c r="DH15" s="42"/>
      <c r="DI15" s="42"/>
      <c r="DJ15" s="42"/>
      <c r="DK15" s="42">
        <v>1589.53</v>
      </c>
      <c r="DL15" s="42">
        <v>1878.37</v>
      </c>
      <c r="DM15" s="42">
        <v>2294.15</v>
      </c>
      <c r="DN15" s="42"/>
      <c r="DO15" s="42"/>
      <c r="DP15" s="11">
        <v>0.83</v>
      </c>
      <c r="DQ15" s="42">
        <v>0</v>
      </c>
      <c r="DR15" s="42">
        <v>591.41</v>
      </c>
      <c r="DS15" s="42">
        <v>1564.64</v>
      </c>
      <c r="DT15" s="42"/>
      <c r="DU15" s="42"/>
      <c r="DV15" s="42">
        <v>999.27</v>
      </c>
      <c r="DW15" s="42">
        <v>1334.55</v>
      </c>
      <c r="DX15" s="42">
        <v>1827.61</v>
      </c>
      <c r="DY15" s="42"/>
      <c r="DZ15" s="42"/>
      <c r="EA15" s="42"/>
      <c r="EB15" s="42">
        <v>1906.5</v>
      </c>
      <c r="EC15" s="42">
        <v>2241.7800000000002</v>
      </c>
      <c r="ED15" s="42">
        <v>2734.84</v>
      </c>
      <c r="EE15" s="42"/>
      <c r="EF15" s="42"/>
      <c r="EG15" s="11">
        <v>0.76</v>
      </c>
      <c r="EH15" s="42"/>
      <c r="EI15" s="42"/>
      <c r="EJ15" s="42"/>
      <c r="EK15" s="42"/>
      <c r="EL15" s="42"/>
      <c r="EM15" s="42"/>
      <c r="EN15" s="42"/>
      <c r="EO15" s="42"/>
      <c r="EP15" s="42"/>
      <c r="EQ15" s="42"/>
      <c r="ER15" s="42"/>
      <c r="ES15" s="42"/>
      <c r="ET15" s="42"/>
      <c r="EU15" s="42"/>
      <c r="EV15" s="42"/>
      <c r="EW15" s="42"/>
      <c r="EX15" s="10"/>
      <c r="EY15" s="10"/>
      <c r="EZ15" s="10"/>
      <c r="FA15" s="10"/>
      <c r="FB15" s="10"/>
      <c r="FC15" s="10"/>
      <c r="FD15" s="10"/>
      <c r="FE15" s="10"/>
      <c r="FF15" s="10"/>
      <c r="FG15" s="10"/>
      <c r="FH15" s="10"/>
      <c r="FI15" s="10"/>
      <c r="FJ15" s="10"/>
      <c r="FK15" s="10"/>
      <c r="FL15" s="10"/>
      <c r="FM15" s="10"/>
      <c r="FN15" s="10"/>
      <c r="FO15" s="10"/>
      <c r="FP15" s="42"/>
      <c r="FQ15" s="42"/>
      <c r="FR15" s="42"/>
      <c r="FS15" s="42"/>
      <c r="FT15" s="42"/>
      <c r="FU15" s="42"/>
      <c r="FV15" s="42"/>
      <c r="FW15" s="42"/>
      <c r="FX15" s="42"/>
      <c r="FY15" s="42"/>
      <c r="FZ15" s="42"/>
      <c r="GA15" s="42"/>
      <c r="GB15" s="42"/>
      <c r="GC15" s="42"/>
      <c r="GD15" s="42"/>
      <c r="GE15" s="42"/>
      <c r="GF15" s="10"/>
      <c r="GG15" s="10">
        <v>2</v>
      </c>
      <c r="GH15" s="10" t="s">
        <v>5450</v>
      </c>
      <c r="GI15" s="42">
        <v>0</v>
      </c>
      <c r="GJ15" s="42">
        <v>48.07</v>
      </c>
      <c r="GK15" s="42">
        <v>97.8</v>
      </c>
      <c r="GL15" s="42"/>
      <c r="GM15" s="42"/>
      <c r="GN15" s="42">
        <v>78.58</v>
      </c>
      <c r="GO15" s="42">
        <v>109.07</v>
      </c>
      <c r="GP15" s="42">
        <v>153.01</v>
      </c>
      <c r="GQ15" s="42"/>
      <c r="GR15" s="42"/>
      <c r="GS15" s="42"/>
      <c r="GT15" s="42">
        <v>128.27000000000001</v>
      </c>
      <c r="GU15" s="42">
        <v>158.77000000000001</v>
      </c>
      <c r="GV15" s="42">
        <v>202.73</v>
      </c>
      <c r="GW15" s="42"/>
      <c r="GX15" s="42"/>
      <c r="GY15" s="11">
        <v>0.62</v>
      </c>
      <c r="GZ15" s="10">
        <v>2</v>
      </c>
      <c r="HA15" s="42">
        <v>0</v>
      </c>
      <c r="HB15" s="42">
        <v>6.48</v>
      </c>
      <c r="HC15" s="42">
        <v>12.96</v>
      </c>
      <c r="HD15" s="42"/>
      <c r="HE15" s="42"/>
      <c r="HF15" s="42">
        <v>8.11</v>
      </c>
      <c r="HG15" s="42">
        <v>9.73</v>
      </c>
      <c r="HH15" s="42">
        <v>11.67</v>
      </c>
      <c r="HI15" s="42"/>
      <c r="HJ15" s="42"/>
      <c r="HK15" s="42"/>
      <c r="HL15" s="42">
        <v>14.59</v>
      </c>
      <c r="HM15" s="42">
        <v>16.21</v>
      </c>
      <c r="HN15" s="42">
        <v>18.149999999999999</v>
      </c>
      <c r="HO15" s="42"/>
      <c r="HP15" s="42"/>
      <c r="HQ15" s="11">
        <v>0.64</v>
      </c>
      <c r="HR15" s="10" t="s">
        <v>25</v>
      </c>
      <c r="HS15" s="39"/>
      <c r="HT15" s="39"/>
      <c r="HU15" s="39"/>
      <c r="HV15" s="10"/>
      <c r="HW15" s="10"/>
      <c r="HX15" s="10" t="s">
        <v>5452</v>
      </c>
      <c r="HY15" s="10" t="s">
        <v>5452</v>
      </c>
      <c r="HZ15" s="10" t="s">
        <v>5452</v>
      </c>
      <c r="IA15" s="10" t="s">
        <v>25</v>
      </c>
      <c r="IB15" s="10"/>
      <c r="IC15" s="10" t="s">
        <v>5580</v>
      </c>
      <c r="ID15" s="10" t="s">
        <v>13238</v>
      </c>
      <c r="IE15" s="10" t="s">
        <v>13277</v>
      </c>
      <c r="IF15" s="10" t="s">
        <v>72</v>
      </c>
      <c r="IG15" s="10" t="s">
        <v>72</v>
      </c>
      <c r="IH15" s="10" t="s">
        <v>72</v>
      </c>
      <c r="II15" s="10" t="s">
        <v>72</v>
      </c>
      <c r="IJ15" s="10" t="s">
        <v>2692</v>
      </c>
      <c r="IK15" s="10"/>
      <c r="IL15" s="10" t="s">
        <v>25</v>
      </c>
      <c r="IM15" s="10" t="s">
        <v>2758</v>
      </c>
      <c r="IN15" s="10"/>
      <c r="IO15" s="10" t="s">
        <v>25</v>
      </c>
      <c r="IP15" s="10" t="s">
        <v>2201</v>
      </c>
      <c r="IQ15" s="10" t="s">
        <v>5458</v>
      </c>
      <c r="IR15" s="10" t="s">
        <v>5458</v>
      </c>
      <c r="IS15" s="10" t="s">
        <v>5458</v>
      </c>
      <c r="IT15" s="10" t="s">
        <v>5474</v>
      </c>
      <c r="IU15" s="10" t="s">
        <v>5474</v>
      </c>
      <c r="IV15" s="10" t="s">
        <v>5458</v>
      </c>
      <c r="IW15" s="10" t="s">
        <v>5458</v>
      </c>
      <c r="IX15" s="10" t="s">
        <v>5483</v>
      </c>
      <c r="IY15" s="10"/>
      <c r="IZ15" s="10" t="s">
        <v>5581</v>
      </c>
      <c r="JA15" s="10" t="s">
        <v>13301</v>
      </c>
      <c r="JB15" s="10" t="s">
        <v>5461</v>
      </c>
      <c r="JC15" s="10" t="s">
        <v>5461</v>
      </c>
      <c r="JD15" s="10" t="s">
        <v>5477</v>
      </c>
      <c r="JE15" s="10" t="s">
        <v>5463</v>
      </c>
      <c r="JF15" s="10" t="s">
        <v>5478</v>
      </c>
      <c r="JG15" s="10" t="s">
        <v>5465</v>
      </c>
      <c r="JH15" s="10" t="s">
        <v>5496</v>
      </c>
    </row>
    <row r="16" spans="1:268" ht="114.75" x14ac:dyDescent="0.2">
      <c r="A16" s="31" t="s">
        <v>118</v>
      </c>
      <c r="B16" s="9" t="s">
        <v>2185</v>
      </c>
      <c r="C16" s="9"/>
      <c r="D16" s="9" t="s">
        <v>25</v>
      </c>
      <c r="E16" s="9"/>
      <c r="F16" s="9" t="s">
        <v>5467</v>
      </c>
      <c r="G16" s="9"/>
      <c r="H16" s="9">
        <v>20</v>
      </c>
      <c r="I16" s="9">
        <v>20</v>
      </c>
      <c r="J16" s="9">
        <v>40</v>
      </c>
      <c r="K16" s="9" t="s">
        <v>28</v>
      </c>
      <c r="L16" s="9" t="s">
        <v>5468</v>
      </c>
      <c r="M16" s="9" t="s">
        <v>5468</v>
      </c>
      <c r="N16" s="9"/>
      <c r="O16" s="9"/>
      <c r="P16" s="9"/>
      <c r="Q16" s="9"/>
      <c r="R16" s="9" t="s">
        <v>5469</v>
      </c>
      <c r="S16" s="11">
        <v>0.15</v>
      </c>
      <c r="T16" s="11">
        <v>0.4</v>
      </c>
      <c r="U16" s="11">
        <v>0.15</v>
      </c>
      <c r="V16" s="10"/>
      <c r="W16" s="11">
        <v>0.08</v>
      </c>
      <c r="X16" s="10"/>
      <c r="Y16" s="10"/>
      <c r="Z16" s="10"/>
      <c r="AA16" s="10"/>
      <c r="AB16" s="10"/>
      <c r="AC16" s="11">
        <v>0.22</v>
      </c>
      <c r="AD16" s="10"/>
      <c r="AE16" s="10"/>
      <c r="AF16" s="10"/>
      <c r="AG16" s="10"/>
      <c r="AH16" s="10"/>
      <c r="AI16" s="36">
        <v>2</v>
      </c>
      <c r="AJ16" s="33">
        <v>0.06</v>
      </c>
      <c r="AK16" s="33">
        <v>0.09</v>
      </c>
      <c r="AL16" s="33">
        <v>0.12</v>
      </c>
      <c r="AM16" s="33">
        <v>0.06</v>
      </c>
      <c r="AN16" s="33">
        <v>3.4000000000000002E-2</v>
      </c>
      <c r="AO16" s="33">
        <v>0.06</v>
      </c>
      <c r="AP16" s="33">
        <v>0.08</v>
      </c>
      <c r="AQ16" s="33">
        <v>0.11</v>
      </c>
      <c r="AR16" s="33">
        <v>0.06</v>
      </c>
      <c r="AS16" s="33">
        <v>6.0999999999999999E-2</v>
      </c>
      <c r="AT16" s="11">
        <v>0.93</v>
      </c>
      <c r="AU16" s="11">
        <v>0</v>
      </c>
      <c r="AV16" s="11">
        <v>0.64</v>
      </c>
      <c r="AW16" s="11">
        <v>0</v>
      </c>
      <c r="AX16" s="11">
        <v>0.25</v>
      </c>
      <c r="AY16" s="11">
        <v>0</v>
      </c>
      <c r="AZ16" s="11">
        <v>0.89</v>
      </c>
      <c r="BA16" s="11">
        <v>0</v>
      </c>
      <c r="BB16" s="11">
        <v>0.57999999999999996</v>
      </c>
      <c r="BC16" s="11">
        <v>0</v>
      </c>
      <c r="BD16" s="11">
        <v>0.1</v>
      </c>
      <c r="BE16" s="11">
        <v>0</v>
      </c>
      <c r="BF16" s="10" t="s">
        <v>25</v>
      </c>
      <c r="BG16" s="10" t="s">
        <v>25</v>
      </c>
      <c r="BH16" s="39"/>
      <c r="BI16" s="10" t="s">
        <v>25</v>
      </c>
      <c r="BJ16" s="39"/>
      <c r="BK16" s="10" t="s">
        <v>25</v>
      </c>
      <c r="BL16" s="39"/>
      <c r="BM16" s="10" t="s">
        <v>25</v>
      </c>
      <c r="BN16" s="39"/>
      <c r="BO16" s="10" t="s">
        <v>28</v>
      </c>
      <c r="BP16" s="39">
        <v>1200</v>
      </c>
      <c r="BQ16" s="10" t="s">
        <v>5470</v>
      </c>
      <c r="BR16" s="42"/>
      <c r="BS16" s="42"/>
      <c r="BT16" s="42"/>
      <c r="BU16" s="42"/>
      <c r="BV16" s="42"/>
      <c r="BW16" s="42"/>
      <c r="BX16" s="42"/>
      <c r="BY16" s="42"/>
      <c r="BZ16" s="42"/>
      <c r="CA16" s="42"/>
      <c r="CB16" s="42"/>
      <c r="CC16" s="42"/>
      <c r="CD16" s="42"/>
      <c r="CE16" s="42"/>
      <c r="CF16" s="42"/>
      <c r="CG16" s="42"/>
      <c r="CH16" s="11"/>
      <c r="CI16" s="42"/>
      <c r="CJ16" s="42"/>
      <c r="CK16" s="42"/>
      <c r="CL16" s="42"/>
      <c r="CM16" s="42"/>
      <c r="CN16" s="42"/>
      <c r="CO16" s="42"/>
      <c r="CP16" s="42"/>
      <c r="CQ16" s="42"/>
      <c r="CR16" s="42"/>
      <c r="CS16" s="42"/>
      <c r="CT16" s="42"/>
      <c r="CU16" s="42"/>
      <c r="CV16" s="42"/>
      <c r="CW16" s="42"/>
      <c r="CX16" s="42"/>
      <c r="CY16" s="11"/>
      <c r="CZ16" s="42">
        <v>0</v>
      </c>
      <c r="DA16" s="42">
        <v>676.34</v>
      </c>
      <c r="DB16" s="42">
        <v>1592.76</v>
      </c>
      <c r="DC16" s="42"/>
      <c r="DD16" s="42">
        <v>1223.6300000000001</v>
      </c>
      <c r="DE16" s="42"/>
      <c r="DF16" s="42"/>
      <c r="DG16" s="42"/>
      <c r="DH16" s="42"/>
      <c r="DI16" s="42"/>
      <c r="DJ16" s="42">
        <v>2297.4899999999998</v>
      </c>
      <c r="DK16" s="42"/>
      <c r="DL16" s="42"/>
      <c r="DM16" s="42"/>
      <c r="DN16" s="42"/>
      <c r="DO16" s="42"/>
      <c r="DP16" s="11">
        <v>0.86</v>
      </c>
      <c r="DQ16" s="42">
        <v>0</v>
      </c>
      <c r="DR16" s="42">
        <v>611.98</v>
      </c>
      <c r="DS16" s="42">
        <v>1285.1600000000001</v>
      </c>
      <c r="DT16" s="42"/>
      <c r="DU16" s="42">
        <v>1101.56</v>
      </c>
      <c r="DV16" s="42"/>
      <c r="DW16" s="42"/>
      <c r="DX16" s="42"/>
      <c r="DY16" s="42"/>
      <c r="DZ16" s="42"/>
      <c r="EA16" s="42">
        <v>1774.74</v>
      </c>
      <c r="EB16" s="42"/>
      <c r="EC16" s="42"/>
      <c r="ED16" s="42"/>
      <c r="EE16" s="42"/>
      <c r="EF16" s="42"/>
      <c r="EG16" s="11">
        <v>0.79</v>
      </c>
      <c r="EH16" s="42"/>
      <c r="EI16" s="42"/>
      <c r="EJ16" s="42"/>
      <c r="EK16" s="42"/>
      <c r="EL16" s="42"/>
      <c r="EM16" s="42"/>
      <c r="EN16" s="42"/>
      <c r="EO16" s="42"/>
      <c r="EP16" s="42"/>
      <c r="EQ16" s="42"/>
      <c r="ER16" s="42"/>
      <c r="ES16" s="42"/>
      <c r="ET16" s="42"/>
      <c r="EU16" s="42"/>
      <c r="EV16" s="42"/>
      <c r="EW16" s="42"/>
      <c r="EX16" s="10"/>
      <c r="EY16" s="10"/>
      <c r="EZ16" s="10"/>
      <c r="FA16" s="10"/>
      <c r="FB16" s="10"/>
      <c r="FC16" s="10"/>
      <c r="FD16" s="10"/>
      <c r="FE16" s="10"/>
      <c r="FF16" s="10"/>
      <c r="FG16" s="10"/>
      <c r="FH16" s="10"/>
      <c r="FI16" s="10"/>
      <c r="FJ16" s="10"/>
      <c r="FK16" s="10"/>
      <c r="FL16" s="10"/>
      <c r="FM16" s="10"/>
      <c r="FN16" s="10"/>
      <c r="FO16" s="10"/>
      <c r="FP16" s="42"/>
      <c r="FQ16" s="42"/>
      <c r="FR16" s="42"/>
      <c r="FS16" s="42"/>
      <c r="FT16" s="42"/>
      <c r="FU16" s="42"/>
      <c r="FV16" s="42"/>
      <c r="FW16" s="42"/>
      <c r="FX16" s="42"/>
      <c r="FY16" s="42"/>
      <c r="FZ16" s="42"/>
      <c r="GA16" s="42"/>
      <c r="GB16" s="42"/>
      <c r="GC16" s="42"/>
      <c r="GD16" s="42"/>
      <c r="GE16" s="42"/>
      <c r="GF16" s="10"/>
      <c r="GG16" s="10">
        <v>1</v>
      </c>
      <c r="GH16" s="10" t="s">
        <v>5450</v>
      </c>
      <c r="GI16" s="42">
        <v>0</v>
      </c>
      <c r="GJ16" s="42">
        <v>43.94</v>
      </c>
      <c r="GK16" s="42">
        <v>87.88</v>
      </c>
      <c r="GL16" s="42"/>
      <c r="GM16" s="42">
        <v>103.26</v>
      </c>
      <c r="GN16" s="42"/>
      <c r="GO16" s="42"/>
      <c r="GP16" s="42"/>
      <c r="GQ16" s="42"/>
      <c r="GR16" s="42"/>
      <c r="GS16" s="42">
        <v>162.58000000000001</v>
      </c>
      <c r="GT16" s="42"/>
      <c r="GU16" s="42"/>
      <c r="GV16" s="42"/>
      <c r="GW16" s="42"/>
      <c r="GX16" s="42"/>
      <c r="GY16" s="11">
        <v>0.59</v>
      </c>
      <c r="GZ16" s="10">
        <v>1</v>
      </c>
      <c r="HA16" s="42">
        <v>0</v>
      </c>
      <c r="HB16" s="42">
        <v>7.68</v>
      </c>
      <c r="HC16" s="42">
        <v>13.63</v>
      </c>
      <c r="HD16" s="42"/>
      <c r="HE16" s="42">
        <v>18.149999999999999</v>
      </c>
      <c r="HF16" s="42"/>
      <c r="HG16" s="42"/>
      <c r="HH16" s="42"/>
      <c r="HI16" s="42"/>
      <c r="HJ16" s="42"/>
      <c r="HK16" s="42">
        <v>29.01</v>
      </c>
      <c r="HL16" s="42"/>
      <c r="HM16" s="42"/>
      <c r="HN16" s="42"/>
      <c r="HO16" s="42"/>
      <c r="HP16" s="42"/>
      <c r="HQ16" s="11">
        <v>0.13</v>
      </c>
      <c r="HR16" s="10" t="s">
        <v>25</v>
      </c>
      <c r="HS16" s="39"/>
      <c r="HT16" s="39"/>
      <c r="HU16" s="39"/>
      <c r="HV16" s="10"/>
      <c r="HW16" s="10"/>
      <c r="HX16" s="10" t="s">
        <v>5452</v>
      </c>
      <c r="HY16" s="10" t="s">
        <v>5452</v>
      </c>
      <c r="HZ16" s="10" t="s">
        <v>5453</v>
      </c>
      <c r="IA16" s="10" t="s">
        <v>25</v>
      </c>
      <c r="IB16" s="10"/>
      <c r="IC16" s="10" t="s">
        <v>5471</v>
      </c>
      <c r="ID16" s="10" t="s">
        <v>5471</v>
      </c>
      <c r="IE16" s="10" t="s">
        <v>72</v>
      </c>
      <c r="IF16" s="10" t="s">
        <v>72</v>
      </c>
      <c r="IG16" s="10" t="s">
        <v>72</v>
      </c>
      <c r="IH16" s="10" t="s">
        <v>72</v>
      </c>
      <c r="II16" s="10" t="s">
        <v>72</v>
      </c>
      <c r="IJ16" s="10" t="s">
        <v>2692</v>
      </c>
      <c r="IK16" s="10"/>
      <c r="IL16" s="10" t="s">
        <v>25</v>
      </c>
      <c r="IM16" s="10" t="s">
        <v>2692</v>
      </c>
      <c r="IN16" s="10"/>
      <c r="IO16" s="10" t="s">
        <v>5472</v>
      </c>
      <c r="IP16" s="10" t="s">
        <v>28</v>
      </c>
      <c r="IQ16" s="10" t="s">
        <v>5473</v>
      </c>
      <c r="IR16" s="10" t="s">
        <v>5458</v>
      </c>
      <c r="IS16" s="10" t="s">
        <v>5459</v>
      </c>
      <c r="IT16" s="10" t="s">
        <v>5459</v>
      </c>
      <c r="IU16" s="10" t="s">
        <v>5474</v>
      </c>
      <c r="IV16" s="10" t="s">
        <v>5458</v>
      </c>
      <c r="IW16" s="10" t="s">
        <v>5458</v>
      </c>
      <c r="IX16" s="10" t="s">
        <v>5460</v>
      </c>
      <c r="IY16" s="10"/>
      <c r="IZ16" s="10" t="s">
        <v>5475</v>
      </c>
      <c r="JA16" s="10" t="s">
        <v>13301</v>
      </c>
      <c r="JB16" s="10" t="s">
        <v>5476</v>
      </c>
      <c r="JC16" s="10" t="s">
        <v>5476</v>
      </c>
      <c r="JD16" s="10" t="s">
        <v>5477</v>
      </c>
      <c r="JE16" s="10" t="s">
        <v>28</v>
      </c>
      <c r="JF16" s="10" t="s">
        <v>5478</v>
      </c>
      <c r="JG16" s="10" t="s">
        <v>13302</v>
      </c>
      <c r="JH16" s="10" t="s">
        <v>5466</v>
      </c>
    </row>
    <row r="17" spans="1:268" ht="127.5" x14ac:dyDescent="0.2">
      <c r="A17" s="31" t="s">
        <v>134</v>
      </c>
      <c r="B17" s="9" t="s">
        <v>5494</v>
      </c>
      <c r="C17" s="9"/>
      <c r="D17" s="9" t="s">
        <v>25</v>
      </c>
      <c r="E17" s="9"/>
      <c r="F17" s="9" t="s">
        <v>5467</v>
      </c>
      <c r="G17" s="9"/>
      <c r="H17" s="9">
        <v>40</v>
      </c>
      <c r="I17" s="9">
        <v>20</v>
      </c>
      <c r="J17" s="9">
        <v>40</v>
      </c>
      <c r="K17" s="9" t="s">
        <v>28</v>
      </c>
      <c r="L17" s="9" t="s">
        <v>5468</v>
      </c>
      <c r="M17" s="9" t="s">
        <v>5468</v>
      </c>
      <c r="N17" s="9" t="s">
        <v>5529</v>
      </c>
      <c r="O17" s="9" t="s">
        <v>5447</v>
      </c>
      <c r="P17" s="9" t="s">
        <v>5447</v>
      </c>
      <c r="Q17" s="9" t="s">
        <v>5447</v>
      </c>
      <c r="R17" s="9" t="s">
        <v>5469</v>
      </c>
      <c r="S17" s="11">
        <v>0.02</v>
      </c>
      <c r="T17" s="11">
        <v>0.51</v>
      </c>
      <c r="U17" s="11">
        <v>0.12</v>
      </c>
      <c r="V17" s="10"/>
      <c r="W17" s="11">
        <v>0.05</v>
      </c>
      <c r="X17" s="10"/>
      <c r="Y17" s="10"/>
      <c r="Z17" s="10"/>
      <c r="AA17" s="10"/>
      <c r="AB17" s="10"/>
      <c r="AC17" s="11">
        <v>0.3</v>
      </c>
      <c r="AD17" s="10"/>
      <c r="AE17" s="10"/>
      <c r="AF17" s="10"/>
      <c r="AG17" s="10"/>
      <c r="AH17" s="10"/>
      <c r="AI17" s="36">
        <v>2</v>
      </c>
      <c r="AJ17" s="33">
        <v>0.05</v>
      </c>
      <c r="AK17" s="33">
        <v>0.12</v>
      </c>
      <c r="AL17" s="33">
        <v>0.18</v>
      </c>
      <c r="AM17" s="33">
        <v>0.05</v>
      </c>
      <c r="AN17" s="33">
        <v>3.5000000000000003E-2</v>
      </c>
      <c r="AO17" s="33"/>
      <c r="AP17" s="33"/>
      <c r="AQ17" s="33"/>
      <c r="AR17" s="33"/>
      <c r="AS17" s="33"/>
      <c r="AT17" s="11">
        <v>0.98</v>
      </c>
      <c r="AU17" s="11">
        <v>0.98</v>
      </c>
      <c r="AV17" s="11">
        <v>0.84</v>
      </c>
      <c r="AW17" s="11">
        <v>0.84</v>
      </c>
      <c r="AX17" s="11">
        <v>0.84</v>
      </c>
      <c r="AY17" s="11">
        <v>0.84</v>
      </c>
      <c r="AZ17" s="11">
        <v>0.85</v>
      </c>
      <c r="BA17" s="11">
        <v>0.85</v>
      </c>
      <c r="BB17" s="11">
        <v>0.81</v>
      </c>
      <c r="BC17" s="11">
        <v>0.81</v>
      </c>
      <c r="BD17" s="11">
        <v>0.81</v>
      </c>
      <c r="BE17" s="11">
        <v>0.81</v>
      </c>
      <c r="BF17" s="10" t="s">
        <v>25</v>
      </c>
      <c r="BG17" s="10" t="s">
        <v>25</v>
      </c>
      <c r="BH17" s="39"/>
      <c r="BI17" s="10" t="s">
        <v>25</v>
      </c>
      <c r="BJ17" s="39"/>
      <c r="BK17" s="10" t="s">
        <v>25</v>
      </c>
      <c r="BL17" s="39"/>
      <c r="BM17" s="10" t="s">
        <v>25</v>
      </c>
      <c r="BN17" s="39"/>
      <c r="BO17" s="10" t="s">
        <v>25</v>
      </c>
      <c r="BP17" s="39"/>
      <c r="BQ17" s="10" t="s">
        <v>5530</v>
      </c>
      <c r="BR17" s="42">
        <v>0</v>
      </c>
      <c r="BS17" s="42">
        <v>769</v>
      </c>
      <c r="BT17" s="42">
        <v>1615</v>
      </c>
      <c r="BU17" s="42"/>
      <c r="BV17" s="42">
        <v>1422</v>
      </c>
      <c r="BW17" s="42"/>
      <c r="BX17" s="42"/>
      <c r="BY17" s="42"/>
      <c r="BZ17" s="42"/>
      <c r="CA17" s="42"/>
      <c r="CB17" s="42">
        <v>2230</v>
      </c>
      <c r="CC17" s="42"/>
      <c r="CD17" s="42"/>
      <c r="CE17" s="42"/>
      <c r="CF17" s="42"/>
      <c r="CG17" s="42"/>
      <c r="CH17" s="11">
        <v>0.85</v>
      </c>
      <c r="CI17" s="42">
        <v>0</v>
      </c>
      <c r="CJ17" s="42">
        <v>762</v>
      </c>
      <c r="CK17" s="42">
        <v>1598</v>
      </c>
      <c r="CL17" s="42"/>
      <c r="CM17" s="42">
        <v>1408</v>
      </c>
      <c r="CN17" s="42"/>
      <c r="CO17" s="42"/>
      <c r="CP17" s="42"/>
      <c r="CQ17" s="42"/>
      <c r="CR17" s="42"/>
      <c r="CS17" s="42">
        <v>2207</v>
      </c>
      <c r="CT17" s="42"/>
      <c r="CU17" s="42"/>
      <c r="CV17" s="42"/>
      <c r="CW17" s="42"/>
      <c r="CX17" s="42"/>
      <c r="CY17" s="11">
        <v>0.8</v>
      </c>
      <c r="CZ17" s="42">
        <v>0</v>
      </c>
      <c r="DA17" s="42">
        <v>788</v>
      </c>
      <c r="DB17" s="42">
        <v>1654</v>
      </c>
      <c r="DC17" s="42"/>
      <c r="DD17" s="42">
        <v>1457</v>
      </c>
      <c r="DE17" s="42"/>
      <c r="DF17" s="42"/>
      <c r="DG17" s="42"/>
      <c r="DH17" s="42"/>
      <c r="DI17" s="42"/>
      <c r="DJ17" s="42">
        <v>2284</v>
      </c>
      <c r="DK17" s="42"/>
      <c r="DL17" s="42"/>
      <c r="DM17" s="42"/>
      <c r="DN17" s="42"/>
      <c r="DO17" s="42"/>
      <c r="DP17" s="11">
        <v>0.9</v>
      </c>
      <c r="DQ17" s="42"/>
      <c r="DR17" s="42"/>
      <c r="DS17" s="42"/>
      <c r="DT17" s="42"/>
      <c r="DU17" s="42"/>
      <c r="DV17" s="42"/>
      <c r="DW17" s="42"/>
      <c r="DX17" s="42"/>
      <c r="DY17" s="42"/>
      <c r="DZ17" s="42"/>
      <c r="EA17" s="42"/>
      <c r="EB17" s="42"/>
      <c r="EC17" s="42"/>
      <c r="ED17" s="42"/>
      <c r="EE17" s="42"/>
      <c r="EF17" s="42"/>
      <c r="EG17" s="11">
        <v>0.81</v>
      </c>
      <c r="EH17" s="42"/>
      <c r="EI17" s="42"/>
      <c r="EJ17" s="42"/>
      <c r="EK17" s="42"/>
      <c r="EL17" s="42"/>
      <c r="EM17" s="42"/>
      <c r="EN17" s="42"/>
      <c r="EO17" s="42"/>
      <c r="EP17" s="42"/>
      <c r="EQ17" s="42"/>
      <c r="ER17" s="42"/>
      <c r="ES17" s="42"/>
      <c r="ET17" s="42"/>
      <c r="EU17" s="42"/>
      <c r="EV17" s="42"/>
      <c r="EW17" s="42"/>
      <c r="EX17" s="10"/>
      <c r="EY17" s="10"/>
      <c r="EZ17" s="10"/>
      <c r="FA17" s="10"/>
      <c r="FB17" s="10"/>
      <c r="FC17" s="10"/>
      <c r="FD17" s="10"/>
      <c r="FE17" s="10"/>
      <c r="FF17" s="10"/>
      <c r="FG17" s="10"/>
      <c r="FH17" s="10"/>
      <c r="FI17" s="10"/>
      <c r="FJ17" s="10"/>
      <c r="FK17" s="10"/>
      <c r="FL17" s="10"/>
      <c r="FM17" s="10"/>
      <c r="FN17" s="10"/>
      <c r="FO17" s="10"/>
      <c r="FP17" s="42"/>
      <c r="FQ17" s="42"/>
      <c r="FR17" s="42"/>
      <c r="FS17" s="42"/>
      <c r="FT17" s="42"/>
      <c r="FU17" s="42"/>
      <c r="FV17" s="42"/>
      <c r="FW17" s="42"/>
      <c r="FX17" s="42"/>
      <c r="FY17" s="42"/>
      <c r="FZ17" s="42"/>
      <c r="GA17" s="42"/>
      <c r="GB17" s="42"/>
      <c r="GC17" s="42"/>
      <c r="GD17" s="42"/>
      <c r="GE17" s="42"/>
      <c r="GF17" s="10"/>
      <c r="GG17" s="10">
        <v>1</v>
      </c>
      <c r="GH17" s="10" t="s">
        <v>5450</v>
      </c>
      <c r="GI17" s="42">
        <v>0</v>
      </c>
      <c r="GJ17" s="42">
        <v>58</v>
      </c>
      <c r="GK17" s="42">
        <v>116</v>
      </c>
      <c r="GL17" s="42"/>
      <c r="GM17" s="42">
        <v>122</v>
      </c>
      <c r="GN17" s="42"/>
      <c r="GO17" s="42"/>
      <c r="GP17" s="42"/>
      <c r="GQ17" s="42"/>
      <c r="GR17" s="42"/>
      <c r="GS17" s="42">
        <v>186</v>
      </c>
      <c r="GT17" s="42"/>
      <c r="GU17" s="42"/>
      <c r="GV17" s="42"/>
      <c r="GW17" s="42"/>
      <c r="GX17" s="42"/>
      <c r="GY17" s="11">
        <v>0.82</v>
      </c>
      <c r="GZ17" s="10">
        <v>1</v>
      </c>
      <c r="HA17" s="42">
        <v>0</v>
      </c>
      <c r="HB17" s="42">
        <v>20</v>
      </c>
      <c r="HC17" s="42">
        <v>33</v>
      </c>
      <c r="HD17" s="42"/>
      <c r="HE17" s="42">
        <v>33</v>
      </c>
      <c r="HF17" s="42"/>
      <c r="HG17" s="42"/>
      <c r="HH17" s="42"/>
      <c r="HI17" s="42"/>
      <c r="HJ17" s="42"/>
      <c r="HK17" s="42">
        <v>54</v>
      </c>
      <c r="HL17" s="42"/>
      <c r="HM17" s="42"/>
      <c r="HN17" s="42"/>
      <c r="HO17" s="42"/>
      <c r="HP17" s="42"/>
      <c r="HQ17" s="11">
        <v>0.81</v>
      </c>
      <c r="HR17" s="10" t="s">
        <v>25</v>
      </c>
      <c r="HS17" s="39"/>
      <c r="HT17" s="39"/>
      <c r="HU17" s="39"/>
      <c r="HV17" s="10" t="s">
        <v>28</v>
      </c>
      <c r="HW17" s="10" t="s">
        <v>28</v>
      </c>
      <c r="HX17" s="10" t="s">
        <v>5452</v>
      </c>
      <c r="HY17" s="10" t="s">
        <v>5452</v>
      </c>
      <c r="HZ17" s="10" t="s">
        <v>5452</v>
      </c>
      <c r="IA17" s="10" t="s">
        <v>25</v>
      </c>
      <c r="IB17" s="10"/>
      <c r="IC17" s="10" t="s">
        <v>5561</v>
      </c>
      <c r="ID17" s="10" t="s">
        <v>13237</v>
      </c>
      <c r="IE17" s="10" t="s">
        <v>13276</v>
      </c>
      <c r="IF17" s="10" t="s">
        <v>5562</v>
      </c>
      <c r="IG17" s="10" t="s">
        <v>5563</v>
      </c>
      <c r="IH17" s="10"/>
      <c r="II17" s="10"/>
      <c r="IJ17" s="10" t="s">
        <v>2692</v>
      </c>
      <c r="IK17" s="10"/>
      <c r="IL17" s="10" t="s">
        <v>5508</v>
      </c>
      <c r="IM17" s="10" t="s">
        <v>5457</v>
      </c>
      <c r="IN17" s="10"/>
      <c r="IO17" s="10" t="s">
        <v>25</v>
      </c>
      <c r="IP17" s="10" t="s">
        <v>2201</v>
      </c>
      <c r="IQ17" s="10" t="s">
        <v>5458</v>
      </c>
      <c r="IR17" s="10" t="s">
        <v>5458</v>
      </c>
      <c r="IS17" s="10" t="s">
        <v>5458</v>
      </c>
      <c r="IT17" s="10" t="s">
        <v>5473</v>
      </c>
      <c r="IU17" s="10" t="s">
        <v>5473</v>
      </c>
      <c r="IV17" s="10" t="s">
        <v>5458</v>
      </c>
      <c r="IW17" s="10" t="s">
        <v>5458</v>
      </c>
      <c r="IX17" s="10" t="s">
        <v>5483</v>
      </c>
      <c r="IY17" s="10"/>
      <c r="IZ17" s="10" t="s">
        <v>5564</v>
      </c>
      <c r="JA17" s="10" t="s">
        <v>13301</v>
      </c>
      <c r="JB17" s="10" t="s">
        <v>5461</v>
      </c>
      <c r="JC17" s="10" t="s">
        <v>5461</v>
      </c>
      <c r="JD17" s="10" t="s">
        <v>5477</v>
      </c>
      <c r="JE17" s="10" t="s">
        <v>5463</v>
      </c>
      <c r="JF17" s="10" t="s">
        <v>5516</v>
      </c>
      <c r="JG17" s="10" t="s">
        <v>5465</v>
      </c>
      <c r="JH17" s="10" t="s">
        <v>5466</v>
      </c>
    </row>
    <row r="18" spans="1:268" ht="89.25" x14ac:dyDescent="0.2">
      <c r="A18" s="31" t="s">
        <v>171</v>
      </c>
      <c r="B18" s="9" t="s">
        <v>5494</v>
      </c>
      <c r="C18" s="9"/>
      <c r="D18" s="9" t="s">
        <v>28</v>
      </c>
      <c r="E18" s="9" t="s">
        <v>5704</v>
      </c>
      <c r="F18" s="9" t="s">
        <v>5467</v>
      </c>
      <c r="G18" s="9"/>
      <c r="H18" s="9">
        <v>30</v>
      </c>
      <c r="I18" s="9">
        <v>20</v>
      </c>
      <c r="J18" s="9">
        <v>29</v>
      </c>
      <c r="K18" s="9" t="s">
        <v>28</v>
      </c>
      <c r="L18" s="9" t="s">
        <v>5468</v>
      </c>
      <c r="M18" s="9" t="s">
        <v>5468</v>
      </c>
      <c r="N18" s="9" t="s">
        <v>5447</v>
      </c>
      <c r="O18" s="9" t="s">
        <v>5447</v>
      </c>
      <c r="P18" s="9" t="s">
        <v>5447</v>
      </c>
      <c r="Q18" s="9" t="s">
        <v>5447</v>
      </c>
      <c r="R18" s="9" t="s">
        <v>5469</v>
      </c>
      <c r="S18" s="11">
        <v>0.1</v>
      </c>
      <c r="T18" s="11">
        <v>0.28000000000000003</v>
      </c>
      <c r="U18" s="11">
        <v>0.14000000000000001</v>
      </c>
      <c r="V18" s="10"/>
      <c r="W18" s="11">
        <v>0.08</v>
      </c>
      <c r="X18" s="10"/>
      <c r="Y18" s="10"/>
      <c r="Z18" s="10"/>
      <c r="AA18" s="10"/>
      <c r="AB18" s="10"/>
      <c r="AC18" s="11">
        <v>0.4</v>
      </c>
      <c r="AD18" s="10"/>
      <c r="AE18" s="10"/>
      <c r="AF18" s="10"/>
      <c r="AG18" s="10"/>
      <c r="AH18" s="10"/>
      <c r="AI18" s="36">
        <v>2.5</v>
      </c>
      <c r="AJ18" s="33">
        <v>4.4999999999999998E-2</v>
      </c>
      <c r="AK18" s="33">
        <v>9.5000000000000001E-2</v>
      </c>
      <c r="AL18" s="33">
        <v>0.15</v>
      </c>
      <c r="AM18" s="33">
        <v>4.4999999999999998E-2</v>
      </c>
      <c r="AN18" s="33">
        <v>2.4E-2</v>
      </c>
      <c r="AO18" s="33">
        <v>4.4999999999999998E-2</v>
      </c>
      <c r="AP18" s="33">
        <v>9.5000000000000001E-2</v>
      </c>
      <c r="AQ18" s="33">
        <v>0.15</v>
      </c>
      <c r="AR18" s="33">
        <v>4.4999999999999998E-2</v>
      </c>
      <c r="AS18" s="33">
        <v>2.4E-2</v>
      </c>
      <c r="AT18" s="11">
        <v>0.82</v>
      </c>
      <c r="AU18" s="11">
        <v>0.45</v>
      </c>
      <c r="AV18" s="11">
        <v>0.79</v>
      </c>
      <c r="AW18" s="11">
        <v>0.37</v>
      </c>
      <c r="AX18" s="11">
        <v>0.3</v>
      </c>
      <c r="AY18" s="11">
        <v>0</v>
      </c>
      <c r="AZ18" s="11">
        <v>0.81</v>
      </c>
      <c r="BA18" s="11">
        <v>0.45</v>
      </c>
      <c r="BB18" s="11">
        <v>0.79</v>
      </c>
      <c r="BC18" s="11">
        <v>0.37</v>
      </c>
      <c r="BD18" s="11">
        <v>0.33</v>
      </c>
      <c r="BE18" s="11">
        <v>0</v>
      </c>
      <c r="BF18" s="10" t="s">
        <v>25</v>
      </c>
      <c r="BG18" s="10" t="s">
        <v>25</v>
      </c>
      <c r="BH18" s="39"/>
      <c r="BI18" s="10" t="s">
        <v>25</v>
      </c>
      <c r="BJ18" s="39"/>
      <c r="BK18" s="10" t="s">
        <v>25</v>
      </c>
      <c r="BL18" s="39"/>
      <c r="BM18" s="10" t="s">
        <v>25</v>
      </c>
      <c r="BN18" s="39"/>
      <c r="BO18" s="10" t="s">
        <v>25</v>
      </c>
      <c r="BP18" s="39"/>
      <c r="BQ18" s="10" t="s">
        <v>5470</v>
      </c>
      <c r="BR18" s="42"/>
      <c r="BS18" s="42"/>
      <c r="BT18" s="42"/>
      <c r="BU18" s="42"/>
      <c r="BV18" s="42"/>
      <c r="BW18" s="42"/>
      <c r="BX18" s="42"/>
      <c r="BY18" s="42"/>
      <c r="BZ18" s="42"/>
      <c r="CA18" s="42"/>
      <c r="CB18" s="42"/>
      <c r="CC18" s="42"/>
      <c r="CD18" s="42"/>
      <c r="CE18" s="42"/>
      <c r="CF18" s="42"/>
      <c r="CG18" s="42"/>
      <c r="CH18" s="11"/>
      <c r="CI18" s="42"/>
      <c r="CJ18" s="42"/>
      <c r="CK18" s="42"/>
      <c r="CL18" s="42"/>
      <c r="CM18" s="42"/>
      <c r="CN18" s="42"/>
      <c r="CO18" s="42"/>
      <c r="CP18" s="42"/>
      <c r="CQ18" s="42"/>
      <c r="CR18" s="42"/>
      <c r="CS18" s="42"/>
      <c r="CT18" s="42"/>
      <c r="CU18" s="42"/>
      <c r="CV18" s="42"/>
      <c r="CW18" s="42"/>
      <c r="CX18" s="42"/>
      <c r="CY18" s="11"/>
      <c r="CZ18" s="42">
        <v>0</v>
      </c>
      <c r="DA18" s="42">
        <v>648</v>
      </c>
      <c r="DB18" s="42">
        <v>1389</v>
      </c>
      <c r="DC18" s="42"/>
      <c r="DD18" s="42">
        <v>1079</v>
      </c>
      <c r="DE18" s="42"/>
      <c r="DF18" s="42"/>
      <c r="DG18" s="42"/>
      <c r="DH18" s="42"/>
      <c r="DI18" s="42"/>
      <c r="DJ18" s="42">
        <v>2145</v>
      </c>
      <c r="DK18" s="42"/>
      <c r="DL18" s="42"/>
      <c r="DM18" s="42"/>
      <c r="DN18" s="42"/>
      <c r="DO18" s="42"/>
      <c r="DP18" s="11">
        <v>0.83</v>
      </c>
      <c r="DQ18" s="42">
        <v>0</v>
      </c>
      <c r="DR18" s="42">
        <v>523</v>
      </c>
      <c r="DS18" s="42">
        <v>1036</v>
      </c>
      <c r="DT18" s="42"/>
      <c r="DU18" s="42">
        <v>866</v>
      </c>
      <c r="DV18" s="42"/>
      <c r="DW18" s="42"/>
      <c r="DX18" s="42"/>
      <c r="DY18" s="42"/>
      <c r="DZ18" s="42"/>
      <c r="EA18" s="42">
        <v>1578</v>
      </c>
      <c r="EB18" s="42"/>
      <c r="EC18" s="42"/>
      <c r="ED18" s="42"/>
      <c r="EE18" s="42"/>
      <c r="EF18" s="42"/>
      <c r="EG18" s="11">
        <v>0.75</v>
      </c>
      <c r="EH18" s="42"/>
      <c r="EI18" s="42"/>
      <c r="EJ18" s="42"/>
      <c r="EK18" s="42"/>
      <c r="EL18" s="42"/>
      <c r="EM18" s="42"/>
      <c r="EN18" s="42"/>
      <c r="EO18" s="42"/>
      <c r="EP18" s="42"/>
      <c r="EQ18" s="42"/>
      <c r="ER18" s="42"/>
      <c r="ES18" s="42"/>
      <c r="ET18" s="42"/>
      <c r="EU18" s="42"/>
      <c r="EV18" s="42"/>
      <c r="EW18" s="42"/>
      <c r="EX18" s="10"/>
      <c r="EY18" s="10"/>
      <c r="EZ18" s="10"/>
      <c r="FA18" s="10"/>
      <c r="FB18" s="10"/>
      <c r="FC18" s="10"/>
      <c r="FD18" s="10"/>
      <c r="FE18" s="10"/>
      <c r="FF18" s="10"/>
      <c r="FG18" s="10"/>
      <c r="FH18" s="10"/>
      <c r="FI18" s="10"/>
      <c r="FJ18" s="10"/>
      <c r="FK18" s="10"/>
      <c r="FL18" s="10"/>
      <c r="FM18" s="10"/>
      <c r="FN18" s="10"/>
      <c r="FO18" s="10"/>
      <c r="FP18" s="42"/>
      <c r="FQ18" s="42"/>
      <c r="FR18" s="42"/>
      <c r="FS18" s="42"/>
      <c r="FT18" s="42"/>
      <c r="FU18" s="42"/>
      <c r="FV18" s="42"/>
      <c r="FW18" s="42"/>
      <c r="FX18" s="42"/>
      <c r="FY18" s="42"/>
      <c r="FZ18" s="42"/>
      <c r="GA18" s="42"/>
      <c r="GB18" s="42"/>
      <c r="GC18" s="42"/>
      <c r="GD18" s="42"/>
      <c r="GE18" s="42"/>
      <c r="GF18" s="10"/>
      <c r="GG18" s="10">
        <v>1</v>
      </c>
      <c r="GH18" s="10" t="s">
        <v>5450</v>
      </c>
      <c r="GI18" s="42">
        <v>0</v>
      </c>
      <c r="GJ18" s="42">
        <v>52</v>
      </c>
      <c r="GK18" s="42">
        <v>107</v>
      </c>
      <c r="GL18" s="42"/>
      <c r="GM18" s="42">
        <v>108</v>
      </c>
      <c r="GN18" s="42"/>
      <c r="GO18" s="42"/>
      <c r="GP18" s="42"/>
      <c r="GQ18" s="42"/>
      <c r="GR18" s="42"/>
      <c r="GS18" s="42">
        <v>206</v>
      </c>
      <c r="GT18" s="42"/>
      <c r="GU18" s="42"/>
      <c r="GV18" s="42"/>
      <c r="GW18" s="42"/>
      <c r="GX18" s="42"/>
      <c r="GY18" s="11">
        <v>0.79</v>
      </c>
      <c r="GZ18" s="10">
        <v>2</v>
      </c>
      <c r="HA18" s="42">
        <v>0</v>
      </c>
      <c r="HB18" s="42">
        <v>9</v>
      </c>
      <c r="HC18" s="42">
        <v>15</v>
      </c>
      <c r="HD18" s="42"/>
      <c r="HE18" s="42">
        <v>15</v>
      </c>
      <c r="HF18" s="42"/>
      <c r="HG18" s="42"/>
      <c r="HH18" s="42"/>
      <c r="HI18" s="42"/>
      <c r="HJ18" s="42"/>
      <c r="HK18" s="42">
        <v>28</v>
      </c>
      <c r="HL18" s="42"/>
      <c r="HM18" s="42"/>
      <c r="HN18" s="42"/>
      <c r="HO18" s="42"/>
      <c r="HP18" s="42"/>
      <c r="HQ18" s="11">
        <v>0.35</v>
      </c>
      <c r="HR18" s="10" t="s">
        <v>5537</v>
      </c>
      <c r="HS18" s="39">
        <v>500000</v>
      </c>
      <c r="HT18" s="39">
        <v>210000</v>
      </c>
      <c r="HU18" s="39"/>
      <c r="HV18" s="10" t="s">
        <v>25</v>
      </c>
      <c r="HW18" s="10" t="s">
        <v>25</v>
      </c>
      <c r="HX18" s="10" t="s">
        <v>5452</v>
      </c>
      <c r="HY18" s="10" t="s">
        <v>5452</v>
      </c>
      <c r="HZ18" s="10" t="s">
        <v>5452</v>
      </c>
      <c r="IA18" s="10" t="s">
        <v>25</v>
      </c>
      <c r="IB18" s="10"/>
      <c r="IC18" s="10" t="s">
        <v>5705</v>
      </c>
      <c r="ID18" s="10" t="s">
        <v>13262</v>
      </c>
      <c r="IE18" s="10" t="s">
        <v>13288</v>
      </c>
      <c r="IF18" s="10" t="s">
        <v>72</v>
      </c>
      <c r="IG18" s="10" t="s">
        <v>72</v>
      </c>
      <c r="IH18" s="10"/>
      <c r="II18" s="10"/>
      <c r="IJ18" s="10" t="s">
        <v>2692</v>
      </c>
      <c r="IK18" s="10"/>
      <c r="IL18" s="10" t="s">
        <v>25</v>
      </c>
      <c r="IM18" s="10" t="s">
        <v>2758</v>
      </c>
      <c r="IN18" s="10"/>
      <c r="IO18" s="10" t="s">
        <v>25</v>
      </c>
      <c r="IP18" s="10" t="s">
        <v>2201</v>
      </c>
      <c r="IQ18" s="10" t="s">
        <v>5458</v>
      </c>
      <c r="IR18" s="10" t="s">
        <v>5458</v>
      </c>
      <c r="IS18" s="10" t="s">
        <v>5458</v>
      </c>
      <c r="IT18" s="10" t="s">
        <v>5594</v>
      </c>
      <c r="IU18" s="10" t="s">
        <v>5594</v>
      </c>
      <c r="IV18" s="10" t="s">
        <v>5458</v>
      </c>
      <c r="IW18" s="10" t="s">
        <v>5458</v>
      </c>
      <c r="IX18" s="10" t="s">
        <v>5483</v>
      </c>
      <c r="IY18" s="10"/>
      <c r="IZ18" s="10" t="s">
        <v>5706</v>
      </c>
      <c r="JA18" s="10" t="s">
        <v>13301</v>
      </c>
      <c r="JB18" s="10" t="s">
        <v>5461</v>
      </c>
      <c r="JC18" s="10" t="s">
        <v>5461</v>
      </c>
      <c r="JD18" s="10" t="s">
        <v>5462</v>
      </c>
      <c r="JE18" s="10" t="s">
        <v>28</v>
      </c>
      <c r="JF18" s="10" t="s">
        <v>5464</v>
      </c>
      <c r="JG18" s="10" t="s">
        <v>5465</v>
      </c>
      <c r="JH18" s="10" t="s">
        <v>5496</v>
      </c>
    </row>
    <row r="19" spans="1:268" ht="76.5" x14ac:dyDescent="0.2">
      <c r="A19" s="31" t="s">
        <v>123</v>
      </c>
      <c r="B19" s="9" t="s">
        <v>5444</v>
      </c>
      <c r="C19" s="9"/>
      <c r="D19" s="9" t="s">
        <v>25</v>
      </c>
      <c r="E19" s="9"/>
      <c r="F19" s="9" t="s">
        <v>5467</v>
      </c>
      <c r="G19" s="9"/>
      <c r="H19" s="9">
        <v>20</v>
      </c>
      <c r="I19" s="9"/>
      <c r="J19" s="9"/>
      <c r="K19" s="9" t="s">
        <v>28</v>
      </c>
      <c r="L19" s="9" t="s">
        <v>5468</v>
      </c>
      <c r="M19" s="9"/>
      <c r="N19" s="9" t="s">
        <v>5468</v>
      </c>
      <c r="O19" s="9"/>
      <c r="P19" s="9"/>
      <c r="Q19" s="9"/>
      <c r="R19" s="9" t="s">
        <v>5469</v>
      </c>
      <c r="S19" s="11">
        <v>0.1</v>
      </c>
      <c r="T19" s="11">
        <v>0.37</v>
      </c>
      <c r="U19" s="11">
        <v>0.13</v>
      </c>
      <c r="V19" s="10"/>
      <c r="W19" s="11">
        <v>7.0000000000000007E-2</v>
      </c>
      <c r="X19" s="10"/>
      <c r="Y19" s="10"/>
      <c r="Z19" s="10"/>
      <c r="AA19" s="10"/>
      <c r="AB19" s="10"/>
      <c r="AC19" s="11">
        <v>0.33</v>
      </c>
      <c r="AD19" s="10"/>
      <c r="AE19" s="10"/>
      <c r="AF19" s="10"/>
      <c r="AG19" s="10"/>
      <c r="AH19" s="10"/>
      <c r="AI19" s="36">
        <v>2.5</v>
      </c>
      <c r="AJ19" s="33">
        <v>-7.4999999999999997E-2</v>
      </c>
      <c r="AK19" s="33">
        <v>-7.4999999999999997E-2</v>
      </c>
      <c r="AL19" s="33">
        <v>-7.4999999999999997E-2</v>
      </c>
      <c r="AM19" s="33">
        <v>-7.4999999999999997E-2</v>
      </c>
      <c r="AN19" s="33">
        <v>3.6000000000000004E-2</v>
      </c>
      <c r="AO19" s="33">
        <v>-7.4999999999999997E-2</v>
      </c>
      <c r="AP19" s="33">
        <v>-7.4999999999999997E-2</v>
      </c>
      <c r="AQ19" s="33">
        <v>-7.4999999999999997E-2</v>
      </c>
      <c r="AR19" s="33">
        <v>-7.4999999999999997E-2</v>
      </c>
      <c r="AS19" s="33">
        <v>5.5999999999999994E-2</v>
      </c>
      <c r="AT19" s="11">
        <v>0.84</v>
      </c>
      <c r="AU19" s="11"/>
      <c r="AV19" s="11">
        <v>0.59</v>
      </c>
      <c r="AW19" s="11"/>
      <c r="AX19" s="11">
        <v>0.35</v>
      </c>
      <c r="AY19" s="11"/>
      <c r="AZ19" s="11">
        <v>0.81</v>
      </c>
      <c r="BA19" s="11"/>
      <c r="BB19" s="11">
        <v>0.61</v>
      </c>
      <c r="BC19" s="11"/>
      <c r="BD19" s="11">
        <v>0.34</v>
      </c>
      <c r="BE19" s="11"/>
      <c r="BF19" s="10" t="s">
        <v>25</v>
      </c>
      <c r="BG19" s="10" t="s">
        <v>25</v>
      </c>
      <c r="BH19" s="39"/>
      <c r="BI19" s="10" t="s">
        <v>25</v>
      </c>
      <c r="BJ19" s="39"/>
      <c r="BK19" s="10" t="s">
        <v>25</v>
      </c>
      <c r="BL19" s="39"/>
      <c r="BM19" s="10" t="s">
        <v>25</v>
      </c>
      <c r="BN19" s="39"/>
      <c r="BO19" s="10" t="s">
        <v>25</v>
      </c>
      <c r="BP19" s="39"/>
      <c r="BQ19" s="10" t="s">
        <v>5479</v>
      </c>
      <c r="BR19" s="42">
        <v>0</v>
      </c>
      <c r="BS19" s="42">
        <v>676.85</v>
      </c>
      <c r="BT19" s="42">
        <v>1489.04</v>
      </c>
      <c r="BU19" s="42"/>
      <c r="BV19" s="42">
        <v>1285.98</v>
      </c>
      <c r="BW19" s="42"/>
      <c r="BX19" s="42"/>
      <c r="BY19" s="42"/>
      <c r="BZ19" s="42"/>
      <c r="CA19" s="42"/>
      <c r="CB19" s="42">
        <v>2098.1999999999998</v>
      </c>
      <c r="CC19" s="42"/>
      <c r="CD19" s="42"/>
      <c r="CE19" s="42"/>
      <c r="CF19" s="42"/>
      <c r="CG19" s="42"/>
      <c r="CH19" s="11">
        <v>0.74</v>
      </c>
      <c r="CI19" s="42"/>
      <c r="CJ19" s="42"/>
      <c r="CK19" s="42"/>
      <c r="CL19" s="42"/>
      <c r="CM19" s="42"/>
      <c r="CN19" s="42"/>
      <c r="CO19" s="42"/>
      <c r="CP19" s="42"/>
      <c r="CQ19" s="42"/>
      <c r="CR19" s="42"/>
      <c r="CS19" s="42"/>
      <c r="CT19" s="42"/>
      <c r="CU19" s="42"/>
      <c r="CV19" s="42"/>
      <c r="CW19" s="42"/>
      <c r="CX19" s="42"/>
      <c r="CY19" s="11"/>
      <c r="CZ19" s="42">
        <v>0</v>
      </c>
      <c r="DA19" s="42">
        <v>623.89</v>
      </c>
      <c r="DB19" s="42">
        <v>1372.56</v>
      </c>
      <c r="DC19" s="42"/>
      <c r="DD19" s="42">
        <v>1185.3800000000001</v>
      </c>
      <c r="DE19" s="42"/>
      <c r="DF19" s="42"/>
      <c r="DG19" s="42"/>
      <c r="DH19" s="42"/>
      <c r="DI19" s="42"/>
      <c r="DJ19" s="42">
        <v>1934.05</v>
      </c>
      <c r="DK19" s="42"/>
      <c r="DL19" s="42"/>
      <c r="DM19" s="42"/>
      <c r="DN19" s="42"/>
      <c r="DO19" s="42"/>
      <c r="DP19" s="11">
        <v>0.85</v>
      </c>
      <c r="DQ19" s="42">
        <v>0</v>
      </c>
      <c r="DR19" s="42">
        <v>551.79999999999995</v>
      </c>
      <c r="DS19" s="42">
        <v>1213.97</v>
      </c>
      <c r="DT19" s="42"/>
      <c r="DU19" s="42">
        <v>1048.42</v>
      </c>
      <c r="DV19" s="42"/>
      <c r="DW19" s="42"/>
      <c r="DX19" s="42"/>
      <c r="DY19" s="42"/>
      <c r="DZ19" s="42"/>
      <c r="EA19" s="42">
        <v>1710.58</v>
      </c>
      <c r="EB19" s="42"/>
      <c r="EC19" s="42"/>
      <c r="ED19" s="42"/>
      <c r="EE19" s="42"/>
      <c r="EF19" s="42"/>
      <c r="EG19" s="11">
        <v>0.76</v>
      </c>
      <c r="EH19" s="42"/>
      <c r="EI19" s="42"/>
      <c r="EJ19" s="42"/>
      <c r="EK19" s="42"/>
      <c r="EL19" s="42"/>
      <c r="EM19" s="42"/>
      <c r="EN19" s="42"/>
      <c r="EO19" s="42"/>
      <c r="EP19" s="42"/>
      <c r="EQ19" s="42"/>
      <c r="ER19" s="42"/>
      <c r="ES19" s="42"/>
      <c r="ET19" s="42"/>
      <c r="EU19" s="42"/>
      <c r="EV19" s="42"/>
      <c r="EW19" s="42"/>
      <c r="EX19" s="10"/>
      <c r="EY19" s="10"/>
      <c r="EZ19" s="10"/>
      <c r="FA19" s="10"/>
      <c r="FB19" s="10"/>
      <c r="FC19" s="10"/>
      <c r="FD19" s="10"/>
      <c r="FE19" s="10"/>
      <c r="FF19" s="10"/>
      <c r="FG19" s="10"/>
      <c r="FH19" s="10"/>
      <c r="FI19" s="10"/>
      <c r="FJ19" s="10"/>
      <c r="FK19" s="10"/>
      <c r="FL19" s="10"/>
      <c r="FM19" s="10"/>
      <c r="FN19" s="10"/>
      <c r="FO19" s="10"/>
      <c r="FP19" s="42"/>
      <c r="FQ19" s="42"/>
      <c r="FR19" s="42"/>
      <c r="FS19" s="42"/>
      <c r="FT19" s="42"/>
      <c r="FU19" s="42"/>
      <c r="FV19" s="42"/>
      <c r="FW19" s="42"/>
      <c r="FX19" s="42"/>
      <c r="FY19" s="42"/>
      <c r="FZ19" s="42"/>
      <c r="GA19" s="42"/>
      <c r="GB19" s="42"/>
      <c r="GC19" s="42"/>
      <c r="GD19" s="42"/>
      <c r="GE19" s="42"/>
      <c r="GF19" s="10"/>
      <c r="GG19" s="10">
        <v>2</v>
      </c>
      <c r="GH19" s="10" t="s">
        <v>5450</v>
      </c>
      <c r="GI19" s="42">
        <v>0</v>
      </c>
      <c r="GJ19" s="42">
        <v>65.150000000000006</v>
      </c>
      <c r="GK19" s="42">
        <v>136.80000000000001</v>
      </c>
      <c r="GL19" s="42"/>
      <c r="GM19" s="42">
        <v>117.26</v>
      </c>
      <c r="GN19" s="42"/>
      <c r="GO19" s="42"/>
      <c r="GP19" s="42"/>
      <c r="GQ19" s="42"/>
      <c r="GR19" s="42"/>
      <c r="GS19" s="42">
        <v>188.91</v>
      </c>
      <c r="GT19" s="42"/>
      <c r="GU19" s="42"/>
      <c r="GV19" s="42"/>
      <c r="GW19" s="42"/>
      <c r="GX19" s="42"/>
      <c r="GY19" s="11">
        <v>0.57999999999999996</v>
      </c>
      <c r="GZ19" s="10">
        <v>2</v>
      </c>
      <c r="HA19" s="42">
        <v>0</v>
      </c>
      <c r="HB19" s="42">
        <v>8.7799999999999994</v>
      </c>
      <c r="HC19" s="42">
        <v>18.37</v>
      </c>
      <c r="HD19" s="42"/>
      <c r="HE19" s="42">
        <v>15.8</v>
      </c>
      <c r="HF19" s="42"/>
      <c r="HG19" s="42"/>
      <c r="HH19" s="42"/>
      <c r="HI19" s="42"/>
      <c r="HJ19" s="42"/>
      <c r="HK19" s="42">
        <v>25.42</v>
      </c>
      <c r="HL19" s="42"/>
      <c r="HM19" s="42"/>
      <c r="HN19" s="42"/>
      <c r="HO19" s="42"/>
      <c r="HP19" s="42"/>
      <c r="HQ19" s="11">
        <v>0.48</v>
      </c>
      <c r="HR19" s="10" t="s">
        <v>5451</v>
      </c>
      <c r="HS19" s="39">
        <v>650000</v>
      </c>
      <c r="HT19" s="39"/>
      <c r="HU19" s="39"/>
      <c r="HV19" s="10" t="s">
        <v>25</v>
      </c>
      <c r="HW19" s="10" t="s">
        <v>25</v>
      </c>
      <c r="HX19" s="10" t="s">
        <v>5452</v>
      </c>
      <c r="HY19" s="10" t="s">
        <v>5453</v>
      </c>
      <c r="HZ19" s="10" t="s">
        <v>5452</v>
      </c>
      <c r="IA19" s="10" t="s">
        <v>25</v>
      </c>
      <c r="IB19" s="10"/>
      <c r="IC19" s="10" t="s">
        <v>13223</v>
      </c>
      <c r="ID19" s="10" t="s">
        <v>72</v>
      </c>
      <c r="IE19" s="10" t="s">
        <v>5506</v>
      </c>
      <c r="IF19" s="10" t="s">
        <v>5507</v>
      </c>
      <c r="IG19" s="10" t="s">
        <v>5507</v>
      </c>
      <c r="IH19" s="10" t="s">
        <v>72</v>
      </c>
      <c r="II19" s="10" t="s">
        <v>72</v>
      </c>
      <c r="IJ19" s="10" t="s">
        <v>2692</v>
      </c>
      <c r="IK19" s="10"/>
      <c r="IL19" s="10" t="s">
        <v>5508</v>
      </c>
      <c r="IM19" s="10" t="s">
        <v>2692</v>
      </c>
      <c r="IN19" s="10"/>
      <c r="IO19" s="10" t="s">
        <v>25</v>
      </c>
      <c r="IP19" s="10" t="s">
        <v>28</v>
      </c>
      <c r="IQ19" s="10" t="s">
        <v>5458</v>
      </c>
      <c r="IR19" s="10" t="s">
        <v>5458</v>
      </c>
      <c r="IS19" s="10" t="s">
        <v>5502</v>
      </c>
      <c r="IT19" s="10" t="s">
        <v>5502</v>
      </c>
      <c r="IU19" s="10" t="s">
        <v>5502</v>
      </c>
      <c r="IV19" s="10" t="s">
        <v>5458</v>
      </c>
      <c r="IW19" s="10" t="s">
        <v>5458</v>
      </c>
      <c r="IX19" s="10" t="s">
        <v>5483</v>
      </c>
      <c r="IY19" s="10"/>
      <c r="IZ19" s="10" t="s">
        <v>14612</v>
      </c>
      <c r="JA19" s="10" t="s">
        <v>13301</v>
      </c>
      <c r="JB19" s="10" t="s">
        <v>5485</v>
      </c>
      <c r="JC19" s="10" t="s">
        <v>5485</v>
      </c>
      <c r="JD19" s="10" t="s">
        <v>5477</v>
      </c>
      <c r="JE19" s="10" t="s">
        <v>5463</v>
      </c>
      <c r="JF19" s="10" t="s">
        <v>5478</v>
      </c>
      <c r="JG19" s="10" t="s">
        <v>5465</v>
      </c>
      <c r="JH19" s="10" t="s">
        <v>5509</v>
      </c>
    </row>
    <row r="20" spans="1:268" ht="102" x14ac:dyDescent="0.2">
      <c r="A20" s="31" t="s">
        <v>125</v>
      </c>
      <c r="B20" s="9" t="s">
        <v>2185</v>
      </c>
      <c r="C20" s="9"/>
      <c r="D20" s="9" t="s">
        <v>25</v>
      </c>
      <c r="E20" s="9"/>
      <c r="F20" s="9"/>
      <c r="G20" s="9"/>
      <c r="H20" s="9">
        <v>30</v>
      </c>
      <c r="I20" s="9">
        <v>20</v>
      </c>
      <c r="J20" s="9">
        <v>29</v>
      </c>
      <c r="K20" s="9" t="s">
        <v>28</v>
      </c>
      <c r="L20" s="9" t="s">
        <v>5468</v>
      </c>
      <c r="M20" s="9" t="s">
        <v>5468</v>
      </c>
      <c r="N20" s="9" t="s">
        <v>5447</v>
      </c>
      <c r="O20" s="9" t="s">
        <v>5447</v>
      </c>
      <c r="P20" s="9" t="s">
        <v>5447</v>
      </c>
      <c r="Q20" s="9" t="s">
        <v>5447</v>
      </c>
      <c r="R20" s="9" t="s">
        <v>5469</v>
      </c>
      <c r="S20" s="11">
        <v>0.01</v>
      </c>
      <c r="T20" s="11">
        <v>0.33</v>
      </c>
      <c r="U20" s="11">
        <v>0.14000000000000001</v>
      </c>
      <c r="V20" s="10"/>
      <c r="W20" s="11">
        <v>0.08</v>
      </c>
      <c r="X20" s="10"/>
      <c r="Y20" s="10"/>
      <c r="Z20" s="10"/>
      <c r="AA20" s="10"/>
      <c r="AB20" s="10"/>
      <c r="AC20" s="11">
        <v>0.44</v>
      </c>
      <c r="AD20" s="10"/>
      <c r="AE20" s="10"/>
      <c r="AF20" s="10"/>
      <c r="AG20" s="10"/>
      <c r="AH20" s="10"/>
      <c r="AI20" s="36">
        <v>3</v>
      </c>
      <c r="AJ20" s="33">
        <v>0</v>
      </c>
      <c r="AK20" s="33">
        <v>0</v>
      </c>
      <c r="AL20" s="33">
        <v>0</v>
      </c>
      <c r="AM20" s="33">
        <v>0</v>
      </c>
      <c r="AN20" s="33">
        <v>-4.4999999999999998E-2</v>
      </c>
      <c r="AO20" s="33">
        <v>-2.2000000000000002E-2</v>
      </c>
      <c r="AP20" s="33">
        <v>0</v>
      </c>
      <c r="AQ20" s="33">
        <v>0</v>
      </c>
      <c r="AR20" s="33">
        <v>0</v>
      </c>
      <c r="AS20" s="33">
        <v>-4.4999999999999998E-2</v>
      </c>
      <c r="AT20" s="11">
        <v>0.78</v>
      </c>
      <c r="AU20" s="11">
        <v>0.56000000000000005</v>
      </c>
      <c r="AV20" s="11">
        <v>0.62</v>
      </c>
      <c r="AW20" s="11">
        <v>0.25</v>
      </c>
      <c r="AX20" s="11">
        <v>0.5</v>
      </c>
      <c r="AY20" s="11">
        <v>0</v>
      </c>
      <c r="AZ20" s="11">
        <v>0.78</v>
      </c>
      <c r="BA20" s="11">
        <v>0.42</v>
      </c>
      <c r="BB20" s="11">
        <v>0.63</v>
      </c>
      <c r="BC20" s="11">
        <v>0.25</v>
      </c>
      <c r="BD20" s="11">
        <v>0.5</v>
      </c>
      <c r="BE20" s="11">
        <v>0</v>
      </c>
      <c r="BF20" s="10" t="s">
        <v>25</v>
      </c>
      <c r="BG20" s="10" t="s">
        <v>28</v>
      </c>
      <c r="BH20" s="39">
        <v>54.16</v>
      </c>
      <c r="BI20" s="10" t="s">
        <v>25</v>
      </c>
      <c r="BJ20" s="39"/>
      <c r="BK20" s="10" t="s">
        <v>25</v>
      </c>
      <c r="BL20" s="39"/>
      <c r="BM20" s="10" t="s">
        <v>28</v>
      </c>
      <c r="BN20" s="39">
        <v>900</v>
      </c>
      <c r="BO20" s="10" t="s">
        <v>28</v>
      </c>
      <c r="BP20" s="39">
        <v>600</v>
      </c>
      <c r="BQ20" s="10" t="s">
        <v>5479</v>
      </c>
      <c r="BR20" s="42">
        <v>0</v>
      </c>
      <c r="BS20" s="42">
        <v>868.05</v>
      </c>
      <c r="BT20" s="42">
        <v>1863.58</v>
      </c>
      <c r="BU20" s="42"/>
      <c r="BV20" s="42">
        <v>1437.36</v>
      </c>
      <c r="BW20" s="42"/>
      <c r="BX20" s="42"/>
      <c r="BY20" s="42"/>
      <c r="BZ20" s="42"/>
      <c r="CA20" s="42"/>
      <c r="CB20" s="42">
        <v>2587.38</v>
      </c>
      <c r="CC20" s="42"/>
      <c r="CD20" s="42"/>
      <c r="CE20" s="42"/>
      <c r="CF20" s="42"/>
      <c r="CG20" s="42"/>
      <c r="CH20" s="11">
        <v>0.78</v>
      </c>
      <c r="CI20" s="42"/>
      <c r="CJ20" s="42"/>
      <c r="CK20" s="42"/>
      <c r="CL20" s="42"/>
      <c r="CM20" s="42"/>
      <c r="CN20" s="42"/>
      <c r="CO20" s="42"/>
      <c r="CP20" s="42"/>
      <c r="CQ20" s="42"/>
      <c r="CR20" s="42"/>
      <c r="CS20" s="42"/>
      <c r="CT20" s="42"/>
      <c r="CU20" s="42"/>
      <c r="CV20" s="42"/>
      <c r="CW20" s="42"/>
      <c r="CX20" s="42"/>
      <c r="CY20" s="11"/>
      <c r="CZ20" s="42">
        <v>0</v>
      </c>
      <c r="DA20" s="42">
        <v>557.09</v>
      </c>
      <c r="DB20" s="42">
        <v>1195.2</v>
      </c>
      <c r="DC20" s="42"/>
      <c r="DD20" s="42">
        <v>921.99</v>
      </c>
      <c r="DE20" s="42"/>
      <c r="DF20" s="42"/>
      <c r="DG20" s="42"/>
      <c r="DH20" s="42"/>
      <c r="DI20" s="42"/>
      <c r="DJ20" s="42">
        <v>1659.13</v>
      </c>
      <c r="DK20" s="42"/>
      <c r="DL20" s="42"/>
      <c r="DM20" s="42"/>
      <c r="DN20" s="42"/>
      <c r="DO20" s="42"/>
      <c r="DP20" s="11">
        <v>0.78</v>
      </c>
      <c r="DQ20" s="42">
        <v>0</v>
      </c>
      <c r="DR20" s="42">
        <v>563.36</v>
      </c>
      <c r="DS20" s="42">
        <v>1168.25</v>
      </c>
      <c r="DT20" s="42"/>
      <c r="DU20" s="42">
        <v>1003.28</v>
      </c>
      <c r="DV20" s="42"/>
      <c r="DW20" s="42"/>
      <c r="DX20" s="42"/>
      <c r="DY20" s="42"/>
      <c r="DZ20" s="42"/>
      <c r="EA20" s="42">
        <v>1608.18</v>
      </c>
      <c r="EB20" s="42"/>
      <c r="EC20" s="42"/>
      <c r="ED20" s="42"/>
      <c r="EE20" s="42"/>
      <c r="EF20" s="42"/>
      <c r="EG20" s="11">
        <v>0.78</v>
      </c>
      <c r="EH20" s="42"/>
      <c r="EI20" s="42"/>
      <c r="EJ20" s="42"/>
      <c r="EK20" s="42"/>
      <c r="EL20" s="42"/>
      <c r="EM20" s="42"/>
      <c r="EN20" s="42"/>
      <c r="EO20" s="42"/>
      <c r="EP20" s="42"/>
      <c r="EQ20" s="42"/>
      <c r="ER20" s="42"/>
      <c r="ES20" s="42"/>
      <c r="ET20" s="42"/>
      <c r="EU20" s="42"/>
      <c r="EV20" s="42"/>
      <c r="EW20" s="42"/>
      <c r="EX20" s="10"/>
      <c r="EY20" s="10"/>
      <c r="EZ20" s="10"/>
      <c r="FA20" s="10"/>
      <c r="FB20" s="10"/>
      <c r="FC20" s="10"/>
      <c r="FD20" s="10"/>
      <c r="FE20" s="10"/>
      <c r="FF20" s="10"/>
      <c r="FG20" s="10"/>
      <c r="FH20" s="10"/>
      <c r="FI20" s="10"/>
      <c r="FJ20" s="10"/>
      <c r="FK20" s="10"/>
      <c r="FL20" s="10"/>
      <c r="FM20" s="10"/>
      <c r="FN20" s="10"/>
      <c r="FO20" s="10"/>
      <c r="FP20" s="42"/>
      <c r="FQ20" s="42"/>
      <c r="FR20" s="42"/>
      <c r="FS20" s="42"/>
      <c r="FT20" s="42"/>
      <c r="FU20" s="42"/>
      <c r="FV20" s="42"/>
      <c r="FW20" s="42"/>
      <c r="FX20" s="42"/>
      <c r="FY20" s="42"/>
      <c r="FZ20" s="42"/>
      <c r="GA20" s="42"/>
      <c r="GB20" s="42"/>
      <c r="GC20" s="42"/>
      <c r="GD20" s="42"/>
      <c r="GE20" s="42"/>
      <c r="GF20" s="10"/>
      <c r="GG20" s="10">
        <v>3</v>
      </c>
      <c r="GH20" s="10" t="s">
        <v>5450</v>
      </c>
      <c r="GI20" s="42">
        <v>0</v>
      </c>
      <c r="GJ20" s="42">
        <v>58.28</v>
      </c>
      <c r="GK20" s="42">
        <v>119.08</v>
      </c>
      <c r="GL20" s="42"/>
      <c r="GM20" s="42">
        <v>128.51</v>
      </c>
      <c r="GN20" s="42"/>
      <c r="GO20" s="42"/>
      <c r="GP20" s="42"/>
      <c r="GQ20" s="42"/>
      <c r="GR20" s="42"/>
      <c r="GS20" s="42">
        <v>207.24</v>
      </c>
      <c r="GT20" s="42"/>
      <c r="GU20" s="42"/>
      <c r="GV20" s="42"/>
      <c r="GW20" s="42"/>
      <c r="GX20" s="42"/>
      <c r="GY20" s="11">
        <v>0.63</v>
      </c>
      <c r="GZ20" s="10">
        <v>2</v>
      </c>
      <c r="HA20" s="42">
        <v>0</v>
      </c>
      <c r="HB20" s="42">
        <v>17.489999999999998</v>
      </c>
      <c r="HC20" s="42">
        <v>37.6</v>
      </c>
      <c r="HD20" s="42"/>
      <c r="HE20" s="42">
        <v>28.99</v>
      </c>
      <c r="HF20" s="42"/>
      <c r="HG20" s="42"/>
      <c r="HH20" s="42"/>
      <c r="HI20" s="42"/>
      <c r="HJ20" s="42"/>
      <c r="HK20" s="42">
        <v>52.22</v>
      </c>
      <c r="HL20" s="42"/>
      <c r="HM20" s="42"/>
      <c r="HN20" s="42"/>
      <c r="HO20" s="42"/>
      <c r="HP20" s="42"/>
      <c r="HQ20" s="11">
        <v>0.5</v>
      </c>
      <c r="HR20" s="10" t="s">
        <v>5451</v>
      </c>
      <c r="HS20" s="39">
        <v>750000</v>
      </c>
      <c r="HT20" s="39"/>
      <c r="HU20" s="39">
        <v>999999999</v>
      </c>
      <c r="HV20" s="10" t="s">
        <v>25</v>
      </c>
      <c r="HW20" s="10" t="s">
        <v>25</v>
      </c>
      <c r="HX20" s="10" t="s">
        <v>5452</v>
      </c>
      <c r="HY20" s="10" t="s">
        <v>5452</v>
      </c>
      <c r="HZ20" s="10" t="s">
        <v>5453</v>
      </c>
      <c r="IA20" s="10" t="s">
        <v>25</v>
      </c>
      <c r="IB20" s="10"/>
      <c r="IC20" s="10" t="s">
        <v>5517</v>
      </c>
      <c r="ID20" s="10" t="s">
        <v>5517</v>
      </c>
      <c r="IE20" s="10" t="s">
        <v>5518</v>
      </c>
      <c r="IF20" s="10" t="s">
        <v>13293</v>
      </c>
      <c r="IG20" s="10" t="s">
        <v>5520</v>
      </c>
      <c r="IH20" s="10" t="s">
        <v>72</v>
      </c>
      <c r="II20" s="10" t="s">
        <v>72</v>
      </c>
      <c r="IJ20" s="10" t="s">
        <v>2758</v>
      </c>
      <c r="IK20" s="10"/>
      <c r="IL20" s="10" t="s">
        <v>25</v>
      </c>
      <c r="IM20" s="10" t="s">
        <v>2758</v>
      </c>
      <c r="IN20" s="10"/>
      <c r="IO20" s="10" t="s">
        <v>25</v>
      </c>
      <c r="IP20" s="10" t="s">
        <v>28</v>
      </c>
      <c r="IQ20" s="10" t="s">
        <v>5458</v>
      </c>
      <c r="IR20" s="10" t="s">
        <v>5521</v>
      </c>
      <c r="IS20" s="10" t="s">
        <v>5521</v>
      </c>
      <c r="IT20" s="10" t="s">
        <v>5474</v>
      </c>
      <c r="IU20" s="10" t="s">
        <v>5474</v>
      </c>
      <c r="IV20" s="10" t="s">
        <v>5458</v>
      </c>
      <c r="IW20" s="10" t="s">
        <v>5474</v>
      </c>
      <c r="IX20" s="10" t="s">
        <v>5460</v>
      </c>
      <c r="IY20" s="10"/>
      <c r="IZ20" s="10" t="s">
        <v>14613</v>
      </c>
      <c r="JA20" s="10" t="s">
        <v>13301</v>
      </c>
      <c r="JB20" s="10" t="s">
        <v>5461</v>
      </c>
      <c r="JC20" s="10" t="s">
        <v>5461</v>
      </c>
      <c r="JD20" s="10" t="s">
        <v>5522</v>
      </c>
      <c r="JE20" s="10" t="s">
        <v>5486</v>
      </c>
      <c r="JF20" s="10" t="s">
        <v>5516</v>
      </c>
      <c r="JG20" s="10" t="s">
        <v>5465</v>
      </c>
      <c r="JH20" s="10" t="s">
        <v>5496</v>
      </c>
    </row>
    <row r="21" spans="1:268" ht="89.25" x14ac:dyDescent="0.2">
      <c r="A21" s="31" t="s">
        <v>169</v>
      </c>
      <c r="B21" s="9" t="s">
        <v>5494</v>
      </c>
      <c r="C21" s="9"/>
      <c r="D21" s="9" t="s">
        <v>28</v>
      </c>
      <c r="E21" s="9" t="s">
        <v>5693</v>
      </c>
      <c r="F21" s="9" t="s">
        <v>1801</v>
      </c>
      <c r="G21" s="9"/>
      <c r="H21" s="9">
        <v>40</v>
      </c>
      <c r="I21" s="9">
        <v>20</v>
      </c>
      <c r="J21" s="9">
        <v>39</v>
      </c>
      <c r="K21" s="9" t="s">
        <v>25</v>
      </c>
      <c r="L21" s="9"/>
      <c r="M21" s="9"/>
      <c r="N21" s="9"/>
      <c r="O21" s="9"/>
      <c r="P21" s="9"/>
      <c r="Q21" s="9"/>
      <c r="R21" s="9" t="s">
        <v>5469</v>
      </c>
      <c r="S21" s="11">
        <v>0.08</v>
      </c>
      <c r="T21" s="11">
        <v>0.66</v>
      </c>
      <c r="U21" s="11">
        <v>0.09</v>
      </c>
      <c r="V21" s="10"/>
      <c r="W21" s="11">
        <v>0.05</v>
      </c>
      <c r="X21" s="10"/>
      <c r="Y21" s="10"/>
      <c r="Z21" s="10"/>
      <c r="AA21" s="10"/>
      <c r="AB21" s="10"/>
      <c r="AC21" s="11">
        <v>0.12</v>
      </c>
      <c r="AD21" s="10"/>
      <c r="AE21" s="10"/>
      <c r="AF21" s="10"/>
      <c r="AG21" s="10"/>
      <c r="AH21" s="10"/>
      <c r="AI21" s="36">
        <v>2</v>
      </c>
      <c r="AJ21" s="33">
        <v>5.2000000000000005E-2</v>
      </c>
      <c r="AK21" s="33">
        <v>0.04</v>
      </c>
      <c r="AL21" s="33">
        <v>0.14000000000000001</v>
      </c>
      <c r="AM21" s="33">
        <v>7.4999999999999997E-2</v>
      </c>
      <c r="AN21" s="33">
        <v>1.3000000000000001E-2</v>
      </c>
      <c r="AO21" s="33">
        <v>5.2000000000000005E-2</v>
      </c>
      <c r="AP21" s="33">
        <v>0.04</v>
      </c>
      <c r="AQ21" s="33">
        <v>0.14000000000000001</v>
      </c>
      <c r="AR21" s="33">
        <v>7.4999999999999997E-2</v>
      </c>
      <c r="AS21" s="33">
        <v>8.0000000000000004E-4</v>
      </c>
      <c r="AT21" s="11">
        <v>0.94</v>
      </c>
      <c r="AU21" s="11">
        <v>0.94</v>
      </c>
      <c r="AV21" s="11">
        <v>1</v>
      </c>
      <c r="AW21" s="11">
        <v>1</v>
      </c>
      <c r="AX21" s="11">
        <v>1</v>
      </c>
      <c r="AY21" s="11">
        <v>1</v>
      </c>
      <c r="AZ21" s="11">
        <v>0.76700000000000002</v>
      </c>
      <c r="BA21" s="11">
        <v>0.76700000000000002</v>
      </c>
      <c r="BB21" s="11">
        <v>0.54400000000000004</v>
      </c>
      <c r="BC21" s="11">
        <v>0.54400000000000004</v>
      </c>
      <c r="BD21" s="11">
        <v>0.60289999999999999</v>
      </c>
      <c r="BE21" s="11">
        <v>0.60289999999999999</v>
      </c>
      <c r="BF21" s="10" t="s">
        <v>25</v>
      </c>
      <c r="BG21" s="10" t="s">
        <v>25</v>
      </c>
      <c r="BH21" s="39"/>
      <c r="BI21" s="10" t="s">
        <v>25</v>
      </c>
      <c r="BJ21" s="39"/>
      <c r="BK21" s="10" t="s">
        <v>25</v>
      </c>
      <c r="BL21" s="39"/>
      <c r="BM21" s="10" t="s">
        <v>25</v>
      </c>
      <c r="BN21" s="39"/>
      <c r="BO21" s="10" t="s">
        <v>25</v>
      </c>
      <c r="BP21" s="39"/>
      <c r="BQ21" s="10" t="s">
        <v>5694</v>
      </c>
      <c r="BR21" s="42"/>
      <c r="BS21" s="42"/>
      <c r="BT21" s="42"/>
      <c r="BU21" s="42"/>
      <c r="BV21" s="42"/>
      <c r="BW21" s="42"/>
      <c r="BX21" s="42"/>
      <c r="BY21" s="42"/>
      <c r="BZ21" s="42"/>
      <c r="CA21" s="42"/>
      <c r="CB21" s="42"/>
      <c r="CC21" s="42"/>
      <c r="CD21" s="42"/>
      <c r="CE21" s="42"/>
      <c r="CF21" s="42"/>
      <c r="CG21" s="42"/>
      <c r="CH21" s="11"/>
      <c r="CI21" s="42"/>
      <c r="CJ21" s="42">
        <v>778.41</v>
      </c>
      <c r="CK21" s="42">
        <v>1673.59</v>
      </c>
      <c r="CL21" s="42"/>
      <c r="CM21" s="42">
        <v>1517.92</v>
      </c>
      <c r="CN21" s="42"/>
      <c r="CO21" s="42"/>
      <c r="CP21" s="42"/>
      <c r="CQ21" s="42"/>
      <c r="CR21" s="42"/>
      <c r="CS21" s="42">
        <v>2413.1</v>
      </c>
      <c r="CT21" s="42"/>
      <c r="CU21" s="42"/>
      <c r="CV21" s="42"/>
      <c r="CW21" s="42"/>
      <c r="CX21" s="42"/>
      <c r="CY21" s="11">
        <v>0.84</v>
      </c>
      <c r="CZ21" s="42"/>
      <c r="DA21" s="42">
        <v>721.8</v>
      </c>
      <c r="DB21" s="42">
        <v>1536.09</v>
      </c>
      <c r="DC21" s="42"/>
      <c r="DD21" s="42">
        <v>1422.6</v>
      </c>
      <c r="DE21" s="42"/>
      <c r="DF21" s="42"/>
      <c r="DG21" s="42"/>
      <c r="DH21" s="42"/>
      <c r="DI21" s="42"/>
      <c r="DJ21" s="42">
        <v>2075.06</v>
      </c>
      <c r="DK21" s="42"/>
      <c r="DL21" s="42"/>
      <c r="DM21" s="42"/>
      <c r="DN21" s="42"/>
      <c r="DO21" s="42"/>
      <c r="DP21" s="11">
        <v>0.9</v>
      </c>
      <c r="DQ21" s="42"/>
      <c r="DR21" s="42">
        <v>500.36</v>
      </c>
      <c r="DS21" s="42">
        <v>1100.79</v>
      </c>
      <c r="DT21" s="42"/>
      <c r="DU21" s="42">
        <v>1000.72</v>
      </c>
      <c r="DV21" s="42"/>
      <c r="DW21" s="42"/>
      <c r="DX21" s="42"/>
      <c r="DY21" s="42"/>
      <c r="DZ21" s="42"/>
      <c r="EA21" s="42">
        <v>1501.07</v>
      </c>
      <c r="EB21" s="42"/>
      <c r="EC21" s="42"/>
      <c r="ED21" s="42"/>
      <c r="EE21" s="42"/>
      <c r="EF21" s="42"/>
      <c r="EG21" s="11">
        <v>0.83</v>
      </c>
      <c r="EH21" s="42"/>
      <c r="EI21" s="42">
        <v>755.06</v>
      </c>
      <c r="EJ21" s="42">
        <v>1623.4</v>
      </c>
      <c r="EK21" s="42"/>
      <c r="EL21" s="42">
        <v>1472.39</v>
      </c>
      <c r="EM21" s="42"/>
      <c r="EN21" s="42"/>
      <c r="EO21" s="42"/>
      <c r="EP21" s="42"/>
      <c r="EQ21" s="42"/>
      <c r="ER21" s="42">
        <v>2340.7199999999998</v>
      </c>
      <c r="ES21" s="42"/>
      <c r="ET21" s="42"/>
      <c r="EU21" s="42"/>
      <c r="EV21" s="42"/>
      <c r="EW21" s="42"/>
      <c r="EX21" s="11">
        <v>0.84</v>
      </c>
      <c r="EY21" s="10"/>
      <c r="EZ21" s="10"/>
      <c r="FA21" s="10"/>
      <c r="FB21" s="10"/>
      <c r="FC21" s="10"/>
      <c r="FD21" s="10"/>
      <c r="FE21" s="10"/>
      <c r="FF21" s="10"/>
      <c r="FG21" s="10"/>
      <c r="FH21" s="10"/>
      <c r="FI21" s="10"/>
      <c r="FJ21" s="10"/>
      <c r="FK21" s="10"/>
      <c r="FL21" s="10"/>
      <c r="FM21" s="10"/>
      <c r="FN21" s="10"/>
      <c r="FO21" s="10"/>
      <c r="FP21" s="42"/>
      <c r="FQ21" s="42"/>
      <c r="FR21" s="42"/>
      <c r="FS21" s="42"/>
      <c r="FT21" s="42"/>
      <c r="FU21" s="42"/>
      <c r="FV21" s="42"/>
      <c r="FW21" s="42"/>
      <c r="FX21" s="42"/>
      <c r="FY21" s="42"/>
      <c r="FZ21" s="42"/>
      <c r="GA21" s="42"/>
      <c r="GB21" s="42"/>
      <c r="GC21" s="42"/>
      <c r="GD21" s="42"/>
      <c r="GE21" s="42"/>
      <c r="GF21" s="10"/>
      <c r="GG21" s="10">
        <v>1</v>
      </c>
      <c r="GH21" s="10" t="s">
        <v>5450</v>
      </c>
      <c r="GI21" s="42"/>
      <c r="GJ21" s="42">
        <v>50.72</v>
      </c>
      <c r="GK21" s="42">
        <v>106.5</v>
      </c>
      <c r="GL21" s="42"/>
      <c r="GM21" s="42">
        <v>91.28</v>
      </c>
      <c r="GN21" s="42"/>
      <c r="GO21" s="42"/>
      <c r="GP21" s="42"/>
      <c r="GQ21" s="42"/>
      <c r="GR21" s="42"/>
      <c r="GS21" s="42">
        <v>162.29</v>
      </c>
      <c r="GT21" s="42"/>
      <c r="GU21" s="42"/>
      <c r="GV21" s="42"/>
      <c r="GW21" s="42"/>
      <c r="GX21" s="42"/>
      <c r="GY21" s="11">
        <v>0.77</v>
      </c>
      <c r="GZ21" s="10"/>
      <c r="HA21" s="42"/>
      <c r="HB21" s="42">
        <v>10.11</v>
      </c>
      <c r="HC21" s="42">
        <v>20.22</v>
      </c>
      <c r="HD21" s="42"/>
      <c r="HE21" s="42">
        <v>21.64</v>
      </c>
      <c r="HF21" s="42"/>
      <c r="HG21" s="42"/>
      <c r="HH21" s="42"/>
      <c r="HI21" s="42"/>
      <c r="HJ21" s="42"/>
      <c r="HK21" s="42">
        <v>34.57</v>
      </c>
      <c r="HL21" s="42"/>
      <c r="HM21" s="42"/>
      <c r="HN21" s="42"/>
      <c r="HO21" s="42"/>
      <c r="HP21" s="42"/>
      <c r="HQ21" s="11">
        <v>0.79</v>
      </c>
      <c r="HR21" s="10" t="s">
        <v>5451</v>
      </c>
      <c r="HS21" s="39">
        <v>250000</v>
      </c>
      <c r="HT21" s="39"/>
      <c r="HU21" s="39"/>
      <c r="HV21" s="10" t="s">
        <v>25</v>
      </c>
      <c r="HW21" s="10" t="s">
        <v>25</v>
      </c>
      <c r="HX21" s="10" t="s">
        <v>5452</v>
      </c>
      <c r="HY21" s="10" t="s">
        <v>5452</v>
      </c>
      <c r="HZ21" s="10" t="s">
        <v>5452</v>
      </c>
      <c r="IA21" s="10" t="s">
        <v>25</v>
      </c>
      <c r="IB21" s="10"/>
      <c r="IC21" s="10" t="s">
        <v>5695</v>
      </c>
      <c r="ID21" s="10" t="s">
        <v>13260</v>
      </c>
      <c r="IE21" s="10" t="s">
        <v>5696</v>
      </c>
      <c r="IF21" s="10"/>
      <c r="IG21" s="10"/>
      <c r="IH21" s="10"/>
      <c r="II21" s="10"/>
      <c r="IJ21" s="10" t="s">
        <v>2758</v>
      </c>
      <c r="IK21" s="10"/>
      <c r="IL21" s="10" t="s">
        <v>5549</v>
      </c>
      <c r="IM21" s="10" t="s">
        <v>2758</v>
      </c>
      <c r="IN21" s="10"/>
      <c r="IO21" s="10" t="s">
        <v>28</v>
      </c>
      <c r="IP21" s="10" t="s">
        <v>2201</v>
      </c>
      <c r="IQ21" s="10" t="s">
        <v>5458</v>
      </c>
      <c r="IR21" s="10" t="s">
        <v>5459</v>
      </c>
      <c r="IS21" s="10" t="s">
        <v>5521</v>
      </c>
      <c r="IT21" s="10" t="s">
        <v>5474</v>
      </c>
      <c r="IU21" s="10" t="s">
        <v>5474</v>
      </c>
      <c r="IV21" s="10" t="s">
        <v>5458</v>
      </c>
      <c r="IW21" s="10" t="s">
        <v>5458</v>
      </c>
      <c r="IX21" s="10" t="s">
        <v>5460</v>
      </c>
      <c r="IY21" s="10"/>
      <c r="IZ21" s="10" t="s">
        <v>5697</v>
      </c>
      <c r="JA21" s="10" t="s">
        <v>13301</v>
      </c>
      <c r="JB21" s="10" t="s">
        <v>5515</v>
      </c>
      <c r="JC21" s="10" t="s">
        <v>5515</v>
      </c>
      <c r="JD21" s="10" t="s">
        <v>5663</v>
      </c>
      <c r="JE21" s="10" t="s">
        <v>28</v>
      </c>
      <c r="JF21" s="10" t="s">
        <v>5464</v>
      </c>
      <c r="JG21" s="10" t="s">
        <v>5465</v>
      </c>
      <c r="JH21" s="10" t="s">
        <v>5466</v>
      </c>
    </row>
    <row r="22" spans="1:268" ht="89.25" x14ac:dyDescent="0.2">
      <c r="A22" s="31" t="s">
        <v>159</v>
      </c>
      <c r="B22" s="9" t="s">
        <v>5494</v>
      </c>
      <c r="C22" s="9"/>
      <c r="D22" s="9" t="s">
        <v>25</v>
      </c>
      <c r="E22" s="9"/>
      <c r="F22" s="9" t="s">
        <v>5467</v>
      </c>
      <c r="G22" s="9"/>
      <c r="H22" s="9">
        <v>40</v>
      </c>
      <c r="I22" s="9">
        <v>24</v>
      </c>
      <c r="J22" s="9">
        <v>40</v>
      </c>
      <c r="K22" s="9" t="s">
        <v>25</v>
      </c>
      <c r="L22" s="9"/>
      <c r="M22" s="9"/>
      <c r="N22" s="9"/>
      <c r="O22" s="9"/>
      <c r="P22" s="9"/>
      <c r="Q22" s="9"/>
      <c r="R22" s="9" t="s">
        <v>5469</v>
      </c>
      <c r="S22" s="11">
        <v>7.0000000000000007E-2</v>
      </c>
      <c r="T22" s="11">
        <v>0.55000000000000004</v>
      </c>
      <c r="U22" s="11">
        <v>0.12</v>
      </c>
      <c r="V22" s="10"/>
      <c r="W22" s="11">
        <v>0.06</v>
      </c>
      <c r="X22" s="10"/>
      <c r="Y22" s="10"/>
      <c r="Z22" s="10"/>
      <c r="AA22" s="10"/>
      <c r="AB22" s="10"/>
      <c r="AC22" s="11">
        <v>0.2</v>
      </c>
      <c r="AD22" s="10"/>
      <c r="AE22" s="10"/>
      <c r="AF22" s="10"/>
      <c r="AG22" s="10"/>
      <c r="AH22" s="10"/>
      <c r="AI22" s="36">
        <v>2</v>
      </c>
      <c r="AJ22" s="33">
        <v>2.4E-2</v>
      </c>
      <c r="AK22" s="33">
        <v>2.4E-2</v>
      </c>
      <c r="AL22" s="33">
        <v>2.4E-2</v>
      </c>
      <c r="AM22" s="33">
        <v>5.0999999999999997E-2</v>
      </c>
      <c r="AN22" s="33">
        <v>6.5000000000000002E-2</v>
      </c>
      <c r="AO22" s="33">
        <v>2.4E-2</v>
      </c>
      <c r="AP22" s="33">
        <v>2.4E-2</v>
      </c>
      <c r="AQ22" s="33">
        <v>2.4E-2</v>
      </c>
      <c r="AR22" s="33">
        <v>5.0999999999999997E-2</v>
      </c>
      <c r="AS22" s="33">
        <v>6.5000000000000002E-2</v>
      </c>
      <c r="AT22" s="11">
        <v>0.85</v>
      </c>
      <c r="AU22" s="11">
        <v>0.85</v>
      </c>
      <c r="AV22" s="11">
        <v>0.85</v>
      </c>
      <c r="AW22" s="11">
        <v>0.85</v>
      </c>
      <c r="AX22" s="11">
        <v>0.86</v>
      </c>
      <c r="AY22" s="11">
        <v>0.86</v>
      </c>
      <c r="AZ22" s="11">
        <v>0.85</v>
      </c>
      <c r="BA22" s="11">
        <v>0.85</v>
      </c>
      <c r="BB22" s="11">
        <v>0.85</v>
      </c>
      <c r="BC22" s="11">
        <v>0.85</v>
      </c>
      <c r="BD22" s="11">
        <v>0.86</v>
      </c>
      <c r="BE22" s="11">
        <v>0.86</v>
      </c>
      <c r="BF22" s="10" t="s">
        <v>25</v>
      </c>
      <c r="BG22" s="10" t="s">
        <v>25</v>
      </c>
      <c r="BH22" s="39"/>
      <c r="BI22" s="10" t="s">
        <v>25</v>
      </c>
      <c r="BJ22" s="39"/>
      <c r="BK22" s="10" t="s">
        <v>25</v>
      </c>
      <c r="BL22" s="39"/>
      <c r="BM22" s="10" t="s">
        <v>25</v>
      </c>
      <c r="BN22" s="39"/>
      <c r="BO22" s="10" t="s">
        <v>25</v>
      </c>
      <c r="BP22" s="39"/>
      <c r="BQ22" s="10" t="s">
        <v>5530</v>
      </c>
      <c r="BR22" s="42">
        <v>0</v>
      </c>
      <c r="BS22" s="42">
        <v>805</v>
      </c>
      <c r="BT22" s="42">
        <v>1772</v>
      </c>
      <c r="BU22" s="42"/>
      <c r="BV22" s="42">
        <v>1449</v>
      </c>
      <c r="BW22" s="42"/>
      <c r="BX22" s="42"/>
      <c r="BY22" s="42"/>
      <c r="BZ22" s="42"/>
      <c r="CA22" s="42"/>
      <c r="CB22" s="42">
        <v>2496</v>
      </c>
      <c r="CC22" s="42"/>
      <c r="CD22" s="42"/>
      <c r="CE22" s="42"/>
      <c r="CF22" s="42"/>
      <c r="CG22" s="42"/>
      <c r="CH22" s="11">
        <v>0.84</v>
      </c>
      <c r="CI22" s="42">
        <v>0</v>
      </c>
      <c r="CJ22" s="42">
        <v>824</v>
      </c>
      <c r="CK22" s="42">
        <v>1813</v>
      </c>
      <c r="CL22" s="42"/>
      <c r="CM22" s="42">
        <v>1483</v>
      </c>
      <c r="CN22" s="42"/>
      <c r="CO22" s="42"/>
      <c r="CP22" s="42"/>
      <c r="CQ22" s="42"/>
      <c r="CR22" s="42"/>
      <c r="CS22" s="42">
        <v>2554</v>
      </c>
      <c r="CT22" s="42"/>
      <c r="CU22" s="42"/>
      <c r="CV22" s="42"/>
      <c r="CW22" s="42"/>
      <c r="CX22" s="42"/>
      <c r="CY22" s="11">
        <v>0.86</v>
      </c>
      <c r="CZ22" s="42">
        <v>0</v>
      </c>
      <c r="DA22" s="42">
        <v>780</v>
      </c>
      <c r="DB22" s="42">
        <v>1716</v>
      </c>
      <c r="DC22" s="42"/>
      <c r="DD22" s="42">
        <v>1404</v>
      </c>
      <c r="DE22" s="42"/>
      <c r="DF22" s="42"/>
      <c r="DG22" s="42"/>
      <c r="DH22" s="42"/>
      <c r="DI22" s="42"/>
      <c r="DJ22" s="42">
        <v>2418</v>
      </c>
      <c r="DK22" s="42"/>
      <c r="DL22" s="42"/>
      <c r="DM22" s="42"/>
      <c r="DN22" s="42"/>
      <c r="DO22" s="42"/>
      <c r="DP22" s="11">
        <v>0.89</v>
      </c>
      <c r="DQ22" s="42">
        <v>0</v>
      </c>
      <c r="DR22" s="42">
        <v>551</v>
      </c>
      <c r="DS22" s="42">
        <v>1207</v>
      </c>
      <c r="DT22" s="42"/>
      <c r="DU22" s="42">
        <v>1100</v>
      </c>
      <c r="DV22" s="42"/>
      <c r="DW22" s="42"/>
      <c r="DX22" s="42"/>
      <c r="DY22" s="42"/>
      <c r="DZ22" s="42"/>
      <c r="EA22" s="42">
        <v>1650</v>
      </c>
      <c r="EB22" s="42"/>
      <c r="EC22" s="42"/>
      <c r="ED22" s="42"/>
      <c r="EE22" s="42"/>
      <c r="EF22" s="42"/>
      <c r="EG22" s="11">
        <v>0.81</v>
      </c>
      <c r="EH22" s="42"/>
      <c r="EI22" s="42"/>
      <c r="EJ22" s="42"/>
      <c r="EK22" s="42"/>
      <c r="EL22" s="42"/>
      <c r="EM22" s="42"/>
      <c r="EN22" s="42"/>
      <c r="EO22" s="42"/>
      <c r="EP22" s="42"/>
      <c r="EQ22" s="42"/>
      <c r="ER22" s="42"/>
      <c r="ES22" s="42"/>
      <c r="ET22" s="42"/>
      <c r="EU22" s="42"/>
      <c r="EV22" s="42"/>
      <c r="EW22" s="42"/>
      <c r="EX22" s="10"/>
      <c r="EY22" s="10"/>
      <c r="EZ22" s="10"/>
      <c r="FA22" s="10"/>
      <c r="FB22" s="10"/>
      <c r="FC22" s="10"/>
      <c r="FD22" s="10"/>
      <c r="FE22" s="10"/>
      <c r="FF22" s="10"/>
      <c r="FG22" s="10"/>
      <c r="FH22" s="10"/>
      <c r="FI22" s="10"/>
      <c r="FJ22" s="10"/>
      <c r="FK22" s="10"/>
      <c r="FL22" s="10"/>
      <c r="FM22" s="10"/>
      <c r="FN22" s="10"/>
      <c r="FO22" s="10"/>
      <c r="FP22" s="42"/>
      <c r="FQ22" s="42"/>
      <c r="FR22" s="42"/>
      <c r="FS22" s="42"/>
      <c r="FT22" s="42"/>
      <c r="FU22" s="42"/>
      <c r="FV22" s="42"/>
      <c r="FW22" s="42"/>
      <c r="FX22" s="42"/>
      <c r="FY22" s="42"/>
      <c r="FZ22" s="42"/>
      <c r="GA22" s="42"/>
      <c r="GB22" s="42"/>
      <c r="GC22" s="42"/>
      <c r="GD22" s="42"/>
      <c r="GE22" s="42"/>
      <c r="GF22" s="10"/>
      <c r="GG22" s="10">
        <v>1</v>
      </c>
      <c r="GH22" s="10" t="s">
        <v>5450</v>
      </c>
      <c r="GI22" s="42">
        <v>0</v>
      </c>
      <c r="GJ22" s="42">
        <v>58</v>
      </c>
      <c r="GK22" s="42">
        <v>119</v>
      </c>
      <c r="GL22" s="42"/>
      <c r="GM22" s="42">
        <v>147</v>
      </c>
      <c r="GN22" s="42"/>
      <c r="GO22" s="42"/>
      <c r="GP22" s="42"/>
      <c r="GQ22" s="42"/>
      <c r="GR22" s="42"/>
      <c r="GS22" s="42">
        <v>205</v>
      </c>
      <c r="GT22" s="42"/>
      <c r="GU22" s="42"/>
      <c r="GV22" s="42"/>
      <c r="GW22" s="42"/>
      <c r="GX22" s="42"/>
      <c r="GY22" s="11">
        <v>0.85</v>
      </c>
      <c r="GZ22" s="10">
        <v>1</v>
      </c>
      <c r="HA22" s="42">
        <v>0</v>
      </c>
      <c r="HB22" s="42">
        <v>15</v>
      </c>
      <c r="HC22" s="42">
        <v>26</v>
      </c>
      <c r="HD22" s="42"/>
      <c r="HE22" s="42">
        <v>26</v>
      </c>
      <c r="HF22" s="42"/>
      <c r="HG22" s="42"/>
      <c r="HH22" s="42"/>
      <c r="HI22" s="42"/>
      <c r="HJ22" s="42"/>
      <c r="HK22" s="42">
        <v>45</v>
      </c>
      <c r="HL22" s="42"/>
      <c r="HM22" s="42"/>
      <c r="HN22" s="42"/>
      <c r="HO22" s="42"/>
      <c r="HP22" s="42"/>
      <c r="HQ22" s="11">
        <v>0.86</v>
      </c>
      <c r="HR22" s="10" t="s">
        <v>5451</v>
      </c>
      <c r="HS22" s="39">
        <v>200000</v>
      </c>
      <c r="HT22" s="39"/>
      <c r="HU22" s="39"/>
      <c r="HV22" s="10" t="s">
        <v>25</v>
      </c>
      <c r="HW22" s="10" t="s">
        <v>25</v>
      </c>
      <c r="HX22" s="10" t="s">
        <v>5452</v>
      </c>
      <c r="HY22" s="10" t="s">
        <v>5452</v>
      </c>
      <c r="HZ22" s="10" t="s">
        <v>5452</v>
      </c>
      <c r="IA22" s="10" t="s">
        <v>25</v>
      </c>
      <c r="IB22" s="10"/>
      <c r="IC22" s="10" t="s">
        <v>5664</v>
      </c>
      <c r="ID22" s="10" t="s">
        <v>13251</v>
      </c>
      <c r="IE22" s="10" t="s">
        <v>13283</v>
      </c>
      <c r="IF22" s="10" t="s">
        <v>13294</v>
      </c>
      <c r="IG22" s="10" t="s">
        <v>13294</v>
      </c>
      <c r="IH22" s="10" t="s">
        <v>13294</v>
      </c>
      <c r="II22" s="10" t="s">
        <v>5665</v>
      </c>
      <c r="IJ22" s="10" t="s">
        <v>2692</v>
      </c>
      <c r="IK22" s="10"/>
      <c r="IL22" s="10" t="s">
        <v>25</v>
      </c>
      <c r="IM22" s="10" t="s">
        <v>2692</v>
      </c>
      <c r="IN22" s="10"/>
      <c r="IO22" s="10" t="s">
        <v>25</v>
      </c>
      <c r="IP22" s="10" t="s">
        <v>2201</v>
      </c>
      <c r="IQ22" s="10" t="s">
        <v>5458</v>
      </c>
      <c r="IR22" s="10" t="s">
        <v>5458</v>
      </c>
      <c r="IS22" s="10" t="s">
        <v>5458</v>
      </c>
      <c r="IT22" s="10" t="s">
        <v>5459</v>
      </c>
      <c r="IU22" s="10" t="s">
        <v>5459</v>
      </c>
      <c r="IV22" s="10" t="s">
        <v>5458</v>
      </c>
      <c r="IW22" s="10" t="s">
        <v>5458</v>
      </c>
      <c r="IX22" s="10" t="s">
        <v>5483</v>
      </c>
      <c r="IY22" s="10"/>
      <c r="IZ22" s="10" t="s">
        <v>5666</v>
      </c>
      <c r="JA22" s="10" t="s">
        <v>13301</v>
      </c>
      <c r="JB22" s="10" t="s">
        <v>5461</v>
      </c>
      <c r="JC22" s="10" t="s">
        <v>5461</v>
      </c>
      <c r="JD22" s="10" t="s">
        <v>5462</v>
      </c>
      <c r="JE22" s="10" t="s">
        <v>5486</v>
      </c>
      <c r="JF22" s="10" t="s">
        <v>5516</v>
      </c>
      <c r="JG22" s="10" t="s">
        <v>5465</v>
      </c>
      <c r="JH22" s="10" t="s">
        <v>5496</v>
      </c>
    </row>
    <row r="23" spans="1:268" ht="89.25" x14ac:dyDescent="0.2">
      <c r="A23" s="31" t="s">
        <v>166</v>
      </c>
      <c r="B23" s="9" t="s">
        <v>5494</v>
      </c>
      <c r="C23" s="9"/>
      <c r="D23" s="9" t="s">
        <v>25</v>
      </c>
      <c r="E23" s="9"/>
      <c r="F23" s="9" t="s">
        <v>29</v>
      </c>
      <c r="G23" s="9">
        <v>0</v>
      </c>
      <c r="H23" s="9">
        <v>20</v>
      </c>
      <c r="I23" s="9">
        <v>20</v>
      </c>
      <c r="J23" s="9"/>
      <c r="K23" s="9" t="s">
        <v>25</v>
      </c>
      <c r="L23" s="9"/>
      <c r="M23" s="9"/>
      <c r="N23" s="9"/>
      <c r="O23" s="9"/>
      <c r="P23" s="9"/>
      <c r="Q23" s="9"/>
      <c r="R23" s="9" t="s">
        <v>5469</v>
      </c>
      <c r="S23" s="11">
        <v>0.01</v>
      </c>
      <c r="T23" s="11">
        <v>0.4</v>
      </c>
      <c r="U23" s="11">
        <v>0.11</v>
      </c>
      <c r="V23" s="10"/>
      <c r="W23" s="11">
        <v>0.09</v>
      </c>
      <c r="X23" s="10"/>
      <c r="Y23" s="10"/>
      <c r="Z23" s="10"/>
      <c r="AA23" s="10"/>
      <c r="AB23" s="10"/>
      <c r="AC23" s="11">
        <v>0.39</v>
      </c>
      <c r="AD23" s="10"/>
      <c r="AE23" s="10"/>
      <c r="AF23" s="10"/>
      <c r="AG23" s="10"/>
      <c r="AH23" s="10"/>
      <c r="AI23" s="36">
        <v>3</v>
      </c>
      <c r="AJ23" s="33">
        <v>7.0000000000000007E-2</v>
      </c>
      <c r="AK23" s="33">
        <v>0</v>
      </c>
      <c r="AL23" s="33"/>
      <c r="AM23" s="33"/>
      <c r="AN23" s="33">
        <v>8.8000000000000009E-2</v>
      </c>
      <c r="AO23" s="33">
        <v>7.0000000000000007E-2</v>
      </c>
      <c r="AP23" s="33"/>
      <c r="AQ23" s="33"/>
      <c r="AR23" s="33"/>
      <c r="AS23" s="33">
        <v>8.8000000000000009E-2</v>
      </c>
      <c r="AT23" s="11">
        <v>0.91</v>
      </c>
      <c r="AU23" s="11"/>
      <c r="AV23" s="11">
        <v>0.9</v>
      </c>
      <c r="AW23" s="11"/>
      <c r="AX23" s="11">
        <v>0.91</v>
      </c>
      <c r="AY23" s="11"/>
      <c r="AZ23" s="11">
        <v>0.83</v>
      </c>
      <c r="BA23" s="11"/>
      <c r="BB23" s="11">
        <v>0.82</v>
      </c>
      <c r="BC23" s="11"/>
      <c r="BD23" s="11">
        <v>0.69</v>
      </c>
      <c r="BE23" s="11"/>
      <c r="BF23" s="10" t="s">
        <v>25</v>
      </c>
      <c r="BG23" s="10" t="s">
        <v>25</v>
      </c>
      <c r="BH23" s="39"/>
      <c r="BI23" s="10" t="s">
        <v>25</v>
      </c>
      <c r="BJ23" s="39"/>
      <c r="BK23" s="10" t="s">
        <v>25</v>
      </c>
      <c r="BL23" s="39"/>
      <c r="BM23" s="10" t="s">
        <v>25</v>
      </c>
      <c r="BN23" s="39"/>
      <c r="BO23" s="10" t="s">
        <v>25</v>
      </c>
      <c r="BP23" s="39"/>
      <c r="BQ23" s="10" t="s">
        <v>5479</v>
      </c>
      <c r="BR23" s="42">
        <v>0</v>
      </c>
      <c r="BS23" s="42">
        <v>784.82</v>
      </c>
      <c r="BT23" s="42">
        <v>1883.64</v>
      </c>
      <c r="BU23" s="42"/>
      <c r="BV23" s="42">
        <v>1373.48</v>
      </c>
      <c r="BW23" s="42"/>
      <c r="BX23" s="42"/>
      <c r="BY23" s="42"/>
      <c r="BZ23" s="42"/>
      <c r="CA23" s="42"/>
      <c r="CB23" s="42">
        <v>2393.7199999999998</v>
      </c>
      <c r="CC23" s="42"/>
      <c r="CD23" s="42"/>
      <c r="CE23" s="42"/>
      <c r="CF23" s="42"/>
      <c r="CG23" s="42"/>
      <c r="CH23" s="11">
        <v>0.79</v>
      </c>
      <c r="CI23" s="42"/>
      <c r="CJ23" s="42"/>
      <c r="CK23" s="42"/>
      <c r="CL23" s="42"/>
      <c r="CM23" s="42"/>
      <c r="CN23" s="42"/>
      <c r="CO23" s="42"/>
      <c r="CP23" s="42"/>
      <c r="CQ23" s="42"/>
      <c r="CR23" s="42"/>
      <c r="CS23" s="42"/>
      <c r="CT23" s="42"/>
      <c r="CU23" s="42"/>
      <c r="CV23" s="42"/>
      <c r="CW23" s="42"/>
      <c r="CX23" s="42"/>
      <c r="CY23" s="11"/>
      <c r="CZ23" s="42">
        <v>0</v>
      </c>
      <c r="DA23" s="42">
        <v>628.67999999999995</v>
      </c>
      <c r="DB23" s="42">
        <v>1508.86</v>
      </c>
      <c r="DC23" s="42"/>
      <c r="DD23" s="42">
        <v>1100.18</v>
      </c>
      <c r="DE23" s="42"/>
      <c r="DF23" s="42"/>
      <c r="DG23" s="42"/>
      <c r="DH23" s="42"/>
      <c r="DI23" s="42"/>
      <c r="DJ23" s="42">
        <v>1917.42</v>
      </c>
      <c r="DK23" s="42"/>
      <c r="DL23" s="42"/>
      <c r="DM23" s="42"/>
      <c r="DN23" s="42"/>
      <c r="DO23" s="42"/>
      <c r="DP23" s="11">
        <v>0.88</v>
      </c>
      <c r="DQ23" s="42">
        <v>0</v>
      </c>
      <c r="DR23" s="42">
        <v>515.02</v>
      </c>
      <c r="DS23" s="42">
        <v>1236.04</v>
      </c>
      <c r="DT23" s="42"/>
      <c r="DU23" s="42">
        <v>901.28</v>
      </c>
      <c r="DV23" s="42"/>
      <c r="DW23" s="42"/>
      <c r="DX23" s="42"/>
      <c r="DY23" s="42"/>
      <c r="DZ23" s="42"/>
      <c r="EA23" s="42">
        <v>1570.78</v>
      </c>
      <c r="EB23" s="42"/>
      <c r="EC23" s="42"/>
      <c r="ED23" s="42"/>
      <c r="EE23" s="42"/>
      <c r="EF23" s="42"/>
      <c r="EG23" s="11">
        <v>0.82</v>
      </c>
      <c r="EH23" s="42"/>
      <c r="EI23" s="42"/>
      <c r="EJ23" s="42"/>
      <c r="EK23" s="42"/>
      <c r="EL23" s="42"/>
      <c r="EM23" s="42"/>
      <c r="EN23" s="42"/>
      <c r="EO23" s="42"/>
      <c r="EP23" s="42"/>
      <c r="EQ23" s="42"/>
      <c r="ER23" s="42"/>
      <c r="ES23" s="42"/>
      <c r="ET23" s="42"/>
      <c r="EU23" s="42"/>
      <c r="EV23" s="42"/>
      <c r="EW23" s="42"/>
      <c r="EX23" s="10"/>
      <c r="EY23" s="10"/>
      <c r="EZ23" s="10"/>
      <c r="FA23" s="10"/>
      <c r="FB23" s="10"/>
      <c r="FC23" s="10"/>
      <c r="FD23" s="10"/>
      <c r="FE23" s="10"/>
      <c r="FF23" s="10"/>
      <c r="FG23" s="10"/>
      <c r="FH23" s="10"/>
      <c r="FI23" s="10"/>
      <c r="FJ23" s="10"/>
      <c r="FK23" s="10"/>
      <c r="FL23" s="10"/>
      <c r="FM23" s="10"/>
      <c r="FN23" s="10"/>
      <c r="FO23" s="10"/>
      <c r="FP23" s="42"/>
      <c r="FQ23" s="42"/>
      <c r="FR23" s="42"/>
      <c r="FS23" s="42"/>
      <c r="FT23" s="42"/>
      <c r="FU23" s="42"/>
      <c r="FV23" s="42"/>
      <c r="FW23" s="42"/>
      <c r="FX23" s="42"/>
      <c r="FY23" s="42"/>
      <c r="FZ23" s="42"/>
      <c r="GA23" s="42"/>
      <c r="GB23" s="42"/>
      <c r="GC23" s="42"/>
      <c r="GD23" s="42"/>
      <c r="GE23" s="42"/>
      <c r="GF23" s="10"/>
      <c r="GG23" s="10">
        <v>1</v>
      </c>
      <c r="GH23" s="10" t="s">
        <v>5450</v>
      </c>
      <c r="GI23" s="42">
        <v>0</v>
      </c>
      <c r="GJ23" s="42">
        <v>51.52</v>
      </c>
      <c r="GK23" s="42">
        <v>103.94</v>
      </c>
      <c r="GL23" s="42"/>
      <c r="GM23" s="42">
        <v>138.63999999999999</v>
      </c>
      <c r="GN23" s="42"/>
      <c r="GO23" s="42"/>
      <c r="GP23" s="42"/>
      <c r="GQ23" s="42"/>
      <c r="GR23" s="42"/>
      <c r="GS23" s="42">
        <v>191.06</v>
      </c>
      <c r="GT23" s="42"/>
      <c r="GU23" s="42"/>
      <c r="GV23" s="42"/>
      <c r="GW23" s="42"/>
      <c r="GX23" s="42"/>
      <c r="GY23" s="11">
        <v>0.84</v>
      </c>
      <c r="GZ23" s="10">
        <v>1</v>
      </c>
      <c r="HA23" s="42">
        <v>0</v>
      </c>
      <c r="HB23" s="42">
        <v>9.44</v>
      </c>
      <c r="HC23" s="42">
        <v>15.9</v>
      </c>
      <c r="HD23" s="42"/>
      <c r="HE23" s="42">
        <v>16.2</v>
      </c>
      <c r="HF23" s="42"/>
      <c r="HG23" s="42"/>
      <c r="HH23" s="42"/>
      <c r="HI23" s="42"/>
      <c r="HJ23" s="42"/>
      <c r="HK23" s="42">
        <v>25.64</v>
      </c>
      <c r="HL23" s="42"/>
      <c r="HM23" s="42"/>
      <c r="HN23" s="42"/>
      <c r="HO23" s="42"/>
      <c r="HP23" s="42"/>
      <c r="HQ23" s="11">
        <v>0.71</v>
      </c>
      <c r="HR23" s="10" t="s">
        <v>5451</v>
      </c>
      <c r="HS23" s="39">
        <v>900000</v>
      </c>
      <c r="HT23" s="39"/>
      <c r="HU23" s="39"/>
      <c r="HV23" s="10" t="s">
        <v>25</v>
      </c>
      <c r="HW23" s="10" t="s">
        <v>25</v>
      </c>
      <c r="HX23" s="10" t="s">
        <v>5452</v>
      </c>
      <c r="HY23" s="10" t="s">
        <v>5452</v>
      </c>
      <c r="HZ23" s="10" t="s">
        <v>5452</v>
      </c>
      <c r="IA23" s="10" t="s">
        <v>25</v>
      </c>
      <c r="IB23" s="10"/>
      <c r="IC23" s="10" t="s">
        <v>5684</v>
      </c>
      <c r="ID23" s="10" t="s">
        <v>13257</v>
      </c>
      <c r="IE23" s="10" t="s">
        <v>13286</v>
      </c>
      <c r="IF23" s="10" t="s">
        <v>72</v>
      </c>
      <c r="IG23" s="10" t="s">
        <v>72</v>
      </c>
      <c r="IH23" s="10" t="s">
        <v>72</v>
      </c>
      <c r="II23" s="10" t="s">
        <v>72</v>
      </c>
      <c r="IJ23" s="10" t="s">
        <v>2692</v>
      </c>
      <c r="IK23" s="10"/>
      <c r="IL23" s="10" t="s">
        <v>25</v>
      </c>
      <c r="IM23" s="10" t="s">
        <v>5457</v>
      </c>
      <c r="IN23" s="10"/>
      <c r="IO23" s="10" t="s">
        <v>25</v>
      </c>
      <c r="IP23" s="10" t="s">
        <v>28</v>
      </c>
      <c r="IQ23" s="10" t="s">
        <v>5458</v>
      </c>
      <c r="IR23" s="10" t="s">
        <v>5459</v>
      </c>
      <c r="IS23" s="10" t="s">
        <v>5502</v>
      </c>
      <c r="IT23" s="10" t="s">
        <v>5502</v>
      </c>
      <c r="IU23" s="10" t="s">
        <v>5502</v>
      </c>
      <c r="IV23" s="10" t="s">
        <v>5458</v>
      </c>
      <c r="IW23" s="10" t="s">
        <v>5458</v>
      </c>
      <c r="IX23" s="10" t="s">
        <v>5483</v>
      </c>
      <c r="IY23" s="10"/>
      <c r="IZ23" s="10" t="s">
        <v>5685</v>
      </c>
      <c r="JA23" s="10" t="s">
        <v>13301</v>
      </c>
      <c r="JB23" s="10" t="s">
        <v>5515</v>
      </c>
      <c r="JC23" s="10" t="s">
        <v>5515</v>
      </c>
      <c r="JD23" s="10" t="s">
        <v>5462</v>
      </c>
      <c r="JE23" s="10" t="s">
        <v>28</v>
      </c>
      <c r="JF23" s="10" t="s">
        <v>5464</v>
      </c>
      <c r="JG23" s="10" t="s">
        <v>5465</v>
      </c>
      <c r="JH23" s="10" t="s">
        <v>5496</v>
      </c>
    </row>
    <row r="24" spans="1:268" ht="89.25" x14ac:dyDescent="0.2">
      <c r="A24" s="31" t="s">
        <v>157</v>
      </c>
      <c r="B24" s="9" t="s">
        <v>2207</v>
      </c>
      <c r="C24" s="9"/>
      <c r="D24" s="9" t="s">
        <v>25</v>
      </c>
      <c r="E24" s="9"/>
      <c r="F24" s="9"/>
      <c r="G24" s="9"/>
      <c r="H24" s="9">
        <v>30</v>
      </c>
      <c r="I24" s="9"/>
      <c r="J24" s="9"/>
      <c r="K24" s="9" t="s">
        <v>25</v>
      </c>
      <c r="L24" s="9"/>
      <c r="M24" s="9"/>
      <c r="N24" s="9"/>
      <c r="O24" s="9"/>
      <c r="P24" s="9"/>
      <c r="Q24" s="9"/>
      <c r="R24" s="9" t="s">
        <v>5469</v>
      </c>
      <c r="S24" s="11">
        <v>0.08</v>
      </c>
      <c r="T24" s="11">
        <v>0.38</v>
      </c>
      <c r="U24" s="11">
        <v>0.09</v>
      </c>
      <c r="V24" s="10"/>
      <c r="W24" s="11">
        <v>7.0000000000000007E-2</v>
      </c>
      <c r="X24" s="10"/>
      <c r="Y24" s="10"/>
      <c r="Z24" s="10"/>
      <c r="AA24" s="10"/>
      <c r="AB24" s="10"/>
      <c r="AC24" s="11">
        <v>0.38</v>
      </c>
      <c r="AD24" s="10"/>
      <c r="AE24" s="10"/>
      <c r="AF24" s="10"/>
      <c r="AG24" s="10"/>
      <c r="AH24" s="10"/>
      <c r="AI24" s="36">
        <v>3</v>
      </c>
      <c r="AJ24" s="33"/>
      <c r="AK24" s="33"/>
      <c r="AL24" s="33"/>
      <c r="AM24" s="33"/>
      <c r="AN24" s="33"/>
      <c r="AO24" s="33"/>
      <c r="AP24" s="33"/>
      <c r="AQ24" s="33"/>
      <c r="AR24" s="33"/>
      <c r="AS24" s="33"/>
      <c r="AT24" s="11">
        <v>0.75</v>
      </c>
      <c r="AU24" s="11"/>
      <c r="AV24" s="11">
        <v>0.85</v>
      </c>
      <c r="AW24" s="11"/>
      <c r="AX24" s="11">
        <v>0.85</v>
      </c>
      <c r="AY24" s="11"/>
      <c r="AZ24" s="11">
        <v>0.75</v>
      </c>
      <c r="BA24" s="11"/>
      <c r="BB24" s="11">
        <v>0.75</v>
      </c>
      <c r="BC24" s="11"/>
      <c r="BD24" s="11">
        <v>0.75</v>
      </c>
      <c r="BE24" s="11"/>
      <c r="BF24" s="10" t="s">
        <v>25</v>
      </c>
      <c r="BG24" s="10" t="s">
        <v>25</v>
      </c>
      <c r="BH24" s="39"/>
      <c r="BI24" s="10" t="s">
        <v>28</v>
      </c>
      <c r="BJ24" s="39">
        <v>25</v>
      </c>
      <c r="BK24" s="10" t="s">
        <v>28</v>
      </c>
      <c r="BL24" s="39">
        <v>10</v>
      </c>
      <c r="BM24" s="10" t="s">
        <v>25</v>
      </c>
      <c r="BN24" s="39"/>
      <c r="BO24" s="10" t="s">
        <v>25</v>
      </c>
      <c r="BP24" s="39"/>
      <c r="BQ24" s="10" t="s">
        <v>5479</v>
      </c>
      <c r="BR24" s="42">
        <v>0</v>
      </c>
      <c r="BS24" s="42">
        <v>758.02</v>
      </c>
      <c r="BT24" s="42">
        <v>1667.64</v>
      </c>
      <c r="BU24" s="42"/>
      <c r="BV24" s="42">
        <v>1364.43</v>
      </c>
      <c r="BW24" s="42"/>
      <c r="BX24" s="42"/>
      <c r="BY24" s="42"/>
      <c r="BZ24" s="42"/>
      <c r="CA24" s="42"/>
      <c r="CB24" s="42">
        <v>2349.86</v>
      </c>
      <c r="CC24" s="42"/>
      <c r="CD24" s="42"/>
      <c r="CE24" s="42"/>
      <c r="CF24" s="42"/>
      <c r="CG24" s="42"/>
      <c r="CH24" s="11">
        <v>0.82</v>
      </c>
      <c r="CI24" s="42"/>
      <c r="CJ24" s="42"/>
      <c r="CK24" s="42"/>
      <c r="CL24" s="42"/>
      <c r="CM24" s="42"/>
      <c r="CN24" s="42"/>
      <c r="CO24" s="42"/>
      <c r="CP24" s="42"/>
      <c r="CQ24" s="42"/>
      <c r="CR24" s="42"/>
      <c r="CS24" s="42"/>
      <c r="CT24" s="42"/>
      <c r="CU24" s="42"/>
      <c r="CV24" s="42"/>
      <c r="CW24" s="42"/>
      <c r="CX24" s="42"/>
      <c r="CY24" s="11"/>
      <c r="CZ24" s="42">
        <v>0</v>
      </c>
      <c r="DA24" s="42">
        <v>641.29</v>
      </c>
      <c r="DB24" s="42">
        <v>1410.83</v>
      </c>
      <c r="DC24" s="42"/>
      <c r="DD24" s="42">
        <v>1154.31</v>
      </c>
      <c r="DE24" s="42"/>
      <c r="DF24" s="42"/>
      <c r="DG24" s="42"/>
      <c r="DH24" s="42"/>
      <c r="DI24" s="42"/>
      <c r="DJ24" s="42">
        <v>1987.98</v>
      </c>
      <c r="DK24" s="42"/>
      <c r="DL24" s="42"/>
      <c r="DM24" s="42"/>
      <c r="DN24" s="42"/>
      <c r="DO24" s="42"/>
      <c r="DP24" s="11">
        <v>0.86</v>
      </c>
      <c r="DQ24" s="42">
        <v>0</v>
      </c>
      <c r="DR24" s="42">
        <v>597.91</v>
      </c>
      <c r="DS24" s="42">
        <v>1315.41</v>
      </c>
      <c r="DT24" s="42"/>
      <c r="DU24" s="42">
        <v>1076.25</v>
      </c>
      <c r="DV24" s="42"/>
      <c r="DW24" s="42"/>
      <c r="DX24" s="42"/>
      <c r="DY24" s="42"/>
      <c r="DZ24" s="42"/>
      <c r="EA24" s="42">
        <v>1853.53</v>
      </c>
      <c r="EB24" s="42"/>
      <c r="EC24" s="42"/>
      <c r="ED24" s="42"/>
      <c r="EE24" s="42"/>
      <c r="EF24" s="42"/>
      <c r="EG24" s="11">
        <v>0.82</v>
      </c>
      <c r="EH24" s="42"/>
      <c r="EI24" s="42"/>
      <c r="EJ24" s="42"/>
      <c r="EK24" s="42"/>
      <c r="EL24" s="42"/>
      <c r="EM24" s="42"/>
      <c r="EN24" s="42"/>
      <c r="EO24" s="42"/>
      <c r="EP24" s="42"/>
      <c r="EQ24" s="42"/>
      <c r="ER24" s="42"/>
      <c r="ES24" s="42"/>
      <c r="ET24" s="42"/>
      <c r="EU24" s="42"/>
      <c r="EV24" s="42"/>
      <c r="EW24" s="42"/>
      <c r="EX24" s="10"/>
      <c r="EY24" s="10"/>
      <c r="EZ24" s="10"/>
      <c r="FA24" s="10"/>
      <c r="FB24" s="10"/>
      <c r="FC24" s="10"/>
      <c r="FD24" s="10"/>
      <c r="FE24" s="10"/>
      <c r="FF24" s="10"/>
      <c r="FG24" s="10"/>
      <c r="FH24" s="10"/>
      <c r="FI24" s="10"/>
      <c r="FJ24" s="10"/>
      <c r="FK24" s="10"/>
      <c r="FL24" s="10"/>
      <c r="FM24" s="10"/>
      <c r="FN24" s="10"/>
      <c r="FO24" s="10"/>
      <c r="FP24" s="42"/>
      <c r="FQ24" s="42"/>
      <c r="FR24" s="42"/>
      <c r="FS24" s="42"/>
      <c r="FT24" s="42"/>
      <c r="FU24" s="42"/>
      <c r="FV24" s="42"/>
      <c r="FW24" s="42"/>
      <c r="FX24" s="42"/>
      <c r="FY24" s="42"/>
      <c r="FZ24" s="42"/>
      <c r="GA24" s="42"/>
      <c r="GB24" s="42"/>
      <c r="GC24" s="42"/>
      <c r="GD24" s="42"/>
      <c r="GE24" s="42"/>
      <c r="GF24" s="10"/>
      <c r="GG24" s="10">
        <v>2</v>
      </c>
      <c r="GH24" s="10" t="s">
        <v>5450</v>
      </c>
      <c r="GI24" s="42">
        <v>0</v>
      </c>
      <c r="GJ24" s="42">
        <v>59.42</v>
      </c>
      <c r="GK24" s="42">
        <v>130.72999999999999</v>
      </c>
      <c r="GL24" s="42"/>
      <c r="GM24" s="42">
        <v>106.96</v>
      </c>
      <c r="GN24" s="42"/>
      <c r="GO24" s="42"/>
      <c r="GP24" s="42"/>
      <c r="GQ24" s="42"/>
      <c r="GR24" s="42"/>
      <c r="GS24" s="42">
        <v>184.22</v>
      </c>
      <c r="GT24" s="42"/>
      <c r="GU24" s="42"/>
      <c r="GV24" s="42"/>
      <c r="GW24" s="42"/>
      <c r="GX24" s="42"/>
      <c r="GY24" s="11">
        <v>0.65</v>
      </c>
      <c r="GZ24" s="10">
        <v>1</v>
      </c>
      <c r="HA24" s="42">
        <v>0</v>
      </c>
      <c r="HB24" s="42">
        <v>10.31</v>
      </c>
      <c r="HC24" s="42">
        <v>22.68</v>
      </c>
      <c r="HD24" s="42"/>
      <c r="HE24" s="42">
        <v>18.55</v>
      </c>
      <c r="HF24" s="42"/>
      <c r="HG24" s="42"/>
      <c r="HH24" s="42"/>
      <c r="HI24" s="42"/>
      <c r="HJ24" s="42"/>
      <c r="HK24" s="42">
        <v>31.95</v>
      </c>
      <c r="HL24" s="42"/>
      <c r="HM24" s="42"/>
      <c r="HN24" s="42"/>
      <c r="HO24" s="42"/>
      <c r="HP24" s="42"/>
      <c r="HQ24" s="11">
        <v>0.82</v>
      </c>
      <c r="HR24" s="10" t="s">
        <v>5537</v>
      </c>
      <c r="HS24" s="39">
        <v>300000</v>
      </c>
      <c r="HT24" s="39">
        <v>120000</v>
      </c>
      <c r="HU24" s="39">
        <v>1000000</v>
      </c>
      <c r="HV24" s="10" t="s">
        <v>25</v>
      </c>
      <c r="HW24" s="10" t="s">
        <v>28</v>
      </c>
      <c r="HX24" s="10" t="s">
        <v>5452</v>
      </c>
      <c r="HY24" s="10" t="s">
        <v>5453</v>
      </c>
      <c r="HZ24" s="10" t="s">
        <v>5453</v>
      </c>
      <c r="IA24" s="10" t="s">
        <v>25</v>
      </c>
      <c r="IB24" s="10"/>
      <c r="IC24" s="10" t="s">
        <v>13233</v>
      </c>
      <c r="ID24" s="10" t="s">
        <v>5655</v>
      </c>
      <c r="IE24" s="10" t="s">
        <v>5655</v>
      </c>
      <c r="IF24" s="10" t="s">
        <v>5656</v>
      </c>
      <c r="IG24" s="10" t="s">
        <v>5656</v>
      </c>
      <c r="IH24" s="10" t="s">
        <v>5656</v>
      </c>
      <c r="II24" s="10"/>
      <c r="IJ24" s="10" t="s">
        <v>2758</v>
      </c>
      <c r="IK24" s="10"/>
      <c r="IL24" s="10" t="s">
        <v>5549</v>
      </c>
      <c r="IM24" s="10" t="s">
        <v>2758</v>
      </c>
      <c r="IN24" s="10"/>
      <c r="IO24" s="10" t="s">
        <v>25</v>
      </c>
      <c r="IP24" s="10" t="s">
        <v>2201</v>
      </c>
      <c r="IQ24" s="10" t="s">
        <v>5458</v>
      </c>
      <c r="IR24" s="10" t="s">
        <v>5459</v>
      </c>
      <c r="IS24" s="10" t="s">
        <v>5657</v>
      </c>
      <c r="IT24" s="10" t="s">
        <v>5474</v>
      </c>
      <c r="IU24" s="10" t="s">
        <v>5474</v>
      </c>
      <c r="IV24" s="10" t="s">
        <v>5458</v>
      </c>
      <c r="IW24" s="10" t="s">
        <v>5458</v>
      </c>
      <c r="IX24" s="10" t="s">
        <v>5483</v>
      </c>
      <c r="IY24" s="10"/>
      <c r="IZ24" s="10" t="s">
        <v>5658</v>
      </c>
      <c r="JA24" s="10" t="s">
        <v>13301</v>
      </c>
      <c r="JB24" s="10" t="s">
        <v>5485</v>
      </c>
      <c r="JC24" s="10" t="s">
        <v>5485</v>
      </c>
      <c r="JD24" s="10" t="s">
        <v>5477</v>
      </c>
      <c r="JE24" s="10" t="s">
        <v>5486</v>
      </c>
      <c r="JF24" s="10" t="s">
        <v>5516</v>
      </c>
      <c r="JG24" s="10" t="s">
        <v>5465</v>
      </c>
      <c r="JH24" s="10" t="s">
        <v>5466</v>
      </c>
    </row>
    <row r="25" spans="1:268" ht="127.5" x14ac:dyDescent="0.2">
      <c r="A25" s="31" t="s">
        <v>144</v>
      </c>
      <c r="B25" s="9" t="s">
        <v>2185</v>
      </c>
      <c r="C25" s="9"/>
      <c r="D25" s="9" t="s">
        <v>25</v>
      </c>
      <c r="E25" s="9"/>
      <c r="F25" s="9" t="s">
        <v>5467</v>
      </c>
      <c r="G25" s="9"/>
      <c r="H25" s="9">
        <v>33</v>
      </c>
      <c r="I25" s="9">
        <v>20</v>
      </c>
      <c r="J25" s="9">
        <v>32</v>
      </c>
      <c r="K25" s="9" t="s">
        <v>25</v>
      </c>
      <c r="L25" s="9"/>
      <c r="M25" s="9"/>
      <c r="N25" s="9"/>
      <c r="O25" s="9"/>
      <c r="P25" s="9"/>
      <c r="Q25" s="9"/>
      <c r="R25" s="9" t="s">
        <v>5469</v>
      </c>
      <c r="S25" s="11">
        <v>0.05</v>
      </c>
      <c r="T25" s="11">
        <v>0.34</v>
      </c>
      <c r="U25" s="11">
        <v>0.13</v>
      </c>
      <c r="V25" s="10"/>
      <c r="W25" s="11">
        <v>0.11</v>
      </c>
      <c r="X25" s="10"/>
      <c r="Y25" s="10"/>
      <c r="Z25" s="10"/>
      <c r="AA25" s="10"/>
      <c r="AB25" s="10"/>
      <c r="AC25" s="11">
        <v>0.37</v>
      </c>
      <c r="AD25" s="10"/>
      <c r="AE25" s="10"/>
      <c r="AF25" s="10"/>
      <c r="AG25" s="10"/>
      <c r="AH25" s="10"/>
      <c r="AI25" s="36">
        <v>3</v>
      </c>
      <c r="AJ25" s="33">
        <v>0.05</v>
      </c>
      <c r="AK25" s="33">
        <v>0.1</v>
      </c>
      <c r="AL25" s="33"/>
      <c r="AM25" s="33"/>
      <c r="AN25" s="33"/>
      <c r="AO25" s="33">
        <v>3.2000000000000001E-2</v>
      </c>
      <c r="AP25" s="33">
        <v>0.06</v>
      </c>
      <c r="AQ25" s="33"/>
      <c r="AR25" s="33"/>
      <c r="AS25" s="33"/>
      <c r="AT25" s="11">
        <v>0.9</v>
      </c>
      <c r="AU25" s="11">
        <v>0.9</v>
      </c>
      <c r="AV25" s="11">
        <v>0.85</v>
      </c>
      <c r="AW25" s="11">
        <v>0.85</v>
      </c>
      <c r="AX25" s="11">
        <v>0</v>
      </c>
      <c r="AY25" s="11">
        <v>0</v>
      </c>
      <c r="AZ25" s="11">
        <v>0.73</v>
      </c>
      <c r="BA25" s="11">
        <v>0.73</v>
      </c>
      <c r="BB25" s="11">
        <v>0.7</v>
      </c>
      <c r="BC25" s="11">
        <v>0.7</v>
      </c>
      <c r="BD25" s="11">
        <v>0</v>
      </c>
      <c r="BE25" s="11">
        <v>0</v>
      </c>
      <c r="BF25" s="10" t="s">
        <v>25</v>
      </c>
      <c r="BG25" s="10" t="s">
        <v>25</v>
      </c>
      <c r="BH25" s="39"/>
      <c r="BI25" s="10" t="s">
        <v>25</v>
      </c>
      <c r="BJ25" s="39"/>
      <c r="BK25" s="10" t="s">
        <v>25</v>
      </c>
      <c r="BL25" s="39"/>
      <c r="BM25" s="10" t="s">
        <v>25</v>
      </c>
      <c r="BN25" s="39"/>
      <c r="BO25" s="10" t="s">
        <v>25</v>
      </c>
      <c r="BP25" s="39"/>
      <c r="BQ25" s="10" t="s">
        <v>5530</v>
      </c>
      <c r="BR25" s="42">
        <v>0</v>
      </c>
      <c r="BS25" s="42">
        <v>614.04</v>
      </c>
      <c r="BT25" s="42">
        <v>1293.3599999999999</v>
      </c>
      <c r="BU25" s="42"/>
      <c r="BV25" s="42">
        <v>1231.1400000000001</v>
      </c>
      <c r="BW25" s="42"/>
      <c r="BX25" s="42"/>
      <c r="BY25" s="42"/>
      <c r="BZ25" s="42"/>
      <c r="CA25" s="42"/>
      <c r="CB25" s="42">
        <v>1969.62</v>
      </c>
      <c r="CC25" s="42"/>
      <c r="CD25" s="42"/>
      <c r="CE25" s="42"/>
      <c r="CF25" s="42"/>
      <c r="CG25" s="42"/>
      <c r="CH25" s="11">
        <v>0.82</v>
      </c>
      <c r="CI25" s="42">
        <v>0</v>
      </c>
      <c r="CJ25" s="42">
        <v>719.1</v>
      </c>
      <c r="CK25" s="42">
        <v>1508.58</v>
      </c>
      <c r="CL25" s="42"/>
      <c r="CM25" s="42">
        <v>1437.18</v>
      </c>
      <c r="CN25" s="42"/>
      <c r="CO25" s="42"/>
      <c r="CP25" s="42"/>
      <c r="CQ25" s="42"/>
      <c r="CR25" s="42"/>
      <c r="CS25" s="42">
        <v>2299.08</v>
      </c>
      <c r="CT25" s="42"/>
      <c r="CU25" s="42"/>
      <c r="CV25" s="42"/>
      <c r="CW25" s="42"/>
      <c r="CX25" s="42"/>
      <c r="CY25" s="11">
        <v>0.73</v>
      </c>
      <c r="CZ25" s="42">
        <v>0</v>
      </c>
      <c r="DA25" s="42">
        <v>609.96</v>
      </c>
      <c r="DB25" s="42">
        <v>1280.0999999999999</v>
      </c>
      <c r="DC25" s="42"/>
      <c r="DD25" s="42">
        <v>1219.92</v>
      </c>
      <c r="DE25" s="42"/>
      <c r="DF25" s="42"/>
      <c r="DG25" s="42"/>
      <c r="DH25" s="42"/>
      <c r="DI25" s="42"/>
      <c r="DJ25" s="42">
        <v>1949.22</v>
      </c>
      <c r="DK25" s="42"/>
      <c r="DL25" s="42"/>
      <c r="DM25" s="42"/>
      <c r="DN25" s="42"/>
      <c r="DO25" s="42"/>
      <c r="DP25" s="11">
        <v>0.88</v>
      </c>
      <c r="DQ25" s="42">
        <v>0</v>
      </c>
      <c r="DR25" s="42">
        <v>701.37</v>
      </c>
      <c r="DS25" s="42">
        <v>1402.74</v>
      </c>
      <c r="DT25" s="42"/>
      <c r="DU25" s="42">
        <v>1332.59</v>
      </c>
      <c r="DV25" s="42"/>
      <c r="DW25" s="42"/>
      <c r="DX25" s="42"/>
      <c r="DY25" s="42"/>
      <c r="DZ25" s="42"/>
      <c r="EA25" s="42">
        <v>2104.1</v>
      </c>
      <c r="EB25" s="42"/>
      <c r="EC25" s="42"/>
      <c r="ED25" s="42"/>
      <c r="EE25" s="42"/>
      <c r="EF25" s="42"/>
      <c r="EG25" s="11">
        <v>0.78</v>
      </c>
      <c r="EH25" s="42"/>
      <c r="EI25" s="42"/>
      <c r="EJ25" s="42"/>
      <c r="EK25" s="42"/>
      <c r="EL25" s="42"/>
      <c r="EM25" s="42"/>
      <c r="EN25" s="42"/>
      <c r="EO25" s="42"/>
      <c r="EP25" s="42"/>
      <c r="EQ25" s="42"/>
      <c r="ER25" s="42"/>
      <c r="ES25" s="42"/>
      <c r="ET25" s="42"/>
      <c r="EU25" s="42"/>
      <c r="EV25" s="42"/>
      <c r="EW25" s="42"/>
      <c r="EX25" s="10"/>
      <c r="EY25" s="10"/>
      <c r="EZ25" s="10"/>
      <c r="FA25" s="10"/>
      <c r="FB25" s="10"/>
      <c r="FC25" s="10"/>
      <c r="FD25" s="10"/>
      <c r="FE25" s="10"/>
      <c r="FF25" s="10"/>
      <c r="FG25" s="10"/>
      <c r="FH25" s="10"/>
      <c r="FI25" s="10"/>
      <c r="FJ25" s="10"/>
      <c r="FK25" s="10"/>
      <c r="FL25" s="10"/>
      <c r="FM25" s="10"/>
      <c r="FN25" s="10"/>
      <c r="FO25" s="10"/>
      <c r="FP25" s="42"/>
      <c r="FQ25" s="42"/>
      <c r="FR25" s="42"/>
      <c r="FS25" s="42"/>
      <c r="FT25" s="42"/>
      <c r="FU25" s="42"/>
      <c r="FV25" s="42"/>
      <c r="FW25" s="42"/>
      <c r="FX25" s="42"/>
      <c r="FY25" s="42"/>
      <c r="FZ25" s="42"/>
      <c r="GA25" s="42"/>
      <c r="GB25" s="42"/>
      <c r="GC25" s="42"/>
      <c r="GD25" s="42"/>
      <c r="GE25" s="42"/>
      <c r="GF25" s="10"/>
      <c r="GG25" s="10">
        <v>3</v>
      </c>
      <c r="GH25" s="10" t="s">
        <v>5450</v>
      </c>
      <c r="GI25" s="42">
        <v>0</v>
      </c>
      <c r="GJ25" s="42">
        <v>63.24</v>
      </c>
      <c r="GK25" s="42">
        <v>125.46</v>
      </c>
      <c r="GL25" s="42"/>
      <c r="GM25" s="42">
        <v>125.46</v>
      </c>
      <c r="GN25" s="42"/>
      <c r="GO25" s="42"/>
      <c r="GP25" s="42"/>
      <c r="GQ25" s="42"/>
      <c r="GR25" s="42"/>
      <c r="GS25" s="42">
        <v>188.7</v>
      </c>
      <c r="GT25" s="42"/>
      <c r="GU25" s="42"/>
      <c r="GV25" s="42"/>
      <c r="GW25" s="42"/>
      <c r="GX25" s="42"/>
      <c r="GY25" s="11">
        <v>0.75</v>
      </c>
      <c r="GZ25" s="10">
        <v>1</v>
      </c>
      <c r="HA25" s="42">
        <v>0</v>
      </c>
      <c r="HB25" s="42">
        <v>14.2</v>
      </c>
      <c r="HC25" s="42">
        <v>25.74</v>
      </c>
      <c r="HD25" s="42"/>
      <c r="HE25" s="42">
        <v>27.39</v>
      </c>
      <c r="HF25" s="42"/>
      <c r="HG25" s="42"/>
      <c r="HH25" s="42"/>
      <c r="HI25" s="42"/>
      <c r="HJ25" s="42"/>
      <c r="HK25" s="42">
        <v>38.94</v>
      </c>
      <c r="HL25" s="42"/>
      <c r="HM25" s="42"/>
      <c r="HN25" s="42"/>
      <c r="HO25" s="42"/>
      <c r="HP25" s="42"/>
      <c r="HQ25" s="11">
        <v>0.02</v>
      </c>
      <c r="HR25" s="10" t="s">
        <v>25</v>
      </c>
      <c r="HS25" s="39"/>
      <c r="HT25" s="39"/>
      <c r="HU25" s="39"/>
      <c r="HV25" s="10"/>
      <c r="HW25" s="10"/>
      <c r="HX25" s="10" t="s">
        <v>5452</v>
      </c>
      <c r="HY25" s="10" t="s">
        <v>5452</v>
      </c>
      <c r="HZ25" s="10" t="s">
        <v>5453</v>
      </c>
      <c r="IA25" s="10" t="s">
        <v>25</v>
      </c>
      <c r="IB25" s="10"/>
      <c r="IC25" s="10" t="s">
        <v>5608</v>
      </c>
      <c r="ID25" s="10" t="s">
        <v>13243</v>
      </c>
      <c r="IE25" s="10" t="s">
        <v>5609</v>
      </c>
      <c r="IF25" s="10" t="s">
        <v>72</v>
      </c>
      <c r="IG25" s="10" t="s">
        <v>72</v>
      </c>
      <c r="IH25" s="10" t="s">
        <v>72</v>
      </c>
      <c r="II25" s="10" t="s">
        <v>13300</v>
      </c>
      <c r="IJ25" s="10" t="s">
        <v>2692</v>
      </c>
      <c r="IK25" s="10"/>
      <c r="IL25" s="10" t="s">
        <v>25</v>
      </c>
      <c r="IM25" s="10" t="s">
        <v>2758</v>
      </c>
      <c r="IN25" s="10"/>
      <c r="IO25" s="10" t="s">
        <v>25</v>
      </c>
      <c r="IP25" s="10" t="s">
        <v>28</v>
      </c>
      <c r="IQ25" s="10" t="s">
        <v>5458</v>
      </c>
      <c r="IR25" s="10" t="s">
        <v>5458</v>
      </c>
      <c r="IS25" s="10" t="s">
        <v>5459</v>
      </c>
      <c r="IT25" s="10" t="s">
        <v>5474</v>
      </c>
      <c r="IU25" s="10" t="s">
        <v>5474</v>
      </c>
      <c r="IV25" s="10" t="s">
        <v>5458</v>
      </c>
      <c r="IW25" s="10" t="s">
        <v>5458</v>
      </c>
      <c r="IX25" s="10" t="s">
        <v>5483</v>
      </c>
      <c r="IY25" s="10"/>
      <c r="IZ25" s="10" t="s">
        <v>14614</v>
      </c>
      <c r="JA25" s="10" t="s">
        <v>13301</v>
      </c>
      <c r="JB25" s="10" t="s">
        <v>5461</v>
      </c>
      <c r="JC25" s="10" t="s">
        <v>5461</v>
      </c>
      <c r="JD25" s="10" t="s">
        <v>5477</v>
      </c>
      <c r="JE25" s="10" t="s">
        <v>5486</v>
      </c>
      <c r="JF25" s="10" t="s">
        <v>5516</v>
      </c>
      <c r="JG25" s="10" t="s">
        <v>5465</v>
      </c>
      <c r="JH25" s="10" t="s">
        <v>5509</v>
      </c>
    </row>
    <row r="26" spans="1:268" ht="76.5" x14ac:dyDescent="0.2">
      <c r="A26" s="31" t="s">
        <v>140</v>
      </c>
      <c r="B26" s="9" t="s">
        <v>5494</v>
      </c>
      <c r="C26" s="9"/>
      <c r="D26" s="9" t="s">
        <v>25</v>
      </c>
      <c r="E26" s="9"/>
      <c r="F26" s="9" t="s">
        <v>5467</v>
      </c>
      <c r="G26" s="9"/>
      <c r="H26" s="9">
        <v>1</v>
      </c>
      <c r="I26" s="9">
        <v>1</v>
      </c>
      <c r="J26" s="9"/>
      <c r="K26" s="9" t="s">
        <v>28</v>
      </c>
      <c r="L26" s="9" t="s">
        <v>5446</v>
      </c>
      <c r="M26" s="9" t="s">
        <v>5446</v>
      </c>
      <c r="N26" s="9" t="s">
        <v>5446</v>
      </c>
      <c r="O26" s="9" t="s">
        <v>5447</v>
      </c>
      <c r="P26" s="9" t="s">
        <v>5447</v>
      </c>
      <c r="Q26" s="9" t="s">
        <v>5447</v>
      </c>
      <c r="R26" s="9" t="s">
        <v>5536</v>
      </c>
      <c r="S26" s="11">
        <v>0</v>
      </c>
      <c r="T26" s="11">
        <v>0.28000000000000003</v>
      </c>
      <c r="U26" s="11">
        <v>0.13</v>
      </c>
      <c r="V26" s="10"/>
      <c r="W26" s="11">
        <v>0.09</v>
      </c>
      <c r="X26" s="10"/>
      <c r="Y26" s="10"/>
      <c r="Z26" s="10"/>
      <c r="AA26" s="10"/>
      <c r="AB26" s="10"/>
      <c r="AC26" s="11">
        <v>0.5</v>
      </c>
      <c r="AD26" s="10"/>
      <c r="AE26" s="10"/>
      <c r="AF26" s="10"/>
      <c r="AG26" s="10"/>
      <c r="AH26" s="10"/>
      <c r="AI26" s="36">
        <v>3</v>
      </c>
      <c r="AJ26" s="33">
        <v>6.5000000000000002E-2</v>
      </c>
      <c r="AK26" s="33">
        <v>0.09</v>
      </c>
      <c r="AL26" s="33">
        <v>0.18</v>
      </c>
      <c r="AM26" s="33">
        <v>0.03</v>
      </c>
      <c r="AN26" s="33">
        <v>7.0000000000000007E-2</v>
      </c>
      <c r="AO26" s="33">
        <v>6.5000000000000002E-2</v>
      </c>
      <c r="AP26" s="33">
        <v>0.09</v>
      </c>
      <c r="AQ26" s="33">
        <v>0.18</v>
      </c>
      <c r="AR26" s="33">
        <v>0.03</v>
      </c>
      <c r="AS26" s="33">
        <v>7.0000000000000007E-2</v>
      </c>
      <c r="AT26" s="11">
        <v>0.78</v>
      </c>
      <c r="AU26" s="11">
        <v>0.81</v>
      </c>
      <c r="AV26" s="11">
        <v>0.74</v>
      </c>
      <c r="AW26" s="11">
        <v>0.74</v>
      </c>
      <c r="AX26" s="11">
        <v>0.76</v>
      </c>
      <c r="AY26" s="11">
        <v>0.78</v>
      </c>
      <c r="AZ26" s="11">
        <v>0.78</v>
      </c>
      <c r="BA26" s="11">
        <v>0.81</v>
      </c>
      <c r="BB26" s="11">
        <v>0.74</v>
      </c>
      <c r="BC26" s="11">
        <v>0.74</v>
      </c>
      <c r="BD26" s="11">
        <v>0.76</v>
      </c>
      <c r="BE26" s="11">
        <v>0.78</v>
      </c>
      <c r="BF26" s="10" t="s">
        <v>25</v>
      </c>
      <c r="BG26" s="10" t="s">
        <v>25</v>
      </c>
      <c r="BH26" s="39"/>
      <c r="BI26" s="10" t="s">
        <v>25</v>
      </c>
      <c r="BJ26" s="39"/>
      <c r="BK26" s="10" t="s">
        <v>25</v>
      </c>
      <c r="BL26" s="39"/>
      <c r="BM26" s="10" t="s">
        <v>25</v>
      </c>
      <c r="BN26" s="39"/>
      <c r="BO26" s="10" t="s">
        <v>25</v>
      </c>
      <c r="BP26" s="39"/>
      <c r="BQ26" s="10" t="s">
        <v>5530</v>
      </c>
      <c r="BR26" s="42"/>
      <c r="BS26" s="42">
        <v>830</v>
      </c>
      <c r="BT26" s="42">
        <v>1826</v>
      </c>
      <c r="BU26" s="42"/>
      <c r="BV26" s="42">
        <v>1495</v>
      </c>
      <c r="BW26" s="42"/>
      <c r="BX26" s="42"/>
      <c r="BY26" s="42"/>
      <c r="BZ26" s="42"/>
      <c r="CA26" s="42"/>
      <c r="CB26" s="42">
        <v>2575</v>
      </c>
      <c r="CC26" s="42"/>
      <c r="CD26" s="42"/>
      <c r="CE26" s="42"/>
      <c r="CF26" s="42"/>
      <c r="CG26" s="42"/>
      <c r="CH26" s="11">
        <v>0.82</v>
      </c>
      <c r="CI26" s="42"/>
      <c r="CJ26" s="42">
        <v>871</v>
      </c>
      <c r="CK26" s="42">
        <v>1915</v>
      </c>
      <c r="CL26" s="42"/>
      <c r="CM26" s="42">
        <v>1568</v>
      </c>
      <c r="CN26" s="42"/>
      <c r="CO26" s="42"/>
      <c r="CP26" s="42"/>
      <c r="CQ26" s="42"/>
      <c r="CR26" s="42"/>
      <c r="CS26" s="42">
        <v>2699</v>
      </c>
      <c r="CT26" s="42"/>
      <c r="CU26" s="42"/>
      <c r="CV26" s="42"/>
      <c r="CW26" s="42"/>
      <c r="CX26" s="42"/>
      <c r="CY26" s="11">
        <v>0.78</v>
      </c>
      <c r="CZ26" s="42"/>
      <c r="DA26" s="42">
        <v>681</v>
      </c>
      <c r="DB26" s="42">
        <v>1498</v>
      </c>
      <c r="DC26" s="42"/>
      <c r="DD26" s="42">
        <v>1225</v>
      </c>
      <c r="DE26" s="42"/>
      <c r="DF26" s="42"/>
      <c r="DG26" s="42"/>
      <c r="DH26" s="42"/>
      <c r="DI26" s="42"/>
      <c r="DJ26" s="42">
        <v>2111</v>
      </c>
      <c r="DK26" s="42"/>
      <c r="DL26" s="42"/>
      <c r="DM26" s="42"/>
      <c r="DN26" s="42"/>
      <c r="DO26" s="42"/>
      <c r="DP26" s="11">
        <v>0.91</v>
      </c>
      <c r="DQ26" s="42"/>
      <c r="DR26" s="42">
        <v>844</v>
      </c>
      <c r="DS26" s="42">
        <v>1772</v>
      </c>
      <c r="DT26" s="42"/>
      <c r="DU26" s="42">
        <v>1161</v>
      </c>
      <c r="DV26" s="42"/>
      <c r="DW26" s="42"/>
      <c r="DX26" s="42"/>
      <c r="DY26" s="42"/>
      <c r="DZ26" s="42"/>
      <c r="EA26" s="42">
        <v>1742</v>
      </c>
      <c r="EB26" s="42"/>
      <c r="EC26" s="42"/>
      <c r="ED26" s="42"/>
      <c r="EE26" s="42"/>
      <c r="EF26" s="42"/>
      <c r="EG26" s="11">
        <v>0.82</v>
      </c>
      <c r="EH26" s="42"/>
      <c r="EI26" s="42"/>
      <c r="EJ26" s="42"/>
      <c r="EK26" s="42"/>
      <c r="EL26" s="42"/>
      <c r="EM26" s="42"/>
      <c r="EN26" s="42"/>
      <c r="EO26" s="42"/>
      <c r="EP26" s="42"/>
      <c r="EQ26" s="42"/>
      <c r="ER26" s="42"/>
      <c r="ES26" s="42"/>
      <c r="ET26" s="42"/>
      <c r="EU26" s="42"/>
      <c r="EV26" s="42"/>
      <c r="EW26" s="42"/>
      <c r="EX26" s="10"/>
      <c r="EY26" s="10"/>
      <c r="EZ26" s="10"/>
      <c r="FA26" s="10"/>
      <c r="FB26" s="10"/>
      <c r="FC26" s="10"/>
      <c r="FD26" s="10"/>
      <c r="FE26" s="10"/>
      <c r="FF26" s="10"/>
      <c r="FG26" s="10"/>
      <c r="FH26" s="10"/>
      <c r="FI26" s="10"/>
      <c r="FJ26" s="10"/>
      <c r="FK26" s="10"/>
      <c r="FL26" s="10"/>
      <c r="FM26" s="10"/>
      <c r="FN26" s="10"/>
      <c r="FO26" s="10"/>
      <c r="FP26" s="42"/>
      <c r="FQ26" s="42"/>
      <c r="FR26" s="42"/>
      <c r="FS26" s="42"/>
      <c r="FT26" s="42"/>
      <c r="FU26" s="42"/>
      <c r="FV26" s="42"/>
      <c r="FW26" s="42"/>
      <c r="FX26" s="42"/>
      <c r="FY26" s="42"/>
      <c r="FZ26" s="42"/>
      <c r="GA26" s="42"/>
      <c r="GB26" s="42"/>
      <c r="GC26" s="42"/>
      <c r="GD26" s="42"/>
      <c r="GE26" s="42"/>
      <c r="GF26" s="10"/>
      <c r="GG26" s="10">
        <v>1</v>
      </c>
      <c r="GH26" s="10" t="s">
        <v>5450</v>
      </c>
      <c r="GI26" s="42"/>
      <c r="GJ26" s="42">
        <v>61.4</v>
      </c>
      <c r="GK26" s="42">
        <v>135.06</v>
      </c>
      <c r="GL26" s="42"/>
      <c r="GM26" s="42">
        <v>110.51</v>
      </c>
      <c r="GN26" s="42"/>
      <c r="GO26" s="42"/>
      <c r="GP26" s="42"/>
      <c r="GQ26" s="42"/>
      <c r="GR26" s="42"/>
      <c r="GS26" s="42">
        <v>190.31</v>
      </c>
      <c r="GT26" s="42"/>
      <c r="GU26" s="42"/>
      <c r="GV26" s="42"/>
      <c r="GW26" s="42"/>
      <c r="GX26" s="42"/>
      <c r="GY26" s="11">
        <v>0.75</v>
      </c>
      <c r="GZ26" s="10">
        <v>1</v>
      </c>
      <c r="HA26" s="42"/>
      <c r="HB26" s="42">
        <v>11.55</v>
      </c>
      <c r="HC26" s="42">
        <v>25.41</v>
      </c>
      <c r="HD26" s="42"/>
      <c r="HE26" s="42">
        <v>20.78</v>
      </c>
      <c r="HF26" s="42"/>
      <c r="HG26" s="42"/>
      <c r="HH26" s="42"/>
      <c r="HI26" s="42"/>
      <c r="HJ26" s="42"/>
      <c r="HK26" s="42">
        <v>35.85</v>
      </c>
      <c r="HL26" s="42"/>
      <c r="HM26" s="42"/>
      <c r="HN26" s="42"/>
      <c r="HO26" s="42"/>
      <c r="HP26" s="42"/>
      <c r="HQ26" s="11">
        <v>0.76</v>
      </c>
      <c r="HR26" s="10" t="s">
        <v>5451</v>
      </c>
      <c r="HS26" s="39">
        <v>750000</v>
      </c>
      <c r="HT26" s="39"/>
      <c r="HU26" s="39">
        <v>99999999</v>
      </c>
      <c r="HV26" s="10" t="s">
        <v>5591</v>
      </c>
      <c r="HW26" s="10" t="s">
        <v>28</v>
      </c>
      <c r="HX26" s="10" t="s">
        <v>5452</v>
      </c>
      <c r="HY26" s="10" t="s">
        <v>5452</v>
      </c>
      <c r="HZ26" s="10" t="s">
        <v>5452</v>
      </c>
      <c r="IA26" s="10" t="s">
        <v>25</v>
      </c>
      <c r="IB26" s="10"/>
      <c r="IC26" s="10" t="s">
        <v>5592</v>
      </c>
      <c r="ID26" s="10" t="s">
        <v>13240</v>
      </c>
      <c r="IE26" s="10" t="s">
        <v>5593</v>
      </c>
      <c r="IF26" s="10"/>
      <c r="IG26" s="10"/>
      <c r="IH26" s="10"/>
      <c r="II26" s="10"/>
      <c r="IJ26" s="10" t="s">
        <v>2692</v>
      </c>
      <c r="IK26" s="10"/>
      <c r="IL26" s="10" t="s">
        <v>25</v>
      </c>
      <c r="IM26" s="10" t="s">
        <v>2758</v>
      </c>
      <c r="IN26" s="10"/>
      <c r="IO26" s="10" t="s">
        <v>25</v>
      </c>
      <c r="IP26" s="10" t="s">
        <v>28</v>
      </c>
      <c r="IQ26" s="10" t="s">
        <v>5458</v>
      </c>
      <c r="IR26" s="10" t="s">
        <v>5458</v>
      </c>
      <c r="IS26" s="10" t="s">
        <v>5458</v>
      </c>
      <c r="IT26" s="10" t="s">
        <v>5594</v>
      </c>
      <c r="IU26" s="10" t="s">
        <v>5594</v>
      </c>
      <c r="IV26" s="10" t="s">
        <v>5458</v>
      </c>
      <c r="IW26" s="10" t="s">
        <v>5458</v>
      </c>
      <c r="IX26" s="10" t="s">
        <v>5460</v>
      </c>
      <c r="IY26" s="10"/>
      <c r="IZ26" s="10" t="s">
        <v>5595</v>
      </c>
      <c r="JA26" s="10" t="s">
        <v>13301</v>
      </c>
      <c r="JB26" s="10" t="s">
        <v>5527</v>
      </c>
      <c r="JC26" s="10" t="s">
        <v>5527</v>
      </c>
      <c r="JD26" s="10" t="s">
        <v>5596</v>
      </c>
      <c r="JE26" s="10" t="s">
        <v>28</v>
      </c>
      <c r="JF26" s="10" t="s">
        <v>5516</v>
      </c>
      <c r="JG26" s="10" t="s">
        <v>13302</v>
      </c>
      <c r="JH26" s="10" t="s">
        <v>5509</v>
      </c>
    </row>
    <row r="27" spans="1:268" ht="102" x14ac:dyDescent="0.2">
      <c r="A27" s="31" t="s">
        <v>127</v>
      </c>
      <c r="B27" s="9" t="s">
        <v>5494</v>
      </c>
      <c r="C27" s="9"/>
      <c r="D27" s="9" t="s">
        <v>28</v>
      </c>
      <c r="E27" s="9" t="s">
        <v>5528</v>
      </c>
      <c r="F27" s="9" t="s">
        <v>5467</v>
      </c>
      <c r="G27" s="9"/>
      <c r="H27" s="9">
        <v>30</v>
      </c>
      <c r="I27" s="9">
        <v>20</v>
      </c>
      <c r="J27" s="9">
        <v>29</v>
      </c>
      <c r="K27" s="9" t="s">
        <v>28</v>
      </c>
      <c r="L27" s="9" t="s">
        <v>5529</v>
      </c>
      <c r="M27" s="9" t="s">
        <v>5529</v>
      </c>
      <c r="N27" s="9" t="s">
        <v>5529</v>
      </c>
      <c r="O27" s="9"/>
      <c r="P27" s="9"/>
      <c r="Q27" s="9"/>
      <c r="R27" s="9" t="s">
        <v>5469</v>
      </c>
      <c r="S27" s="11">
        <v>7.0000000000000007E-2</v>
      </c>
      <c r="T27" s="11">
        <v>0.32</v>
      </c>
      <c r="U27" s="11">
        <v>0.11</v>
      </c>
      <c r="V27" s="10"/>
      <c r="W27" s="11">
        <v>0.13</v>
      </c>
      <c r="X27" s="10"/>
      <c r="Y27" s="10"/>
      <c r="Z27" s="10"/>
      <c r="AA27" s="10"/>
      <c r="AB27" s="10"/>
      <c r="AC27" s="11">
        <v>0.37</v>
      </c>
      <c r="AD27" s="10"/>
      <c r="AE27" s="10"/>
      <c r="AF27" s="10"/>
      <c r="AG27" s="10"/>
      <c r="AH27" s="10"/>
      <c r="AI27" s="36">
        <v>3</v>
      </c>
      <c r="AJ27" s="33">
        <v>0.06</v>
      </c>
      <c r="AK27" s="33">
        <v>0.12</v>
      </c>
      <c r="AL27" s="33">
        <v>0.12</v>
      </c>
      <c r="AM27" s="33">
        <v>0.06</v>
      </c>
      <c r="AN27" s="33">
        <v>-0.03</v>
      </c>
      <c r="AO27" s="33">
        <v>0.06</v>
      </c>
      <c r="AP27" s="33">
        <v>0.1</v>
      </c>
      <c r="AQ27" s="33">
        <v>0.15</v>
      </c>
      <c r="AR27" s="33">
        <v>0.04</v>
      </c>
      <c r="AS27" s="33">
        <v>-0.03</v>
      </c>
      <c r="AT27" s="11">
        <v>0.92</v>
      </c>
      <c r="AU27" s="11">
        <v>0.92</v>
      </c>
      <c r="AV27" s="11">
        <v>0.8</v>
      </c>
      <c r="AW27" s="11">
        <v>0.8</v>
      </c>
      <c r="AX27" s="11">
        <v>0.73</v>
      </c>
      <c r="AY27" s="11">
        <v>0.73</v>
      </c>
      <c r="AZ27" s="11">
        <v>0.8</v>
      </c>
      <c r="BA27" s="11">
        <v>0.8</v>
      </c>
      <c r="BB27" s="11">
        <v>0.78</v>
      </c>
      <c r="BC27" s="11">
        <v>0.78</v>
      </c>
      <c r="BD27" s="11">
        <v>0.09</v>
      </c>
      <c r="BE27" s="11">
        <v>0.09</v>
      </c>
      <c r="BF27" s="10" t="s">
        <v>25</v>
      </c>
      <c r="BG27" s="10" t="s">
        <v>25</v>
      </c>
      <c r="BH27" s="39"/>
      <c r="BI27" s="10" t="s">
        <v>25</v>
      </c>
      <c r="BJ27" s="39"/>
      <c r="BK27" s="10" t="s">
        <v>25</v>
      </c>
      <c r="BL27" s="39"/>
      <c r="BM27" s="10" t="s">
        <v>25</v>
      </c>
      <c r="BN27" s="39"/>
      <c r="BO27" s="10" t="s">
        <v>28</v>
      </c>
      <c r="BP27" s="39">
        <v>1200</v>
      </c>
      <c r="BQ27" s="10" t="s">
        <v>5530</v>
      </c>
      <c r="BR27" s="42">
        <v>0</v>
      </c>
      <c r="BS27" s="42">
        <v>829.33</v>
      </c>
      <c r="BT27" s="42">
        <v>1741.59</v>
      </c>
      <c r="BU27" s="42"/>
      <c r="BV27" s="42">
        <v>1492.79</v>
      </c>
      <c r="BW27" s="42"/>
      <c r="BX27" s="42"/>
      <c r="BY27" s="42"/>
      <c r="BZ27" s="42"/>
      <c r="CA27" s="42"/>
      <c r="CB27" s="42">
        <v>2405.06</v>
      </c>
      <c r="CC27" s="42"/>
      <c r="CD27" s="42"/>
      <c r="CE27" s="42"/>
      <c r="CF27" s="42"/>
      <c r="CG27" s="42"/>
      <c r="CH27" s="11">
        <v>0.81</v>
      </c>
      <c r="CI27" s="42">
        <v>0</v>
      </c>
      <c r="CJ27" s="42">
        <v>736.33</v>
      </c>
      <c r="CK27" s="42">
        <v>1546.3</v>
      </c>
      <c r="CL27" s="42"/>
      <c r="CM27" s="42">
        <v>1325.4</v>
      </c>
      <c r="CN27" s="42"/>
      <c r="CO27" s="42"/>
      <c r="CP27" s="42"/>
      <c r="CQ27" s="42"/>
      <c r="CR27" s="42"/>
      <c r="CS27" s="42">
        <v>2135.36</v>
      </c>
      <c r="CT27" s="42"/>
      <c r="CU27" s="42"/>
      <c r="CV27" s="42"/>
      <c r="CW27" s="42"/>
      <c r="CX27" s="42"/>
      <c r="CY27" s="11">
        <v>0.93</v>
      </c>
      <c r="CZ27" s="42">
        <v>0</v>
      </c>
      <c r="DA27" s="42">
        <v>799.23</v>
      </c>
      <c r="DB27" s="42">
        <v>1678.38</v>
      </c>
      <c r="DC27" s="42"/>
      <c r="DD27" s="42">
        <v>1438.61</v>
      </c>
      <c r="DE27" s="42"/>
      <c r="DF27" s="42"/>
      <c r="DG27" s="42"/>
      <c r="DH27" s="42"/>
      <c r="DI27" s="42"/>
      <c r="DJ27" s="42">
        <v>2317.77</v>
      </c>
      <c r="DK27" s="42"/>
      <c r="DL27" s="42"/>
      <c r="DM27" s="42"/>
      <c r="DN27" s="42"/>
      <c r="DO27" s="42"/>
      <c r="DP27" s="11">
        <v>0.87</v>
      </c>
      <c r="DQ27" s="42">
        <v>0</v>
      </c>
      <c r="DR27" s="42">
        <v>522.88</v>
      </c>
      <c r="DS27" s="42">
        <v>1098.02</v>
      </c>
      <c r="DT27" s="42"/>
      <c r="DU27" s="42">
        <v>941.16</v>
      </c>
      <c r="DV27" s="42"/>
      <c r="DW27" s="42"/>
      <c r="DX27" s="42"/>
      <c r="DY27" s="42"/>
      <c r="DZ27" s="42"/>
      <c r="EA27" s="42">
        <v>1516.3</v>
      </c>
      <c r="EB27" s="42"/>
      <c r="EC27" s="42"/>
      <c r="ED27" s="42"/>
      <c r="EE27" s="42"/>
      <c r="EF27" s="42"/>
      <c r="EG27" s="11">
        <v>0.87</v>
      </c>
      <c r="EH27" s="42"/>
      <c r="EI27" s="42"/>
      <c r="EJ27" s="42"/>
      <c r="EK27" s="42"/>
      <c r="EL27" s="42"/>
      <c r="EM27" s="42"/>
      <c r="EN27" s="42"/>
      <c r="EO27" s="42"/>
      <c r="EP27" s="42"/>
      <c r="EQ27" s="42"/>
      <c r="ER27" s="42"/>
      <c r="ES27" s="42"/>
      <c r="ET27" s="42"/>
      <c r="EU27" s="42"/>
      <c r="EV27" s="42"/>
      <c r="EW27" s="42"/>
      <c r="EX27" s="10"/>
      <c r="EY27" s="10"/>
      <c r="EZ27" s="10"/>
      <c r="FA27" s="10"/>
      <c r="FB27" s="10"/>
      <c r="FC27" s="10"/>
      <c r="FD27" s="10"/>
      <c r="FE27" s="10"/>
      <c r="FF27" s="10"/>
      <c r="FG27" s="10"/>
      <c r="FH27" s="10"/>
      <c r="FI27" s="10"/>
      <c r="FJ27" s="10"/>
      <c r="FK27" s="10"/>
      <c r="FL27" s="10"/>
      <c r="FM27" s="10"/>
      <c r="FN27" s="10"/>
      <c r="FO27" s="10"/>
      <c r="FP27" s="42"/>
      <c r="FQ27" s="42"/>
      <c r="FR27" s="42"/>
      <c r="FS27" s="42"/>
      <c r="FT27" s="42"/>
      <c r="FU27" s="42"/>
      <c r="FV27" s="42"/>
      <c r="FW27" s="42"/>
      <c r="FX27" s="42"/>
      <c r="FY27" s="42"/>
      <c r="FZ27" s="42"/>
      <c r="GA27" s="42"/>
      <c r="GB27" s="42"/>
      <c r="GC27" s="42"/>
      <c r="GD27" s="42"/>
      <c r="GE27" s="42"/>
      <c r="GF27" s="10"/>
      <c r="GG27" s="10">
        <v>2</v>
      </c>
      <c r="GH27" s="10" t="s">
        <v>5450</v>
      </c>
      <c r="GI27" s="42"/>
      <c r="GJ27" s="42">
        <v>59.75</v>
      </c>
      <c r="GK27" s="42">
        <v>125.48</v>
      </c>
      <c r="GL27" s="42"/>
      <c r="GM27" s="42">
        <v>107.55</v>
      </c>
      <c r="GN27" s="42"/>
      <c r="GO27" s="42"/>
      <c r="GP27" s="42"/>
      <c r="GQ27" s="42"/>
      <c r="GR27" s="42"/>
      <c r="GS27" s="42">
        <v>173.28</v>
      </c>
      <c r="GT27" s="42"/>
      <c r="GU27" s="42"/>
      <c r="GV27" s="42"/>
      <c r="GW27" s="42"/>
      <c r="GX27" s="42"/>
      <c r="GY27" s="11">
        <v>0.79</v>
      </c>
      <c r="GZ27" s="10">
        <v>1</v>
      </c>
      <c r="HA27" s="42"/>
      <c r="HB27" s="42">
        <v>9.27</v>
      </c>
      <c r="HC27" s="42">
        <v>19.47</v>
      </c>
      <c r="HD27" s="42"/>
      <c r="HE27" s="42">
        <v>16.690000000000001</v>
      </c>
      <c r="HF27" s="42"/>
      <c r="HG27" s="42"/>
      <c r="HH27" s="42"/>
      <c r="HI27" s="42"/>
      <c r="HJ27" s="42"/>
      <c r="HK27" s="42">
        <v>26.88</v>
      </c>
      <c r="HL27" s="42"/>
      <c r="HM27" s="42"/>
      <c r="HN27" s="42"/>
      <c r="HO27" s="42"/>
      <c r="HP27" s="42"/>
      <c r="HQ27" s="11">
        <v>0.41</v>
      </c>
      <c r="HR27" s="10" t="s">
        <v>25</v>
      </c>
      <c r="HS27" s="39"/>
      <c r="HT27" s="39"/>
      <c r="HU27" s="39"/>
      <c r="HV27" s="10"/>
      <c r="HW27" s="10"/>
      <c r="HX27" s="10" t="s">
        <v>5452</v>
      </c>
      <c r="HY27" s="10" t="s">
        <v>5452</v>
      </c>
      <c r="HZ27" s="10" t="s">
        <v>5452</v>
      </c>
      <c r="IA27" s="10" t="s">
        <v>25</v>
      </c>
      <c r="IB27" s="10"/>
      <c r="IC27" s="10" t="s">
        <v>5531</v>
      </c>
      <c r="ID27" s="10" t="s">
        <v>5532</v>
      </c>
      <c r="IE27" s="10" t="s">
        <v>13271</v>
      </c>
      <c r="IF27" s="10" t="s">
        <v>5507</v>
      </c>
      <c r="IG27" s="10"/>
      <c r="IH27" s="10"/>
      <c r="II27" s="10" t="s">
        <v>5533</v>
      </c>
      <c r="IJ27" s="10" t="s">
        <v>2758</v>
      </c>
      <c r="IK27" s="10"/>
      <c r="IL27" s="10" t="s">
        <v>25</v>
      </c>
      <c r="IM27" s="10" t="s">
        <v>2758</v>
      </c>
      <c r="IN27" s="10"/>
      <c r="IO27" s="10" t="s">
        <v>25</v>
      </c>
      <c r="IP27" s="10" t="s">
        <v>2201</v>
      </c>
      <c r="IQ27" s="10" t="s">
        <v>5513</v>
      </c>
      <c r="IR27" s="10" t="s">
        <v>5513</v>
      </c>
      <c r="IS27" s="10" t="s">
        <v>5513</v>
      </c>
      <c r="IT27" s="10" t="s">
        <v>5474</v>
      </c>
      <c r="IU27" s="10" t="s">
        <v>5474</v>
      </c>
      <c r="IV27" s="10" t="s">
        <v>5513</v>
      </c>
      <c r="IW27" s="10" t="s">
        <v>5474</v>
      </c>
      <c r="IX27" s="10" t="s">
        <v>5483</v>
      </c>
      <c r="IY27" s="10"/>
      <c r="IZ27" s="10" t="s">
        <v>5534</v>
      </c>
      <c r="JA27" s="10" t="s">
        <v>13301</v>
      </c>
      <c r="JB27" s="10" t="s">
        <v>5515</v>
      </c>
      <c r="JC27" s="10" t="s">
        <v>5515</v>
      </c>
      <c r="JD27" s="10" t="s">
        <v>5505</v>
      </c>
      <c r="JE27" s="10" t="s">
        <v>5463</v>
      </c>
      <c r="JF27" s="10" t="s">
        <v>5464</v>
      </c>
      <c r="JG27" s="10" t="s">
        <v>5465</v>
      </c>
      <c r="JH27" s="10" t="s">
        <v>5509</v>
      </c>
    </row>
    <row r="28" spans="1:268" ht="76.5" x14ac:dyDescent="0.2">
      <c r="A28" s="31" t="s">
        <v>131</v>
      </c>
      <c r="B28" s="9" t="s">
        <v>2185</v>
      </c>
      <c r="C28" s="9"/>
      <c r="D28" s="9" t="s">
        <v>25</v>
      </c>
      <c r="E28" s="9"/>
      <c r="F28" s="9"/>
      <c r="G28" s="9"/>
      <c r="H28" s="9">
        <v>32</v>
      </c>
      <c r="I28" s="9">
        <v>20</v>
      </c>
      <c r="J28" s="9">
        <v>32</v>
      </c>
      <c r="K28" s="9" t="s">
        <v>28</v>
      </c>
      <c r="L28" s="9" t="s">
        <v>5529</v>
      </c>
      <c r="M28" s="9" t="s">
        <v>5529</v>
      </c>
      <c r="N28" s="9" t="s">
        <v>5447</v>
      </c>
      <c r="O28" s="9" t="s">
        <v>5447</v>
      </c>
      <c r="P28" s="9" t="s">
        <v>5447</v>
      </c>
      <c r="Q28" s="9" t="s">
        <v>5447</v>
      </c>
      <c r="R28" s="9" t="s">
        <v>5536</v>
      </c>
      <c r="S28" s="11">
        <v>0</v>
      </c>
      <c r="T28" s="11">
        <v>0.45</v>
      </c>
      <c r="U28" s="11">
        <v>0.12</v>
      </c>
      <c r="V28" s="10"/>
      <c r="W28" s="11">
        <v>0.09</v>
      </c>
      <c r="X28" s="10"/>
      <c r="Y28" s="10"/>
      <c r="Z28" s="10"/>
      <c r="AA28" s="10"/>
      <c r="AB28" s="10"/>
      <c r="AC28" s="11">
        <v>0.34</v>
      </c>
      <c r="AD28" s="10"/>
      <c r="AE28" s="10"/>
      <c r="AF28" s="10"/>
      <c r="AG28" s="10"/>
      <c r="AH28" s="10"/>
      <c r="AI28" s="36"/>
      <c r="AJ28" s="33">
        <v>3.3000000000000002E-2</v>
      </c>
      <c r="AK28" s="33">
        <v>3.3000000000000002E-2</v>
      </c>
      <c r="AL28" s="33">
        <v>3.3000000000000002E-2</v>
      </c>
      <c r="AM28" s="33">
        <v>3.3000000000000002E-2</v>
      </c>
      <c r="AN28" s="33">
        <v>-4.9000000000000002E-2</v>
      </c>
      <c r="AO28" s="33">
        <v>3.3000000000000002E-2</v>
      </c>
      <c r="AP28" s="33">
        <v>3.3000000000000002E-2</v>
      </c>
      <c r="AQ28" s="33">
        <v>3.3000000000000002E-2</v>
      </c>
      <c r="AR28" s="33">
        <v>3.3000000000000002E-2</v>
      </c>
      <c r="AS28" s="33">
        <v>-4.9000000000000002E-2</v>
      </c>
      <c r="AT28" s="11">
        <v>0.82</v>
      </c>
      <c r="AU28" s="11">
        <v>0.82</v>
      </c>
      <c r="AV28" s="11">
        <v>0.7</v>
      </c>
      <c r="AW28" s="11">
        <v>0.7</v>
      </c>
      <c r="AX28" s="11">
        <v>0.68</v>
      </c>
      <c r="AY28" s="11">
        <v>0.68</v>
      </c>
      <c r="AZ28" s="11">
        <v>0.68</v>
      </c>
      <c r="BA28" s="11">
        <v>0.68</v>
      </c>
      <c r="BB28" s="11">
        <v>0.7</v>
      </c>
      <c r="BC28" s="11">
        <v>0.7</v>
      </c>
      <c r="BD28" s="11">
        <v>0.72</v>
      </c>
      <c r="BE28" s="11">
        <v>0.72</v>
      </c>
      <c r="BF28" s="10" t="s">
        <v>25</v>
      </c>
      <c r="BG28" s="10" t="s">
        <v>25</v>
      </c>
      <c r="BH28" s="39"/>
      <c r="BI28" s="10" t="s">
        <v>25</v>
      </c>
      <c r="BJ28" s="39"/>
      <c r="BK28" s="10" t="s">
        <v>25</v>
      </c>
      <c r="BL28" s="39"/>
      <c r="BM28" s="10" t="s">
        <v>25</v>
      </c>
      <c r="BN28" s="39"/>
      <c r="BO28" s="10" t="s">
        <v>25</v>
      </c>
      <c r="BP28" s="39"/>
      <c r="BQ28" s="10" t="s">
        <v>5542</v>
      </c>
      <c r="BR28" s="42"/>
      <c r="BS28" s="42">
        <v>784.18</v>
      </c>
      <c r="BT28" s="42">
        <v>1725.22</v>
      </c>
      <c r="BU28" s="42"/>
      <c r="BV28" s="42">
        <v>1568.4</v>
      </c>
      <c r="BW28" s="42"/>
      <c r="BX28" s="42"/>
      <c r="BY28" s="42"/>
      <c r="BZ28" s="42"/>
      <c r="CA28" s="42"/>
      <c r="CB28" s="42">
        <v>2509.38</v>
      </c>
      <c r="CC28" s="42"/>
      <c r="CD28" s="42"/>
      <c r="CE28" s="42"/>
      <c r="CF28" s="42"/>
      <c r="CG28" s="42"/>
      <c r="CH28" s="11">
        <v>0.76</v>
      </c>
      <c r="CI28" s="42"/>
      <c r="CJ28" s="42"/>
      <c r="CK28" s="42"/>
      <c r="CL28" s="42"/>
      <c r="CM28" s="42"/>
      <c r="CN28" s="42"/>
      <c r="CO28" s="42"/>
      <c r="CP28" s="42"/>
      <c r="CQ28" s="42"/>
      <c r="CR28" s="42"/>
      <c r="CS28" s="42"/>
      <c r="CT28" s="42"/>
      <c r="CU28" s="42"/>
      <c r="CV28" s="42"/>
      <c r="CW28" s="42"/>
      <c r="CX28" s="42"/>
      <c r="CY28" s="11"/>
      <c r="CZ28" s="42"/>
      <c r="DA28" s="42">
        <v>756.31</v>
      </c>
      <c r="DB28" s="42">
        <v>1662.13</v>
      </c>
      <c r="DC28" s="42"/>
      <c r="DD28" s="42">
        <v>1512.62</v>
      </c>
      <c r="DE28" s="42"/>
      <c r="DF28" s="42"/>
      <c r="DG28" s="42"/>
      <c r="DH28" s="42"/>
      <c r="DI28" s="42"/>
      <c r="DJ28" s="42">
        <v>2409.66</v>
      </c>
      <c r="DK28" s="42"/>
      <c r="DL28" s="42"/>
      <c r="DM28" s="42"/>
      <c r="DN28" s="42"/>
      <c r="DO28" s="42"/>
      <c r="DP28" s="11">
        <v>0.82</v>
      </c>
      <c r="DQ28" s="42"/>
      <c r="DR28" s="42">
        <v>471.81</v>
      </c>
      <c r="DS28" s="42">
        <v>1038</v>
      </c>
      <c r="DT28" s="42"/>
      <c r="DU28" s="42">
        <v>943.63</v>
      </c>
      <c r="DV28" s="42"/>
      <c r="DW28" s="42"/>
      <c r="DX28" s="42"/>
      <c r="DY28" s="42"/>
      <c r="DZ28" s="42"/>
      <c r="EA28" s="42">
        <v>1509.81</v>
      </c>
      <c r="EB28" s="42"/>
      <c r="EC28" s="42"/>
      <c r="ED28" s="42"/>
      <c r="EE28" s="42"/>
      <c r="EF28" s="42"/>
      <c r="EG28" s="11">
        <v>0.72</v>
      </c>
      <c r="EH28" s="42"/>
      <c r="EI28" s="42"/>
      <c r="EJ28" s="42"/>
      <c r="EK28" s="42"/>
      <c r="EL28" s="42"/>
      <c r="EM28" s="42"/>
      <c r="EN28" s="42"/>
      <c r="EO28" s="42"/>
      <c r="EP28" s="42"/>
      <c r="EQ28" s="42"/>
      <c r="ER28" s="42"/>
      <c r="ES28" s="42"/>
      <c r="ET28" s="42"/>
      <c r="EU28" s="42"/>
      <c r="EV28" s="42"/>
      <c r="EW28" s="42"/>
      <c r="EX28" s="10"/>
      <c r="EY28" s="10"/>
      <c r="EZ28" s="10"/>
      <c r="FA28" s="10"/>
      <c r="FB28" s="10"/>
      <c r="FC28" s="10"/>
      <c r="FD28" s="10"/>
      <c r="FE28" s="10"/>
      <c r="FF28" s="10"/>
      <c r="FG28" s="10"/>
      <c r="FH28" s="10"/>
      <c r="FI28" s="10"/>
      <c r="FJ28" s="10"/>
      <c r="FK28" s="10"/>
      <c r="FL28" s="10"/>
      <c r="FM28" s="10"/>
      <c r="FN28" s="10"/>
      <c r="FO28" s="10"/>
      <c r="FP28" s="42"/>
      <c r="FQ28" s="42">
        <v>1207.9100000000001</v>
      </c>
      <c r="FR28" s="42">
        <v>2884.32</v>
      </c>
      <c r="FS28" s="42"/>
      <c r="FT28" s="42">
        <v>2884.32</v>
      </c>
      <c r="FU28" s="42"/>
      <c r="FV28" s="42"/>
      <c r="FW28" s="42"/>
      <c r="FX28" s="42"/>
      <c r="FY28" s="42"/>
      <c r="FZ28" s="42">
        <v>3905.98</v>
      </c>
      <c r="GA28" s="42"/>
      <c r="GB28" s="42"/>
      <c r="GC28" s="42"/>
      <c r="GD28" s="42"/>
      <c r="GE28" s="42"/>
      <c r="GF28" s="11">
        <v>1</v>
      </c>
      <c r="GG28" s="10">
        <v>1</v>
      </c>
      <c r="GH28" s="10" t="s">
        <v>5450</v>
      </c>
      <c r="GI28" s="42"/>
      <c r="GJ28" s="42">
        <v>45.73</v>
      </c>
      <c r="GK28" s="42">
        <v>91.47</v>
      </c>
      <c r="GL28" s="42"/>
      <c r="GM28" s="42">
        <v>109.77</v>
      </c>
      <c r="GN28" s="42"/>
      <c r="GO28" s="42"/>
      <c r="GP28" s="42"/>
      <c r="GQ28" s="42"/>
      <c r="GR28" s="42"/>
      <c r="GS28" s="42">
        <v>155.52000000000001</v>
      </c>
      <c r="GT28" s="42"/>
      <c r="GU28" s="42"/>
      <c r="GV28" s="42"/>
      <c r="GW28" s="42"/>
      <c r="GX28" s="42"/>
      <c r="GY28" s="11">
        <v>0.7</v>
      </c>
      <c r="GZ28" s="10"/>
      <c r="HA28" s="42"/>
      <c r="HB28" s="42">
        <v>8.57</v>
      </c>
      <c r="HC28" s="42">
        <v>19.28</v>
      </c>
      <c r="HD28" s="42"/>
      <c r="HE28" s="42">
        <v>17.149999999999999</v>
      </c>
      <c r="HF28" s="42"/>
      <c r="HG28" s="42"/>
      <c r="HH28" s="42"/>
      <c r="HI28" s="42"/>
      <c r="HJ28" s="42"/>
      <c r="HK28" s="42">
        <v>27.88</v>
      </c>
      <c r="HL28" s="42"/>
      <c r="HM28" s="42"/>
      <c r="HN28" s="42"/>
      <c r="HO28" s="42"/>
      <c r="HP28" s="42"/>
      <c r="HQ28" s="11">
        <v>0.7</v>
      </c>
      <c r="HR28" s="10" t="s">
        <v>5451</v>
      </c>
      <c r="HS28" s="39">
        <v>500000</v>
      </c>
      <c r="HT28" s="39"/>
      <c r="HU28" s="39"/>
      <c r="HV28" s="10" t="s">
        <v>25</v>
      </c>
      <c r="HW28" s="10" t="s">
        <v>25</v>
      </c>
      <c r="HX28" s="10" t="s">
        <v>5452</v>
      </c>
      <c r="HY28" s="10" t="s">
        <v>5452</v>
      </c>
      <c r="HZ28" s="10" t="s">
        <v>5453</v>
      </c>
      <c r="IA28" s="10" t="s">
        <v>25</v>
      </c>
      <c r="IB28" s="10"/>
      <c r="IC28" s="10" t="s">
        <v>5551</v>
      </c>
      <c r="ID28" s="10" t="s">
        <v>5551</v>
      </c>
      <c r="IE28" s="10" t="s">
        <v>5552</v>
      </c>
      <c r="IF28" s="10" t="s">
        <v>5520</v>
      </c>
      <c r="IG28" s="10"/>
      <c r="IH28" s="10" t="s">
        <v>13299</v>
      </c>
      <c r="II28" s="10"/>
      <c r="IJ28" s="10" t="s">
        <v>2692</v>
      </c>
      <c r="IK28" s="10"/>
      <c r="IL28" s="10" t="s">
        <v>25</v>
      </c>
      <c r="IM28" s="10" t="s">
        <v>1801</v>
      </c>
      <c r="IN28" s="10"/>
      <c r="IO28" s="10" t="s">
        <v>25</v>
      </c>
      <c r="IP28" s="10" t="s">
        <v>2201</v>
      </c>
      <c r="IQ28" s="10" t="s">
        <v>5458</v>
      </c>
      <c r="IR28" s="10" t="s">
        <v>5458</v>
      </c>
      <c r="IS28" s="10" t="s">
        <v>5458</v>
      </c>
      <c r="IT28" s="10" t="s">
        <v>5459</v>
      </c>
      <c r="IU28" s="10" t="s">
        <v>5474</v>
      </c>
      <c r="IV28" s="10" t="s">
        <v>5458</v>
      </c>
      <c r="IW28" s="10" t="s">
        <v>5553</v>
      </c>
      <c r="IX28" s="10" t="s">
        <v>5483</v>
      </c>
      <c r="IY28" s="10"/>
      <c r="IZ28" s="10" t="s">
        <v>14615</v>
      </c>
      <c r="JA28" s="10" t="s">
        <v>13301</v>
      </c>
      <c r="JB28" s="10" t="s">
        <v>5515</v>
      </c>
      <c r="JC28" s="10" t="s">
        <v>5515</v>
      </c>
      <c r="JD28" s="10" t="s">
        <v>5477</v>
      </c>
      <c r="JE28" s="10" t="s">
        <v>5486</v>
      </c>
      <c r="JF28" s="10" t="s">
        <v>5516</v>
      </c>
      <c r="JG28" s="10" t="s">
        <v>5465</v>
      </c>
      <c r="JH28" s="10" t="s">
        <v>5496</v>
      </c>
    </row>
    <row r="29" spans="1:268" ht="102" x14ac:dyDescent="0.2">
      <c r="A29" s="31" t="s">
        <v>139</v>
      </c>
      <c r="B29" s="9" t="s">
        <v>5582</v>
      </c>
      <c r="C29" s="9" t="s">
        <v>5583</v>
      </c>
      <c r="D29" s="9" t="s">
        <v>28</v>
      </c>
      <c r="E29" s="9" t="s">
        <v>5584</v>
      </c>
      <c r="F29" s="9" t="s">
        <v>2692</v>
      </c>
      <c r="G29" s="9"/>
      <c r="H29" s="9">
        <v>30</v>
      </c>
      <c r="I29" s="9">
        <v>20</v>
      </c>
      <c r="J29" s="9">
        <v>29</v>
      </c>
      <c r="K29" s="9" t="s">
        <v>28</v>
      </c>
      <c r="L29" s="9" t="s">
        <v>5487</v>
      </c>
      <c r="M29" s="9" t="s">
        <v>5487</v>
      </c>
      <c r="N29" s="9"/>
      <c r="O29" s="9"/>
      <c r="P29" s="9"/>
      <c r="Q29" s="9" t="s">
        <v>5447</v>
      </c>
      <c r="R29" s="9" t="s">
        <v>5469</v>
      </c>
      <c r="S29" s="11">
        <v>0.13</v>
      </c>
      <c r="T29" s="11">
        <v>0.41</v>
      </c>
      <c r="U29" s="11">
        <v>0.1</v>
      </c>
      <c r="V29" s="10"/>
      <c r="W29" s="11">
        <v>0.13</v>
      </c>
      <c r="X29" s="10"/>
      <c r="Y29" s="10"/>
      <c r="Z29" s="10"/>
      <c r="AA29" s="10"/>
      <c r="AB29" s="10"/>
      <c r="AC29" s="11">
        <v>0.23</v>
      </c>
      <c r="AD29" s="10"/>
      <c r="AE29" s="10"/>
      <c r="AF29" s="10"/>
      <c r="AG29" s="10"/>
      <c r="AH29" s="10"/>
      <c r="AI29" s="36">
        <v>2</v>
      </c>
      <c r="AJ29" s="33">
        <v>2.2000000000000002E-2</v>
      </c>
      <c r="AK29" s="33">
        <v>2.2000000000000002E-2</v>
      </c>
      <c r="AL29" s="33">
        <v>2.2000000000000002E-2</v>
      </c>
      <c r="AM29" s="33">
        <v>2.3E-2</v>
      </c>
      <c r="AN29" s="33">
        <v>0.05</v>
      </c>
      <c r="AO29" s="33">
        <v>2.3E-2</v>
      </c>
      <c r="AP29" s="33">
        <v>2.3E-2</v>
      </c>
      <c r="AQ29" s="33">
        <v>2.3E-2</v>
      </c>
      <c r="AR29" s="33">
        <v>2.3E-2</v>
      </c>
      <c r="AS29" s="33">
        <v>-3.6000000000000004E-2</v>
      </c>
      <c r="AT29" s="11">
        <v>0.91</v>
      </c>
      <c r="AU29" s="11">
        <v>0.91</v>
      </c>
      <c r="AV29" s="11">
        <v>0.73</v>
      </c>
      <c r="AW29" s="11">
        <v>0.73</v>
      </c>
      <c r="AX29" s="11">
        <v>0.46</v>
      </c>
      <c r="AY29" s="11">
        <v>0.46</v>
      </c>
      <c r="AZ29" s="11">
        <v>0.84</v>
      </c>
      <c r="BA29" s="11">
        <v>0.84</v>
      </c>
      <c r="BB29" s="11">
        <v>0.67</v>
      </c>
      <c r="BC29" s="11">
        <v>0.67</v>
      </c>
      <c r="BD29" s="11">
        <v>0.39</v>
      </c>
      <c r="BE29" s="11">
        <v>0.39</v>
      </c>
      <c r="BF29" s="10" t="s">
        <v>25</v>
      </c>
      <c r="BG29" s="10" t="s">
        <v>25</v>
      </c>
      <c r="BH29" s="39"/>
      <c r="BI29" s="10" t="s">
        <v>25</v>
      </c>
      <c r="BJ29" s="39"/>
      <c r="BK29" s="10" t="s">
        <v>25</v>
      </c>
      <c r="BL29" s="39"/>
      <c r="BM29" s="10" t="s">
        <v>25</v>
      </c>
      <c r="BN29" s="39"/>
      <c r="BO29" s="10" t="s">
        <v>28</v>
      </c>
      <c r="BP29" s="39">
        <v>2600</v>
      </c>
      <c r="BQ29" s="10" t="s">
        <v>5530</v>
      </c>
      <c r="BR29" s="42"/>
      <c r="BS29" s="42">
        <v>746.2</v>
      </c>
      <c r="BT29" s="42">
        <v>1865.74</v>
      </c>
      <c r="BU29" s="42"/>
      <c r="BV29" s="42">
        <v>1492.6</v>
      </c>
      <c r="BW29" s="42"/>
      <c r="BX29" s="42"/>
      <c r="BY29" s="42"/>
      <c r="BZ29" s="42"/>
      <c r="CA29" s="42"/>
      <c r="CB29" s="42">
        <v>2238.9</v>
      </c>
      <c r="CC29" s="42"/>
      <c r="CD29" s="42"/>
      <c r="CE29" s="42"/>
      <c r="CF29" s="42"/>
      <c r="CG29" s="42"/>
      <c r="CH29" s="11">
        <v>0.76</v>
      </c>
      <c r="CI29" s="42"/>
      <c r="CJ29" s="42">
        <v>733.06</v>
      </c>
      <c r="CK29" s="42">
        <v>1832.67</v>
      </c>
      <c r="CL29" s="42"/>
      <c r="CM29" s="42">
        <v>1466.15</v>
      </c>
      <c r="CN29" s="42"/>
      <c r="CO29" s="42"/>
      <c r="CP29" s="42"/>
      <c r="CQ29" s="42"/>
      <c r="CR29" s="42"/>
      <c r="CS29" s="42">
        <v>2199.21</v>
      </c>
      <c r="CT29" s="42"/>
      <c r="CU29" s="42"/>
      <c r="CV29" s="42"/>
      <c r="CW29" s="42"/>
      <c r="CX29" s="42"/>
      <c r="CY29" s="11">
        <v>0.9</v>
      </c>
      <c r="CZ29" s="42"/>
      <c r="DA29" s="42">
        <v>659.11</v>
      </c>
      <c r="DB29" s="42">
        <v>1647.78</v>
      </c>
      <c r="DC29" s="42"/>
      <c r="DD29" s="42">
        <v>1318.24</v>
      </c>
      <c r="DE29" s="42"/>
      <c r="DF29" s="42"/>
      <c r="DG29" s="42"/>
      <c r="DH29" s="42"/>
      <c r="DI29" s="42"/>
      <c r="DJ29" s="42">
        <v>1977.35</v>
      </c>
      <c r="DK29" s="42"/>
      <c r="DL29" s="42"/>
      <c r="DM29" s="42"/>
      <c r="DN29" s="42"/>
      <c r="DO29" s="42"/>
      <c r="DP29" s="11">
        <v>0.91</v>
      </c>
      <c r="DQ29" s="42"/>
      <c r="DR29" s="42">
        <v>501.33</v>
      </c>
      <c r="DS29" s="42">
        <v>1253.3</v>
      </c>
      <c r="DT29" s="42"/>
      <c r="DU29" s="42">
        <v>1002.64</v>
      </c>
      <c r="DV29" s="42"/>
      <c r="DW29" s="42"/>
      <c r="DX29" s="42"/>
      <c r="DY29" s="42"/>
      <c r="DZ29" s="42"/>
      <c r="EA29" s="42">
        <v>1503.97</v>
      </c>
      <c r="EB29" s="42"/>
      <c r="EC29" s="42"/>
      <c r="ED29" s="42"/>
      <c r="EE29" s="42"/>
      <c r="EF29" s="42"/>
      <c r="EG29" s="11">
        <v>0.85599999999999998</v>
      </c>
      <c r="EH29" s="42"/>
      <c r="EI29" s="42"/>
      <c r="EJ29" s="42"/>
      <c r="EK29" s="42"/>
      <c r="EL29" s="42"/>
      <c r="EM29" s="42"/>
      <c r="EN29" s="42"/>
      <c r="EO29" s="42"/>
      <c r="EP29" s="42"/>
      <c r="EQ29" s="42"/>
      <c r="ER29" s="42"/>
      <c r="ES29" s="42"/>
      <c r="ET29" s="42"/>
      <c r="EU29" s="42"/>
      <c r="EV29" s="42"/>
      <c r="EW29" s="42"/>
      <c r="EX29" s="10"/>
      <c r="EY29" s="10"/>
      <c r="EZ29" s="10"/>
      <c r="FA29" s="10"/>
      <c r="FB29" s="10"/>
      <c r="FC29" s="10"/>
      <c r="FD29" s="10"/>
      <c r="FE29" s="10"/>
      <c r="FF29" s="10"/>
      <c r="FG29" s="10"/>
      <c r="FH29" s="10"/>
      <c r="FI29" s="10"/>
      <c r="FJ29" s="10"/>
      <c r="FK29" s="10"/>
      <c r="FL29" s="10"/>
      <c r="FM29" s="10"/>
      <c r="FN29" s="10"/>
      <c r="FO29" s="10"/>
      <c r="FP29" s="42"/>
      <c r="FQ29" s="42"/>
      <c r="FR29" s="42"/>
      <c r="FS29" s="42"/>
      <c r="FT29" s="42"/>
      <c r="FU29" s="42"/>
      <c r="FV29" s="42"/>
      <c r="FW29" s="42"/>
      <c r="FX29" s="42"/>
      <c r="FY29" s="42"/>
      <c r="FZ29" s="42"/>
      <c r="GA29" s="42"/>
      <c r="GB29" s="42"/>
      <c r="GC29" s="42"/>
      <c r="GD29" s="42"/>
      <c r="GE29" s="42"/>
      <c r="GF29" s="10"/>
      <c r="GG29" s="10">
        <v>2</v>
      </c>
      <c r="GH29" s="10" t="s">
        <v>5450</v>
      </c>
      <c r="GI29" s="42"/>
      <c r="GJ29" s="42">
        <v>58.11</v>
      </c>
      <c r="GK29" s="42">
        <v>145.32</v>
      </c>
      <c r="GL29" s="42"/>
      <c r="GM29" s="42">
        <v>116.26</v>
      </c>
      <c r="GN29" s="42"/>
      <c r="GO29" s="42"/>
      <c r="GP29" s="42"/>
      <c r="GQ29" s="42"/>
      <c r="GR29" s="42"/>
      <c r="GS29" s="42">
        <v>174.38</v>
      </c>
      <c r="GT29" s="42"/>
      <c r="GU29" s="42"/>
      <c r="GV29" s="42"/>
      <c r="GW29" s="42"/>
      <c r="GX29" s="42"/>
      <c r="GY29" s="11">
        <v>0.73</v>
      </c>
      <c r="GZ29" s="10">
        <v>1</v>
      </c>
      <c r="HA29" s="42"/>
      <c r="HB29" s="42">
        <v>22.01</v>
      </c>
      <c r="HC29" s="42">
        <v>55</v>
      </c>
      <c r="HD29" s="42"/>
      <c r="HE29" s="42">
        <v>44.01</v>
      </c>
      <c r="HF29" s="42"/>
      <c r="HG29" s="42"/>
      <c r="HH29" s="42"/>
      <c r="HI29" s="42"/>
      <c r="HJ29" s="42"/>
      <c r="HK29" s="42">
        <v>66</v>
      </c>
      <c r="HL29" s="42"/>
      <c r="HM29" s="42"/>
      <c r="HN29" s="42"/>
      <c r="HO29" s="42"/>
      <c r="HP29" s="42"/>
      <c r="HQ29" s="11">
        <v>0.46</v>
      </c>
      <c r="HR29" s="10" t="s">
        <v>5451</v>
      </c>
      <c r="HS29" s="39">
        <v>550000</v>
      </c>
      <c r="HT29" s="39"/>
      <c r="HU29" s="39"/>
      <c r="HV29" s="10" t="s">
        <v>25</v>
      </c>
      <c r="HW29" s="10" t="s">
        <v>25</v>
      </c>
      <c r="HX29" s="10" t="s">
        <v>5498</v>
      </c>
      <c r="HY29" s="10" t="s">
        <v>5498</v>
      </c>
      <c r="HZ29" s="10" t="s">
        <v>5498</v>
      </c>
      <c r="IA29" s="10" t="s">
        <v>25</v>
      </c>
      <c r="IB29" s="10"/>
      <c r="IC29" s="10" t="s">
        <v>5585</v>
      </c>
      <c r="ID29" s="10" t="s">
        <v>13239</v>
      </c>
      <c r="IE29" s="10" t="s">
        <v>5586</v>
      </c>
      <c r="IF29" s="10" t="s">
        <v>72</v>
      </c>
      <c r="IG29" s="10"/>
      <c r="IH29" s="10" t="s">
        <v>5587</v>
      </c>
      <c r="II29" s="10" t="s">
        <v>5588</v>
      </c>
      <c r="IJ29" s="10" t="s">
        <v>29</v>
      </c>
      <c r="IK29" s="10" t="s">
        <v>5482</v>
      </c>
      <c r="IL29" s="10" t="s">
        <v>25</v>
      </c>
      <c r="IM29" s="10" t="s">
        <v>2758</v>
      </c>
      <c r="IN29" s="10"/>
      <c r="IO29" s="10" t="s">
        <v>5472</v>
      </c>
      <c r="IP29" s="10" t="s">
        <v>2201</v>
      </c>
      <c r="IQ29" s="10" t="s">
        <v>5458</v>
      </c>
      <c r="IR29" s="10" t="s">
        <v>5458</v>
      </c>
      <c r="IS29" s="10" t="s">
        <v>5459</v>
      </c>
      <c r="IT29" s="10" t="s">
        <v>5459</v>
      </c>
      <c r="IU29" s="10" t="s">
        <v>5459</v>
      </c>
      <c r="IV29" s="10" t="s">
        <v>5458</v>
      </c>
      <c r="IW29" s="10" t="s">
        <v>5458</v>
      </c>
      <c r="IX29" s="10" t="s">
        <v>5460</v>
      </c>
      <c r="IY29" s="10"/>
      <c r="IZ29" s="10" t="s">
        <v>5589</v>
      </c>
      <c r="JA29" s="10" t="s">
        <v>13301</v>
      </c>
      <c r="JB29" s="10" t="s">
        <v>5515</v>
      </c>
      <c r="JC29" s="10" t="s">
        <v>5515</v>
      </c>
      <c r="JD29" s="10" t="s">
        <v>5590</v>
      </c>
      <c r="JE29" s="10" t="s">
        <v>5486</v>
      </c>
      <c r="JF29" s="10" t="s">
        <v>5464</v>
      </c>
      <c r="JG29" s="10" t="s">
        <v>5465</v>
      </c>
      <c r="JH29" s="10" t="s">
        <v>5466</v>
      </c>
    </row>
    <row r="30" spans="1:268" ht="76.5" x14ac:dyDescent="0.2">
      <c r="A30" s="31" t="s">
        <v>120</v>
      </c>
      <c r="B30" s="9" t="s">
        <v>2207</v>
      </c>
      <c r="C30" s="9"/>
      <c r="D30" s="9" t="s">
        <v>25</v>
      </c>
      <c r="E30" s="9"/>
      <c r="F30" s="9"/>
      <c r="G30" s="9"/>
      <c r="H30" s="9"/>
      <c r="I30" s="9"/>
      <c r="J30" s="9"/>
      <c r="K30" s="9" t="s">
        <v>28</v>
      </c>
      <c r="L30" s="9" t="s">
        <v>5487</v>
      </c>
      <c r="M30" s="9"/>
      <c r="N30" s="9"/>
      <c r="O30" s="9"/>
      <c r="P30" s="9"/>
      <c r="Q30" s="9"/>
      <c r="R30" s="9" t="s">
        <v>5469</v>
      </c>
      <c r="S30" s="11">
        <v>0.05</v>
      </c>
      <c r="T30" s="11">
        <v>0.25</v>
      </c>
      <c r="U30" s="11">
        <v>0.15</v>
      </c>
      <c r="V30" s="10"/>
      <c r="W30" s="11">
        <v>0.15</v>
      </c>
      <c r="X30" s="10"/>
      <c r="Y30" s="10"/>
      <c r="Z30" s="10"/>
      <c r="AA30" s="10"/>
      <c r="AB30" s="10"/>
      <c r="AC30" s="11">
        <v>0.4</v>
      </c>
      <c r="AD30" s="10"/>
      <c r="AE30" s="10"/>
      <c r="AF30" s="10"/>
      <c r="AG30" s="10"/>
      <c r="AH30" s="10"/>
      <c r="AI30" s="36">
        <v>3</v>
      </c>
      <c r="AJ30" s="33"/>
      <c r="AK30" s="33"/>
      <c r="AL30" s="33"/>
      <c r="AM30" s="33"/>
      <c r="AN30" s="33"/>
      <c r="AO30" s="33"/>
      <c r="AP30" s="33"/>
      <c r="AQ30" s="33"/>
      <c r="AR30" s="33"/>
      <c r="AS30" s="33"/>
      <c r="AT30" s="11"/>
      <c r="AU30" s="11"/>
      <c r="AV30" s="11"/>
      <c r="AW30" s="11"/>
      <c r="AX30" s="11"/>
      <c r="AY30" s="11"/>
      <c r="AZ30" s="11"/>
      <c r="BA30" s="11"/>
      <c r="BB30" s="11"/>
      <c r="BC30" s="11"/>
      <c r="BD30" s="11"/>
      <c r="BE30" s="11"/>
      <c r="BF30" s="10" t="s">
        <v>25</v>
      </c>
      <c r="BG30" s="10" t="s">
        <v>25</v>
      </c>
      <c r="BH30" s="39"/>
      <c r="BI30" s="10" t="s">
        <v>25</v>
      </c>
      <c r="BJ30" s="39"/>
      <c r="BK30" s="10" t="s">
        <v>25</v>
      </c>
      <c r="BL30" s="39"/>
      <c r="BM30" s="10" t="s">
        <v>25</v>
      </c>
      <c r="BN30" s="39"/>
      <c r="BO30" s="10" t="s">
        <v>25</v>
      </c>
      <c r="BP30" s="39"/>
      <c r="BQ30" s="10" t="s">
        <v>5488</v>
      </c>
      <c r="BR30" s="42"/>
      <c r="BS30" s="42"/>
      <c r="BT30" s="42"/>
      <c r="BU30" s="42"/>
      <c r="BV30" s="42"/>
      <c r="BW30" s="42"/>
      <c r="BX30" s="42"/>
      <c r="BY30" s="42"/>
      <c r="BZ30" s="42"/>
      <c r="CA30" s="42"/>
      <c r="CB30" s="42">
        <v>1780</v>
      </c>
      <c r="CC30" s="42"/>
      <c r="CD30" s="42"/>
      <c r="CE30" s="42"/>
      <c r="CF30" s="42"/>
      <c r="CG30" s="42"/>
      <c r="CH30" s="11">
        <v>0.85</v>
      </c>
      <c r="CI30" s="42"/>
      <c r="CJ30" s="42"/>
      <c r="CK30" s="42"/>
      <c r="CL30" s="42"/>
      <c r="CM30" s="42"/>
      <c r="CN30" s="42"/>
      <c r="CO30" s="42"/>
      <c r="CP30" s="42"/>
      <c r="CQ30" s="42"/>
      <c r="CR30" s="42"/>
      <c r="CS30" s="42">
        <v>1860</v>
      </c>
      <c r="CT30" s="42"/>
      <c r="CU30" s="42"/>
      <c r="CV30" s="42"/>
      <c r="CW30" s="42"/>
      <c r="CX30" s="42"/>
      <c r="CY30" s="11">
        <v>0.85</v>
      </c>
      <c r="CZ30" s="42"/>
      <c r="DA30" s="42"/>
      <c r="DB30" s="42"/>
      <c r="DC30" s="42"/>
      <c r="DD30" s="42"/>
      <c r="DE30" s="42"/>
      <c r="DF30" s="42"/>
      <c r="DG30" s="42"/>
      <c r="DH30" s="42"/>
      <c r="DI30" s="42"/>
      <c r="DJ30" s="42"/>
      <c r="DK30" s="42"/>
      <c r="DL30" s="42"/>
      <c r="DM30" s="42"/>
      <c r="DN30" s="42"/>
      <c r="DO30" s="42"/>
      <c r="DP30" s="11"/>
      <c r="DQ30" s="42"/>
      <c r="DR30" s="42"/>
      <c r="DS30" s="42"/>
      <c r="DT30" s="42"/>
      <c r="DU30" s="42"/>
      <c r="DV30" s="42"/>
      <c r="DW30" s="42"/>
      <c r="DX30" s="42"/>
      <c r="DY30" s="42"/>
      <c r="DZ30" s="42"/>
      <c r="EA30" s="42"/>
      <c r="EB30" s="42"/>
      <c r="EC30" s="42"/>
      <c r="ED30" s="42"/>
      <c r="EE30" s="42"/>
      <c r="EF30" s="42"/>
      <c r="EG30" s="11"/>
      <c r="EH30" s="42"/>
      <c r="EI30" s="42"/>
      <c r="EJ30" s="42"/>
      <c r="EK30" s="42"/>
      <c r="EL30" s="42"/>
      <c r="EM30" s="42"/>
      <c r="EN30" s="42"/>
      <c r="EO30" s="42"/>
      <c r="EP30" s="42"/>
      <c r="EQ30" s="42"/>
      <c r="ER30" s="42"/>
      <c r="ES30" s="42"/>
      <c r="ET30" s="42"/>
      <c r="EU30" s="42"/>
      <c r="EV30" s="42"/>
      <c r="EW30" s="42"/>
      <c r="EX30" s="10"/>
      <c r="EY30" s="10"/>
      <c r="EZ30" s="10"/>
      <c r="FA30" s="10"/>
      <c r="FB30" s="10"/>
      <c r="FC30" s="10"/>
      <c r="FD30" s="10"/>
      <c r="FE30" s="10"/>
      <c r="FF30" s="10"/>
      <c r="FG30" s="10"/>
      <c r="FH30" s="10"/>
      <c r="FI30" s="10"/>
      <c r="FJ30" s="10"/>
      <c r="FK30" s="10"/>
      <c r="FL30" s="10"/>
      <c r="FM30" s="10"/>
      <c r="FN30" s="10"/>
      <c r="FO30" s="10"/>
      <c r="FP30" s="42"/>
      <c r="FQ30" s="42"/>
      <c r="FR30" s="42"/>
      <c r="FS30" s="42"/>
      <c r="FT30" s="42"/>
      <c r="FU30" s="42"/>
      <c r="FV30" s="42"/>
      <c r="FW30" s="42"/>
      <c r="FX30" s="42"/>
      <c r="FY30" s="42"/>
      <c r="FZ30" s="42"/>
      <c r="GA30" s="42"/>
      <c r="GB30" s="42"/>
      <c r="GC30" s="42"/>
      <c r="GD30" s="42"/>
      <c r="GE30" s="42"/>
      <c r="GF30" s="10"/>
      <c r="GG30" s="10">
        <v>1</v>
      </c>
      <c r="GH30" s="10" t="s">
        <v>5450</v>
      </c>
      <c r="GI30" s="42"/>
      <c r="GJ30" s="42"/>
      <c r="GK30" s="42"/>
      <c r="GL30" s="42"/>
      <c r="GM30" s="42"/>
      <c r="GN30" s="42"/>
      <c r="GO30" s="42"/>
      <c r="GP30" s="42"/>
      <c r="GQ30" s="42"/>
      <c r="GR30" s="42"/>
      <c r="GS30" s="42">
        <v>213</v>
      </c>
      <c r="GT30" s="42"/>
      <c r="GU30" s="42"/>
      <c r="GV30" s="42"/>
      <c r="GW30" s="42"/>
      <c r="GX30" s="42"/>
      <c r="GY30" s="11">
        <v>0.65</v>
      </c>
      <c r="GZ30" s="10"/>
      <c r="HA30" s="42"/>
      <c r="HB30" s="42"/>
      <c r="HC30" s="42"/>
      <c r="HD30" s="42"/>
      <c r="HE30" s="42"/>
      <c r="HF30" s="42"/>
      <c r="HG30" s="42"/>
      <c r="HH30" s="42"/>
      <c r="HI30" s="42"/>
      <c r="HJ30" s="42"/>
      <c r="HK30" s="42">
        <v>46</v>
      </c>
      <c r="HL30" s="42"/>
      <c r="HM30" s="42"/>
      <c r="HN30" s="42"/>
      <c r="HO30" s="42"/>
      <c r="HP30" s="42"/>
      <c r="HQ30" s="11">
        <v>0.68</v>
      </c>
      <c r="HR30" s="10" t="s">
        <v>5489</v>
      </c>
      <c r="HS30" s="39"/>
      <c r="HT30" s="39"/>
      <c r="HU30" s="39"/>
      <c r="HV30" s="10"/>
      <c r="HW30" s="10"/>
      <c r="HX30" s="10" t="s">
        <v>5452</v>
      </c>
      <c r="HY30" s="10" t="s">
        <v>5453</v>
      </c>
      <c r="HZ30" s="10" t="s">
        <v>5453</v>
      </c>
      <c r="IA30" s="10" t="s">
        <v>25</v>
      </c>
      <c r="IB30" s="10"/>
      <c r="IC30" s="10" t="s">
        <v>5490</v>
      </c>
      <c r="ID30" s="10" t="s">
        <v>72</v>
      </c>
      <c r="IE30" s="10" t="s">
        <v>5491</v>
      </c>
      <c r="IF30" s="10" t="s">
        <v>72</v>
      </c>
      <c r="IG30" s="10" t="s">
        <v>72</v>
      </c>
      <c r="IH30" s="10" t="s">
        <v>72</v>
      </c>
      <c r="II30" s="10" t="s">
        <v>72</v>
      </c>
      <c r="IJ30" s="10" t="s">
        <v>2692</v>
      </c>
      <c r="IK30" s="10"/>
      <c r="IL30" s="10" t="s">
        <v>25</v>
      </c>
      <c r="IM30" s="10" t="s">
        <v>2692</v>
      </c>
      <c r="IN30" s="10"/>
      <c r="IO30" s="10" t="s">
        <v>25</v>
      </c>
      <c r="IP30" s="10" t="s">
        <v>28</v>
      </c>
      <c r="IQ30" s="10" t="s">
        <v>5458</v>
      </c>
      <c r="IR30" s="10" t="s">
        <v>5458</v>
      </c>
      <c r="IS30" s="10" t="s">
        <v>5458</v>
      </c>
      <c r="IT30" s="10" t="s">
        <v>5474</v>
      </c>
      <c r="IU30" s="10" t="s">
        <v>5474</v>
      </c>
      <c r="IV30" s="10" t="s">
        <v>5458</v>
      </c>
      <c r="IW30" s="10" t="s">
        <v>5458</v>
      </c>
      <c r="IX30" s="10" t="s">
        <v>5483</v>
      </c>
      <c r="IY30" s="10"/>
      <c r="IZ30" s="10" t="s">
        <v>1041</v>
      </c>
      <c r="JA30" s="10" t="s">
        <v>5492</v>
      </c>
      <c r="JB30" s="10"/>
      <c r="JC30" s="10"/>
      <c r="JD30" s="10"/>
      <c r="JE30" s="10" t="s">
        <v>5463</v>
      </c>
      <c r="JF30" s="10" t="s">
        <v>5493</v>
      </c>
      <c r="JG30" s="10" t="s">
        <v>5465</v>
      </c>
      <c r="JH30" s="10" t="s">
        <v>5466</v>
      </c>
    </row>
    <row r="31" spans="1:268" ht="102" x14ac:dyDescent="0.2">
      <c r="A31" s="31" t="s">
        <v>174</v>
      </c>
      <c r="B31" s="9" t="s">
        <v>2207</v>
      </c>
      <c r="C31" s="9"/>
      <c r="D31" s="9" t="s">
        <v>25</v>
      </c>
      <c r="E31" s="9"/>
      <c r="F31" s="9"/>
      <c r="G31" s="9"/>
      <c r="H31" s="9">
        <v>30</v>
      </c>
      <c r="I31" s="9"/>
      <c r="J31" s="9"/>
      <c r="K31" s="9" t="s">
        <v>25</v>
      </c>
      <c r="L31" s="9"/>
      <c r="M31" s="9"/>
      <c r="N31" s="9"/>
      <c r="O31" s="9"/>
      <c r="P31" s="9"/>
      <c r="Q31" s="9"/>
      <c r="R31" s="9" t="s">
        <v>5469</v>
      </c>
      <c r="S31" s="11">
        <v>7.0000000000000007E-2</v>
      </c>
      <c r="T31" s="11">
        <v>0.55000000000000004</v>
      </c>
      <c r="U31" s="11">
        <v>0.11</v>
      </c>
      <c r="V31" s="10"/>
      <c r="W31" s="11">
        <v>0.05</v>
      </c>
      <c r="X31" s="10"/>
      <c r="Y31" s="10"/>
      <c r="Z31" s="10"/>
      <c r="AA31" s="10"/>
      <c r="AB31" s="10"/>
      <c r="AC31" s="11">
        <v>0.22</v>
      </c>
      <c r="AD31" s="10"/>
      <c r="AE31" s="10"/>
      <c r="AF31" s="10"/>
      <c r="AG31" s="10"/>
      <c r="AH31" s="10"/>
      <c r="AI31" s="36">
        <v>3</v>
      </c>
      <c r="AJ31" s="33">
        <v>7.2999999999999995E-2</v>
      </c>
      <c r="AK31" s="33">
        <v>8.1000000000000003E-2</v>
      </c>
      <c r="AL31" s="33"/>
      <c r="AM31" s="33"/>
      <c r="AN31" s="33"/>
      <c r="AO31" s="33">
        <v>7.2999999999999995E-2</v>
      </c>
      <c r="AP31" s="33">
        <v>8.1000000000000003E-2</v>
      </c>
      <c r="AQ31" s="33"/>
      <c r="AR31" s="33"/>
      <c r="AS31" s="33"/>
      <c r="AT31" s="11">
        <v>0.9</v>
      </c>
      <c r="AU31" s="11">
        <v>0</v>
      </c>
      <c r="AV31" s="11">
        <v>0.89</v>
      </c>
      <c r="AW31" s="11">
        <v>0</v>
      </c>
      <c r="AX31" s="11">
        <v>0.85</v>
      </c>
      <c r="AY31" s="11">
        <v>0</v>
      </c>
      <c r="AZ31" s="11">
        <v>0.79</v>
      </c>
      <c r="BA31" s="11">
        <v>0</v>
      </c>
      <c r="BB31" s="11">
        <v>0.71</v>
      </c>
      <c r="BC31" s="11">
        <v>0</v>
      </c>
      <c r="BD31" s="11">
        <v>0.83</v>
      </c>
      <c r="BE31" s="11">
        <v>0</v>
      </c>
      <c r="BF31" s="10" t="s">
        <v>25</v>
      </c>
      <c r="BG31" s="10" t="s">
        <v>28</v>
      </c>
      <c r="BH31" s="39">
        <v>100</v>
      </c>
      <c r="BI31" s="10" t="s">
        <v>25</v>
      </c>
      <c r="BJ31" s="39"/>
      <c r="BK31" s="10" t="s">
        <v>25</v>
      </c>
      <c r="BL31" s="39"/>
      <c r="BM31" s="10" t="s">
        <v>25</v>
      </c>
      <c r="BN31" s="39"/>
      <c r="BO31" s="10" t="s">
        <v>25</v>
      </c>
      <c r="BP31" s="39"/>
      <c r="BQ31" s="10" t="s">
        <v>5479</v>
      </c>
      <c r="BR31" s="42">
        <v>100</v>
      </c>
      <c r="BS31" s="42">
        <v>783.68</v>
      </c>
      <c r="BT31" s="42">
        <v>1818.87</v>
      </c>
      <c r="BU31" s="42"/>
      <c r="BV31" s="42">
        <v>1532.42</v>
      </c>
      <c r="BW31" s="42"/>
      <c r="BX31" s="42"/>
      <c r="BY31" s="42"/>
      <c r="BZ31" s="42"/>
      <c r="CA31" s="42"/>
      <c r="CB31" s="42">
        <v>2339.71</v>
      </c>
      <c r="CC31" s="42"/>
      <c r="CD31" s="42"/>
      <c r="CE31" s="42"/>
      <c r="CF31" s="42"/>
      <c r="CG31" s="42"/>
      <c r="CH31" s="11">
        <v>0.81</v>
      </c>
      <c r="CI31" s="42"/>
      <c r="CJ31" s="42"/>
      <c r="CK31" s="42"/>
      <c r="CL31" s="42"/>
      <c r="CM31" s="42"/>
      <c r="CN31" s="42"/>
      <c r="CO31" s="42"/>
      <c r="CP31" s="42"/>
      <c r="CQ31" s="42"/>
      <c r="CR31" s="42"/>
      <c r="CS31" s="42"/>
      <c r="CT31" s="42"/>
      <c r="CU31" s="42"/>
      <c r="CV31" s="42"/>
      <c r="CW31" s="42"/>
      <c r="CX31" s="42"/>
      <c r="CY31" s="11"/>
      <c r="CZ31" s="42">
        <v>100</v>
      </c>
      <c r="DA31" s="42">
        <v>685.83</v>
      </c>
      <c r="DB31" s="42">
        <v>1591.78</v>
      </c>
      <c r="DC31" s="42"/>
      <c r="DD31" s="42">
        <v>1341.08</v>
      </c>
      <c r="DE31" s="42"/>
      <c r="DF31" s="42"/>
      <c r="DG31" s="42"/>
      <c r="DH31" s="42"/>
      <c r="DI31" s="42"/>
      <c r="DJ31" s="42">
        <v>2047.59</v>
      </c>
      <c r="DK31" s="42"/>
      <c r="DL31" s="42"/>
      <c r="DM31" s="42"/>
      <c r="DN31" s="42"/>
      <c r="DO31" s="42"/>
      <c r="DP31" s="11">
        <v>0.87</v>
      </c>
      <c r="DQ31" s="42">
        <v>100</v>
      </c>
      <c r="DR31" s="42">
        <v>496.04</v>
      </c>
      <c r="DS31" s="42">
        <v>1165.68</v>
      </c>
      <c r="DT31" s="42"/>
      <c r="DU31" s="42">
        <v>1016.88</v>
      </c>
      <c r="DV31" s="42"/>
      <c r="DW31" s="42"/>
      <c r="DX31" s="42"/>
      <c r="DY31" s="42"/>
      <c r="DZ31" s="42"/>
      <c r="EA31" s="42">
        <v>1537.72</v>
      </c>
      <c r="EB31" s="42"/>
      <c r="EC31" s="42"/>
      <c r="ED31" s="42"/>
      <c r="EE31" s="42"/>
      <c r="EF31" s="42"/>
      <c r="EG31" s="11">
        <v>0.79</v>
      </c>
      <c r="EH31" s="42"/>
      <c r="EI31" s="42"/>
      <c r="EJ31" s="42"/>
      <c r="EK31" s="42"/>
      <c r="EL31" s="42"/>
      <c r="EM31" s="42"/>
      <c r="EN31" s="42"/>
      <c r="EO31" s="42"/>
      <c r="EP31" s="42"/>
      <c r="EQ31" s="42"/>
      <c r="ER31" s="42"/>
      <c r="ES31" s="42"/>
      <c r="ET31" s="42"/>
      <c r="EU31" s="42"/>
      <c r="EV31" s="42"/>
      <c r="EW31" s="42"/>
      <c r="EX31" s="10"/>
      <c r="EY31" s="10"/>
      <c r="EZ31" s="10"/>
      <c r="FA31" s="10"/>
      <c r="FB31" s="10"/>
      <c r="FC31" s="10"/>
      <c r="FD31" s="10"/>
      <c r="FE31" s="10"/>
      <c r="FF31" s="10"/>
      <c r="FG31" s="10"/>
      <c r="FH31" s="10"/>
      <c r="FI31" s="10"/>
      <c r="FJ31" s="10"/>
      <c r="FK31" s="10"/>
      <c r="FL31" s="10"/>
      <c r="FM31" s="10"/>
      <c r="FN31" s="10"/>
      <c r="FO31" s="10"/>
      <c r="FP31" s="42"/>
      <c r="FQ31" s="42"/>
      <c r="FR31" s="42"/>
      <c r="FS31" s="42"/>
      <c r="FT31" s="42"/>
      <c r="FU31" s="42"/>
      <c r="FV31" s="42"/>
      <c r="FW31" s="42"/>
      <c r="FX31" s="42"/>
      <c r="FY31" s="42"/>
      <c r="FZ31" s="42"/>
      <c r="GA31" s="42"/>
      <c r="GB31" s="42"/>
      <c r="GC31" s="42"/>
      <c r="GD31" s="42"/>
      <c r="GE31" s="42"/>
      <c r="GF31" s="10"/>
      <c r="GG31" s="10">
        <v>2</v>
      </c>
      <c r="GH31" s="10" t="s">
        <v>5450</v>
      </c>
      <c r="GI31" s="42">
        <v>0</v>
      </c>
      <c r="GJ31" s="42">
        <v>48.05</v>
      </c>
      <c r="GK31" s="42">
        <v>92.48</v>
      </c>
      <c r="GL31" s="42"/>
      <c r="GM31" s="42">
        <v>119.25</v>
      </c>
      <c r="GN31" s="42"/>
      <c r="GO31" s="42"/>
      <c r="GP31" s="42"/>
      <c r="GQ31" s="42"/>
      <c r="GR31" s="42"/>
      <c r="GS31" s="42">
        <v>163.68</v>
      </c>
      <c r="GT31" s="42"/>
      <c r="GU31" s="42"/>
      <c r="GV31" s="42"/>
      <c r="GW31" s="42"/>
      <c r="GX31" s="42"/>
      <c r="GY31" s="11">
        <v>0.8</v>
      </c>
      <c r="GZ31" s="10">
        <v>2</v>
      </c>
      <c r="HA31" s="42">
        <v>0</v>
      </c>
      <c r="HB31" s="42">
        <v>9</v>
      </c>
      <c r="HC31" s="42">
        <v>15.44</v>
      </c>
      <c r="HD31" s="42"/>
      <c r="HE31" s="42">
        <v>15.75</v>
      </c>
      <c r="HF31" s="42"/>
      <c r="HG31" s="42"/>
      <c r="HH31" s="42"/>
      <c r="HI31" s="42"/>
      <c r="HJ31" s="42"/>
      <c r="HK31" s="42">
        <v>25.39</v>
      </c>
      <c r="HL31" s="42"/>
      <c r="HM31" s="42"/>
      <c r="HN31" s="42"/>
      <c r="HO31" s="42"/>
      <c r="HP31" s="42"/>
      <c r="HQ31" s="11">
        <v>1</v>
      </c>
      <c r="HR31" s="10" t="s">
        <v>5537</v>
      </c>
      <c r="HS31" s="39">
        <v>350000</v>
      </c>
      <c r="HT31" s="39"/>
      <c r="HU31" s="39">
        <v>2000000</v>
      </c>
      <c r="HV31" s="10" t="s">
        <v>5591</v>
      </c>
      <c r="HW31" s="10" t="s">
        <v>25</v>
      </c>
      <c r="HX31" s="10" t="s">
        <v>5452</v>
      </c>
      <c r="HY31" s="10" t="s">
        <v>5453</v>
      </c>
      <c r="HZ31" s="10" t="s">
        <v>5453</v>
      </c>
      <c r="IA31" s="10" t="s">
        <v>25</v>
      </c>
      <c r="IB31" s="10"/>
      <c r="IC31" s="10" t="s">
        <v>5716</v>
      </c>
      <c r="ID31" s="10" t="s">
        <v>5717</v>
      </c>
      <c r="IE31" s="10" t="s">
        <v>5718</v>
      </c>
      <c r="IF31" s="10" t="s">
        <v>13292</v>
      </c>
      <c r="IG31" s="10" t="s">
        <v>5719</v>
      </c>
      <c r="IH31" s="10" t="s">
        <v>5540</v>
      </c>
      <c r="II31" s="10"/>
      <c r="IJ31" s="10" t="s">
        <v>2692</v>
      </c>
      <c r="IK31" s="10"/>
      <c r="IL31" s="10" t="s">
        <v>25</v>
      </c>
      <c r="IM31" s="10" t="s">
        <v>5457</v>
      </c>
      <c r="IN31" s="10"/>
      <c r="IO31" s="10" t="s">
        <v>5472</v>
      </c>
      <c r="IP31" s="10" t="s">
        <v>2201</v>
      </c>
      <c r="IQ31" s="10" t="s">
        <v>5458</v>
      </c>
      <c r="IR31" s="10" t="s">
        <v>5458</v>
      </c>
      <c r="IS31" s="10" t="s">
        <v>5459</v>
      </c>
      <c r="IT31" s="10" t="s">
        <v>5474</v>
      </c>
      <c r="IU31" s="10" t="s">
        <v>5474</v>
      </c>
      <c r="IV31" s="10" t="s">
        <v>5458</v>
      </c>
      <c r="IW31" s="10" t="s">
        <v>5474</v>
      </c>
      <c r="IX31" s="10" t="s">
        <v>5483</v>
      </c>
      <c r="IY31" s="10"/>
      <c r="IZ31" s="10" t="s">
        <v>5720</v>
      </c>
      <c r="JA31" s="10" t="s">
        <v>13301</v>
      </c>
      <c r="JB31" s="10" t="s">
        <v>5504</v>
      </c>
      <c r="JC31" s="10" t="s">
        <v>5504</v>
      </c>
      <c r="JD31" s="10" t="s">
        <v>5462</v>
      </c>
      <c r="JE31" s="10" t="s">
        <v>28</v>
      </c>
      <c r="JF31" s="10" t="s">
        <v>5516</v>
      </c>
      <c r="JG31" s="10" t="s">
        <v>5465</v>
      </c>
      <c r="JH31" s="10" t="s">
        <v>5466</v>
      </c>
    </row>
    <row r="32" spans="1:268" ht="153" x14ac:dyDescent="0.2">
      <c r="A32" s="31" t="s">
        <v>124</v>
      </c>
      <c r="B32" s="9" t="s">
        <v>5494</v>
      </c>
      <c r="C32" s="9"/>
      <c r="D32" s="9" t="s">
        <v>25</v>
      </c>
      <c r="E32" s="9"/>
      <c r="F32" s="9" t="s">
        <v>5467</v>
      </c>
      <c r="G32" s="9"/>
      <c r="H32" s="9">
        <v>30</v>
      </c>
      <c r="I32" s="9">
        <v>20</v>
      </c>
      <c r="J32" s="9">
        <v>29</v>
      </c>
      <c r="K32" s="9" t="s">
        <v>28</v>
      </c>
      <c r="L32" s="9" t="s">
        <v>5446</v>
      </c>
      <c r="M32" s="9" t="s">
        <v>5446</v>
      </c>
      <c r="N32" s="9" t="s">
        <v>5446</v>
      </c>
      <c r="O32" s="9"/>
      <c r="P32" s="9"/>
      <c r="Q32" s="9"/>
      <c r="R32" s="9" t="s">
        <v>13220</v>
      </c>
      <c r="S32" s="11">
        <v>0.06</v>
      </c>
      <c r="T32" s="11">
        <v>0.4</v>
      </c>
      <c r="U32" s="11">
        <v>0.14000000000000001</v>
      </c>
      <c r="V32" s="10"/>
      <c r="W32" s="11"/>
      <c r="X32" s="11">
        <v>0.04</v>
      </c>
      <c r="Y32" s="11">
        <v>0.03</v>
      </c>
      <c r="Z32" s="11">
        <v>0</v>
      </c>
      <c r="AA32" s="10"/>
      <c r="AB32" s="10"/>
      <c r="AC32" s="11"/>
      <c r="AD32" s="11">
        <v>0.11</v>
      </c>
      <c r="AE32" s="11">
        <v>0.17</v>
      </c>
      <c r="AF32" s="11">
        <v>0.05</v>
      </c>
      <c r="AG32" s="10"/>
      <c r="AH32" s="10"/>
      <c r="AI32" s="36">
        <v>2</v>
      </c>
      <c r="AJ32" s="33">
        <v>3.4000000000000002E-2</v>
      </c>
      <c r="AK32" s="33">
        <v>-4.4999999999999998E-2</v>
      </c>
      <c r="AL32" s="33"/>
      <c r="AM32" s="33"/>
      <c r="AN32" s="33">
        <v>-1.8000000000000002E-2</v>
      </c>
      <c r="AO32" s="33">
        <v>4.8000000000000001E-2</v>
      </c>
      <c r="AP32" s="33">
        <v>-6.5000000000000002E-2</v>
      </c>
      <c r="AQ32" s="33"/>
      <c r="AR32" s="33"/>
      <c r="AS32" s="33">
        <v>-1.8000000000000002E-2</v>
      </c>
      <c r="AT32" s="11">
        <v>0.83</v>
      </c>
      <c r="AU32" s="11"/>
      <c r="AV32" s="11">
        <v>0.73</v>
      </c>
      <c r="AW32" s="11"/>
      <c r="AX32" s="11">
        <v>0.51</v>
      </c>
      <c r="AY32" s="11"/>
      <c r="AZ32" s="11">
        <v>0.78</v>
      </c>
      <c r="BA32" s="11"/>
      <c r="BB32" s="11">
        <v>0.48</v>
      </c>
      <c r="BC32" s="11"/>
      <c r="BD32" s="11">
        <v>0.49</v>
      </c>
      <c r="BE32" s="11"/>
      <c r="BF32" s="10" t="s">
        <v>25</v>
      </c>
      <c r="BG32" s="10" t="s">
        <v>25</v>
      </c>
      <c r="BH32" s="39"/>
      <c r="BI32" s="10" t="s">
        <v>25</v>
      </c>
      <c r="BJ32" s="39"/>
      <c r="BK32" s="10" t="s">
        <v>25</v>
      </c>
      <c r="BL32" s="39"/>
      <c r="BM32" s="10" t="s">
        <v>25</v>
      </c>
      <c r="BN32" s="39"/>
      <c r="BO32" s="10" t="s">
        <v>25</v>
      </c>
      <c r="BP32" s="39"/>
      <c r="BQ32" s="10" t="s">
        <v>5510</v>
      </c>
      <c r="BR32" s="42">
        <v>0</v>
      </c>
      <c r="BS32" s="42">
        <v>783</v>
      </c>
      <c r="BT32" s="42">
        <v>1660</v>
      </c>
      <c r="BU32" s="42"/>
      <c r="BV32" s="42"/>
      <c r="BW32" s="42">
        <v>1085</v>
      </c>
      <c r="BX32" s="42">
        <v>1380</v>
      </c>
      <c r="BY32" s="42">
        <v>1757</v>
      </c>
      <c r="BZ32" s="42"/>
      <c r="CA32" s="42"/>
      <c r="CB32" s="42"/>
      <c r="CC32" s="42">
        <v>1961</v>
      </c>
      <c r="CD32" s="42">
        <v>2198</v>
      </c>
      <c r="CE32" s="42">
        <v>2635</v>
      </c>
      <c r="CF32" s="42"/>
      <c r="CG32" s="42"/>
      <c r="CH32" s="11">
        <v>0.79</v>
      </c>
      <c r="CI32" s="42">
        <v>0</v>
      </c>
      <c r="CJ32" s="42">
        <v>980</v>
      </c>
      <c r="CK32" s="42">
        <v>2080</v>
      </c>
      <c r="CL32" s="42"/>
      <c r="CM32" s="42"/>
      <c r="CN32" s="42">
        <v>1355</v>
      </c>
      <c r="CO32" s="42">
        <v>1731</v>
      </c>
      <c r="CP32" s="42">
        <v>2200</v>
      </c>
      <c r="CQ32" s="42"/>
      <c r="CR32" s="42"/>
      <c r="CS32" s="42"/>
      <c r="CT32" s="42">
        <v>2455</v>
      </c>
      <c r="CU32" s="42">
        <v>2830</v>
      </c>
      <c r="CV32" s="42">
        <v>3300</v>
      </c>
      <c r="CW32" s="42"/>
      <c r="CX32" s="42"/>
      <c r="CY32" s="11">
        <v>0.64</v>
      </c>
      <c r="CZ32" s="42">
        <v>0</v>
      </c>
      <c r="DA32" s="42">
        <v>519</v>
      </c>
      <c r="DB32" s="42">
        <v>1101</v>
      </c>
      <c r="DC32" s="42"/>
      <c r="DD32" s="42"/>
      <c r="DE32" s="42">
        <v>717</v>
      </c>
      <c r="DF32" s="42">
        <v>916</v>
      </c>
      <c r="DG32" s="42">
        <v>1165</v>
      </c>
      <c r="DH32" s="42"/>
      <c r="DI32" s="42"/>
      <c r="DJ32" s="42"/>
      <c r="DK32" s="42">
        <v>1300</v>
      </c>
      <c r="DL32" s="42">
        <v>1498</v>
      </c>
      <c r="DM32" s="42">
        <v>1746</v>
      </c>
      <c r="DN32" s="42"/>
      <c r="DO32" s="42"/>
      <c r="DP32" s="11">
        <v>0.91</v>
      </c>
      <c r="DQ32" s="42">
        <v>0</v>
      </c>
      <c r="DR32" s="42">
        <v>518</v>
      </c>
      <c r="DS32" s="42">
        <v>1099</v>
      </c>
      <c r="DT32" s="42"/>
      <c r="DU32" s="42"/>
      <c r="DV32" s="42">
        <v>716</v>
      </c>
      <c r="DW32" s="42">
        <v>914</v>
      </c>
      <c r="DX32" s="42">
        <v>1162</v>
      </c>
      <c r="DY32" s="42"/>
      <c r="DZ32" s="42"/>
      <c r="EA32" s="42"/>
      <c r="EB32" s="42">
        <v>1297</v>
      </c>
      <c r="EC32" s="42">
        <v>1496</v>
      </c>
      <c r="ED32" s="42">
        <v>1743</v>
      </c>
      <c r="EE32" s="42"/>
      <c r="EF32" s="42"/>
      <c r="EG32" s="11">
        <v>0.82</v>
      </c>
      <c r="EH32" s="42"/>
      <c r="EI32" s="42"/>
      <c r="EJ32" s="42"/>
      <c r="EK32" s="42"/>
      <c r="EL32" s="42"/>
      <c r="EM32" s="42"/>
      <c r="EN32" s="42"/>
      <c r="EO32" s="42"/>
      <c r="EP32" s="42"/>
      <c r="EQ32" s="42"/>
      <c r="ER32" s="42"/>
      <c r="ES32" s="42"/>
      <c r="ET32" s="42"/>
      <c r="EU32" s="42"/>
      <c r="EV32" s="42"/>
      <c r="EW32" s="42"/>
      <c r="EX32" s="10"/>
      <c r="EY32" s="10"/>
      <c r="EZ32" s="10"/>
      <c r="FA32" s="10"/>
      <c r="FB32" s="10"/>
      <c r="FC32" s="10"/>
      <c r="FD32" s="10"/>
      <c r="FE32" s="10"/>
      <c r="FF32" s="10"/>
      <c r="FG32" s="10"/>
      <c r="FH32" s="10"/>
      <c r="FI32" s="10"/>
      <c r="FJ32" s="10"/>
      <c r="FK32" s="10"/>
      <c r="FL32" s="10"/>
      <c r="FM32" s="10"/>
      <c r="FN32" s="10"/>
      <c r="FO32" s="10"/>
      <c r="FP32" s="42">
        <v>0</v>
      </c>
      <c r="FQ32" s="42">
        <v>783</v>
      </c>
      <c r="FR32" s="42">
        <v>1660</v>
      </c>
      <c r="FS32" s="42"/>
      <c r="FT32" s="42"/>
      <c r="FU32" s="42">
        <v>1085</v>
      </c>
      <c r="FV32" s="42">
        <v>1380</v>
      </c>
      <c r="FW32" s="42">
        <v>1757</v>
      </c>
      <c r="FX32" s="42"/>
      <c r="FY32" s="42"/>
      <c r="FZ32" s="42"/>
      <c r="GA32" s="42">
        <v>1961</v>
      </c>
      <c r="GB32" s="42">
        <v>2198</v>
      </c>
      <c r="GC32" s="42">
        <v>2635</v>
      </c>
      <c r="GD32" s="42"/>
      <c r="GE32" s="42"/>
      <c r="GF32" s="11">
        <v>0.79</v>
      </c>
      <c r="GG32" s="10">
        <v>2</v>
      </c>
      <c r="GH32" s="10" t="s">
        <v>5450</v>
      </c>
      <c r="GI32" s="42">
        <v>0</v>
      </c>
      <c r="GJ32" s="42">
        <v>52</v>
      </c>
      <c r="GK32" s="42">
        <v>107</v>
      </c>
      <c r="GL32" s="42"/>
      <c r="GM32" s="42"/>
      <c r="GN32" s="42">
        <v>92</v>
      </c>
      <c r="GO32" s="42">
        <v>132</v>
      </c>
      <c r="GP32" s="42">
        <v>182</v>
      </c>
      <c r="GQ32" s="42"/>
      <c r="GR32" s="42"/>
      <c r="GS32" s="42"/>
      <c r="GT32" s="42">
        <v>147</v>
      </c>
      <c r="GU32" s="42">
        <v>187</v>
      </c>
      <c r="GV32" s="42">
        <v>237</v>
      </c>
      <c r="GW32" s="42"/>
      <c r="GX32" s="42"/>
      <c r="GY32" s="11">
        <v>0.68</v>
      </c>
      <c r="GZ32" s="10">
        <v>2</v>
      </c>
      <c r="HA32" s="42"/>
      <c r="HB32" s="42">
        <v>5</v>
      </c>
      <c r="HC32" s="42">
        <v>10</v>
      </c>
      <c r="HD32" s="42"/>
      <c r="HE32" s="42"/>
      <c r="HF32" s="42">
        <v>7</v>
      </c>
      <c r="HG32" s="42">
        <v>9</v>
      </c>
      <c r="HH32" s="42">
        <v>11</v>
      </c>
      <c r="HI32" s="42"/>
      <c r="HJ32" s="42"/>
      <c r="HK32" s="42"/>
      <c r="HL32" s="42">
        <v>12</v>
      </c>
      <c r="HM32" s="42">
        <v>14</v>
      </c>
      <c r="HN32" s="42">
        <v>17</v>
      </c>
      <c r="HO32" s="42"/>
      <c r="HP32" s="42"/>
      <c r="HQ32" s="11">
        <v>1</v>
      </c>
      <c r="HR32" s="10" t="s">
        <v>5451</v>
      </c>
      <c r="HS32" s="39">
        <v>500000</v>
      </c>
      <c r="HT32" s="39"/>
      <c r="HU32" s="39"/>
      <c r="HV32" s="10" t="s">
        <v>25</v>
      </c>
      <c r="HW32" s="10" t="s">
        <v>25</v>
      </c>
      <c r="HX32" s="10" t="s">
        <v>5452</v>
      </c>
      <c r="HY32" s="10" t="s">
        <v>5452</v>
      </c>
      <c r="HZ32" s="10" t="s">
        <v>5452</v>
      </c>
      <c r="IA32" s="10" t="s">
        <v>25</v>
      </c>
      <c r="IB32" s="10"/>
      <c r="IC32" s="10" t="s">
        <v>13224</v>
      </c>
      <c r="ID32" s="10" t="s">
        <v>5511</v>
      </c>
      <c r="IE32" s="10" t="s">
        <v>13270</v>
      </c>
      <c r="IF32" s="10" t="s">
        <v>72</v>
      </c>
      <c r="IG32" s="10" t="s">
        <v>72</v>
      </c>
      <c r="IH32" s="10" t="s">
        <v>72</v>
      </c>
      <c r="II32" s="10" t="s">
        <v>72</v>
      </c>
      <c r="IJ32" s="10" t="s">
        <v>2692</v>
      </c>
      <c r="IK32" s="10"/>
      <c r="IL32" s="10" t="s">
        <v>25</v>
      </c>
      <c r="IM32" s="10" t="s">
        <v>2758</v>
      </c>
      <c r="IN32" s="10"/>
      <c r="IO32" s="10" t="s">
        <v>5472</v>
      </c>
      <c r="IP32" s="10" t="s">
        <v>28</v>
      </c>
      <c r="IQ32" s="10" t="s">
        <v>5458</v>
      </c>
      <c r="IR32" s="10" t="s">
        <v>5458</v>
      </c>
      <c r="IS32" s="10" t="s">
        <v>5512</v>
      </c>
      <c r="IT32" s="10" t="s">
        <v>5513</v>
      </c>
      <c r="IU32" s="10" t="s">
        <v>5513</v>
      </c>
      <c r="IV32" s="10" t="s">
        <v>5513</v>
      </c>
      <c r="IW32" s="10" t="s">
        <v>5513</v>
      </c>
      <c r="IX32" s="10" t="s">
        <v>5483</v>
      </c>
      <c r="IY32" s="10"/>
      <c r="IZ32" s="10" t="s">
        <v>5514</v>
      </c>
      <c r="JA32" s="10" t="s">
        <v>13301</v>
      </c>
      <c r="JB32" s="10" t="s">
        <v>5515</v>
      </c>
      <c r="JC32" s="10" t="s">
        <v>5515</v>
      </c>
      <c r="JD32" s="10" t="s">
        <v>5477</v>
      </c>
      <c r="JE32" s="10" t="s">
        <v>5486</v>
      </c>
      <c r="JF32" s="10" t="s">
        <v>5516</v>
      </c>
      <c r="JG32" s="10" t="s">
        <v>5465</v>
      </c>
      <c r="JH32" s="10" t="s">
        <v>5496</v>
      </c>
    </row>
    <row r="33" spans="1:268" ht="114.75" x14ac:dyDescent="0.2">
      <c r="A33" s="31" t="s">
        <v>117</v>
      </c>
      <c r="B33" s="9" t="s">
        <v>5444</v>
      </c>
      <c r="C33" s="9"/>
      <c r="D33" s="9" t="s">
        <v>28</v>
      </c>
      <c r="E33" s="9" t="s">
        <v>5445</v>
      </c>
      <c r="F33" s="9" t="s">
        <v>1801</v>
      </c>
      <c r="G33" s="9"/>
      <c r="H33" s="9">
        <v>40</v>
      </c>
      <c r="I33" s="9"/>
      <c r="J33" s="9"/>
      <c r="K33" s="9" t="s">
        <v>28</v>
      </c>
      <c r="L33" s="9" t="s">
        <v>5446</v>
      </c>
      <c r="M33" s="9" t="s">
        <v>5446</v>
      </c>
      <c r="N33" s="9" t="s">
        <v>5447</v>
      </c>
      <c r="O33" s="9" t="s">
        <v>5447</v>
      </c>
      <c r="P33" s="9" t="s">
        <v>5447</v>
      </c>
      <c r="Q33" s="9" t="s">
        <v>5447</v>
      </c>
      <c r="R33" s="9" t="s">
        <v>5448</v>
      </c>
      <c r="S33" s="11">
        <v>5.7999999999999996E-2</v>
      </c>
      <c r="T33" s="11">
        <v>0.36</v>
      </c>
      <c r="U33" s="11">
        <v>0.128</v>
      </c>
      <c r="V33" s="10"/>
      <c r="W33" s="11">
        <v>6.9000000000000006E-2</v>
      </c>
      <c r="X33" s="10"/>
      <c r="Y33" s="10"/>
      <c r="Z33" s="10"/>
      <c r="AA33" s="10"/>
      <c r="AB33" s="10"/>
      <c r="AC33" s="11"/>
      <c r="AD33" s="10"/>
      <c r="AE33" s="11">
        <v>0.28999999999999998</v>
      </c>
      <c r="AF33" s="11">
        <v>0.1</v>
      </c>
      <c r="AG33" s="10"/>
      <c r="AH33" s="10"/>
      <c r="AI33" s="36">
        <v>3</v>
      </c>
      <c r="AJ33" s="33">
        <v>5.0999999999999997E-2</v>
      </c>
      <c r="AK33" s="33">
        <v>0.124</v>
      </c>
      <c r="AL33" s="33">
        <v>0.16300000000000001</v>
      </c>
      <c r="AM33" s="33"/>
      <c r="AN33" s="33">
        <v>-4.8000000000000001E-2</v>
      </c>
      <c r="AO33" s="33">
        <v>4.2999999999999997E-2</v>
      </c>
      <c r="AP33" s="33">
        <v>0.105</v>
      </c>
      <c r="AQ33" s="33">
        <v>0.13800000000000001</v>
      </c>
      <c r="AR33" s="33"/>
      <c r="AS33" s="33">
        <v>-4.8000000000000001E-2</v>
      </c>
      <c r="AT33" s="11">
        <v>0.93</v>
      </c>
      <c r="AU33" s="11">
        <v>0</v>
      </c>
      <c r="AV33" s="11">
        <v>0.9</v>
      </c>
      <c r="AW33" s="11">
        <v>0</v>
      </c>
      <c r="AX33" s="11">
        <v>0.66</v>
      </c>
      <c r="AY33" s="11">
        <v>0</v>
      </c>
      <c r="AZ33" s="11">
        <v>0.8</v>
      </c>
      <c r="BA33" s="11">
        <v>0</v>
      </c>
      <c r="BB33" s="11">
        <v>0.73</v>
      </c>
      <c r="BC33" s="11">
        <v>0</v>
      </c>
      <c r="BD33" s="11">
        <v>0.67</v>
      </c>
      <c r="BE33" s="11">
        <v>0</v>
      </c>
      <c r="BF33" s="10" t="s">
        <v>25</v>
      </c>
      <c r="BG33" s="10" t="s">
        <v>28</v>
      </c>
      <c r="BH33" s="39">
        <v>54.17</v>
      </c>
      <c r="BI33" s="10" t="s">
        <v>25</v>
      </c>
      <c r="BJ33" s="39"/>
      <c r="BK33" s="10" t="s">
        <v>25</v>
      </c>
      <c r="BL33" s="39"/>
      <c r="BM33" s="10" t="s">
        <v>25</v>
      </c>
      <c r="BN33" s="39"/>
      <c r="BO33" s="10" t="s">
        <v>25</v>
      </c>
      <c r="BP33" s="39"/>
      <c r="BQ33" s="10" t="s">
        <v>5449</v>
      </c>
      <c r="BR33" s="42"/>
      <c r="BS33" s="42"/>
      <c r="BT33" s="42"/>
      <c r="BU33" s="42"/>
      <c r="BV33" s="42"/>
      <c r="BW33" s="42"/>
      <c r="BX33" s="42"/>
      <c r="BY33" s="42"/>
      <c r="BZ33" s="42"/>
      <c r="CA33" s="42"/>
      <c r="CB33" s="42"/>
      <c r="CC33" s="42"/>
      <c r="CD33" s="42"/>
      <c r="CE33" s="42"/>
      <c r="CF33" s="42"/>
      <c r="CG33" s="42"/>
      <c r="CH33" s="11"/>
      <c r="CI33" s="42"/>
      <c r="CJ33" s="42"/>
      <c r="CK33" s="42"/>
      <c r="CL33" s="42"/>
      <c r="CM33" s="42"/>
      <c r="CN33" s="42"/>
      <c r="CO33" s="42"/>
      <c r="CP33" s="42"/>
      <c r="CQ33" s="42"/>
      <c r="CR33" s="42"/>
      <c r="CS33" s="42"/>
      <c r="CT33" s="42"/>
      <c r="CU33" s="42"/>
      <c r="CV33" s="42"/>
      <c r="CW33" s="42"/>
      <c r="CX33" s="42"/>
      <c r="CY33" s="11"/>
      <c r="CZ33" s="42"/>
      <c r="DA33" s="42">
        <v>751</v>
      </c>
      <c r="DB33" s="42">
        <v>1552</v>
      </c>
      <c r="DC33" s="42"/>
      <c r="DD33" s="42">
        <v>1311</v>
      </c>
      <c r="DE33" s="42"/>
      <c r="DF33" s="42"/>
      <c r="DG33" s="42"/>
      <c r="DH33" s="42"/>
      <c r="DI33" s="42"/>
      <c r="DJ33" s="42"/>
      <c r="DK33" s="42"/>
      <c r="DL33" s="42">
        <v>2189</v>
      </c>
      <c r="DM33" s="42">
        <v>2189</v>
      </c>
      <c r="DN33" s="42"/>
      <c r="DO33" s="42"/>
      <c r="DP33" s="11">
        <v>0.86</v>
      </c>
      <c r="DQ33" s="42"/>
      <c r="DR33" s="42">
        <v>560</v>
      </c>
      <c r="DS33" s="42">
        <v>1233</v>
      </c>
      <c r="DT33" s="42"/>
      <c r="DU33" s="42">
        <v>1121</v>
      </c>
      <c r="DV33" s="42"/>
      <c r="DW33" s="42"/>
      <c r="DX33" s="42"/>
      <c r="DY33" s="42"/>
      <c r="DZ33" s="42"/>
      <c r="EA33" s="42"/>
      <c r="EB33" s="42"/>
      <c r="EC33" s="42">
        <v>1681</v>
      </c>
      <c r="ED33" s="42">
        <v>1681</v>
      </c>
      <c r="EE33" s="42"/>
      <c r="EF33" s="42"/>
      <c r="EG33" s="11"/>
      <c r="EH33" s="42"/>
      <c r="EI33" s="42"/>
      <c r="EJ33" s="42"/>
      <c r="EK33" s="42"/>
      <c r="EL33" s="42"/>
      <c r="EM33" s="42"/>
      <c r="EN33" s="42"/>
      <c r="EO33" s="42"/>
      <c r="EP33" s="42"/>
      <c r="EQ33" s="42"/>
      <c r="ER33" s="42"/>
      <c r="ES33" s="42"/>
      <c r="ET33" s="42"/>
      <c r="EU33" s="42"/>
      <c r="EV33" s="42"/>
      <c r="EW33" s="42"/>
      <c r="EX33" s="10"/>
      <c r="EY33" s="10"/>
      <c r="EZ33" s="10"/>
      <c r="FA33" s="10"/>
      <c r="FB33" s="10"/>
      <c r="FC33" s="10"/>
      <c r="FD33" s="10"/>
      <c r="FE33" s="10"/>
      <c r="FF33" s="10"/>
      <c r="FG33" s="10"/>
      <c r="FH33" s="10"/>
      <c r="FI33" s="10"/>
      <c r="FJ33" s="10"/>
      <c r="FK33" s="10"/>
      <c r="FL33" s="10"/>
      <c r="FM33" s="10"/>
      <c r="FN33" s="10"/>
      <c r="FO33" s="10"/>
      <c r="FP33" s="42"/>
      <c r="FQ33" s="42">
        <v>694</v>
      </c>
      <c r="FR33" s="42">
        <v>1434</v>
      </c>
      <c r="FS33" s="42"/>
      <c r="FT33" s="42">
        <v>1211</v>
      </c>
      <c r="FU33" s="42"/>
      <c r="FV33" s="42"/>
      <c r="FW33" s="42"/>
      <c r="FX33" s="42"/>
      <c r="FY33" s="42"/>
      <c r="FZ33" s="42"/>
      <c r="GA33" s="42"/>
      <c r="GB33" s="42">
        <v>2023</v>
      </c>
      <c r="GC33" s="42">
        <v>2023</v>
      </c>
      <c r="GD33" s="42"/>
      <c r="GE33" s="42"/>
      <c r="GF33" s="11">
        <v>0.87</v>
      </c>
      <c r="GG33" s="10">
        <v>1</v>
      </c>
      <c r="GH33" s="10" t="s">
        <v>5450</v>
      </c>
      <c r="GI33" s="42">
        <v>0</v>
      </c>
      <c r="GJ33" s="42">
        <v>59</v>
      </c>
      <c r="GK33" s="42">
        <v>111</v>
      </c>
      <c r="GL33" s="42"/>
      <c r="GM33" s="42">
        <v>123</v>
      </c>
      <c r="GN33" s="42"/>
      <c r="GO33" s="42"/>
      <c r="GP33" s="42"/>
      <c r="GQ33" s="42"/>
      <c r="GR33" s="42"/>
      <c r="GS33" s="42"/>
      <c r="GT33" s="42"/>
      <c r="GU33" s="42">
        <v>166</v>
      </c>
      <c r="GV33" s="42">
        <v>166</v>
      </c>
      <c r="GW33" s="42"/>
      <c r="GX33" s="42"/>
      <c r="GY33" s="11">
        <v>0.9</v>
      </c>
      <c r="GZ33" s="10">
        <v>2</v>
      </c>
      <c r="HA33" s="42">
        <v>0</v>
      </c>
      <c r="HB33" s="42">
        <v>13</v>
      </c>
      <c r="HC33" s="42">
        <v>19</v>
      </c>
      <c r="HD33" s="42"/>
      <c r="HE33" s="42">
        <v>20</v>
      </c>
      <c r="HF33" s="42"/>
      <c r="HG33" s="42"/>
      <c r="HH33" s="42"/>
      <c r="HI33" s="42"/>
      <c r="HJ33" s="42"/>
      <c r="HK33" s="42"/>
      <c r="HL33" s="42"/>
      <c r="HM33" s="42">
        <v>34</v>
      </c>
      <c r="HN33" s="42">
        <v>34</v>
      </c>
      <c r="HO33" s="42"/>
      <c r="HP33" s="42"/>
      <c r="HQ33" s="11">
        <v>0.7</v>
      </c>
      <c r="HR33" s="10" t="s">
        <v>5451</v>
      </c>
      <c r="HS33" s="39">
        <v>900000</v>
      </c>
      <c r="HT33" s="39"/>
      <c r="HU33" s="39"/>
      <c r="HV33" s="10" t="s">
        <v>25</v>
      </c>
      <c r="HW33" s="10" t="s">
        <v>25</v>
      </c>
      <c r="HX33" s="10" t="s">
        <v>5452</v>
      </c>
      <c r="HY33" s="10" t="s">
        <v>5453</v>
      </c>
      <c r="HZ33" s="10" t="s">
        <v>5452</v>
      </c>
      <c r="IA33" s="10" t="s">
        <v>25</v>
      </c>
      <c r="IB33" s="10"/>
      <c r="IC33" s="10" t="s">
        <v>5454</v>
      </c>
      <c r="ID33" s="10" t="s">
        <v>5455</v>
      </c>
      <c r="IE33" s="10" t="s">
        <v>13269</v>
      </c>
      <c r="IF33" s="10" t="s">
        <v>72</v>
      </c>
      <c r="IG33" s="10" t="s">
        <v>72</v>
      </c>
      <c r="IH33" s="10" t="s">
        <v>72</v>
      </c>
      <c r="II33" s="10" t="s">
        <v>5456</v>
      </c>
      <c r="IJ33" s="10" t="s">
        <v>2692</v>
      </c>
      <c r="IK33" s="10"/>
      <c r="IL33" s="10" t="s">
        <v>25</v>
      </c>
      <c r="IM33" s="10" t="s">
        <v>5457</v>
      </c>
      <c r="IN33" s="10"/>
      <c r="IO33" s="10" t="s">
        <v>25</v>
      </c>
      <c r="IP33" s="10" t="s">
        <v>2201</v>
      </c>
      <c r="IQ33" s="10" t="s">
        <v>5458</v>
      </c>
      <c r="IR33" s="10" t="s">
        <v>5459</v>
      </c>
      <c r="IS33" s="10" t="s">
        <v>5459</v>
      </c>
      <c r="IT33" s="10" t="s">
        <v>5459</v>
      </c>
      <c r="IU33" s="10" t="s">
        <v>5459</v>
      </c>
      <c r="IV33" s="10" t="s">
        <v>5458</v>
      </c>
      <c r="IW33" s="10" t="s">
        <v>5458</v>
      </c>
      <c r="IX33" s="10" t="s">
        <v>5460</v>
      </c>
      <c r="IY33" s="10"/>
      <c r="IZ33" s="10" t="s">
        <v>14616</v>
      </c>
      <c r="JA33" s="10" t="s">
        <v>13301</v>
      </c>
      <c r="JB33" s="10" t="s">
        <v>5461</v>
      </c>
      <c r="JC33" s="10" t="s">
        <v>5461</v>
      </c>
      <c r="JD33" s="10" t="s">
        <v>5462</v>
      </c>
      <c r="JE33" s="10" t="s">
        <v>5463</v>
      </c>
      <c r="JF33" s="10" t="s">
        <v>5464</v>
      </c>
      <c r="JG33" s="10" t="s">
        <v>5465</v>
      </c>
      <c r="JH33" s="10" t="s">
        <v>5466</v>
      </c>
    </row>
    <row r="34" spans="1:268" ht="114.75" x14ac:dyDescent="0.2">
      <c r="A34" s="31" t="s">
        <v>168</v>
      </c>
      <c r="B34" s="9" t="s">
        <v>5494</v>
      </c>
      <c r="C34" s="9"/>
      <c r="D34" s="9" t="s">
        <v>28</v>
      </c>
      <c r="E34" s="9" t="s">
        <v>5688</v>
      </c>
      <c r="F34" s="9" t="s">
        <v>5467</v>
      </c>
      <c r="G34" s="9"/>
      <c r="H34" s="9">
        <v>20</v>
      </c>
      <c r="I34" s="9">
        <v>20</v>
      </c>
      <c r="J34" s="9">
        <v>29</v>
      </c>
      <c r="K34" s="9" t="s">
        <v>25</v>
      </c>
      <c r="L34" s="9" t="s">
        <v>5446</v>
      </c>
      <c r="M34" s="9" t="s">
        <v>5446</v>
      </c>
      <c r="N34" s="9" t="s">
        <v>5446</v>
      </c>
      <c r="O34" s="9" t="s">
        <v>5447</v>
      </c>
      <c r="P34" s="9" t="s">
        <v>5447</v>
      </c>
      <c r="Q34" s="9" t="s">
        <v>5447</v>
      </c>
      <c r="R34" s="9" t="s">
        <v>5469</v>
      </c>
      <c r="S34" s="11">
        <v>0.09</v>
      </c>
      <c r="T34" s="11">
        <v>0.39</v>
      </c>
      <c r="U34" s="11">
        <v>0.12</v>
      </c>
      <c r="V34" s="10"/>
      <c r="W34" s="11">
        <v>0.08</v>
      </c>
      <c r="X34" s="10"/>
      <c r="Y34" s="10"/>
      <c r="Z34" s="10"/>
      <c r="AA34" s="10"/>
      <c r="AB34" s="10"/>
      <c r="AC34" s="11">
        <v>0.32</v>
      </c>
      <c r="AD34" s="10"/>
      <c r="AE34" s="10"/>
      <c r="AF34" s="10"/>
      <c r="AG34" s="10"/>
      <c r="AH34" s="10"/>
      <c r="AI34" s="36">
        <v>2.5</v>
      </c>
      <c r="AJ34" s="33">
        <v>0.08</v>
      </c>
      <c r="AK34" s="33">
        <v>0</v>
      </c>
      <c r="AL34" s="33"/>
      <c r="AM34" s="33"/>
      <c r="AN34" s="33">
        <v>0.02</v>
      </c>
      <c r="AO34" s="33">
        <v>0.08</v>
      </c>
      <c r="AP34" s="33"/>
      <c r="AQ34" s="33"/>
      <c r="AR34" s="33"/>
      <c r="AS34" s="33">
        <v>1.8000000000000002E-2</v>
      </c>
      <c r="AT34" s="11">
        <v>0.84</v>
      </c>
      <c r="AU34" s="11">
        <v>0.84</v>
      </c>
      <c r="AV34" s="11">
        <v>0.86</v>
      </c>
      <c r="AW34" s="11">
        <v>0.86</v>
      </c>
      <c r="AX34" s="11">
        <v>0.83</v>
      </c>
      <c r="AY34" s="11">
        <v>0.83</v>
      </c>
      <c r="AZ34" s="11">
        <v>0.79</v>
      </c>
      <c r="BA34" s="11">
        <v>0.79</v>
      </c>
      <c r="BB34" s="11">
        <v>0.86</v>
      </c>
      <c r="BC34" s="11">
        <v>0.86</v>
      </c>
      <c r="BD34" s="11">
        <v>0.83</v>
      </c>
      <c r="BE34" s="11">
        <v>0.83</v>
      </c>
      <c r="BF34" s="10" t="s">
        <v>25</v>
      </c>
      <c r="BG34" s="10" t="s">
        <v>25</v>
      </c>
      <c r="BH34" s="39"/>
      <c r="BI34" s="10" t="s">
        <v>25</v>
      </c>
      <c r="BJ34" s="39"/>
      <c r="BK34" s="10" t="s">
        <v>25</v>
      </c>
      <c r="BL34" s="39"/>
      <c r="BM34" s="10" t="s">
        <v>25</v>
      </c>
      <c r="BN34" s="39"/>
      <c r="BO34" s="10" t="s">
        <v>25</v>
      </c>
      <c r="BP34" s="39"/>
      <c r="BQ34" s="10" t="s">
        <v>5479</v>
      </c>
      <c r="BR34" s="42"/>
      <c r="BS34" s="42">
        <v>780.37</v>
      </c>
      <c r="BT34" s="42">
        <v>1638.76</v>
      </c>
      <c r="BU34" s="42"/>
      <c r="BV34" s="42">
        <v>1482.69</v>
      </c>
      <c r="BW34" s="42"/>
      <c r="BX34" s="42"/>
      <c r="BY34" s="42"/>
      <c r="BZ34" s="42"/>
      <c r="CA34" s="42"/>
      <c r="CB34" s="42">
        <v>2419.13</v>
      </c>
      <c r="CC34" s="42"/>
      <c r="CD34" s="42"/>
      <c r="CE34" s="42"/>
      <c r="CF34" s="42"/>
      <c r="CG34" s="42"/>
      <c r="CH34" s="11">
        <v>0.77</v>
      </c>
      <c r="CI34" s="42"/>
      <c r="CJ34" s="42"/>
      <c r="CK34" s="42"/>
      <c r="CL34" s="42"/>
      <c r="CM34" s="42"/>
      <c r="CN34" s="42"/>
      <c r="CO34" s="42"/>
      <c r="CP34" s="42"/>
      <c r="CQ34" s="42"/>
      <c r="CR34" s="42"/>
      <c r="CS34" s="42"/>
      <c r="CT34" s="42"/>
      <c r="CU34" s="42"/>
      <c r="CV34" s="42"/>
      <c r="CW34" s="42"/>
      <c r="CX34" s="42"/>
      <c r="CY34" s="11"/>
      <c r="CZ34" s="42"/>
      <c r="DA34" s="42">
        <v>711.62</v>
      </c>
      <c r="DB34" s="42">
        <v>1494.37</v>
      </c>
      <c r="DC34" s="42"/>
      <c r="DD34" s="42">
        <v>1352.06</v>
      </c>
      <c r="DE34" s="42"/>
      <c r="DF34" s="42"/>
      <c r="DG34" s="42"/>
      <c r="DH34" s="42"/>
      <c r="DI34" s="42"/>
      <c r="DJ34" s="42">
        <v>2205.9699999999998</v>
      </c>
      <c r="DK34" s="42"/>
      <c r="DL34" s="42"/>
      <c r="DM34" s="42"/>
      <c r="DN34" s="42"/>
      <c r="DO34" s="42"/>
      <c r="DP34" s="11">
        <v>0.87</v>
      </c>
      <c r="DQ34" s="42"/>
      <c r="DR34" s="42">
        <v>560.65</v>
      </c>
      <c r="DS34" s="42">
        <v>1233.43</v>
      </c>
      <c r="DT34" s="42"/>
      <c r="DU34" s="42">
        <v>1121.3</v>
      </c>
      <c r="DV34" s="42"/>
      <c r="DW34" s="42"/>
      <c r="DX34" s="42"/>
      <c r="DY34" s="42"/>
      <c r="DZ34" s="42"/>
      <c r="EA34" s="42">
        <v>1681.95</v>
      </c>
      <c r="EB34" s="42"/>
      <c r="EC34" s="42"/>
      <c r="ED34" s="42"/>
      <c r="EE34" s="42"/>
      <c r="EF34" s="42"/>
      <c r="EG34" s="11">
        <v>0.78</v>
      </c>
      <c r="EH34" s="42"/>
      <c r="EI34" s="42"/>
      <c r="EJ34" s="42"/>
      <c r="EK34" s="42"/>
      <c r="EL34" s="42"/>
      <c r="EM34" s="42"/>
      <c r="EN34" s="42"/>
      <c r="EO34" s="42"/>
      <c r="EP34" s="42"/>
      <c r="EQ34" s="42"/>
      <c r="ER34" s="42"/>
      <c r="ES34" s="42"/>
      <c r="ET34" s="42"/>
      <c r="EU34" s="42"/>
      <c r="EV34" s="42"/>
      <c r="EW34" s="42"/>
      <c r="EX34" s="10"/>
      <c r="EY34" s="10"/>
      <c r="EZ34" s="10"/>
      <c r="FA34" s="10"/>
      <c r="FB34" s="10"/>
      <c r="FC34" s="10"/>
      <c r="FD34" s="10"/>
      <c r="FE34" s="10"/>
      <c r="FF34" s="10"/>
      <c r="FG34" s="10"/>
      <c r="FH34" s="10"/>
      <c r="FI34" s="10"/>
      <c r="FJ34" s="10"/>
      <c r="FK34" s="10"/>
      <c r="FL34" s="10"/>
      <c r="FM34" s="10"/>
      <c r="FN34" s="10"/>
      <c r="FO34" s="10"/>
      <c r="FP34" s="42"/>
      <c r="FQ34" s="42"/>
      <c r="FR34" s="42"/>
      <c r="FS34" s="42"/>
      <c r="FT34" s="42"/>
      <c r="FU34" s="42"/>
      <c r="FV34" s="42"/>
      <c r="FW34" s="42"/>
      <c r="FX34" s="42"/>
      <c r="FY34" s="42"/>
      <c r="FZ34" s="42"/>
      <c r="GA34" s="42"/>
      <c r="GB34" s="42"/>
      <c r="GC34" s="42"/>
      <c r="GD34" s="42"/>
      <c r="GE34" s="42"/>
      <c r="GF34" s="10"/>
      <c r="GG34" s="10">
        <v>2</v>
      </c>
      <c r="GH34" s="10" t="s">
        <v>5450</v>
      </c>
      <c r="GI34" s="42"/>
      <c r="GJ34" s="42">
        <v>43.55</v>
      </c>
      <c r="GK34" s="42">
        <v>92.58</v>
      </c>
      <c r="GL34" s="42"/>
      <c r="GM34" s="42">
        <v>102.31</v>
      </c>
      <c r="GN34" s="42"/>
      <c r="GO34" s="42"/>
      <c r="GP34" s="42"/>
      <c r="GQ34" s="42"/>
      <c r="GR34" s="42"/>
      <c r="GS34" s="42">
        <v>156.87</v>
      </c>
      <c r="GT34" s="42"/>
      <c r="GU34" s="42"/>
      <c r="GV34" s="42"/>
      <c r="GW34" s="42"/>
      <c r="GX34" s="42"/>
      <c r="GY34" s="11">
        <v>1</v>
      </c>
      <c r="GZ34" s="10">
        <v>2</v>
      </c>
      <c r="HA34" s="42"/>
      <c r="HB34" s="42">
        <v>7.01</v>
      </c>
      <c r="HC34" s="42">
        <v>14.05</v>
      </c>
      <c r="HD34" s="42"/>
      <c r="HE34" s="42">
        <v>15.03</v>
      </c>
      <c r="HF34" s="42"/>
      <c r="HG34" s="42"/>
      <c r="HH34" s="42"/>
      <c r="HI34" s="42"/>
      <c r="HJ34" s="42"/>
      <c r="HK34" s="42">
        <v>24.02</v>
      </c>
      <c r="HL34" s="42"/>
      <c r="HM34" s="42"/>
      <c r="HN34" s="42"/>
      <c r="HO34" s="42"/>
      <c r="HP34" s="42"/>
      <c r="HQ34" s="11">
        <v>1</v>
      </c>
      <c r="HR34" s="10" t="s">
        <v>5451</v>
      </c>
      <c r="HS34" s="39">
        <v>450000</v>
      </c>
      <c r="HT34" s="39"/>
      <c r="HU34" s="39"/>
      <c r="HV34" s="10" t="s">
        <v>25</v>
      </c>
      <c r="HW34" s="10" t="s">
        <v>25</v>
      </c>
      <c r="HX34" s="10" t="s">
        <v>5452</v>
      </c>
      <c r="HY34" s="10" t="s">
        <v>5452</v>
      </c>
      <c r="HZ34" s="10" t="s">
        <v>5452</v>
      </c>
      <c r="IA34" s="10" t="s">
        <v>25</v>
      </c>
      <c r="IB34" s="10"/>
      <c r="IC34" s="10" t="s">
        <v>5689</v>
      </c>
      <c r="ID34" s="10" t="s">
        <v>13259</v>
      </c>
      <c r="IE34" s="10" t="s">
        <v>13287</v>
      </c>
      <c r="IF34" s="10" t="s">
        <v>5613</v>
      </c>
      <c r="IG34" s="10" t="s">
        <v>5613</v>
      </c>
      <c r="IH34" s="10" t="s">
        <v>72</v>
      </c>
      <c r="II34" s="10" t="s">
        <v>5456</v>
      </c>
      <c r="IJ34" s="10" t="s">
        <v>29</v>
      </c>
      <c r="IK34" s="10" t="s">
        <v>5690</v>
      </c>
      <c r="IL34" s="10" t="s">
        <v>5508</v>
      </c>
      <c r="IM34" s="10" t="s">
        <v>5457</v>
      </c>
      <c r="IN34" s="10"/>
      <c r="IO34" s="10" t="s">
        <v>5472</v>
      </c>
      <c r="IP34" s="10" t="s">
        <v>28</v>
      </c>
      <c r="IQ34" s="10" t="s">
        <v>5458</v>
      </c>
      <c r="IR34" s="10" t="s">
        <v>5458</v>
      </c>
      <c r="IS34" s="10" t="s">
        <v>5502</v>
      </c>
      <c r="IT34" s="10" t="s">
        <v>5474</v>
      </c>
      <c r="IU34" s="10" t="s">
        <v>5474</v>
      </c>
      <c r="IV34" s="10" t="s">
        <v>5691</v>
      </c>
      <c r="IW34" s="10" t="s">
        <v>5691</v>
      </c>
      <c r="IX34" s="10" t="s">
        <v>5483</v>
      </c>
      <c r="IY34" s="10"/>
      <c r="IZ34" s="10" t="s">
        <v>5692</v>
      </c>
      <c r="JA34" s="10" t="s">
        <v>13301</v>
      </c>
      <c r="JB34" s="10" t="s">
        <v>5485</v>
      </c>
      <c r="JC34" s="10" t="s">
        <v>5485</v>
      </c>
      <c r="JD34" s="10" t="s">
        <v>5477</v>
      </c>
      <c r="JE34" s="10" t="s">
        <v>28</v>
      </c>
      <c r="JF34" s="10" t="s">
        <v>5464</v>
      </c>
      <c r="JG34" s="10" t="s">
        <v>13302</v>
      </c>
      <c r="JH34" s="10" t="s">
        <v>5496</v>
      </c>
    </row>
    <row r="35" spans="1:268" ht="102" x14ac:dyDescent="0.2">
      <c r="A35" s="31" t="s">
        <v>143</v>
      </c>
      <c r="B35" s="9" t="s">
        <v>5494</v>
      </c>
      <c r="C35" s="9"/>
      <c r="D35" s="9" t="s">
        <v>25</v>
      </c>
      <c r="E35" s="9"/>
      <c r="F35" s="9" t="s">
        <v>5467</v>
      </c>
      <c r="G35" s="9"/>
      <c r="H35" s="9">
        <v>20</v>
      </c>
      <c r="I35" s="9">
        <v>20</v>
      </c>
      <c r="J35" s="9"/>
      <c r="K35" s="9" t="s">
        <v>25</v>
      </c>
      <c r="L35" s="9"/>
      <c r="M35" s="9"/>
      <c r="N35" s="9"/>
      <c r="O35" s="9"/>
      <c r="P35" s="9"/>
      <c r="Q35" s="9"/>
      <c r="R35" s="9" t="s">
        <v>5469</v>
      </c>
      <c r="S35" s="11">
        <v>7.0000000000000007E-2</v>
      </c>
      <c r="T35" s="11">
        <v>0.35</v>
      </c>
      <c r="U35" s="11">
        <v>0.16</v>
      </c>
      <c r="V35" s="10"/>
      <c r="W35" s="11">
        <v>0.09</v>
      </c>
      <c r="X35" s="10"/>
      <c r="Y35" s="10"/>
      <c r="Z35" s="10"/>
      <c r="AA35" s="10"/>
      <c r="AB35" s="10"/>
      <c r="AC35" s="11">
        <v>0.33</v>
      </c>
      <c r="AD35" s="10"/>
      <c r="AE35" s="10"/>
      <c r="AF35" s="10"/>
      <c r="AG35" s="10"/>
      <c r="AH35" s="10"/>
      <c r="AI35" s="36">
        <v>3</v>
      </c>
      <c r="AJ35" s="33">
        <v>5.0999999999999997E-2</v>
      </c>
      <c r="AK35" s="33">
        <v>0.06</v>
      </c>
      <c r="AL35" s="33">
        <v>0.06</v>
      </c>
      <c r="AM35" s="33">
        <v>5.0999999999999997E-2</v>
      </c>
      <c r="AN35" s="33">
        <v>2.7000000000000003E-2</v>
      </c>
      <c r="AO35" s="33"/>
      <c r="AP35" s="33"/>
      <c r="AQ35" s="33"/>
      <c r="AR35" s="33"/>
      <c r="AS35" s="33"/>
      <c r="AT35" s="11">
        <v>0.84</v>
      </c>
      <c r="AU35" s="11">
        <v>0.84</v>
      </c>
      <c r="AV35" s="11">
        <v>0.71</v>
      </c>
      <c r="AW35" s="11">
        <v>0.71</v>
      </c>
      <c r="AX35" s="11">
        <v>0.45</v>
      </c>
      <c r="AY35" s="11">
        <v>0.45</v>
      </c>
      <c r="AZ35" s="11">
        <v>0.84</v>
      </c>
      <c r="BA35" s="11">
        <v>0.84</v>
      </c>
      <c r="BB35" s="11">
        <v>0.71</v>
      </c>
      <c r="BC35" s="11">
        <v>0.71</v>
      </c>
      <c r="BD35" s="11">
        <v>0.45</v>
      </c>
      <c r="BE35" s="11">
        <v>0.45</v>
      </c>
      <c r="BF35" s="10" t="s">
        <v>25</v>
      </c>
      <c r="BG35" s="10" t="s">
        <v>25</v>
      </c>
      <c r="BH35" s="39"/>
      <c r="BI35" s="10" t="s">
        <v>25</v>
      </c>
      <c r="BJ35" s="39"/>
      <c r="BK35" s="10" t="s">
        <v>25</v>
      </c>
      <c r="BL35" s="39"/>
      <c r="BM35" s="10" t="s">
        <v>25</v>
      </c>
      <c r="BN35" s="39"/>
      <c r="BO35" s="10" t="s">
        <v>25</v>
      </c>
      <c r="BP35" s="39"/>
      <c r="BQ35" s="10" t="s">
        <v>5479</v>
      </c>
      <c r="BR35" s="42">
        <v>0</v>
      </c>
      <c r="BS35" s="42">
        <v>601.5</v>
      </c>
      <c r="BT35" s="42">
        <v>1202.96</v>
      </c>
      <c r="BU35" s="42"/>
      <c r="BV35" s="42">
        <v>1022.51</v>
      </c>
      <c r="BW35" s="42"/>
      <c r="BX35" s="42"/>
      <c r="BY35" s="42"/>
      <c r="BZ35" s="42"/>
      <c r="CA35" s="42"/>
      <c r="CB35" s="42">
        <v>1864.59</v>
      </c>
      <c r="CC35" s="42"/>
      <c r="CD35" s="42"/>
      <c r="CE35" s="42"/>
      <c r="CF35" s="42"/>
      <c r="CG35" s="42"/>
      <c r="CH35" s="11">
        <v>0.81</v>
      </c>
      <c r="CI35" s="42"/>
      <c r="CJ35" s="42"/>
      <c r="CK35" s="42"/>
      <c r="CL35" s="42"/>
      <c r="CM35" s="42"/>
      <c r="CN35" s="42"/>
      <c r="CO35" s="42"/>
      <c r="CP35" s="42"/>
      <c r="CQ35" s="42"/>
      <c r="CR35" s="42"/>
      <c r="CS35" s="42"/>
      <c r="CT35" s="42"/>
      <c r="CU35" s="42"/>
      <c r="CV35" s="42"/>
      <c r="CW35" s="42"/>
      <c r="CX35" s="42"/>
      <c r="CY35" s="11"/>
      <c r="CZ35" s="42">
        <v>0</v>
      </c>
      <c r="DA35" s="42">
        <v>702.16</v>
      </c>
      <c r="DB35" s="42">
        <v>1404.33</v>
      </c>
      <c r="DC35" s="42"/>
      <c r="DD35" s="42">
        <v>1233.29</v>
      </c>
      <c r="DE35" s="42"/>
      <c r="DF35" s="42"/>
      <c r="DG35" s="42"/>
      <c r="DH35" s="42"/>
      <c r="DI35" s="42"/>
      <c r="DJ35" s="42">
        <v>2031.47</v>
      </c>
      <c r="DK35" s="42"/>
      <c r="DL35" s="42"/>
      <c r="DM35" s="42"/>
      <c r="DN35" s="42"/>
      <c r="DO35" s="42"/>
      <c r="DP35" s="11">
        <v>0.87</v>
      </c>
      <c r="DQ35" s="42"/>
      <c r="DR35" s="42"/>
      <c r="DS35" s="42"/>
      <c r="DT35" s="42"/>
      <c r="DU35" s="42"/>
      <c r="DV35" s="42"/>
      <c r="DW35" s="42"/>
      <c r="DX35" s="42"/>
      <c r="DY35" s="42"/>
      <c r="DZ35" s="42"/>
      <c r="EA35" s="42"/>
      <c r="EB35" s="42"/>
      <c r="EC35" s="42"/>
      <c r="ED35" s="42"/>
      <c r="EE35" s="42"/>
      <c r="EF35" s="42"/>
      <c r="EG35" s="11">
        <v>0.73</v>
      </c>
      <c r="EH35" s="42"/>
      <c r="EI35" s="42"/>
      <c r="EJ35" s="42"/>
      <c r="EK35" s="42"/>
      <c r="EL35" s="42"/>
      <c r="EM35" s="42"/>
      <c r="EN35" s="42"/>
      <c r="EO35" s="42"/>
      <c r="EP35" s="42"/>
      <c r="EQ35" s="42"/>
      <c r="ER35" s="42"/>
      <c r="ES35" s="42"/>
      <c r="ET35" s="42"/>
      <c r="EU35" s="42"/>
      <c r="EV35" s="42"/>
      <c r="EW35" s="42"/>
      <c r="EX35" s="10"/>
      <c r="EY35" s="10"/>
      <c r="EZ35" s="10"/>
      <c r="FA35" s="10"/>
      <c r="FB35" s="10"/>
      <c r="FC35" s="10"/>
      <c r="FD35" s="10"/>
      <c r="FE35" s="10"/>
      <c r="FF35" s="10"/>
      <c r="FG35" s="10"/>
      <c r="FH35" s="10"/>
      <c r="FI35" s="10"/>
      <c r="FJ35" s="10"/>
      <c r="FK35" s="10"/>
      <c r="FL35" s="10"/>
      <c r="FM35" s="10"/>
      <c r="FN35" s="10"/>
      <c r="FO35" s="10"/>
      <c r="FP35" s="42"/>
      <c r="FQ35" s="42"/>
      <c r="FR35" s="42"/>
      <c r="FS35" s="42"/>
      <c r="FT35" s="42"/>
      <c r="FU35" s="42"/>
      <c r="FV35" s="42"/>
      <c r="FW35" s="42"/>
      <c r="FX35" s="42"/>
      <c r="FY35" s="42"/>
      <c r="FZ35" s="42"/>
      <c r="GA35" s="42"/>
      <c r="GB35" s="42"/>
      <c r="GC35" s="42"/>
      <c r="GD35" s="42"/>
      <c r="GE35" s="42"/>
      <c r="GF35" s="10"/>
      <c r="GG35" s="10">
        <v>3</v>
      </c>
      <c r="GH35" s="10" t="s">
        <v>5450</v>
      </c>
      <c r="GI35" s="42">
        <v>0</v>
      </c>
      <c r="GJ35" s="42">
        <v>18.96</v>
      </c>
      <c r="GK35" s="42">
        <v>37.92</v>
      </c>
      <c r="GL35" s="42"/>
      <c r="GM35" s="42">
        <v>44.96</v>
      </c>
      <c r="GN35" s="42"/>
      <c r="GO35" s="42"/>
      <c r="GP35" s="42"/>
      <c r="GQ35" s="42"/>
      <c r="GR35" s="42"/>
      <c r="GS35" s="42">
        <v>68.25</v>
      </c>
      <c r="GT35" s="42"/>
      <c r="GU35" s="42"/>
      <c r="GV35" s="42"/>
      <c r="GW35" s="42"/>
      <c r="GX35" s="42"/>
      <c r="GY35" s="11">
        <v>0.7</v>
      </c>
      <c r="GZ35" s="10">
        <v>2</v>
      </c>
      <c r="HA35" s="42">
        <v>0</v>
      </c>
      <c r="HB35" s="42">
        <v>10.29</v>
      </c>
      <c r="HC35" s="42">
        <v>14.08</v>
      </c>
      <c r="HD35" s="42"/>
      <c r="HE35" s="42">
        <v>11.92</v>
      </c>
      <c r="HF35" s="42"/>
      <c r="HG35" s="42"/>
      <c r="HH35" s="42"/>
      <c r="HI35" s="42"/>
      <c r="HJ35" s="42"/>
      <c r="HK35" s="42">
        <v>20.04</v>
      </c>
      <c r="HL35" s="42"/>
      <c r="HM35" s="42"/>
      <c r="HN35" s="42"/>
      <c r="HO35" s="42"/>
      <c r="HP35" s="42"/>
      <c r="HQ35" s="11">
        <v>0.57999999999999996</v>
      </c>
      <c r="HR35" s="10" t="s">
        <v>5537</v>
      </c>
      <c r="HS35" s="39">
        <v>575000</v>
      </c>
      <c r="HT35" s="39"/>
      <c r="HU35" s="39"/>
      <c r="HV35" s="10" t="s">
        <v>25</v>
      </c>
      <c r="HW35" s="10" t="s">
        <v>25</v>
      </c>
      <c r="HX35" s="10" t="s">
        <v>5452</v>
      </c>
      <c r="HY35" s="10" t="s">
        <v>5452</v>
      </c>
      <c r="HZ35" s="10" t="s">
        <v>5452</v>
      </c>
      <c r="IA35" s="10" t="s">
        <v>25</v>
      </c>
      <c r="IB35" s="10"/>
      <c r="IC35" s="10" t="s">
        <v>5605</v>
      </c>
      <c r="ID35" s="10" t="s">
        <v>5605</v>
      </c>
      <c r="IE35" s="10" t="s">
        <v>5606</v>
      </c>
      <c r="IF35" s="10" t="s">
        <v>72</v>
      </c>
      <c r="IG35" s="10" t="s">
        <v>72</v>
      </c>
      <c r="IH35" s="10" t="s">
        <v>72</v>
      </c>
      <c r="II35" s="10" t="s">
        <v>72</v>
      </c>
      <c r="IJ35" s="10" t="s">
        <v>29</v>
      </c>
      <c r="IK35" s="10" t="s">
        <v>5607</v>
      </c>
      <c r="IL35" s="10" t="s">
        <v>25</v>
      </c>
      <c r="IM35" s="10" t="s">
        <v>2758</v>
      </c>
      <c r="IN35" s="10"/>
      <c r="IO35" s="10" t="s">
        <v>25</v>
      </c>
      <c r="IP35" s="10" t="s">
        <v>2201</v>
      </c>
      <c r="IQ35" s="10" t="s">
        <v>5458</v>
      </c>
      <c r="IR35" s="10" t="s">
        <v>5458</v>
      </c>
      <c r="IS35" s="10" t="s">
        <v>5459</v>
      </c>
      <c r="IT35" s="10" t="s">
        <v>5553</v>
      </c>
      <c r="IU35" s="10" t="s">
        <v>5459</v>
      </c>
      <c r="IV35" s="10" t="s">
        <v>5458</v>
      </c>
      <c r="IW35" s="10" t="s">
        <v>5458</v>
      </c>
      <c r="IX35" s="10" t="s">
        <v>5483</v>
      </c>
      <c r="IY35" s="10"/>
      <c r="IZ35" s="10" t="s">
        <v>14617</v>
      </c>
      <c r="JA35" s="10" t="s">
        <v>13301</v>
      </c>
      <c r="JB35" s="10" t="s">
        <v>5485</v>
      </c>
      <c r="JC35" s="10" t="s">
        <v>5485</v>
      </c>
      <c r="JD35" s="10" t="s">
        <v>5505</v>
      </c>
      <c r="JE35" s="10" t="s">
        <v>5486</v>
      </c>
      <c r="JF35" s="10" t="s">
        <v>5478</v>
      </c>
      <c r="JG35" s="10" t="s">
        <v>5465</v>
      </c>
      <c r="JH35" s="10" t="s">
        <v>5466</v>
      </c>
    </row>
    <row r="36" spans="1:268" ht="76.5" x14ac:dyDescent="0.2">
      <c r="A36" s="31" t="s">
        <v>180</v>
      </c>
      <c r="B36" s="9" t="s">
        <v>5494</v>
      </c>
      <c r="C36" s="9"/>
      <c r="D36" s="9" t="s">
        <v>25</v>
      </c>
      <c r="E36" s="9"/>
      <c r="F36" s="9" t="s">
        <v>5467</v>
      </c>
      <c r="G36" s="9"/>
      <c r="H36" s="9">
        <v>16</v>
      </c>
      <c r="I36" s="9">
        <v>16</v>
      </c>
      <c r="J36" s="9">
        <v>16</v>
      </c>
      <c r="K36" s="9" t="s">
        <v>25</v>
      </c>
      <c r="L36" s="9"/>
      <c r="M36" s="9"/>
      <c r="N36" s="9"/>
      <c r="O36" s="9"/>
      <c r="P36" s="9"/>
      <c r="Q36" s="9"/>
      <c r="R36" s="9" t="s">
        <v>5469</v>
      </c>
      <c r="S36" s="11">
        <v>7.0000000000000007E-2</v>
      </c>
      <c r="T36" s="11">
        <v>0.52</v>
      </c>
      <c r="U36" s="11">
        <v>0.12</v>
      </c>
      <c r="V36" s="10"/>
      <c r="W36" s="11">
        <v>0.06</v>
      </c>
      <c r="X36" s="10"/>
      <c r="Y36" s="10"/>
      <c r="Z36" s="10"/>
      <c r="AA36" s="10"/>
      <c r="AB36" s="10"/>
      <c r="AC36" s="11">
        <v>0.23</v>
      </c>
      <c r="AD36" s="10"/>
      <c r="AE36" s="10"/>
      <c r="AF36" s="10"/>
      <c r="AG36" s="10"/>
      <c r="AH36" s="10"/>
      <c r="AI36" s="36">
        <v>2</v>
      </c>
      <c r="AJ36" s="33"/>
      <c r="AK36" s="10"/>
      <c r="AL36" s="33"/>
      <c r="AM36" s="33"/>
      <c r="AN36" s="33"/>
      <c r="AO36" s="33"/>
      <c r="AP36" s="33"/>
      <c r="AQ36" s="33"/>
      <c r="AR36" s="33"/>
      <c r="AS36" s="33"/>
      <c r="AT36" s="11"/>
      <c r="AU36" s="11"/>
      <c r="AV36" s="11"/>
      <c r="AW36" s="11"/>
      <c r="AX36" s="11"/>
      <c r="AY36" s="11"/>
      <c r="AZ36" s="11"/>
      <c r="BA36" s="11"/>
      <c r="BB36" s="11"/>
      <c r="BC36" s="11"/>
      <c r="BD36" s="11"/>
      <c r="BE36" s="11"/>
      <c r="BF36" s="10" t="s">
        <v>25</v>
      </c>
      <c r="BG36" s="10" t="s">
        <v>25</v>
      </c>
      <c r="BH36" s="39"/>
      <c r="BI36" s="10" t="s">
        <v>25</v>
      </c>
      <c r="BJ36" s="39"/>
      <c r="BK36" s="10" t="s">
        <v>25</v>
      </c>
      <c r="BL36" s="39"/>
      <c r="BM36" s="10" t="s">
        <v>25</v>
      </c>
      <c r="BN36" s="39"/>
      <c r="BO36" s="10" t="s">
        <v>25</v>
      </c>
      <c r="BP36" s="39"/>
      <c r="BQ36" s="10" t="s">
        <v>5479</v>
      </c>
      <c r="BR36" s="42">
        <v>0</v>
      </c>
      <c r="BS36" s="42">
        <v>742.28</v>
      </c>
      <c r="BT36" s="42">
        <v>1558.79</v>
      </c>
      <c r="BU36" s="42"/>
      <c r="BV36" s="42">
        <v>1410.33</v>
      </c>
      <c r="BW36" s="42"/>
      <c r="BX36" s="42"/>
      <c r="BY36" s="42"/>
      <c r="BZ36" s="42"/>
      <c r="CA36" s="42"/>
      <c r="CB36" s="42">
        <v>2226.84</v>
      </c>
      <c r="CC36" s="42"/>
      <c r="CD36" s="42"/>
      <c r="CE36" s="42"/>
      <c r="CF36" s="42"/>
      <c r="CG36" s="42"/>
      <c r="CH36" s="11">
        <v>0.8</v>
      </c>
      <c r="CI36" s="42"/>
      <c r="CJ36" s="42"/>
      <c r="CK36" s="42"/>
      <c r="CL36" s="42"/>
      <c r="CM36" s="42"/>
      <c r="CN36" s="42"/>
      <c r="CO36" s="42"/>
      <c r="CP36" s="42"/>
      <c r="CQ36" s="42"/>
      <c r="CR36" s="42"/>
      <c r="CS36" s="42"/>
      <c r="CT36" s="42"/>
      <c r="CU36" s="42"/>
      <c r="CV36" s="42"/>
      <c r="CW36" s="42"/>
      <c r="CX36" s="42"/>
      <c r="CY36" s="11"/>
      <c r="CZ36" s="42">
        <v>0</v>
      </c>
      <c r="DA36" s="42">
        <v>761.48</v>
      </c>
      <c r="DB36" s="42">
        <v>1594.93</v>
      </c>
      <c r="DC36" s="42"/>
      <c r="DD36" s="42">
        <v>1450.97</v>
      </c>
      <c r="DE36" s="42"/>
      <c r="DF36" s="42"/>
      <c r="DG36" s="42"/>
      <c r="DH36" s="42"/>
      <c r="DI36" s="42"/>
      <c r="DJ36" s="42">
        <v>2242.7600000000002</v>
      </c>
      <c r="DK36" s="42"/>
      <c r="DL36" s="42"/>
      <c r="DM36" s="42"/>
      <c r="DN36" s="42"/>
      <c r="DO36" s="42"/>
      <c r="DP36" s="11">
        <v>0.92</v>
      </c>
      <c r="DQ36" s="42">
        <v>0</v>
      </c>
      <c r="DR36" s="42">
        <v>858.64</v>
      </c>
      <c r="DS36" s="42">
        <v>1803.12</v>
      </c>
      <c r="DT36" s="42"/>
      <c r="DU36" s="42">
        <v>1631.39</v>
      </c>
      <c r="DV36" s="42"/>
      <c r="DW36" s="42"/>
      <c r="DX36" s="42"/>
      <c r="DY36" s="42"/>
      <c r="DZ36" s="42"/>
      <c r="EA36" s="42">
        <v>2575.88</v>
      </c>
      <c r="EB36" s="42"/>
      <c r="EC36" s="42"/>
      <c r="ED36" s="42"/>
      <c r="EE36" s="42"/>
      <c r="EF36" s="42"/>
      <c r="EG36" s="11">
        <v>0.81</v>
      </c>
      <c r="EH36" s="42"/>
      <c r="EI36" s="42"/>
      <c r="EJ36" s="42"/>
      <c r="EK36" s="42"/>
      <c r="EL36" s="42"/>
      <c r="EM36" s="42"/>
      <c r="EN36" s="42"/>
      <c r="EO36" s="42"/>
      <c r="EP36" s="42"/>
      <c r="EQ36" s="42"/>
      <c r="ER36" s="42"/>
      <c r="ES36" s="42"/>
      <c r="ET36" s="42"/>
      <c r="EU36" s="42"/>
      <c r="EV36" s="42"/>
      <c r="EW36" s="42"/>
      <c r="EX36" s="10"/>
      <c r="EY36" s="10"/>
      <c r="EZ36" s="10"/>
      <c r="FA36" s="10"/>
      <c r="FB36" s="10"/>
      <c r="FC36" s="10"/>
      <c r="FD36" s="10"/>
      <c r="FE36" s="10"/>
      <c r="FF36" s="10"/>
      <c r="FG36" s="10"/>
      <c r="FH36" s="10"/>
      <c r="FI36" s="10"/>
      <c r="FJ36" s="10"/>
      <c r="FK36" s="10"/>
      <c r="FL36" s="10"/>
      <c r="FM36" s="10"/>
      <c r="FN36" s="10"/>
      <c r="FO36" s="10"/>
      <c r="FP36" s="42"/>
      <c r="FQ36" s="42"/>
      <c r="FR36" s="42"/>
      <c r="FS36" s="42"/>
      <c r="FT36" s="42"/>
      <c r="FU36" s="42"/>
      <c r="FV36" s="42"/>
      <c r="FW36" s="42"/>
      <c r="FX36" s="42"/>
      <c r="FY36" s="42"/>
      <c r="FZ36" s="42"/>
      <c r="GA36" s="42"/>
      <c r="GB36" s="42"/>
      <c r="GC36" s="42"/>
      <c r="GD36" s="42"/>
      <c r="GE36" s="42"/>
      <c r="GF36" s="10"/>
      <c r="GG36" s="10">
        <v>2</v>
      </c>
      <c r="GH36" s="10" t="s">
        <v>5450</v>
      </c>
      <c r="GI36" s="42">
        <v>0</v>
      </c>
      <c r="GJ36" s="42">
        <v>42.38</v>
      </c>
      <c r="GK36" s="42">
        <v>87.91</v>
      </c>
      <c r="GL36" s="42"/>
      <c r="GM36" s="42">
        <v>108.7</v>
      </c>
      <c r="GN36" s="42"/>
      <c r="GO36" s="42"/>
      <c r="GP36" s="42"/>
      <c r="GQ36" s="42"/>
      <c r="GR36" s="42"/>
      <c r="GS36" s="42">
        <v>151.57</v>
      </c>
      <c r="GT36" s="42"/>
      <c r="GU36" s="42"/>
      <c r="GV36" s="42"/>
      <c r="GW36" s="42"/>
      <c r="GX36" s="42"/>
      <c r="GY36" s="11">
        <v>0.76</v>
      </c>
      <c r="GZ36" s="10">
        <v>2</v>
      </c>
      <c r="HA36" s="42">
        <v>0</v>
      </c>
      <c r="HB36" s="42">
        <v>7</v>
      </c>
      <c r="HC36" s="42">
        <v>14.7</v>
      </c>
      <c r="HD36" s="42"/>
      <c r="HE36" s="42">
        <v>13.3</v>
      </c>
      <c r="HF36" s="42"/>
      <c r="HG36" s="42"/>
      <c r="HH36" s="42"/>
      <c r="HI36" s="42"/>
      <c r="HJ36" s="42"/>
      <c r="HK36" s="42">
        <v>20.99</v>
      </c>
      <c r="HL36" s="42"/>
      <c r="HM36" s="42"/>
      <c r="HN36" s="42"/>
      <c r="HO36" s="42"/>
      <c r="HP36" s="42"/>
      <c r="HQ36" s="11">
        <v>0.75</v>
      </c>
      <c r="HR36" s="10" t="s">
        <v>5451</v>
      </c>
      <c r="HS36" s="39">
        <v>150000</v>
      </c>
      <c r="HT36" s="39"/>
      <c r="HU36" s="39">
        <v>100000000</v>
      </c>
      <c r="HV36" s="10" t="s">
        <v>25</v>
      </c>
      <c r="HW36" s="10" t="s">
        <v>25</v>
      </c>
      <c r="HX36" s="10" t="s">
        <v>5452</v>
      </c>
      <c r="HY36" s="10" t="s">
        <v>5452</v>
      </c>
      <c r="HZ36" s="10" t="s">
        <v>5452</v>
      </c>
      <c r="IA36" s="10" t="s">
        <v>25</v>
      </c>
      <c r="IB36" s="10"/>
      <c r="IC36" s="10" t="s">
        <v>5742</v>
      </c>
      <c r="ID36" s="10" t="s">
        <v>5742</v>
      </c>
      <c r="IE36" s="10" t="s">
        <v>13291</v>
      </c>
      <c r="IF36" s="10" t="s">
        <v>72</v>
      </c>
      <c r="IG36" s="10" t="s">
        <v>72</v>
      </c>
      <c r="IH36" s="10" t="s">
        <v>72</v>
      </c>
      <c r="II36" s="10" t="s">
        <v>72</v>
      </c>
      <c r="IJ36" s="10" t="s">
        <v>2692</v>
      </c>
      <c r="IK36" s="10"/>
      <c r="IL36" s="10" t="s">
        <v>5549</v>
      </c>
      <c r="IM36" s="10" t="s">
        <v>2692</v>
      </c>
      <c r="IN36" s="10"/>
      <c r="IO36" s="10" t="s">
        <v>25</v>
      </c>
      <c r="IP36" s="10" t="s">
        <v>28</v>
      </c>
      <c r="IQ36" s="10" t="s">
        <v>5458</v>
      </c>
      <c r="IR36" s="10" t="s">
        <v>5458</v>
      </c>
      <c r="IS36" s="10" t="s">
        <v>5458</v>
      </c>
      <c r="IT36" s="10" t="s">
        <v>5474</v>
      </c>
      <c r="IU36" s="10" t="s">
        <v>5474</v>
      </c>
      <c r="IV36" s="10" t="s">
        <v>5458</v>
      </c>
      <c r="IW36" s="10" t="s">
        <v>5458</v>
      </c>
      <c r="IX36" s="10" t="s">
        <v>5460</v>
      </c>
      <c r="IY36" s="10"/>
      <c r="IZ36" s="10" t="s">
        <v>5743</v>
      </c>
      <c r="JA36" s="10" t="s">
        <v>13301</v>
      </c>
      <c r="JB36" s="10" t="s">
        <v>5485</v>
      </c>
      <c r="JC36" s="10" t="s">
        <v>5485</v>
      </c>
      <c r="JD36" s="10" t="s">
        <v>5462</v>
      </c>
      <c r="JE36" s="10" t="s">
        <v>5486</v>
      </c>
      <c r="JF36" s="10" t="s">
        <v>5516</v>
      </c>
      <c r="JG36" s="10" t="s">
        <v>5465</v>
      </c>
      <c r="JH36" s="10" t="s">
        <v>5466</v>
      </c>
    </row>
    <row r="37" spans="1:268" ht="102" x14ac:dyDescent="0.2">
      <c r="A37" s="31" t="s">
        <v>158</v>
      </c>
      <c r="B37" s="9" t="s">
        <v>2185</v>
      </c>
      <c r="C37" s="9"/>
      <c r="D37" s="9" t="s">
        <v>25</v>
      </c>
      <c r="E37" s="9"/>
      <c r="F37" s="9" t="s">
        <v>5467</v>
      </c>
      <c r="G37" s="9"/>
      <c r="H37" s="9">
        <v>20</v>
      </c>
      <c r="I37" s="9">
        <v>20</v>
      </c>
      <c r="J37" s="9">
        <v>40</v>
      </c>
      <c r="K37" s="9" t="s">
        <v>28</v>
      </c>
      <c r="L37" s="9" t="s">
        <v>5529</v>
      </c>
      <c r="M37" s="9" t="s">
        <v>5529</v>
      </c>
      <c r="N37" s="9" t="s">
        <v>5447</v>
      </c>
      <c r="O37" s="9" t="s">
        <v>5447</v>
      </c>
      <c r="P37" s="9" t="s">
        <v>5447</v>
      </c>
      <c r="Q37" s="9" t="s">
        <v>5447</v>
      </c>
      <c r="R37" s="9" t="s">
        <v>5469</v>
      </c>
      <c r="S37" s="11">
        <v>0.15</v>
      </c>
      <c r="T37" s="11">
        <v>0.4</v>
      </c>
      <c r="U37" s="11">
        <v>7.0000000000000007E-2</v>
      </c>
      <c r="V37" s="10"/>
      <c r="W37" s="11">
        <v>0.09</v>
      </c>
      <c r="X37" s="10"/>
      <c r="Y37" s="10"/>
      <c r="Z37" s="10"/>
      <c r="AA37" s="10"/>
      <c r="AB37" s="10"/>
      <c r="AC37" s="11">
        <v>0.28999999999999998</v>
      </c>
      <c r="AD37" s="10"/>
      <c r="AE37" s="10"/>
      <c r="AF37" s="10"/>
      <c r="AG37" s="10"/>
      <c r="AH37" s="10"/>
      <c r="AI37" s="36">
        <v>3</v>
      </c>
      <c r="AJ37" s="33">
        <v>0.09</v>
      </c>
      <c r="AK37" s="33">
        <v>0.11</v>
      </c>
      <c r="AL37" s="33">
        <v>0.27</v>
      </c>
      <c r="AM37" s="33">
        <v>0.15</v>
      </c>
      <c r="AN37" s="33">
        <v>0.04</v>
      </c>
      <c r="AO37" s="33"/>
      <c r="AP37" s="33"/>
      <c r="AQ37" s="33"/>
      <c r="AR37" s="33"/>
      <c r="AS37" s="33"/>
      <c r="AT37" s="11">
        <v>0.8</v>
      </c>
      <c r="AU37" s="11">
        <v>0.8</v>
      </c>
      <c r="AV37" s="11">
        <v>0.8</v>
      </c>
      <c r="AW37" s="11">
        <v>0.8</v>
      </c>
      <c r="AX37" s="11">
        <v>0.8</v>
      </c>
      <c r="AY37" s="11">
        <v>0.8</v>
      </c>
      <c r="AZ37" s="11">
        <v>0.75</v>
      </c>
      <c r="BA37" s="11">
        <v>0.78</v>
      </c>
      <c r="BB37" s="11">
        <v>0.8</v>
      </c>
      <c r="BC37" s="11">
        <v>0.78</v>
      </c>
      <c r="BD37" s="11">
        <v>0.8</v>
      </c>
      <c r="BE37" s="11">
        <v>0.78</v>
      </c>
      <c r="BF37" s="10" t="s">
        <v>25</v>
      </c>
      <c r="BG37" s="10" t="s">
        <v>25</v>
      </c>
      <c r="BH37" s="39"/>
      <c r="BI37" s="10" t="s">
        <v>25</v>
      </c>
      <c r="BJ37" s="39"/>
      <c r="BK37" s="10" t="s">
        <v>25</v>
      </c>
      <c r="BL37" s="39"/>
      <c r="BM37" s="10" t="s">
        <v>25</v>
      </c>
      <c r="BN37" s="39"/>
      <c r="BO37" s="10" t="s">
        <v>25</v>
      </c>
      <c r="BP37" s="39"/>
      <c r="BQ37" s="10" t="s">
        <v>5479</v>
      </c>
      <c r="BR37" s="42">
        <v>0</v>
      </c>
      <c r="BS37" s="42">
        <v>678.02</v>
      </c>
      <c r="BT37" s="42">
        <v>1491.7</v>
      </c>
      <c r="BU37" s="42"/>
      <c r="BV37" s="42">
        <v>1356.09</v>
      </c>
      <c r="BW37" s="42"/>
      <c r="BX37" s="42"/>
      <c r="BY37" s="42"/>
      <c r="BZ37" s="42"/>
      <c r="CA37" s="42"/>
      <c r="CB37" s="42">
        <v>2169.71</v>
      </c>
      <c r="CC37" s="42"/>
      <c r="CD37" s="42"/>
      <c r="CE37" s="42"/>
      <c r="CF37" s="42"/>
      <c r="CG37" s="42"/>
      <c r="CH37" s="11">
        <v>0.8</v>
      </c>
      <c r="CI37" s="42"/>
      <c r="CJ37" s="42"/>
      <c r="CK37" s="42"/>
      <c r="CL37" s="42"/>
      <c r="CM37" s="42"/>
      <c r="CN37" s="42"/>
      <c r="CO37" s="42"/>
      <c r="CP37" s="42"/>
      <c r="CQ37" s="42"/>
      <c r="CR37" s="42"/>
      <c r="CS37" s="42"/>
      <c r="CT37" s="42"/>
      <c r="CU37" s="42"/>
      <c r="CV37" s="42"/>
      <c r="CW37" s="42"/>
      <c r="CX37" s="42"/>
      <c r="CY37" s="11"/>
      <c r="CZ37" s="42">
        <v>0</v>
      </c>
      <c r="DA37" s="42">
        <v>571.29</v>
      </c>
      <c r="DB37" s="42">
        <v>1256.83</v>
      </c>
      <c r="DC37" s="42"/>
      <c r="DD37" s="42">
        <v>1152.07</v>
      </c>
      <c r="DE37" s="42"/>
      <c r="DF37" s="42"/>
      <c r="DG37" s="42"/>
      <c r="DH37" s="42"/>
      <c r="DI37" s="42"/>
      <c r="DJ37" s="42">
        <v>1780.72</v>
      </c>
      <c r="DK37" s="42"/>
      <c r="DL37" s="42"/>
      <c r="DM37" s="42"/>
      <c r="DN37" s="42"/>
      <c r="DO37" s="42"/>
      <c r="DP37" s="11">
        <v>0.8</v>
      </c>
      <c r="DQ37" s="42">
        <v>0</v>
      </c>
      <c r="DR37" s="42">
        <v>443.96</v>
      </c>
      <c r="DS37" s="42">
        <v>976.7</v>
      </c>
      <c r="DT37" s="42"/>
      <c r="DU37" s="42">
        <v>887.91</v>
      </c>
      <c r="DV37" s="42"/>
      <c r="DW37" s="42"/>
      <c r="DX37" s="42"/>
      <c r="DY37" s="42"/>
      <c r="DZ37" s="42"/>
      <c r="EA37" s="42">
        <v>1420.66</v>
      </c>
      <c r="EB37" s="42"/>
      <c r="EC37" s="42"/>
      <c r="ED37" s="42"/>
      <c r="EE37" s="42"/>
      <c r="EF37" s="42"/>
      <c r="EG37" s="11">
        <v>0.8</v>
      </c>
      <c r="EH37" s="42"/>
      <c r="EI37" s="42"/>
      <c r="EJ37" s="42"/>
      <c r="EK37" s="42"/>
      <c r="EL37" s="42"/>
      <c r="EM37" s="42"/>
      <c r="EN37" s="42"/>
      <c r="EO37" s="42"/>
      <c r="EP37" s="42"/>
      <c r="EQ37" s="42"/>
      <c r="ER37" s="42"/>
      <c r="ES37" s="42"/>
      <c r="ET37" s="42"/>
      <c r="EU37" s="42"/>
      <c r="EV37" s="42"/>
      <c r="EW37" s="42"/>
      <c r="EX37" s="10"/>
      <c r="EY37" s="10"/>
      <c r="EZ37" s="10"/>
      <c r="FA37" s="10"/>
      <c r="FB37" s="10"/>
      <c r="FC37" s="10"/>
      <c r="FD37" s="10"/>
      <c r="FE37" s="10"/>
      <c r="FF37" s="10"/>
      <c r="FG37" s="10"/>
      <c r="FH37" s="10"/>
      <c r="FI37" s="10"/>
      <c r="FJ37" s="10"/>
      <c r="FK37" s="10"/>
      <c r="FL37" s="10"/>
      <c r="FM37" s="10"/>
      <c r="FN37" s="10"/>
      <c r="FO37" s="10"/>
      <c r="FP37" s="42"/>
      <c r="FQ37" s="42"/>
      <c r="FR37" s="42"/>
      <c r="FS37" s="42"/>
      <c r="FT37" s="42"/>
      <c r="FU37" s="42"/>
      <c r="FV37" s="42"/>
      <c r="FW37" s="42"/>
      <c r="FX37" s="42"/>
      <c r="FY37" s="42"/>
      <c r="FZ37" s="42"/>
      <c r="GA37" s="42"/>
      <c r="GB37" s="42"/>
      <c r="GC37" s="42"/>
      <c r="GD37" s="42"/>
      <c r="GE37" s="42"/>
      <c r="GF37" s="10"/>
      <c r="GG37" s="10">
        <v>2</v>
      </c>
      <c r="GH37" s="10" t="s">
        <v>5450</v>
      </c>
      <c r="GI37" s="42">
        <v>0</v>
      </c>
      <c r="GJ37" s="42">
        <v>44.54</v>
      </c>
      <c r="GK37" s="42">
        <v>89.06</v>
      </c>
      <c r="GL37" s="42"/>
      <c r="GM37" s="42">
        <v>106.86</v>
      </c>
      <c r="GN37" s="42"/>
      <c r="GO37" s="42"/>
      <c r="GP37" s="42"/>
      <c r="GQ37" s="42"/>
      <c r="GR37" s="42"/>
      <c r="GS37" s="42">
        <v>151.41999999999999</v>
      </c>
      <c r="GT37" s="42"/>
      <c r="GU37" s="42"/>
      <c r="GV37" s="42"/>
      <c r="GW37" s="42"/>
      <c r="GX37" s="42"/>
      <c r="GY37" s="11">
        <v>0.8</v>
      </c>
      <c r="GZ37" s="10">
        <v>2</v>
      </c>
      <c r="HA37" s="42">
        <v>0</v>
      </c>
      <c r="HB37" s="42">
        <v>7.49</v>
      </c>
      <c r="HC37" s="42">
        <v>16.829999999999998</v>
      </c>
      <c r="HD37" s="42"/>
      <c r="HE37" s="42">
        <v>14.97</v>
      </c>
      <c r="HF37" s="42"/>
      <c r="HG37" s="42"/>
      <c r="HH37" s="42"/>
      <c r="HI37" s="42"/>
      <c r="HJ37" s="42"/>
      <c r="HK37" s="42">
        <v>24.31</v>
      </c>
      <c r="HL37" s="42"/>
      <c r="HM37" s="42"/>
      <c r="HN37" s="42"/>
      <c r="HO37" s="42"/>
      <c r="HP37" s="42"/>
      <c r="HQ37" s="11">
        <v>0.8</v>
      </c>
      <c r="HR37" s="10" t="s">
        <v>5537</v>
      </c>
      <c r="HS37" s="39">
        <v>500000</v>
      </c>
      <c r="HT37" s="39">
        <v>600000</v>
      </c>
      <c r="HU37" s="39"/>
      <c r="HV37" s="10" t="s">
        <v>5591</v>
      </c>
      <c r="HW37" s="10" t="s">
        <v>25</v>
      </c>
      <c r="HX37" s="10" t="s">
        <v>5452</v>
      </c>
      <c r="HY37" s="10" t="s">
        <v>5452</v>
      </c>
      <c r="HZ37" s="10" t="s">
        <v>5453</v>
      </c>
      <c r="IA37" s="10" t="s">
        <v>25</v>
      </c>
      <c r="IB37" s="10"/>
      <c r="IC37" s="10" t="s">
        <v>5659</v>
      </c>
      <c r="ID37" s="10" t="s">
        <v>13250</v>
      </c>
      <c r="IE37" s="10" t="s">
        <v>5660</v>
      </c>
      <c r="IF37" s="10" t="s">
        <v>13295</v>
      </c>
      <c r="IG37" s="10" t="s">
        <v>72</v>
      </c>
      <c r="IH37" s="10" t="s">
        <v>5563</v>
      </c>
      <c r="II37" s="10" t="s">
        <v>5661</v>
      </c>
      <c r="IJ37" s="10" t="s">
        <v>2692</v>
      </c>
      <c r="IK37" s="10"/>
      <c r="IL37" s="10" t="s">
        <v>5508</v>
      </c>
      <c r="IM37" s="10" t="s">
        <v>1801</v>
      </c>
      <c r="IN37" s="10"/>
      <c r="IO37" s="10" t="s">
        <v>28</v>
      </c>
      <c r="IP37" s="10" t="s">
        <v>2201</v>
      </c>
      <c r="IQ37" s="10" t="s">
        <v>5458</v>
      </c>
      <c r="IR37" s="10" t="s">
        <v>5458</v>
      </c>
      <c r="IS37" s="10" t="s">
        <v>5458</v>
      </c>
      <c r="IT37" s="10" t="s">
        <v>5459</v>
      </c>
      <c r="IU37" s="10" t="s">
        <v>5459</v>
      </c>
      <c r="IV37" s="10" t="s">
        <v>5458</v>
      </c>
      <c r="IW37" s="10" t="s">
        <v>5458</v>
      </c>
      <c r="IX37" s="10" t="s">
        <v>5483</v>
      </c>
      <c r="IY37" s="10"/>
      <c r="IZ37" s="10" t="s">
        <v>5662</v>
      </c>
      <c r="JA37" s="10" t="s">
        <v>13301</v>
      </c>
      <c r="JB37" s="10" t="s">
        <v>5461</v>
      </c>
      <c r="JC37" s="10" t="s">
        <v>5461</v>
      </c>
      <c r="JD37" s="10" t="s">
        <v>5663</v>
      </c>
      <c r="JE37" s="10" t="s">
        <v>5486</v>
      </c>
      <c r="JF37" s="10" t="s">
        <v>5516</v>
      </c>
      <c r="JG37" s="10" t="s">
        <v>5465</v>
      </c>
      <c r="JH37" s="10" t="s">
        <v>5466</v>
      </c>
    </row>
    <row r="38" spans="1:268" ht="102" x14ac:dyDescent="0.2">
      <c r="A38" s="31" t="s">
        <v>150</v>
      </c>
      <c r="B38" s="9" t="s">
        <v>2185</v>
      </c>
      <c r="C38" s="9"/>
      <c r="D38" s="9" t="s">
        <v>25</v>
      </c>
      <c r="E38" s="9"/>
      <c r="F38" s="9"/>
      <c r="G38" s="9"/>
      <c r="H38" s="9">
        <v>24</v>
      </c>
      <c r="I38" s="9">
        <v>24</v>
      </c>
      <c r="J38" s="9"/>
      <c r="K38" s="9" t="s">
        <v>28</v>
      </c>
      <c r="L38" s="9" t="s">
        <v>5468</v>
      </c>
      <c r="M38" s="9" t="s">
        <v>5468</v>
      </c>
      <c r="N38" s="9"/>
      <c r="O38" s="9"/>
      <c r="P38" s="9"/>
      <c r="Q38" s="9"/>
      <c r="R38" s="9" t="s">
        <v>5469</v>
      </c>
      <c r="S38" s="11">
        <v>0.08</v>
      </c>
      <c r="T38" s="11">
        <v>0.3</v>
      </c>
      <c r="U38" s="11">
        <v>0.14000000000000001</v>
      </c>
      <c r="V38" s="10"/>
      <c r="W38" s="11">
        <v>0.09</v>
      </c>
      <c r="X38" s="10"/>
      <c r="Y38" s="10"/>
      <c r="Z38" s="10"/>
      <c r="AA38" s="10"/>
      <c r="AB38" s="10"/>
      <c r="AC38" s="11">
        <v>0.39</v>
      </c>
      <c r="AD38" s="10"/>
      <c r="AE38" s="10"/>
      <c r="AF38" s="10"/>
      <c r="AG38" s="10"/>
      <c r="AH38" s="10"/>
      <c r="AI38" s="36">
        <v>4</v>
      </c>
      <c r="AJ38" s="33">
        <v>7.0000000000000007E-2</v>
      </c>
      <c r="AK38" s="33">
        <v>0</v>
      </c>
      <c r="AL38" s="33">
        <v>0</v>
      </c>
      <c r="AM38" s="33">
        <v>0</v>
      </c>
      <c r="AN38" s="33">
        <v>0.124</v>
      </c>
      <c r="AO38" s="33">
        <v>7.0000000000000007E-2</v>
      </c>
      <c r="AP38" s="33">
        <v>0</v>
      </c>
      <c r="AQ38" s="33">
        <v>0</v>
      </c>
      <c r="AR38" s="33">
        <v>0</v>
      </c>
      <c r="AS38" s="33">
        <v>0.124</v>
      </c>
      <c r="AT38" s="11">
        <v>0.85</v>
      </c>
      <c r="AU38" s="11">
        <v>0.85</v>
      </c>
      <c r="AV38" s="11">
        <v>0.68</v>
      </c>
      <c r="AW38" s="11">
        <v>0.68</v>
      </c>
      <c r="AX38" s="11">
        <v>0.33</v>
      </c>
      <c r="AY38" s="11">
        <v>0.33</v>
      </c>
      <c r="AZ38" s="11">
        <v>0.7</v>
      </c>
      <c r="BA38" s="11">
        <v>0.7</v>
      </c>
      <c r="BB38" s="11">
        <v>0.64</v>
      </c>
      <c r="BC38" s="11">
        <v>0.64</v>
      </c>
      <c r="BD38" s="11">
        <v>0.4</v>
      </c>
      <c r="BE38" s="11">
        <v>0.4</v>
      </c>
      <c r="BF38" s="10" t="s">
        <v>25</v>
      </c>
      <c r="BG38" s="10" t="s">
        <v>25</v>
      </c>
      <c r="BH38" s="39"/>
      <c r="BI38" s="10" t="s">
        <v>25</v>
      </c>
      <c r="BJ38" s="39"/>
      <c r="BK38" s="10" t="s">
        <v>25</v>
      </c>
      <c r="BL38" s="39"/>
      <c r="BM38" s="10" t="s">
        <v>25</v>
      </c>
      <c r="BN38" s="39"/>
      <c r="BO38" s="10" t="s">
        <v>25</v>
      </c>
      <c r="BP38" s="39"/>
      <c r="BQ38" s="10" t="s">
        <v>5479</v>
      </c>
      <c r="BR38" s="42">
        <v>0</v>
      </c>
      <c r="BS38" s="42">
        <v>844.86</v>
      </c>
      <c r="BT38" s="42">
        <v>1774.21</v>
      </c>
      <c r="BU38" s="42"/>
      <c r="BV38" s="42">
        <v>1520.74</v>
      </c>
      <c r="BW38" s="42"/>
      <c r="BX38" s="42"/>
      <c r="BY38" s="42"/>
      <c r="BZ38" s="42"/>
      <c r="CA38" s="42"/>
      <c r="CB38" s="42">
        <v>2450.08</v>
      </c>
      <c r="CC38" s="42"/>
      <c r="CD38" s="42"/>
      <c r="CE38" s="42"/>
      <c r="CF38" s="42"/>
      <c r="CG38" s="42"/>
      <c r="CH38" s="11">
        <v>0.72</v>
      </c>
      <c r="CI38" s="42"/>
      <c r="CJ38" s="42"/>
      <c r="CK38" s="42"/>
      <c r="CL38" s="42"/>
      <c r="CM38" s="42"/>
      <c r="CN38" s="42"/>
      <c r="CO38" s="42"/>
      <c r="CP38" s="42"/>
      <c r="CQ38" s="42"/>
      <c r="CR38" s="42"/>
      <c r="CS38" s="42"/>
      <c r="CT38" s="42"/>
      <c r="CU38" s="42"/>
      <c r="CV38" s="42"/>
      <c r="CW38" s="42"/>
      <c r="CX38" s="42"/>
      <c r="CY38" s="11"/>
      <c r="CZ38" s="42">
        <v>0</v>
      </c>
      <c r="DA38" s="42">
        <v>844.86</v>
      </c>
      <c r="DB38" s="42">
        <v>1774.21</v>
      </c>
      <c r="DC38" s="42"/>
      <c r="DD38" s="42">
        <v>1520.74</v>
      </c>
      <c r="DE38" s="42"/>
      <c r="DF38" s="42"/>
      <c r="DG38" s="42"/>
      <c r="DH38" s="42"/>
      <c r="DI38" s="42"/>
      <c r="DJ38" s="42">
        <v>2450.08</v>
      </c>
      <c r="DK38" s="42"/>
      <c r="DL38" s="42"/>
      <c r="DM38" s="42"/>
      <c r="DN38" s="42"/>
      <c r="DO38" s="42"/>
      <c r="DP38" s="11">
        <v>0.82</v>
      </c>
      <c r="DQ38" s="42">
        <v>0</v>
      </c>
      <c r="DR38" s="42">
        <v>715.23</v>
      </c>
      <c r="DS38" s="42">
        <v>1501.98</v>
      </c>
      <c r="DT38" s="42"/>
      <c r="DU38" s="42">
        <v>1287.4100000000001</v>
      </c>
      <c r="DV38" s="42"/>
      <c r="DW38" s="42"/>
      <c r="DX38" s="42"/>
      <c r="DY38" s="42"/>
      <c r="DZ38" s="42"/>
      <c r="EA38" s="42">
        <v>2074.16</v>
      </c>
      <c r="EB38" s="42"/>
      <c r="EC38" s="42"/>
      <c r="ED38" s="42"/>
      <c r="EE38" s="42"/>
      <c r="EF38" s="42"/>
      <c r="EG38" s="11">
        <v>0.69</v>
      </c>
      <c r="EH38" s="42"/>
      <c r="EI38" s="42"/>
      <c r="EJ38" s="42"/>
      <c r="EK38" s="42"/>
      <c r="EL38" s="42"/>
      <c r="EM38" s="42"/>
      <c r="EN38" s="42"/>
      <c r="EO38" s="42"/>
      <c r="EP38" s="42"/>
      <c r="EQ38" s="42"/>
      <c r="ER38" s="42"/>
      <c r="ES38" s="42"/>
      <c r="ET38" s="42"/>
      <c r="EU38" s="42"/>
      <c r="EV38" s="42"/>
      <c r="EW38" s="42"/>
      <c r="EX38" s="10"/>
      <c r="EY38" s="10"/>
      <c r="EZ38" s="10"/>
      <c r="FA38" s="10"/>
      <c r="FB38" s="10"/>
      <c r="FC38" s="10"/>
      <c r="FD38" s="10"/>
      <c r="FE38" s="10"/>
      <c r="FF38" s="10"/>
      <c r="FG38" s="10"/>
      <c r="FH38" s="10"/>
      <c r="FI38" s="10"/>
      <c r="FJ38" s="10"/>
      <c r="FK38" s="10"/>
      <c r="FL38" s="10"/>
      <c r="FM38" s="10"/>
      <c r="FN38" s="10"/>
      <c r="FO38" s="10"/>
      <c r="FP38" s="42"/>
      <c r="FQ38" s="42"/>
      <c r="FR38" s="42"/>
      <c r="FS38" s="42"/>
      <c r="FT38" s="42"/>
      <c r="FU38" s="42"/>
      <c r="FV38" s="42"/>
      <c r="FW38" s="42"/>
      <c r="FX38" s="42"/>
      <c r="FY38" s="42"/>
      <c r="FZ38" s="42"/>
      <c r="GA38" s="42"/>
      <c r="GB38" s="42"/>
      <c r="GC38" s="42"/>
      <c r="GD38" s="42"/>
      <c r="GE38" s="42"/>
      <c r="GF38" s="10"/>
      <c r="GG38" s="10">
        <v>1</v>
      </c>
      <c r="GH38" s="10" t="s">
        <v>5627</v>
      </c>
      <c r="GI38" s="42">
        <v>0</v>
      </c>
      <c r="GJ38" s="42">
        <v>59.63</v>
      </c>
      <c r="GK38" s="42">
        <v>125.22</v>
      </c>
      <c r="GL38" s="42"/>
      <c r="GM38" s="42">
        <v>107.33</v>
      </c>
      <c r="GN38" s="42"/>
      <c r="GO38" s="42"/>
      <c r="GP38" s="42"/>
      <c r="GQ38" s="42"/>
      <c r="GR38" s="42"/>
      <c r="GS38" s="42">
        <v>172.93</v>
      </c>
      <c r="GT38" s="42"/>
      <c r="GU38" s="42"/>
      <c r="GV38" s="42"/>
      <c r="GW38" s="42"/>
      <c r="GX38" s="42"/>
      <c r="GY38" s="11">
        <v>0.66</v>
      </c>
      <c r="GZ38" s="10">
        <v>2</v>
      </c>
      <c r="HA38" s="42">
        <v>0</v>
      </c>
      <c r="HB38" s="42">
        <v>10.41</v>
      </c>
      <c r="HC38" s="42">
        <v>21.85</v>
      </c>
      <c r="HD38" s="42"/>
      <c r="HE38" s="42">
        <v>18.73</v>
      </c>
      <c r="HF38" s="42"/>
      <c r="HG38" s="42"/>
      <c r="HH38" s="42"/>
      <c r="HI38" s="42"/>
      <c r="HJ38" s="42"/>
      <c r="HK38" s="42">
        <v>30.17</v>
      </c>
      <c r="HL38" s="42"/>
      <c r="HM38" s="42"/>
      <c r="HN38" s="42"/>
      <c r="HO38" s="42"/>
      <c r="HP38" s="42"/>
      <c r="HQ38" s="11">
        <v>0.31</v>
      </c>
      <c r="HR38" s="10" t="s">
        <v>5451</v>
      </c>
      <c r="HS38" s="39">
        <v>750000</v>
      </c>
      <c r="HT38" s="39"/>
      <c r="HU38" s="39"/>
      <c r="HV38" s="10" t="s">
        <v>25</v>
      </c>
      <c r="HW38" s="10" t="s">
        <v>25</v>
      </c>
      <c r="HX38" s="10" t="s">
        <v>5452</v>
      </c>
      <c r="HY38" s="10" t="s">
        <v>5452</v>
      </c>
      <c r="HZ38" s="10" t="s">
        <v>5453</v>
      </c>
      <c r="IA38" s="10" t="s">
        <v>25</v>
      </c>
      <c r="IB38" s="10"/>
      <c r="IC38" s="10" t="s">
        <v>5628</v>
      </c>
      <c r="ID38" s="10" t="s">
        <v>13246</v>
      </c>
      <c r="IE38" s="10" t="s">
        <v>5629</v>
      </c>
      <c r="IF38" s="10" t="s">
        <v>13297</v>
      </c>
      <c r="IG38" s="10"/>
      <c r="IH38" s="10"/>
      <c r="II38" s="10"/>
      <c r="IJ38" s="10" t="s">
        <v>2692</v>
      </c>
      <c r="IK38" s="10"/>
      <c r="IL38" s="10" t="s">
        <v>25</v>
      </c>
      <c r="IM38" s="10" t="s">
        <v>5457</v>
      </c>
      <c r="IN38" s="10"/>
      <c r="IO38" s="10" t="s">
        <v>5472</v>
      </c>
      <c r="IP38" s="10" t="s">
        <v>2201</v>
      </c>
      <c r="IQ38" s="10" t="s">
        <v>5458</v>
      </c>
      <c r="IR38" s="10" t="s">
        <v>5458</v>
      </c>
      <c r="IS38" s="10" t="s">
        <v>5502</v>
      </c>
      <c r="IT38" s="10" t="s">
        <v>5474</v>
      </c>
      <c r="IU38" s="10" t="s">
        <v>5474</v>
      </c>
      <c r="IV38" s="10" t="s">
        <v>5458</v>
      </c>
      <c r="IW38" s="10" t="s">
        <v>5458</v>
      </c>
      <c r="IX38" s="10" t="s">
        <v>5483</v>
      </c>
      <c r="IY38" s="10"/>
      <c r="IZ38" s="10" t="s">
        <v>14618</v>
      </c>
      <c r="JA38" s="10" t="s">
        <v>13301</v>
      </c>
      <c r="JB38" s="10" t="s">
        <v>5485</v>
      </c>
      <c r="JC38" s="10" t="s">
        <v>5485</v>
      </c>
      <c r="JD38" s="10" t="s">
        <v>5477</v>
      </c>
      <c r="JE38" s="10" t="s">
        <v>28</v>
      </c>
      <c r="JF38" s="10" t="s">
        <v>5516</v>
      </c>
      <c r="JG38" s="10" t="s">
        <v>5465</v>
      </c>
      <c r="JH38" s="10" t="s">
        <v>5509</v>
      </c>
    </row>
    <row r="39" spans="1:268" ht="102" x14ac:dyDescent="0.2">
      <c r="A39" s="31" t="s">
        <v>135</v>
      </c>
      <c r="B39" s="9" t="s">
        <v>5494</v>
      </c>
      <c r="C39" s="9"/>
      <c r="D39" s="9" t="s">
        <v>28</v>
      </c>
      <c r="E39" s="9" t="s">
        <v>5565</v>
      </c>
      <c r="F39" s="9" t="s">
        <v>5467</v>
      </c>
      <c r="G39" s="9"/>
      <c r="H39" s="9">
        <v>20</v>
      </c>
      <c r="I39" s="9">
        <v>20</v>
      </c>
      <c r="J39" s="9"/>
      <c r="K39" s="9" t="s">
        <v>28</v>
      </c>
      <c r="L39" s="9" t="s">
        <v>5529</v>
      </c>
      <c r="M39" s="9" t="s">
        <v>5529</v>
      </c>
      <c r="N39" s="9" t="s">
        <v>5529</v>
      </c>
      <c r="O39" s="9" t="s">
        <v>5447</v>
      </c>
      <c r="P39" s="9" t="s">
        <v>5447</v>
      </c>
      <c r="Q39" s="9" t="s">
        <v>5447</v>
      </c>
      <c r="R39" s="9" t="s">
        <v>5469</v>
      </c>
      <c r="S39" s="11">
        <v>0.09</v>
      </c>
      <c r="T39" s="11">
        <v>0.32</v>
      </c>
      <c r="U39" s="11">
        <v>0.16</v>
      </c>
      <c r="V39" s="10"/>
      <c r="W39" s="11">
        <v>0.11</v>
      </c>
      <c r="X39" s="10"/>
      <c r="Y39" s="10"/>
      <c r="Z39" s="10"/>
      <c r="AA39" s="10"/>
      <c r="AB39" s="10"/>
      <c r="AC39" s="11">
        <v>0.32</v>
      </c>
      <c r="AD39" s="10"/>
      <c r="AE39" s="10"/>
      <c r="AF39" s="10"/>
      <c r="AG39" s="10"/>
      <c r="AH39" s="10"/>
      <c r="AI39" s="36">
        <v>3.5</v>
      </c>
      <c r="AJ39" s="33">
        <v>7.6999999999999999E-2</v>
      </c>
      <c r="AK39" s="33">
        <v>6.5000000000000002E-2</v>
      </c>
      <c r="AL39" s="33">
        <v>6.5000000000000002E-2</v>
      </c>
      <c r="AM39" s="33">
        <v>7.0000000000000007E-2</v>
      </c>
      <c r="AN39" s="33">
        <v>9.3000000000000013E-2</v>
      </c>
      <c r="AO39" s="33">
        <v>0.05</v>
      </c>
      <c r="AP39" s="33">
        <v>6.5000000000000002E-2</v>
      </c>
      <c r="AQ39" s="33">
        <v>6.5000000000000002E-2</v>
      </c>
      <c r="AR39" s="33">
        <v>7.0000000000000007E-2</v>
      </c>
      <c r="AS39" s="33">
        <v>9.3000000000000013E-2</v>
      </c>
      <c r="AT39" s="11">
        <v>0.79</v>
      </c>
      <c r="AU39" s="11">
        <v>0.79</v>
      </c>
      <c r="AV39" s="11">
        <v>0.43</v>
      </c>
      <c r="AW39" s="11">
        <v>0.43</v>
      </c>
      <c r="AX39" s="11">
        <v>0</v>
      </c>
      <c r="AY39" s="11">
        <v>0</v>
      </c>
      <c r="AZ39" s="11">
        <v>0.65</v>
      </c>
      <c r="BA39" s="11">
        <v>0.65</v>
      </c>
      <c r="BB39" s="11">
        <v>0.39</v>
      </c>
      <c r="BC39" s="11">
        <v>0.39</v>
      </c>
      <c r="BD39" s="11">
        <v>0</v>
      </c>
      <c r="BE39" s="11">
        <v>0</v>
      </c>
      <c r="BF39" s="10" t="s">
        <v>25</v>
      </c>
      <c r="BG39" s="10" t="s">
        <v>25</v>
      </c>
      <c r="BH39" s="39"/>
      <c r="BI39" s="10" t="s">
        <v>25</v>
      </c>
      <c r="BJ39" s="39"/>
      <c r="BK39" s="10" t="s">
        <v>25</v>
      </c>
      <c r="BL39" s="39"/>
      <c r="BM39" s="10" t="s">
        <v>25</v>
      </c>
      <c r="BN39" s="39"/>
      <c r="BO39" s="10" t="s">
        <v>28</v>
      </c>
      <c r="BP39" s="39">
        <v>1500</v>
      </c>
      <c r="BQ39" s="10" t="s">
        <v>5479</v>
      </c>
      <c r="BR39" s="42">
        <v>0</v>
      </c>
      <c r="BS39" s="42">
        <v>624.52</v>
      </c>
      <c r="BT39" s="42">
        <v>1467.62</v>
      </c>
      <c r="BU39" s="42"/>
      <c r="BV39" s="42">
        <v>1186.5899999999999</v>
      </c>
      <c r="BW39" s="42"/>
      <c r="BX39" s="42"/>
      <c r="BY39" s="42"/>
      <c r="BZ39" s="42"/>
      <c r="CA39" s="42"/>
      <c r="CB39" s="42">
        <v>2092.14</v>
      </c>
      <c r="CC39" s="42"/>
      <c r="CD39" s="42"/>
      <c r="CE39" s="42"/>
      <c r="CF39" s="42"/>
      <c r="CG39" s="42"/>
      <c r="CH39" s="11">
        <v>0.8</v>
      </c>
      <c r="CI39" s="42"/>
      <c r="CJ39" s="42"/>
      <c r="CK39" s="42"/>
      <c r="CL39" s="42"/>
      <c r="CM39" s="42"/>
      <c r="CN39" s="42"/>
      <c r="CO39" s="42"/>
      <c r="CP39" s="42"/>
      <c r="CQ39" s="42"/>
      <c r="CR39" s="42"/>
      <c r="CS39" s="42"/>
      <c r="CT39" s="42"/>
      <c r="CU39" s="42"/>
      <c r="CV39" s="42"/>
      <c r="CW39" s="42"/>
      <c r="CX39" s="42"/>
      <c r="CY39" s="11"/>
      <c r="CZ39" s="42">
        <v>0</v>
      </c>
      <c r="DA39" s="42">
        <v>569.19000000000005</v>
      </c>
      <c r="DB39" s="42">
        <v>1401.05</v>
      </c>
      <c r="DC39" s="42"/>
      <c r="DD39" s="42">
        <v>1132.76</v>
      </c>
      <c r="DE39" s="42"/>
      <c r="DF39" s="42"/>
      <c r="DG39" s="42"/>
      <c r="DH39" s="42"/>
      <c r="DI39" s="42"/>
      <c r="DJ39" s="42">
        <v>1997.24</v>
      </c>
      <c r="DK39" s="42"/>
      <c r="DL39" s="42"/>
      <c r="DM39" s="42"/>
      <c r="DN39" s="42"/>
      <c r="DO39" s="42"/>
      <c r="DP39" s="11">
        <v>0.84</v>
      </c>
      <c r="DQ39" s="42"/>
      <c r="DR39" s="42">
        <v>537.91999999999996</v>
      </c>
      <c r="DS39" s="42">
        <v>1264.0999999999999</v>
      </c>
      <c r="DT39" s="42"/>
      <c r="DU39" s="42">
        <v>1022.04</v>
      </c>
      <c r="DV39" s="42"/>
      <c r="DW39" s="42"/>
      <c r="DX39" s="42"/>
      <c r="DY39" s="42"/>
      <c r="DZ39" s="42"/>
      <c r="EA39" s="42">
        <v>1802.02</v>
      </c>
      <c r="EB39" s="42"/>
      <c r="EC39" s="42"/>
      <c r="ED39" s="42"/>
      <c r="EE39" s="42"/>
      <c r="EF39" s="42"/>
      <c r="EG39" s="11">
        <v>0.82</v>
      </c>
      <c r="EH39" s="42"/>
      <c r="EI39" s="42"/>
      <c r="EJ39" s="42"/>
      <c r="EK39" s="42"/>
      <c r="EL39" s="42"/>
      <c r="EM39" s="42"/>
      <c r="EN39" s="42"/>
      <c r="EO39" s="42"/>
      <c r="EP39" s="42"/>
      <c r="EQ39" s="42"/>
      <c r="ER39" s="42"/>
      <c r="ES39" s="42"/>
      <c r="ET39" s="42"/>
      <c r="EU39" s="42"/>
      <c r="EV39" s="42"/>
      <c r="EW39" s="42"/>
      <c r="EX39" s="10"/>
      <c r="EY39" s="10"/>
      <c r="EZ39" s="10"/>
      <c r="FA39" s="10"/>
      <c r="FB39" s="10"/>
      <c r="FC39" s="10"/>
      <c r="FD39" s="10"/>
      <c r="FE39" s="10"/>
      <c r="FF39" s="10"/>
      <c r="FG39" s="10"/>
      <c r="FH39" s="10"/>
      <c r="FI39" s="10"/>
      <c r="FJ39" s="10"/>
      <c r="FK39" s="10"/>
      <c r="FL39" s="10"/>
      <c r="FM39" s="10"/>
      <c r="FN39" s="10"/>
      <c r="FO39" s="10"/>
      <c r="FP39" s="42"/>
      <c r="FQ39" s="42"/>
      <c r="FR39" s="42"/>
      <c r="FS39" s="42"/>
      <c r="FT39" s="42"/>
      <c r="FU39" s="42"/>
      <c r="FV39" s="42"/>
      <c r="FW39" s="42"/>
      <c r="FX39" s="42"/>
      <c r="FY39" s="42"/>
      <c r="FZ39" s="42"/>
      <c r="GA39" s="42"/>
      <c r="GB39" s="42"/>
      <c r="GC39" s="42"/>
      <c r="GD39" s="42"/>
      <c r="GE39" s="42"/>
      <c r="GF39" s="10"/>
      <c r="GG39" s="10">
        <v>2</v>
      </c>
      <c r="GH39" s="10" t="s">
        <v>5450</v>
      </c>
      <c r="GI39" s="42">
        <v>0</v>
      </c>
      <c r="GJ39" s="42">
        <v>49.49</v>
      </c>
      <c r="GK39" s="42">
        <v>103.92</v>
      </c>
      <c r="GL39" s="42"/>
      <c r="GM39" s="42">
        <v>108.87</v>
      </c>
      <c r="GN39" s="42"/>
      <c r="GO39" s="42"/>
      <c r="GP39" s="42"/>
      <c r="GQ39" s="42"/>
      <c r="GR39" s="42"/>
      <c r="GS39" s="42">
        <v>163.30000000000001</v>
      </c>
      <c r="GT39" s="42"/>
      <c r="GU39" s="42"/>
      <c r="GV39" s="42"/>
      <c r="GW39" s="42"/>
      <c r="GX39" s="42"/>
      <c r="GY39" s="11">
        <v>0.52</v>
      </c>
      <c r="GZ39" s="10">
        <v>2</v>
      </c>
      <c r="HA39" s="42">
        <v>0</v>
      </c>
      <c r="HB39" s="42">
        <v>8.81</v>
      </c>
      <c r="HC39" s="42">
        <v>16.89</v>
      </c>
      <c r="HD39" s="42"/>
      <c r="HE39" s="42">
        <v>17.7</v>
      </c>
      <c r="HF39" s="42"/>
      <c r="HG39" s="42"/>
      <c r="HH39" s="42"/>
      <c r="HI39" s="42"/>
      <c r="HJ39" s="42"/>
      <c r="HK39" s="42">
        <v>26.54</v>
      </c>
      <c r="HL39" s="42"/>
      <c r="HM39" s="42"/>
      <c r="HN39" s="42"/>
      <c r="HO39" s="42"/>
      <c r="HP39" s="42"/>
      <c r="HQ39" s="11">
        <v>0</v>
      </c>
      <c r="HR39" s="10" t="s">
        <v>5451</v>
      </c>
      <c r="HS39" s="39">
        <v>1250000</v>
      </c>
      <c r="HT39" s="39"/>
      <c r="HU39" s="39"/>
      <c r="HV39" s="10" t="s">
        <v>25</v>
      </c>
      <c r="HW39" s="10" t="s">
        <v>28</v>
      </c>
      <c r="HX39" s="10" t="s">
        <v>5498</v>
      </c>
      <c r="HY39" s="10" t="s">
        <v>5498</v>
      </c>
      <c r="HZ39" s="10" t="s">
        <v>5498</v>
      </c>
      <c r="IA39" s="10" t="s">
        <v>25</v>
      </c>
      <c r="IB39" s="10"/>
      <c r="IC39" s="10" t="s">
        <v>13228</v>
      </c>
      <c r="ID39" s="10" t="s">
        <v>5566</v>
      </c>
      <c r="IE39" s="10" t="s">
        <v>5567</v>
      </c>
      <c r="IF39" s="10" t="s">
        <v>72</v>
      </c>
      <c r="IG39" s="10" t="s">
        <v>72</v>
      </c>
      <c r="IH39" s="10" t="s">
        <v>72</v>
      </c>
      <c r="II39" s="10" t="s">
        <v>72</v>
      </c>
      <c r="IJ39" s="10" t="s">
        <v>2758</v>
      </c>
      <c r="IK39" s="10"/>
      <c r="IL39" s="10" t="s">
        <v>25</v>
      </c>
      <c r="IM39" s="10" t="s">
        <v>5457</v>
      </c>
      <c r="IN39" s="10"/>
      <c r="IO39" s="10" t="s">
        <v>25</v>
      </c>
      <c r="IP39" s="10" t="s">
        <v>2201</v>
      </c>
      <c r="IQ39" s="10" t="s">
        <v>5553</v>
      </c>
      <c r="IR39" s="10" t="s">
        <v>5458</v>
      </c>
      <c r="IS39" s="10" t="s">
        <v>5568</v>
      </c>
      <c r="IT39" s="10" t="s">
        <v>5569</v>
      </c>
      <c r="IU39" s="10" t="s">
        <v>5570</v>
      </c>
      <c r="IV39" s="10" t="s">
        <v>5568</v>
      </c>
      <c r="IW39" s="10" t="s">
        <v>5568</v>
      </c>
      <c r="IX39" s="10" t="s">
        <v>5460</v>
      </c>
      <c r="IY39" s="10"/>
      <c r="IZ39" s="10" t="s">
        <v>5571</v>
      </c>
      <c r="JA39" s="10" t="s">
        <v>13301</v>
      </c>
      <c r="JB39" s="10" t="s">
        <v>5504</v>
      </c>
      <c r="JC39" s="10" t="s">
        <v>5504</v>
      </c>
      <c r="JD39" s="10" t="s">
        <v>5462</v>
      </c>
      <c r="JE39" s="10" t="s">
        <v>28</v>
      </c>
      <c r="JF39" s="10" t="s">
        <v>5516</v>
      </c>
      <c r="JG39" s="10" t="s">
        <v>5465</v>
      </c>
      <c r="JH39" s="10" t="s">
        <v>5509</v>
      </c>
    </row>
    <row r="40" spans="1:268" ht="102" x14ac:dyDescent="0.2">
      <c r="A40" s="31" t="s">
        <v>137</v>
      </c>
      <c r="B40" s="9" t="s">
        <v>5494</v>
      </c>
      <c r="C40" s="9"/>
      <c r="D40" s="9" t="s">
        <v>25</v>
      </c>
      <c r="E40" s="9"/>
      <c r="F40" s="9" t="s">
        <v>5467</v>
      </c>
      <c r="G40" s="9"/>
      <c r="H40" s="9">
        <v>40</v>
      </c>
      <c r="I40" s="9">
        <v>20</v>
      </c>
      <c r="J40" s="9">
        <v>39</v>
      </c>
      <c r="K40" s="9" t="s">
        <v>28</v>
      </c>
      <c r="L40" s="9" t="s">
        <v>5575</v>
      </c>
      <c r="M40" s="9" t="s">
        <v>5575</v>
      </c>
      <c r="N40" s="9" t="s">
        <v>5575</v>
      </c>
      <c r="O40" s="9" t="s">
        <v>5447</v>
      </c>
      <c r="P40" s="9" t="s">
        <v>5447</v>
      </c>
      <c r="Q40" s="9" t="s">
        <v>5447</v>
      </c>
      <c r="R40" s="9" t="s">
        <v>5536</v>
      </c>
      <c r="S40" s="11">
        <v>0</v>
      </c>
      <c r="T40" s="11">
        <v>0.36</v>
      </c>
      <c r="U40" s="11">
        <v>0.13</v>
      </c>
      <c r="V40" s="10"/>
      <c r="W40" s="11">
        <v>0.16</v>
      </c>
      <c r="X40" s="10"/>
      <c r="Y40" s="10"/>
      <c r="Z40" s="10"/>
      <c r="AA40" s="10"/>
      <c r="AB40" s="10"/>
      <c r="AC40" s="11">
        <v>0.35</v>
      </c>
      <c r="AD40" s="10"/>
      <c r="AE40" s="10"/>
      <c r="AF40" s="10"/>
      <c r="AG40" s="10"/>
      <c r="AH40" s="10"/>
      <c r="AI40" s="36">
        <v>2.5</v>
      </c>
      <c r="AJ40" s="33">
        <v>0.08</v>
      </c>
      <c r="AK40" s="33">
        <v>0.11</v>
      </c>
      <c r="AL40" s="33">
        <v>0.12</v>
      </c>
      <c r="AM40" s="33">
        <v>0.06</v>
      </c>
      <c r="AN40" s="33">
        <v>0.05</v>
      </c>
      <c r="AO40" s="33">
        <v>0.06</v>
      </c>
      <c r="AP40" s="33">
        <v>0.02</v>
      </c>
      <c r="AQ40" s="33">
        <v>0.03</v>
      </c>
      <c r="AR40" s="33">
        <v>0.06</v>
      </c>
      <c r="AS40" s="33">
        <v>0.05</v>
      </c>
      <c r="AT40" s="11">
        <v>0.77</v>
      </c>
      <c r="AU40" s="11">
        <v>0.48</v>
      </c>
      <c r="AV40" s="11">
        <v>0.55000000000000004</v>
      </c>
      <c r="AW40" s="11">
        <v>0.48</v>
      </c>
      <c r="AX40" s="11">
        <v>0</v>
      </c>
      <c r="AY40" s="11">
        <v>0</v>
      </c>
      <c r="AZ40" s="11">
        <v>0.74</v>
      </c>
      <c r="BA40" s="11">
        <v>0.48</v>
      </c>
      <c r="BB40" s="11">
        <v>0.48</v>
      </c>
      <c r="BC40" s="11">
        <v>0.42</v>
      </c>
      <c r="BD40" s="11">
        <v>0</v>
      </c>
      <c r="BE40" s="11">
        <v>0</v>
      </c>
      <c r="BF40" s="10" t="s">
        <v>25</v>
      </c>
      <c r="BG40" s="10" t="s">
        <v>25</v>
      </c>
      <c r="BH40" s="39"/>
      <c r="BI40" s="10" t="s">
        <v>25</v>
      </c>
      <c r="BJ40" s="39"/>
      <c r="BK40" s="10" t="s">
        <v>25</v>
      </c>
      <c r="BL40" s="39"/>
      <c r="BM40" s="10" t="s">
        <v>25</v>
      </c>
      <c r="BN40" s="39"/>
      <c r="BO40" s="10" t="s">
        <v>28</v>
      </c>
      <c r="BP40" s="39">
        <v>1500</v>
      </c>
      <c r="BQ40" s="10" t="s">
        <v>5576</v>
      </c>
      <c r="BR40" s="42"/>
      <c r="BS40" s="42"/>
      <c r="BT40" s="42"/>
      <c r="BU40" s="42"/>
      <c r="BV40" s="42"/>
      <c r="BW40" s="42"/>
      <c r="BX40" s="42"/>
      <c r="BY40" s="42"/>
      <c r="BZ40" s="42"/>
      <c r="CA40" s="42"/>
      <c r="CB40" s="42"/>
      <c r="CC40" s="42"/>
      <c r="CD40" s="42"/>
      <c r="CE40" s="42"/>
      <c r="CF40" s="42"/>
      <c r="CG40" s="42"/>
      <c r="CH40" s="11">
        <v>0.74</v>
      </c>
      <c r="CI40" s="42"/>
      <c r="CJ40" s="42"/>
      <c r="CK40" s="42"/>
      <c r="CL40" s="42"/>
      <c r="CM40" s="42"/>
      <c r="CN40" s="42"/>
      <c r="CO40" s="42"/>
      <c r="CP40" s="42"/>
      <c r="CQ40" s="42"/>
      <c r="CR40" s="42"/>
      <c r="CS40" s="42"/>
      <c r="CT40" s="42"/>
      <c r="CU40" s="42"/>
      <c r="CV40" s="42"/>
      <c r="CW40" s="42"/>
      <c r="CX40" s="42"/>
      <c r="CY40" s="11">
        <v>0.75</v>
      </c>
      <c r="CZ40" s="42"/>
      <c r="DA40" s="42"/>
      <c r="DB40" s="42"/>
      <c r="DC40" s="42"/>
      <c r="DD40" s="42"/>
      <c r="DE40" s="42"/>
      <c r="DF40" s="42"/>
      <c r="DG40" s="42"/>
      <c r="DH40" s="42"/>
      <c r="DI40" s="42"/>
      <c r="DJ40" s="42"/>
      <c r="DK40" s="42"/>
      <c r="DL40" s="42"/>
      <c r="DM40" s="42"/>
      <c r="DN40" s="42"/>
      <c r="DO40" s="42"/>
      <c r="DP40" s="11">
        <v>0.81</v>
      </c>
      <c r="DQ40" s="42"/>
      <c r="DR40" s="42"/>
      <c r="DS40" s="42"/>
      <c r="DT40" s="42"/>
      <c r="DU40" s="42"/>
      <c r="DV40" s="42"/>
      <c r="DW40" s="42"/>
      <c r="DX40" s="42"/>
      <c r="DY40" s="42"/>
      <c r="DZ40" s="42"/>
      <c r="EA40" s="42"/>
      <c r="EB40" s="42"/>
      <c r="EC40" s="42"/>
      <c r="ED40" s="42"/>
      <c r="EE40" s="42"/>
      <c r="EF40" s="42"/>
      <c r="EG40" s="11">
        <v>0.74</v>
      </c>
      <c r="EH40" s="42"/>
      <c r="EI40" s="42"/>
      <c r="EJ40" s="42"/>
      <c r="EK40" s="42"/>
      <c r="EL40" s="42"/>
      <c r="EM40" s="42"/>
      <c r="EN40" s="42"/>
      <c r="EO40" s="42"/>
      <c r="EP40" s="42"/>
      <c r="EQ40" s="42"/>
      <c r="ER40" s="42"/>
      <c r="ES40" s="42"/>
      <c r="ET40" s="42"/>
      <c r="EU40" s="42"/>
      <c r="EV40" s="42"/>
      <c r="EW40" s="42"/>
      <c r="EX40" s="10"/>
      <c r="EY40" s="10"/>
      <c r="EZ40" s="10"/>
      <c r="FA40" s="10"/>
      <c r="FB40" s="10"/>
      <c r="FC40" s="10"/>
      <c r="FD40" s="10"/>
      <c r="FE40" s="10"/>
      <c r="FF40" s="10"/>
      <c r="FG40" s="10"/>
      <c r="FH40" s="10"/>
      <c r="FI40" s="10"/>
      <c r="FJ40" s="10"/>
      <c r="FK40" s="10"/>
      <c r="FL40" s="10"/>
      <c r="FM40" s="10"/>
      <c r="FN40" s="10"/>
      <c r="FO40" s="11">
        <v>0.76</v>
      </c>
      <c r="FP40" s="42"/>
      <c r="FQ40" s="42"/>
      <c r="FR40" s="42"/>
      <c r="FS40" s="42"/>
      <c r="FT40" s="42"/>
      <c r="FU40" s="42"/>
      <c r="FV40" s="42"/>
      <c r="FW40" s="42"/>
      <c r="FX40" s="42"/>
      <c r="FY40" s="42"/>
      <c r="FZ40" s="42"/>
      <c r="GA40" s="42"/>
      <c r="GB40" s="42"/>
      <c r="GC40" s="42"/>
      <c r="GD40" s="42"/>
      <c r="GE40" s="42"/>
      <c r="GF40" s="11">
        <v>0.75</v>
      </c>
      <c r="GG40" s="10">
        <v>3</v>
      </c>
      <c r="GH40" s="10" t="s">
        <v>5450</v>
      </c>
      <c r="GI40" s="42"/>
      <c r="GJ40" s="42"/>
      <c r="GK40" s="42"/>
      <c r="GL40" s="42"/>
      <c r="GM40" s="42"/>
      <c r="GN40" s="42"/>
      <c r="GO40" s="42"/>
      <c r="GP40" s="42"/>
      <c r="GQ40" s="42"/>
      <c r="GR40" s="42"/>
      <c r="GS40" s="42"/>
      <c r="GT40" s="42"/>
      <c r="GU40" s="42"/>
      <c r="GV40" s="42"/>
      <c r="GW40" s="42"/>
      <c r="GX40" s="42"/>
      <c r="GY40" s="11">
        <v>0.49</v>
      </c>
      <c r="GZ40" s="10">
        <v>2</v>
      </c>
      <c r="HA40" s="42"/>
      <c r="HB40" s="42"/>
      <c r="HC40" s="42"/>
      <c r="HD40" s="42"/>
      <c r="HE40" s="42"/>
      <c r="HF40" s="42"/>
      <c r="HG40" s="42"/>
      <c r="HH40" s="42"/>
      <c r="HI40" s="42"/>
      <c r="HJ40" s="42"/>
      <c r="HK40" s="42"/>
      <c r="HL40" s="42"/>
      <c r="HM40" s="42"/>
      <c r="HN40" s="42"/>
      <c r="HO40" s="42"/>
      <c r="HP40" s="42"/>
      <c r="HQ40" s="11">
        <v>0</v>
      </c>
      <c r="HR40" s="10" t="s">
        <v>5451</v>
      </c>
      <c r="HS40" s="39">
        <v>2000000</v>
      </c>
      <c r="HT40" s="39"/>
      <c r="HU40" s="39"/>
      <c r="HV40" s="10" t="s">
        <v>25</v>
      </c>
      <c r="HW40" s="10" t="s">
        <v>25</v>
      </c>
      <c r="HX40" s="10" t="s">
        <v>5498</v>
      </c>
      <c r="HY40" s="10" t="s">
        <v>5498</v>
      </c>
      <c r="HZ40" s="10" t="s">
        <v>5498</v>
      </c>
      <c r="IA40" s="10" t="s">
        <v>25</v>
      </c>
      <c r="IB40" s="10"/>
      <c r="IC40" s="10" t="s">
        <v>5577</v>
      </c>
      <c r="ID40" s="10" t="s">
        <v>5577</v>
      </c>
      <c r="IE40" s="10" t="s">
        <v>5578</v>
      </c>
      <c r="IF40" s="10" t="s">
        <v>72</v>
      </c>
      <c r="IG40" s="10" t="s">
        <v>72</v>
      </c>
      <c r="IH40" s="10" t="s">
        <v>72</v>
      </c>
      <c r="II40" s="10" t="s">
        <v>72</v>
      </c>
      <c r="IJ40" s="10" t="s">
        <v>2758</v>
      </c>
      <c r="IK40" s="10"/>
      <c r="IL40" s="10" t="s">
        <v>5508</v>
      </c>
      <c r="IM40" s="10" t="s">
        <v>1801</v>
      </c>
      <c r="IN40" s="10"/>
      <c r="IO40" s="10" t="s">
        <v>25</v>
      </c>
      <c r="IP40" s="10" t="s">
        <v>2201</v>
      </c>
      <c r="IQ40" s="10" t="s">
        <v>5553</v>
      </c>
      <c r="IR40" s="10" t="s">
        <v>5458</v>
      </c>
      <c r="IS40" s="10" t="s">
        <v>5553</v>
      </c>
      <c r="IT40" s="10" t="s">
        <v>5570</v>
      </c>
      <c r="IU40" s="10" t="s">
        <v>5570</v>
      </c>
      <c r="IV40" s="10" t="s">
        <v>5553</v>
      </c>
      <c r="IW40" s="10" t="s">
        <v>5553</v>
      </c>
      <c r="IX40" s="10" t="s">
        <v>5460</v>
      </c>
      <c r="IY40" s="10"/>
      <c r="IZ40" s="10" t="s">
        <v>5579</v>
      </c>
      <c r="JA40" s="10" t="s">
        <v>13301</v>
      </c>
      <c r="JB40" s="10" t="s">
        <v>5504</v>
      </c>
      <c r="JC40" s="10" t="s">
        <v>5504</v>
      </c>
      <c r="JD40" s="10" t="s">
        <v>5505</v>
      </c>
      <c r="JE40" s="10" t="s">
        <v>28</v>
      </c>
      <c r="JF40" s="10" t="s">
        <v>5516</v>
      </c>
      <c r="JG40" s="10" t="s">
        <v>5465</v>
      </c>
      <c r="JH40" s="10" t="s">
        <v>5509</v>
      </c>
    </row>
    <row r="41" spans="1:268" ht="89.25" x14ac:dyDescent="0.2">
      <c r="A41" s="31" t="s">
        <v>142</v>
      </c>
      <c r="B41" s="9" t="s">
        <v>5494</v>
      </c>
      <c r="C41" s="9"/>
      <c r="D41" s="9" t="s">
        <v>25</v>
      </c>
      <c r="E41" s="9"/>
      <c r="F41" s="9" t="s">
        <v>5467</v>
      </c>
      <c r="G41" s="9"/>
      <c r="H41" s="9">
        <v>40</v>
      </c>
      <c r="I41" s="9">
        <v>20</v>
      </c>
      <c r="J41" s="9">
        <v>39</v>
      </c>
      <c r="K41" s="9" t="s">
        <v>28</v>
      </c>
      <c r="L41" s="9" t="s">
        <v>5468</v>
      </c>
      <c r="M41" s="9" t="s">
        <v>5468</v>
      </c>
      <c r="N41" s="9" t="s">
        <v>5468</v>
      </c>
      <c r="O41" s="9"/>
      <c r="P41" s="9"/>
      <c r="Q41" s="9"/>
      <c r="R41" s="9" t="s">
        <v>5469</v>
      </c>
      <c r="S41" s="11">
        <v>0.08</v>
      </c>
      <c r="T41" s="11">
        <v>0.37</v>
      </c>
      <c r="U41" s="11">
        <v>0.16</v>
      </c>
      <c r="V41" s="10"/>
      <c r="W41" s="11">
        <v>0.06</v>
      </c>
      <c r="X41" s="10"/>
      <c r="Y41" s="10"/>
      <c r="Z41" s="10"/>
      <c r="AA41" s="10"/>
      <c r="AB41" s="10"/>
      <c r="AC41" s="11">
        <v>0.33</v>
      </c>
      <c r="AD41" s="10"/>
      <c r="AE41" s="10"/>
      <c r="AF41" s="10"/>
      <c r="AG41" s="10"/>
      <c r="AH41" s="10"/>
      <c r="AI41" s="36">
        <v>2</v>
      </c>
      <c r="AJ41" s="33">
        <v>1.2E-2</v>
      </c>
      <c r="AK41" s="33"/>
      <c r="AL41" s="33"/>
      <c r="AM41" s="33"/>
      <c r="AN41" s="33">
        <v>-2.4E-2</v>
      </c>
      <c r="AO41" s="33">
        <v>1.2E-2</v>
      </c>
      <c r="AP41" s="33"/>
      <c r="AQ41" s="33"/>
      <c r="AR41" s="33"/>
      <c r="AS41" s="33">
        <v>-1.9E-2</v>
      </c>
      <c r="AT41" s="11">
        <v>0.91</v>
      </c>
      <c r="AU41" s="11">
        <v>0.91</v>
      </c>
      <c r="AV41" s="11">
        <v>0.72</v>
      </c>
      <c r="AW41" s="11">
        <v>0.72</v>
      </c>
      <c r="AX41" s="11">
        <v>0.45</v>
      </c>
      <c r="AY41" s="11">
        <v>0.45</v>
      </c>
      <c r="AZ41" s="11">
        <v>0.78</v>
      </c>
      <c r="BA41" s="11">
        <v>0.78</v>
      </c>
      <c r="BB41" s="11">
        <v>0.7</v>
      </c>
      <c r="BC41" s="11">
        <v>0.7</v>
      </c>
      <c r="BD41" s="11">
        <v>0.52</v>
      </c>
      <c r="BE41" s="11">
        <v>0.52</v>
      </c>
      <c r="BF41" s="10" t="s">
        <v>25</v>
      </c>
      <c r="BG41" s="10" t="s">
        <v>25</v>
      </c>
      <c r="BH41" s="39"/>
      <c r="BI41" s="10" t="s">
        <v>25</v>
      </c>
      <c r="BJ41" s="39"/>
      <c r="BK41" s="10" t="s">
        <v>25</v>
      </c>
      <c r="BL41" s="39"/>
      <c r="BM41" s="10" t="s">
        <v>25</v>
      </c>
      <c r="BN41" s="39"/>
      <c r="BO41" s="10" t="s">
        <v>25</v>
      </c>
      <c r="BP41" s="39"/>
      <c r="BQ41" s="10" t="s">
        <v>5479</v>
      </c>
      <c r="BR41" s="42">
        <v>0</v>
      </c>
      <c r="BS41" s="42">
        <v>885.2</v>
      </c>
      <c r="BT41" s="42">
        <v>1858.92</v>
      </c>
      <c r="BU41" s="42"/>
      <c r="BV41" s="42">
        <v>1593.37</v>
      </c>
      <c r="BW41" s="42"/>
      <c r="BX41" s="42"/>
      <c r="BY41" s="42"/>
      <c r="BZ41" s="42"/>
      <c r="CA41" s="42"/>
      <c r="CB41" s="42">
        <v>2567.09</v>
      </c>
      <c r="CC41" s="42"/>
      <c r="CD41" s="42"/>
      <c r="CE41" s="42"/>
      <c r="CF41" s="42"/>
      <c r="CG41" s="42"/>
      <c r="CH41" s="11">
        <v>0.79</v>
      </c>
      <c r="CI41" s="42"/>
      <c r="CJ41" s="42"/>
      <c r="CK41" s="42"/>
      <c r="CL41" s="42"/>
      <c r="CM41" s="42"/>
      <c r="CN41" s="42"/>
      <c r="CO41" s="42"/>
      <c r="CP41" s="42"/>
      <c r="CQ41" s="42"/>
      <c r="CR41" s="42"/>
      <c r="CS41" s="42"/>
      <c r="CT41" s="42"/>
      <c r="CU41" s="42"/>
      <c r="CV41" s="42"/>
      <c r="CW41" s="42"/>
      <c r="CX41" s="42"/>
      <c r="CY41" s="11"/>
      <c r="CZ41" s="42">
        <v>0</v>
      </c>
      <c r="DA41" s="42">
        <v>882.46</v>
      </c>
      <c r="DB41" s="42">
        <v>1649.65</v>
      </c>
      <c r="DC41" s="42"/>
      <c r="DD41" s="42">
        <v>1441.68</v>
      </c>
      <c r="DE41" s="42"/>
      <c r="DF41" s="42"/>
      <c r="DG41" s="42"/>
      <c r="DH41" s="42"/>
      <c r="DI41" s="42"/>
      <c r="DJ41" s="42">
        <v>2268.89</v>
      </c>
      <c r="DK41" s="42"/>
      <c r="DL41" s="42"/>
      <c r="DM41" s="42"/>
      <c r="DN41" s="42"/>
      <c r="DO41" s="42"/>
      <c r="DP41" s="11">
        <v>0.86</v>
      </c>
      <c r="DQ41" s="42">
        <v>0</v>
      </c>
      <c r="DR41" s="42">
        <v>529.16999999999996</v>
      </c>
      <c r="DS41" s="42">
        <v>1137.72</v>
      </c>
      <c r="DT41" s="42"/>
      <c r="DU41" s="42">
        <v>878.42</v>
      </c>
      <c r="DV41" s="42"/>
      <c r="DW41" s="42"/>
      <c r="DX41" s="42"/>
      <c r="DY41" s="42"/>
      <c r="DZ41" s="42"/>
      <c r="EA41" s="42">
        <v>1576.93</v>
      </c>
      <c r="EB41" s="42"/>
      <c r="EC41" s="42"/>
      <c r="ED41" s="42"/>
      <c r="EE41" s="42"/>
      <c r="EF41" s="42"/>
      <c r="EG41" s="11">
        <v>0.82</v>
      </c>
      <c r="EH41" s="42"/>
      <c r="EI41" s="42"/>
      <c r="EJ41" s="42"/>
      <c r="EK41" s="42"/>
      <c r="EL41" s="42"/>
      <c r="EM41" s="42"/>
      <c r="EN41" s="42"/>
      <c r="EO41" s="42"/>
      <c r="EP41" s="42"/>
      <c r="EQ41" s="42"/>
      <c r="ER41" s="42"/>
      <c r="ES41" s="42"/>
      <c r="ET41" s="42"/>
      <c r="EU41" s="42"/>
      <c r="EV41" s="42"/>
      <c r="EW41" s="42"/>
      <c r="EX41" s="10"/>
      <c r="EY41" s="10"/>
      <c r="EZ41" s="10"/>
      <c r="FA41" s="10"/>
      <c r="FB41" s="10"/>
      <c r="FC41" s="10"/>
      <c r="FD41" s="10"/>
      <c r="FE41" s="10"/>
      <c r="FF41" s="10"/>
      <c r="FG41" s="10"/>
      <c r="FH41" s="10"/>
      <c r="FI41" s="10"/>
      <c r="FJ41" s="10"/>
      <c r="FK41" s="10"/>
      <c r="FL41" s="10"/>
      <c r="FM41" s="10"/>
      <c r="FN41" s="10"/>
      <c r="FO41" s="10"/>
      <c r="FP41" s="42"/>
      <c r="FQ41" s="42"/>
      <c r="FR41" s="42"/>
      <c r="FS41" s="42"/>
      <c r="FT41" s="42"/>
      <c r="FU41" s="42"/>
      <c r="FV41" s="42"/>
      <c r="FW41" s="42"/>
      <c r="FX41" s="42"/>
      <c r="FY41" s="42"/>
      <c r="FZ41" s="42"/>
      <c r="GA41" s="42"/>
      <c r="GB41" s="42"/>
      <c r="GC41" s="42"/>
      <c r="GD41" s="42"/>
      <c r="GE41" s="42"/>
      <c r="GF41" s="10"/>
      <c r="GG41" s="10">
        <v>2</v>
      </c>
      <c r="GH41" s="10" t="s">
        <v>5450</v>
      </c>
      <c r="GI41" s="42">
        <v>0</v>
      </c>
      <c r="GJ41" s="42">
        <v>70.87</v>
      </c>
      <c r="GK41" s="42">
        <v>137.72999999999999</v>
      </c>
      <c r="GL41" s="42"/>
      <c r="GM41" s="42">
        <v>164.21</v>
      </c>
      <c r="GN41" s="42"/>
      <c r="GO41" s="42"/>
      <c r="GP41" s="42"/>
      <c r="GQ41" s="42"/>
      <c r="GR41" s="42"/>
      <c r="GS41" s="42">
        <v>231.07</v>
      </c>
      <c r="GT41" s="42"/>
      <c r="GU41" s="42"/>
      <c r="GV41" s="42"/>
      <c r="GW41" s="42"/>
      <c r="GX41" s="42"/>
      <c r="GY41" s="11">
        <v>0.53</v>
      </c>
      <c r="GZ41" s="10">
        <v>1</v>
      </c>
      <c r="HA41" s="42">
        <v>0</v>
      </c>
      <c r="HB41" s="42">
        <v>11.91</v>
      </c>
      <c r="HC41" s="42">
        <v>24.91</v>
      </c>
      <c r="HD41" s="42"/>
      <c r="HE41" s="42">
        <v>21.36</v>
      </c>
      <c r="HF41" s="42"/>
      <c r="HG41" s="42"/>
      <c r="HH41" s="42"/>
      <c r="HI41" s="42"/>
      <c r="HJ41" s="42"/>
      <c r="HK41" s="42">
        <v>34.4</v>
      </c>
      <c r="HL41" s="42"/>
      <c r="HM41" s="42"/>
      <c r="HN41" s="42"/>
      <c r="HO41" s="42"/>
      <c r="HP41" s="42"/>
      <c r="HQ41" s="11">
        <v>0.48</v>
      </c>
      <c r="HR41" s="10" t="s">
        <v>5451</v>
      </c>
      <c r="HS41" s="39">
        <v>375000</v>
      </c>
      <c r="HT41" s="39"/>
      <c r="HU41" s="39"/>
      <c r="HV41" s="10" t="s">
        <v>25</v>
      </c>
      <c r="HW41" s="10" t="s">
        <v>25</v>
      </c>
      <c r="HX41" s="10" t="s">
        <v>5452</v>
      </c>
      <c r="HY41" s="10" t="s">
        <v>5452</v>
      </c>
      <c r="HZ41" s="10" t="s">
        <v>5452</v>
      </c>
      <c r="IA41" s="10" t="s">
        <v>25</v>
      </c>
      <c r="IB41" s="10"/>
      <c r="IC41" s="10" t="s">
        <v>5601</v>
      </c>
      <c r="ID41" s="10" t="s">
        <v>13242</v>
      </c>
      <c r="IE41" s="10" t="s">
        <v>5602</v>
      </c>
      <c r="IF41" s="10" t="s">
        <v>72</v>
      </c>
      <c r="IG41" s="10" t="s">
        <v>72</v>
      </c>
      <c r="IH41" s="10" t="s">
        <v>72</v>
      </c>
      <c r="II41" s="10" t="s">
        <v>72</v>
      </c>
      <c r="IJ41" s="10" t="s">
        <v>29</v>
      </c>
      <c r="IK41" s="10" t="s">
        <v>5603</v>
      </c>
      <c r="IL41" s="10" t="s">
        <v>25</v>
      </c>
      <c r="IM41" s="10" t="s">
        <v>2758</v>
      </c>
      <c r="IN41" s="10"/>
      <c r="IO41" s="10" t="s">
        <v>28</v>
      </c>
      <c r="IP41" s="10" t="s">
        <v>2201</v>
      </c>
      <c r="IQ41" s="10" t="s">
        <v>5458</v>
      </c>
      <c r="IR41" s="10" t="s">
        <v>5458</v>
      </c>
      <c r="IS41" s="10" t="s">
        <v>5459</v>
      </c>
      <c r="IT41" s="10" t="s">
        <v>5459</v>
      </c>
      <c r="IU41" s="10" t="s">
        <v>5459</v>
      </c>
      <c r="IV41" s="10" t="s">
        <v>5458</v>
      </c>
      <c r="IW41" s="10" t="s">
        <v>5458</v>
      </c>
      <c r="IX41" s="10" t="s">
        <v>5483</v>
      </c>
      <c r="IY41" s="10"/>
      <c r="IZ41" s="10" t="s">
        <v>5604</v>
      </c>
      <c r="JA41" s="10" t="s">
        <v>13301</v>
      </c>
      <c r="JB41" s="10" t="s">
        <v>5504</v>
      </c>
      <c r="JC41" s="10" t="s">
        <v>5504</v>
      </c>
      <c r="JD41" s="10" t="s">
        <v>5477</v>
      </c>
      <c r="JE41" s="10" t="s">
        <v>5486</v>
      </c>
      <c r="JF41" s="10" t="s">
        <v>5464</v>
      </c>
      <c r="JG41" s="10" t="s">
        <v>5465</v>
      </c>
      <c r="JH41" s="10" t="s">
        <v>5466</v>
      </c>
    </row>
    <row r="42" spans="1:268" ht="102" x14ac:dyDescent="0.2">
      <c r="A42" s="31" t="s">
        <v>161</v>
      </c>
      <c r="B42" s="9" t="s">
        <v>5494</v>
      </c>
      <c r="C42" s="9"/>
      <c r="D42" s="9" t="s">
        <v>28</v>
      </c>
      <c r="E42" s="9" t="s">
        <v>5670</v>
      </c>
      <c r="F42" s="9" t="s">
        <v>1801</v>
      </c>
      <c r="G42" s="9"/>
      <c r="H42" s="9">
        <v>40</v>
      </c>
      <c r="I42" s="9">
        <v>30</v>
      </c>
      <c r="J42" s="9">
        <v>39</v>
      </c>
      <c r="K42" s="9" t="s">
        <v>28</v>
      </c>
      <c r="L42" s="9" t="s">
        <v>5446</v>
      </c>
      <c r="M42" s="9" t="s">
        <v>5446</v>
      </c>
      <c r="N42" s="9" t="s">
        <v>5447</v>
      </c>
      <c r="O42" s="9" t="s">
        <v>5447</v>
      </c>
      <c r="P42" s="9" t="s">
        <v>5447</v>
      </c>
      <c r="Q42" s="9" t="s">
        <v>5447</v>
      </c>
      <c r="R42" s="9" t="s">
        <v>5469</v>
      </c>
      <c r="S42" s="11">
        <v>0.01</v>
      </c>
      <c r="T42" s="11">
        <v>0.31</v>
      </c>
      <c r="U42" s="11">
        <v>0.13</v>
      </c>
      <c r="V42" s="10"/>
      <c r="W42" s="11">
        <v>7.0000000000000007E-2</v>
      </c>
      <c r="X42" s="10"/>
      <c r="Y42" s="10"/>
      <c r="Z42" s="10"/>
      <c r="AA42" s="10"/>
      <c r="AB42" s="10"/>
      <c r="AC42" s="11">
        <v>0.48</v>
      </c>
      <c r="AD42" s="10"/>
      <c r="AE42" s="10"/>
      <c r="AF42" s="10"/>
      <c r="AG42" s="10"/>
      <c r="AH42" s="10"/>
      <c r="AI42" s="36">
        <v>3</v>
      </c>
      <c r="AJ42" s="33">
        <v>0.04</v>
      </c>
      <c r="AK42" s="33">
        <v>0.14000000000000001</v>
      </c>
      <c r="AL42" s="33">
        <v>0.2</v>
      </c>
      <c r="AM42" s="33">
        <v>0.04</v>
      </c>
      <c r="AN42" s="33">
        <v>0</v>
      </c>
      <c r="AO42" s="33">
        <v>0.04</v>
      </c>
      <c r="AP42" s="33">
        <v>0.14000000000000001</v>
      </c>
      <c r="AQ42" s="33">
        <v>0.14000000000000001</v>
      </c>
      <c r="AR42" s="33">
        <v>0.04</v>
      </c>
      <c r="AS42" s="33">
        <v>0</v>
      </c>
      <c r="AT42" s="11">
        <v>1</v>
      </c>
      <c r="AU42" s="11">
        <v>1</v>
      </c>
      <c r="AV42" s="11">
        <v>1</v>
      </c>
      <c r="AW42" s="11">
        <v>1</v>
      </c>
      <c r="AX42" s="11">
        <v>1</v>
      </c>
      <c r="AY42" s="11">
        <v>1</v>
      </c>
      <c r="AZ42" s="11">
        <v>1</v>
      </c>
      <c r="BA42" s="11">
        <v>1</v>
      </c>
      <c r="BB42" s="11">
        <v>1</v>
      </c>
      <c r="BC42" s="11">
        <v>1</v>
      </c>
      <c r="BD42" s="11">
        <v>1</v>
      </c>
      <c r="BE42" s="11">
        <v>1</v>
      </c>
      <c r="BF42" s="10" t="s">
        <v>25</v>
      </c>
      <c r="BG42" s="10" t="s">
        <v>25</v>
      </c>
      <c r="BH42" s="39"/>
      <c r="BI42" s="10" t="s">
        <v>25</v>
      </c>
      <c r="BJ42" s="39"/>
      <c r="BK42" s="10" t="s">
        <v>25</v>
      </c>
      <c r="BL42" s="39"/>
      <c r="BM42" s="10" t="s">
        <v>25</v>
      </c>
      <c r="BN42" s="39"/>
      <c r="BO42" s="10" t="s">
        <v>28</v>
      </c>
      <c r="BP42" s="39">
        <v>2600</v>
      </c>
      <c r="BQ42" s="10" t="s">
        <v>5555</v>
      </c>
      <c r="BR42" s="42">
        <v>0</v>
      </c>
      <c r="BS42" s="42">
        <v>362.61</v>
      </c>
      <c r="BT42" s="42">
        <v>863</v>
      </c>
      <c r="BU42" s="42"/>
      <c r="BV42" s="42">
        <v>801.35</v>
      </c>
      <c r="BW42" s="42"/>
      <c r="BX42" s="42"/>
      <c r="BY42" s="42"/>
      <c r="BZ42" s="42"/>
      <c r="CA42" s="42"/>
      <c r="CB42" s="42">
        <v>1381.51</v>
      </c>
      <c r="CC42" s="42"/>
      <c r="CD42" s="42"/>
      <c r="CE42" s="42"/>
      <c r="CF42" s="42"/>
      <c r="CG42" s="42"/>
      <c r="CH42" s="11">
        <v>1</v>
      </c>
      <c r="CI42" s="42"/>
      <c r="CJ42" s="42"/>
      <c r="CK42" s="42"/>
      <c r="CL42" s="42"/>
      <c r="CM42" s="42"/>
      <c r="CN42" s="42"/>
      <c r="CO42" s="42"/>
      <c r="CP42" s="42"/>
      <c r="CQ42" s="42"/>
      <c r="CR42" s="42"/>
      <c r="CS42" s="42"/>
      <c r="CT42" s="42"/>
      <c r="CU42" s="42"/>
      <c r="CV42" s="42"/>
      <c r="CW42" s="42"/>
      <c r="CX42" s="42"/>
      <c r="CY42" s="11"/>
      <c r="CZ42" s="42">
        <v>0</v>
      </c>
      <c r="DA42" s="42">
        <v>457.18</v>
      </c>
      <c r="DB42" s="42">
        <v>1088.07</v>
      </c>
      <c r="DC42" s="42"/>
      <c r="DD42" s="42">
        <v>1010.34</v>
      </c>
      <c r="DE42" s="42"/>
      <c r="DF42" s="42"/>
      <c r="DG42" s="42"/>
      <c r="DH42" s="42"/>
      <c r="DI42" s="42"/>
      <c r="DJ42" s="42">
        <v>1741.79</v>
      </c>
      <c r="DK42" s="42"/>
      <c r="DL42" s="42"/>
      <c r="DM42" s="42"/>
      <c r="DN42" s="42"/>
      <c r="DO42" s="42"/>
      <c r="DP42" s="11">
        <v>1</v>
      </c>
      <c r="DQ42" s="42"/>
      <c r="DR42" s="42"/>
      <c r="DS42" s="42"/>
      <c r="DT42" s="42"/>
      <c r="DU42" s="42"/>
      <c r="DV42" s="42"/>
      <c r="DW42" s="42"/>
      <c r="DX42" s="42"/>
      <c r="DY42" s="42"/>
      <c r="DZ42" s="42"/>
      <c r="EA42" s="42"/>
      <c r="EB42" s="42"/>
      <c r="EC42" s="42"/>
      <c r="ED42" s="42"/>
      <c r="EE42" s="42"/>
      <c r="EF42" s="42"/>
      <c r="EG42" s="11"/>
      <c r="EH42" s="42"/>
      <c r="EI42" s="42"/>
      <c r="EJ42" s="42"/>
      <c r="EK42" s="42"/>
      <c r="EL42" s="42"/>
      <c r="EM42" s="42"/>
      <c r="EN42" s="42"/>
      <c r="EO42" s="42"/>
      <c r="EP42" s="42"/>
      <c r="EQ42" s="42"/>
      <c r="ER42" s="42"/>
      <c r="ES42" s="42"/>
      <c r="ET42" s="42"/>
      <c r="EU42" s="42"/>
      <c r="EV42" s="42"/>
      <c r="EW42" s="42"/>
      <c r="EX42" s="10"/>
      <c r="EY42" s="10"/>
      <c r="EZ42" s="10"/>
      <c r="FA42" s="10"/>
      <c r="FB42" s="10"/>
      <c r="FC42" s="10"/>
      <c r="FD42" s="10"/>
      <c r="FE42" s="10"/>
      <c r="FF42" s="10"/>
      <c r="FG42" s="10"/>
      <c r="FH42" s="10"/>
      <c r="FI42" s="10"/>
      <c r="FJ42" s="10"/>
      <c r="FK42" s="10"/>
      <c r="FL42" s="10"/>
      <c r="FM42" s="10"/>
      <c r="FN42" s="10"/>
      <c r="FO42" s="10"/>
      <c r="FP42" s="42"/>
      <c r="FQ42" s="42"/>
      <c r="FR42" s="42"/>
      <c r="FS42" s="42"/>
      <c r="FT42" s="42"/>
      <c r="FU42" s="42"/>
      <c r="FV42" s="42"/>
      <c r="FW42" s="42"/>
      <c r="FX42" s="42"/>
      <c r="FY42" s="42"/>
      <c r="FZ42" s="42"/>
      <c r="GA42" s="42"/>
      <c r="GB42" s="42"/>
      <c r="GC42" s="42"/>
      <c r="GD42" s="42"/>
      <c r="GE42" s="42"/>
      <c r="GF42" s="10"/>
      <c r="GG42" s="10">
        <v>4</v>
      </c>
      <c r="GH42" s="10" t="s">
        <v>5450</v>
      </c>
      <c r="GI42" s="42">
        <v>0</v>
      </c>
      <c r="GJ42" s="42">
        <v>41.45</v>
      </c>
      <c r="GK42" s="42">
        <v>98.69</v>
      </c>
      <c r="GL42" s="42"/>
      <c r="GM42" s="42">
        <v>91.64</v>
      </c>
      <c r="GN42" s="42"/>
      <c r="GO42" s="42"/>
      <c r="GP42" s="42"/>
      <c r="GQ42" s="42"/>
      <c r="GR42" s="42"/>
      <c r="GS42" s="42">
        <v>157.99</v>
      </c>
      <c r="GT42" s="42"/>
      <c r="GU42" s="42"/>
      <c r="GV42" s="42"/>
      <c r="GW42" s="42"/>
      <c r="GX42" s="42"/>
      <c r="GY42" s="11">
        <v>1</v>
      </c>
      <c r="GZ42" s="10">
        <v>1</v>
      </c>
      <c r="HA42" s="42">
        <v>0</v>
      </c>
      <c r="HB42" s="42">
        <v>10.99</v>
      </c>
      <c r="HC42" s="42">
        <v>21.96</v>
      </c>
      <c r="HD42" s="42"/>
      <c r="HE42" s="42">
        <v>23.52</v>
      </c>
      <c r="HF42" s="42"/>
      <c r="HG42" s="42"/>
      <c r="HH42" s="42"/>
      <c r="HI42" s="42"/>
      <c r="HJ42" s="42"/>
      <c r="HK42" s="42">
        <v>37.6</v>
      </c>
      <c r="HL42" s="42"/>
      <c r="HM42" s="42"/>
      <c r="HN42" s="42"/>
      <c r="HO42" s="42"/>
      <c r="HP42" s="42"/>
      <c r="HQ42" s="11">
        <v>1</v>
      </c>
      <c r="HR42" s="10" t="s">
        <v>25</v>
      </c>
      <c r="HS42" s="39"/>
      <c r="HT42" s="39"/>
      <c r="HU42" s="39"/>
      <c r="HV42" s="10"/>
      <c r="HW42" s="10"/>
      <c r="HX42" s="10" t="s">
        <v>5452</v>
      </c>
      <c r="HY42" s="10" t="s">
        <v>5452</v>
      </c>
      <c r="HZ42" s="10" t="s">
        <v>5452</v>
      </c>
      <c r="IA42" s="10" t="s">
        <v>25</v>
      </c>
      <c r="IB42" s="10"/>
      <c r="IC42" s="10" t="s">
        <v>5671</v>
      </c>
      <c r="ID42" s="10" t="s">
        <v>13253</v>
      </c>
      <c r="IE42" s="10" t="s">
        <v>13284</v>
      </c>
      <c r="IF42" s="10" t="s">
        <v>5672</v>
      </c>
      <c r="IG42" s="10" t="s">
        <v>5672</v>
      </c>
      <c r="IH42" s="10"/>
      <c r="II42" s="10"/>
      <c r="IJ42" s="10" t="s">
        <v>2758</v>
      </c>
      <c r="IK42" s="10"/>
      <c r="IL42" s="10" t="s">
        <v>5549</v>
      </c>
      <c r="IM42" s="10" t="s">
        <v>5457</v>
      </c>
      <c r="IN42" s="10"/>
      <c r="IO42" s="10" t="s">
        <v>25</v>
      </c>
      <c r="IP42" s="10" t="s">
        <v>2201</v>
      </c>
      <c r="IQ42" s="10" t="s">
        <v>5458</v>
      </c>
      <c r="IR42" s="10" t="s">
        <v>5458</v>
      </c>
      <c r="IS42" s="10" t="s">
        <v>5458</v>
      </c>
      <c r="IT42" s="10" t="s">
        <v>5459</v>
      </c>
      <c r="IU42" s="10" t="s">
        <v>5459</v>
      </c>
      <c r="IV42" s="10" t="s">
        <v>5458</v>
      </c>
      <c r="IW42" s="10" t="s">
        <v>5458</v>
      </c>
      <c r="IX42" s="10" t="s">
        <v>5483</v>
      </c>
      <c r="IY42" s="10"/>
      <c r="IZ42" s="10" t="s">
        <v>13773</v>
      </c>
      <c r="JA42" s="10" t="s">
        <v>13301</v>
      </c>
      <c r="JB42" s="10" t="s">
        <v>5515</v>
      </c>
      <c r="JC42" s="10" t="s">
        <v>5515</v>
      </c>
      <c r="JD42" s="10" t="s">
        <v>5477</v>
      </c>
      <c r="JE42" s="10" t="s">
        <v>28</v>
      </c>
      <c r="JF42" s="10" t="s">
        <v>5478</v>
      </c>
      <c r="JG42" s="10" t="s">
        <v>5465</v>
      </c>
      <c r="JH42" s="10"/>
    </row>
    <row r="43" spans="1:268" ht="76.5" x14ac:dyDescent="0.2">
      <c r="A43" s="31" t="s">
        <v>163</v>
      </c>
      <c r="B43" s="9" t="s">
        <v>5494</v>
      </c>
      <c r="C43" s="9"/>
      <c r="D43" s="9" t="s">
        <v>28</v>
      </c>
      <c r="E43" s="9" t="s">
        <v>5675</v>
      </c>
      <c r="F43" s="9" t="s">
        <v>5467</v>
      </c>
      <c r="G43" s="9"/>
      <c r="H43" s="9">
        <v>30</v>
      </c>
      <c r="I43" s="9">
        <v>30</v>
      </c>
      <c r="J43" s="9"/>
      <c r="K43" s="9" t="s">
        <v>25</v>
      </c>
      <c r="L43" s="9"/>
      <c r="M43" s="9"/>
      <c r="N43" s="9"/>
      <c r="O43" s="9"/>
      <c r="P43" s="9"/>
      <c r="Q43" s="9"/>
      <c r="R43" s="9" t="s">
        <v>5676</v>
      </c>
      <c r="S43" s="11">
        <v>0</v>
      </c>
      <c r="T43" s="11">
        <v>0.33</v>
      </c>
      <c r="U43" s="11"/>
      <c r="V43" s="10"/>
      <c r="W43" s="11"/>
      <c r="X43" s="11">
        <v>0.18</v>
      </c>
      <c r="Y43" s="11">
        <v>0.18</v>
      </c>
      <c r="Z43" s="11">
        <v>0.21</v>
      </c>
      <c r="AA43" s="11">
        <v>0.08</v>
      </c>
      <c r="AB43" s="11">
        <v>0.02</v>
      </c>
      <c r="AC43" s="11"/>
      <c r="AD43" s="10"/>
      <c r="AE43" s="10"/>
      <c r="AF43" s="10"/>
      <c r="AG43" s="10"/>
      <c r="AH43" s="10"/>
      <c r="AI43" s="36">
        <v>4</v>
      </c>
      <c r="AJ43" s="33"/>
      <c r="AK43" s="33"/>
      <c r="AL43" s="33"/>
      <c r="AM43" s="33"/>
      <c r="AN43" s="33"/>
      <c r="AO43" s="33"/>
      <c r="AP43" s="33"/>
      <c r="AQ43" s="33"/>
      <c r="AR43" s="33"/>
      <c r="AS43" s="33"/>
      <c r="AT43" s="11">
        <v>0.91</v>
      </c>
      <c r="AU43" s="11">
        <v>0.91</v>
      </c>
      <c r="AV43" s="11">
        <v>1</v>
      </c>
      <c r="AW43" s="11">
        <v>1</v>
      </c>
      <c r="AX43" s="11">
        <v>1</v>
      </c>
      <c r="AY43" s="11">
        <v>1</v>
      </c>
      <c r="AZ43" s="11">
        <v>0.9</v>
      </c>
      <c r="BA43" s="11">
        <v>0.9</v>
      </c>
      <c r="BB43" s="11">
        <v>1</v>
      </c>
      <c r="BC43" s="11">
        <v>1</v>
      </c>
      <c r="BD43" s="11">
        <v>1</v>
      </c>
      <c r="BE43" s="11">
        <v>1</v>
      </c>
      <c r="BF43" s="10" t="s">
        <v>25</v>
      </c>
      <c r="BG43" s="10" t="s">
        <v>25</v>
      </c>
      <c r="BH43" s="39"/>
      <c r="BI43" s="10" t="s">
        <v>25</v>
      </c>
      <c r="BJ43" s="39"/>
      <c r="BK43" s="10" t="s">
        <v>25</v>
      </c>
      <c r="BL43" s="39"/>
      <c r="BM43" s="10" t="s">
        <v>28</v>
      </c>
      <c r="BN43" s="39">
        <v>20</v>
      </c>
      <c r="BO43" s="10" t="s">
        <v>25</v>
      </c>
      <c r="BP43" s="39"/>
      <c r="BQ43" s="10" t="s">
        <v>5555</v>
      </c>
      <c r="BR43" s="42"/>
      <c r="BS43" s="42"/>
      <c r="BT43" s="42"/>
      <c r="BU43" s="42"/>
      <c r="BV43" s="42"/>
      <c r="BW43" s="42"/>
      <c r="BX43" s="42"/>
      <c r="BY43" s="42"/>
      <c r="BZ43" s="42"/>
      <c r="CA43" s="42"/>
      <c r="CB43" s="42"/>
      <c r="CC43" s="42"/>
      <c r="CD43" s="42"/>
      <c r="CE43" s="42"/>
      <c r="CF43" s="42"/>
      <c r="CG43" s="42"/>
      <c r="CH43" s="11">
        <v>0.9</v>
      </c>
      <c r="CI43" s="42"/>
      <c r="CJ43" s="42"/>
      <c r="CK43" s="42"/>
      <c r="CL43" s="42"/>
      <c r="CM43" s="42"/>
      <c r="CN43" s="42"/>
      <c r="CO43" s="42"/>
      <c r="CP43" s="42"/>
      <c r="CQ43" s="42"/>
      <c r="CR43" s="42"/>
      <c r="CS43" s="42"/>
      <c r="CT43" s="42"/>
      <c r="CU43" s="42"/>
      <c r="CV43" s="42"/>
      <c r="CW43" s="42"/>
      <c r="CX43" s="42"/>
      <c r="CY43" s="11"/>
      <c r="CZ43" s="42"/>
      <c r="DA43" s="42"/>
      <c r="DB43" s="42"/>
      <c r="DC43" s="42"/>
      <c r="DD43" s="42"/>
      <c r="DE43" s="42"/>
      <c r="DF43" s="42"/>
      <c r="DG43" s="42"/>
      <c r="DH43" s="42"/>
      <c r="DI43" s="42"/>
      <c r="DJ43" s="42"/>
      <c r="DK43" s="42"/>
      <c r="DL43" s="42"/>
      <c r="DM43" s="42"/>
      <c r="DN43" s="42"/>
      <c r="DO43" s="42"/>
      <c r="DP43" s="11">
        <v>0.94</v>
      </c>
      <c r="DQ43" s="42"/>
      <c r="DR43" s="42"/>
      <c r="DS43" s="42"/>
      <c r="DT43" s="42"/>
      <c r="DU43" s="42"/>
      <c r="DV43" s="42"/>
      <c r="DW43" s="42"/>
      <c r="DX43" s="42"/>
      <c r="DY43" s="42"/>
      <c r="DZ43" s="42"/>
      <c r="EA43" s="42"/>
      <c r="EB43" s="42"/>
      <c r="EC43" s="42"/>
      <c r="ED43" s="42"/>
      <c r="EE43" s="42"/>
      <c r="EF43" s="42"/>
      <c r="EG43" s="11"/>
      <c r="EH43" s="42"/>
      <c r="EI43" s="42"/>
      <c r="EJ43" s="42"/>
      <c r="EK43" s="42"/>
      <c r="EL43" s="42"/>
      <c r="EM43" s="42"/>
      <c r="EN43" s="42"/>
      <c r="EO43" s="42"/>
      <c r="EP43" s="42"/>
      <c r="EQ43" s="42"/>
      <c r="ER43" s="42"/>
      <c r="ES43" s="42"/>
      <c r="ET43" s="42"/>
      <c r="EU43" s="42"/>
      <c r="EV43" s="42"/>
      <c r="EW43" s="42"/>
      <c r="EX43" s="10"/>
      <c r="EY43" s="10"/>
      <c r="EZ43" s="10"/>
      <c r="FA43" s="10"/>
      <c r="FB43" s="10"/>
      <c r="FC43" s="10"/>
      <c r="FD43" s="10"/>
      <c r="FE43" s="10"/>
      <c r="FF43" s="10"/>
      <c r="FG43" s="10"/>
      <c r="FH43" s="10"/>
      <c r="FI43" s="10"/>
      <c r="FJ43" s="10"/>
      <c r="FK43" s="10"/>
      <c r="FL43" s="10"/>
      <c r="FM43" s="10"/>
      <c r="FN43" s="10"/>
      <c r="FO43" s="10"/>
      <c r="FP43" s="42"/>
      <c r="FQ43" s="42"/>
      <c r="FR43" s="42"/>
      <c r="FS43" s="42"/>
      <c r="FT43" s="42"/>
      <c r="FU43" s="42"/>
      <c r="FV43" s="42"/>
      <c r="FW43" s="42"/>
      <c r="FX43" s="42"/>
      <c r="FY43" s="42"/>
      <c r="FZ43" s="42"/>
      <c r="GA43" s="42"/>
      <c r="GB43" s="42"/>
      <c r="GC43" s="42"/>
      <c r="GD43" s="42"/>
      <c r="GE43" s="42"/>
      <c r="GF43" s="10"/>
      <c r="GG43" s="10">
        <v>2</v>
      </c>
      <c r="GH43" s="10" t="s">
        <v>5450</v>
      </c>
      <c r="GI43" s="42"/>
      <c r="GJ43" s="42"/>
      <c r="GK43" s="42"/>
      <c r="GL43" s="42"/>
      <c r="GM43" s="42"/>
      <c r="GN43" s="42"/>
      <c r="GO43" s="42"/>
      <c r="GP43" s="42"/>
      <c r="GQ43" s="42"/>
      <c r="GR43" s="42"/>
      <c r="GS43" s="42"/>
      <c r="GT43" s="42"/>
      <c r="GU43" s="42"/>
      <c r="GV43" s="42"/>
      <c r="GW43" s="42"/>
      <c r="GX43" s="42"/>
      <c r="GY43" s="11">
        <v>1</v>
      </c>
      <c r="GZ43" s="10">
        <v>2</v>
      </c>
      <c r="HA43" s="42"/>
      <c r="HB43" s="42"/>
      <c r="HC43" s="42"/>
      <c r="HD43" s="42"/>
      <c r="HE43" s="42"/>
      <c r="HF43" s="42"/>
      <c r="HG43" s="42"/>
      <c r="HH43" s="42"/>
      <c r="HI43" s="42"/>
      <c r="HJ43" s="42"/>
      <c r="HK43" s="42"/>
      <c r="HL43" s="42"/>
      <c r="HM43" s="42"/>
      <c r="HN43" s="42"/>
      <c r="HO43" s="42"/>
      <c r="HP43" s="42"/>
      <c r="HQ43" s="11">
        <v>1</v>
      </c>
      <c r="HR43" s="10" t="s">
        <v>5451</v>
      </c>
      <c r="HS43" s="39">
        <v>500000</v>
      </c>
      <c r="HT43" s="39"/>
      <c r="HU43" s="39"/>
      <c r="HV43" s="10" t="s">
        <v>25</v>
      </c>
      <c r="HW43" s="10" t="s">
        <v>28</v>
      </c>
      <c r="HX43" s="10" t="s">
        <v>5452</v>
      </c>
      <c r="HY43" s="10" t="s">
        <v>5452</v>
      </c>
      <c r="HZ43" s="10" t="s">
        <v>5452</v>
      </c>
      <c r="IA43" s="10" t="s">
        <v>25</v>
      </c>
      <c r="IB43" s="10"/>
      <c r="IC43" s="10" t="s">
        <v>5677</v>
      </c>
      <c r="ID43" s="10" t="s">
        <v>13255</v>
      </c>
      <c r="IE43" s="10" t="s">
        <v>5678</v>
      </c>
      <c r="IF43" s="10" t="s">
        <v>72</v>
      </c>
      <c r="IG43" s="10" t="s">
        <v>72</v>
      </c>
      <c r="IH43" s="10" t="s">
        <v>72</v>
      </c>
      <c r="II43" s="10" t="s">
        <v>72</v>
      </c>
      <c r="IJ43" s="10" t="s">
        <v>2692</v>
      </c>
      <c r="IK43" s="10"/>
      <c r="IL43" s="10" t="s">
        <v>5549</v>
      </c>
      <c r="IM43" s="10" t="s">
        <v>2692</v>
      </c>
      <c r="IN43" s="10"/>
      <c r="IO43" s="10" t="s">
        <v>5472</v>
      </c>
      <c r="IP43" s="10" t="s">
        <v>28</v>
      </c>
      <c r="IQ43" s="10" t="s">
        <v>5459</v>
      </c>
      <c r="IR43" s="10" t="s">
        <v>5459</v>
      </c>
      <c r="IS43" s="10" t="s">
        <v>5459</v>
      </c>
      <c r="IT43" s="10" t="s">
        <v>5459</v>
      </c>
      <c r="IU43" s="10" t="s">
        <v>5459</v>
      </c>
      <c r="IV43" s="10" t="s">
        <v>29</v>
      </c>
      <c r="IW43" s="10" t="s">
        <v>5474</v>
      </c>
      <c r="IX43" s="10" t="s">
        <v>5460</v>
      </c>
      <c r="IY43" s="10"/>
      <c r="IZ43" s="10" t="s">
        <v>5679</v>
      </c>
      <c r="JA43" s="10" t="s">
        <v>13301</v>
      </c>
      <c r="JB43" s="10" t="s">
        <v>5461</v>
      </c>
      <c r="JC43" s="10" t="s">
        <v>5461</v>
      </c>
      <c r="JD43" s="10" t="s">
        <v>5477</v>
      </c>
      <c r="JE43" s="10" t="s">
        <v>28</v>
      </c>
      <c r="JF43" s="10" t="s">
        <v>5516</v>
      </c>
      <c r="JG43" s="10" t="s">
        <v>13302</v>
      </c>
      <c r="JH43" s="10" t="s">
        <v>5496</v>
      </c>
    </row>
    <row r="44" spans="1:268" ht="76.5" x14ac:dyDescent="0.2">
      <c r="A44" s="31" t="s">
        <v>165</v>
      </c>
      <c r="B44" s="9" t="s">
        <v>5494</v>
      </c>
      <c r="C44" s="9"/>
      <c r="D44" s="9" t="s">
        <v>25</v>
      </c>
      <c r="E44" s="9"/>
      <c r="F44" s="9" t="s">
        <v>5467</v>
      </c>
      <c r="G44" s="9"/>
      <c r="H44" s="9">
        <v>40</v>
      </c>
      <c r="I44" s="9">
        <v>24</v>
      </c>
      <c r="J44" s="9">
        <v>39</v>
      </c>
      <c r="K44" s="9" t="s">
        <v>28</v>
      </c>
      <c r="L44" s="9" t="s">
        <v>5468</v>
      </c>
      <c r="M44" s="9" t="s">
        <v>5468</v>
      </c>
      <c r="N44" s="9" t="s">
        <v>5446</v>
      </c>
      <c r="O44" s="9" t="s">
        <v>5447</v>
      </c>
      <c r="P44" s="9" t="s">
        <v>5447</v>
      </c>
      <c r="Q44" s="9" t="s">
        <v>5447</v>
      </c>
      <c r="R44" s="9" t="s">
        <v>5536</v>
      </c>
      <c r="S44" s="11">
        <v>0</v>
      </c>
      <c r="T44" s="11">
        <v>0.35</v>
      </c>
      <c r="U44" s="11">
        <v>0.19</v>
      </c>
      <c r="V44" s="10"/>
      <c r="W44" s="11">
        <v>0.1</v>
      </c>
      <c r="X44" s="10"/>
      <c r="Y44" s="10"/>
      <c r="Z44" s="10"/>
      <c r="AA44" s="10"/>
      <c r="AB44" s="10"/>
      <c r="AC44" s="11">
        <v>0.36</v>
      </c>
      <c r="AD44" s="10"/>
      <c r="AE44" s="10"/>
      <c r="AF44" s="10"/>
      <c r="AG44" s="10"/>
      <c r="AH44" s="10"/>
      <c r="AI44" s="36">
        <v>3</v>
      </c>
      <c r="AJ44" s="33">
        <v>2.7999999999999997E-2</v>
      </c>
      <c r="AK44" s="33">
        <v>3.4000000000000002E-2</v>
      </c>
      <c r="AL44" s="33"/>
      <c r="AM44" s="33">
        <v>0</v>
      </c>
      <c r="AN44" s="33"/>
      <c r="AO44" s="33">
        <v>-1.3999999999999999E-2</v>
      </c>
      <c r="AP44" s="33">
        <v>-1.7000000000000001E-2</v>
      </c>
      <c r="AQ44" s="33"/>
      <c r="AR44" s="33">
        <v>0</v>
      </c>
      <c r="AS44" s="33"/>
      <c r="AT44" s="11">
        <v>0.86</v>
      </c>
      <c r="AU44" s="11">
        <v>0.86</v>
      </c>
      <c r="AV44" s="11">
        <v>0.78</v>
      </c>
      <c r="AW44" s="11">
        <v>0.78</v>
      </c>
      <c r="AX44" s="11">
        <v>0.38</v>
      </c>
      <c r="AY44" s="11">
        <v>0.38</v>
      </c>
      <c r="AZ44" s="11">
        <v>0.83</v>
      </c>
      <c r="BA44" s="11">
        <v>0.83</v>
      </c>
      <c r="BB44" s="11">
        <v>0.76</v>
      </c>
      <c r="BC44" s="11">
        <v>0.76</v>
      </c>
      <c r="BD44" s="11">
        <v>0.37</v>
      </c>
      <c r="BE44" s="11">
        <v>0.37</v>
      </c>
      <c r="BF44" s="10" t="s">
        <v>28</v>
      </c>
      <c r="BG44" s="10" t="s">
        <v>25</v>
      </c>
      <c r="BH44" s="39"/>
      <c r="BI44" s="10" t="s">
        <v>25</v>
      </c>
      <c r="BJ44" s="39"/>
      <c r="BK44" s="10" t="s">
        <v>25</v>
      </c>
      <c r="BL44" s="39"/>
      <c r="BM44" s="10" t="s">
        <v>28</v>
      </c>
      <c r="BN44" s="39">
        <v>300</v>
      </c>
      <c r="BO44" s="10" t="s">
        <v>25</v>
      </c>
      <c r="BP44" s="39"/>
      <c r="BQ44" s="10" t="s">
        <v>5572</v>
      </c>
      <c r="BR44" s="42"/>
      <c r="BS44" s="42"/>
      <c r="BT44" s="42"/>
      <c r="BU44" s="42"/>
      <c r="BV44" s="42"/>
      <c r="BW44" s="42"/>
      <c r="BX44" s="42"/>
      <c r="BY44" s="42"/>
      <c r="BZ44" s="42"/>
      <c r="CA44" s="42"/>
      <c r="CB44" s="42"/>
      <c r="CC44" s="42"/>
      <c r="CD44" s="42"/>
      <c r="CE44" s="42"/>
      <c r="CF44" s="42"/>
      <c r="CG44" s="42"/>
      <c r="CH44" s="11"/>
      <c r="CI44" s="42"/>
      <c r="CJ44" s="42"/>
      <c r="CK44" s="42"/>
      <c r="CL44" s="42"/>
      <c r="CM44" s="42"/>
      <c r="CN44" s="42"/>
      <c r="CO44" s="42"/>
      <c r="CP44" s="42"/>
      <c r="CQ44" s="42"/>
      <c r="CR44" s="42"/>
      <c r="CS44" s="42"/>
      <c r="CT44" s="42"/>
      <c r="CU44" s="42"/>
      <c r="CV44" s="42"/>
      <c r="CW44" s="42"/>
      <c r="CX44" s="42"/>
      <c r="CY44" s="11"/>
      <c r="CZ44" s="42"/>
      <c r="DA44" s="42">
        <v>715</v>
      </c>
      <c r="DB44" s="42">
        <v>1494</v>
      </c>
      <c r="DC44" s="42"/>
      <c r="DD44" s="42">
        <v>1298</v>
      </c>
      <c r="DE44" s="42"/>
      <c r="DF44" s="42"/>
      <c r="DG44" s="42"/>
      <c r="DH44" s="42"/>
      <c r="DI44" s="42"/>
      <c r="DJ44" s="42">
        <v>2017</v>
      </c>
      <c r="DK44" s="42"/>
      <c r="DL44" s="42"/>
      <c r="DM44" s="42"/>
      <c r="DN44" s="42"/>
      <c r="DO44" s="42"/>
      <c r="DP44" s="11">
        <v>0.87</v>
      </c>
      <c r="DQ44" s="42"/>
      <c r="DR44" s="42"/>
      <c r="DS44" s="42"/>
      <c r="DT44" s="42"/>
      <c r="DU44" s="42"/>
      <c r="DV44" s="42"/>
      <c r="DW44" s="42"/>
      <c r="DX44" s="42"/>
      <c r="DY44" s="42"/>
      <c r="DZ44" s="42"/>
      <c r="EA44" s="42"/>
      <c r="EB44" s="42"/>
      <c r="EC44" s="42"/>
      <c r="ED44" s="42"/>
      <c r="EE44" s="42"/>
      <c r="EF44" s="42"/>
      <c r="EG44" s="11"/>
      <c r="EH44" s="42"/>
      <c r="EI44" s="42"/>
      <c r="EJ44" s="42"/>
      <c r="EK44" s="42"/>
      <c r="EL44" s="42"/>
      <c r="EM44" s="42"/>
      <c r="EN44" s="42"/>
      <c r="EO44" s="42"/>
      <c r="EP44" s="42"/>
      <c r="EQ44" s="42"/>
      <c r="ER44" s="42"/>
      <c r="ES44" s="42"/>
      <c r="ET44" s="42"/>
      <c r="EU44" s="42"/>
      <c r="EV44" s="42"/>
      <c r="EW44" s="42"/>
      <c r="EX44" s="10"/>
      <c r="EY44" s="10"/>
      <c r="EZ44" s="10"/>
      <c r="FA44" s="10"/>
      <c r="FB44" s="10"/>
      <c r="FC44" s="10"/>
      <c r="FD44" s="10"/>
      <c r="FE44" s="10"/>
      <c r="FF44" s="10"/>
      <c r="FG44" s="10"/>
      <c r="FH44" s="10"/>
      <c r="FI44" s="10"/>
      <c r="FJ44" s="10"/>
      <c r="FK44" s="10"/>
      <c r="FL44" s="10"/>
      <c r="FM44" s="10"/>
      <c r="FN44" s="10"/>
      <c r="FO44" s="10"/>
      <c r="FP44" s="42"/>
      <c r="FQ44" s="42"/>
      <c r="FR44" s="42"/>
      <c r="FS44" s="42"/>
      <c r="FT44" s="42"/>
      <c r="FU44" s="42"/>
      <c r="FV44" s="42"/>
      <c r="FW44" s="42"/>
      <c r="FX44" s="42"/>
      <c r="FY44" s="42"/>
      <c r="FZ44" s="42"/>
      <c r="GA44" s="42"/>
      <c r="GB44" s="42"/>
      <c r="GC44" s="42"/>
      <c r="GD44" s="42"/>
      <c r="GE44" s="42"/>
      <c r="GF44" s="10"/>
      <c r="GG44" s="10">
        <v>2</v>
      </c>
      <c r="GH44" s="10" t="s">
        <v>5450</v>
      </c>
      <c r="GI44" s="42"/>
      <c r="GJ44" s="42">
        <v>66</v>
      </c>
      <c r="GK44" s="42">
        <v>139</v>
      </c>
      <c r="GL44" s="42"/>
      <c r="GM44" s="42">
        <v>119</v>
      </c>
      <c r="GN44" s="42"/>
      <c r="GO44" s="42"/>
      <c r="GP44" s="42"/>
      <c r="GQ44" s="42"/>
      <c r="GR44" s="42"/>
      <c r="GS44" s="42">
        <v>191</v>
      </c>
      <c r="GT44" s="42"/>
      <c r="GU44" s="42"/>
      <c r="GV44" s="42"/>
      <c r="GW44" s="42"/>
      <c r="GX44" s="42"/>
      <c r="GY44" s="11">
        <v>0.77</v>
      </c>
      <c r="GZ44" s="10">
        <v>2</v>
      </c>
      <c r="HA44" s="42"/>
      <c r="HB44" s="42">
        <v>10</v>
      </c>
      <c r="HC44" s="42">
        <v>20</v>
      </c>
      <c r="HD44" s="42"/>
      <c r="HE44" s="42">
        <v>17</v>
      </c>
      <c r="HF44" s="42"/>
      <c r="HG44" s="42"/>
      <c r="HH44" s="42"/>
      <c r="HI44" s="42"/>
      <c r="HJ44" s="42"/>
      <c r="HK44" s="42">
        <v>27</v>
      </c>
      <c r="HL44" s="42"/>
      <c r="HM44" s="42"/>
      <c r="HN44" s="42"/>
      <c r="HO44" s="42"/>
      <c r="HP44" s="42"/>
      <c r="HQ44" s="11">
        <v>0.63</v>
      </c>
      <c r="HR44" s="10" t="s">
        <v>5451</v>
      </c>
      <c r="HS44" s="39">
        <v>500000</v>
      </c>
      <c r="HT44" s="39"/>
      <c r="HU44" s="39">
        <v>500000</v>
      </c>
      <c r="HV44" s="10" t="s">
        <v>25</v>
      </c>
      <c r="HW44" s="10" t="s">
        <v>25</v>
      </c>
      <c r="HX44" s="10" t="s">
        <v>5452</v>
      </c>
      <c r="HY44" s="10" t="s">
        <v>5452</v>
      </c>
      <c r="HZ44" s="10" t="s">
        <v>5452</v>
      </c>
      <c r="IA44" s="10" t="s">
        <v>25</v>
      </c>
      <c r="IB44" s="10"/>
      <c r="IC44" s="10" t="s">
        <v>13234</v>
      </c>
      <c r="ID44" s="10" t="s">
        <v>13256</v>
      </c>
      <c r="IE44" s="10" t="s">
        <v>5683</v>
      </c>
      <c r="IF44" s="10" t="s">
        <v>72</v>
      </c>
      <c r="IG44" s="10" t="s">
        <v>72</v>
      </c>
      <c r="IH44" s="10" t="s">
        <v>72</v>
      </c>
      <c r="II44" s="10" t="s">
        <v>72</v>
      </c>
      <c r="IJ44" s="10" t="s">
        <v>29</v>
      </c>
      <c r="IK44" s="10" t="s">
        <v>5482</v>
      </c>
      <c r="IL44" s="10" t="s">
        <v>5549</v>
      </c>
      <c r="IM44" s="10" t="s">
        <v>5457</v>
      </c>
      <c r="IN44" s="10"/>
      <c r="IO44" s="10" t="s">
        <v>28</v>
      </c>
      <c r="IP44" s="10" t="s">
        <v>28</v>
      </c>
      <c r="IQ44" s="10" t="s">
        <v>5458</v>
      </c>
      <c r="IR44" s="10" t="s">
        <v>5458</v>
      </c>
      <c r="IS44" s="10" t="s">
        <v>5521</v>
      </c>
      <c r="IT44" s="10" t="s">
        <v>5513</v>
      </c>
      <c r="IU44" s="10" t="s">
        <v>5474</v>
      </c>
      <c r="IV44" s="10" t="s">
        <v>5458</v>
      </c>
      <c r="IW44" s="10" t="s">
        <v>5474</v>
      </c>
      <c r="IX44" s="10" t="s">
        <v>5483</v>
      </c>
      <c r="IY44" s="10"/>
      <c r="IZ44" s="10" t="s">
        <v>14619</v>
      </c>
      <c r="JA44" s="10" t="s">
        <v>13301</v>
      </c>
      <c r="JB44" s="10" t="s">
        <v>5515</v>
      </c>
      <c r="JC44" s="10" t="s">
        <v>5515</v>
      </c>
      <c r="JD44" s="10" t="s">
        <v>5477</v>
      </c>
      <c r="JE44" s="10" t="s">
        <v>28</v>
      </c>
      <c r="JF44" s="10" t="s">
        <v>5464</v>
      </c>
      <c r="JG44" s="10" t="s">
        <v>5465</v>
      </c>
      <c r="JH44" s="10" t="s">
        <v>5496</v>
      </c>
    </row>
    <row r="45" spans="1:268" ht="76.5" x14ac:dyDescent="0.2">
      <c r="A45" s="31" t="s">
        <v>129</v>
      </c>
      <c r="B45" s="9" t="s">
        <v>5494</v>
      </c>
      <c r="C45" s="9"/>
      <c r="D45" s="9" t="s">
        <v>25</v>
      </c>
      <c r="E45" s="9"/>
      <c r="F45" s="9" t="s">
        <v>5467</v>
      </c>
      <c r="G45" s="9"/>
      <c r="H45" s="9">
        <v>20</v>
      </c>
      <c r="I45" s="9">
        <v>20</v>
      </c>
      <c r="J45" s="9"/>
      <c r="K45" s="9" t="s">
        <v>25</v>
      </c>
      <c r="L45" s="9"/>
      <c r="M45" s="9"/>
      <c r="N45" s="9"/>
      <c r="O45" s="9"/>
      <c r="P45" s="9"/>
      <c r="Q45" s="9"/>
      <c r="R45" s="9" t="s">
        <v>5469</v>
      </c>
      <c r="S45" s="11">
        <v>0.1</v>
      </c>
      <c r="T45" s="11">
        <v>0.31</v>
      </c>
      <c r="U45" s="11">
        <v>0.13</v>
      </c>
      <c r="V45" s="10"/>
      <c r="W45" s="11">
        <v>0.12</v>
      </c>
      <c r="X45" s="10"/>
      <c r="Y45" s="10"/>
      <c r="Z45" s="10"/>
      <c r="AA45" s="10"/>
      <c r="AB45" s="10"/>
      <c r="AC45" s="11">
        <v>0.34</v>
      </c>
      <c r="AD45" s="10"/>
      <c r="AE45" s="10"/>
      <c r="AF45" s="10"/>
      <c r="AG45" s="10"/>
      <c r="AH45" s="10"/>
      <c r="AI45" s="36">
        <v>2.5</v>
      </c>
      <c r="AJ45" s="33">
        <v>6.0999999999999999E-2</v>
      </c>
      <c r="AK45" s="33">
        <v>0.14599999999999999</v>
      </c>
      <c r="AL45" s="33">
        <v>0.1</v>
      </c>
      <c r="AM45" s="33">
        <v>6.0999999999999999E-2</v>
      </c>
      <c r="AN45" s="33">
        <v>-1E-3</v>
      </c>
      <c r="AO45" s="33">
        <v>5.9000000000000004E-2</v>
      </c>
      <c r="AP45" s="33">
        <v>9.9000000000000005E-2</v>
      </c>
      <c r="AQ45" s="33">
        <v>2.4E-2</v>
      </c>
      <c r="AR45" s="33">
        <v>5.9000000000000004E-2</v>
      </c>
      <c r="AS45" s="33">
        <v>-1E-3</v>
      </c>
      <c r="AT45" s="11"/>
      <c r="AU45" s="11"/>
      <c r="AV45" s="11"/>
      <c r="AW45" s="11"/>
      <c r="AX45" s="11"/>
      <c r="AY45" s="11"/>
      <c r="AZ45" s="11"/>
      <c r="BA45" s="11"/>
      <c r="BB45" s="11"/>
      <c r="BC45" s="11"/>
      <c r="BD45" s="11"/>
      <c r="BE45" s="11"/>
      <c r="BF45" s="10" t="s">
        <v>25</v>
      </c>
      <c r="BG45" s="10" t="s">
        <v>25</v>
      </c>
      <c r="BH45" s="39"/>
      <c r="BI45" s="10" t="s">
        <v>25</v>
      </c>
      <c r="BJ45" s="39"/>
      <c r="BK45" s="10" t="s">
        <v>25</v>
      </c>
      <c r="BL45" s="39"/>
      <c r="BM45" s="10" t="s">
        <v>25</v>
      </c>
      <c r="BN45" s="39"/>
      <c r="BO45" s="10" t="s">
        <v>28</v>
      </c>
      <c r="BP45" s="39">
        <v>1196</v>
      </c>
      <c r="BQ45" s="10" t="s">
        <v>5542</v>
      </c>
      <c r="BR45" s="42"/>
      <c r="BS45" s="42"/>
      <c r="BT45" s="42"/>
      <c r="BU45" s="42"/>
      <c r="BV45" s="42"/>
      <c r="BW45" s="42"/>
      <c r="BX45" s="42"/>
      <c r="BY45" s="42"/>
      <c r="BZ45" s="42"/>
      <c r="CA45" s="42"/>
      <c r="CB45" s="42"/>
      <c r="CC45" s="42"/>
      <c r="CD45" s="42"/>
      <c r="CE45" s="42"/>
      <c r="CF45" s="42"/>
      <c r="CG45" s="42"/>
      <c r="CH45" s="11">
        <v>0</v>
      </c>
      <c r="CI45" s="42"/>
      <c r="CJ45" s="42"/>
      <c r="CK45" s="42"/>
      <c r="CL45" s="42"/>
      <c r="CM45" s="42"/>
      <c r="CN45" s="42"/>
      <c r="CO45" s="42"/>
      <c r="CP45" s="42"/>
      <c r="CQ45" s="42"/>
      <c r="CR45" s="42"/>
      <c r="CS45" s="42"/>
      <c r="CT45" s="42"/>
      <c r="CU45" s="42"/>
      <c r="CV45" s="42"/>
      <c r="CW45" s="42"/>
      <c r="CX45" s="42"/>
      <c r="CY45" s="11"/>
      <c r="CZ45" s="42"/>
      <c r="DA45" s="42"/>
      <c r="DB45" s="42"/>
      <c r="DC45" s="42"/>
      <c r="DD45" s="42"/>
      <c r="DE45" s="42"/>
      <c r="DF45" s="42"/>
      <c r="DG45" s="42"/>
      <c r="DH45" s="42"/>
      <c r="DI45" s="42"/>
      <c r="DJ45" s="42"/>
      <c r="DK45" s="42"/>
      <c r="DL45" s="42"/>
      <c r="DM45" s="42"/>
      <c r="DN45" s="42"/>
      <c r="DO45" s="42"/>
      <c r="DP45" s="11">
        <v>0</v>
      </c>
      <c r="DQ45" s="42"/>
      <c r="DR45" s="42"/>
      <c r="DS45" s="42"/>
      <c r="DT45" s="42"/>
      <c r="DU45" s="42"/>
      <c r="DV45" s="42"/>
      <c r="DW45" s="42"/>
      <c r="DX45" s="42"/>
      <c r="DY45" s="42"/>
      <c r="DZ45" s="42"/>
      <c r="EA45" s="42"/>
      <c r="EB45" s="42"/>
      <c r="EC45" s="42"/>
      <c r="ED45" s="42"/>
      <c r="EE45" s="42"/>
      <c r="EF45" s="42"/>
      <c r="EG45" s="11">
        <v>0</v>
      </c>
      <c r="EH45" s="42"/>
      <c r="EI45" s="42"/>
      <c r="EJ45" s="42"/>
      <c r="EK45" s="42"/>
      <c r="EL45" s="42"/>
      <c r="EM45" s="42"/>
      <c r="EN45" s="42"/>
      <c r="EO45" s="42"/>
      <c r="EP45" s="42"/>
      <c r="EQ45" s="42"/>
      <c r="ER45" s="42"/>
      <c r="ES45" s="42"/>
      <c r="ET45" s="42"/>
      <c r="EU45" s="42"/>
      <c r="EV45" s="42"/>
      <c r="EW45" s="42"/>
      <c r="EX45" s="10"/>
      <c r="EY45" s="10"/>
      <c r="EZ45" s="10"/>
      <c r="FA45" s="10"/>
      <c r="FB45" s="10"/>
      <c r="FC45" s="10"/>
      <c r="FD45" s="10"/>
      <c r="FE45" s="10"/>
      <c r="FF45" s="10"/>
      <c r="FG45" s="10"/>
      <c r="FH45" s="10"/>
      <c r="FI45" s="10"/>
      <c r="FJ45" s="10"/>
      <c r="FK45" s="10"/>
      <c r="FL45" s="10"/>
      <c r="FM45" s="10"/>
      <c r="FN45" s="10"/>
      <c r="FO45" s="10"/>
      <c r="FP45" s="42"/>
      <c r="FQ45" s="42"/>
      <c r="FR45" s="42"/>
      <c r="FS45" s="42"/>
      <c r="FT45" s="42"/>
      <c r="FU45" s="42"/>
      <c r="FV45" s="42"/>
      <c r="FW45" s="42"/>
      <c r="FX45" s="42"/>
      <c r="FY45" s="42"/>
      <c r="FZ45" s="42"/>
      <c r="GA45" s="42"/>
      <c r="GB45" s="42"/>
      <c r="GC45" s="42"/>
      <c r="GD45" s="42"/>
      <c r="GE45" s="42"/>
      <c r="GF45" s="10"/>
      <c r="GG45" s="10">
        <v>1</v>
      </c>
      <c r="GH45" s="10" t="s">
        <v>5450</v>
      </c>
      <c r="GI45" s="42"/>
      <c r="GJ45" s="42"/>
      <c r="GK45" s="42"/>
      <c r="GL45" s="42"/>
      <c r="GM45" s="42"/>
      <c r="GN45" s="42"/>
      <c r="GO45" s="42"/>
      <c r="GP45" s="42"/>
      <c r="GQ45" s="42"/>
      <c r="GR45" s="42"/>
      <c r="GS45" s="42"/>
      <c r="GT45" s="42"/>
      <c r="GU45" s="42"/>
      <c r="GV45" s="42"/>
      <c r="GW45" s="42"/>
      <c r="GX45" s="42"/>
      <c r="GY45" s="11">
        <v>0</v>
      </c>
      <c r="GZ45" s="10">
        <v>1</v>
      </c>
      <c r="HA45" s="42"/>
      <c r="HB45" s="42"/>
      <c r="HC45" s="42"/>
      <c r="HD45" s="42"/>
      <c r="HE45" s="42"/>
      <c r="HF45" s="42"/>
      <c r="HG45" s="42"/>
      <c r="HH45" s="42"/>
      <c r="HI45" s="42"/>
      <c r="HJ45" s="42"/>
      <c r="HK45" s="42"/>
      <c r="HL45" s="42"/>
      <c r="HM45" s="42"/>
      <c r="HN45" s="42"/>
      <c r="HO45" s="42"/>
      <c r="HP45" s="42"/>
      <c r="HQ45" s="11">
        <v>0</v>
      </c>
      <c r="HR45" s="10" t="s">
        <v>25</v>
      </c>
      <c r="HS45" s="39"/>
      <c r="HT45" s="39"/>
      <c r="HU45" s="39"/>
      <c r="HV45" s="10"/>
      <c r="HW45" s="10"/>
      <c r="HX45" s="10" t="s">
        <v>5498</v>
      </c>
      <c r="HY45" s="10" t="s">
        <v>5498</v>
      </c>
      <c r="HZ45" s="10" t="s">
        <v>5498</v>
      </c>
      <c r="IA45" s="10" t="s">
        <v>25</v>
      </c>
      <c r="IB45" s="10"/>
      <c r="IC45" s="10" t="s">
        <v>5543</v>
      </c>
      <c r="ID45" s="10" t="s">
        <v>5543</v>
      </c>
      <c r="IE45" s="10" t="s">
        <v>5544</v>
      </c>
      <c r="IF45" s="10" t="s">
        <v>72</v>
      </c>
      <c r="IG45" s="10" t="s">
        <v>72</v>
      </c>
      <c r="IH45" s="10" t="s">
        <v>72</v>
      </c>
      <c r="II45" s="10" t="s">
        <v>72</v>
      </c>
      <c r="IJ45" s="10" t="s">
        <v>29</v>
      </c>
      <c r="IK45" s="10" t="s">
        <v>5545</v>
      </c>
      <c r="IL45" s="10" t="s">
        <v>25</v>
      </c>
      <c r="IM45" s="10" t="s">
        <v>2758</v>
      </c>
      <c r="IN45" s="10"/>
      <c r="IO45" s="10" t="s">
        <v>29</v>
      </c>
      <c r="IP45" s="10" t="s">
        <v>2201</v>
      </c>
      <c r="IQ45" s="10" t="s">
        <v>5458</v>
      </c>
      <c r="IR45" s="10" t="s">
        <v>5458</v>
      </c>
      <c r="IS45" s="10" t="s">
        <v>5458</v>
      </c>
      <c r="IT45" s="10" t="s">
        <v>5513</v>
      </c>
      <c r="IU45" s="10" t="s">
        <v>5474</v>
      </c>
      <c r="IV45" s="10" t="s">
        <v>5458</v>
      </c>
      <c r="IW45" s="10" t="s">
        <v>5474</v>
      </c>
      <c r="IX45" s="10" t="s">
        <v>5460</v>
      </c>
      <c r="IY45" s="10"/>
      <c r="IZ45" s="10" t="s">
        <v>5546</v>
      </c>
      <c r="JA45" s="10" t="s">
        <v>13301</v>
      </c>
      <c r="JB45" s="10" t="s">
        <v>5515</v>
      </c>
      <c r="JC45" s="10" t="s">
        <v>5515</v>
      </c>
      <c r="JD45" s="10" t="s">
        <v>5462</v>
      </c>
      <c r="JE45" s="10" t="s">
        <v>28</v>
      </c>
      <c r="JF45" s="10" t="s">
        <v>5516</v>
      </c>
      <c r="JG45" s="10" t="s">
        <v>5465</v>
      </c>
      <c r="JH45" s="10"/>
    </row>
    <row r="46" spans="1:268" ht="102" x14ac:dyDescent="0.2">
      <c r="A46" s="31" t="s">
        <v>153</v>
      </c>
      <c r="B46" s="9" t="s">
        <v>5494</v>
      </c>
      <c r="C46" s="9"/>
      <c r="D46" s="9" t="s">
        <v>28</v>
      </c>
      <c r="E46" s="9" t="s">
        <v>5637</v>
      </c>
      <c r="F46" s="9" t="s">
        <v>2758</v>
      </c>
      <c r="G46" s="9"/>
      <c r="H46" s="9">
        <v>30</v>
      </c>
      <c r="I46" s="9">
        <v>20</v>
      </c>
      <c r="J46" s="9">
        <v>29</v>
      </c>
      <c r="K46" s="9" t="s">
        <v>28</v>
      </c>
      <c r="L46" s="9" t="s">
        <v>5529</v>
      </c>
      <c r="M46" s="9" t="s">
        <v>5529</v>
      </c>
      <c r="N46" s="9" t="s">
        <v>5529</v>
      </c>
      <c r="O46" s="9" t="s">
        <v>5447</v>
      </c>
      <c r="P46" s="9" t="s">
        <v>5447</v>
      </c>
      <c r="Q46" s="9" t="s">
        <v>5447</v>
      </c>
      <c r="R46" s="9" t="s">
        <v>5638</v>
      </c>
      <c r="S46" s="11">
        <v>6.5000000000000006E-3</v>
      </c>
      <c r="T46" s="11">
        <v>0.24729999999999999</v>
      </c>
      <c r="U46" s="11">
        <v>0.16800000000000001</v>
      </c>
      <c r="V46" s="11">
        <v>0.53</v>
      </c>
      <c r="W46" s="11">
        <v>5.1299999999999998E-2</v>
      </c>
      <c r="X46" s="10"/>
      <c r="Y46" s="10"/>
      <c r="Z46" s="10"/>
      <c r="AA46" s="10"/>
      <c r="AB46" s="10"/>
      <c r="AC46" s="11"/>
      <c r="AD46" s="10"/>
      <c r="AE46" s="10"/>
      <c r="AF46" s="10"/>
      <c r="AG46" s="10"/>
      <c r="AH46" s="10"/>
      <c r="AI46" s="36">
        <v>3</v>
      </c>
      <c r="AJ46" s="33">
        <v>6.4000000000000001E-2</v>
      </c>
      <c r="AK46" s="33"/>
      <c r="AL46" s="33"/>
      <c r="AM46" s="33"/>
      <c r="AN46" s="33">
        <v>7.2000000000000008E-2</v>
      </c>
      <c r="AO46" s="33">
        <v>7.5999999999999998E-2</v>
      </c>
      <c r="AP46" s="33"/>
      <c r="AQ46" s="33"/>
      <c r="AR46" s="33"/>
      <c r="AS46" s="33">
        <v>7.2000000000000008E-2</v>
      </c>
      <c r="AT46" s="11">
        <v>0.95</v>
      </c>
      <c r="AU46" s="11">
        <v>0.95</v>
      </c>
      <c r="AV46" s="11">
        <v>0.85</v>
      </c>
      <c r="AW46" s="11"/>
      <c r="AX46" s="11">
        <v>0.9</v>
      </c>
      <c r="AY46" s="11"/>
      <c r="AZ46" s="11">
        <v>1</v>
      </c>
      <c r="BA46" s="11">
        <v>1</v>
      </c>
      <c r="BB46" s="11">
        <v>1</v>
      </c>
      <c r="BC46" s="11"/>
      <c r="BD46" s="11">
        <v>1</v>
      </c>
      <c r="BE46" s="11"/>
      <c r="BF46" s="10" t="s">
        <v>25</v>
      </c>
      <c r="BG46" s="10" t="s">
        <v>28</v>
      </c>
      <c r="BH46" s="39">
        <v>200</v>
      </c>
      <c r="BI46" s="10" t="s">
        <v>25</v>
      </c>
      <c r="BJ46" s="39"/>
      <c r="BK46" s="10" t="s">
        <v>25</v>
      </c>
      <c r="BL46" s="39"/>
      <c r="BM46" s="10" t="s">
        <v>25</v>
      </c>
      <c r="BN46" s="39"/>
      <c r="BO46" s="10" t="s">
        <v>25</v>
      </c>
      <c r="BP46" s="39"/>
      <c r="BQ46" s="10" t="s">
        <v>5639</v>
      </c>
      <c r="BR46" s="42">
        <v>200</v>
      </c>
      <c r="BS46" s="42">
        <v>998.21</v>
      </c>
      <c r="BT46" s="42">
        <v>2045.33</v>
      </c>
      <c r="BU46" s="42">
        <v>2925.74</v>
      </c>
      <c r="BV46" s="42">
        <v>1622.08</v>
      </c>
      <c r="BW46" s="42"/>
      <c r="BX46" s="42"/>
      <c r="BY46" s="42"/>
      <c r="BZ46" s="42"/>
      <c r="CA46" s="42"/>
      <c r="CB46" s="42"/>
      <c r="CC46" s="42"/>
      <c r="CD46" s="42"/>
      <c r="CE46" s="42"/>
      <c r="CF46" s="42"/>
      <c r="CG46" s="42"/>
      <c r="CH46" s="11">
        <v>1</v>
      </c>
      <c r="CI46" s="42"/>
      <c r="CJ46" s="42"/>
      <c r="CK46" s="42"/>
      <c r="CL46" s="42"/>
      <c r="CM46" s="42"/>
      <c r="CN46" s="42"/>
      <c r="CO46" s="42"/>
      <c r="CP46" s="42"/>
      <c r="CQ46" s="42"/>
      <c r="CR46" s="42"/>
      <c r="CS46" s="42"/>
      <c r="CT46" s="42"/>
      <c r="CU46" s="42"/>
      <c r="CV46" s="42"/>
      <c r="CW46" s="42"/>
      <c r="CX46" s="42"/>
      <c r="CY46" s="11"/>
      <c r="CZ46" s="42">
        <v>200</v>
      </c>
      <c r="DA46" s="42">
        <v>805.93</v>
      </c>
      <c r="DB46" s="42">
        <v>1853.35</v>
      </c>
      <c r="DC46" s="42">
        <v>2336.31</v>
      </c>
      <c r="DD46" s="42">
        <v>1370.39</v>
      </c>
      <c r="DE46" s="42"/>
      <c r="DF46" s="42"/>
      <c r="DG46" s="42"/>
      <c r="DH46" s="42"/>
      <c r="DI46" s="42"/>
      <c r="DJ46" s="42"/>
      <c r="DK46" s="42"/>
      <c r="DL46" s="42"/>
      <c r="DM46" s="42"/>
      <c r="DN46" s="42"/>
      <c r="DO46" s="42"/>
      <c r="DP46" s="11">
        <v>1</v>
      </c>
      <c r="DQ46" s="42">
        <v>200</v>
      </c>
      <c r="DR46" s="42">
        <v>634.92999999999995</v>
      </c>
      <c r="DS46" s="42">
        <v>1460.34</v>
      </c>
      <c r="DT46" s="42">
        <v>1841.31</v>
      </c>
      <c r="DU46" s="42">
        <v>1079.3800000000001</v>
      </c>
      <c r="DV46" s="42"/>
      <c r="DW46" s="42"/>
      <c r="DX46" s="42"/>
      <c r="DY46" s="42"/>
      <c r="DZ46" s="42"/>
      <c r="EA46" s="42"/>
      <c r="EB46" s="42"/>
      <c r="EC46" s="42"/>
      <c r="ED46" s="42"/>
      <c r="EE46" s="42"/>
      <c r="EF46" s="42"/>
      <c r="EG46" s="11">
        <v>1</v>
      </c>
      <c r="EH46" s="42">
        <v>200</v>
      </c>
      <c r="EI46" s="42">
        <v>834.41</v>
      </c>
      <c r="EJ46" s="42">
        <v>1919.13</v>
      </c>
      <c r="EK46" s="42">
        <v>2419.77</v>
      </c>
      <c r="EL46" s="42">
        <v>1418.49</v>
      </c>
      <c r="EM46" s="42"/>
      <c r="EN46" s="42"/>
      <c r="EO46" s="42"/>
      <c r="EP46" s="42"/>
      <c r="EQ46" s="42"/>
      <c r="ER46" s="42"/>
      <c r="ES46" s="42"/>
      <c r="ET46" s="42"/>
      <c r="EU46" s="42"/>
      <c r="EV46" s="42"/>
      <c r="EW46" s="42"/>
      <c r="EX46" s="11">
        <v>1</v>
      </c>
      <c r="EY46" s="10"/>
      <c r="EZ46" s="10"/>
      <c r="FA46" s="10"/>
      <c r="FB46" s="10"/>
      <c r="FC46" s="10"/>
      <c r="FD46" s="10"/>
      <c r="FE46" s="10"/>
      <c r="FF46" s="10"/>
      <c r="FG46" s="10"/>
      <c r="FH46" s="10"/>
      <c r="FI46" s="10"/>
      <c r="FJ46" s="10"/>
      <c r="FK46" s="10"/>
      <c r="FL46" s="10"/>
      <c r="FM46" s="10"/>
      <c r="FN46" s="10"/>
      <c r="FO46" s="10"/>
      <c r="FP46" s="42"/>
      <c r="FQ46" s="42"/>
      <c r="FR46" s="42"/>
      <c r="FS46" s="42"/>
      <c r="FT46" s="42"/>
      <c r="FU46" s="42"/>
      <c r="FV46" s="42"/>
      <c r="FW46" s="42"/>
      <c r="FX46" s="42"/>
      <c r="FY46" s="42"/>
      <c r="FZ46" s="42"/>
      <c r="GA46" s="42"/>
      <c r="GB46" s="42"/>
      <c r="GC46" s="42"/>
      <c r="GD46" s="42"/>
      <c r="GE46" s="42"/>
      <c r="GF46" s="10"/>
      <c r="GG46" s="10">
        <v>1</v>
      </c>
      <c r="GH46" s="10" t="s">
        <v>5450</v>
      </c>
      <c r="GI46" s="42">
        <v>0</v>
      </c>
      <c r="GJ46" s="42">
        <v>55.3</v>
      </c>
      <c r="GK46" s="42">
        <v>109.56</v>
      </c>
      <c r="GL46" s="42">
        <v>187.22</v>
      </c>
      <c r="GM46" s="42">
        <v>123.53</v>
      </c>
      <c r="GN46" s="42"/>
      <c r="GO46" s="42"/>
      <c r="GP46" s="42"/>
      <c r="GQ46" s="42"/>
      <c r="GR46" s="42"/>
      <c r="GS46" s="42"/>
      <c r="GT46" s="42"/>
      <c r="GU46" s="42"/>
      <c r="GV46" s="42"/>
      <c r="GW46" s="42"/>
      <c r="GX46" s="42"/>
      <c r="GY46" s="11">
        <v>1</v>
      </c>
      <c r="GZ46" s="10">
        <v>1</v>
      </c>
      <c r="HA46" s="42">
        <v>0</v>
      </c>
      <c r="HB46" s="42">
        <v>18.96</v>
      </c>
      <c r="HC46" s="42">
        <v>37.950000000000003</v>
      </c>
      <c r="HD46" s="42">
        <v>64.89</v>
      </c>
      <c r="HE46" s="42">
        <v>40.590000000000003</v>
      </c>
      <c r="HF46" s="42"/>
      <c r="HG46" s="42"/>
      <c r="HH46" s="42"/>
      <c r="HI46" s="42"/>
      <c r="HJ46" s="42"/>
      <c r="HK46" s="42"/>
      <c r="HL46" s="42"/>
      <c r="HM46" s="42"/>
      <c r="HN46" s="42"/>
      <c r="HO46" s="42"/>
      <c r="HP46" s="42"/>
      <c r="HQ46" s="11">
        <v>1</v>
      </c>
      <c r="HR46" s="10" t="s">
        <v>5537</v>
      </c>
      <c r="HS46" s="39">
        <v>500000</v>
      </c>
      <c r="HT46" s="39">
        <v>500000</v>
      </c>
      <c r="HU46" s="39"/>
      <c r="HV46" s="10" t="s">
        <v>5591</v>
      </c>
      <c r="HW46" s="10" t="s">
        <v>25</v>
      </c>
      <c r="HX46" s="10" t="s">
        <v>5452</v>
      </c>
      <c r="HY46" s="10" t="s">
        <v>5452</v>
      </c>
      <c r="HZ46" s="10" t="s">
        <v>5452</v>
      </c>
      <c r="IA46" s="10" t="s">
        <v>25</v>
      </c>
      <c r="IB46" s="10"/>
      <c r="IC46" s="10" t="s">
        <v>13232</v>
      </c>
      <c r="ID46" s="10" t="s">
        <v>5640</v>
      </c>
      <c r="IE46" s="10" t="s">
        <v>5641</v>
      </c>
      <c r="IF46" s="10" t="s">
        <v>13293</v>
      </c>
      <c r="IG46" s="10" t="s">
        <v>13293</v>
      </c>
      <c r="IH46" s="10" t="s">
        <v>13293</v>
      </c>
      <c r="II46" s="10" t="s">
        <v>5519</v>
      </c>
      <c r="IJ46" s="10" t="s">
        <v>2692</v>
      </c>
      <c r="IK46" s="10"/>
      <c r="IL46" s="10" t="s">
        <v>25</v>
      </c>
      <c r="IM46" s="10" t="s">
        <v>2692</v>
      </c>
      <c r="IN46" s="10"/>
      <c r="IO46" s="10" t="s">
        <v>25</v>
      </c>
      <c r="IP46" s="10" t="s">
        <v>2201</v>
      </c>
      <c r="IQ46" s="10" t="s">
        <v>5513</v>
      </c>
      <c r="IR46" s="10" t="s">
        <v>5513</v>
      </c>
      <c r="IS46" s="10" t="s">
        <v>5474</v>
      </c>
      <c r="IT46" s="10" t="s">
        <v>5513</v>
      </c>
      <c r="IU46" s="10" t="s">
        <v>5513</v>
      </c>
      <c r="IV46" s="10" t="s">
        <v>5513</v>
      </c>
      <c r="IW46" s="10" t="s">
        <v>5513</v>
      </c>
      <c r="IX46" s="10" t="s">
        <v>5483</v>
      </c>
      <c r="IY46" s="10"/>
      <c r="IZ46" s="10" t="s">
        <v>5642</v>
      </c>
      <c r="JA46" s="10" t="s">
        <v>13301</v>
      </c>
      <c r="JB46" s="10" t="s">
        <v>5485</v>
      </c>
      <c r="JC46" s="10" t="s">
        <v>5485</v>
      </c>
      <c r="JD46" s="10" t="s">
        <v>5643</v>
      </c>
      <c r="JE46" s="10" t="s">
        <v>5486</v>
      </c>
      <c r="JF46" s="10" t="s">
        <v>5516</v>
      </c>
      <c r="JG46" s="10" t="s">
        <v>5465</v>
      </c>
      <c r="JH46" s="10" t="s">
        <v>5466</v>
      </c>
    </row>
    <row r="47" spans="1:268" ht="76.5" x14ac:dyDescent="0.2">
      <c r="A47" s="31" t="s">
        <v>164</v>
      </c>
      <c r="B47" s="9" t="s">
        <v>2207</v>
      </c>
      <c r="C47" s="9"/>
      <c r="D47" s="9" t="s">
        <v>25</v>
      </c>
      <c r="E47" s="9"/>
      <c r="F47" s="9" t="s">
        <v>5467</v>
      </c>
      <c r="G47" s="9"/>
      <c r="H47" s="9">
        <v>30</v>
      </c>
      <c r="I47" s="9"/>
      <c r="J47" s="9"/>
      <c r="K47" s="9" t="s">
        <v>28</v>
      </c>
      <c r="L47" s="9" t="s">
        <v>5447</v>
      </c>
      <c r="M47" s="9" t="s">
        <v>5447</v>
      </c>
      <c r="N47" s="9" t="s">
        <v>5447</v>
      </c>
      <c r="O47" s="9" t="s">
        <v>5447</v>
      </c>
      <c r="P47" s="9" t="s">
        <v>5447</v>
      </c>
      <c r="Q47" s="9" t="s">
        <v>5447</v>
      </c>
      <c r="R47" s="9" t="s">
        <v>5638</v>
      </c>
      <c r="S47" s="11">
        <v>0.01</v>
      </c>
      <c r="T47" s="11">
        <v>0.31</v>
      </c>
      <c r="U47" s="11">
        <v>0.13</v>
      </c>
      <c r="V47" s="11">
        <v>0.08</v>
      </c>
      <c r="W47" s="11">
        <v>0.47</v>
      </c>
      <c r="X47" s="10"/>
      <c r="Y47" s="10"/>
      <c r="Z47" s="10"/>
      <c r="AA47" s="10"/>
      <c r="AB47" s="10"/>
      <c r="AC47" s="11"/>
      <c r="AD47" s="10"/>
      <c r="AE47" s="10"/>
      <c r="AF47" s="10"/>
      <c r="AG47" s="10"/>
      <c r="AH47" s="10"/>
      <c r="AI47" s="36"/>
      <c r="AJ47" s="33"/>
      <c r="AK47" s="33"/>
      <c r="AL47" s="33"/>
      <c r="AM47" s="33"/>
      <c r="AN47" s="33"/>
      <c r="AO47" s="33"/>
      <c r="AP47" s="33"/>
      <c r="AQ47" s="33"/>
      <c r="AR47" s="33"/>
      <c r="AS47" s="33"/>
      <c r="AT47" s="11"/>
      <c r="AU47" s="11"/>
      <c r="AV47" s="11"/>
      <c r="AW47" s="11"/>
      <c r="AX47" s="11"/>
      <c r="AY47" s="11"/>
      <c r="AZ47" s="11"/>
      <c r="BA47" s="11"/>
      <c r="BB47" s="11"/>
      <c r="BC47" s="11"/>
      <c r="BD47" s="11"/>
      <c r="BE47" s="11"/>
      <c r="BF47" s="10" t="s">
        <v>25</v>
      </c>
      <c r="BG47" s="10" t="s">
        <v>28</v>
      </c>
      <c r="BH47" s="39">
        <v>52</v>
      </c>
      <c r="BI47" s="10" t="s">
        <v>25</v>
      </c>
      <c r="BJ47" s="39"/>
      <c r="BK47" s="10" t="s">
        <v>25</v>
      </c>
      <c r="BL47" s="39"/>
      <c r="BM47" s="10" t="s">
        <v>28</v>
      </c>
      <c r="BN47" s="39">
        <v>300</v>
      </c>
      <c r="BO47" s="10" t="s">
        <v>25</v>
      </c>
      <c r="BP47" s="39"/>
      <c r="BQ47" s="10" t="s">
        <v>5479</v>
      </c>
      <c r="BR47" s="42"/>
      <c r="BS47" s="42"/>
      <c r="BT47" s="42"/>
      <c r="BU47" s="42"/>
      <c r="BV47" s="42"/>
      <c r="BW47" s="42"/>
      <c r="BX47" s="42"/>
      <c r="BY47" s="42"/>
      <c r="BZ47" s="42"/>
      <c r="CA47" s="42"/>
      <c r="CB47" s="42"/>
      <c r="CC47" s="42"/>
      <c r="CD47" s="42"/>
      <c r="CE47" s="42"/>
      <c r="CF47" s="42"/>
      <c r="CG47" s="42"/>
      <c r="CH47" s="11"/>
      <c r="CI47" s="42"/>
      <c r="CJ47" s="42"/>
      <c r="CK47" s="42"/>
      <c r="CL47" s="42"/>
      <c r="CM47" s="42"/>
      <c r="CN47" s="42"/>
      <c r="CO47" s="42"/>
      <c r="CP47" s="42"/>
      <c r="CQ47" s="42"/>
      <c r="CR47" s="42"/>
      <c r="CS47" s="42"/>
      <c r="CT47" s="42"/>
      <c r="CU47" s="42"/>
      <c r="CV47" s="42"/>
      <c r="CW47" s="42"/>
      <c r="CX47" s="42"/>
      <c r="CY47" s="11"/>
      <c r="CZ47" s="42"/>
      <c r="DA47" s="42"/>
      <c r="DB47" s="42"/>
      <c r="DC47" s="42"/>
      <c r="DD47" s="42"/>
      <c r="DE47" s="42"/>
      <c r="DF47" s="42"/>
      <c r="DG47" s="42"/>
      <c r="DH47" s="42"/>
      <c r="DI47" s="42"/>
      <c r="DJ47" s="42"/>
      <c r="DK47" s="42"/>
      <c r="DL47" s="42"/>
      <c r="DM47" s="42"/>
      <c r="DN47" s="42"/>
      <c r="DO47" s="42"/>
      <c r="DP47" s="11"/>
      <c r="DQ47" s="42"/>
      <c r="DR47" s="42"/>
      <c r="DS47" s="42"/>
      <c r="DT47" s="42"/>
      <c r="DU47" s="42"/>
      <c r="DV47" s="42"/>
      <c r="DW47" s="42"/>
      <c r="DX47" s="42"/>
      <c r="DY47" s="42"/>
      <c r="DZ47" s="42"/>
      <c r="EA47" s="42"/>
      <c r="EB47" s="42"/>
      <c r="EC47" s="42"/>
      <c r="ED47" s="42"/>
      <c r="EE47" s="42"/>
      <c r="EF47" s="42"/>
      <c r="EG47" s="11"/>
      <c r="EH47" s="42"/>
      <c r="EI47" s="42"/>
      <c r="EJ47" s="42"/>
      <c r="EK47" s="42"/>
      <c r="EL47" s="42"/>
      <c r="EM47" s="42"/>
      <c r="EN47" s="42"/>
      <c r="EO47" s="42"/>
      <c r="EP47" s="42"/>
      <c r="EQ47" s="42"/>
      <c r="ER47" s="42"/>
      <c r="ES47" s="42"/>
      <c r="ET47" s="42"/>
      <c r="EU47" s="42"/>
      <c r="EV47" s="42"/>
      <c r="EW47" s="42"/>
      <c r="EX47" s="10"/>
      <c r="EY47" s="10"/>
      <c r="EZ47" s="10"/>
      <c r="FA47" s="10"/>
      <c r="FB47" s="10"/>
      <c r="FC47" s="10"/>
      <c r="FD47" s="10"/>
      <c r="FE47" s="10"/>
      <c r="FF47" s="10"/>
      <c r="FG47" s="10"/>
      <c r="FH47" s="10"/>
      <c r="FI47" s="10"/>
      <c r="FJ47" s="10"/>
      <c r="FK47" s="10"/>
      <c r="FL47" s="10"/>
      <c r="FM47" s="10"/>
      <c r="FN47" s="10"/>
      <c r="FO47" s="10"/>
      <c r="FP47" s="42"/>
      <c r="FQ47" s="42"/>
      <c r="FR47" s="42"/>
      <c r="FS47" s="42"/>
      <c r="FT47" s="42"/>
      <c r="FU47" s="42"/>
      <c r="FV47" s="42"/>
      <c r="FW47" s="42"/>
      <c r="FX47" s="42"/>
      <c r="FY47" s="42"/>
      <c r="FZ47" s="42"/>
      <c r="GA47" s="42"/>
      <c r="GB47" s="42"/>
      <c r="GC47" s="42"/>
      <c r="GD47" s="42"/>
      <c r="GE47" s="42"/>
      <c r="GF47" s="10"/>
      <c r="GG47" s="10">
        <v>2</v>
      </c>
      <c r="GH47" s="10" t="s">
        <v>5450</v>
      </c>
      <c r="GI47" s="42">
        <v>0</v>
      </c>
      <c r="GJ47" s="42">
        <v>54.17</v>
      </c>
      <c r="GK47" s="42">
        <v>110.5</v>
      </c>
      <c r="GL47" s="42">
        <v>94.25</v>
      </c>
      <c r="GM47" s="42">
        <v>184.17</v>
      </c>
      <c r="GN47" s="42"/>
      <c r="GO47" s="42"/>
      <c r="GP47" s="42"/>
      <c r="GQ47" s="42"/>
      <c r="GR47" s="42"/>
      <c r="GS47" s="42"/>
      <c r="GT47" s="42"/>
      <c r="GU47" s="42"/>
      <c r="GV47" s="42"/>
      <c r="GW47" s="42"/>
      <c r="GX47" s="42"/>
      <c r="GY47" s="11">
        <v>0.64500000000000002</v>
      </c>
      <c r="GZ47" s="10">
        <v>1</v>
      </c>
      <c r="HA47" s="42"/>
      <c r="HB47" s="42"/>
      <c r="HC47" s="42"/>
      <c r="HD47" s="42"/>
      <c r="HE47" s="42"/>
      <c r="HF47" s="42"/>
      <c r="HG47" s="42"/>
      <c r="HH47" s="42"/>
      <c r="HI47" s="42"/>
      <c r="HJ47" s="42"/>
      <c r="HK47" s="42"/>
      <c r="HL47" s="42"/>
      <c r="HM47" s="42"/>
      <c r="HN47" s="42"/>
      <c r="HO47" s="42"/>
      <c r="HP47" s="42"/>
      <c r="HQ47" s="11">
        <v>0.64500000000000002</v>
      </c>
      <c r="HR47" s="10" t="s">
        <v>5451</v>
      </c>
      <c r="HS47" s="39">
        <v>500000</v>
      </c>
      <c r="HT47" s="39"/>
      <c r="HU47" s="39"/>
      <c r="HV47" s="10" t="s">
        <v>25</v>
      </c>
      <c r="HW47" s="10" t="s">
        <v>25</v>
      </c>
      <c r="HX47" s="10" t="s">
        <v>5452</v>
      </c>
      <c r="HY47" s="10" t="s">
        <v>5453</v>
      </c>
      <c r="HZ47" s="10" t="s">
        <v>5453</v>
      </c>
      <c r="IA47" s="10" t="s">
        <v>25</v>
      </c>
      <c r="IB47" s="10"/>
      <c r="IC47" s="10" t="s">
        <v>5680</v>
      </c>
      <c r="ID47" s="10" t="s">
        <v>5491</v>
      </c>
      <c r="IE47" s="10" t="s">
        <v>5681</v>
      </c>
      <c r="IF47" s="10" t="s">
        <v>72</v>
      </c>
      <c r="IG47" s="10" t="s">
        <v>72</v>
      </c>
      <c r="IH47" s="10" t="s">
        <v>72</v>
      </c>
      <c r="II47" s="10" t="s">
        <v>72</v>
      </c>
      <c r="IJ47" s="10" t="s">
        <v>2692</v>
      </c>
      <c r="IK47" s="10"/>
      <c r="IL47" s="10" t="s">
        <v>5549</v>
      </c>
      <c r="IM47" s="10" t="s">
        <v>2692</v>
      </c>
      <c r="IN47" s="10"/>
      <c r="IO47" s="10" t="s">
        <v>25</v>
      </c>
      <c r="IP47" s="10" t="s">
        <v>2201</v>
      </c>
      <c r="IQ47" s="10"/>
      <c r="IR47" s="10"/>
      <c r="IS47" s="10"/>
      <c r="IT47" s="10"/>
      <c r="IU47" s="10"/>
      <c r="IV47" s="10"/>
      <c r="IW47" s="10"/>
      <c r="IX47" s="10" t="s">
        <v>5483</v>
      </c>
      <c r="IY47" s="10"/>
      <c r="IZ47" s="10" t="s">
        <v>5682</v>
      </c>
      <c r="JA47" s="10" t="s">
        <v>13301</v>
      </c>
      <c r="JB47" s="10" t="s">
        <v>5461</v>
      </c>
      <c r="JC47" s="10" t="s">
        <v>5461</v>
      </c>
      <c r="JD47" s="10" t="s">
        <v>5477</v>
      </c>
      <c r="JE47" s="10" t="s">
        <v>28</v>
      </c>
      <c r="JF47" s="10"/>
      <c r="JG47" s="10"/>
      <c r="JH47" s="10"/>
    </row>
    <row r="48" spans="1:268" ht="89.25" x14ac:dyDescent="0.2">
      <c r="A48" s="31" t="s">
        <v>155</v>
      </c>
      <c r="B48" s="9" t="s">
        <v>5444</v>
      </c>
      <c r="C48" s="9"/>
      <c r="D48" s="9" t="s">
        <v>25</v>
      </c>
      <c r="E48" s="9"/>
      <c r="F48" s="9" t="s">
        <v>5467</v>
      </c>
      <c r="G48" s="9"/>
      <c r="H48" s="9">
        <v>30</v>
      </c>
      <c r="I48" s="9"/>
      <c r="J48" s="9"/>
      <c r="K48" s="9" t="s">
        <v>28</v>
      </c>
      <c r="L48" s="9" t="s">
        <v>5446</v>
      </c>
      <c r="M48" s="9" t="s">
        <v>5447</v>
      </c>
      <c r="N48" s="9" t="s">
        <v>5446</v>
      </c>
      <c r="O48" s="9" t="s">
        <v>5447</v>
      </c>
      <c r="P48" s="9" t="s">
        <v>5447</v>
      </c>
      <c r="Q48" s="9" t="s">
        <v>5447</v>
      </c>
      <c r="R48" s="9" t="s">
        <v>5469</v>
      </c>
      <c r="S48" s="11">
        <v>0.06</v>
      </c>
      <c r="T48" s="11">
        <v>0.28000000000000003</v>
      </c>
      <c r="U48" s="11">
        <v>0.19</v>
      </c>
      <c r="V48" s="10"/>
      <c r="W48" s="11">
        <v>0.09</v>
      </c>
      <c r="X48" s="10"/>
      <c r="Y48" s="10"/>
      <c r="Z48" s="10"/>
      <c r="AA48" s="10"/>
      <c r="AB48" s="10"/>
      <c r="AC48" s="11">
        <v>0.38</v>
      </c>
      <c r="AD48" s="10"/>
      <c r="AE48" s="10"/>
      <c r="AF48" s="10"/>
      <c r="AG48" s="10"/>
      <c r="AH48" s="10"/>
      <c r="AI48" s="36">
        <v>2.5</v>
      </c>
      <c r="AJ48" s="33">
        <v>3.9E-2</v>
      </c>
      <c r="AK48" s="33">
        <v>0</v>
      </c>
      <c r="AL48" s="33">
        <v>0</v>
      </c>
      <c r="AM48" s="33">
        <v>0</v>
      </c>
      <c r="AN48" s="33">
        <v>0</v>
      </c>
      <c r="AO48" s="33">
        <v>3.9E-2</v>
      </c>
      <c r="AP48" s="33"/>
      <c r="AQ48" s="33"/>
      <c r="AR48" s="33"/>
      <c r="AS48" s="33"/>
      <c r="AT48" s="11">
        <v>0.9</v>
      </c>
      <c r="AU48" s="11">
        <v>0</v>
      </c>
      <c r="AV48" s="11">
        <v>0.73</v>
      </c>
      <c r="AW48" s="11">
        <v>0</v>
      </c>
      <c r="AX48" s="11">
        <v>0.01</v>
      </c>
      <c r="AY48" s="11">
        <v>0</v>
      </c>
      <c r="AZ48" s="11">
        <v>0.87</v>
      </c>
      <c r="BA48" s="11">
        <v>0</v>
      </c>
      <c r="BB48" s="11">
        <v>0.71</v>
      </c>
      <c r="BC48" s="11">
        <v>0</v>
      </c>
      <c r="BD48" s="11">
        <v>0.01</v>
      </c>
      <c r="BE48" s="11">
        <v>0</v>
      </c>
      <c r="BF48" s="10" t="s">
        <v>25</v>
      </c>
      <c r="BG48" s="10" t="s">
        <v>25</v>
      </c>
      <c r="BH48" s="39"/>
      <c r="BI48" s="10" t="s">
        <v>25</v>
      </c>
      <c r="BJ48" s="39"/>
      <c r="BK48" s="10" t="s">
        <v>25</v>
      </c>
      <c r="BL48" s="39"/>
      <c r="BM48" s="10" t="s">
        <v>28</v>
      </c>
      <c r="BN48" s="39">
        <v>600</v>
      </c>
      <c r="BO48" s="10" t="s">
        <v>25</v>
      </c>
      <c r="BP48" s="39"/>
      <c r="BQ48" s="10" t="s">
        <v>5648</v>
      </c>
      <c r="BR48" s="42"/>
      <c r="BS48" s="42">
        <v>611</v>
      </c>
      <c r="BT48" s="42">
        <v>1283</v>
      </c>
      <c r="BU48" s="42"/>
      <c r="BV48" s="42">
        <v>1161</v>
      </c>
      <c r="BW48" s="42"/>
      <c r="BX48" s="42"/>
      <c r="BY48" s="42"/>
      <c r="BZ48" s="42"/>
      <c r="CA48" s="42"/>
      <c r="CB48" s="42">
        <v>1925</v>
      </c>
      <c r="CC48" s="42"/>
      <c r="CD48" s="42"/>
      <c r="CE48" s="42"/>
      <c r="CF48" s="42"/>
      <c r="CG48" s="42"/>
      <c r="CH48" s="11">
        <v>0.88</v>
      </c>
      <c r="CI48" s="42"/>
      <c r="CJ48" s="42">
        <v>650</v>
      </c>
      <c r="CK48" s="42">
        <v>1365</v>
      </c>
      <c r="CL48" s="42"/>
      <c r="CM48" s="42">
        <v>1235</v>
      </c>
      <c r="CN48" s="42"/>
      <c r="CO48" s="42"/>
      <c r="CP48" s="42"/>
      <c r="CQ48" s="42"/>
      <c r="CR48" s="42"/>
      <c r="CS48" s="42">
        <v>2048</v>
      </c>
      <c r="CT48" s="42"/>
      <c r="CU48" s="42"/>
      <c r="CV48" s="42"/>
      <c r="CW48" s="42"/>
      <c r="CX48" s="42"/>
      <c r="CY48" s="11">
        <v>0.81</v>
      </c>
      <c r="CZ48" s="42"/>
      <c r="DA48" s="42">
        <v>562</v>
      </c>
      <c r="DB48" s="42">
        <v>1181</v>
      </c>
      <c r="DC48" s="42"/>
      <c r="DD48" s="42">
        <v>1068</v>
      </c>
      <c r="DE48" s="42"/>
      <c r="DF48" s="42"/>
      <c r="DG48" s="42"/>
      <c r="DH48" s="42"/>
      <c r="DI48" s="42"/>
      <c r="DJ48" s="42">
        <v>1771</v>
      </c>
      <c r="DK48" s="42"/>
      <c r="DL48" s="42"/>
      <c r="DM48" s="42"/>
      <c r="DN48" s="42"/>
      <c r="DO48" s="42"/>
      <c r="DP48" s="11">
        <v>0.93</v>
      </c>
      <c r="DQ48" s="42"/>
      <c r="DR48" s="42"/>
      <c r="DS48" s="42"/>
      <c r="DT48" s="42"/>
      <c r="DU48" s="42"/>
      <c r="DV48" s="42"/>
      <c r="DW48" s="42"/>
      <c r="DX48" s="42"/>
      <c r="DY48" s="42"/>
      <c r="DZ48" s="42"/>
      <c r="EA48" s="42"/>
      <c r="EB48" s="42"/>
      <c r="EC48" s="42"/>
      <c r="ED48" s="42"/>
      <c r="EE48" s="42"/>
      <c r="EF48" s="42"/>
      <c r="EG48" s="11"/>
      <c r="EH48" s="42"/>
      <c r="EI48" s="42"/>
      <c r="EJ48" s="42"/>
      <c r="EK48" s="42"/>
      <c r="EL48" s="42"/>
      <c r="EM48" s="42"/>
      <c r="EN48" s="42"/>
      <c r="EO48" s="42"/>
      <c r="EP48" s="42"/>
      <c r="EQ48" s="42"/>
      <c r="ER48" s="42"/>
      <c r="ES48" s="42"/>
      <c r="ET48" s="42"/>
      <c r="EU48" s="42"/>
      <c r="EV48" s="42"/>
      <c r="EW48" s="42"/>
      <c r="EX48" s="10"/>
      <c r="EY48" s="10"/>
      <c r="EZ48" s="10"/>
      <c r="FA48" s="10"/>
      <c r="FB48" s="10"/>
      <c r="FC48" s="10"/>
      <c r="FD48" s="10"/>
      <c r="FE48" s="10"/>
      <c r="FF48" s="10"/>
      <c r="FG48" s="10"/>
      <c r="FH48" s="10"/>
      <c r="FI48" s="10"/>
      <c r="FJ48" s="10"/>
      <c r="FK48" s="10"/>
      <c r="FL48" s="10"/>
      <c r="FM48" s="10"/>
      <c r="FN48" s="10"/>
      <c r="FO48" s="10"/>
      <c r="FP48" s="42"/>
      <c r="FQ48" s="42"/>
      <c r="FR48" s="42"/>
      <c r="FS48" s="42"/>
      <c r="FT48" s="42"/>
      <c r="FU48" s="42"/>
      <c r="FV48" s="42"/>
      <c r="FW48" s="42"/>
      <c r="FX48" s="42"/>
      <c r="FY48" s="42"/>
      <c r="FZ48" s="42"/>
      <c r="GA48" s="42"/>
      <c r="GB48" s="42"/>
      <c r="GC48" s="42"/>
      <c r="GD48" s="42"/>
      <c r="GE48" s="42"/>
      <c r="GF48" s="10"/>
      <c r="GG48" s="10">
        <v>1</v>
      </c>
      <c r="GH48" s="10" t="s">
        <v>5450</v>
      </c>
      <c r="GI48" s="42"/>
      <c r="GJ48" s="42">
        <v>47</v>
      </c>
      <c r="GK48" s="42">
        <v>94</v>
      </c>
      <c r="GL48" s="42"/>
      <c r="GM48" s="42">
        <v>99</v>
      </c>
      <c r="GN48" s="42"/>
      <c r="GO48" s="42"/>
      <c r="GP48" s="42"/>
      <c r="GQ48" s="42"/>
      <c r="GR48" s="42"/>
      <c r="GS48" s="42">
        <v>158</v>
      </c>
      <c r="GT48" s="42"/>
      <c r="GU48" s="42"/>
      <c r="GV48" s="42"/>
      <c r="GW48" s="42"/>
      <c r="GX48" s="42"/>
      <c r="GY48" s="11">
        <v>0.71</v>
      </c>
      <c r="GZ48" s="10">
        <v>1</v>
      </c>
      <c r="HA48" s="42"/>
      <c r="HB48" s="42">
        <v>10</v>
      </c>
      <c r="HC48" s="42">
        <v>19</v>
      </c>
      <c r="HD48" s="42"/>
      <c r="HE48" s="42">
        <v>20</v>
      </c>
      <c r="HF48" s="42"/>
      <c r="HG48" s="42"/>
      <c r="HH48" s="42"/>
      <c r="HI48" s="42"/>
      <c r="HJ48" s="42"/>
      <c r="HK48" s="42">
        <v>33</v>
      </c>
      <c r="HL48" s="42"/>
      <c r="HM48" s="42"/>
      <c r="HN48" s="42"/>
      <c r="HO48" s="42"/>
      <c r="HP48" s="42"/>
      <c r="HQ48" s="11">
        <v>0.12</v>
      </c>
      <c r="HR48" s="10" t="s">
        <v>5451</v>
      </c>
      <c r="HS48" s="39">
        <v>1000000</v>
      </c>
      <c r="HT48" s="39"/>
      <c r="HU48" s="39"/>
      <c r="HV48" s="10" t="s">
        <v>25</v>
      </c>
      <c r="HW48" s="10" t="s">
        <v>28</v>
      </c>
      <c r="HX48" s="10" t="s">
        <v>5452</v>
      </c>
      <c r="HY48" s="10" t="s">
        <v>5453</v>
      </c>
      <c r="HZ48" s="10" t="s">
        <v>5452</v>
      </c>
      <c r="IA48" s="10" t="s">
        <v>25</v>
      </c>
      <c r="IB48" s="10"/>
      <c r="IC48" s="10" t="s">
        <v>5649</v>
      </c>
      <c r="ID48" s="10" t="s">
        <v>5650</v>
      </c>
      <c r="IE48" s="10" t="s">
        <v>13282</v>
      </c>
      <c r="IF48" s="10" t="s">
        <v>13296</v>
      </c>
      <c r="IG48" s="10"/>
      <c r="IH48" s="10"/>
      <c r="II48" s="10"/>
      <c r="IJ48" s="10" t="s">
        <v>2692</v>
      </c>
      <c r="IK48" s="10"/>
      <c r="IL48" s="10" t="s">
        <v>5549</v>
      </c>
      <c r="IM48" s="10" t="s">
        <v>5457</v>
      </c>
      <c r="IN48" s="10"/>
      <c r="IO48" s="10" t="s">
        <v>25</v>
      </c>
      <c r="IP48" s="10" t="s">
        <v>2201</v>
      </c>
      <c r="IQ48" s="10" t="s">
        <v>5553</v>
      </c>
      <c r="IR48" s="10" t="s">
        <v>5553</v>
      </c>
      <c r="IS48" s="10" t="s">
        <v>5553</v>
      </c>
      <c r="IT48" s="10" t="s">
        <v>5459</v>
      </c>
      <c r="IU48" s="10" t="s">
        <v>5474</v>
      </c>
      <c r="IV48" s="10" t="s">
        <v>5553</v>
      </c>
      <c r="IW48" s="10" t="s">
        <v>5553</v>
      </c>
      <c r="IX48" s="10" t="s">
        <v>5460</v>
      </c>
      <c r="IY48" s="10"/>
      <c r="IZ48" s="10" t="s">
        <v>5651</v>
      </c>
      <c r="JA48" s="10" t="s">
        <v>13301</v>
      </c>
      <c r="JB48" s="10" t="s">
        <v>5515</v>
      </c>
      <c r="JC48" s="10" t="s">
        <v>5515</v>
      </c>
      <c r="JD48" s="10" t="s">
        <v>5462</v>
      </c>
      <c r="JE48" s="10" t="s">
        <v>28</v>
      </c>
      <c r="JF48" s="10" t="s">
        <v>5516</v>
      </c>
      <c r="JG48" s="10" t="s">
        <v>5465</v>
      </c>
      <c r="JH48" s="10" t="s">
        <v>5496</v>
      </c>
    </row>
    <row r="49" spans="1:268" ht="76.5" x14ac:dyDescent="0.2">
      <c r="A49" s="31" t="s">
        <v>128</v>
      </c>
      <c r="B49" s="9" t="s">
        <v>5494</v>
      </c>
      <c r="C49" s="9"/>
      <c r="D49" s="9" t="s">
        <v>28</v>
      </c>
      <c r="E49" s="9" t="s">
        <v>5535</v>
      </c>
      <c r="F49" s="9" t="s">
        <v>5467</v>
      </c>
      <c r="G49" s="9"/>
      <c r="H49" s="9">
        <v>30</v>
      </c>
      <c r="I49" s="9">
        <v>1</v>
      </c>
      <c r="J49" s="9">
        <v>29</v>
      </c>
      <c r="K49" s="9" t="s">
        <v>28</v>
      </c>
      <c r="L49" s="9" t="s">
        <v>5529</v>
      </c>
      <c r="M49" s="9" t="s">
        <v>5529</v>
      </c>
      <c r="N49" s="9" t="s">
        <v>5529</v>
      </c>
      <c r="O49" s="9" t="s">
        <v>5447</v>
      </c>
      <c r="P49" s="9" t="s">
        <v>5447</v>
      </c>
      <c r="Q49" s="9" t="s">
        <v>5447</v>
      </c>
      <c r="R49" s="9" t="s">
        <v>5536</v>
      </c>
      <c r="S49" s="11">
        <v>0</v>
      </c>
      <c r="T49" s="11">
        <v>0.38</v>
      </c>
      <c r="U49" s="11">
        <v>0.13</v>
      </c>
      <c r="V49" s="10"/>
      <c r="W49" s="11">
        <v>0.08</v>
      </c>
      <c r="X49" s="10"/>
      <c r="Y49" s="10"/>
      <c r="Z49" s="10"/>
      <c r="AA49" s="10"/>
      <c r="AB49" s="10"/>
      <c r="AC49" s="11">
        <v>0.41</v>
      </c>
      <c r="AD49" s="10"/>
      <c r="AE49" s="10"/>
      <c r="AF49" s="10"/>
      <c r="AG49" s="10"/>
      <c r="AH49" s="10"/>
      <c r="AI49" s="36">
        <v>2.5</v>
      </c>
      <c r="AJ49" s="33">
        <v>4.8000000000000001E-2</v>
      </c>
      <c r="AK49" s="33">
        <v>6.5000000000000002E-2</v>
      </c>
      <c r="AL49" s="33"/>
      <c r="AM49" s="33"/>
      <c r="AN49" s="33"/>
      <c r="AO49" s="33">
        <v>0.04</v>
      </c>
      <c r="AP49" s="33">
        <v>0.06</v>
      </c>
      <c r="AQ49" s="33"/>
      <c r="AR49" s="33"/>
      <c r="AS49" s="33"/>
      <c r="AT49" s="11">
        <v>0.8</v>
      </c>
      <c r="AU49" s="11">
        <v>0.8</v>
      </c>
      <c r="AV49" s="11">
        <v>0.7</v>
      </c>
      <c r="AW49" s="11">
        <v>0</v>
      </c>
      <c r="AX49" s="11">
        <v>1</v>
      </c>
      <c r="AY49" s="11">
        <v>0</v>
      </c>
      <c r="AZ49" s="11">
        <v>0.8</v>
      </c>
      <c r="BA49" s="11">
        <v>0.8</v>
      </c>
      <c r="BB49" s="11">
        <v>0.7</v>
      </c>
      <c r="BC49" s="11">
        <v>0</v>
      </c>
      <c r="BD49" s="11">
        <v>1</v>
      </c>
      <c r="BE49" s="11">
        <v>0</v>
      </c>
      <c r="BF49" s="10" t="s">
        <v>25</v>
      </c>
      <c r="BG49" s="10" t="s">
        <v>25</v>
      </c>
      <c r="BH49" s="39"/>
      <c r="BI49" s="10" t="s">
        <v>25</v>
      </c>
      <c r="BJ49" s="39"/>
      <c r="BK49" s="10" t="s">
        <v>25</v>
      </c>
      <c r="BL49" s="39"/>
      <c r="BM49" s="10" t="s">
        <v>25</v>
      </c>
      <c r="BN49" s="39"/>
      <c r="BO49" s="10" t="s">
        <v>25</v>
      </c>
      <c r="BP49" s="39"/>
      <c r="BQ49" s="10" t="s">
        <v>5530</v>
      </c>
      <c r="BR49" s="42"/>
      <c r="BS49" s="42">
        <v>605.89</v>
      </c>
      <c r="BT49" s="42">
        <v>1289.24</v>
      </c>
      <c r="BU49" s="42"/>
      <c r="BV49" s="42">
        <v>1128.0999999999999</v>
      </c>
      <c r="BW49" s="42"/>
      <c r="BX49" s="42"/>
      <c r="BY49" s="42"/>
      <c r="BZ49" s="42"/>
      <c r="CA49" s="42"/>
      <c r="CB49" s="42">
        <v>1901.64</v>
      </c>
      <c r="CC49" s="42"/>
      <c r="CD49" s="42"/>
      <c r="CE49" s="42"/>
      <c r="CF49" s="42"/>
      <c r="CG49" s="42"/>
      <c r="CH49" s="11">
        <v>0.8</v>
      </c>
      <c r="CI49" s="42"/>
      <c r="CJ49" s="42">
        <v>657.38</v>
      </c>
      <c r="CK49" s="42">
        <v>1398.79</v>
      </c>
      <c r="CL49" s="42"/>
      <c r="CM49" s="42">
        <v>1223.93</v>
      </c>
      <c r="CN49" s="42"/>
      <c r="CO49" s="42"/>
      <c r="CP49" s="42"/>
      <c r="CQ49" s="42"/>
      <c r="CR49" s="42"/>
      <c r="CS49" s="42">
        <v>2063.21</v>
      </c>
      <c r="CT49" s="42"/>
      <c r="CU49" s="42"/>
      <c r="CV49" s="42"/>
      <c r="CW49" s="42"/>
      <c r="CX49" s="42"/>
      <c r="CY49" s="11">
        <v>0.75</v>
      </c>
      <c r="CZ49" s="42"/>
      <c r="DA49" s="42">
        <v>554.98</v>
      </c>
      <c r="DB49" s="42">
        <v>1189.29</v>
      </c>
      <c r="DC49" s="42"/>
      <c r="DD49" s="42">
        <v>1024.1300000000001</v>
      </c>
      <c r="DE49" s="42"/>
      <c r="DF49" s="42"/>
      <c r="DG49" s="42"/>
      <c r="DH49" s="42"/>
      <c r="DI49" s="42"/>
      <c r="DJ49" s="42">
        <v>1816.9</v>
      </c>
      <c r="DK49" s="42"/>
      <c r="DL49" s="42"/>
      <c r="DM49" s="42"/>
      <c r="DN49" s="42"/>
      <c r="DO49" s="42"/>
      <c r="DP49" s="11">
        <v>0.85</v>
      </c>
      <c r="DQ49" s="42"/>
      <c r="DR49" s="42">
        <v>559.9</v>
      </c>
      <c r="DS49" s="42">
        <v>1231.77</v>
      </c>
      <c r="DT49" s="42"/>
      <c r="DU49" s="42">
        <v>1119.79</v>
      </c>
      <c r="DV49" s="42"/>
      <c r="DW49" s="42"/>
      <c r="DX49" s="42"/>
      <c r="DY49" s="42"/>
      <c r="DZ49" s="42"/>
      <c r="EA49" s="42">
        <v>1679.69</v>
      </c>
      <c r="EB49" s="42"/>
      <c r="EC49" s="42"/>
      <c r="ED49" s="42"/>
      <c r="EE49" s="42"/>
      <c r="EF49" s="42"/>
      <c r="EG49" s="11">
        <v>0.75</v>
      </c>
      <c r="EH49" s="42"/>
      <c r="EI49" s="42"/>
      <c r="EJ49" s="42"/>
      <c r="EK49" s="42"/>
      <c r="EL49" s="42"/>
      <c r="EM49" s="42"/>
      <c r="EN49" s="42"/>
      <c r="EO49" s="42"/>
      <c r="EP49" s="42"/>
      <c r="EQ49" s="42"/>
      <c r="ER49" s="42"/>
      <c r="ES49" s="42"/>
      <c r="ET49" s="42"/>
      <c r="EU49" s="42"/>
      <c r="EV49" s="42"/>
      <c r="EW49" s="42"/>
      <c r="EX49" s="10"/>
      <c r="EY49" s="10"/>
      <c r="EZ49" s="10"/>
      <c r="FA49" s="10"/>
      <c r="FB49" s="10"/>
      <c r="FC49" s="10"/>
      <c r="FD49" s="10"/>
      <c r="FE49" s="10"/>
      <c r="FF49" s="10"/>
      <c r="FG49" s="10"/>
      <c r="FH49" s="10"/>
      <c r="FI49" s="10"/>
      <c r="FJ49" s="10"/>
      <c r="FK49" s="10"/>
      <c r="FL49" s="10"/>
      <c r="FM49" s="10"/>
      <c r="FN49" s="10"/>
      <c r="FO49" s="10"/>
      <c r="FP49" s="42"/>
      <c r="FQ49" s="42"/>
      <c r="FR49" s="42"/>
      <c r="FS49" s="42"/>
      <c r="FT49" s="42"/>
      <c r="FU49" s="42"/>
      <c r="FV49" s="42"/>
      <c r="FW49" s="42"/>
      <c r="FX49" s="42"/>
      <c r="FY49" s="42"/>
      <c r="FZ49" s="42"/>
      <c r="GA49" s="42"/>
      <c r="GB49" s="42"/>
      <c r="GC49" s="42"/>
      <c r="GD49" s="42"/>
      <c r="GE49" s="42"/>
      <c r="GF49" s="10"/>
      <c r="GG49" s="10">
        <v>1</v>
      </c>
      <c r="GH49" s="10" t="s">
        <v>5450</v>
      </c>
      <c r="GI49" s="42"/>
      <c r="GJ49" s="42">
        <v>49.97</v>
      </c>
      <c r="GK49" s="42">
        <v>105.82</v>
      </c>
      <c r="GL49" s="42"/>
      <c r="GM49" s="42">
        <v>92.59</v>
      </c>
      <c r="GN49" s="42"/>
      <c r="GO49" s="42"/>
      <c r="GP49" s="42"/>
      <c r="GQ49" s="42"/>
      <c r="GR49" s="42"/>
      <c r="GS49" s="42">
        <v>156.08000000000001</v>
      </c>
      <c r="GT49" s="42"/>
      <c r="GU49" s="42"/>
      <c r="GV49" s="42"/>
      <c r="GW49" s="42"/>
      <c r="GX49" s="42"/>
      <c r="GY49" s="11">
        <v>0.7</v>
      </c>
      <c r="GZ49" s="10">
        <v>1</v>
      </c>
      <c r="HA49" s="42"/>
      <c r="HB49" s="42">
        <v>16.98</v>
      </c>
      <c r="HC49" s="42">
        <v>33.340000000000003</v>
      </c>
      <c r="HD49" s="42"/>
      <c r="HE49" s="42">
        <v>29.17</v>
      </c>
      <c r="HF49" s="42"/>
      <c r="HG49" s="42"/>
      <c r="HH49" s="42"/>
      <c r="HI49" s="42"/>
      <c r="HJ49" s="42"/>
      <c r="HK49" s="42">
        <v>49.18</v>
      </c>
      <c r="HL49" s="42"/>
      <c r="HM49" s="42"/>
      <c r="HN49" s="42"/>
      <c r="HO49" s="42"/>
      <c r="HP49" s="42"/>
      <c r="HQ49" s="11">
        <v>1</v>
      </c>
      <c r="HR49" s="10" t="s">
        <v>5537</v>
      </c>
      <c r="HS49" s="39">
        <v>325000</v>
      </c>
      <c r="HT49" s="39">
        <v>125000</v>
      </c>
      <c r="HU49" s="39"/>
      <c r="HV49" s="10" t="s">
        <v>25</v>
      </c>
      <c r="HW49" s="10" t="s">
        <v>25</v>
      </c>
      <c r="HX49" s="10" t="s">
        <v>5452</v>
      </c>
      <c r="HY49" s="10" t="s">
        <v>5452</v>
      </c>
      <c r="HZ49" s="10" t="s">
        <v>5452</v>
      </c>
      <c r="IA49" s="10" t="s">
        <v>25</v>
      </c>
      <c r="IB49" s="10"/>
      <c r="IC49" s="10" t="s">
        <v>5538</v>
      </c>
      <c r="ID49" s="10" t="s">
        <v>5539</v>
      </c>
      <c r="IE49" s="10" t="s">
        <v>13272</v>
      </c>
      <c r="IF49" s="10" t="s">
        <v>5540</v>
      </c>
      <c r="IG49" s="10" t="s">
        <v>5540</v>
      </c>
      <c r="IH49" s="10"/>
      <c r="II49" s="10"/>
      <c r="IJ49" s="10" t="s">
        <v>2692</v>
      </c>
      <c r="IK49" s="10"/>
      <c r="IL49" s="10" t="s">
        <v>5508</v>
      </c>
      <c r="IM49" s="10" t="s">
        <v>2758</v>
      </c>
      <c r="IN49" s="10"/>
      <c r="IO49" s="10" t="s">
        <v>25</v>
      </c>
      <c r="IP49" s="10" t="s">
        <v>2201</v>
      </c>
      <c r="IQ49" s="10" t="s">
        <v>5458</v>
      </c>
      <c r="IR49" s="10" t="s">
        <v>5458</v>
      </c>
      <c r="IS49" s="10" t="s">
        <v>5458</v>
      </c>
      <c r="IT49" s="10" t="s">
        <v>5459</v>
      </c>
      <c r="IU49" s="10" t="s">
        <v>5459</v>
      </c>
      <c r="IV49" s="10" t="s">
        <v>5458</v>
      </c>
      <c r="IW49" s="10" t="s">
        <v>5459</v>
      </c>
      <c r="IX49" s="10" t="s">
        <v>5483</v>
      </c>
      <c r="IY49" s="10"/>
      <c r="IZ49" s="10" t="s">
        <v>5541</v>
      </c>
      <c r="JA49" s="10" t="s">
        <v>13301</v>
      </c>
      <c r="JB49" s="10" t="s">
        <v>5515</v>
      </c>
      <c r="JC49" s="10" t="s">
        <v>5515</v>
      </c>
      <c r="JD49" s="10" t="s">
        <v>5462</v>
      </c>
      <c r="JE49" s="10" t="s">
        <v>28</v>
      </c>
      <c r="JF49" s="10" t="s">
        <v>5478</v>
      </c>
      <c r="JG49" s="10" t="s">
        <v>5465</v>
      </c>
      <c r="JH49" s="10" t="s">
        <v>5496</v>
      </c>
    </row>
    <row r="50" spans="1:268" ht="89.25" x14ac:dyDescent="0.2">
      <c r="A50" s="31" t="s">
        <v>126</v>
      </c>
      <c r="B50" s="9" t="s">
        <v>2207</v>
      </c>
      <c r="C50" s="9"/>
      <c r="D50" s="9" t="s">
        <v>25</v>
      </c>
      <c r="E50" s="9"/>
      <c r="F50" s="9"/>
      <c r="G50" s="9"/>
      <c r="H50" s="9">
        <v>40</v>
      </c>
      <c r="I50" s="9"/>
      <c r="J50" s="9"/>
      <c r="K50" s="9" t="s">
        <v>25</v>
      </c>
      <c r="L50" s="9"/>
      <c r="M50" s="9"/>
      <c r="N50" s="9"/>
      <c r="O50" s="9"/>
      <c r="P50" s="9"/>
      <c r="Q50" s="9"/>
      <c r="R50" s="9" t="s">
        <v>5469</v>
      </c>
      <c r="S50" s="11">
        <v>0</v>
      </c>
      <c r="T50" s="11">
        <v>0.25</v>
      </c>
      <c r="U50" s="11">
        <v>0.18</v>
      </c>
      <c r="V50" s="10"/>
      <c r="W50" s="11">
        <v>0.08</v>
      </c>
      <c r="X50" s="10"/>
      <c r="Y50" s="10"/>
      <c r="Z50" s="10"/>
      <c r="AA50" s="10"/>
      <c r="AB50" s="10"/>
      <c r="AC50" s="11">
        <v>0.49</v>
      </c>
      <c r="AD50" s="10"/>
      <c r="AE50" s="10"/>
      <c r="AF50" s="10"/>
      <c r="AG50" s="10"/>
      <c r="AH50" s="10"/>
      <c r="AI50" s="36">
        <v>4</v>
      </c>
      <c r="AJ50" s="33">
        <v>6.3E-2</v>
      </c>
      <c r="AK50" s="33"/>
      <c r="AL50" s="33"/>
      <c r="AM50" s="33"/>
      <c r="AN50" s="33"/>
      <c r="AO50" s="33">
        <v>6.3E-2</v>
      </c>
      <c r="AP50" s="33"/>
      <c r="AQ50" s="33"/>
      <c r="AR50" s="33"/>
      <c r="AS50" s="33"/>
      <c r="AT50" s="11">
        <v>0.8</v>
      </c>
      <c r="AU50" s="11">
        <v>0.8</v>
      </c>
      <c r="AV50" s="11">
        <v>0.8</v>
      </c>
      <c r="AW50" s="11">
        <v>0.8</v>
      </c>
      <c r="AX50" s="11">
        <v>0</v>
      </c>
      <c r="AY50" s="11">
        <v>0</v>
      </c>
      <c r="AZ50" s="11">
        <v>0.8</v>
      </c>
      <c r="BA50" s="11">
        <v>0.8</v>
      </c>
      <c r="BB50" s="11">
        <v>0.8</v>
      </c>
      <c r="BC50" s="11">
        <v>0.8</v>
      </c>
      <c r="BD50" s="11">
        <v>0</v>
      </c>
      <c r="BE50" s="11">
        <v>0</v>
      </c>
      <c r="BF50" s="10" t="s">
        <v>25</v>
      </c>
      <c r="BG50" s="10" t="s">
        <v>25</v>
      </c>
      <c r="BH50" s="39"/>
      <c r="BI50" s="10" t="s">
        <v>25</v>
      </c>
      <c r="BJ50" s="39"/>
      <c r="BK50" s="10" t="s">
        <v>25</v>
      </c>
      <c r="BL50" s="39"/>
      <c r="BM50" s="10" t="s">
        <v>25</v>
      </c>
      <c r="BN50" s="39"/>
      <c r="BO50" s="10" t="s">
        <v>25</v>
      </c>
      <c r="BP50" s="39"/>
      <c r="BQ50" s="10" t="s">
        <v>5479</v>
      </c>
      <c r="BR50" s="42"/>
      <c r="BS50" s="42">
        <v>613</v>
      </c>
      <c r="BT50" s="42">
        <v>1530</v>
      </c>
      <c r="BU50" s="42"/>
      <c r="BV50" s="42">
        <v>1224</v>
      </c>
      <c r="BW50" s="42"/>
      <c r="BX50" s="42"/>
      <c r="BY50" s="42"/>
      <c r="BZ50" s="42"/>
      <c r="CA50" s="42"/>
      <c r="CB50" s="42">
        <v>2204</v>
      </c>
      <c r="CC50" s="42"/>
      <c r="CD50" s="42"/>
      <c r="CE50" s="42"/>
      <c r="CF50" s="42"/>
      <c r="CG50" s="42"/>
      <c r="CH50" s="11">
        <v>0.8</v>
      </c>
      <c r="CI50" s="42"/>
      <c r="CJ50" s="42"/>
      <c r="CK50" s="42"/>
      <c r="CL50" s="42"/>
      <c r="CM50" s="42"/>
      <c r="CN50" s="42"/>
      <c r="CO50" s="42"/>
      <c r="CP50" s="42"/>
      <c r="CQ50" s="42"/>
      <c r="CR50" s="42"/>
      <c r="CS50" s="42"/>
      <c r="CT50" s="42"/>
      <c r="CU50" s="42"/>
      <c r="CV50" s="42"/>
      <c r="CW50" s="42"/>
      <c r="CX50" s="42"/>
      <c r="CY50" s="11"/>
      <c r="CZ50" s="42"/>
      <c r="DA50" s="42">
        <v>518</v>
      </c>
      <c r="DB50" s="42">
        <v>1317</v>
      </c>
      <c r="DC50" s="42"/>
      <c r="DD50" s="42">
        <v>1036</v>
      </c>
      <c r="DE50" s="42"/>
      <c r="DF50" s="42"/>
      <c r="DG50" s="42"/>
      <c r="DH50" s="42"/>
      <c r="DI50" s="42"/>
      <c r="DJ50" s="42">
        <v>1933</v>
      </c>
      <c r="DK50" s="42"/>
      <c r="DL50" s="42"/>
      <c r="DM50" s="42"/>
      <c r="DN50" s="42"/>
      <c r="DO50" s="42"/>
      <c r="DP50" s="11">
        <v>0.8</v>
      </c>
      <c r="DQ50" s="42">
        <v>0</v>
      </c>
      <c r="DR50" s="42">
        <v>671</v>
      </c>
      <c r="DS50" s="42">
        <v>1475</v>
      </c>
      <c r="DT50" s="42"/>
      <c r="DU50" s="42">
        <v>1341</v>
      </c>
      <c r="DV50" s="42"/>
      <c r="DW50" s="42"/>
      <c r="DX50" s="42"/>
      <c r="DY50" s="42"/>
      <c r="DZ50" s="42"/>
      <c r="EA50" s="42">
        <v>2012</v>
      </c>
      <c r="EB50" s="42"/>
      <c r="EC50" s="42"/>
      <c r="ED50" s="42"/>
      <c r="EE50" s="42"/>
      <c r="EF50" s="42"/>
      <c r="EG50" s="11">
        <v>0.8</v>
      </c>
      <c r="EH50" s="42"/>
      <c r="EI50" s="42"/>
      <c r="EJ50" s="42"/>
      <c r="EK50" s="42"/>
      <c r="EL50" s="42"/>
      <c r="EM50" s="42"/>
      <c r="EN50" s="42"/>
      <c r="EO50" s="42"/>
      <c r="EP50" s="42"/>
      <c r="EQ50" s="42"/>
      <c r="ER50" s="42"/>
      <c r="ES50" s="42"/>
      <c r="ET50" s="42"/>
      <c r="EU50" s="42"/>
      <c r="EV50" s="42"/>
      <c r="EW50" s="42"/>
      <c r="EX50" s="10"/>
      <c r="EY50" s="10"/>
      <c r="EZ50" s="10"/>
      <c r="FA50" s="10"/>
      <c r="FB50" s="10"/>
      <c r="FC50" s="10"/>
      <c r="FD50" s="10"/>
      <c r="FE50" s="10"/>
      <c r="FF50" s="10"/>
      <c r="FG50" s="10"/>
      <c r="FH50" s="10"/>
      <c r="FI50" s="10"/>
      <c r="FJ50" s="10"/>
      <c r="FK50" s="10"/>
      <c r="FL50" s="10"/>
      <c r="FM50" s="10"/>
      <c r="FN50" s="10"/>
      <c r="FO50" s="10"/>
      <c r="FP50" s="42"/>
      <c r="FQ50" s="42"/>
      <c r="FR50" s="42"/>
      <c r="FS50" s="42"/>
      <c r="FT50" s="42"/>
      <c r="FU50" s="42"/>
      <c r="FV50" s="42"/>
      <c r="FW50" s="42"/>
      <c r="FX50" s="42"/>
      <c r="FY50" s="42"/>
      <c r="FZ50" s="42"/>
      <c r="GA50" s="42"/>
      <c r="GB50" s="42"/>
      <c r="GC50" s="42"/>
      <c r="GD50" s="42"/>
      <c r="GE50" s="42"/>
      <c r="GF50" s="10"/>
      <c r="GG50" s="10">
        <v>1</v>
      </c>
      <c r="GH50" s="10" t="s">
        <v>5450</v>
      </c>
      <c r="GI50" s="42"/>
      <c r="GJ50" s="42">
        <v>45</v>
      </c>
      <c r="GK50" s="42">
        <v>95</v>
      </c>
      <c r="GL50" s="42"/>
      <c r="GM50" s="42">
        <v>104</v>
      </c>
      <c r="GN50" s="42"/>
      <c r="GO50" s="42"/>
      <c r="GP50" s="42"/>
      <c r="GQ50" s="42"/>
      <c r="GR50" s="42"/>
      <c r="GS50" s="42">
        <v>165</v>
      </c>
      <c r="GT50" s="42"/>
      <c r="GU50" s="42"/>
      <c r="GV50" s="42"/>
      <c r="GW50" s="42"/>
      <c r="GX50" s="42"/>
      <c r="GY50" s="11">
        <v>0.8</v>
      </c>
      <c r="GZ50" s="10"/>
      <c r="HA50" s="42"/>
      <c r="HB50" s="42">
        <v>9</v>
      </c>
      <c r="HC50" s="42">
        <v>14</v>
      </c>
      <c r="HD50" s="42"/>
      <c r="HE50" s="42">
        <v>15</v>
      </c>
      <c r="HF50" s="42"/>
      <c r="HG50" s="42"/>
      <c r="HH50" s="42"/>
      <c r="HI50" s="42"/>
      <c r="HJ50" s="42"/>
      <c r="HK50" s="42">
        <v>23</v>
      </c>
      <c r="HL50" s="42"/>
      <c r="HM50" s="42"/>
      <c r="HN50" s="42"/>
      <c r="HO50" s="42"/>
      <c r="HP50" s="42"/>
      <c r="HQ50" s="11">
        <v>0</v>
      </c>
      <c r="HR50" s="10" t="s">
        <v>5451</v>
      </c>
      <c r="HS50" s="39">
        <v>375000</v>
      </c>
      <c r="HT50" s="39"/>
      <c r="HU50" s="39"/>
      <c r="HV50" s="10" t="s">
        <v>25</v>
      </c>
      <c r="HW50" s="10" t="s">
        <v>25</v>
      </c>
      <c r="HX50" s="10" t="s">
        <v>5498</v>
      </c>
      <c r="HY50" s="10" t="s">
        <v>5498</v>
      </c>
      <c r="HZ50" s="10" t="s">
        <v>5453</v>
      </c>
      <c r="IA50" s="10" t="s">
        <v>25</v>
      </c>
      <c r="IB50" s="10"/>
      <c r="IC50" s="10" t="s">
        <v>13225</v>
      </c>
      <c r="ID50" s="10" t="s">
        <v>5523</v>
      </c>
      <c r="IE50" s="10" t="s">
        <v>5524</v>
      </c>
      <c r="IF50" s="10" t="s">
        <v>72</v>
      </c>
      <c r="IG50" s="10" t="s">
        <v>72</v>
      </c>
      <c r="IH50" s="10" t="s">
        <v>72</v>
      </c>
      <c r="II50" s="10" t="s">
        <v>72</v>
      </c>
      <c r="IJ50" s="10" t="s">
        <v>2692</v>
      </c>
      <c r="IK50" s="10"/>
      <c r="IL50" s="10" t="s">
        <v>5525</v>
      </c>
      <c r="IM50" s="10" t="s">
        <v>2758</v>
      </c>
      <c r="IN50" s="10"/>
      <c r="IO50" s="10" t="s">
        <v>5472</v>
      </c>
      <c r="IP50" s="10" t="s">
        <v>2201</v>
      </c>
      <c r="IQ50" s="10" t="s">
        <v>5458</v>
      </c>
      <c r="IR50" s="10" t="s">
        <v>5458</v>
      </c>
      <c r="IS50" s="10" t="s">
        <v>5459</v>
      </c>
      <c r="IT50" s="10" t="s">
        <v>5473</v>
      </c>
      <c r="IU50" s="10" t="s">
        <v>5473</v>
      </c>
      <c r="IV50" s="10" t="s">
        <v>29</v>
      </c>
      <c r="IW50" s="10" t="s">
        <v>29</v>
      </c>
      <c r="IX50" s="10" t="s">
        <v>5460</v>
      </c>
      <c r="IY50" s="10"/>
      <c r="IZ50" s="10" t="s">
        <v>5526</v>
      </c>
      <c r="JA50" s="10" t="s">
        <v>13301</v>
      </c>
      <c r="JB50" s="10" t="s">
        <v>5461</v>
      </c>
      <c r="JC50" s="10" t="s">
        <v>5527</v>
      </c>
      <c r="JD50" s="10" t="s">
        <v>5477</v>
      </c>
      <c r="JE50" s="10" t="s">
        <v>28</v>
      </c>
      <c r="JF50" s="10" t="s">
        <v>5464</v>
      </c>
      <c r="JG50" s="10" t="s">
        <v>5465</v>
      </c>
      <c r="JH50" s="10" t="s">
        <v>5496</v>
      </c>
    </row>
    <row r="51" spans="1:268" ht="140.25" x14ac:dyDescent="0.2">
      <c r="A51" s="31" t="s">
        <v>130</v>
      </c>
      <c r="B51" s="9" t="s">
        <v>2185</v>
      </c>
      <c r="C51" s="9"/>
      <c r="D51" s="9" t="s">
        <v>25</v>
      </c>
      <c r="E51" s="9"/>
      <c r="F51" s="9" t="s">
        <v>5467</v>
      </c>
      <c r="G51" s="9"/>
      <c r="H51" s="9">
        <v>40</v>
      </c>
      <c r="I51" s="9">
        <v>20</v>
      </c>
      <c r="J51" s="9">
        <v>39</v>
      </c>
      <c r="K51" s="9" t="s">
        <v>25</v>
      </c>
      <c r="L51" s="9"/>
      <c r="M51" s="9"/>
      <c r="N51" s="9"/>
      <c r="O51" s="9"/>
      <c r="P51" s="9"/>
      <c r="Q51" s="9"/>
      <c r="R51" s="9" t="s">
        <v>5469</v>
      </c>
      <c r="S51" s="11">
        <v>5.5999999999999994E-2</v>
      </c>
      <c r="T51" s="11">
        <v>0.59260000000000002</v>
      </c>
      <c r="U51" s="11">
        <v>8.3900000000000002E-2</v>
      </c>
      <c r="V51" s="10"/>
      <c r="W51" s="11">
        <v>6.25E-2</v>
      </c>
      <c r="X51" s="10"/>
      <c r="Y51" s="10"/>
      <c r="Z51" s="10"/>
      <c r="AA51" s="10"/>
      <c r="AB51" s="10"/>
      <c r="AC51" s="11">
        <v>0.20499999999999999</v>
      </c>
      <c r="AD51" s="10"/>
      <c r="AE51" s="10"/>
      <c r="AF51" s="10"/>
      <c r="AG51" s="10"/>
      <c r="AH51" s="10"/>
      <c r="AI51" s="36">
        <v>2</v>
      </c>
      <c r="AJ51" s="33">
        <v>0.115</v>
      </c>
      <c r="AK51" s="33">
        <v>0.115</v>
      </c>
      <c r="AL51" s="33">
        <v>0.115</v>
      </c>
      <c r="AM51" s="33"/>
      <c r="AN51" s="33"/>
      <c r="AO51" s="33">
        <v>5.5E-2</v>
      </c>
      <c r="AP51" s="33">
        <v>5.5E-2</v>
      </c>
      <c r="AQ51" s="33">
        <v>5.5E-2</v>
      </c>
      <c r="AR51" s="33"/>
      <c r="AS51" s="33"/>
      <c r="AT51" s="11">
        <v>1</v>
      </c>
      <c r="AU51" s="11">
        <v>1</v>
      </c>
      <c r="AV51" s="11">
        <v>1</v>
      </c>
      <c r="AW51" s="11">
        <v>1</v>
      </c>
      <c r="AX51" s="11">
        <v>1</v>
      </c>
      <c r="AY51" s="11">
        <v>1</v>
      </c>
      <c r="AZ51" s="11">
        <v>0.78</v>
      </c>
      <c r="BA51" s="11">
        <v>0.78</v>
      </c>
      <c r="BB51" s="11">
        <v>0.7</v>
      </c>
      <c r="BC51" s="11">
        <v>0.7</v>
      </c>
      <c r="BD51" s="11">
        <v>0.45</v>
      </c>
      <c r="BE51" s="11">
        <v>0.45</v>
      </c>
      <c r="BF51" s="10" t="s">
        <v>25</v>
      </c>
      <c r="BG51" s="10" t="s">
        <v>25</v>
      </c>
      <c r="BH51" s="39"/>
      <c r="BI51" s="10" t="s">
        <v>25</v>
      </c>
      <c r="BJ51" s="39"/>
      <c r="BK51" s="10" t="s">
        <v>25</v>
      </c>
      <c r="BL51" s="39"/>
      <c r="BM51" s="10" t="s">
        <v>25</v>
      </c>
      <c r="BN51" s="39"/>
      <c r="BO51" s="10" t="s">
        <v>25</v>
      </c>
      <c r="BP51" s="39"/>
      <c r="BQ51" s="10" t="s">
        <v>5479</v>
      </c>
      <c r="BR51" s="42">
        <v>0</v>
      </c>
      <c r="BS51" s="42">
        <v>638.59</v>
      </c>
      <c r="BT51" s="42">
        <v>1434.05</v>
      </c>
      <c r="BU51" s="42"/>
      <c r="BV51" s="42">
        <v>1274.98</v>
      </c>
      <c r="BW51" s="42"/>
      <c r="BX51" s="42"/>
      <c r="BY51" s="42"/>
      <c r="BZ51" s="42"/>
      <c r="CA51" s="42"/>
      <c r="CB51" s="42">
        <v>2070.4</v>
      </c>
      <c r="CC51" s="42"/>
      <c r="CD51" s="42"/>
      <c r="CE51" s="42"/>
      <c r="CF51" s="42"/>
      <c r="CG51" s="42"/>
      <c r="CH51" s="11">
        <v>0.85</v>
      </c>
      <c r="CI51" s="42"/>
      <c r="CJ51" s="42"/>
      <c r="CK51" s="42"/>
      <c r="CL51" s="42"/>
      <c r="CM51" s="42"/>
      <c r="CN51" s="42"/>
      <c r="CO51" s="42"/>
      <c r="CP51" s="42"/>
      <c r="CQ51" s="42"/>
      <c r="CR51" s="42"/>
      <c r="CS51" s="42"/>
      <c r="CT51" s="42"/>
      <c r="CU51" s="42"/>
      <c r="CV51" s="42"/>
      <c r="CW51" s="42"/>
      <c r="CX51" s="42"/>
      <c r="CY51" s="11"/>
      <c r="CZ51" s="42">
        <v>0</v>
      </c>
      <c r="DA51" s="42">
        <v>577.98</v>
      </c>
      <c r="DB51" s="42">
        <v>1297.6099999999999</v>
      </c>
      <c r="DC51" s="42"/>
      <c r="DD51" s="42">
        <v>1153.8599999999999</v>
      </c>
      <c r="DE51" s="42"/>
      <c r="DF51" s="42"/>
      <c r="DG51" s="42"/>
      <c r="DH51" s="42"/>
      <c r="DI51" s="42"/>
      <c r="DJ51" s="42">
        <v>1873.72</v>
      </c>
      <c r="DK51" s="42"/>
      <c r="DL51" s="42"/>
      <c r="DM51" s="42"/>
      <c r="DN51" s="42"/>
      <c r="DO51" s="42"/>
      <c r="DP51" s="11">
        <v>0.85</v>
      </c>
      <c r="DQ51" s="42">
        <v>0</v>
      </c>
      <c r="DR51" s="42">
        <v>486.38</v>
      </c>
      <c r="DS51" s="42">
        <v>1094.3599999999999</v>
      </c>
      <c r="DT51" s="42"/>
      <c r="DU51" s="42">
        <v>972.77</v>
      </c>
      <c r="DV51" s="42"/>
      <c r="DW51" s="42"/>
      <c r="DX51" s="42"/>
      <c r="DY51" s="42"/>
      <c r="DZ51" s="42"/>
      <c r="EA51" s="42">
        <v>1575.88</v>
      </c>
      <c r="EB51" s="42"/>
      <c r="EC51" s="42"/>
      <c r="ED51" s="42"/>
      <c r="EE51" s="42"/>
      <c r="EF51" s="42"/>
      <c r="EG51" s="11">
        <v>0.84</v>
      </c>
      <c r="EH51" s="42"/>
      <c r="EI51" s="42"/>
      <c r="EJ51" s="42"/>
      <c r="EK51" s="42"/>
      <c r="EL51" s="42"/>
      <c r="EM51" s="42"/>
      <c r="EN51" s="42"/>
      <c r="EO51" s="42"/>
      <c r="EP51" s="42"/>
      <c r="EQ51" s="42"/>
      <c r="ER51" s="42"/>
      <c r="ES51" s="42"/>
      <c r="ET51" s="42"/>
      <c r="EU51" s="42"/>
      <c r="EV51" s="42"/>
      <c r="EW51" s="42"/>
      <c r="EX51" s="10"/>
      <c r="EY51" s="10"/>
      <c r="EZ51" s="10"/>
      <c r="FA51" s="10"/>
      <c r="FB51" s="10"/>
      <c r="FC51" s="10"/>
      <c r="FD51" s="10"/>
      <c r="FE51" s="10"/>
      <c r="FF51" s="10"/>
      <c r="FG51" s="10"/>
      <c r="FH51" s="10"/>
      <c r="FI51" s="10"/>
      <c r="FJ51" s="10"/>
      <c r="FK51" s="10"/>
      <c r="FL51" s="10"/>
      <c r="FM51" s="10"/>
      <c r="FN51" s="10"/>
      <c r="FO51" s="10"/>
      <c r="FP51" s="42"/>
      <c r="FQ51" s="42"/>
      <c r="FR51" s="42"/>
      <c r="FS51" s="42"/>
      <c r="FT51" s="42"/>
      <c r="FU51" s="42"/>
      <c r="FV51" s="42"/>
      <c r="FW51" s="42"/>
      <c r="FX51" s="42"/>
      <c r="FY51" s="42"/>
      <c r="FZ51" s="42"/>
      <c r="GA51" s="42"/>
      <c r="GB51" s="42"/>
      <c r="GC51" s="42"/>
      <c r="GD51" s="42"/>
      <c r="GE51" s="42"/>
      <c r="GF51" s="10"/>
      <c r="GG51" s="10">
        <v>1</v>
      </c>
      <c r="GH51" s="10" t="s">
        <v>5450</v>
      </c>
      <c r="GI51" s="42">
        <v>0</v>
      </c>
      <c r="GJ51" s="42">
        <v>44.42</v>
      </c>
      <c r="GK51" s="42">
        <v>87.01</v>
      </c>
      <c r="GL51" s="42"/>
      <c r="GM51" s="42">
        <v>98.74</v>
      </c>
      <c r="GN51" s="42"/>
      <c r="GO51" s="42"/>
      <c r="GP51" s="42"/>
      <c r="GQ51" s="42"/>
      <c r="GR51" s="42"/>
      <c r="GS51" s="42">
        <v>141.32</v>
      </c>
      <c r="GT51" s="42"/>
      <c r="GU51" s="42"/>
      <c r="GV51" s="42"/>
      <c r="GW51" s="42"/>
      <c r="GX51" s="42"/>
      <c r="GY51" s="11">
        <v>0.77</v>
      </c>
      <c r="GZ51" s="10">
        <v>1</v>
      </c>
      <c r="HA51" s="42">
        <v>0</v>
      </c>
      <c r="HB51" s="42">
        <v>6.77</v>
      </c>
      <c r="HC51" s="42">
        <v>13.55</v>
      </c>
      <c r="HD51" s="42"/>
      <c r="HE51" s="42">
        <v>14.5</v>
      </c>
      <c r="HF51" s="42"/>
      <c r="HG51" s="42"/>
      <c r="HH51" s="42"/>
      <c r="HI51" s="42"/>
      <c r="HJ51" s="42"/>
      <c r="HK51" s="42">
        <v>23.16</v>
      </c>
      <c r="HL51" s="42"/>
      <c r="HM51" s="42"/>
      <c r="HN51" s="42"/>
      <c r="HO51" s="42"/>
      <c r="HP51" s="42"/>
      <c r="HQ51" s="11">
        <v>0.67</v>
      </c>
      <c r="HR51" s="10" t="s">
        <v>5451</v>
      </c>
      <c r="HS51" s="39">
        <v>350000</v>
      </c>
      <c r="HT51" s="39"/>
      <c r="HU51" s="39"/>
      <c r="HV51" s="10" t="s">
        <v>25</v>
      </c>
      <c r="HW51" s="10" t="s">
        <v>25</v>
      </c>
      <c r="HX51" s="10" t="s">
        <v>5452</v>
      </c>
      <c r="HY51" s="10" t="s">
        <v>5452</v>
      </c>
      <c r="HZ51" s="10" t="s">
        <v>5453</v>
      </c>
      <c r="IA51" s="10" t="s">
        <v>25</v>
      </c>
      <c r="IB51" s="10"/>
      <c r="IC51" s="10" t="s">
        <v>13226</v>
      </c>
      <c r="ID51" s="10" t="s">
        <v>5547</v>
      </c>
      <c r="IE51" s="10" t="s">
        <v>13273</v>
      </c>
      <c r="IF51" s="10" t="s">
        <v>5548</v>
      </c>
      <c r="IG51" s="10" t="s">
        <v>72</v>
      </c>
      <c r="IH51" s="10" t="s">
        <v>72</v>
      </c>
      <c r="II51" s="10" t="s">
        <v>72</v>
      </c>
      <c r="IJ51" s="10" t="s">
        <v>2692</v>
      </c>
      <c r="IK51" s="10"/>
      <c r="IL51" s="10" t="s">
        <v>5549</v>
      </c>
      <c r="IM51" s="10" t="s">
        <v>5457</v>
      </c>
      <c r="IN51" s="10"/>
      <c r="IO51" s="10" t="s">
        <v>5472</v>
      </c>
      <c r="IP51" s="10" t="s">
        <v>28</v>
      </c>
      <c r="IQ51" s="10" t="s">
        <v>5458</v>
      </c>
      <c r="IR51" s="10" t="s">
        <v>5458</v>
      </c>
      <c r="IS51" s="10" t="s">
        <v>5458</v>
      </c>
      <c r="IT51" s="10" t="s">
        <v>5474</v>
      </c>
      <c r="IU51" s="10" t="s">
        <v>5474</v>
      </c>
      <c r="IV51" s="10" t="s">
        <v>5458</v>
      </c>
      <c r="IW51" s="10" t="s">
        <v>5458</v>
      </c>
      <c r="IX51" s="10" t="s">
        <v>5460</v>
      </c>
      <c r="IY51" s="10"/>
      <c r="IZ51" s="10" t="s">
        <v>5550</v>
      </c>
      <c r="JA51" s="10" t="s">
        <v>13301</v>
      </c>
      <c r="JB51" s="10" t="s">
        <v>5461</v>
      </c>
      <c r="JC51" s="10" t="s">
        <v>5461</v>
      </c>
      <c r="JD51" s="10" t="s">
        <v>5462</v>
      </c>
      <c r="JE51" s="10" t="s">
        <v>5463</v>
      </c>
      <c r="JF51" s="10" t="s">
        <v>5464</v>
      </c>
      <c r="JG51" s="10" t="s">
        <v>5465</v>
      </c>
      <c r="JH51" s="10" t="s">
        <v>5466</v>
      </c>
    </row>
    <row r="52" spans="1:268" ht="89.25" x14ac:dyDescent="0.2">
      <c r="A52" s="31" t="s">
        <v>173</v>
      </c>
      <c r="B52" s="9" t="s">
        <v>5711</v>
      </c>
      <c r="C52" s="9"/>
      <c r="D52" s="9" t="s">
        <v>25</v>
      </c>
      <c r="E52" s="9"/>
      <c r="F52" s="9" t="s">
        <v>5467</v>
      </c>
      <c r="G52" s="9"/>
      <c r="H52" s="9">
        <v>30</v>
      </c>
      <c r="I52" s="9"/>
      <c r="J52" s="9"/>
      <c r="K52" s="9" t="s">
        <v>25</v>
      </c>
      <c r="L52" s="9"/>
      <c r="M52" s="9"/>
      <c r="N52" s="9"/>
      <c r="O52" s="9"/>
      <c r="P52" s="9"/>
      <c r="Q52" s="9"/>
      <c r="R52" s="9" t="s">
        <v>5469</v>
      </c>
      <c r="S52" s="11">
        <v>0.09</v>
      </c>
      <c r="T52" s="11">
        <v>0.49</v>
      </c>
      <c r="U52" s="11">
        <v>0.1</v>
      </c>
      <c r="V52" s="10"/>
      <c r="W52" s="11">
        <v>0.11</v>
      </c>
      <c r="X52" s="10"/>
      <c r="Y52" s="10"/>
      <c r="Z52" s="10"/>
      <c r="AA52" s="10"/>
      <c r="AB52" s="10"/>
      <c r="AC52" s="11">
        <v>0.21</v>
      </c>
      <c r="AD52" s="10"/>
      <c r="AE52" s="10"/>
      <c r="AF52" s="10"/>
      <c r="AG52" s="10"/>
      <c r="AH52" s="10"/>
      <c r="AI52" s="36">
        <v>2</v>
      </c>
      <c r="AJ52" s="33">
        <v>0</v>
      </c>
      <c r="AK52" s="33">
        <v>0</v>
      </c>
      <c r="AL52" s="33">
        <v>0</v>
      </c>
      <c r="AM52" s="33">
        <v>0</v>
      </c>
      <c r="AN52" s="33">
        <v>0.01</v>
      </c>
      <c r="AO52" s="33">
        <v>0</v>
      </c>
      <c r="AP52" s="33">
        <v>0</v>
      </c>
      <c r="AQ52" s="33">
        <v>0</v>
      </c>
      <c r="AR52" s="33">
        <v>0</v>
      </c>
      <c r="AS52" s="33">
        <v>0.01</v>
      </c>
      <c r="AT52" s="11">
        <v>0.91</v>
      </c>
      <c r="AU52" s="11">
        <v>0</v>
      </c>
      <c r="AV52" s="11">
        <v>0.8</v>
      </c>
      <c r="AW52" s="11">
        <v>0</v>
      </c>
      <c r="AX52" s="11">
        <v>0.6</v>
      </c>
      <c r="AY52" s="11">
        <v>0</v>
      </c>
      <c r="AZ52" s="11">
        <v>0.91</v>
      </c>
      <c r="BA52" s="11">
        <v>0</v>
      </c>
      <c r="BB52" s="11">
        <v>0.8</v>
      </c>
      <c r="BC52" s="11">
        <v>0</v>
      </c>
      <c r="BD52" s="11">
        <v>0.6</v>
      </c>
      <c r="BE52" s="11">
        <v>0</v>
      </c>
      <c r="BF52" s="10" t="s">
        <v>25</v>
      </c>
      <c r="BG52" s="10" t="s">
        <v>25</v>
      </c>
      <c r="BH52" s="39"/>
      <c r="BI52" s="10" t="s">
        <v>25</v>
      </c>
      <c r="BJ52" s="39"/>
      <c r="BK52" s="10" t="s">
        <v>25</v>
      </c>
      <c r="BL52" s="39"/>
      <c r="BM52" s="10" t="s">
        <v>25</v>
      </c>
      <c r="BN52" s="39"/>
      <c r="BO52" s="10" t="s">
        <v>25</v>
      </c>
      <c r="BP52" s="39"/>
      <c r="BQ52" s="10" t="s">
        <v>5479</v>
      </c>
      <c r="BR52" s="42">
        <v>0</v>
      </c>
      <c r="BS52" s="42">
        <v>524.01</v>
      </c>
      <c r="BT52" s="42">
        <v>1310.05</v>
      </c>
      <c r="BU52" s="42"/>
      <c r="BV52" s="42">
        <v>1048.05</v>
      </c>
      <c r="BW52" s="42"/>
      <c r="BX52" s="42"/>
      <c r="BY52" s="42"/>
      <c r="BZ52" s="42"/>
      <c r="CA52" s="42"/>
      <c r="CB52" s="42">
        <v>1834.07</v>
      </c>
      <c r="CC52" s="42"/>
      <c r="CD52" s="42"/>
      <c r="CE52" s="42"/>
      <c r="CF52" s="42"/>
      <c r="CG52" s="42"/>
      <c r="CH52" s="11">
        <v>0.88</v>
      </c>
      <c r="CI52" s="42"/>
      <c r="CJ52" s="42"/>
      <c r="CK52" s="42"/>
      <c r="CL52" s="42"/>
      <c r="CM52" s="42"/>
      <c r="CN52" s="42"/>
      <c r="CO52" s="42"/>
      <c r="CP52" s="42"/>
      <c r="CQ52" s="42"/>
      <c r="CR52" s="42"/>
      <c r="CS52" s="42"/>
      <c r="CT52" s="42"/>
      <c r="CU52" s="42"/>
      <c r="CV52" s="42"/>
      <c r="CW52" s="42"/>
      <c r="CX52" s="42"/>
      <c r="CY52" s="11"/>
      <c r="CZ52" s="42">
        <v>0</v>
      </c>
      <c r="DA52" s="42">
        <v>484.28</v>
      </c>
      <c r="DB52" s="42">
        <v>1179.46</v>
      </c>
      <c r="DC52" s="42"/>
      <c r="DD52" s="42">
        <v>968.57</v>
      </c>
      <c r="DE52" s="42"/>
      <c r="DF52" s="42"/>
      <c r="DG52" s="42"/>
      <c r="DH52" s="42"/>
      <c r="DI52" s="42"/>
      <c r="DJ52" s="42">
        <v>1601.24</v>
      </c>
      <c r="DK52" s="42"/>
      <c r="DL52" s="42"/>
      <c r="DM52" s="42"/>
      <c r="DN52" s="42"/>
      <c r="DO52" s="42"/>
      <c r="DP52" s="11">
        <v>1</v>
      </c>
      <c r="DQ52" s="42"/>
      <c r="DR52" s="42">
        <v>524.13</v>
      </c>
      <c r="DS52" s="42">
        <v>1310.32</v>
      </c>
      <c r="DT52" s="42"/>
      <c r="DU52" s="42">
        <v>1048.26</v>
      </c>
      <c r="DV52" s="42"/>
      <c r="DW52" s="42"/>
      <c r="DX52" s="42"/>
      <c r="DY52" s="42"/>
      <c r="DZ52" s="42"/>
      <c r="EA52" s="42">
        <v>1834.45</v>
      </c>
      <c r="EB52" s="42"/>
      <c r="EC52" s="42"/>
      <c r="ED52" s="42"/>
      <c r="EE52" s="42"/>
      <c r="EF52" s="42"/>
      <c r="EG52" s="11">
        <v>0.87599999999999989</v>
      </c>
      <c r="EH52" s="42"/>
      <c r="EI52" s="42"/>
      <c r="EJ52" s="42"/>
      <c r="EK52" s="42"/>
      <c r="EL52" s="42"/>
      <c r="EM52" s="42"/>
      <c r="EN52" s="42"/>
      <c r="EO52" s="42"/>
      <c r="EP52" s="42"/>
      <c r="EQ52" s="42"/>
      <c r="ER52" s="42"/>
      <c r="ES52" s="42"/>
      <c r="ET52" s="42"/>
      <c r="EU52" s="42"/>
      <c r="EV52" s="42"/>
      <c r="EW52" s="42"/>
      <c r="EX52" s="10"/>
      <c r="EY52" s="10"/>
      <c r="EZ52" s="10"/>
      <c r="FA52" s="10"/>
      <c r="FB52" s="10"/>
      <c r="FC52" s="10"/>
      <c r="FD52" s="10"/>
      <c r="FE52" s="10"/>
      <c r="FF52" s="10"/>
      <c r="FG52" s="10"/>
      <c r="FH52" s="10"/>
      <c r="FI52" s="10"/>
      <c r="FJ52" s="10"/>
      <c r="FK52" s="10"/>
      <c r="FL52" s="10"/>
      <c r="FM52" s="10"/>
      <c r="FN52" s="10"/>
      <c r="FO52" s="10"/>
      <c r="FP52" s="42"/>
      <c r="FQ52" s="42"/>
      <c r="FR52" s="42"/>
      <c r="FS52" s="42"/>
      <c r="FT52" s="42"/>
      <c r="FU52" s="42"/>
      <c r="FV52" s="42"/>
      <c r="FW52" s="42"/>
      <c r="FX52" s="42"/>
      <c r="FY52" s="42"/>
      <c r="FZ52" s="42"/>
      <c r="GA52" s="42"/>
      <c r="GB52" s="42"/>
      <c r="GC52" s="42"/>
      <c r="GD52" s="42"/>
      <c r="GE52" s="42"/>
      <c r="GF52" s="10"/>
      <c r="GG52" s="10">
        <v>2</v>
      </c>
      <c r="GH52" s="10" t="s">
        <v>5450</v>
      </c>
      <c r="GI52" s="42">
        <v>0</v>
      </c>
      <c r="GJ52" s="42">
        <v>45.17</v>
      </c>
      <c r="GK52" s="42">
        <v>99.38</v>
      </c>
      <c r="GL52" s="42"/>
      <c r="GM52" s="42">
        <v>108.41</v>
      </c>
      <c r="GN52" s="42"/>
      <c r="GO52" s="42"/>
      <c r="GP52" s="42"/>
      <c r="GQ52" s="42"/>
      <c r="GR52" s="42"/>
      <c r="GS52" s="42">
        <v>162.63</v>
      </c>
      <c r="GT52" s="42"/>
      <c r="GU52" s="42"/>
      <c r="GV52" s="42"/>
      <c r="GW52" s="42"/>
      <c r="GX52" s="42"/>
      <c r="GY52" s="11">
        <v>0.76</v>
      </c>
      <c r="GZ52" s="10">
        <v>2</v>
      </c>
      <c r="HA52" s="42">
        <v>0</v>
      </c>
      <c r="HB52" s="42">
        <v>10.39</v>
      </c>
      <c r="HC52" s="42">
        <v>25.98</v>
      </c>
      <c r="HD52" s="42"/>
      <c r="HE52" s="42">
        <v>20.79</v>
      </c>
      <c r="HF52" s="42"/>
      <c r="HG52" s="42"/>
      <c r="HH52" s="42"/>
      <c r="HI52" s="42"/>
      <c r="HJ52" s="42"/>
      <c r="HK52" s="42">
        <v>36.380000000000003</v>
      </c>
      <c r="HL52" s="42"/>
      <c r="HM52" s="42"/>
      <c r="HN52" s="42"/>
      <c r="HO52" s="42"/>
      <c r="HP52" s="42"/>
      <c r="HQ52" s="11">
        <v>0.47899999999999998</v>
      </c>
      <c r="HR52" s="10" t="s">
        <v>5451</v>
      </c>
      <c r="HS52" s="39">
        <v>1500000</v>
      </c>
      <c r="HT52" s="39"/>
      <c r="HU52" s="39"/>
      <c r="HV52" s="10" t="s">
        <v>25</v>
      </c>
      <c r="HW52" s="10" t="s">
        <v>25</v>
      </c>
      <c r="HX52" s="10" t="s">
        <v>5452</v>
      </c>
      <c r="HY52" s="10" t="s">
        <v>5452</v>
      </c>
      <c r="HZ52" s="10" t="s">
        <v>5452</v>
      </c>
      <c r="IA52" s="10" t="s">
        <v>25</v>
      </c>
      <c r="IB52" s="10"/>
      <c r="IC52" s="10" t="s">
        <v>5712</v>
      </c>
      <c r="ID52" s="10" t="s">
        <v>5713</v>
      </c>
      <c r="IE52" s="10" t="s">
        <v>13289</v>
      </c>
      <c r="IF52" s="10" t="s">
        <v>72</v>
      </c>
      <c r="IG52" s="10" t="s">
        <v>72</v>
      </c>
      <c r="IH52" s="10" t="s">
        <v>5714</v>
      </c>
      <c r="II52" s="10"/>
      <c r="IJ52" s="10" t="s">
        <v>2692</v>
      </c>
      <c r="IK52" s="10"/>
      <c r="IL52" s="10" t="s">
        <v>25</v>
      </c>
      <c r="IM52" s="10" t="s">
        <v>2758</v>
      </c>
      <c r="IN52" s="10"/>
      <c r="IO52" s="10" t="s">
        <v>5472</v>
      </c>
      <c r="IP52" s="10" t="s">
        <v>2201</v>
      </c>
      <c r="IQ52" s="10" t="s">
        <v>5458</v>
      </c>
      <c r="IR52" s="10" t="s">
        <v>5458</v>
      </c>
      <c r="IS52" s="10" t="s">
        <v>5521</v>
      </c>
      <c r="IT52" s="10" t="s">
        <v>5474</v>
      </c>
      <c r="IU52" s="10" t="s">
        <v>5474</v>
      </c>
      <c r="IV52" s="10" t="s">
        <v>5458</v>
      </c>
      <c r="IW52" s="10" t="s">
        <v>5458</v>
      </c>
      <c r="IX52" s="10" t="s">
        <v>5483</v>
      </c>
      <c r="IY52" s="10"/>
      <c r="IZ52" s="10" t="s">
        <v>5715</v>
      </c>
      <c r="JA52" s="10" t="s">
        <v>13301</v>
      </c>
      <c r="JB52" s="10" t="s">
        <v>5527</v>
      </c>
      <c r="JC52" s="10" t="s">
        <v>5527</v>
      </c>
      <c r="JD52" s="10" t="s">
        <v>5477</v>
      </c>
      <c r="JE52" s="10" t="s">
        <v>28</v>
      </c>
      <c r="JF52" s="10" t="s">
        <v>5464</v>
      </c>
      <c r="JG52" s="10" t="s">
        <v>5465</v>
      </c>
      <c r="JH52" s="10" t="s">
        <v>5509</v>
      </c>
    </row>
    <row r="53" spans="1:268" ht="153" x14ac:dyDescent="0.2">
      <c r="A53" s="31" t="s">
        <v>178</v>
      </c>
      <c r="B53" s="9" t="s">
        <v>5494</v>
      </c>
      <c r="C53" s="9"/>
      <c r="D53" s="9" t="s">
        <v>28</v>
      </c>
      <c r="E53" s="9" t="s">
        <v>5732</v>
      </c>
      <c r="F53" s="9" t="s">
        <v>5467</v>
      </c>
      <c r="G53" s="9"/>
      <c r="H53" s="9">
        <v>30</v>
      </c>
      <c r="I53" s="9">
        <v>20</v>
      </c>
      <c r="J53" s="9">
        <v>29</v>
      </c>
      <c r="K53" s="9" t="s">
        <v>28</v>
      </c>
      <c r="L53" s="9" t="s">
        <v>5468</v>
      </c>
      <c r="M53" s="9" t="s">
        <v>5468</v>
      </c>
      <c r="N53" s="9" t="s">
        <v>5468</v>
      </c>
      <c r="O53" s="9" t="s">
        <v>5447</v>
      </c>
      <c r="P53" s="9" t="s">
        <v>5447</v>
      </c>
      <c r="Q53" s="9" t="s">
        <v>5447</v>
      </c>
      <c r="R53" s="9" t="s">
        <v>5469</v>
      </c>
      <c r="S53" s="11">
        <v>0.16</v>
      </c>
      <c r="T53" s="11">
        <v>0.32</v>
      </c>
      <c r="U53" s="11">
        <v>0.15</v>
      </c>
      <c r="V53" s="10"/>
      <c r="W53" s="11">
        <v>0.06</v>
      </c>
      <c r="X53" s="10"/>
      <c r="Y53" s="10"/>
      <c r="Z53" s="10"/>
      <c r="AA53" s="10"/>
      <c r="AB53" s="10"/>
      <c r="AC53" s="11">
        <v>0.31</v>
      </c>
      <c r="AD53" s="10"/>
      <c r="AE53" s="10"/>
      <c r="AF53" s="10"/>
      <c r="AG53" s="10"/>
      <c r="AH53" s="10"/>
      <c r="AI53" s="36">
        <v>3</v>
      </c>
      <c r="AJ53" s="33">
        <v>0.01</v>
      </c>
      <c r="AK53" s="33">
        <v>0</v>
      </c>
      <c r="AL53" s="33"/>
      <c r="AM53" s="33"/>
      <c r="AN53" s="33">
        <v>0.01</v>
      </c>
      <c r="AO53" s="33"/>
      <c r="AP53" s="33"/>
      <c r="AQ53" s="33"/>
      <c r="AR53" s="33"/>
      <c r="AS53" s="33"/>
      <c r="AT53" s="11">
        <v>0.87</v>
      </c>
      <c r="AU53" s="11">
        <v>0.87</v>
      </c>
      <c r="AV53" s="11">
        <v>0.53</v>
      </c>
      <c r="AW53" s="11">
        <v>0.53</v>
      </c>
      <c r="AX53" s="11">
        <v>0.25</v>
      </c>
      <c r="AY53" s="11">
        <v>0.25</v>
      </c>
      <c r="AZ53" s="11">
        <v>0.87</v>
      </c>
      <c r="BA53" s="11">
        <v>0.87</v>
      </c>
      <c r="BB53" s="11">
        <v>0.53</v>
      </c>
      <c r="BC53" s="11">
        <v>0.53</v>
      </c>
      <c r="BD53" s="11">
        <v>0.25</v>
      </c>
      <c r="BE53" s="11">
        <v>0.25</v>
      </c>
      <c r="BF53" s="10" t="s">
        <v>28</v>
      </c>
      <c r="BG53" s="10" t="s">
        <v>25</v>
      </c>
      <c r="BH53" s="39"/>
      <c r="BI53" s="10" t="s">
        <v>25</v>
      </c>
      <c r="BJ53" s="39"/>
      <c r="BK53" s="10" t="s">
        <v>25</v>
      </c>
      <c r="BL53" s="39"/>
      <c r="BM53" s="10" t="s">
        <v>25</v>
      </c>
      <c r="BN53" s="39"/>
      <c r="BO53" s="10" t="s">
        <v>25</v>
      </c>
      <c r="BP53" s="39"/>
      <c r="BQ53" s="10" t="s">
        <v>5572</v>
      </c>
      <c r="BR53" s="42"/>
      <c r="BS53" s="42"/>
      <c r="BT53" s="42"/>
      <c r="BU53" s="42"/>
      <c r="BV53" s="42"/>
      <c r="BW53" s="42"/>
      <c r="BX53" s="42"/>
      <c r="BY53" s="42"/>
      <c r="BZ53" s="42"/>
      <c r="CA53" s="42"/>
      <c r="CB53" s="42"/>
      <c r="CC53" s="42"/>
      <c r="CD53" s="42"/>
      <c r="CE53" s="42"/>
      <c r="CF53" s="42"/>
      <c r="CG53" s="42"/>
      <c r="CH53" s="11"/>
      <c r="CI53" s="42"/>
      <c r="CJ53" s="42"/>
      <c r="CK53" s="42"/>
      <c r="CL53" s="42"/>
      <c r="CM53" s="42"/>
      <c r="CN53" s="42"/>
      <c r="CO53" s="42"/>
      <c r="CP53" s="42"/>
      <c r="CQ53" s="42"/>
      <c r="CR53" s="42"/>
      <c r="CS53" s="42"/>
      <c r="CT53" s="42"/>
      <c r="CU53" s="42"/>
      <c r="CV53" s="42"/>
      <c r="CW53" s="42"/>
      <c r="CX53" s="42"/>
      <c r="CY53" s="11"/>
      <c r="CZ53" s="42"/>
      <c r="DA53" s="42">
        <v>644.26</v>
      </c>
      <c r="DB53" s="42">
        <v>1288.51</v>
      </c>
      <c r="DC53" s="42"/>
      <c r="DD53" s="42">
        <v>1224.08</v>
      </c>
      <c r="DE53" s="42"/>
      <c r="DF53" s="42"/>
      <c r="DG53" s="42"/>
      <c r="DH53" s="42"/>
      <c r="DI53" s="42"/>
      <c r="DJ53" s="42">
        <v>1868.35</v>
      </c>
      <c r="DK53" s="42"/>
      <c r="DL53" s="42"/>
      <c r="DM53" s="42"/>
      <c r="DN53" s="42"/>
      <c r="DO53" s="42"/>
      <c r="DP53" s="11">
        <v>0.84</v>
      </c>
      <c r="DQ53" s="42"/>
      <c r="DR53" s="42"/>
      <c r="DS53" s="42"/>
      <c r="DT53" s="42"/>
      <c r="DU53" s="42"/>
      <c r="DV53" s="42"/>
      <c r="DW53" s="42"/>
      <c r="DX53" s="42"/>
      <c r="DY53" s="42"/>
      <c r="DZ53" s="42"/>
      <c r="EA53" s="42"/>
      <c r="EB53" s="42"/>
      <c r="EC53" s="42"/>
      <c r="ED53" s="42"/>
      <c r="EE53" s="42"/>
      <c r="EF53" s="42"/>
      <c r="EG53" s="11"/>
      <c r="EH53" s="42"/>
      <c r="EI53" s="42"/>
      <c r="EJ53" s="42"/>
      <c r="EK53" s="42"/>
      <c r="EL53" s="42"/>
      <c r="EM53" s="42"/>
      <c r="EN53" s="42"/>
      <c r="EO53" s="42"/>
      <c r="EP53" s="42"/>
      <c r="EQ53" s="42"/>
      <c r="ER53" s="42"/>
      <c r="ES53" s="42"/>
      <c r="ET53" s="42"/>
      <c r="EU53" s="42"/>
      <c r="EV53" s="42"/>
      <c r="EW53" s="42"/>
      <c r="EX53" s="10"/>
      <c r="EY53" s="10"/>
      <c r="EZ53" s="10"/>
      <c r="FA53" s="10"/>
      <c r="FB53" s="10"/>
      <c r="FC53" s="10"/>
      <c r="FD53" s="10"/>
      <c r="FE53" s="10"/>
      <c r="FF53" s="10"/>
      <c r="FG53" s="10"/>
      <c r="FH53" s="10"/>
      <c r="FI53" s="10"/>
      <c r="FJ53" s="10"/>
      <c r="FK53" s="10"/>
      <c r="FL53" s="10"/>
      <c r="FM53" s="10"/>
      <c r="FN53" s="10"/>
      <c r="FO53" s="10"/>
      <c r="FP53" s="42"/>
      <c r="FQ53" s="42"/>
      <c r="FR53" s="42"/>
      <c r="FS53" s="42"/>
      <c r="FT53" s="42"/>
      <c r="FU53" s="42"/>
      <c r="FV53" s="42"/>
      <c r="FW53" s="42"/>
      <c r="FX53" s="42"/>
      <c r="FY53" s="42"/>
      <c r="FZ53" s="42"/>
      <c r="GA53" s="42"/>
      <c r="GB53" s="42"/>
      <c r="GC53" s="42"/>
      <c r="GD53" s="42"/>
      <c r="GE53" s="42"/>
      <c r="GF53" s="10"/>
      <c r="GG53" s="10">
        <v>2</v>
      </c>
      <c r="GH53" s="10" t="s">
        <v>5450</v>
      </c>
      <c r="GI53" s="42"/>
      <c r="GJ53" s="42">
        <v>57.3</v>
      </c>
      <c r="GK53" s="42">
        <v>101.13</v>
      </c>
      <c r="GL53" s="42"/>
      <c r="GM53" s="42">
        <v>104.6</v>
      </c>
      <c r="GN53" s="42"/>
      <c r="GO53" s="42"/>
      <c r="GP53" s="42"/>
      <c r="GQ53" s="42"/>
      <c r="GR53" s="42"/>
      <c r="GS53" s="42">
        <v>154.33000000000001</v>
      </c>
      <c r="GT53" s="42"/>
      <c r="GU53" s="42"/>
      <c r="GV53" s="42"/>
      <c r="GW53" s="42"/>
      <c r="GX53" s="42"/>
      <c r="GY53" s="11">
        <v>0.34</v>
      </c>
      <c r="GZ53" s="10">
        <v>1</v>
      </c>
      <c r="HA53" s="42"/>
      <c r="HB53" s="42">
        <v>8.69</v>
      </c>
      <c r="HC53" s="42">
        <v>17.39</v>
      </c>
      <c r="HD53" s="42"/>
      <c r="HE53" s="42">
        <v>18.260000000000002</v>
      </c>
      <c r="HF53" s="42"/>
      <c r="HG53" s="42"/>
      <c r="HH53" s="42"/>
      <c r="HI53" s="42"/>
      <c r="HJ53" s="42"/>
      <c r="HK53" s="42">
        <v>29.18</v>
      </c>
      <c r="HL53" s="42"/>
      <c r="HM53" s="42"/>
      <c r="HN53" s="42"/>
      <c r="HO53" s="42"/>
      <c r="HP53" s="42"/>
      <c r="HQ53" s="11">
        <v>0.25</v>
      </c>
      <c r="HR53" s="10" t="s">
        <v>25</v>
      </c>
      <c r="HS53" s="39"/>
      <c r="HT53" s="39"/>
      <c r="HU53" s="39"/>
      <c r="HV53" s="10" t="s">
        <v>25</v>
      </c>
      <c r="HW53" s="10" t="s">
        <v>25</v>
      </c>
      <c r="HX53" s="10" t="s">
        <v>5452</v>
      </c>
      <c r="HY53" s="10" t="s">
        <v>5452</v>
      </c>
      <c r="HZ53" s="10" t="s">
        <v>5452</v>
      </c>
      <c r="IA53" s="10" t="s">
        <v>25</v>
      </c>
      <c r="IB53" s="10"/>
      <c r="IC53" s="10" t="s">
        <v>5733</v>
      </c>
      <c r="ID53" s="10" t="s">
        <v>13267</v>
      </c>
      <c r="IE53" s="10" t="s">
        <v>5734</v>
      </c>
      <c r="IF53" s="10" t="s">
        <v>5563</v>
      </c>
      <c r="IG53" s="10" t="s">
        <v>5563</v>
      </c>
      <c r="IH53" s="10" t="s">
        <v>5563</v>
      </c>
      <c r="II53" s="10" t="s">
        <v>72</v>
      </c>
      <c r="IJ53" s="10" t="s">
        <v>2692</v>
      </c>
      <c r="IK53" s="10"/>
      <c r="IL53" s="10" t="s">
        <v>25</v>
      </c>
      <c r="IM53" s="10" t="s">
        <v>5457</v>
      </c>
      <c r="IN53" s="10"/>
      <c r="IO53" s="10" t="s">
        <v>25</v>
      </c>
      <c r="IP53" s="10" t="s">
        <v>28</v>
      </c>
      <c r="IQ53" s="10" t="s">
        <v>5459</v>
      </c>
      <c r="IR53" s="10" t="s">
        <v>5459</v>
      </c>
      <c r="IS53" s="10" t="s">
        <v>5459</v>
      </c>
      <c r="IT53" s="10" t="s">
        <v>5474</v>
      </c>
      <c r="IU53" s="10" t="s">
        <v>5474</v>
      </c>
      <c r="IV53" s="10" t="s">
        <v>5459</v>
      </c>
      <c r="IW53" s="10" t="s">
        <v>5459</v>
      </c>
      <c r="IX53" s="10" t="s">
        <v>5483</v>
      </c>
      <c r="IY53" s="10"/>
      <c r="IZ53" s="10" t="s">
        <v>5735</v>
      </c>
      <c r="JA53" s="10" t="s">
        <v>13301</v>
      </c>
      <c r="JB53" s="10" t="s">
        <v>5515</v>
      </c>
      <c r="JC53" s="10" t="s">
        <v>5515</v>
      </c>
      <c r="JD53" s="10" t="s">
        <v>5736</v>
      </c>
      <c r="JE53" s="10" t="s">
        <v>28</v>
      </c>
      <c r="JF53" s="10" t="s">
        <v>5516</v>
      </c>
      <c r="JG53" s="10" t="s">
        <v>5465</v>
      </c>
      <c r="JH53" s="10" t="s">
        <v>5509</v>
      </c>
    </row>
    <row r="54" spans="1:268" ht="76.5" x14ac:dyDescent="0.2">
      <c r="A54" s="31" t="s">
        <v>151</v>
      </c>
      <c r="B54" s="9" t="s">
        <v>2207</v>
      </c>
      <c r="C54" s="9"/>
      <c r="D54" s="9" t="s">
        <v>25</v>
      </c>
      <c r="E54" s="9"/>
      <c r="F54" s="9"/>
      <c r="G54" s="9"/>
      <c r="H54" s="9">
        <v>24</v>
      </c>
      <c r="I54" s="9"/>
      <c r="J54" s="9"/>
      <c r="K54" s="9" t="s">
        <v>25</v>
      </c>
      <c r="L54" s="9"/>
      <c r="M54" s="9"/>
      <c r="N54" s="9"/>
      <c r="O54" s="9"/>
      <c r="P54" s="9"/>
      <c r="Q54" s="9"/>
      <c r="R54" s="9" t="s">
        <v>5469</v>
      </c>
      <c r="S54" s="11">
        <v>0.09</v>
      </c>
      <c r="T54" s="11">
        <v>0.49</v>
      </c>
      <c r="U54" s="11">
        <v>0.13</v>
      </c>
      <c r="V54" s="10"/>
      <c r="W54" s="11">
        <v>7.0000000000000007E-2</v>
      </c>
      <c r="X54" s="10"/>
      <c r="Y54" s="10"/>
      <c r="Z54" s="10"/>
      <c r="AA54" s="10"/>
      <c r="AB54" s="10"/>
      <c r="AC54" s="11">
        <v>0.22</v>
      </c>
      <c r="AD54" s="10"/>
      <c r="AE54" s="10"/>
      <c r="AF54" s="10"/>
      <c r="AG54" s="10"/>
      <c r="AH54" s="10"/>
      <c r="AI54" s="36">
        <v>1</v>
      </c>
      <c r="AJ54" s="33">
        <v>0.05</v>
      </c>
      <c r="AK54" s="33">
        <v>0.05</v>
      </c>
      <c r="AL54" s="33"/>
      <c r="AM54" s="33"/>
      <c r="AN54" s="33">
        <v>0</v>
      </c>
      <c r="AO54" s="33"/>
      <c r="AP54" s="33"/>
      <c r="AQ54" s="33"/>
      <c r="AR54" s="33"/>
      <c r="AS54" s="33"/>
      <c r="AT54" s="11">
        <v>1</v>
      </c>
      <c r="AU54" s="11">
        <v>0</v>
      </c>
      <c r="AV54" s="11">
        <v>1</v>
      </c>
      <c r="AW54" s="11">
        <v>0</v>
      </c>
      <c r="AX54" s="11">
        <v>1</v>
      </c>
      <c r="AY54" s="11">
        <v>0</v>
      </c>
      <c r="AZ54" s="11">
        <v>0.75</v>
      </c>
      <c r="BA54" s="11">
        <v>0</v>
      </c>
      <c r="BB54" s="11">
        <v>1</v>
      </c>
      <c r="BC54" s="11">
        <v>0</v>
      </c>
      <c r="BD54" s="11">
        <v>1</v>
      </c>
      <c r="BE54" s="11">
        <v>0</v>
      </c>
      <c r="BF54" s="10" t="s">
        <v>25</v>
      </c>
      <c r="BG54" s="10" t="s">
        <v>28</v>
      </c>
      <c r="BH54" s="39">
        <v>416.66</v>
      </c>
      <c r="BI54" s="10" t="s">
        <v>28</v>
      </c>
      <c r="BJ54" s="39">
        <v>416.66</v>
      </c>
      <c r="BK54" s="10" t="s">
        <v>28</v>
      </c>
      <c r="BL54" s="39">
        <v>416.66</v>
      </c>
      <c r="BM54" s="10" t="s">
        <v>25</v>
      </c>
      <c r="BN54" s="39"/>
      <c r="BO54" s="10" t="s">
        <v>25</v>
      </c>
      <c r="BP54" s="39"/>
      <c r="BQ54" s="10" t="s">
        <v>5479</v>
      </c>
      <c r="BR54" s="42">
        <v>0</v>
      </c>
      <c r="BS54" s="42">
        <v>891.67</v>
      </c>
      <c r="BT54" s="42">
        <v>1516.66</v>
      </c>
      <c r="BU54" s="42"/>
      <c r="BV54" s="42">
        <v>1516.66</v>
      </c>
      <c r="BW54" s="42"/>
      <c r="BX54" s="42"/>
      <c r="BY54" s="42"/>
      <c r="BZ54" s="42"/>
      <c r="CA54" s="42"/>
      <c r="CB54" s="42">
        <v>2141.66</v>
      </c>
      <c r="CC54" s="42"/>
      <c r="CD54" s="42"/>
      <c r="CE54" s="42"/>
      <c r="CF54" s="42"/>
      <c r="CG54" s="42"/>
      <c r="CH54" s="11">
        <v>1</v>
      </c>
      <c r="CI54" s="42"/>
      <c r="CJ54" s="42"/>
      <c r="CK54" s="42"/>
      <c r="CL54" s="42"/>
      <c r="CM54" s="42"/>
      <c r="CN54" s="42"/>
      <c r="CO54" s="42"/>
      <c r="CP54" s="42"/>
      <c r="CQ54" s="42"/>
      <c r="CR54" s="42"/>
      <c r="CS54" s="42"/>
      <c r="CT54" s="42"/>
      <c r="CU54" s="42"/>
      <c r="CV54" s="42"/>
      <c r="CW54" s="42"/>
      <c r="CX54" s="42"/>
      <c r="CY54" s="11"/>
      <c r="CZ54" s="42">
        <v>0</v>
      </c>
      <c r="DA54" s="42">
        <v>624.99</v>
      </c>
      <c r="DB54" s="42">
        <v>1074.99</v>
      </c>
      <c r="DC54" s="42"/>
      <c r="DD54" s="42">
        <v>1074.99</v>
      </c>
      <c r="DE54" s="42"/>
      <c r="DF54" s="42"/>
      <c r="DG54" s="42"/>
      <c r="DH54" s="42"/>
      <c r="DI54" s="42"/>
      <c r="DJ54" s="42">
        <v>1516.66</v>
      </c>
      <c r="DK54" s="42"/>
      <c r="DL54" s="42"/>
      <c r="DM54" s="42"/>
      <c r="DN54" s="42"/>
      <c r="DO54" s="42"/>
      <c r="DP54" s="11">
        <v>1</v>
      </c>
      <c r="DQ54" s="42">
        <v>0</v>
      </c>
      <c r="DR54" s="42">
        <v>540.25</v>
      </c>
      <c r="DS54" s="42">
        <v>1085.9100000000001</v>
      </c>
      <c r="DT54" s="42"/>
      <c r="DU54" s="42">
        <v>1085.9100000000001</v>
      </c>
      <c r="DV54" s="42"/>
      <c r="DW54" s="42"/>
      <c r="DX54" s="42"/>
      <c r="DY54" s="42"/>
      <c r="DZ54" s="42"/>
      <c r="EA54" s="42">
        <v>1653.16</v>
      </c>
      <c r="EB54" s="42"/>
      <c r="EC54" s="42"/>
      <c r="ED54" s="42"/>
      <c r="EE54" s="42"/>
      <c r="EF54" s="42"/>
      <c r="EG54" s="11">
        <v>1</v>
      </c>
      <c r="EH54" s="42"/>
      <c r="EI54" s="42"/>
      <c r="EJ54" s="42"/>
      <c r="EK54" s="42"/>
      <c r="EL54" s="42"/>
      <c r="EM54" s="42"/>
      <c r="EN54" s="42"/>
      <c r="EO54" s="42"/>
      <c r="EP54" s="42"/>
      <c r="EQ54" s="42"/>
      <c r="ER54" s="42"/>
      <c r="ES54" s="42"/>
      <c r="ET54" s="42"/>
      <c r="EU54" s="42"/>
      <c r="EV54" s="42"/>
      <c r="EW54" s="42"/>
      <c r="EX54" s="10"/>
      <c r="EY54" s="10"/>
      <c r="EZ54" s="10"/>
      <c r="FA54" s="10"/>
      <c r="FB54" s="10"/>
      <c r="FC54" s="10"/>
      <c r="FD54" s="10"/>
      <c r="FE54" s="10"/>
      <c r="FF54" s="10"/>
      <c r="FG54" s="10"/>
      <c r="FH54" s="10"/>
      <c r="FI54" s="10"/>
      <c r="FJ54" s="10"/>
      <c r="FK54" s="10"/>
      <c r="FL54" s="10"/>
      <c r="FM54" s="10"/>
      <c r="FN54" s="10"/>
      <c r="FO54" s="10"/>
      <c r="FP54" s="42"/>
      <c r="FQ54" s="42"/>
      <c r="FR54" s="42"/>
      <c r="FS54" s="42"/>
      <c r="FT54" s="42"/>
      <c r="FU54" s="42"/>
      <c r="FV54" s="42"/>
      <c r="FW54" s="42"/>
      <c r="FX54" s="42"/>
      <c r="FY54" s="42"/>
      <c r="FZ54" s="42"/>
      <c r="GA54" s="42"/>
      <c r="GB54" s="42"/>
      <c r="GC54" s="42"/>
      <c r="GD54" s="42"/>
      <c r="GE54" s="42"/>
      <c r="GF54" s="10"/>
      <c r="GG54" s="10">
        <v>1</v>
      </c>
      <c r="GH54" s="10" t="s">
        <v>5450</v>
      </c>
      <c r="GI54" s="42">
        <v>0</v>
      </c>
      <c r="GJ54" s="42">
        <v>50.59</v>
      </c>
      <c r="GK54" s="42">
        <v>108</v>
      </c>
      <c r="GL54" s="42"/>
      <c r="GM54" s="42">
        <v>108</v>
      </c>
      <c r="GN54" s="42"/>
      <c r="GO54" s="42"/>
      <c r="GP54" s="42"/>
      <c r="GQ54" s="42"/>
      <c r="GR54" s="42"/>
      <c r="GS54" s="42">
        <v>194.06</v>
      </c>
      <c r="GT54" s="42"/>
      <c r="GU54" s="42"/>
      <c r="GV54" s="42"/>
      <c r="GW54" s="42"/>
      <c r="GX54" s="42"/>
      <c r="GY54" s="11">
        <v>1</v>
      </c>
      <c r="GZ54" s="10">
        <v>1</v>
      </c>
      <c r="HA54" s="42">
        <v>0</v>
      </c>
      <c r="HB54" s="42">
        <v>10.57</v>
      </c>
      <c r="HC54" s="42">
        <v>18.5</v>
      </c>
      <c r="HD54" s="42"/>
      <c r="HE54" s="42">
        <v>18.5</v>
      </c>
      <c r="HF54" s="42"/>
      <c r="HG54" s="42"/>
      <c r="HH54" s="42"/>
      <c r="HI54" s="42"/>
      <c r="HJ54" s="42"/>
      <c r="HK54" s="42">
        <v>30</v>
      </c>
      <c r="HL54" s="42"/>
      <c r="HM54" s="42"/>
      <c r="HN54" s="42"/>
      <c r="HO54" s="42"/>
      <c r="HP54" s="42"/>
      <c r="HQ54" s="11">
        <v>1</v>
      </c>
      <c r="HR54" s="10" t="s">
        <v>25</v>
      </c>
      <c r="HS54" s="39"/>
      <c r="HT54" s="39"/>
      <c r="HU54" s="39"/>
      <c r="HV54" s="10"/>
      <c r="HW54" s="10"/>
      <c r="HX54" s="10" t="s">
        <v>5452</v>
      </c>
      <c r="HY54" s="10" t="s">
        <v>5453</v>
      </c>
      <c r="HZ54" s="10" t="s">
        <v>5453</v>
      </c>
      <c r="IA54" s="10" t="s">
        <v>25</v>
      </c>
      <c r="IB54" s="10"/>
      <c r="IC54" s="10" t="s">
        <v>5630</v>
      </c>
      <c r="ID54" s="10" t="s">
        <v>5631</v>
      </c>
      <c r="IE54" s="10" t="s">
        <v>5632</v>
      </c>
      <c r="IF54" s="10" t="s">
        <v>5633</v>
      </c>
      <c r="IG54" s="10" t="s">
        <v>5633</v>
      </c>
      <c r="IH54" s="10" t="s">
        <v>5633</v>
      </c>
      <c r="II54" s="10" t="s">
        <v>5633</v>
      </c>
      <c r="IJ54" s="10" t="s">
        <v>2692</v>
      </c>
      <c r="IK54" s="10"/>
      <c r="IL54" s="10" t="s">
        <v>25</v>
      </c>
      <c r="IM54" s="10" t="s">
        <v>5457</v>
      </c>
      <c r="IN54" s="10"/>
      <c r="IO54" s="10" t="s">
        <v>25</v>
      </c>
      <c r="IP54" s="10" t="s">
        <v>2201</v>
      </c>
      <c r="IQ54" s="10" t="s">
        <v>5458</v>
      </c>
      <c r="IR54" s="10" t="s">
        <v>5458</v>
      </c>
      <c r="IS54" s="10" t="s">
        <v>5458</v>
      </c>
      <c r="IT54" s="10" t="s">
        <v>5474</v>
      </c>
      <c r="IU54" s="10" t="s">
        <v>5474</v>
      </c>
      <c r="IV54" s="10" t="s">
        <v>5458</v>
      </c>
      <c r="IW54" s="10" t="s">
        <v>5458</v>
      </c>
      <c r="IX54" s="10" t="s">
        <v>5483</v>
      </c>
      <c r="IY54" s="10"/>
      <c r="IZ54" s="10" t="s">
        <v>5634</v>
      </c>
      <c r="JA54" s="10" t="s">
        <v>13301</v>
      </c>
      <c r="JB54" s="10" t="s">
        <v>5476</v>
      </c>
      <c r="JC54" s="10" t="s">
        <v>5476</v>
      </c>
      <c r="JD54" s="10" t="s">
        <v>5477</v>
      </c>
      <c r="JE54" s="10" t="s">
        <v>5463</v>
      </c>
      <c r="JF54" s="10" t="s">
        <v>5516</v>
      </c>
      <c r="JG54" s="10" t="s">
        <v>5465</v>
      </c>
      <c r="JH54" s="10" t="s">
        <v>5509</v>
      </c>
    </row>
    <row r="55" spans="1:268" ht="76.5" x14ac:dyDescent="0.2">
      <c r="A55" s="31" t="s">
        <v>172</v>
      </c>
      <c r="B55" s="9" t="s">
        <v>5494</v>
      </c>
      <c r="C55" s="9"/>
      <c r="D55" s="9" t="s">
        <v>25</v>
      </c>
      <c r="E55" s="9"/>
      <c r="F55" s="9" t="s">
        <v>5467</v>
      </c>
      <c r="G55" s="9"/>
      <c r="H55" s="9">
        <v>40</v>
      </c>
      <c r="I55" s="9">
        <v>30</v>
      </c>
      <c r="J55" s="9"/>
      <c r="K55" s="9" t="s">
        <v>25</v>
      </c>
      <c r="L55" s="9"/>
      <c r="M55" s="9"/>
      <c r="N55" s="9"/>
      <c r="O55" s="9"/>
      <c r="P55" s="9"/>
      <c r="Q55" s="9"/>
      <c r="R55" s="9" t="s">
        <v>5469</v>
      </c>
      <c r="S55" s="11">
        <v>0.02</v>
      </c>
      <c r="T55" s="11">
        <v>0.34</v>
      </c>
      <c r="U55" s="11">
        <v>0.19</v>
      </c>
      <c r="V55" s="10"/>
      <c r="W55" s="11">
        <v>0.03</v>
      </c>
      <c r="X55" s="10"/>
      <c r="Y55" s="10"/>
      <c r="Z55" s="10"/>
      <c r="AA55" s="10"/>
      <c r="AB55" s="10"/>
      <c r="AC55" s="11">
        <v>0.42</v>
      </c>
      <c r="AD55" s="10"/>
      <c r="AE55" s="10"/>
      <c r="AF55" s="10"/>
      <c r="AG55" s="10"/>
      <c r="AH55" s="10"/>
      <c r="AI55" s="36">
        <v>4</v>
      </c>
      <c r="AJ55" s="33"/>
      <c r="AK55" s="33"/>
      <c r="AL55" s="33"/>
      <c r="AM55" s="33"/>
      <c r="AN55" s="33">
        <v>6.2E-2</v>
      </c>
      <c r="AO55" s="33"/>
      <c r="AP55" s="33"/>
      <c r="AQ55" s="33"/>
      <c r="AR55" s="33"/>
      <c r="AS55" s="33"/>
      <c r="AT55" s="11">
        <v>1</v>
      </c>
      <c r="AU55" s="11"/>
      <c r="AV55" s="11">
        <v>1</v>
      </c>
      <c r="AW55" s="11"/>
      <c r="AX55" s="11">
        <v>1</v>
      </c>
      <c r="AY55" s="11"/>
      <c r="AZ55" s="11">
        <v>1</v>
      </c>
      <c r="BA55" s="11"/>
      <c r="BB55" s="11">
        <v>1</v>
      </c>
      <c r="BC55" s="11"/>
      <c r="BD55" s="11">
        <v>1</v>
      </c>
      <c r="BE55" s="11"/>
      <c r="BF55" s="10" t="s">
        <v>25</v>
      </c>
      <c r="BG55" s="10" t="s">
        <v>25</v>
      </c>
      <c r="BH55" s="39"/>
      <c r="BI55" s="10" t="s">
        <v>25</v>
      </c>
      <c r="BJ55" s="39"/>
      <c r="BK55" s="10" t="s">
        <v>25</v>
      </c>
      <c r="BL55" s="39"/>
      <c r="BM55" s="10" t="s">
        <v>25</v>
      </c>
      <c r="BN55" s="39"/>
      <c r="BO55" s="10" t="s">
        <v>25</v>
      </c>
      <c r="BP55" s="39"/>
      <c r="BQ55" s="10" t="s">
        <v>5707</v>
      </c>
      <c r="BR55" s="42">
        <v>0</v>
      </c>
      <c r="BS55" s="42">
        <v>515.16</v>
      </c>
      <c r="BT55" s="42">
        <v>1128.22</v>
      </c>
      <c r="BU55" s="42"/>
      <c r="BV55" s="42">
        <v>978.82</v>
      </c>
      <c r="BW55" s="42"/>
      <c r="BX55" s="42"/>
      <c r="BY55" s="42"/>
      <c r="BZ55" s="42"/>
      <c r="CA55" s="42"/>
      <c r="CB55" s="42">
        <v>1566.12</v>
      </c>
      <c r="CC55" s="42"/>
      <c r="CD55" s="42"/>
      <c r="CE55" s="42"/>
      <c r="CF55" s="42"/>
      <c r="CG55" s="42"/>
      <c r="CH55" s="11">
        <v>1</v>
      </c>
      <c r="CI55" s="42"/>
      <c r="CJ55" s="42"/>
      <c r="CK55" s="42"/>
      <c r="CL55" s="42"/>
      <c r="CM55" s="42"/>
      <c r="CN55" s="42"/>
      <c r="CO55" s="42"/>
      <c r="CP55" s="42"/>
      <c r="CQ55" s="42"/>
      <c r="CR55" s="42"/>
      <c r="CS55" s="42"/>
      <c r="CT55" s="42"/>
      <c r="CU55" s="42"/>
      <c r="CV55" s="42"/>
      <c r="CW55" s="42"/>
      <c r="CX55" s="42"/>
      <c r="CY55" s="11"/>
      <c r="CZ55" s="42"/>
      <c r="DA55" s="42"/>
      <c r="DB55" s="42"/>
      <c r="DC55" s="42"/>
      <c r="DD55" s="42"/>
      <c r="DE55" s="42"/>
      <c r="DF55" s="42"/>
      <c r="DG55" s="42"/>
      <c r="DH55" s="42"/>
      <c r="DI55" s="42"/>
      <c r="DJ55" s="42"/>
      <c r="DK55" s="42"/>
      <c r="DL55" s="42"/>
      <c r="DM55" s="42"/>
      <c r="DN55" s="42"/>
      <c r="DO55" s="42"/>
      <c r="DP55" s="11"/>
      <c r="DQ55" s="42">
        <v>0</v>
      </c>
      <c r="DR55" s="42">
        <v>488.49</v>
      </c>
      <c r="DS55" s="42">
        <v>1069.78</v>
      </c>
      <c r="DT55" s="42"/>
      <c r="DU55" s="42">
        <v>928.12</v>
      </c>
      <c r="DV55" s="42"/>
      <c r="DW55" s="42"/>
      <c r="DX55" s="42"/>
      <c r="DY55" s="42"/>
      <c r="DZ55" s="42"/>
      <c r="EA55" s="42">
        <v>1485</v>
      </c>
      <c r="EB55" s="42"/>
      <c r="EC55" s="42"/>
      <c r="ED55" s="42"/>
      <c r="EE55" s="42"/>
      <c r="EF55" s="42"/>
      <c r="EG55" s="11">
        <v>1</v>
      </c>
      <c r="EH55" s="42"/>
      <c r="EI55" s="42"/>
      <c r="EJ55" s="42"/>
      <c r="EK55" s="42"/>
      <c r="EL55" s="42"/>
      <c r="EM55" s="42"/>
      <c r="EN55" s="42"/>
      <c r="EO55" s="42"/>
      <c r="EP55" s="42"/>
      <c r="EQ55" s="42"/>
      <c r="ER55" s="42"/>
      <c r="ES55" s="42"/>
      <c r="ET55" s="42"/>
      <c r="EU55" s="42"/>
      <c r="EV55" s="42"/>
      <c r="EW55" s="42"/>
      <c r="EX55" s="10"/>
      <c r="EY55" s="10"/>
      <c r="EZ55" s="10"/>
      <c r="FA55" s="10"/>
      <c r="FB55" s="10"/>
      <c r="FC55" s="10"/>
      <c r="FD55" s="10"/>
      <c r="FE55" s="10"/>
      <c r="FF55" s="10"/>
      <c r="FG55" s="10"/>
      <c r="FH55" s="10"/>
      <c r="FI55" s="10"/>
      <c r="FJ55" s="10"/>
      <c r="FK55" s="10"/>
      <c r="FL55" s="10"/>
      <c r="FM55" s="10"/>
      <c r="FN55" s="10"/>
      <c r="FO55" s="10"/>
      <c r="FP55" s="42"/>
      <c r="FQ55" s="42"/>
      <c r="FR55" s="42"/>
      <c r="FS55" s="42"/>
      <c r="FT55" s="42"/>
      <c r="FU55" s="42"/>
      <c r="FV55" s="42"/>
      <c r="FW55" s="42"/>
      <c r="FX55" s="42"/>
      <c r="FY55" s="42"/>
      <c r="FZ55" s="42"/>
      <c r="GA55" s="42"/>
      <c r="GB55" s="42"/>
      <c r="GC55" s="42"/>
      <c r="GD55" s="42"/>
      <c r="GE55" s="42"/>
      <c r="GF55" s="10"/>
      <c r="GG55" s="10">
        <v>1</v>
      </c>
      <c r="GH55" s="10" t="s">
        <v>5450</v>
      </c>
      <c r="GI55" s="42"/>
      <c r="GJ55" s="42"/>
      <c r="GK55" s="42"/>
      <c r="GL55" s="42"/>
      <c r="GM55" s="42"/>
      <c r="GN55" s="42"/>
      <c r="GO55" s="42"/>
      <c r="GP55" s="42"/>
      <c r="GQ55" s="42"/>
      <c r="GR55" s="42"/>
      <c r="GS55" s="42">
        <v>166.47</v>
      </c>
      <c r="GT55" s="42"/>
      <c r="GU55" s="42"/>
      <c r="GV55" s="42"/>
      <c r="GW55" s="42"/>
      <c r="GX55" s="42"/>
      <c r="GY55" s="11">
        <v>1</v>
      </c>
      <c r="GZ55" s="10">
        <v>1</v>
      </c>
      <c r="HA55" s="42"/>
      <c r="HB55" s="42"/>
      <c r="HC55" s="42"/>
      <c r="HD55" s="42"/>
      <c r="HE55" s="42"/>
      <c r="HF55" s="42"/>
      <c r="HG55" s="42"/>
      <c r="HH55" s="42"/>
      <c r="HI55" s="42"/>
      <c r="HJ55" s="42"/>
      <c r="HK55" s="42">
        <v>25.39</v>
      </c>
      <c r="HL55" s="42"/>
      <c r="HM55" s="42"/>
      <c r="HN55" s="42"/>
      <c r="HO55" s="42"/>
      <c r="HP55" s="42"/>
      <c r="HQ55" s="11">
        <v>1</v>
      </c>
      <c r="HR55" s="10" t="s">
        <v>25</v>
      </c>
      <c r="HS55" s="39"/>
      <c r="HT55" s="39"/>
      <c r="HU55" s="39"/>
      <c r="HV55" s="10"/>
      <c r="HW55" s="10"/>
      <c r="HX55" s="10" t="s">
        <v>5452</v>
      </c>
      <c r="HY55" s="10" t="s">
        <v>5452</v>
      </c>
      <c r="HZ55" s="10" t="s">
        <v>635</v>
      </c>
      <c r="IA55" s="10" t="s">
        <v>25</v>
      </c>
      <c r="IB55" s="10"/>
      <c r="IC55" s="10" t="s">
        <v>5708</v>
      </c>
      <c r="ID55" s="10" t="s">
        <v>13263</v>
      </c>
      <c r="IE55" s="10" t="s">
        <v>5709</v>
      </c>
      <c r="IF55" s="10" t="s">
        <v>72</v>
      </c>
      <c r="IG55" s="10" t="s">
        <v>72</v>
      </c>
      <c r="IH55" s="10" t="s">
        <v>72</v>
      </c>
      <c r="II55" s="10" t="s">
        <v>72</v>
      </c>
      <c r="IJ55" s="10" t="s">
        <v>2692</v>
      </c>
      <c r="IK55" s="10"/>
      <c r="IL55" s="10" t="s">
        <v>5549</v>
      </c>
      <c r="IM55" s="10" t="s">
        <v>2692</v>
      </c>
      <c r="IN55" s="10"/>
      <c r="IO55" s="10" t="s">
        <v>25</v>
      </c>
      <c r="IP55" s="10" t="s">
        <v>2201</v>
      </c>
      <c r="IQ55" s="10" t="s">
        <v>5513</v>
      </c>
      <c r="IR55" s="10" t="s">
        <v>5513</v>
      </c>
      <c r="IS55" s="10" t="s">
        <v>5513</v>
      </c>
      <c r="IT55" s="10" t="s">
        <v>5474</v>
      </c>
      <c r="IU55" s="10" t="s">
        <v>5474</v>
      </c>
      <c r="IV55" s="10" t="s">
        <v>5553</v>
      </c>
      <c r="IW55" s="10" t="s">
        <v>5474</v>
      </c>
      <c r="IX55" s="10" t="s">
        <v>5460</v>
      </c>
      <c r="IY55" s="10"/>
      <c r="IZ55" s="10"/>
      <c r="JA55" s="10" t="s">
        <v>13301</v>
      </c>
      <c r="JB55" s="10" t="s">
        <v>5710</v>
      </c>
      <c r="JC55" s="10" t="s">
        <v>5710</v>
      </c>
      <c r="JD55" s="10" t="s">
        <v>5462</v>
      </c>
      <c r="JE55" s="10" t="s">
        <v>28</v>
      </c>
      <c r="JF55" s="10" t="s">
        <v>5464</v>
      </c>
      <c r="JG55" s="10" t="s">
        <v>13302</v>
      </c>
      <c r="JH55" s="10" t="s">
        <v>5496</v>
      </c>
    </row>
    <row r="56" spans="1:268" ht="76.5" x14ac:dyDescent="0.2">
      <c r="A56" s="31" t="s">
        <v>119</v>
      </c>
      <c r="B56" s="9" t="s">
        <v>2185</v>
      </c>
      <c r="C56" s="9"/>
      <c r="D56" s="9" t="s">
        <v>25</v>
      </c>
      <c r="E56" s="9"/>
      <c r="F56" s="9" t="s">
        <v>5467</v>
      </c>
      <c r="G56" s="9"/>
      <c r="H56" s="9">
        <v>20</v>
      </c>
      <c r="I56" s="9">
        <v>20</v>
      </c>
      <c r="J56" s="9"/>
      <c r="K56" s="9" t="s">
        <v>25</v>
      </c>
      <c r="L56" s="9"/>
      <c r="M56" s="9"/>
      <c r="N56" s="9"/>
      <c r="O56" s="9"/>
      <c r="P56" s="9"/>
      <c r="Q56" s="9"/>
      <c r="R56" s="9" t="s">
        <v>5469</v>
      </c>
      <c r="S56" s="11">
        <v>0.02</v>
      </c>
      <c r="T56" s="11">
        <v>0.56999999999999995</v>
      </c>
      <c r="U56" s="11">
        <v>0.12</v>
      </c>
      <c r="V56" s="10"/>
      <c r="W56" s="11">
        <v>0.09</v>
      </c>
      <c r="X56" s="10"/>
      <c r="Y56" s="10"/>
      <c r="Z56" s="10"/>
      <c r="AA56" s="10"/>
      <c r="AB56" s="10"/>
      <c r="AC56" s="11">
        <v>0.2</v>
      </c>
      <c r="AD56" s="10"/>
      <c r="AE56" s="10"/>
      <c r="AF56" s="10"/>
      <c r="AG56" s="10"/>
      <c r="AH56" s="10"/>
      <c r="AI56" s="36">
        <v>2</v>
      </c>
      <c r="AJ56" s="33">
        <v>7.0000000000000007E-2</v>
      </c>
      <c r="AK56" s="33">
        <v>7.0000000000000007E-2</v>
      </c>
      <c r="AL56" s="33"/>
      <c r="AM56" s="33"/>
      <c r="AN56" s="33">
        <v>9.9000000000000005E-2</v>
      </c>
      <c r="AO56" s="33">
        <v>4.2999999999999997E-2</v>
      </c>
      <c r="AP56" s="33">
        <v>4.2999999999999997E-2</v>
      </c>
      <c r="AQ56" s="33"/>
      <c r="AR56" s="33"/>
      <c r="AS56" s="33">
        <v>0.03</v>
      </c>
      <c r="AT56" s="11">
        <v>1</v>
      </c>
      <c r="AU56" s="11">
        <v>1</v>
      </c>
      <c r="AV56" s="11">
        <v>1</v>
      </c>
      <c r="AW56" s="11">
        <v>1</v>
      </c>
      <c r="AX56" s="11">
        <v>1</v>
      </c>
      <c r="AY56" s="11">
        <v>1</v>
      </c>
      <c r="AZ56" s="11">
        <v>0.72</v>
      </c>
      <c r="BA56" s="11">
        <v>0.72</v>
      </c>
      <c r="BB56" s="11">
        <v>0.72</v>
      </c>
      <c r="BC56" s="11">
        <v>0.72</v>
      </c>
      <c r="BD56" s="11">
        <v>0.67</v>
      </c>
      <c r="BE56" s="11">
        <v>0.67</v>
      </c>
      <c r="BF56" s="10" t="s">
        <v>25</v>
      </c>
      <c r="BG56" s="10" t="s">
        <v>25</v>
      </c>
      <c r="BH56" s="39"/>
      <c r="BI56" s="10" t="s">
        <v>25</v>
      </c>
      <c r="BJ56" s="39"/>
      <c r="BK56" s="10" t="s">
        <v>25</v>
      </c>
      <c r="BL56" s="39"/>
      <c r="BM56" s="10" t="s">
        <v>25</v>
      </c>
      <c r="BN56" s="39"/>
      <c r="BO56" s="10" t="s">
        <v>25</v>
      </c>
      <c r="BP56" s="39"/>
      <c r="BQ56" s="10" t="s">
        <v>5479</v>
      </c>
      <c r="BR56" s="42">
        <v>0</v>
      </c>
      <c r="BS56" s="42">
        <v>724.27</v>
      </c>
      <c r="BT56" s="42">
        <v>1593.38</v>
      </c>
      <c r="BU56" s="42"/>
      <c r="BV56" s="42">
        <v>1267.47</v>
      </c>
      <c r="BW56" s="42"/>
      <c r="BX56" s="42"/>
      <c r="BY56" s="42"/>
      <c r="BZ56" s="42"/>
      <c r="CA56" s="42"/>
      <c r="CB56" s="42">
        <v>2172.8000000000002</v>
      </c>
      <c r="CC56" s="42"/>
      <c r="CD56" s="42"/>
      <c r="CE56" s="42"/>
      <c r="CF56" s="42"/>
      <c r="CG56" s="42"/>
      <c r="CH56" s="11">
        <v>0.9</v>
      </c>
      <c r="CI56" s="42"/>
      <c r="CJ56" s="42"/>
      <c r="CK56" s="42"/>
      <c r="CL56" s="42"/>
      <c r="CM56" s="42"/>
      <c r="CN56" s="42"/>
      <c r="CO56" s="42"/>
      <c r="CP56" s="42"/>
      <c r="CQ56" s="42"/>
      <c r="CR56" s="42"/>
      <c r="CS56" s="42"/>
      <c r="CT56" s="42"/>
      <c r="CU56" s="42"/>
      <c r="CV56" s="42"/>
      <c r="CW56" s="42"/>
      <c r="CX56" s="42"/>
      <c r="CY56" s="11"/>
      <c r="CZ56" s="42">
        <v>0</v>
      </c>
      <c r="DA56" s="42">
        <v>594.53</v>
      </c>
      <c r="DB56" s="42">
        <v>1307.96</v>
      </c>
      <c r="DC56" s="42"/>
      <c r="DD56" s="42">
        <v>1040.43</v>
      </c>
      <c r="DE56" s="42"/>
      <c r="DF56" s="42"/>
      <c r="DG56" s="42"/>
      <c r="DH56" s="42"/>
      <c r="DI56" s="42"/>
      <c r="DJ56" s="42">
        <v>1783.59</v>
      </c>
      <c r="DK56" s="42"/>
      <c r="DL56" s="42"/>
      <c r="DM56" s="42"/>
      <c r="DN56" s="42"/>
      <c r="DO56" s="42"/>
      <c r="DP56" s="11">
        <v>0.91</v>
      </c>
      <c r="DQ56" s="42">
        <v>0</v>
      </c>
      <c r="DR56" s="42">
        <v>480.56</v>
      </c>
      <c r="DS56" s="42">
        <v>1057.24</v>
      </c>
      <c r="DT56" s="42"/>
      <c r="DU56" s="42">
        <v>961.12</v>
      </c>
      <c r="DV56" s="42"/>
      <c r="DW56" s="42"/>
      <c r="DX56" s="42"/>
      <c r="DY56" s="42"/>
      <c r="DZ56" s="42"/>
      <c r="EA56" s="42">
        <v>1441.68</v>
      </c>
      <c r="EB56" s="42"/>
      <c r="EC56" s="42"/>
      <c r="ED56" s="42"/>
      <c r="EE56" s="42"/>
      <c r="EF56" s="42"/>
      <c r="EG56" s="11">
        <v>0.86</v>
      </c>
      <c r="EH56" s="42"/>
      <c r="EI56" s="42"/>
      <c r="EJ56" s="42"/>
      <c r="EK56" s="42"/>
      <c r="EL56" s="42"/>
      <c r="EM56" s="42"/>
      <c r="EN56" s="42"/>
      <c r="EO56" s="42"/>
      <c r="EP56" s="42"/>
      <c r="EQ56" s="42"/>
      <c r="ER56" s="42"/>
      <c r="ES56" s="42"/>
      <c r="ET56" s="42"/>
      <c r="EU56" s="42"/>
      <c r="EV56" s="42"/>
      <c r="EW56" s="42"/>
      <c r="EX56" s="10"/>
      <c r="EY56" s="10"/>
      <c r="EZ56" s="10"/>
      <c r="FA56" s="10"/>
      <c r="FB56" s="10"/>
      <c r="FC56" s="10"/>
      <c r="FD56" s="10"/>
      <c r="FE56" s="10"/>
      <c r="FF56" s="10"/>
      <c r="FG56" s="10"/>
      <c r="FH56" s="10"/>
      <c r="FI56" s="10"/>
      <c r="FJ56" s="10"/>
      <c r="FK56" s="10"/>
      <c r="FL56" s="10"/>
      <c r="FM56" s="10"/>
      <c r="FN56" s="10"/>
      <c r="FO56" s="10"/>
      <c r="FP56" s="42"/>
      <c r="FQ56" s="42"/>
      <c r="FR56" s="42"/>
      <c r="FS56" s="42"/>
      <c r="FT56" s="42"/>
      <c r="FU56" s="42"/>
      <c r="FV56" s="42"/>
      <c r="FW56" s="42"/>
      <c r="FX56" s="42"/>
      <c r="FY56" s="42"/>
      <c r="FZ56" s="42"/>
      <c r="GA56" s="42"/>
      <c r="GB56" s="42"/>
      <c r="GC56" s="42"/>
      <c r="GD56" s="42"/>
      <c r="GE56" s="42"/>
      <c r="GF56" s="10"/>
      <c r="GG56" s="10">
        <v>1</v>
      </c>
      <c r="GH56" s="10" t="s">
        <v>5450</v>
      </c>
      <c r="GI56" s="42">
        <v>0</v>
      </c>
      <c r="GJ56" s="42">
        <v>55.6</v>
      </c>
      <c r="GK56" s="42">
        <v>110.77</v>
      </c>
      <c r="GL56" s="42"/>
      <c r="GM56" s="42">
        <v>137.69</v>
      </c>
      <c r="GN56" s="42"/>
      <c r="GO56" s="42"/>
      <c r="GP56" s="42"/>
      <c r="GQ56" s="42"/>
      <c r="GR56" s="42"/>
      <c r="GS56" s="42">
        <v>189.8</v>
      </c>
      <c r="GT56" s="42"/>
      <c r="GU56" s="42"/>
      <c r="GV56" s="42"/>
      <c r="GW56" s="42"/>
      <c r="GX56" s="42"/>
      <c r="GY56" s="11">
        <v>0.88</v>
      </c>
      <c r="GZ56" s="10">
        <v>1</v>
      </c>
      <c r="HA56" s="42">
        <v>0</v>
      </c>
      <c r="HB56" s="42">
        <v>8.65</v>
      </c>
      <c r="HC56" s="42">
        <v>14.7</v>
      </c>
      <c r="HD56" s="42"/>
      <c r="HE56" s="42">
        <v>15.16</v>
      </c>
      <c r="HF56" s="42"/>
      <c r="HG56" s="42"/>
      <c r="HH56" s="42"/>
      <c r="HI56" s="42"/>
      <c r="HJ56" s="42"/>
      <c r="HK56" s="42">
        <v>24.09</v>
      </c>
      <c r="HL56" s="42"/>
      <c r="HM56" s="42"/>
      <c r="HN56" s="42"/>
      <c r="HO56" s="42"/>
      <c r="HP56" s="42"/>
      <c r="HQ56" s="11">
        <v>0.87</v>
      </c>
      <c r="HR56" s="10" t="s">
        <v>5451</v>
      </c>
      <c r="HS56" s="39">
        <v>750000</v>
      </c>
      <c r="HT56" s="39"/>
      <c r="HU56" s="39"/>
      <c r="HV56" s="10" t="s">
        <v>28</v>
      </c>
      <c r="HW56" s="10" t="s">
        <v>25</v>
      </c>
      <c r="HX56" s="10" t="s">
        <v>5452</v>
      </c>
      <c r="HY56" s="10" t="s">
        <v>5452</v>
      </c>
      <c r="HZ56" s="10" t="s">
        <v>5452</v>
      </c>
      <c r="IA56" s="10" t="s">
        <v>25</v>
      </c>
      <c r="IB56" s="10"/>
      <c r="IC56" s="10" t="s">
        <v>5480</v>
      </c>
      <c r="ID56" s="10" t="s">
        <v>5480</v>
      </c>
      <c r="IE56" s="10" t="s">
        <v>5481</v>
      </c>
      <c r="IF56" s="10"/>
      <c r="IG56" s="10"/>
      <c r="IH56" s="10"/>
      <c r="II56" s="10"/>
      <c r="IJ56" s="10" t="s">
        <v>29</v>
      </c>
      <c r="IK56" s="10" t="s">
        <v>5482</v>
      </c>
      <c r="IL56" s="10" t="s">
        <v>25</v>
      </c>
      <c r="IM56" s="10" t="s">
        <v>5457</v>
      </c>
      <c r="IN56" s="10"/>
      <c r="IO56" s="10" t="s">
        <v>5472</v>
      </c>
      <c r="IP56" s="10" t="s">
        <v>2201</v>
      </c>
      <c r="IQ56" s="10" t="s">
        <v>5458</v>
      </c>
      <c r="IR56" s="10" t="s">
        <v>5458</v>
      </c>
      <c r="IS56" s="10" t="s">
        <v>5459</v>
      </c>
      <c r="IT56" s="10" t="s">
        <v>5459</v>
      </c>
      <c r="IU56" s="10" t="s">
        <v>5459</v>
      </c>
      <c r="IV56" s="10" t="s">
        <v>5458</v>
      </c>
      <c r="IW56" s="10" t="s">
        <v>5458</v>
      </c>
      <c r="IX56" s="10" t="s">
        <v>5483</v>
      </c>
      <c r="IY56" s="10"/>
      <c r="IZ56" s="10" t="s">
        <v>5484</v>
      </c>
      <c r="JA56" s="10" t="s">
        <v>13301</v>
      </c>
      <c r="JB56" s="10" t="s">
        <v>5485</v>
      </c>
      <c r="JC56" s="10" t="s">
        <v>5485</v>
      </c>
      <c r="JD56" s="10" t="s">
        <v>5477</v>
      </c>
      <c r="JE56" s="10" t="s">
        <v>5486</v>
      </c>
      <c r="JF56" s="10" t="s">
        <v>5478</v>
      </c>
      <c r="JG56" s="10" t="s">
        <v>5465</v>
      </c>
      <c r="JH56" s="10" t="s">
        <v>5466</v>
      </c>
    </row>
    <row r="57" spans="1:268" ht="114.75" x14ac:dyDescent="0.2">
      <c r="A57" s="31" t="s">
        <v>146</v>
      </c>
      <c r="B57" s="9" t="s">
        <v>2207</v>
      </c>
      <c r="C57" s="9"/>
      <c r="D57" s="9" t="s">
        <v>25</v>
      </c>
      <c r="E57" s="9"/>
      <c r="F57" s="9" t="s">
        <v>5467</v>
      </c>
      <c r="G57" s="9"/>
      <c r="H57" s="9">
        <v>20</v>
      </c>
      <c r="I57" s="9"/>
      <c r="J57" s="9"/>
      <c r="K57" s="9" t="s">
        <v>25</v>
      </c>
      <c r="L57" s="9"/>
      <c r="M57" s="9"/>
      <c r="N57" s="9"/>
      <c r="O57" s="9"/>
      <c r="P57" s="9"/>
      <c r="Q57" s="9"/>
      <c r="R57" s="9" t="s">
        <v>5536</v>
      </c>
      <c r="S57" s="11">
        <v>0</v>
      </c>
      <c r="T57" s="11">
        <v>0.37</v>
      </c>
      <c r="U57" s="11">
        <v>0.14000000000000001</v>
      </c>
      <c r="V57" s="10"/>
      <c r="W57" s="11">
        <v>0.09</v>
      </c>
      <c r="X57" s="10"/>
      <c r="Y57" s="10"/>
      <c r="Z57" s="10"/>
      <c r="AA57" s="10"/>
      <c r="AB57" s="10"/>
      <c r="AC57" s="11">
        <v>0.4</v>
      </c>
      <c r="AD57" s="10"/>
      <c r="AE57" s="10"/>
      <c r="AF57" s="10"/>
      <c r="AG57" s="10"/>
      <c r="AH57" s="10"/>
      <c r="AI57" s="36">
        <v>4</v>
      </c>
      <c r="AJ57" s="33">
        <v>0.05</v>
      </c>
      <c r="AK57" s="33">
        <v>0.08</v>
      </c>
      <c r="AL57" s="33"/>
      <c r="AM57" s="33"/>
      <c r="AN57" s="33"/>
      <c r="AO57" s="33">
        <v>0.05</v>
      </c>
      <c r="AP57" s="33"/>
      <c r="AQ57" s="33"/>
      <c r="AR57" s="33"/>
      <c r="AS57" s="33"/>
      <c r="AT57" s="11"/>
      <c r="AU57" s="11"/>
      <c r="AV57" s="11"/>
      <c r="AW57" s="11"/>
      <c r="AX57" s="11"/>
      <c r="AY57" s="11"/>
      <c r="AZ57" s="11"/>
      <c r="BA57" s="11"/>
      <c r="BB57" s="11"/>
      <c r="BC57" s="11"/>
      <c r="BD57" s="11"/>
      <c r="BE57" s="11"/>
      <c r="BF57" s="10"/>
      <c r="BG57" s="10" t="s">
        <v>25</v>
      </c>
      <c r="BH57" s="39"/>
      <c r="BI57" s="10" t="s">
        <v>25</v>
      </c>
      <c r="BJ57" s="39"/>
      <c r="BK57" s="10" t="s">
        <v>25</v>
      </c>
      <c r="BL57" s="39"/>
      <c r="BM57" s="10" t="s">
        <v>25</v>
      </c>
      <c r="BN57" s="39"/>
      <c r="BO57" s="10" t="s">
        <v>25</v>
      </c>
      <c r="BP57" s="39"/>
      <c r="BQ57" s="10" t="s">
        <v>5479</v>
      </c>
      <c r="BR57" s="42"/>
      <c r="BS57" s="42">
        <v>786.09</v>
      </c>
      <c r="BT57" s="42">
        <v>1650.79</v>
      </c>
      <c r="BU57" s="42"/>
      <c r="BV57" s="42">
        <v>1414.94</v>
      </c>
      <c r="BW57" s="42"/>
      <c r="BX57" s="42"/>
      <c r="BY57" s="42"/>
      <c r="BZ57" s="42"/>
      <c r="CA57" s="42"/>
      <c r="CB57" s="42">
        <v>2279.65</v>
      </c>
      <c r="CC57" s="42"/>
      <c r="CD57" s="42"/>
      <c r="CE57" s="42"/>
      <c r="CF57" s="42"/>
      <c r="CG57" s="42"/>
      <c r="CH57" s="11">
        <v>0.72</v>
      </c>
      <c r="CI57" s="42"/>
      <c r="CJ57" s="42"/>
      <c r="CK57" s="42"/>
      <c r="CL57" s="42"/>
      <c r="CM57" s="42"/>
      <c r="CN57" s="42"/>
      <c r="CO57" s="42"/>
      <c r="CP57" s="42"/>
      <c r="CQ57" s="42"/>
      <c r="CR57" s="42"/>
      <c r="CS57" s="42"/>
      <c r="CT57" s="42"/>
      <c r="CU57" s="42"/>
      <c r="CV57" s="42"/>
      <c r="CW57" s="42"/>
      <c r="CX57" s="42"/>
      <c r="CY57" s="11"/>
      <c r="CZ57" s="42"/>
      <c r="DA57" s="42">
        <v>710.61</v>
      </c>
      <c r="DB57" s="42">
        <v>1492.29</v>
      </c>
      <c r="DC57" s="42"/>
      <c r="DD57" s="42">
        <v>1279.1099999999999</v>
      </c>
      <c r="DE57" s="42"/>
      <c r="DF57" s="42"/>
      <c r="DG57" s="42"/>
      <c r="DH57" s="42"/>
      <c r="DI57" s="42"/>
      <c r="DJ57" s="42">
        <v>2060.77</v>
      </c>
      <c r="DK57" s="42"/>
      <c r="DL57" s="42"/>
      <c r="DM57" s="42"/>
      <c r="DN57" s="42"/>
      <c r="DO57" s="42"/>
      <c r="DP57" s="11">
        <v>0.79749999999999999</v>
      </c>
      <c r="DQ57" s="42"/>
      <c r="DR57" s="42">
        <v>779.91</v>
      </c>
      <c r="DS57" s="42">
        <v>1637.83</v>
      </c>
      <c r="DT57" s="42"/>
      <c r="DU57" s="42">
        <v>1403.85</v>
      </c>
      <c r="DV57" s="42"/>
      <c r="DW57" s="42"/>
      <c r="DX57" s="42"/>
      <c r="DY57" s="42"/>
      <c r="DZ57" s="42"/>
      <c r="EA57" s="42">
        <v>2261.7600000000002</v>
      </c>
      <c r="EB57" s="42"/>
      <c r="EC57" s="42"/>
      <c r="ED57" s="42"/>
      <c r="EE57" s="42"/>
      <c r="EF57" s="42"/>
      <c r="EG57" s="11">
        <v>0.72750000000000004</v>
      </c>
      <c r="EH57" s="42"/>
      <c r="EI57" s="42"/>
      <c r="EJ57" s="42"/>
      <c r="EK57" s="42"/>
      <c r="EL57" s="42"/>
      <c r="EM57" s="42"/>
      <c r="EN57" s="42"/>
      <c r="EO57" s="42"/>
      <c r="EP57" s="42"/>
      <c r="EQ57" s="42"/>
      <c r="ER57" s="42"/>
      <c r="ES57" s="42"/>
      <c r="ET57" s="42"/>
      <c r="EU57" s="42"/>
      <c r="EV57" s="42"/>
      <c r="EW57" s="42"/>
      <c r="EX57" s="10"/>
      <c r="EY57" s="10"/>
      <c r="EZ57" s="10"/>
      <c r="FA57" s="10"/>
      <c r="FB57" s="10"/>
      <c r="FC57" s="10"/>
      <c r="FD57" s="10"/>
      <c r="FE57" s="10"/>
      <c r="FF57" s="10"/>
      <c r="FG57" s="10"/>
      <c r="FH57" s="10"/>
      <c r="FI57" s="10"/>
      <c r="FJ57" s="10"/>
      <c r="FK57" s="10"/>
      <c r="FL57" s="10"/>
      <c r="FM57" s="10"/>
      <c r="FN57" s="10"/>
      <c r="FO57" s="10"/>
      <c r="FP57" s="42"/>
      <c r="FQ57" s="42"/>
      <c r="FR57" s="42"/>
      <c r="FS57" s="42"/>
      <c r="FT57" s="42"/>
      <c r="FU57" s="42"/>
      <c r="FV57" s="42"/>
      <c r="FW57" s="42"/>
      <c r="FX57" s="42"/>
      <c r="FY57" s="42"/>
      <c r="FZ57" s="42"/>
      <c r="GA57" s="42"/>
      <c r="GB57" s="42"/>
      <c r="GC57" s="42"/>
      <c r="GD57" s="42"/>
      <c r="GE57" s="42"/>
      <c r="GF57" s="10"/>
      <c r="GG57" s="10">
        <v>2</v>
      </c>
      <c r="GH57" s="10" t="s">
        <v>5450</v>
      </c>
      <c r="GI57" s="42"/>
      <c r="GJ57" s="42">
        <v>79.16</v>
      </c>
      <c r="GK57" s="42">
        <v>166.25</v>
      </c>
      <c r="GL57" s="42"/>
      <c r="GM57" s="42">
        <v>142.5</v>
      </c>
      <c r="GN57" s="42"/>
      <c r="GO57" s="42"/>
      <c r="GP57" s="42"/>
      <c r="GQ57" s="42"/>
      <c r="GR57" s="42"/>
      <c r="GS57" s="42">
        <v>229.59</v>
      </c>
      <c r="GT57" s="42"/>
      <c r="GU57" s="42"/>
      <c r="GV57" s="42"/>
      <c r="GW57" s="42"/>
      <c r="GX57" s="42"/>
      <c r="GY57" s="11">
        <v>0.42249999999999999</v>
      </c>
      <c r="GZ57" s="10">
        <v>1</v>
      </c>
      <c r="HA57" s="42"/>
      <c r="HB57" s="42">
        <v>9.92</v>
      </c>
      <c r="HC57" s="42">
        <v>20.83</v>
      </c>
      <c r="HD57" s="42"/>
      <c r="HE57" s="42">
        <v>17.84</v>
      </c>
      <c r="HF57" s="42"/>
      <c r="HG57" s="42"/>
      <c r="HH57" s="42"/>
      <c r="HI57" s="42"/>
      <c r="HJ57" s="42"/>
      <c r="HK57" s="42">
        <v>28.76</v>
      </c>
      <c r="HL57" s="42"/>
      <c r="HM57" s="42"/>
      <c r="HN57" s="42"/>
      <c r="HO57" s="42"/>
      <c r="HP57" s="42"/>
      <c r="HQ57" s="11">
        <v>0</v>
      </c>
      <c r="HR57" s="10" t="s">
        <v>5537</v>
      </c>
      <c r="HS57" s="39">
        <v>300000</v>
      </c>
      <c r="HT57" s="39"/>
      <c r="HU57" s="39"/>
      <c r="HV57" s="10" t="s">
        <v>5591</v>
      </c>
      <c r="HW57" s="10" t="s">
        <v>28</v>
      </c>
      <c r="HX57" s="10" t="s">
        <v>5452</v>
      </c>
      <c r="HY57" s="10" t="s">
        <v>5453</v>
      </c>
      <c r="HZ57" s="10" t="s">
        <v>5453</v>
      </c>
      <c r="IA57" s="10" t="s">
        <v>25</v>
      </c>
      <c r="IB57" s="10"/>
      <c r="IC57" s="10" t="s">
        <v>13230</v>
      </c>
      <c r="ID57" s="10" t="s">
        <v>5615</v>
      </c>
      <c r="IE57" s="10" t="s">
        <v>5616</v>
      </c>
      <c r="IF57" s="10" t="s">
        <v>5563</v>
      </c>
      <c r="IG57" s="10"/>
      <c r="IH57" s="10" t="s">
        <v>5563</v>
      </c>
      <c r="II57" s="10" t="s">
        <v>5563</v>
      </c>
      <c r="IJ57" s="10" t="s">
        <v>29</v>
      </c>
      <c r="IK57" s="10" t="s">
        <v>5482</v>
      </c>
      <c r="IL57" s="10" t="s">
        <v>25</v>
      </c>
      <c r="IM57" s="10" t="s">
        <v>612</v>
      </c>
      <c r="IN57" s="10" t="s">
        <v>5482</v>
      </c>
      <c r="IO57" s="10" t="s">
        <v>5472</v>
      </c>
      <c r="IP57" s="10" t="s">
        <v>28</v>
      </c>
      <c r="IQ57" s="10" t="s">
        <v>5553</v>
      </c>
      <c r="IR57" s="10" t="s">
        <v>5459</v>
      </c>
      <c r="IS57" s="10" t="s">
        <v>5459</v>
      </c>
      <c r="IT57" s="10" t="s">
        <v>5459</v>
      </c>
      <c r="IU57" s="10" t="s">
        <v>5459</v>
      </c>
      <c r="IV57" s="10" t="s">
        <v>5553</v>
      </c>
      <c r="IW57" s="10" t="s">
        <v>5553</v>
      </c>
      <c r="IX57" s="10" t="s">
        <v>5483</v>
      </c>
      <c r="IY57" s="10"/>
      <c r="IZ57" s="10" t="s">
        <v>13771</v>
      </c>
      <c r="JA57" s="10" t="s">
        <v>13301</v>
      </c>
      <c r="JB57" s="10" t="s">
        <v>5504</v>
      </c>
      <c r="JC57" s="10" t="s">
        <v>5504</v>
      </c>
      <c r="JD57" s="10" t="s">
        <v>5462</v>
      </c>
      <c r="JE57" s="10" t="s">
        <v>5486</v>
      </c>
      <c r="JF57" s="10" t="s">
        <v>5516</v>
      </c>
      <c r="JG57" s="10" t="s">
        <v>5465</v>
      </c>
      <c r="JH57" s="10" t="s">
        <v>5466</v>
      </c>
    </row>
    <row r="58" spans="1:268" ht="165.75" x14ac:dyDescent="0.2">
      <c r="A58" s="31" t="s">
        <v>149</v>
      </c>
      <c r="B58" s="9" t="s">
        <v>5494</v>
      </c>
      <c r="C58" s="9"/>
      <c r="D58" s="9" t="s">
        <v>28</v>
      </c>
      <c r="E58" s="9" t="s">
        <v>5624</v>
      </c>
      <c r="F58" s="9" t="s">
        <v>5467</v>
      </c>
      <c r="G58" s="9"/>
      <c r="H58" s="9">
        <v>20</v>
      </c>
      <c r="I58" s="9">
        <v>1</v>
      </c>
      <c r="J58" s="9">
        <v>19</v>
      </c>
      <c r="K58" s="9" t="s">
        <v>28</v>
      </c>
      <c r="L58" s="9" t="s">
        <v>5468</v>
      </c>
      <c r="M58" s="9" t="s">
        <v>5468</v>
      </c>
      <c r="N58" s="9" t="s">
        <v>5446</v>
      </c>
      <c r="O58" s="9" t="s">
        <v>5447</v>
      </c>
      <c r="P58" s="9" t="s">
        <v>5447</v>
      </c>
      <c r="Q58" s="9" t="s">
        <v>5447</v>
      </c>
      <c r="R58" s="9" t="s">
        <v>5469</v>
      </c>
      <c r="S58" s="11">
        <v>0.02</v>
      </c>
      <c r="T58" s="11">
        <v>0.32</v>
      </c>
      <c r="U58" s="11">
        <v>0.14000000000000001</v>
      </c>
      <c r="V58" s="10"/>
      <c r="W58" s="11">
        <v>0.08</v>
      </c>
      <c r="X58" s="10"/>
      <c r="Y58" s="10"/>
      <c r="Z58" s="10"/>
      <c r="AA58" s="10"/>
      <c r="AB58" s="10"/>
      <c r="AC58" s="11">
        <v>0.44</v>
      </c>
      <c r="AD58" s="10"/>
      <c r="AE58" s="10"/>
      <c r="AF58" s="10"/>
      <c r="AG58" s="10"/>
      <c r="AH58" s="10"/>
      <c r="AI58" s="36">
        <v>2.5</v>
      </c>
      <c r="AJ58" s="33">
        <v>6.6000000000000003E-2</v>
      </c>
      <c r="AK58" s="33">
        <v>8.3000000000000004E-2</v>
      </c>
      <c r="AL58" s="33">
        <v>0.2</v>
      </c>
      <c r="AM58" s="33"/>
      <c r="AN58" s="33">
        <v>-0.04</v>
      </c>
      <c r="AO58" s="33">
        <v>6.6000000000000003E-2</v>
      </c>
      <c r="AP58" s="33">
        <v>8.3000000000000004E-2</v>
      </c>
      <c r="AQ58" s="33">
        <v>0.2</v>
      </c>
      <c r="AR58" s="33"/>
      <c r="AS58" s="33">
        <v>-0.05</v>
      </c>
      <c r="AT58" s="11">
        <v>0.92</v>
      </c>
      <c r="AU58" s="11">
        <v>0.92</v>
      </c>
      <c r="AV58" s="11">
        <v>0.99</v>
      </c>
      <c r="AW58" s="11">
        <v>0.99</v>
      </c>
      <c r="AX58" s="11">
        <v>0.92</v>
      </c>
      <c r="AY58" s="11">
        <v>0.92</v>
      </c>
      <c r="AZ58" s="11">
        <v>0.92</v>
      </c>
      <c r="BA58" s="11">
        <v>0.92</v>
      </c>
      <c r="BB58" s="11">
        <v>0.99</v>
      </c>
      <c r="BC58" s="11">
        <v>0.99</v>
      </c>
      <c r="BD58" s="11">
        <v>0.92</v>
      </c>
      <c r="BE58" s="11">
        <v>0.92</v>
      </c>
      <c r="BF58" s="10" t="s">
        <v>25</v>
      </c>
      <c r="BG58" s="10" t="s">
        <v>25</v>
      </c>
      <c r="BH58" s="39"/>
      <c r="BI58" s="10" t="s">
        <v>25</v>
      </c>
      <c r="BJ58" s="39"/>
      <c r="BK58" s="10" t="s">
        <v>25</v>
      </c>
      <c r="BL58" s="39"/>
      <c r="BM58" s="10" t="s">
        <v>25</v>
      </c>
      <c r="BN58" s="39"/>
      <c r="BO58" s="10" t="s">
        <v>28</v>
      </c>
      <c r="BP58" s="39">
        <v>1800</v>
      </c>
      <c r="BQ58" s="10" t="s">
        <v>5479</v>
      </c>
      <c r="BR58" s="42">
        <v>0</v>
      </c>
      <c r="BS58" s="42">
        <v>643</v>
      </c>
      <c r="BT58" s="42">
        <v>1286</v>
      </c>
      <c r="BU58" s="42"/>
      <c r="BV58" s="42">
        <v>965</v>
      </c>
      <c r="BW58" s="42"/>
      <c r="BX58" s="42"/>
      <c r="BY58" s="42"/>
      <c r="BZ58" s="42"/>
      <c r="CA58" s="42"/>
      <c r="CB58" s="42">
        <v>1865</v>
      </c>
      <c r="CC58" s="42"/>
      <c r="CD58" s="42"/>
      <c r="CE58" s="42"/>
      <c r="CF58" s="42"/>
      <c r="CG58" s="42"/>
      <c r="CH58" s="11">
        <v>1</v>
      </c>
      <c r="CI58" s="42"/>
      <c r="CJ58" s="42"/>
      <c r="CK58" s="42"/>
      <c r="CL58" s="42"/>
      <c r="CM58" s="42"/>
      <c r="CN58" s="42"/>
      <c r="CO58" s="42"/>
      <c r="CP58" s="42"/>
      <c r="CQ58" s="42"/>
      <c r="CR58" s="42"/>
      <c r="CS58" s="42"/>
      <c r="CT58" s="42"/>
      <c r="CU58" s="42"/>
      <c r="CV58" s="42"/>
      <c r="CW58" s="42"/>
      <c r="CX58" s="42"/>
      <c r="CY58" s="11"/>
      <c r="CZ58" s="42">
        <v>0</v>
      </c>
      <c r="DA58" s="42">
        <v>569</v>
      </c>
      <c r="DB58" s="42">
        <v>1138</v>
      </c>
      <c r="DC58" s="42"/>
      <c r="DD58" s="42">
        <v>854</v>
      </c>
      <c r="DE58" s="42"/>
      <c r="DF58" s="42"/>
      <c r="DG58" s="42"/>
      <c r="DH58" s="42"/>
      <c r="DI58" s="42"/>
      <c r="DJ58" s="42">
        <v>1650</v>
      </c>
      <c r="DK58" s="42"/>
      <c r="DL58" s="42"/>
      <c r="DM58" s="42"/>
      <c r="DN58" s="42"/>
      <c r="DO58" s="42"/>
      <c r="DP58" s="11">
        <v>1</v>
      </c>
      <c r="DQ58" s="42">
        <v>0</v>
      </c>
      <c r="DR58" s="42">
        <v>498</v>
      </c>
      <c r="DS58" s="42">
        <v>996</v>
      </c>
      <c r="DT58" s="42"/>
      <c r="DU58" s="42">
        <v>747</v>
      </c>
      <c r="DV58" s="42"/>
      <c r="DW58" s="42"/>
      <c r="DX58" s="42"/>
      <c r="DY58" s="42"/>
      <c r="DZ58" s="42"/>
      <c r="EA58" s="42">
        <v>1444</v>
      </c>
      <c r="EB58" s="42"/>
      <c r="EC58" s="42"/>
      <c r="ED58" s="42"/>
      <c r="EE58" s="42"/>
      <c r="EF58" s="42"/>
      <c r="EG58" s="11">
        <v>1</v>
      </c>
      <c r="EH58" s="42"/>
      <c r="EI58" s="42"/>
      <c r="EJ58" s="42"/>
      <c r="EK58" s="42"/>
      <c r="EL58" s="42"/>
      <c r="EM58" s="42"/>
      <c r="EN58" s="42"/>
      <c r="EO58" s="42"/>
      <c r="EP58" s="42"/>
      <c r="EQ58" s="42"/>
      <c r="ER58" s="42"/>
      <c r="ES58" s="42"/>
      <c r="ET58" s="42"/>
      <c r="EU58" s="42"/>
      <c r="EV58" s="42"/>
      <c r="EW58" s="42"/>
      <c r="EX58" s="10"/>
      <c r="EY58" s="10"/>
      <c r="EZ58" s="10"/>
      <c r="FA58" s="10"/>
      <c r="FB58" s="10"/>
      <c r="FC58" s="10"/>
      <c r="FD58" s="10"/>
      <c r="FE58" s="10"/>
      <c r="FF58" s="10"/>
      <c r="FG58" s="10"/>
      <c r="FH58" s="10"/>
      <c r="FI58" s="10"/>
      <c r="FJ58" s="10"/>
      <c r="FK58" s="10"/>
      <c r="FL58" s="10"/>
      <c r="FM58" s="10"/>
      <c r="FN58" s="10"/>
      <c r="FO58" s="10"/>
      <c r="FP58" s="42"/>
      <c r="FQ58" s="42"/>
      <c r="FR58" s="42"/>
      <c r="FS58" s="42"/>
      <c r="FT58" s="42"/>
      <c r="FU58" s="42"/>
      <c r="FV58" s="42"/>
      <c r="FW58" s="42"/>
      <c r="FX58" s="42"/>
      <c r="FY58" s="42"/>
      <c r="FZ58" s="42"/>
      <c r="GA58" s="42"/>
      <c r="GB58" s="42"/>
      <c r="GC58" s="42"/>
      <c r="GD58" s="42"/>
      <c r="GE58" s="42"/>
      <c r="GF58" s="10"/>
      <c r="GG58" s="10">
        <v>1</v>
      </c>
      <c r="GH58" s="10" t="s">
        <v>5450</v>
      </c>
      <c r="GI58" s="42"/>
      <c r="GJ58" s="42">
        <v>61</v>
      </c>
      <c r="GK58" s="42">
        <v>122</v>
      </c>
      <c r="GL58" s="42"/>
      <c r="GM58" s="42">
        <v>92</v>
      </c>
      <c r="GN58" s="42"/>
      <c r="GO58" s="42"/>
      <c r="GP58" s="42"/>
      <c r="GQ58" s="42"/>
      <c r="GR58" s="42"/>
      <c r="GS58" s="42">
        <v>177</v>
      </c>
      <c r="GT58" s="42"/>
      <c r="GU58" s="42"/>
      <c r="GV58" s="42"/>
      <c r="GW58" s="42"/>
      <c r="GX58" s="42"/>
      <c r="GY58" s="11">
        <v>1</v>
      </c>
      <c r="GZ58" s="10">
        <v>1</v>
      </c>
      <c r="HA58" s="42">
        <v>0</v>
      </c>
      <c r="HB58" s="42"/>
      <c r="HC58" s="42"/>
      <c r="HD58" s="42"/>
      <c r="HE58" s="42"/>
      <c r="HF58" s="42"/>
      <c r="HG58" s="42"/>
      <c r="HH58" s="42"/>
      <c r="HI58" s="42"/>
      <c r="HJ58" s="42"/>
      <c r="HK58" s="42"/>
      <c r="HL58" s="42"/>
      <c r="HM58" s="42"/>
      <c r="HN58" s="42"/>
      <c r="HO58" s="42"/>
      <c r="HP58" s="42"/>
      <c r="HQ58" s="11">
        <v>1</v>
      </c>
      <c r="HR58" s="10" t="s">
        <v>25</v>
      </c>
      <c r="HS58" s="39"/>
      <c r="HT58" s="39"/>
      <c r="HU58" s="39"/>
      <c r="HV58" s="10"/>
      <c r="HW58" s="10"/>
      <c r="HX58" s="10" t="s">
        <v>5498</v>
      </c>
      <c r="HY58" s="10" t="s">
        <v>5498</v>
      </c>
      <c r="HZ58" s="10" t="s">
        <v>5498</v>
      </c>
      <c r="IA58" s="10" t="s">
        <v>25</v>
      </c>
      <c r="IB58" s="10"/>
      <c r="IC58" s="10" t="s">
        <v>5625</v>
      </c>
      <c r="ID58" s="10" t="s">
        <v>13245</v>
      </c>
      <c r="IE58" s="10" t="s">
        <v>13280</v>
      </c>
      <c r="IF58" s="10" t="s">
        <v>72</v>
      </c>
      <c r="IG58" s="10" t="s">
        <v>72</v>
      </c>
      <c r="IH58" s="10" t="s">
        <v>72</v>
      </c>
      <c r="II58" s="10" t="s">
        <v>72</v>
      </c>
      <c r="IJ58" s="10" t="s">
        <v>2692</v>
      </c>
      <c r="IK58" s="10"/>
      <c r="IL58" s="10" t="s">
        <v>25</v>
      </c>
      <c r="IM58" s="10" t="s">
        <v>1801</v>
      </c>
      <c r="IN58" s="10"/>
      <c r="IO58" s="10" t="s">
        <v>25</v>
      </c>
      <c r="IP58" s="10" t="s">
        <v>2201</v>
      </c>
      <c r="IQ58" s="10" t="s">
        <v>5458</v>
      </c>
      <c r="IR58" s="10" t="s">
        <v>5458</v>
      </c>
      <c r="IS58" s="10" t="s">
        <v>5474</v>
      </c>
      <c r="IT58" s="10" t="s">
        <v>5459</v>
      </c>
      <c r="IU58" s="10" t="s">
        <v>5459</v>
      </c>
      <c r="IV58" s="10" t="s">
        <v>5458</v>
      </c>
      <c r="IW58" s="10" t="s">
        <v>5458</v>
      </c>
      <c r="IX58" s="10" t="s">
        <v>5483</v>
      </c>
      <c r="IY58" s="10"/>
      <c r="IZ58" s="10" t="s">
        <v>5626</v>
      </c>
      <c r="JA58" s="10" t="s">
        <v>13301</v>
      </c>
      <c r="JB58" s="10" t="s">
        <v>5485</v>
      </c>
      <c r="JC58" s="10" t="s">
        <v>5485</v>
      </c>
      <c r="JD58" s="10" t="s">
        <v>5462</v>
      </c>
      <c r="JE58" s="10" t="s">
        <v>5463</v>
      </c>
      <c r="JF58" s="10" t="s">
        <v>5464</v>
      </c>
      <c r="JG58" s="10" t="s">
        <v>13302</v>
      </c>
      <c r="JH58" s="10" t="s">
        <v>5496</v>
      </c>
    </row>
    <row r="59" spans="1:268" ht="89.25" x14ac:dyDescent="0.2">
      <c r="A59" s="31" t="s">
        <v>145</v>
      </c>
      <c r="B59" s="9" t="s">
        <v>2185</v>
      </c>
      <c r="C59" s="9"/>
      <c r="D59" s="9" t="s">
        <v>25</v>
      </c>
      <c r="E59" s="9"/>
      <c r="F59" s="9"/>
      <c r="G59" s="9"/>
      <c r="H59" s="9">
        <v>20</v>
      </c>
      <c r="I59" s="9">
        <v>20</v>
      </c>
      <c r="J59" s="9">
        <v>40</v>
      </c>
      <c r="K59" s="9" t="s">
        <v>28</v>
      </c>
      <c r="L59" s="9" t="s">
        <v>5529</v>
      </c>
      <c r="M59" s="9" t="s">
        <v>5529</v>
      </c>
      <c r="N59" s="9" t="s">
        <v>5447</v>
      </c>
      <c r="O59" s="9" t="s">
        <v>5447</v>
      </c>
      <c r="P59" s="9" t="s">
        <v>5447</v>
      </c>
      <c r="Q59" s="9" t="s">
        <v>5447</v>
      </c>
      <c r="R59" s="9" t="s">
        <v>5469</v>
      </c>
      <c r="S59" s="11">
        <v>0.01</v>
      </c>
      <c r="T59" s="11">
        <v>0.53</v>
      </c>
      <c r="U59" s="11">
        <v>0.1</v>
      </c>
      <c r="V59" s="10"/>
      <c r="W59" s="11">
        <v>0.08</v>
      </c>
      <c r="X59" s="10"/>
      <c r="Y59" s="10"/>
      <c r="Z59" s="10"/>
      <c r="AA59" s="10"/>
      <c r="AB59" s="10"/>
      <c r="AC59" s="11">
        <v>0.28000000000000003</v>
      </c>
      <c r="AD59" s="10"/>
      <c r="AE59" s="10"/>
      <c r="AF59" s="10"/>
      <c r="AG59" s="10"/>
      <c r="AH59" s="10"/>
      <c r="AI59" s="36">
        <v>2</v>
      </c>
      <c r="AJ59" s="33">
        <v>7.2999999999999995E-2</v>
      </c>
      <c r="AK59" s="33">
        <v>0.10300000000000001</v>
      </c>
      <c r="AL59" s="33">
        <v>7.400000000000001E-2</v>
      </c>
      <c r="AM59" s="33"/>
      <c r="AN59" s="33">
        <v>-0.05</v>
      </c>
      <c r="AO59" s="33">
        <v>7.2999999999999995E-2</v>
      </c>
      <c r="AP59" s="33">
        <v>0.10300000000000001</v>
      </c>
      <c r="AQ59" s="33">
        <v>7.400000000000001E-2</v>
      </c>
      <c r="AR59" s="33"/>
      <c r="AS59" s="33">
        <v>-0.05</v>
      </c>
      <c r="AT59" s="11">
        <v>1</v>
      </c>
      <c r="AU59" s="11">
        <v>1</v>
      </c>
      <c r="AV59" s="11">
        <v>1</v>
      </c>
      <c r="AW59" s="11">
        <v>1</v>
      </c>
      <c r="AX59" s="11">
        <v>1</v>
      </c>
      <c r="AY59" s="11">
        <v>1</v>
      </c>
      <c r="AZ59" s="11">
        <v>0.77</v>
      </c>
      <c r="BA59" s="11">
        <v>0.77</v>
      </c>
      <c r="BB59" s="11">
        <v>0.72</v>
      </c>
      <c r="BC59" s="11">
        <v>0.72</v>
      </c>
      <c r="BD59" s="11">
        <v>0.59</v>
      </c>
      <c r="BE59" s="11">
        <v>0.59</v>
      </c>
      <c r="BF59" s="10" t="s">
        <v>25</v>
      </c>
      <c r="BG59" s="10" t="s">
        <v>25</v>
      </c>
      <c r="BH59" s="39"/>
      <c r="BI59" s="10" t="s">
        <v>25</v>
      </c>
      <c r="BJ59" s="39"/>
      <c r="BK59" s="10" t="s">
        <v>25</v>
      </c>
      <c r="BL59" s="39"/>
      <c r="BM59" s="10" t="s">
        <v>25</v>
      </c>
      <c r="BN59" s="39"/>
      <c r="BO59" s="10" t="s">
        <v>25</v>
      </c>
      <c r="BP59" s="39"/>
      <c r="BQ59" s="10" t="s">
        <v>5610</v>
      </c>
      <c r="BR59" s="42">
        <v>0</v>
      </c>
      <c r="BS59" s="42">
        <v>723.48</v>
      </c>
      <c r="BT59" s="42">
        <v>1591.63</v>
      </c>
      <c r="BU59" s="42"/>
      <c r="BV59" s="42">
        <v>1302.25</v>
      </c>
      <c r="BW59" s="42"/>
      <c r="BX59" s="42"/>
      <c r="BY59" s="42"/>
      <c r="BZ59" s="42"/>
      <c r="CA59" s="42"/>
      <c r="CB59" s="42">
        <v>2242.7800000000002</v>
      </c>
      <c r="CC59" s="42"/>
      <c r="CD59" s="42"/>
      <c r="CE59" s="42"/>
      <c r="CF59" s="42"/>
      <c r="CG59" s="42"/>
      <c r="CH59" s="11">
        <v>0.91</v>
      </c>
      <c r="CI59" s="42">
        <v>0</v>
      </c>
      <c r="CJ59" s="42">
        <v>691.5</v>
      </c>
      <c r="CK59" s="42">
        <v>1521.25</v>
      </c>
      <c r="CL59" s="42"/>
      <c r="CM59" s="42">
        <v>1244.6600000000001</v>
      </c>
      <c r="CN59" s="42"/>
      <c r="CO59" s="42"/>
      <c r="CP59" s="42"/>
      <c r="CQ59" s="42"/>
      <c r="CR59" s="42"/>
      <c r="CS59" s="42">
        <v>2143.58</v>
      </c>
      <c r="CT59" s="42"/>
      <c r="CU59" s="42"/>
      <c r="CV59" s="42"/>
      <c r="CW59" s="42"/>
      <c r="CX59" s="42"/>
      <c r="CY59" s="11">
        <v>0.9</v>
      </c>
      <c r="CZ59" s="42"/>
      <c r="DA59" s="42"/>
      <c r="DB59" s="42"/>
      <c r="DC59" s="42"/>
      <c r="DD59" s="42"/>
      <c r="DE59" s="42"/>
      <c r="DF59" s="42"/>
      <c r="DG59" s="42"/>
      <c r="DH59" s="42"/>
      <c r="DI59" s="42"/>
      <c r="DJ59" s="42"/>
      <c r="DK59" s="42"/>
      <c r="DL59" s="42"/>
      <c r="DM59" s="42"/>
      <c r="DN59" s="42"/>
      <c r="DO59" s="42"/>
      <c r="DP59" s="11"/>
      <c r="DQ59" s="42">
        <v>0</v>
      </c>
      <c r="DR59" s="42">
        <v>511.05</v>
      </c>
      <c r="DS59" s="42">
        <v>1124.3</v>
      </c>
      <c r="DT59" s="42"/>
      <c r="DU59" s="42">
        <v>1022.09</v>
      </c>
      <c r="DV59" s="42"/>
      <c r="DW59" s="42"/>
      <c r="DX59" s="42"/>
      <c r="DY59" s="42"/>
      <c r="DZ59" s="42"/>
      <c r="EA59" s="42">
        <v>1533.58</v>
      </c>
      <c r="EB59" s="42"/>
      <c r="EC59" s="42"/>
      <c r="ED59" s="42"/>
      <c r="EE59" s="42"/>
      <c r="EF59" s="42"/>
      <c r="EG59" s="11">
        <v>0.89</v>
      </c>
      <c r="EH59" s="42"/>
      <c r="EI59" s="42"/>
      <c r="EJ59" s="42"/>
      <c r="EK59" s="42"/>
      <c r="EL59" s="42"/>
      <c r="EM59" s="42"/>
      <c r="EN59" s="42"/>
      <c r="EO59" s="42"/>
      <c r="EP59" s="42"/>
      <c r="EQ59" s="42"/>
      <c r="ER59" s="42"/>
      <c r="ES59" s="42"/>
      <c r="ET59" s="42"/>
      <c r="EU59" s="42"/>
      <c r="EV59" s="42"/>
      <c r="EW59" s="42"/>
      <c r="EX59" s="10"/>
      <c r="EY59" s="10"/>
      <c r="EZ59" s="10"/>
      <c r="FA59" s="10"/>
      <c r="FB59" s="10"/>
      <c r="FC59" s="10"/>
      <c r="FD59" s="10"/>
      <c r="FE59" s="10"/>
      <c r="FF59" s="10"/>
      <c r="FG59" s="10"/>
      <c r="FH59" s="10"/>
      <c r="FI59" s="10"/>
      <c r="FJ59" s="10"/>
      <c r="FK59" s="10"/>
      <c r="FL59" s="10"/>
      <c r="FM59" s="10"/>
      <c r="FN59" s="10"/>
      <c r="FO59" s="10"/>
      <c r="FP59" s="42"/>
      <c r="FQ59" s="42"/>
      <c r="FR59" s="42"/>
      <c r="FS59" s="42"/>
      <c r="FT59" s="42"/>
      <c r="FU59" s="42"/>
      <c r="FV59" s="42"/>
      <c r="FW59" s="42"/>
      <c r="FX59" s="42"/>
      <c r="FY59" s="42"/>
      <c r="FZ59" s="42"/>
      <c r="GA59" s="42"/>
      <c r="GB59" s="42"/>
      <c r="GC59" s="42"/>
      <c r="GD59" s="42"/>
      <c r="GE59" s="42"/>
      <c r="GF59" s="10"/>
      <c r="GG59" s="10">
        <v>1</v>
      </c>
      <c r="GH59" s="10" t="s">
        <v>5450</v>
      </c>
      <c r="GI59" s="42">
        <v>0</v>
      </c>
      <c r="GJ59" s="42">
        <v>53.3</v>
      </c>
      <c r="GK59" s="42">
        <v>121.57</v>
      </c>
      <c r="GL59" s="42"/>
      <c r="GM59" s="42">
        <v>114.28</v>
      </c>
      <c r="GN59" s="42"/>
      <c r="GO59" s="42"/>
      <c r="GP59" s="42"/>
      <c r="GQ59" s="42"/>
      <c r="GR59" s="42"/>
      <c r="GS59" s="42">
        <v>183.22</v>
      </c>
      <c r="GT59" s="42"/>
      <c r="GU59" s="42"/>
      <c r="GV59" s="42"/>
      <c r="GW59" s="42"/>
      <c r="GX59" s="42"/>
      <c r="GY59" s="11">
        <v>0.87</v>
      </c>
      <c r="GZ59" s="10">
        <v>1</v>
      </c>
      <c r="HA59" s="42">
        <v>0</v>
      </c>
      <c r="HB59" s="42">
        <v>9.73</v>
      </c>
      <c r="HC59" s="42">
        <v>22.22</v>
      </c>
      <c r="HD59" s="42"/>
      <c r="HE59" s="42">
        <v>20.91</v>
      </c>
      <c r="HF59" s="42"/>
      <c r="HG59" s="42"/>
      <c r="HH59" s="42"/>
      <c r="HI59" s="42"/>
      <c r="HJ59" s="42"/>
      <c r="HK59" s="42">
        <v>33.479999999999997</v>
      </c>
      <c r="HL59" s="42"/>
      <c r="HM59" s="42"/>
      <c r="HN59" s="42"/>
      <c r="HO59" s="42"/>
      <c r="HP59" s="42"/>
      <c r="HQ59" s="11">
        <v>0.82</v>
      </c>
      <c r="HR59" s="10" t="s">
        <v>5451</v>
      </c>
      <c r="HS59" s="39">
        <v>750000</v>
      </c>
      <c r="HT59" s="39"/>
      <c r="HU59" s="39"/>
      <c r="HV59" s="10" t="s">
        <v>25</v>
      </c>
      <c r="HW59" s="10" t="s">
        <v>25</v>
      </c>
      <c r="HX59" s="10" t="s">
        <v>5452</v>
      </c>
      <c r="HY59" s="10" t="s">
        <v>5452</v>
      </c>
      <c r="HZ59" s="10" t="s">
        <v>5453</v>
      </c>
      <c r="IA59" s="10" t="s">
        <v>25</v>
      </c>
      <c r="IB59" s="10"/>
      <c r="IC59" s="10" t="s">
        <v>5611</v>
      </c>
      <c r="ID59" s="10" t="s">
        <v>13244</v>
      </c>
      <c r="IE59" s="10" t="s">
        <v>5612</v>
      </c>
      <c r="IF59" s="10" t="s">
        <v>5613</v>
      </c>
      <c r="IG59" s="10" t="s">
        <v>5563</v>
      </c>
      <c r="IH59" s="10"/>
      <c r="II59" s="10" t="s">
        <v>5563</v>
      </c>
      <c r="IJ59" s="10" t="s">
        <v>29</v>
      </c>
      <c r="IK59" s="10" t="s">
        <v>5482</v>
      </c>
      <c r="IL59" s="10" t="s">
        <v>25</v>
      </c>
      <c r="IM59" s="10" t="s">
        <v>5457</v>
      </c>
      <c r="IN59" s="10"/>
      <c r="IO59" s="10" t="s">
        <v>25</v>
      </c>
      <c r="IP59" s="10" t="s">
        <v>2201</v>
      </c>
      <c r="IQ59" s="10" t="s">
        <v>5458</v>
      </c>
      <c r="IR59" s="10" t="s">
        <v>5458</v>
      </c>
      <c r="IS59" s="10" t="s">
        <v>5502</v>
      </c>
      <c r="IT59" s="10" t="s">
        <v>5594</v>
      </c>
      <c r="IU59" s="10" t="s">
        <v>5594</v>
      </c>
      <c r="IV59" s="10" t="s">
        <v>5458</v>
      </c>
      <c r="IW59" s="10" t="s">
        <v>5458</v>
      </c>
      <c r="IX59" s="10" t="s">
        <v>5483</v>
      </c>
      <c r="IY59" s="10"/>
      <c r="IZ59" s="10" t="s">
        <v>5614</v>
      </c>
      <c r="JA59" s="10" t="s">
        <v>13301</v>
      </c>
      <c r="JB59" s="10" t="s">
        <v>5461</v>
      </c>
      <c r="JC59" s="10" t="s">
        <v>5461</v>
      </c>
      <c r="JD59" s="10" t="s">
        <v>5462</v>
      </c>
      <c r="JE59" s="10" t="s">
        <v>5486</v>
      </c>
      <c r="JF59" s="10" t="s">
        <v>5516</v>
      </c>
      <c r="JG59" s="10" t="s">
        <v>5465</v>
      </c>
      <c r="JH59" s="10" t="s">
        <v>5509</v>
      </c>
    </row>
    <row r="60" spans="1:268" ht="76.5" x14ac:dyDescent="0.2">
      <c r="A60" s="31" t="s">
        <v>141</v>
      </c>
      <c r="B60" s="9" t="s">
        <v>5494</v>
      </c>
      <c r="C60" s="9"/>
      <c r="D60" s="9" t="s">
        <v>25</v>
      </c>
      <c r="E60" s="9"/>
      <c r="F60" s="9" t="s">
        <v>29</v>
      </c>
      <c r="G60" s="9" t="s">
        <v>5597</v>
      </c>
      <c r="H60" s="9">
        <v>40</v>
      </c>
      <c r="I60" s="9">
        <v>20</v>
      </c>
      <c r="J60" s="9">
        <v>40</v>
      </c>
      <c r="K60" s="9" t="s">
        <v>28</v>
      </c>
      <c r="L60" s="9" t="s">
        <v>5468</v>
      </c>
      <c r="M60" s="9" t="s">
        <v>5468</v>
      </c>
      <c r="N60" s="9" t="s">
        <v>5468</v>
      </c>
      <c r="O60" s="9" t="s">
        <v>5447</v>
      </c>
      <c r="P60" s="9" t="s">
        <v>5447</v>
      </c>
      <c r="Q60" s="9" t="s">
        <v>5447</v>
      </c>
      <c r="R60" s="9" t="s">
        <v>5598</v>
      </c>
      <c r="S60" s="11">
        <v>0.11</v>
      </c>
      <c r="T60" s="11">
        <v>7.0000000000000007E-2</v>
      </c>
      <c r="U60" s="11">
        <v>7.0000000000000007E-2</v>
      </c>
      <c r="V60" s="10"/>
      <c r="W60" s="11"/>
      <c r="X60" s="11">
        <v>7.0000000000000007E-2</v>
      </c>
      <c r="Y60" s="10"/>
      <c r="Z60" s="10"/>
      <c r="AA60" s="10"/>
      <c r="AB60" s="10"/>
      <c r="AC60" s="11">
        <v>0.68</v>
      </c>
      <c r="AD60" s="10"/>
      <c r="AE60" s="10"/>
      <c r="AF60" s="10"/>
      <c r="AG60" s="10"/>
      <c r="AH60" s="10"/>
      <c r="AI60" s="36">
        <v>3</v>
      </c>
      <c r="AJ60" s="33">
        <v>5.7999999999999996E-2</v>
      </c>
      <c r="AK60" s="33"/>
      <c r="AL60" s="33"/>
      <c r="AM60" s="33"/>
      <c r="AN60" s="33">
        <v>-3.6000000000000004E-2</v>
      </c>
      <c r="AO60" s="33">
        <v>5.7999999999999996E-2</v>
      </c>
      <c r="AP60" s="33"/>
      <c r="AQ60" s="33"/>
      <c r="AR60" s="33"/>
      <c r="AS60" s="33">
        <v>-3.6000000000000004E-2</v>
      </c>
      <c r="AT60" s="11">
        <v>0.9</v>
      </c>
      <c r="AU60" s="11">
        <v>0.9</v>
      </c>
      <c r="AV60" s="11">
        <v>0.7</v>
      </c>
      <c r="AW60" s="11">
        <v>0.7</v>
      </c>
      <c r="AX60" s="11">
        <v>0.47</v>
      </c>
      <c r="AY60" s="11">
        <v>0.47</v>
      </c>
      <c r="AZ60" s="11">
        <v>0.89</v>
      </c>
      <c r="BA60" s="11">
        <v>0.89</v>
      </c>
      <c r="BB60" s="11">
        <v>0.62</v>
      </c>
      <c r="BC60" s="11">
        <v>0.62</v>
      </c>
      <c r="BD60" s="11">
        <v>0.32</v>
      </c>
      <c r="BE60" s="11">
        <v>0.32</v>
      </c>
      <c r="BF60" s="10" t="s">
        <v>25</v>
      </c>
      <c r="BG60" s="10" t="s">
        <v>25</v>
      </c>
      <c r="BH60" s="39"/>
      <c r="BI60" s="10" t="s">
        <v>25</v>
      </c>
      <c r="BJ60" s="39"/>
      <c r="BK60" s="10" t="s">
        <v>25</v>
      </c>
      <c r="BL60" s="39"/>
      <c r="BM60" s="10" t="s">
        <v>25</v>
      </c>
      <c r="BN60" s="39"/>
      <c r="BO60" s="10" t="s">
        <v>28</v>
      </c>
      <c r="BP60" s="39">
        <v>600</v>
      </c>
      <c r="BQ60" s="10" t="s">
        <v>5470</v>
      </c>
      <c r="BR60" s="42"/>
      <c r="BS60" s="42"/>
      <c r="BT60" s="42"/>
      <c r="BU60" s="42"/>
      <c r="BV60" s="42"/>
      <c r="BW60" s="42"/>
      <c r="BX60" s="42"/>
      <c r="BY60" s="42"/>
      <c r="BZ60" s="42"/>
      <c r="CA60" s="42"/>
      <c r="CB60" s="42"/>
      <c r="CC60" s="42"/>
      <c r="CD60" s="42"/>
      <c r="CE60" s="42"/>
      <c r="CF60" s="42"/>
      <c r="CG60" s="42"/>
      <c r="CH60" s="11"/>
      <c r="CI60" s="42"/>
      <c r="CJ60" s="42"/>
      <c r="CK60" s="42"/>
      <c r="CL60" s="42"/>
      <c r="CM60" s="42"/>
      <c r="CN60" s="42"/>
      <c r="CO60" s="42"/>
      <c r="CP60" s="42"/>
      <c r="CQ60" s="42"/>
      <c r="CR60" s="42"/>
      <c r="CS60" s="42"/>
      <c r="CT60" s="42"/>
      <c r="CU60" s="42"/>
      <c r="CV60" s="42"/>
      <c r="CW60" s="42"/>
      <c r="CX60" s="42"/>
      <c r="CY60" s="11"/>
      <c r="CZ60" s="42">
        <v>0</v>
      </c>
      <c r="DA60" s="42">
        <v>617.67999999999995</v>
      </c>
      <c r="DB60" s="42">
        <v>1255.3599999999999</v>
      </c>
      <c r="DC60" s="42"/>
      <c r="DD60" s="42"/>
      <c r="DE60" s="42">
        <v>1255.3599999999999</v>
      </c>
      <c r="DF60" s="42"/>
      <c r="DG60" s="42"/>
      <c r="DH60" s="42"/>
      <c r="DI60" s="42"/>
      <c r="DJ60" s="42">
        <v>1893.07</v>
      </c>
      <c r="DK60" s="42"/>
      <c r="DL60" s="42"/>
      <c r="DM60" s="42"/>
      <c r="DN60" s="42"/>
      <c r="DO60" s="42"/>
      <c r="DP60" s="11">
        <v>0.97</v>
      </c>
      <c r="DQ60" s="42"/>
      <c r="DR60" s="42"/>
      <c r="DS60" s="42"/>
      <c r="DT60" s="42"/>
      <c r="DU60" s="42"/>
      <c r="DV60" s="42"/>
      <c r="DW60" s="42"/>
      <c r="DX60" s="42"/>
      <c r="DY60" s="42"/>
      <c r="DZ60" s="42"/>
      <c r="EA60" s="42"/>
      <c r="EB60" s="42"/>
      <c r="EC60" s="42"/>
      <c r="ED60" s="42"/>
      <c r="EE60" s="42"/>
      <c r="EF60" s="42"/>
      <c r="EG60" s="11">
        <v>0.78</v>
      </c>
      <c r="EH60" s="42"/>
      <c r="EI60" s="42"/>
      <c r="EJ60" s="42"/>
      <c r="EK60" s="42"/>
      <c r="EL60" s="42"/>
      <c r="EM60" s="42"/>
      <c r="EN60" s="42"/>
      <c r="EO60" s="42"/>
      <c r="EP60" s="42"/>
      <c r="EQ60" s="42"/>
      <c r="ER60" s="42"/>
      <c r="ES60" s="42"/>
      <c r="ET60" s="42"/>
      <c r="EU60" s="42"/>
      <c r="EV60" s="42"/>
      <c r="EW60" s="42"/>
      <c r="EX60" s="10"/>
      <c r="EY60" s="10"/>
      <c r="EZ60" s="10"/>
      <c r="FA60" s="10"/>
      <c r="FB60" s="10"/>
      <c r="FC60" s="10"/>
      <c r="FD60" s="10"/>
      <c r="FE60" s="10"/>
      <c r="FF60" s="10"/>
      <c r="FG60" s="10"/>
      <c r="FH60" s="10"/>
      <c r="FI60" s="10"/>
      <c r="FJ60" s="10"/>
      <c r="FK60" s="10"/>
      <c r="FL60" s="10"/>
      <c r="FM60" s="10"/>
      <c r="FN60" s="10"/>
      <c r="FO60" s="10"/>
      <c r="FP60" s="42"/>
      <c r="FQ60" s="42"/>
      <c r="FR60" s="42"/>
      <c r="FS60" s="42"/>
      <c r="FT60" s="42"/>
      <c r="FU60" s="42"/>
      <c r="FV60" s="42"/>
      <c r="FW60" s="42"/>
      <c r="FX60" s="42"/>
      <c r="FY60" s="42"/>
      <c r="FZ60" s="42"/>
      <c r="GA60" s="42"/>
      <c r="GB60" s="42"/>
      <c r="GC60" s="42"/>
      <c r="GD60" s="42"/>
      <c r="GE60" s="42"/>
      <c r="GF60" s="10"/>
      <c r="GG60" s="10">
        <v>1</v>
      </c>
      <c r="GH60" s="10" t="s">
        <v>29</v>
      </c>
      <c r="GI60" s="42"/>
      <c r="GJ60" s="42">
        <v>53.84</v>
      </c>
      <c r="GK60" s="42">
        <v>107.66</v>
      </c>
      <c r="GL60" s="42"/>
      <c r="GM60" s="42"/>
      <c r="GN60" s="42">
        <v>107.66</v>
      </c>
      <c r="GO60" s="42"/>
      <c r="GP60" s="42"/>
      <c r="GQ60" s="42"/>
      <c r="GR60" s="42"/>
      <c r="GS60" s="42">
        <v>145.88</v>
      </c>
      <c r="GT60" s="42"/>
      <c r="GU60" s="42"/>
      <c r="GV60" s="42"/>
      <c r="GW60" s="42"/>
      <c r="GX60" s="42"/>
      <c r="GY60" s="11">
        <v>0.63</v>
      </c>
      <c r="GZ60" s="10">
        <v>1</v>
      </c>
      <c r="HA60" s="42"/>
      <c r="HB60" s="42">
        <v>7.22</v>
      </c>
      <c r="HC60" s="42">
        <v>12.81</v>
      </c>
      <c r="HD60" s="42"/>
      <c r="HE60" s="42"/>
      <c r="HF60" s="42">
        <v>12.81</v>
      </c>
      <c r="HG60" s="42"/>
      <c r="HH60" s="42"/>
      <c r="HI60" s="42"/>
      <c r="HJ60" s="42"/>
      <c r="HK60" s="42">
        <v>25.75</v>
      </c>
      <c r="HL60" s="42"/>
      <c r="HM60" s="42"/>
      <c r="HN60" s="42"/>
      <c r="HO60" s="42"/>
      <c r="HP60" s="42"/>
      <c r="HQ60" s="11">
        <v>0.34</v>
      </c>
      <c r="HR60" s="10" t="s">
        <v>25</v>
      </c>
      <c r="HS60" s="39"/>
      <c r="HT60" s="39"/>
      <c r="HU60" s="39"/>
      <c r="HV60" s="10"/>
      <c r="HW60" s="10"/>
      <c r="HX60" s="10" t="s">
        <v>5452</v>
      </c>
      <c r="HY60" s="10" t="s">
        <v>5452</v>
      </c>
      <c r="HZ60" s="10" t="s">
        <v>5452</v>
      </c>
      <c r="IA60" s="10" t="s">
        <v>25</v>
      </c>
      <c r="IB60" s="10"/>
      <c r="IC60" s="10" t="s">
        <v>5599</v>
      </c>
      <c r="ID60" s="10" t="s">
        <v>13241</v>
      </c>
      <c r="IE60" s="10" t="s">
        <v>13278</v>
      </c>
      <c r="IF60" s="10"/>
      <c r="IG60" s="10"/>
      <c r="IH60" s="10"/>
      <c r="II60" s="10"/>
      <c r="IJ60" s="10" t="s">
        <v>2692</v>
      </c>
      <c r="IK60" s="10"/>
      <c r="IL60" s="10" t="s">
        <v>25</v>
      </c>
      <c r="IM60" s="10" t="s">
        <v>2758</v>
      </c>
      <c r="IN60" s="10"/>
      <c r="IO60" s="10" t="s">
        <v>25</v>
      </c>
      <c r="IP60" s="10" t="s">
        <v>2201</v>
      </c>
      <c r="IQ60" s="10" t="s">
        <v>5458</v>
      </c>
      <c r="IR60" s="10" t="s">
        <v>5458</v>
      </c>
      <c r="IS60" s="10" t="s">
        <v>5458</v>
      </c>
      <c r="IT60" s="10" t="s">
        <v>5474</v>
      </c>
      <c r="IU60" s="10" t="s">
        <v>5474</v>
      </c>
      <c r="IV60" s="10" t="s">
        <v>5458</v>
      </c>
      <c r="IW60" s="10" t="s">
        <v>29</v>
      </c>
      <c r="IX60" s="10" t="s">
        <v>5483</v>
      </c>
      <c r="IY60" s="10"/>
      <c r="IZ60" s="10" t="s">
        <v>5600</v>
      </c>
      <c r="JA60" s="10" t="s">
        <v>13301</v>
      </c>
      <c r="JB60" s="10" t="s">
        <v>5485</v>
      </c>
      <c r="JC60" s="10" t="s">
        <v>5485</v>
      </c>
      <c r="JD60" s="10" t="s">
        <v>5462</v>
      </c>
      <c r="JE60" s="10" t="s">
        <v>28</v>
      </c>
      <c r="JF60" s="10" t="s">
        <v>5516</v>
      </c>
      <c r="JG60" s="10" t="s">
        <v>5465</v>
      </c>
      <c r="JH60" s="10" t="s">
        <v>5509</v>
      </c>
    </row>
    <row r="61" spans="1:268" ht="102" x14ac:dyDescent="0.2">
      <c r="A61" s="31" t="s">
        <v>132</v>
      </c>
      <c r="B61" s="9" t="s">
        <v>5494</v>
      </c>
      <c r="C61" s="9"/>
      <c r="D61" s="9" t="s">
        <v>28</v>
      </c>
      <c r="E61" s="9" t="s">
        <v>5554</v>
      </c>
      <c r="F61" s="9" t="s">
        <v>5467</v>
      </c>
      <c r="G61" s="9"/>
      <c r="H61" s="9">
        <v>20</v>
      </c>
      <c r="I61" s="9">
        <v>20</v>
      </c>
      <c r="J61" s="9"/>
      <c r="K61" s="9" t="s">
        <v>28</v>
      </c>
      <c r="L61" s="9" t="s">
        <v>5468</v>
      </c>
      <c r="M61" s="9" t="s">
        <v>5468</v>
      </c>
      <c r="N61" s="9" t="s">
        <v>5529</v>
      </c>
      <c r="O61" s="9" t="s">
        <v>5447</v>
      </c>
      <c r="P61" s="9" t="s">
        <v>5447</v>
      </c>
      <c r="Q61" s="9" t="s">
        <v>5447</v>
      </c>
      <c r="R61" s="9" t="s">
        <v>5469</v>
      </c>
      <c r="S61" s="11">
        <v>0</v>
      </c>
      <c r="T61" s="11">
        <v>0.46</v>
      </c>
      <c r="U61" s="11">
        <v>0.17</v>
      </c>
      <c r="V61" s="10"/>
      <c r="W61" s="11">
        <v>7.0000000000000007E-2</v>
      </c>
      <c r="X61" s="10"/>
      <c r="Y61" s="10"/>
      <c r="Z61" s="10"/>
      <c r="AA61" s="10"/>
      <c r="AB61" s="10"/>
      <c r="AC61" s="11">
        <v>0.3</v>
      </c>
      <c r="AD61" s="10"/>
      <c r="AE61" s="10"/>
      <c r="AF61" s="10"/>
      <c r="AG61" s="10"/>
      <c r="AH61" s="10"/>
      <c r="AI61" s="36">
        <v>2</v>
      </c>
      <c r="AJ61" s="33">
        <v>0.08</v>
      </c>
      <c r="AK61" s="33"/>
      <c r="AL61" s="33"/>
      <c r="AM61" s="33">
        <v>0</v>
      </c>
      <c r="AN61" s="33">
        <v>9.6000000000000002E-2</v>
      </c>
      <c r="AO61" s="33">
        <v>4.7E-2</v>
      </c>
      <c r="AP61" s="33"/>
      <c r="AQ61" s="33"/>
      <c r="AR61" s="33">
        <v>0</v>
      </c>
      <c r="AS61" s="33">
        <v>-1.1000000000000001E-2</v>
      </c>
      <c r="AT61" s="11">
        <v>0.86</v>
      </c>
      <c r="AU61" s="11">
        <v>0.86</v>
      </c>
      <c r="AV61" s="11">
        <v>0.82</v>
      </c>
      <c r="AW61" s="11">
        <v>0.82</v>
      </c>
      <c r="AX61" s="11">
        <v>0.77</v>
      </c>
      <c r="AY61" s="11">
        <v>0.77</v>
      </c>
      <c r="AZ61" s="11">
        <v>0.8</v>
      </c>
      <c r="BA61" s="11">
        <v>0.8</v>
      </c>
      <c r="BB61" s="11">
        <v>0.83</v>
      </c>
      <c r="BC61" s="11">
        <v>0.83</v>
      </c>
      <c r="BD61" s="11">
        <v>0.68</v>
      </c>
      <c r="BE61" s="11">
        <v>0.68</v>
      </c>
      <c r="BF61" s="10" t="s">
        <v>25</v>
      </c>
      <c r="BG61" s="10" t="s">
        <v>25</v>
      </c>
      <c r="BH61" s="39"/>
      <c r="BI61" s="10" t="s">
        <v>25</v>
      </c>
      <c r="BJ61" s="39"/>
      <c r="BK61" s="10" t="s">
        <v>25</v>
      </c>
      <c r="BL61" s="39"/>
      <c r="BM61" s="10" t="s">
        <v>25</v>
      </c>
      <c r="BN61" s="39"/>
      <c r="BO61" s="10" t="s">
        <v>25</v>
      </c>
      <c r="BP61" s="39"/>
      <c r="BQ61" s="10" t="s">
        <v>5555</v>
      </c>
      <c r="BR61" s="42"/>
      <c r="BS61" s="42">
        <v>728.6</v>
      </c>
      <c r="BT61" s="42">
        <v>1425.87</v>
      </c>
      <c r="BU61" s="42"/>
      <c r="BV61" s="42">
        <v>1283.29</v>
      </c>
      <c r="BW61" s="42"/>
      <c r="BX61" s="42"/>
      <c r="BY61" s="42"/>
      <c r="BZ61" s="42"/>
      <c r="CA61" s="42"/>
      <c r="CB61" s="42">
        <v>2210.11</v>
      </c>
      <c r="CC61" s="42"/>
      <c r="CD61" s="42"/>
      <c r="CE61" s="42"/>
      <c r="CF61" s="42"/>
      <c r="CG61" s="42"/>
      <c r="CH61" s="11">
        <v>0.86</v>
      </c>
      <c r="CI61" s="42"/>
      <c r="CJ61" s="42"/>
      <c r="CK61" s="42"/>
      <c r="CL61" s="42"/>
      <c r="CM61" s="42"/>
      <c r="CN61" s="42"/>
      <c r="CO61" s="42"/>
      <c r="CP61" s="42"/>
      <c r="CQ61" s="42"/>
      <c r="CR61" s="42"/>
      <c r="CS61" s="42"/>
      <c r="CT61" s="42"/>
      <c r="CU61" s="42"/>
      <c r="CV61" s="42"/>
      <c r="CW61" s="42"/>
      <c r="CX61" s="42"/>
      <c r="CY61" s="11"/>
      <c r="CZ61" s="42"/>
      <c r="DA61" s="42">
        <v>658.07</v>
      </c>
      <c r="DB61" s="42">
        <v>1287.8399999999999</v>
      </c>
      <c r="DC61" s="42"/>
      <c r="DD61" s="42">
        <v>1159.06</v>
      </c>
      <c r="DE61" s="42"/>
      <c r="DF61" s="42"/>
      <c r="DG61" s="42"/>
      <c r="DH61" s="42"/>
      <c r="DI61" s="42"/>
      <c r="DJ61" s="42">
        <v>1996.16</v>
      </c>
      <c r="DK61" s="42"/>
      <c r="DL61" s="42"/>
      <c r="DM61" s="42"/>
      <c r="DN61" s="42"/>
      <c r="DO61" s="42"/>
      <c r="DP61" s="11">
        <v>0.9</v>
      </c>
      <c r="DQ61" s="42"/>
      <c r="DR61" s="42"/>
      <c r="DS61" s="42"/>
      <c r="DT61" s="42"/>
      <c r="DU61" s="42"/>
      <c r="DV61" s="42"/>
      <c r="DW61" s="42"/>
      <c r="DX61" s="42"/>
      <c r="DY61" s="42"/>
      <c r="DZ61" s="42"/>
      <c r="EA61" s="42"/>
      <c r="EB61" s="42"/>
      <c r="EC61" s="42"/>
      <c r="ED61" s="42"/>
      <c r="EE61" s="42"/>
      <c r="EF61" s="42"/>
      <c r="EG61" s="11"/>
      <c r="EH61" s="42"/>
      <c r="EI61" s="42"/>
      <c r="EJ61" s="42"/>
      <c r="EK61" s="42"/>
      <c r="EL61" s="42"/>
      <c r="EM61" s="42"/>
      <c r="EN61" s="42"/>
      <c r="EO61" s="42"/>
      <c r="EP61" s="42"/>
      <c r="EQ61" s="42"/>
      <c r="ER61" s="42"/>
      <c r="ES61" s="42"/>
      <c r="ET61" s="42"/>
      <c r="EU61" s="42"/>
      <c r="EV61" s="42"/>
      <c r="EW61" s="42"/>
      <c r="EX61" s="10"/>
      <c r="EY61" s="10"/>
      <c r="EZ61" s="10"/>
      <c r="FA61" s="10"/>
      <c r="FB61" s="10"/>
      <c r="FC61" s="10"/>
      <c r="FD61" s="10"/>
      <c r="FE61" s="10"/>
      <c r="FF61" s="10"/>
      <c r="FG61" s="10"/>
      <c r="FH61" s="10"/>
      <c r="FI61" s="10"/>
      <c r="FJ61" s="10"/>
      <c r="FK61" s="10"/>
      <c r="FL61" s="10"/>
      <c r="FM61" s="10"/>
      <c r="FN61" s="10"/>
      <c r="FO61" s="10"/>
      <c r="FP61" s="42"/>
      <c r="FQ61" s="42"/>
      <c r="FR61" s="42"/>
      <c r="FS61" s="42"/>
      <c r="FT61" s="42"/>
      <c r="FU61" s="42"/>
      <c r="FV61" s="42"/>
      <c r="FW61" s="42"/>
      <c r="FX61" s="42"/>
      <c r="FY61" s="42"/>
      <c r="FZ61" s="42"/>
      <c r="GA61" s="42"/>
      <c r="GB61" s="42"/>
      <c r="GC61" s="42"/>
      <c r="GD61" s="42"/>
      <c r="GE61" s="42"/>
      <c r="GF61" s="10"/>
      <c r="GG61" s="10">
        <v>1</v>
      </c>
      <c r="GH61" s="10" t="s">
        <v>5450</v>
      </c>
      <c r="GI61" s="42"/>
      <c r="GJ61" s="42">
        <v>47.72</v>
      </c>
      <c r="GK61" s="42">
        <v>93.17</v>
      </c>
      <c r="GL61" s="42"/>
      <c r="GM61" s="42">
        <v>83.86</v>
      </c>
      <c r="GN61" s="42"/>
      <c r="GO61" s="42"/>
      <c r="GP61" s="42"/>
      <c r="GQ61" s="42"/>
      <c r="GR61" s="42"/>
      <c r="GS61" s="42">
        <v>144.43</v>
      </c>
      <c r="GT61" s="42"/>
      <c r="GU61" s="42"/>
      <c r="GV61" s="42"/>
      <c r="GW61" s="42"/>
      <c r="GX61" s="42"/>
      <c r="GY61" s="11">
        <v>0.78</v>
      </c>
      <c r="GZ61" s="10">
        <v>2</v>
      </c>
      <c r="HA61" s="42"/>
      <c r="HB61" s="42">
        <v>9.25</v>
      </c>
      <c r="HC61" s="42">
        <v>18.510000000000002</v>
      </c>
      <c r="HD61" s="42"/>
      <c r="HE61" s="42">
        <v>16.649999999999999</v>
      </c>
      <c r="HF61" s="42"/>
      <c r="HG61" s="42"/>
      <c r="HH61" s="42"/>
      <c r="HI61" s="42"/>
      <c r="HJ61" s="42"/>
      <c r="HK61" s="42">
        <v>28.68</v>
      </c>
      <c r="HL61" s="42"/>
      <c r="HM61" s="42"/>
      <c r="HN61" s="42"/>
      <c r="HO61" s="42"/>
      <c r="HP61" s="42"/>
      <c r="HQ61" s="11">
        <v>0.71</v>
      </c>
      <c r="HR61" s="10" t="s">
        <v>5451</v>
      </c>
      <c r="HS61" s="39">
        <v>400000</v>
      </c>
      <c r="HT61" s="39"/>
      <c r="HU61" s="39"/>
      <c r="HV61" s="10" t="s">
        <v>25</v>
      </c>
      <c r="HW61" s="10" t="s">
        <v>25</v>
      </c>
      <c r="HX61" s="10" t="s">
        <v>5452</v>
      </c>
      <c r="HY61" s="10" t="s">
        <v>5452</v>
      </c>
      <c r="HZ61" s="10" t="s">
        <v>5452</v>
      </c>
      <c r="IA61" s="10" t="s">
        <v>25</v>
      </c>
      <c r="IB61" s="10"/>
      <c r="IC61" s="10" t="s">
        <v>13227</v>
      </c>
      <c r="ID61" s="10" t="s">
        <v>5556</v>
      </c>
      <c r="IE61" s="10" t="s">
        <v>13274</v>
      </c>
      <c r="IF61" s="10"/>
      <c r="IG61" s="10"/>
      <c r="IH61" s="10"/>
      <c r="II61" s="10"/>
      <c r="IJ61" s="10" t="s">
        <v>2692</v>
      </c>
      <c r="IK61" s="10"/>
      <c r="IL61" s="10" t="s">
        <v>25</v>
      </c>
      <c r="IM61" s="10" t="s">
        <v>5457</v>
      </c>
      <c r="IN61" s="10"/>
      <c r="IO61" s="10" t="s">
        <v>25</v>
      </c>
      <c r="IP61" s="10" t="s">
        <v>2201</v>
      </c>
      <c r="IQ61" s="10" t="s">
        <v>5458</v>
      </c>
      <c r="IR61" s="10" t="s">
        <v>5458</v>
      </c>
      <c r="IS61" s="10" t="s">
        <v>5458</v>
      </c>
      <c r="IT61" s="10" t="s">
        <v>5474</v>
      </c>
      <c r="IU61" s="10" t="s">
        <v>5474</v>
      </c>
      <c r="IV61" s="10" t="s">
        <v>5458</v>
      </c>
      <c r="IW61" s="10" t="s">
        <v>5458</v>
      </c>
      <c r="IX61" s="10" t="s">
        <v>5483</v>
      </c>
      <c r="IY61" s="10"/>
      <c r="IZ61" s="10" t="s">
        <v>1041</v>
      </c>
      <c r="JA61" s="10" t="s">
        <v>13301</v>
      </c>
      <c r="JB61" s="10" t="s">
        <v>5557</v>
      </c>
      <c r="JC61" s="10" t="s">
        <v>5557</v>
      </c>
      <c r="JD61" s="10" t="s">
        <v>5477</v>
      </c>
      <c r="JE61" s="10" t="s">
        <v>5486</v>
      </c>
      <c r="JF61" s="10" t="s">
        <v>5516</v>
      </c>
      <c r="JG61" s="10" t="s">
        <v>5465</v>
      </c>
      <c r="JH61" s="10" t="s">
        <v>5466</v>
      </c>
    </row>
    <row r="62" spans="1:268" ht="89.25" x14ac:dyDescent="0.2">
      <c r="A62" s="31" t="s">
        <v>136</v>
      </c>
      <c r="B62" s="9" t="s">
        <v>2185</v>
      </c>
      <c r="C62" s="9"/>
      <c r="D62" s="9" t="s">
        <v>25</v>
      </c>
      <c r="E62" s="9"/>
      <c r="F62" s="9" t="s">
        <v>5467</v>
      </c>
      <c r="G62" s="9"/>
      <c r="H62" s="9">
        <v>30</v>
      </c>
      <c r="I62" s="9">
        <v>20</v>
      </c>
      <c r="J62" s="9">
        <v>29</v>
      </c>
      <c r="K62" s="9" t="s">
        <v>25</v>
      </c>
      <c r="L62" s="9"/>
      <c r="M62" s="9"/>
      <c r="N62" s="9"/>
      <c r="O62" s="9"/>
      <c r="P62" s="9"/>
      <c r="Q62" s="9"/>
      <c r="R62" s="9" t="s">
        <v>5469</v>
      </c>
      <c r="S62" s="11">
        <v>0.1867</v>
      </c>
      <c r="T62" s="11">
        <v>0.24739999999999998</v>
      </c>
      <c r="U62" s="11">
        <v>0.1421</v>
      </c>
      <c r="V62" s="10"/>
      <c r="W62" s="11">
        <v>6.5000000000000002E-2</v>
      </c>
      <c r="X62" s="10"/>
      <c r="Y62" s="10"/>
      <c r="Z62" s="10"/>
      <c r="AA62" s="10"/>
      <c r="AB62" s="10"/>
      <c r="AC62" s="11">
        <v>0.35880000000000001</v>
      </c>
      <c r="AD62" s="10"/>
      <c r="AE62" s="10"/>
      <c r="AF62" s="10"/>
      <c r="AG62" s="10"/>
      <c r="AH62" s="10"/>
      <c r="AI62" s="36">
        <v>3</v>
      </c>
      <c r="AJ62" s="33">
        <v>2.6000000000000002E-2</v>
      </c>
      <c r="AK62" s="33">
        <v>2.6000000000000002E-2</v>
      </c>
      <c r="AL62" s="33">
        <v>0.12</v>
      </c>
      <c r="AM62" s="33">
        <v>0.05</v>
      </c>
      <c r="AN62" s="33">
        <v>0.01</v>
      </c>
      <c r="AO62" s="33"/>
      <c r="AP62" s="33"/>
      <c r="AQ62" s="33"/>
      <c r="AR62" s="33"/>
      <c r="AS62" s="33"/>
      <c r="AT62" s="11">
        <v>0.85</v>
      </c>
      <c r="AU62" s="11">
        <v>0.85</v>
      </c>
      <c r="AV62" s="11">
        <v>0.45</v>
      </c>
      <c r="AW62" s="11">
        <v>0.45</v>
      </c>
      <c r="AX62" s="11">
        <v>0.31</v>
      </c>
      <c r="AY62" s="11">
        <v>0.31</v>
      </c>
      <c r="AZ62" s="11">
        <v>0.87</v>
      </c>
      <c r="BA62" s="11">
        <v>0.87</v>
      </c>
      <c r="BB62" s="11">
        <v>0.66</v>
      </c>
      <c r="BC62" s="11">
        <v>0.66</v>
      </c>
      <c r="BD62" s="11">
        <v>0.47</v>
      </c>
      <c r="BE62" s="11">
        <v>0.47</v>
      </c>
      <c r="BF62" s="10" t="s">
        <v>25</v>
      </c>
      <c r="BG62" s="10" t="s">
        <v>25</v>
      </c>
      <c r="BH62" s="39"/>
      <c r="BI62" s="10" t="s">
        <v>25</v>
      </c>
      <c r="BJ62" s="39"/>
      <c r="BK62" s="10" t="s">
        <v>25</v>
      </c>
      <c r="BL62" s="39"/>
      <c r="BM62" s="10" t="s">
        <v>25</v>
      </c>
      <c r="BN62" s="39"/>
      <c r="BO62" s="10" t="s">
        <v>25</v>
      </c>
      <c r="BP62" s="39"/>
      <c r="BQ62" s="10" t="s">
        <v>5572</v>
      </c>
      <c r="BR62" s="42"/>
      <c r="BS62" s="42"/>
      <c r="BT62" s="42"/>
      <c r="BU62" s="42"/>
      <c r="BV62" s="42"/>
      <c r="BW62" s="42"/>
      <c r="BX62" s="42"/>
      <c r="BY62" s="42"/>
      <c r="BZ62" s="42"/>
      <c r="CA62" s="42"/>
      <c r="CB62" s="42"/>
      <c r="CC62" s="42"/>
      <c r="CD62" s="42"/>
      <c r="CE62" s="42"/>
      <c r="CF62" s="42"/>
      <c r="CG62" s="42"/>
      <c r="CH62" s="11"/>
      <c r="CI62" s="42"/>
      <c r="CJ62" s="42"/>
      <c r="CK62" s="42"/>
      <c r="CL62" s="42"/>
      <c r="CM62" s="42"/>
      <c r="CN62" s="42"/>
      <c r="CO62" s="42"/>
      <c r="CP62" s="42"/>
      <c r="CQ62" s="42"/>
      <c r="CR62" s="42"/>
      <c r="CS62" s="42"/>
      <c r="CT62" s="42"/>
      <c r="CU62" s="42"/>
      <c r="CV62" s="42"/>
      <c r="CW62" s="42"/>
      <c r="CX62" s="42"/>
      <c r="CY62" s="11"/>
      <c r="CZ62" s="42"/>
      <c r="DA62" s="42">
        <v>589.79</v>
      </c>
      <c r="DB62" s="42">
        <v>1200.22</v>
      </c>
      <c r="DC62" s="42"/>
      <c r="DD62" s="42">
        <v>1123.55</v>
      </c>
      <c r="DE62" s="42"/>
      <c r="DF62" s="42"/>
      <c r="DG62" s="42"/>
      <c r="DH62" s="42"/>
      <c r="DI62" s="42"/>
      <c r="DJ62" s="42">
        <v>1819.5</v>
      </c>
      <c r="DK62" s="42"/>
      <c r="DL62" s="42"/>
      <c r="DM62" s="42"/>
      <c r="DN62" s="42"/>
      <c r="DO62" s="42"/>
      <c r="DP62" s="11">
        <v>0.86</v>
      </c>
      <c r="DQ62" s="42"/>
      <c r="DR62" s="42"/>
      <c r="DS62" s="42"/>
      <c r="DT62" s="42"/>
      <c r="DU62" s="42"/>
      <c r="DV62" s="42"/>
      <c r="DW62" s="42"/>
      <c r="DX62" s="42"/>
      <c r="DY62" s="42"/>
      <c r="DZ62" s="42"/>
      <c r="EA62" s="42"/>
      <c r="EB62" s="42"/>
      <c r="EC62" s="42"/>
      <c r="ED62" s="42"/>
      <c r="EE62" s="42"/>
      <c r="EF62" s="42"/>
      <c r="EG62" s="11"/>
      <c r="EH62" s="42"/>
      <c r="EI62" s="42"/>
      <c r="EJ62" s="42"/>
      <c r="EK62" s="42"/>
      <c r="EL62" s="42"/>
      <c r="EM62" s="42"/>
      <c r="EN62" s="42"/>
      <c r="EO62" s="42"/>
      <c r="EP62" s="42"/>
      <c r="EQ62" s="42"/>
      <c r="ER62" s="42"/>
      <c r="ES62" s="42"/>
      <c r="ET62" s="42"/>
      <c r="EU62" s="42"/>
      <c r="EV62" s="42"/>
      <c r="EW62" s="42"/>
      <c r="EX62" s="10"/>
      <c r="EY62" s="10"/>
      <c r="EZ62" s="10"/>
      <c r="FA62" s="10"/>
      <c r="FB62" s="10"/>
      <c r="FC62" s="10"/>
      <c r="FD62" s="10"/>
      <c r="FE62" s="10"/>
      <c r="FF62" s="10"/>
      <c r="FG62" s="10"/>
      <c r="FH62" s="10"/>
      <c r="FI62" s="10"/>
      <c r="FJ62" s="10"/>
      <c r="FK62" s="10"/>
      <c r="FL62" s="10"/>
      <c r="FM62" s="10"/>
      <c r="FN62" s="10"/>
      <c r="FO62" s="10"/>
      <c r="FP62" s="42"/>
      <c r="FQ62" s="42"/>
      <c r="FR62" s="42"/>
      <c r="FS62" s="42"/>
      <c r="FT62" s="42"/>
      <c r="FU62" s="42"/>
      <c r="FV62" s="42"/>
      <c r="FW62" s="42"/>
      <c r="FX62" s="42"/>
      <c r="FY62" s="42"/>
      <c r="FZ62" s="42"/>
      <c r="GA62" s="42"/>
      <c r="GB62" s="42"/>
      <c r="GC62" s="42"/>
      <c r="GD62" s="42"/>
      <c r="GE62" s="42"/>
      <c r="GF62" s="10"/>
      <c r="GG62" s="10">
        <v>2</v>
      </c>
      <c r="GH62" s="10" t="s">
        <v>5450</v>
      </c>
      <c r="GI62" s="42"/>
      <c r="GJ62" s="42">
        <v>32.71</v>
      </c>
      <c r="GK62" s="42">
        <v>66.83</v>
      </c>
      <c r="GL62" s="42"/>
      <c r="GM62" s="42">
        <v>86.27</v>
      </c>
      <c r="GN62" s="42"/>
      <c r="GO62" s="42"/>
      <c r="GP62" s="42"/>
      <c r="GQ62" s="42"/>
      <c r="GR62" s="42"/>
      <c r="GS62" s="42">
        <v>132.32</v>
      </c>
      <c r="GT62" s="42"/>
      <c r="GU62" s="42"/>
      <c r="GV62" s="42"/>
      <c r="GW62" s="42"/>
      <c r="GX62" s="42"/>
      <c r="GY62" s="11">
        <v>0.56999999999999995</v>
      </c>
      <c r="GZ62" s="10">
        <v>1</v>
      </c>
      <c r="HA62" s="42"/>
      <c r="HB62" s="42">
        <v>8</v>
      </c>
      <c r="HC62" s="42">
        <v>16.28</v>
      </c>
      <c r="HD62" s="42"/>
      <c r="HE62" s="42">
        <v>15.24</v>
      </c>
      <c r="HF62" s="42"/>
      <c r="HG62" s="42"/>
      <c r="HH62" s="42"/>
      <c r="HI62" s="42"/>
      <c r="HJ62" s="42"/>
      <c r="HK62" s="42">
        <v>24.68</v>
      </c>
      <c r="HL62" s="42"/>
      <c r="HM62" s="42"/>
      <c r="HN62" s="42"/>
      <c r="HO62" s="42"/>
      <c r="HP62" s="42"/>
      <c r="HQ62" s="11">
        <v>0.44</v>
      </c>
      <c r="HR62" s="10" t="s">
        <v>5451</v>
      </c>
      <c r="HS62" s="39">
        <v>450000</v>
      </c>
      <c r="HT62" s="39"/>
      <c r="HU62" s="39"/>
      <c r="HV62" s="10" t="s">
        <v>25</v>
      </c>
      <c r="HW62" s="10" t="s">
        <v>25</v>
      </c>
      <c r="HX62" s="10" t="s">
        <v>5452</v>
      </c>
      <c r="HY62" s="10" t="s">
        <v>5452</v>
      </c>
      <c r="HZ62" s="10" t="s">
        <v>5453</v>
      </c>
      <c r="IA62" s="10" t="s">
        <v>25</v>
      </c>
      <c r="IB62" s="10"/>
      <c r="IC62" s="10" t="s">
        <v>13229</v>
      </c>
      <c r="ID62" s="10" t="s">
        <v>5573</v>
      </c>
      <c r="IE62" s="10" t="s">
        <v>5574</v>
      </c>
      <c r="IF62" s="10" t="s">
        <v>72</v>
      </c>
      <c r="IG62" s="10" t="s">
        <v>72</v>
      </c>
      <c r="IH62" s="10" t="s">
        <v>72</v>
      </c>
      <c r="II62" s="10" t="s">
        <v>72</v>
      </c>
      <c r="IJ62" s="10" t="s">
        <v>2692</v>
      </c>
      <c r="IK62" s="10"/>
      <c r="IL62" s="10" t="s">
        <v>25</v>
      </c>
      <c r="IM62" s="10" t="s">
        <v>5457</v>
      </c>
      <c r="IN62" s="10"/>
      <c r="IO62" s="10" t="s">
        <v>25</v>
      </c>
      <c r="IP62" s="10" t="s">
        <v>2201</v>
      </c>
      <c r="IQ62" s="10" t="s">
        <v>5458</v>
      </c>
      <c r="IR62" s="10" t="s">
        <v>5458</v>
      </c>
      <c r="IS62" s="10" t="s">
        <v>5474</v>
      </c>
      <c r="IT62" s="10" t="s">
        <v>5459</v>
      </c>
      <c r="IU62" s="10" t="s">
        <v>5459</v>
      </c>
      <c r="IV62" s="10" t="s">
        <v>5458</v>
      </c>
      <c r="IW62" s="10" t="s">
        <v>5458</v>
      </c>
      <c r="IX62" s="10" t="s">
        <v>5460</v>
      </c>
      <c r="IY62" s="10"/>
      <c r="IZ62" s="10" t="s">
        <v>14620</v>
      </c>
      <c r="JA62" s="10" t="s">
        <v>13301</v>
      </c>
      <c r="JB62" s="10" t="s">
        <v>5527</v>
      </c>
      <c r="JC62" s="10" t="s">
        <v>5527</v>
      </c>
      <c r="JD62" s="10" t="s">
        <v>5477</v>
      </c>
      <c r="JE62" s="10" t="s">
        <v>28</v>
      </c>
      <c r="JF62" s="10" t="s">
        <v>5464</v>
      </c>
      <c r="JG62" s="10" t="s">
        <v>5465</v>
      </c>
      <c r="JH62" s="10" t="s">
        <v>5466</v>
      </c>
    </row>
    <row r="63" spans="1:268" ht="89.25" x14ac:dyDescent="0.2">
      <c r="A63" s="31" t="s">
        <v>177</v>
      </c>
      <c r="B63" s="9" t="s">
        <v>5494</v>
      </c>
      <c r="C63" s="9"/>
      <c r="D63" s="9" t="s">
        <v>25</v>
      </c>
      <c r="E63" s="9"/>
      <c r="F63" s="9" t="s">
        <v>5467</v>
      </c>
      <c r="G63" s="9"/>
      <c r="H63" s="9">
        <v>20</v>
      </c>
      <c r="I63" s="9">
        <v>20</v>
      </c>
      <c r="J63" s="9"/>
      <c r="K63" s="9" t="s">
        <v>25</v>
      </c>
      <c r="L63" s="9"/>
      <c r="M63" s="9"/>
      <c r="N63" s="9"/>
      <c r="O63" s="9"/>
      <c r="P63" s="9"/>
      <c r="Q63" s="9"/>
      <c r="R63" s="9" t="s">
        <v>5469</v>
      </c>
      <c r="S63" s="11">
        <v>0.08</v>
      </c>
      <c r="T63" s="11">
        <v>0.34</v>
      </c>
      <c r="U63" s="11">
        <v>0.12</v>
      </c>
      <c r="V63" s="10"/>
      <c r="W63" s="11">
        <v>0.08</v>
      </c>
      <c r="X63" s="10"/>
      <c r="Y63" s="10"/>
      <c r="Z63" s="10"/>
      <c r="AA63" s="10"/>
      <c r="AB63" s="10"/>
      <c r="AC63" s="11">
        <v>0.38</v>
      </c>
      <c r="AD63" s="10"/>
      <c r="AE63" s="10"/>
      <c r="AF63" s="10"/>
      <c r="AG63" s="10"/>
      <c r="AH63" s="10"/>
      <c r="AI63" s="36">
        <v>3</v>
      </c>
      <c r="AJ63" s="33">
        <v>3.1E-2</v>
      </c>
      <c r="AK63" s="33">
        <v>7.2000000000000008E-2</v>
      </c>
      <c r="AL63" s="33"/>
      <c r="AM63" s="33"/>
      <c r="AN63" s="33">
        <v>4.0999999999999995E-2</v>
      </c>
      <c r="AO63" s="33">
        <v>3.1E-2</v>
      </c>
      <c r="AP63" s="33">
        <v>7.2000000000000008E-2</v>
      </c>
      <c r="AQ63" s="33"/>
      <c r="AR63" s="33"/>
      <c r="AS63" s="33">
        <v>3.2000000000000001E-2</v>
      </c>
      <c r="AT63" s="11">
        <v>0.73</v>
      </c>
      <c r="AU63" s="11">
        <v>0.73</v>
      </c>
      <c r="AV63" s="11">
        <v>1</v>
      </c>
      <c r="AW63" s="11">
        <v>1</v>
      </c>
      <c r="AX63" s="11">
        <v>0.8</v>
      </c>
      <c r="AY63" s="11">
        <v>0.8</v>
      </c>
      <c r="AZ63" s="11">
        <v>0.7</v>
      </c>
      <c r="BA63" s="11">
        <v>0.7</v>
      </c>
      <c r="BB63" s="11">
        <v>0.66</v>
      </c>
      <c r="BC63" s="11">
        <v>0.66</v>
      </c>
      <c r="BD63" s="11">
        <v>0.67</v>
      </c>
      <c r="BE63" s="11">
        <v>0.67</v>
      </c>
      <c r="BF63" s="10" t="s">
        <v>25</v>
      </c>
      <c r="BG63" s="10" t="s">
        <v>25</v>
      </c>
      <c r="BH63" s="39"/>
      <c r="BI63" s="10" t="s">
        <v>25</v>
      </c>
      <c r="BJ63" s="39"/>
      <c r="BK63" s="10" t="s">
        <v>25</v>
      </c>
      <c r="BL63" s="39"/>
      <c r="BM63" s="10" t="s">
        <v>25</v>
      </c>
      <c r="BN63" s="39"/>
      <c r="BO63" s="10" t="s">
        <v>25</v>
      </c>
      <c r="BP63" s="39"/>
      <c r="BQ63" s="10" t="s">
        <v>5479</v>
      </c>
      <c r="BR63" s="42"/>
      <c r="BS63" s="42">
        <v>710.13</v>
      </c>
      <c r="BT63" s="42">
        <v>1597.8</v>
      </c>
      <c r="BU63" s="42"/>
      <c r="BV63" s="42">
        <v>1357.59</v>
      </c>
      <c r="BW63" s="42"/>
      <c r="BX63" s="42"/>
      <c r="BY63" s="42"/>
      <c r="BZ63" s="42"/>
      <c r="CA63" s="42"/>
      <c r="CB63" s="42">
        <v>2307.9299999999998</v>
      </c>
      <c r="CC63" s="42"/>
      <c r="CD63" s="42"/>
      <c r="CE63" s="42"/>
      <c r="CF63" s="42"/>
      <c r="CG63" s="42"/>
      <c r="CH63" s="11">
        <v>0.65</v>
      </c>
      <c r="CI63" s="42"/>
      <c r="CJ63" s="42"/>
      <c r="CK63" s="42"/>
      <c r="CL63" s="42"/>
      <c r="CM63" s="42"/>
      <c r="CN63" s="42"/>
      <c r="CO63" s="42"/>
      <c r="CP63" s="42"/>
      <c r="CQ63" s="42"/>
      <c r="CR63" s="42"/>
      <c r="CS63" s="42"/>
      <c r="CT63" s="42"/>
      <c r="CU63" s="42"/>
      <c r="CV63" s="42"/>
      <c r="CW63" s="42"/>
      <c r="CX63" s="42"/>
      <c r="CY63" s="11"/>
      <c r="CZ63" s="42"/>
      <c r="DA63" s="42">
        <v>527.57000000000005</v>
      </c>
      <c r="DB63" s="42">
        <v>1187.03</v>
      </c>
      <c r="DC63" s="42"/>
      <c r="DD63" s="42">
        <v>1002.36</v>
      </c>
      <c r="DE63" s="42"/>
      <c r="DF63" s="42"/>
      <c r="DG63" s="42"/>
      <c r="DH63" s="42"/>
      <c r="DI63" s="42"/>
      <c r="DJ63" s="42">
        <v>1714.6</v>
      </c>
      <c r="DK63" s="42"/>
      <c r="DL63" s="42"/>
      <c r="DM63" s="42"/>
      <c r="DN63" s="42"/>
      <c r="DO63" s="42"/>
      <c r="DP63" s="11">
        <v>0.89</v>
      </c>
      <c r="DQ63" s="42"/>
      <c r="DR63" s="42">
        <v>576.07000000000005</v>
      </c>
      <c r="DS63" s="42">
        <v>1267.3399999999999</v>
      </c>
      <c r="DT63" s="42"/>
      <c r="DU63" s="42">
        <v>1094.53</v>
      </c>
      <c r="DV63" s="42"/>
      <c r="DW63" s="42"/>
      <c r="DX63" s="42"/>
      <c r="DY63" s="42"/>
      <c r="DZ63" s="42"/>
      <c r="EA63" s="42">
        <v>1843.4</v>
      </c>
      <c r="EB63" s="42"/>
      <c r="EC63" s="42"/>
      <c r="ED63" s="42"/>
      <c r="EE63" s="42"/>
      <c r="EF63" s="42"/>
      <c r="EG63" s="11">
        <v>0.66</v>
      </c>
      <c r="EH63" s="42"/>
      <c r="EI63" s="42"/>
      <c r="EJ63" s="42"/>
      <c r="EK63" s="42"/>
      <c r="EL63" s="42"/>
      <c r="EM63" s="42"/>
      <c r="EN63" s="42"/>
      <c r="EO63" s="42"/>
      <c r="EP63" s="42"/>
      <c r="EQ63" s="42"/>
      <c r="ER63" s="42"/>
      <c r="ES63" s="42"/>
      <c r="ET63" s="42"/>
      <c r="EU63" s="42"/>
      <c r="EV63" s="42"/>
      <c r="EW63" s="42"/>
      <c r="EX63" s="10"/>
      <c r="EY63" s="10"/>
      <c r="EZ63" s="10"/>
      <c r="FA63" s="10"/>
      <c r="FB63" s="10"/>
      <c r="FC63" s="10"/>
      <c r="FD63" s="10"/>
      <c r="FE63" s="10"/>
      <c r="FF63" s="10"/>
      <c r="FG63" s="10"/>
      <c r="FH63" s="10"/>
      <c r="FI63" s="10"/>
      <c r="FJ63" s="10"/>
      <c r="FK63" s="10"/>
      <c r="FL63" s="10"/>
      <c r="FM63" s="10"/>
      <c r="FN63" s="10"/>
      <c r="FO63" s="10"/>
      <c r="FP63" s="42"/>
      <c r="FQ63" s="42"/>
      <c r="FR63" s="42"/>
      <c r="FS63" s="42"/>
      <c r="FT63" s="42"/>
      <c r="FU63" s="42"/>
      <c r="FV63" s="42"/>
      <c r="FW63" s="42"/>
      <c r="FX63" s="42"/>
      <c r="FY63" s="42"/>
      <c r="FZ63" s="42"/>
      <c r="GA63" s="42"/>
      <c r="GB63" s="42"/>
      <c r="GC63" s="42"/>
      <c r="GD63" s="42"/>
      <c r="GE63" s="42"/>
      <c r="GF63" s="10"/>
      <c r="GG63" s="10">
        <v>1</v>
      </c>
      <c r="GH63" s="10" t="s">
        <v>5450</v>
      </c>
      <c r="GI63" s="42"/>
      <c r="GJ63" s="42">
        <v>48.02</v>
      </c>
      <c r="GK63" s="42">
        <v>90.61</v>
      </c>
      <c r="GL63" s="42"/>
      <c r="GM63" s="42">
        <v>123.01</v>
      </c>
      <c r="GN63" s="42"/>
      <c r="GO63" s="42"/>
      <c r="GP63" s="42"/>
      <c r="GQ63" s="42"/>
      <c r="GR63" s="42"/>
      <c r="GS63" s="42">
        <v>167.53</v>
      </c>
      <c r="GT63" s="42"/>
      <c r="GU63" s="42"/>
      <c r="GV63" s="42"/>
      <c r="GW63" s="42"/>
      <c r="GX63" s="42"/>
      <c r="GY63" s="11">
        <v>0.81</v>
      </c>
      <c r="GZ63" s="10">
        <v>2</v>
      </c>
      <c r="HA63" s="42"/>
      <c r="HB63" s="42">
        <v>6.81</v>
      </c>
      <c r="HC63" s="42">
        <v>10.32</v>
      </c>
      <c r="HD63" s="42"/>
      <c r="HE63" s="42">
        <v>10.51</v>
      </c>
      <c r="HF63" s="42"/>
      <c r="HG63" s="42"/>
      <c r="HH63" s="42"/>
      <c r="HI63" s="42"/>
      <c r="HJ63" s="42"/>
      <c r="HK63" s="42">
        <v>16.96</v>
      </c>
      <c r="HL63" s="42"/>
      <c r="HM63" s="42"/>
      <c r="HN63" s="42"/>
      <c r="HO63" s="42"/>
      <c r="HP63" s="42"/>
      <c r="HQ63" s="11">
        <v>0.92</v>
      </c>
      <c r="HR63" s="10" t="s">
        <v>5451</v>
      </c>
      <c r="HS63" s="39">
        <v>500000</v>
      </c>
      <c r="HT63" s="39"/>
      <c r="HU63" s="39"/>
      <c r="HV63" s="10" t="s">
        <v>25</v>
      </c>
      <c r="HW63" s="10" t="s">
        <v>28</v>
      </c>
      <c r="HX63" s="10" t="s">
        <v>5452</v>
      </c>
      <c r="HY63" s="10" t="s">
        <v>5452</v>
      </c>
      <c r="HZ63" s="10" t="s">
        <v>5452</v>
      </c>
      <c r="IA63" s="10" t="s">
        <v>25</v>
      </c>
      <c r="IB63" s="10"/>
      <c r="IC63" s="10" t="s">
        <v>5729</v>
      </c>
      <c r="ID63" s="10" t="s">
        <v>13266</v>
      </c>
      <c r="IE63" s="10" t="s">
        <v>5730</v>
      </c>
      <c r="IF63" s="10" t="s">
        <v>72</v>
      </c>
      <c r="IG63" s="10" t="s">
        <v>72</v>
      </c>
      <c r="IH63" s="10" t="s">
        <v>72</v>
      </c>
      <c r="II63" s="10" t="s">
        <v>72</v>
      </c>
      <c r="IJ63" s="10" t="s">
        <v>2692</v>
      </c>
      <c r="IK63" s="10"/>
      <c r="IL63" s="10" t="s">
        <v>5549</v>
      </c>
      <c r="IM63" s="10" t="s">
        <v>2758</v>
      </c>
      <c r="IN63" s="10"/>
      <c r="IO63" s="10" t="s">
        <v>28</v>
      </c>
      <c r="IP63" s="10" t="s">
        <v>28</v>
      </c>
      <c r="IQ63" s="10" t="s">
        <v>5513</v>
      </c>
      <c r="IR63" s="10" t="s">
        <v>5473</v>
      </c>
      <c r="IS63" s="10" t="s">
        <v>5473</v>
      </c>
      <c r="IT63" s="10" t="s">
        <v>5473</v>
      </c>
      <c r="IU63" s="10" t="s">
        <v>5473</v>
      </c>
      <c r="IV63" s="10" t="s">
        <v>5458</v>
      </c>
      <c r="IW63" s="10" t="s">
        <v>5474</v>
      </c>
      <c r="IX63" s="10" t="s">
        <v>5483</v>
      </c>
      <c r="IY63" s="10"/>
      <c r="IZ63" s="10" t="s">
        <v>5731</v>
      </c>
      <c r="JA63" s="10" t="s">
        <v>13301</v>
      </c>
      <c r="JB63" s="10" t="s">
        <v>5527</v>
      </c>
      <c r="JC63" s="10" t="s">
        <v>5527</v>
      </c>
      <c r="JD63" s="10" t="s">
        <v>5462</v>
      </c>
      <c r="JE63" s="10" t="s">
        <v>5463</v>
      </c>
      <c r="JF63" s="10" t="s">
        <v>5464</v>
      </c>
      <c r="JG63" s="10" t="s">
        <v>13302</v>
      </c>
      <c r="JH63" s="10" t="s">
        <v>5496</v>
      </c>
    </row>
    <row r="64" spans="1:268" ht="89.25" x14ac:dyDescent="0.2">
      <c r="A64" s="31" t="s">
        <v>162</v>
      </c>
      <c r="B64" s="9" t="s">
        <v>5494</v>
      </c>
      <c r="C64" s="9"/>
      <c r="D64" s="9" t="s">
        <v>25</v>
      </c>
      <c r="E64" s="9"/>
      <c r="F64" s="9" t="s">
        <v>5467</v>
      </c>
      <c r="G64" s="9"/>
      <c r="H64" s="9">
        <v>20</v>
      </c>
      <c r="I64" s="9">
        <v>20</v>
      </c>
      <c r="J64" s="9">
        <v>40</v>
      </c>
      <c r="K64" s="9" t="s">
        <v>25</v>
      </c>
      <c r="L64" s="9"/>
      <c r="M64" s="9"/>
      <c r="N64" s="9"/>
      <c r="O64" s="9"/>
      <c r="P64" s="9"/>
      <c r="Q64" s="9"/>
      <c r="R64" s="9" t="s">
        <v>5469</v>
      </c>
      <c r="S64" s="11">
        <v>7.0000000000000007E-2</v>
      </c>
      <c r="T64" s="11">
        <v>0.42</v>
      </c>
      <c r="U64" s="11">
        <v>0.1</v>
      </c>
      <c r="V64" s="10"/>
      <c r="W64" s="11">
        <v>0.14000000000000001</v>
      </c>
      <c r="X64" s="10"/>
      <c r="Y64" s="10"/>
      <c r="Z64" s="10"/>
      <c r="AA64" s="10"/>
      <c r="AB64" s="10"/>
      <c r="AC64" s="11">
        <v>0.27</v>
      </c>
      <c r="AD64" s="10"/>
      <c r="AE64" s="10"/>
      <c r="AF64" s="10"/>
      <c r="AG64" s="10"/>
      <c r="AH64" s="10"/>
      <c r="AI64" s="36">
        <v>3</v>
      </c>
      <c r="AJ64" s="33">
        <v>5.5999999999999994E-2</v>
      </c>
      <c r="AK64" s="33">
        <v>5.5999999999999994E-2</v>
      </c>
      <c r="AL64" s="33">
        <v>5.5999999999999994E-2</v>
      </c>
      <c r="AM64" s="33">
        <v>5.5999999999999994E-2</v>
      </c>
      <c r="AN64" s="33">
        <v>-0.05</v>
      </c>
      <c r="AO64" s="33">
        <v>4.7E-2</v>
      </c>
      <c r="AP64" s="33">
        <v>4.7E-2</v>
      </c>
      <c r="AQ64" s="33">
        <v>4.7E-2</v>
      </c>
      <c r="AR64" s="33">
        <v>4.7E-2</v>
      </c>
      <c r="AS64" s="33">
        <v>-0.05</v>
      </c>
      <c r="AT64" s="11">
        <v>0.88500000000000001</v>
      </c>
      <c r="AU64" s="11">
        <v>0.88500000000000001</v>
      </c>
      <c r="AV64" s="11">
        <v>0.83200000000000007</v>
      </c>
      <c r="AW64" s="11">
        <v>0.83200000000000007</v>
      </c>
      <c r="AX64" s="11">
        <v>0.70599999999999996</v>
      </c>
      <c r="AY64" s="11">
        <v>0.70599999999999996</v>
      </c>
      <c r="AZ64" s="11">
        <v>0.82</v>
      </c>
      <c r="BA64" s="11">
        <v>0.82</v>
      </c>
      <c r="BB64" s="11">
        <v>0.621</v>
      </c>
      <c r="BC64" s="11">
        <v>0.621</v>
      </c>
      <c r="BD64" s="11">
        <v>0.68799999999999994</v>
      </c>
      <c r="BE64" s="11">
        <v>0.68799999999999994</v>
      </c>
      <c r="BF64" s="10" t="s">
        <v>25</v>
      </c>
      <c r="BG64" s="10" t="s">
        <v>25</v>
      </c>
      <c r="BH64" s="39"/>
      <c r="BI64" s="10" t="s">
        <v>25</v>
      </c>
      <c r="BJ64" s="39"/>
      <c r="BK64" s="10" t="s">
        <v>25</v>
      </c>
      <c r="BL64" s="39"/>
      <c r="BM64" s="10" t="s">
        <v>25</v>
      </c>
      <c r="BN64" s="39"/>
      <c r="BO64" s="10" t="s">
        <v>25</v>
      </c>
      <c r="BP64" s="39"/>
      <c r="BQ64" s="10" t="s">
        <v>5510</v>
      </c>
      <c r="BR64" s="42">
        <v>0</v>
      </c>
      <c r="BS64" s="42">
        <v>824.38</v>
      </c>
      <c r="BT64" s="42">
        <v>1808.61</v>
      </c>
      <c r="BU64" s="42"/>
      <c r="BV64" s="42">
        <v>1644.56</v>
      </c>
      <c r="BW64" s="42"/>
      <c r="BX64" s="42"/>
      <c r="BY64" s="42"/>
      <c r="BZ64" s="42"/>
      <c r="CA64" s="42"/>
      <c r="CB64" s="42">
        <v>2464.77</v>
      </c>
      <c r="CC64" s="42"/>
      <c r="CD64" s="42"/>
      <c r="CE64" s="42"/>
      <c r="CF64" s="42"/>
      <c r="CG64" s="42"/>
      <c r="CH64" s="11">
        <v>0.81599999999999995</v>
      </c>
      <c r="CI64" s="42">
        <v>0</v>
      </c>
      <c r="CJ64" s="42">
        <v>795.5</v>
      </c>
      <c r="CK64" s="42">
        <v>1745.06</v>
      </c>
      <c r="CL64" s="42"/>
      <c r="CM64" s="42">
        <v>1586.81</v>
      </c>
      <c r="CN64" s="42"/>
      <c r="CO64" s="42"/>
      <c r="CP64" s="42"/>
      <c r="CQ64" s="42"/>
      <c r="CR64" s="42"/>
      <c r="CS64" s="42">
        <v>2378.12</v>
      </c>
      <c r="CT64" s="42"/>
      <c r="CU64" s="42"/>
      <c r="CV64" s="42"/>
      <c r="CW64" s="42"/>
      <c r="CX64" s="42"/>
      <c r="CY64" s="11">
        <v>0.78</v>
      </c>
      <c r="CZ64" s="42">
        <v>0</v>
      </c>
      <c r="DA64" s="42">
        <v>695.44</v>
      </c>
      <c r="DB64" s="42">
        <v>1524.96</v>
      </c>
      <c r="DC64" s="42"/>
      <c r="DD64" s="42">
        <v>1386.71</v>
      </c>
      <c r="DE64" s="42"/>
      <c r="DF64" s="42"/>
      <c r="DG64" s="42"/>
      <c r="DH64" s="42"/>
      <c r="DI64" s="42"/>
      <c r="DJ64" s="42">
        <v>2077.9499999999998</v>
      </c>
      <c r="DK64" s="42"/>
      <c r="DL64" s="42"/>
      <c r="DM64" s="42"/>
      <c r="DN64" s="42"/>
      <c r="DO64" s="42"/>
      <c r="DP64" s="11">
        <v>0.85099999999999998</v>
      </c>
      <c r="DQ64" s="42">
        <v>0</v>
      </c>
      <c r="DR64" s="42">
        <v>517.54999999999995</v>
      </c>
      <c r="DS64" s="42">
        <v>1138.5999999999999</v>
      </c>
      <c r="DT64" s="42"/>
      <c r="DU64" s="42">
        <v>1035.0899999999999</v>
      </c>
      <c r="DV64" s="42"/>
      <c r="DW64" s="42"/>
      <c r="DX64" s="42"/>
      <c r="DY64" s="42"/>
      <c r="DZ64" s="42"/>
      <c r="EA64" s="42">
        <v>1552.64</v>
      </c>
      <c r="EB64" s="42"/>
      <c r="EC64" s="42"/>
      <c r="ED64" s="42"/>
      <c r="EE64" s="42"/>
      <c r="EF64" s="42"/>
      <c r="EG64" s="11">
        <v>0.81900000000000006</v>
      </c>
      <c r="EH64" s="42"/>
      <c r="EI64" s="42"/>
      <c r="EJ64" s="42"/>
      <c r="EK64" s="42"/>
      <c r="EL64" s="42"/>
      <c r="EM64" s="42"/>
      <c r="EN64" s="42"/>
      <c r="EO64" s="42"/>
      <c r="EP64" s="42"/>
      <c r="EQ64" s="42"/>
      <c r="ER64" s="42"/>
      <c r="ES64" s="42"/>
      <c r="ET64" s="42"/>
      <c r="EU64" s="42"/>
      <c r="EV64" s="42"/>
      <c r="EW64" s="42"/>
      <c r="EX64" s="10"/>
      <c r="EY64" s="10"/>
      <c r="EZ64" s="10"/>
      <c r="FA64" s="10"/>
      <c r="FB64" s="10"/>
      <c r="FC64" s="10"/>
      <c r="FD64" s="10"/>
      <c r="FE64" s="10"/>
      <c r="FF64" s="10"/>
      <c r="FG64" s="10"/>
      <c r="FH64" s="10"/>
      <c r="FI64" s="10"/>
      <c r="FJ64" s="10"/>
      <c r="FK64" s="10"/>
      <c r="FL64" s="10"/>
      <c r="FM64" s="10"/>
      <c r="FN64" s="10"/>
      <c r="FO64" s="10"/>
      <c r="FP64" s="42">
        <v>0</v>
      </c>
      <c r="FQ64" s="42">
        <v>824.38</v>
      </c>
      <c r="FR64" s="42">
        <v>1808.61</v>
      </c>
      <c r="FS64" s="42"/>
      <c r="FT64" s="42">
        <v>1644.56</v>
      </c>
      <c r="FU64" s="42"/>
      <c r="FV64" s="42"/>
      <c r="FW64" s="42"/>
      <c r="FX64" s="42"/>
      <c r="FY64" s="42"/>
      <c r="FZ64" s="42">
        <v>2464.77</v>
      </c>
      <c r="GA64" s="42"/>
      <c r="GB64" s="42"/>
      <c r="GC64" s="42"/>
      <c r="GD64" s="42"/>
      <c r="GE64" s="42"/>
      <c r="GF64" s="11">
        <v>0.82</v>
      </c>
      <c r="GG64" s="10">
        <v>2</v>
      </c>
      <c r="GH64" s="10" t="s">
        <v>5450</v>
      </c>
      <c r="GI64" s="42"/>
      <c r="GJ64" s="42">
        <v>46.65</v>
      </c>
      <c r="GK64" s="42">
        <v>102.61</v>
      </c>
      <c r="GL64" s="42"/>
      <c r="GM64" s="42">
        <v>93.29</v>
      </c>
      <c r="GN64" s="42"/>
      <c r="GO64" s="42"/>
      <c r="GP64" s="42"/>
      <c r="GQ64" s="42"/>
      <c r="GR64" s="42"/>
      <c r="GS64" s="42">
        <v>139.94</v>
      </c>
      <c r="GT64" s="42"/>
      <c r="GU64" s="42"/>
      <c r="GV64" s="42"/>
      <c r="GW64" s="42"/>
      <c r="GX64" s="42"/>
      <c r="GY64" s="11">
        <v>0.72699999999999998</v>
      </c>
      <c r="GZ64" s="10">
        <v>2</v>
      </c>
      <c r="HA64" s="42"/>
      <c r="HB64" s="42">
        <v>7.19</v>
      </c>
      <c r="HC64" s="42">
        <v>15.79</v>
      </c>
      <c r="HD64" s="42"/>
      <c r="HE64" s="42">
        <v>14.38</v>
      </c>
      <c r="HF64" s="42"/>
      <c r="HG64" s="42"/>
      <c r="HH64" s="42"/>
      <c r="HI64" s="42"/>
      <c r="HJ64" s="42"/>
      <c r="HK64" s="42">
        <v>21.55</v>
      </c>
      <c r="HL64" s="42"/>
      <c r="HM64" s="42"/>
      <c r="HN64" s="42"/>
      <c r="HO64" s="42"/>
      <c r="HP64" s="42"/>
      <c r="HQ64" s="11">
        <v>1</v>
      </c>
      <c r="HR64" s="10" t="s">
        <v>5451</v>
      </c>
      <c r="HS64" s="39">
        <v>1750000</v>
      </c>
      <c r="HT64" s="39"/>
      <c r="HU64" s="39"/>
      <c r="HV64" s="10" t="s">
        <v>25</v>
      </c>
      <c r="HW64" s="10" t="s">
        <v>25</v>
      </c>
      <c r="HX64" s="10" t="s">
        <v>5452</v>
      </c>
      <c r="HY64" s="10" t="s">
        <v>5452</v>
      </c>
      <c r="HZ64" s="10" t="s">
        <v>5452</v>
      </c>
      <c r="IA64" s="10" t="s">
        <v>25</v>
      </c>
      <c r="IB64" s="10"/>
      <c r="IC64" s="10" t="s">
        <v>5673</v>
      </c>
      <c r="ID64" s="10" t="s">
        <v>13254</v>
      </c>
      <c r="IE64" s="10" t="s">
        <v>13285</v>
      </c>
      <c r="IF64" s="10" t="s">
        <v>5674</v>
      </c>
      <c r="IG64" s="10" t="s">
        <v>5674</v>
      </c>
      <c r="IH64" s="10" t="s">
        <v>5674</v>
      </c>
      <c r="II64" s="10" t="s">
        <v>5563</v>
      </c>
      <c r="IJ64" s="10" t="s">
        <v>2692</v>
      </c>
      <c r="IK64" s="10"/>
      <c r="IL64" s="10" t="s">
        <v>25</v>
      </c>
      <c r="IM64" s="10" t="s">
        <v>2692</v>
      </c>
      <c r="IN64" s="10"/>
      <c r="IO64" s="10" t="s">
        <v>25</v>
      </c>
      <c r="IP64" s="10" t="s">
        <v>28</v>
      </c>
      <c r="IQ64" s="10" t="s">
        <v>5458</v>
      </c>
      <c r="IR64" s="10" t="s">
        <v>5458</v>
      </c>
      <c r="IS64" s="10" t="s">
        <v>5458</v>
      </c>
      <c r="IT64" s="10" t="s">
        <v>5459</v>
      </c>
      <c r="IU64" s="10" t="s">
        <v>5459</v>
      </c>
      <c r="IV64" s="10" t="s">
        <v>5458</v>
      </c>
      <c r="IW64" s="10" t="s">
        <v>5458</v>
      </c>
      <c r="IX64" s="10" t="s">
        <v>5460</v>
      </c>
      <c r="IY64" s="10"/>
      <c r="IZ64" s="10" t="s">
        <v>13774</v>
      </c>
      <c r="JA64" s="10" t="s">
        <v>13301</v>
      </c>
      <c r="JB64" s="10" t="s">
        <v>5515</v>
      </c>
      <c r="JC64" s="10" t="s">
        <v>5515</v>
      </c>
      <c r="JD64" s="10" t="s">
        <v>5477</v>
      </c>
      <c r="JE64" s="10" t="s">
        <v>5486</v>
      </c>
      <c r="JF64" s="10" t="s">
        <v>5464</v>
      </c>
      <c r="JG64" s="10" t="s">
        <v>13302</v>
      </c>
      <c r="JH64" s="10" t="s">
        <v>5466</v>
      </c>
    </row>
    <row r="65" spans="1:268" ht="89.25" x14ac:dyDescent="0.2">
      <c r="A65" s="31" t="s">
        <v>148</v>
      </c>
      <c r="B65" s="9" t="s">
        <v>5494</v>
      </c>
      <c r="C65" s="9"/>
      <c r="D65" s="9" t="s">
        <v>25</v>
      </c>
      <c r="E65" s="9"/>
      <c r="F65" s="9" t="s">
        <v>5467</v>
      </c>
      <c r="G65" s="9"/>
      <c r="H65" s="9">
        <v>0</v>
      </c>
      <c r="I65" s="9">
        <v>0</v>
      </c>
      <c r="J65" s="9">
        <v>38</v>
      </c>
      <c r="K65" s="9" t="s">
        <v>28</v>
      </c>
      <c r="L65" s="9" t="s">
        <v>5446</v>
      </c>
      <c r="M65" s="9" t="s">
        <v>5446</v>
      </c>
      <c r="N65" s="9" t="s">
        <v>5446</v>
      </c>
      <c r="O65" s="9"/>
      <c r="P65" s="9"/>
      <c r="Q65" s="9"/>
      <c r="R65" s="9" t="s">
        <v>5619</v>
      </c>
      <c r="S65" s="11">
        <v>0.03</v>
      </c>
      <c r="T65" s="11">
        <v>0.33</v>
      </c>
      <c r="U65" s="11"/>
      <c r="V65" s="10"/>
      <c r="W65" s="11"/>
      <c r="X65" s="11">
        <v>0.19</v>
      </c>
      <c r="Y65" s="11">
        <v>0.16</v>
      </c>
      <c r="Z65" s="10"/>
      <c r="AA65" s="10"/>
      <c r="AB65" s="10"/>
      <c r="AC65" s="11">
        <v>0.28999999999999998</v>
      </c>
      <c r="AD65" s="10"/>
      <c r="AE65" s="10"/>
      <c r="AF65" s="10"/>
      <c r="AG65" s="10"/>
      <c r="AH65" s="10"/>
      <c r="AI65" s="36">
        <v>3</v>
      </c>
      <c r="AJ65" s="33">
        <v>0.05</v>
      </c>
      <c r="AK65" s="33"/>
      <c r="AL65" s="33"/>
      <c r="AM65" s="33"/>
      <c r="AN65" s="33"/>
      <c r="AO65" s="33">
        <v>0.05</v>
      </c>
      <c r="AP65" s="33"/>
      <c r="AQ65" s="33"/>
      <c r="AR65" s="33"/>
      <c r="AS65" s="33"/>
      <c r="AT65" s="11">
        <v>0.83</v>
      </c>
      <c r="AU65" s="11">
        <v>0.83</v>
      </c>
      <c r="AV65" s="11">
        <v>0.76</v>
      </c>
      <c r="AW65" s="11">
        <v>0.76</v>
      </c>
      <c r="AX65" s="11">
        <v>0.59</v>
      </c>
      <c r="AY65" s="11">
        <v>0.59</v>
      </c>
      <c r="AZ65" s="11">
        <v>0.83</v>
      </c>
      <c r="BA65" s="11">
        <v>0.83</v>
      </c>
      <c r="BB65" s="11">
        <v>0.76</v>
      </c>
      <c r="BC65" s="11">
        <v>0.76</v>
      </c>
      <c r="BD65" s="11">
        <v>0.59</v>
      </c>
      <c r="BE65" s="11">
        <v>0.59</v>
      </c>
      <c r="BF65" s="10" t="s">
        <v>25</v>
      </c>
      <c r="BG65" s="10" t="s">
        <v>25</v>
      </c>
      <c r="BH65" s="39"/>
      <c r="BI65" s="10" t="s">
        <v>25</v>
      </c>
      <c r="BJ65" s="39"/>
      <c r="BK65" s="10" t="s">
        <v>25</v>
      </c>
      <c r="BL65" s="39"/>
      <c r="BM65" s="10" t="s">
        <v>25</v>
      </c>
      <c r="BN65" s="39"/>
      <c r="BO65" s="10" t="s">
        <v>25</v>
      </c>
      <c r="BP65" s="39"/>
      <c r="BQ65" s="10" t="s">
        <v>5530</v>
      </c>
      <c r="BR65" s="42">
        <v>0</v>
      </c>
      <c r="BS65" s="42">
        <v>574</v>
      </c>
      <c r="BT65" s="42"/>
      <c r="BU65" s="42"/>
      <c r="BV65" s="42"/>
      <c r="BW65" s="42">
        <v>1148</v>
      </c>
      <c r="BX65" s="42">
        <v>1435</v>
      </c>
      <c r="BY65" s="42"/>
      <c r="BZ65" s="42"/>
      <c r="CA65" s="42"/>
      <c r="CB65" s="42">
        <v>1895</v>
      </c>
      <c r="CC65" s="42"/>
      <c r="CD65" s="42"/>
      <c r="CE65" s="42"/>
      <c r="CF65" s="42"/>
      <c r="CG65" s="42"/>
      <c r="CH65" s="11">
        <v>0.83</v>
      </c>
      <c r="CI65" s="42">
        <v>0</v>
      </c>
      <c r="CJ65" s="42">
        <v>535</v>
      </c>
      <c r="CK65" s="42"/>
      <c r="CL65" s="42"/>
      <c r="CM65" s="42"/>
      <c r="CN65" s="42">
        <v>1070</v>
      </c>
      <c r="CO65" s="42">
        <v>1337</v>
      </c>
      <c r="CP65" s="42"/>
      <c r="CQ65" s="42"/>
      <c r="CR65" s="42"/>
      <c r="CS65" s="42">
        <v>1752</v>
      </c>
      <c r="CT65" s="42"/>
      <c r="CU65" s="42"/>
      <c r="CV65" s="42"/>
      <c r="CW65" s="42"/>
      <c r="CX65" s="42"/>
      <c r="CY65" s="11">
        <v>0.83</v>
      </c>
      <c r="CZ65" s="42">
        <v>0</v>
      </c>
      <c r="DA65" s="42">
        <v>554</v>
      </c>
      <c r="DB65" s="42"/>
      <c r="DC65" s="42"/>
      <c r="DD65" s="42"/>
      <c r="DE65" s="42">
        <v>1083</v>
      </c>
      <c r="DF65" s="42">
        <v>1330</v>
      </c>
      <c r="DG65" s="42"/>
      <c r="DH65" s="42"/>
      <c r="DI65" s="42"/>
      <c r="DJ65" s="42">
        <v>1724</v>
      </c>
      <c r="DK65" s="42"/>
      <c r="DL65" s="42"/>
      <c r="DM65" s="42"/>
      <c r="DN65" s="42"/>
      <c r="DO65" s="42"/>
      <c r="DP65" s="11">
        <v>0.94</v>
      </c>
      <c r="DQ65" s="42">
        <v>0</v>
      </c>
      <c r="DR65" s="42">
        <v>505</v>
      </c>
      <c r="DS65" s="42"/>
      <c r="DT65" s="42"/>
      <c r="DU65" s="42"/>
      <c r="DV65" s="42">
        <v>1112</v>
      </c>
      <c r="DW65" s="42">
        <v>1617</v>
      </c>
      <c r="DX65" s="42"/>
      <c r="DY65" s="42"/>
      <c r="DZ65" s="42"/>
      <c r="EA65" s="42">
        <v>1936</v>
      </c>
      <c r="EB65" s="42"/>
      <c r="EC65" s="42"/>
      <c r="ED65" s="42"/>
      <c r="EE65" s="42"/>
      <c r="EF65" s="42"/>
      <c r="EG65" s="11">
        <v>0.8</v>
      </c>
      <c r="EH65" s="42"/>
      <c r="EI65" s="42"/>
      <c r="EJ65" s="42"/>
      <c r="EK65" s="42"/>
      <c r="EL65" s="42"/>
      <c r="EM65" s="42"/>
      <c r="EN65" s="42"/>
      <c r="EO65" s="42"/>
      <c r="EP65" s="42"/>
      <c r="EQ65" s="42"/>
      <c r="ER65" s="42"/>
      <c r="ES65" s="42"/>
      <c r="ET65" s="42"/>
      <c r="EU65" s="42"/>
      <c r="EV65" s="42"/>
      <c r="EW65" s="42"/>
      <c r="EX65" s="10"/>
      <c r="EY65" s="10"/>
      <c r="EZ65" s="10"/>
      <c r="FA65" s="10"/>
      <c r="FB65" s="10"/>
      <c r="FC65" s="10"/>
      <c r="FD65" s="10"/>
      <c r="FE65" s="10"/>
      <c r="FF65" s="10"/>
      <c r="FG65" s="10"/>
      <c r="FH65" s="10"/>
      <c r="FI65" s="10"/>
      <c r="FJ65" s="10"/>
      <c r="FK65" s="10"/>
      <c r="FL65" s="10"/>
      <c r="FM65" s="10"/>
      <c r="FN65" s="10"/>
      <c r="FO65" s="10"/>
      <c r="FP65" s="42"/>
      <c r="FQ65" s="42"/>
      <c r="FR65" s="42"/>
      <c r="FS65" s="42"/>
      <c r="FT65" s="42"/>
      <c r="FU65" s="42"/>
      <c r="FV65" s="42"/>
      <c r="FW65" s="42"/>
      <c r="FX65" s="42"/>
      <c r="FY65" s="42"/>
      <c r="FZ65" s="42"/>
      <c r="GA65" s="42"/>
      <c r="GB65" s="42"/>
      <c r="GC65" s="42"/>
      <c r="GD65" s="42"/>
      <c r="GE65" s="42"/>
      <c r="GF65" s="10"/>
      <c r="GG65" s="10">
        <v>3</v>
      </c>
      <c r="GH65" s="10" t="s">
        <v>5450</v>
      </c>
      <c r="GI65" s="42">
        <v>0</v>
      </c>
      <c r="GJ65" s="42">
        <v>47</v>
      </c>
      <c r="GK65" s="42"/>
      <c r="GL65" s="42"/>
      <c r="GM65" s="42"/>
      <c r="GN65" s="42">
        <v>94</v>
      </c>
      <c r="GO65" s="42">
        <v>118</v>
      </c>
      <c r="GP65" s="42"/>
      <c r="GQ65" s="42"/>
      <c r="GR65" s="42"/>
      <c r="GS65" s="42">
        <v>156</v>
      </c>
      <c r="GT65" s="42"/>
      <c r="GU65" s="42"/>
      <c r="GV65" s="42"/>
      <c r="GW65" s="42"/>
      <c r="GX65" s="42"/>
      <c r="GY65" s="11">
        <v>0.82</v>
      </c>
      <c r="GZ65" s="10">
        <v>2</v>
      </c>
      <c r="HA65" s="42">
        <v>0</v>
      </c>
      <c r="HB65" s="42">
        <v>10</v>
      </c>
      <c r="HC65" s="42"/>
      <c r="HD65" s="42"/>
      <c r="HE65" s="42"/>
      <c r="HF65" s="42">
        <v>21</v>
      </c>
      <c r="HG65" s="42">
        <v>37</v>
      </c>
      <c r="HH65" s="42"/>
      <c r="HI65" s="42"/>
      <c r="HJ65" s="42"/>
      <c r="HK65" s="42">
        <v>35</v>
      </c>
      <c r="HL65" s="42"/>
      <c r="HM65" s="42"/>
      <c r="HN65" s="42"/>
      <c r="HO65" s="42"/>
      <c r="HP65" s="42"/>
      <c r="HQ65" s="11">
        <v>0.78</v>
      </c>
      <c r="HR65" s="10" t="s">
        <v>25</v>
      </c>
      <c r="HS65" s="39"/>
      <c r="HT65" s="39"/>
      <c r="HU65" s="39"/>
      <c r="HV65" s="10"/>
      <c r="HW65" s="10"/>
      <c r="HX65" s="10" t="s">
        <v>5452</v>
      </c>
      <c r="HY65" s="10" t="s">
        <v>5452</v>
      </c>
      <c r="HZ65" s="10" t="s">
        <v>5453</v>
      </c>
      <c r="IA65" s="10" t="s">
        <v>25</v>
      </c>
      <c r="IB65" s="10"/>
      <c r="IC65" s="10" t="s">
        <v>5620</v>
      </c>
      <c r="ID65" s="10" t="s">
        <v>5621</v>
      </c>
      <c r="IE65" s="10" t="s">
        <v>5622</v>
      </c>
      <c r="IF65" s="10" t="s">
        <v>5563</v>
      </c>
      <c r="IG65" s="10" t="s">
        <v>72</v>
      </c>
      <c r="IH65" s="10" t="s">
        <v>72</v>
      </c>
      <c r="II65" s="10" t="s">
        <v>72</v>
      </c>
      <c r="IJ65" s="10" t="s">
        <v>2758</v>
      </c>
      <c r="IK65" s="10"/>
      <c r="IL65" s="10" t="s">
        <v>25</v>
      </c>
      <c r="IM65" s="10" t="s">
        <v>5457</v>
      </c>
      <c r="IN65" s="10"/>
      <c r="IO65" s="10" t="s">
        <v>25</v>
      </c>
      <c r="IP65" s="10" t="s">
        <v>28</v>
      </c>
      <c r="IQ65" s="10" t="s">
        <v>5458</v>
      </c>
      <c r="IR65" s="10" t="s">
        <v>5458</v>
      </c>
      <c r="IS65" s="10" t="s">
        <v>5474</v>
      </c>
      <c r="IT65" s="10" t="s">
        <v>5459</v>
      </c>
      <c r="IU65" s="10" t="s">
        <v>5459</v>
      </c>
      <c r="IV65" s="10" t="s">
        <v>5458</v>
      </c>
      <c r="IW65" s="10" t="s">
        <v>5458</v>
      </c>
      <c r="IX65" s="10" t="s">
        <v>5483</v>
      </c>
      <c r="IY65" s="10"/>
      <c r="IZ65" s="10" t="s">
        <v>5623</v>
      </c>
      <c r="JA65" s="10" t="s">
        <v>13301</v>
      </c>
      <c r="JB65" s="10" t="s">
        <v>5515</v>
      </c>
      <c r="JC65" s="10" t="s">
        <v>5515</v>
      </c>
      <c r="JD65" s="10" t="s">
        <v>5462</v>
      </c>
      <c r="JE65" s="10" t="s">
        <v>28</v>
      </c>
      <c r="JF65" s="10" t="s">
        <v>5464</v>
      </c>
      <c r="JG65" s="10" t="s">
        <v>5465</v>
      </c>
      <c r="JH65" s="10" t="s">
        <v>5496</v>
      </c>
    </row>
    <row r="66" spans="1:268" ht="89.25" x14ac:dyDescent="0.2">
      <c r="A66" s="31" t="s">
        <v>167</v>
      </c>
      <c r="B66" s="9" t="s">
        <v>2185</v>
      </c>
      <c r="C66" s="9"/>
      <c r="D66" s="9" t="s">
        <v>25</v>
      </c>
      <c r="E66" s="9"/>
      <c r="F66" s="9"/>
      <c r="G66" s="9"/>
      <c r="H66" s="9">
        <v>40</v>
      </c>
      <c r="I66" s="9">
        <v>20</v>
      </c>
      <c r="J66" s="9">
        <v>39</v>
      </c>
      <c r="K66" s="9" t="s">
        <v>28</v>
      </c>
      <c r="L66" s="9" t="s">
        <v>5468</v>
      </c>
      <c r="M66" s="9" t="s">
        <v>5468</v>
      </c>
      <c r="N66" s="9" t="s">
        <v>5447</v>
      </c>
      <c r="O66" s="9" t="s">
        <v>5447</v>
      </c>
      <c r="P66" s="9" t="s">
        <v>5447</v>
      </c>
      <c r="Q66" s="9" t="s">
        <v>5447</v>
      </c>
      <c r="R66" s="9" t="s">
        <v>5536</v>
      </c>
      <c r="S66" s="11">
        <v>0</v>
      </c>
      <c r="T66" s="11">
        <v>0.45</v>
      </c>
      <c r="U66" s="11">
        <v>0.17</v>
      </c>
      <c r="V66" s="10"/>
      <c r="W66" s="11">
        <v>0.06</v>
      </c>
      <c r="X66" s="10"/>
      <c r="Y66" s="10"/>
      <c r="Z66" s="10"/>
      <c r="AA66" s="10"/>
      <c r="AB66" s="10"/>
      <c r="AC66" s="11">
        <v>0.32</v>
      </c>
      <c r="AD66" s="10"/>
      <c r="AE66" s="10"/>
      <c r="AF66" s="10"/>
      <c r="AG66" s="10"/>
      <c r="AH66" s="10"/>
      <c r="AI66" s="36">
        <v>2</v>
      </c>
      <c r="AJ66" s="33">
        <v>9.0999999999999998E-2</v>
      </c>
      <c r="AK66" s="33">
        <v>9.0999999999999998E-2</v>
      </c>
      <c r="AL66" s="33">
        <v>9.0999999999999998E-2</v>
      </c>
      <c r="AM66" s="33">
        <v>9.0999999999999998E-2</v>
      </c>
      <c r="AN66" s="33">
        <v>5.5E-2</v>
      </c>
      <c r="AO66" s="33">
        <v>9.0999999999999998E-2</v>
      </c>
      <c r="AP66" s="33">
        <v>9.0999999999999998E-2</v>
      </c>
      <c r="AQ66" s="33">
        <v>9.0999999999999998E-2</v>
      </c>
      <c r="AR66" s="33">
        <v>9.0999999999999998E-2</v>
      </c>
      <c r="AS66" s="33">
        <v>5.5E-2</v>
      </c>
      <c r="AT66" s="11">
        <v>0.89</v>
      </c>
      <c r="AU66" s="11">
        <v>0.89</v>
      </c>
      <c r="AV66" s="11">
        <v>0.74</v>
      </c>
      <c r="AW66" s="11">
        <v>0.74</v>
      </c>
      <c r="AX66" s="11">
        <v>0.36</v>
      </c>
      <c r="AY66" s="11">
        <v>0.36</v>
      </c>
      <c r="AZ66" s="11">
        <v>0.87</v>
      </c>
      <c r="BA66" s="11">
        <v>0.87</v>
      </c>
      <c r="BB66" s="11">
        <v>0.69</v>
      </c>
      <c r="BC66" s="11">
        <v>0.69</v>
      </c>
      <c r="BD66" s="11">
        <v>0.31</v>
      </c>
      <c r="BE66" s="11">
        <v>0.31</v>
      </c>
      <c r="BF66" s="10" t="s">
        <v>25</v>
      </c>
      <c r="BG66" s="10" t="s">
        <v>25</v>
      </c>
      <c r="BH66" s="39"/>
      <c r="BI66" s="10" t="s">
        <v>25</v>
      </c>
      <c r="BJ66" s="39"/>
      <c r="BK66" s="10" t="s">
        <v>25</v>
      </c>
      <c r="BL66" s="39"/>
      <c r="BM66" s="10" t="s">
        <v>28</v>
      </c>
      <c r="BN66" s="39">
        <v>325</v>
      </c>
      <c r="BO66" s="10" t="s">
        <v>25</v>
      </c>
      <c r="BP66" s="39"/>
      <c r="BQ66" s="10" t="s">
        <v>5479</v>
      </c>
      <c r="BR66" s="42"/>
      <c r="BS66" s="42">
        <v>722.23</v>
      </c>
      <c r="BT66" s="42">
        <v>1588.88</v>
      </c>
      <c r="BU66" s="42"/>
      <c r="BV66" s="42">
        <v>1300.01</v>
      </c>
      <c r="BW66" s="42"/>
      <c r="BX66" s="42"/>
      <c r="BY66" s="42"/>
      <c r="BZ66" s="42"/>
      <c r="CA66" s="42"/>
      <c r="CB66" s="42">
        <v>2238.9</v>
      </c>
      <c r="CC66" s="42"/>
      <c r="CD66" s="42"/>
      <c r="CE66" s="42"/>
      <c r="CF66" s="42"/>
      <c r="CG66" s="42"/>
      <c r="CH66" s="11">
        <v>0.86</v>
      </c>
      <c r="CI66" s="42"/>
      <c r="CJ66" s="42"/>
      <c r="CK66" s="42"/>
      <c r="CL66" s="42"/>
      <c r="CM66" s="42"/>
      <c r="CN66" s="42"/>
      <c r="CO66" s="42"/>
      <c r="CP66" s="42"/>
      <c r="CQ66" s="42"/>
      <c r="CR66" s="42"/>
      <c r="CS66" s="42"/>
      <c r="CT66" s="42"/>
      <c r="CU66" s="42"/>
      <c r="CV66" s="42"/>
      <c r="CW66" s="42"/>
      <c r="CX66" s="42"/>
      <c r="CY66" s="11"/>
      <c r="CZ66" s="42"/>
      <c r="DA66" s="42">
        <v>640.41999999999996</v>
      </c>
      <c r="DB66" s="42">
        <v>1408.9</v>
      </c>
      <c r="DC66" s="42"/>
      <c r="DD66" s="42">
        <v>1152.74</v>
      </c>
      <c r="DE66" s="42"/>
      <c r="DF66" s="42"/>
      <c r="DG66" s="42"/>
      <c r="DH66" s="42"/>
      <c r="DI66" s="42"/>
      <c r="DJ66" s="42">
        <v>1985.27</v>
      </c>
      <c r="DK66" s="42"/>
      <c r="DL66" s="42"/>
      <c r="DM66" s="42"/>
      <c r="DN66" s="42"/>
      <c r="DO66" s="42"/>
      <c r="DP66" s="11">
        <v>0.93</v>
      </c>
      <c r="DQ66" s="42"/>
      <c r="DR66" s="42">
        <v>546.49</v>
      </c>
      <c r="DS66" s="42">
        <v>1202.27</v>
      </c>
      <c r="DT66" s="42"/>
      <c r="DU66" s="42">
        <v>983.68</v>
      </c>
      <c r="DV66" s="42"/>
      <c r="DW66" s="42"/>
      <c r="DX66" s="42"/>
      <c r="DY66" s="42"/>
      <c r="DZ66" s="42"/>
      <c r="EA66" s="42">
        <v>1694.1</v>
      </c>
      <c r="EB66" s="42"/>
      <c r="EC66" s="42"/>
      <c r="ED66" s="42"/>
      <c r="EE66" s="42"/>
      <c r="EF66" s="42"/>
      <c r="EG66" s="11">
        <v>0.85</v>
      </c>
      <c r="EH66" s="42"/>
      <c r="EI66" s="42"/>
      <c r="EJ66" s="42"/>
      <c r="EK66" s="42"/>
      <c r="EL66" s="42"/>
      <c r="EM66" s="42"/>
      <c r="EN66" s="42"/>
      <c r="EO66" s="42"/>
      <c r="EP66" s="42"/>
      <c r="EQ66" s="42"/>
      <c r="ER66" s="42"/>
      <c r="ES66" s="42"/>
      <c r="ET66" s="42"/>
      <c r="EU66" s="42"/>
      <c r="EV66" s="42"/>
      <c r="EW66" s="42"/>
      <c r="EX66" s="10"/>
      <c r="EY66" s="10"/>
      <c r="EZ66" s="10"/>
      <c r="FA66" s="10"/>
      <c r="FB66" s="10"/>
      <c r="FC66" s="10"/>
      <c r="FD66" s="10"/>
      <c r="FE66" s="10"/>
      <c r="FF66" s="10"/>
      <c r="FG66" s="10"/>
      <c r="FH66" s="10"/>
      <c r="FI66" s="10"/>
      <c r="FJ66" s="10"/>
      <c r="FK66" s="10"/>
      <c r="FL66" s="10"/>
      <c r="FM66" s="10"/>
      <c r="FN66" s="10"/>
      <c r="FO66" s="10"/>
      <c r="FP66" s="42"/>
      <c r="FQ66" s="42"/>
      <c r="FR66" s="42"/>
      <c r="FS66" s="42"/>
      <c r="FT66" s="42"/>
      <c r="FU66" s="42"/>
      <c r="FV66" s="42"/>
      <c r="FW66" s="42"/>
      <c r="FX66" s="42"/>
      <c r="FY66" s="42"/>
      <c r="FZ66" s="42"/>
      <c r="GA66" s="42"/>
      <c r="GB66" s="42"/>
      <c r="GC66" s="42"/>
      <c r="GD66" s="42"/>
      <c r="GE66" s="42"/>
      <c r="GF66" s="10"/>
      <c r="GG66" s="10">
        <v>2</v>
      </c>
      <c r="GH66" s="10" t="s">
        <v>5450</v>
      </c>
      <c r="GI66" s="42"/>
      <c r="GJ66" s="42">
        <v>67.62</v>
      </c>
      <c r="GK66" s="42">
        <v>148.77000000000001</v>
      </c>
      <c r="GL66" s="42"/>
      <c r="GM66" s="42">
        <v>121.72</v>
      </c>
      <c r="GN66" s="42"/>
      <c r="GO66" s="42"/>
      <c r="GP66" s="42"/>
      <c r="GQ66" s="42"/>
      <c r="GR66" s="42"/>
      <c r="GS66" s="42">
        <v>209.63</v>
      </c>
      <c r="GT66" s="42"/>
      <c r="GU66" s="42"/>
      <c r="GV66" s="42"/>
      <c r="GW66" s="42"/>
      <c r="GX66" s="42"/>
      <c r="GY66" s="11">
        <v>0.62</v>
      </c>
      <c r="GZ66" s="10">
        <v>1</v>
      </c>
      <c r="HA66" s="42"/>
      <c r="HB66" s="42">
        <v>10.95</v>
      </c>
      <c r="HC66" s="42">
        <v>24.1</v>
      </c>
      <c r="HD66" s="42"/>
      <c r="HE66" s="42">
        <v>19.72</v>
      </c>
      <c r="HF66" s="42"/>
      <c r="HG66" s="42"/>
      <c r="HH66" s="42"/>
      <c r="HI66" s="42"/>
      <c r="HJ66" s="42"/>
      <c r="HK66" s="42">
        <v>33.96</v>
      </c>
      <c r="HL66" s="42"/>
      <c r="HM66" s="42"/>
      <c r="HN66" s="42"/>
      <c r="HO66" s="42"/>
      <c r="HP66" s="42"/>
      <c r="HQ66" s="11">
        <v>0.34</v>
      </c>
      <c r="HR66" s="10" t="s">
        <v>5451</v>
      </c>
      <c r="HS66" s="39">
        <v>450000</v>
      </c>
      <c r="HT66" s="39"/>
      <c r="HU66" s="39"/>
      <c r="HV66" s="10" t="s">
        <v>25</v>
      </c>
      <c r="HW66" s="10" t="s">
        <v>25</v>
      </c>
      <c r="HX66" s="10" t="s">
        <v>5452</v>
      </c>
      <c r="HY66" s="10" t="s">
        <v>5452</v>
      </c>
      <c r="HZ66" s="10" t="s">
        <v>5453</v>
      </c>
      <c r="IA66" s="10" t="s">
        <v>28</v>
      </c>
      <c r="IB66" s="10" t="s">
        <v>5617</v>
      </c>
      <c r="IC66" s="10" t="s">
        <v>5686</v>
      </c>
      <c r="ID66" s="10" t="s">
        <v>13258</v>
      </c>
      <c r="IE66" s="10" t="s">
        <v>5519</v>
      </c>
      <c r="IF66" s="10" t="s">
        <v>13293</v>
      </c>
      <c r="IG66" s="10" t="s">
        <v>5507</v>
      </c>
      <c r="IH66" s="10" t="s">
        <v>72</v>
      </c>
      <c r="II66" s="10" t="s">
        <v>5456</v>
      </c>
      <c r="IJ66" s="10" t="s">
        <v>2758</v>
      </c>
      <c r="IK66" s="10"/>
      <c r="IL66" s="10" t="s">
        <v>25</v>
      </c>
      <c r="IM66" s="10" t="s">
        <v>5457</v>
      </c>
      <c r="IN66" s="10"/>
      <c r="IO66" s="10" t="s">
        <v>5472</v>
      </c>
      <c r="IP66" s="10" t="s">
        <v>28</v>
      </c>
      <c r="IQ66" s="10" t="s">
        <v>5458</v>
      </c>
      <c r="IR66" s="10" t="s">
        <v>5458</v>
      </c>
      <c r="IS66" s="10" t="s">
        <v>5521</v>
      </c>
      <c r="IT66" s="10" t="s">
        <v>5474</v>
      </c>
      <c r="IU66" s="10" t="s">
        <v>5474</v>
      </c>
      <c r="IV66" s="10" t="s">
        <v>5458</v>
      </c>
      <c r="IW66" s="10" t="s">
        <v>5474</v>
      </c>
      <c r="IX66" s="10" t="s">
        <v>5483</v>
      </c>
      <c r="IY66" s="10"/>
      <c r="IZ66" s="10" t="s">
        <v>5687</v>
      </c>
      <c r="JA66" s="10" t="s">
        <v>13301</v>
      </c>
      <c r="JB66" s="10" t="s">
        <v>5515</v>
      </c>
      <c r="JC66" s="10" t="s">
        <v>5515</v>
      </c>
      <c r="JD66" s="10" t="s">
        <v>5477</v>
      </c>
      <c r="JE66" s="10" t="s">
        <v>28</v>
      </c>
      <c r="JF66" s="10" t="s">
        <v>5464</v>
      </c>
      <c r="JG66" s="10" t="s">
        <v>5465</v>
      </c>
      <c r="JH66" s="10" t="s">
        <v>5466</v>
      </c>
    </row>
    <row r="67" spans="1:268" x14ac:dyDescent="0.2">
      <c r="A67" s="71" t="s">
        <v>14025</v>
      </c>
      <c r="B67" s="72">
        <f>COUNTA(B3:B66)</f>
        <v>64</v>
      </c>
      <c r="C67" s="72">
        <f t="shared" ref="C67:BN67" si="0">COUNTA(C3:C66)</f>
        <v>2</v>
      </c>
      <c r="D67" s="72">
        <f t="shared" si="0"/>
        <v>64</v>
      </c>
      <c r="E67" s="72">
        <f t="shared" si="0"/>
        <v>17</v>
      </c>
      <c r="F67" s="72">
        <f t="shared" si="0"/>
        <v>53</v>
      </c>
      <c r="G67" s="72">
        <f t="shared" si="0"/>
        <v>2</v>
      </c>
      <c r="H67" s="72">
        <f t="shared" si="0"/>
        <v>63</v>
      </c>
      <c r="I67" s="72">
        <f t="shared" si="0"/>
        <v>51</v>
      </c>
      <c r="J67" s="72">
        <f t="shared" si="0"/>
        <v>38</v>
      </c>
      <c r="K67" s="72">
        <f t="shared" si="0"/>
        <v>64</v>
      </c>
      <c r="L67" s="72">
        <f t="shared" si="0"/>
        <v>39</v>
      </c>
      <c r="M67" s="72">
        <f t="shared" si="0"/>
        <v>37</v>
      </c>
      <c r="N67" s="72">
        <f t="shared" si="0"/>
        <v>33</v>
      </c>
      <c r="O67" s="72">
        <f t="shared" si="0"/>
        <v>27</v>
      </c>
      <c r="P67" s="72">
        <f t="shared" si="0"/>
        <v>27</v>
      </c>
      <c r="Q67" s="72">
        <f t="shared" si="0"/>
        <v>29</v>
      </c>
      <c r="R67" s="72">
        <f t="shared" si="0"/>
        <v>64</v>
      </c>
      <c r="S67" s="72">
        <f t="shared" si="0"/>
        <v>64</v>
      </c>
      <c r="T67" s="72">
        <f t="shared" si="0"/>
        <v>63</v>
      </c>
      <c r="U67" s="72">
        <f t="shared" si="0"/>
        <v>61</v>
      </c>
      <c r="V67" s="72">
        <f t="shared" si="0"/>
        <v>3</v>
      </c>
      <c r="W67" s="72">
        <f t="shared" si="0"/>
        <v>57</v>
      </c>
      <c r="X67" s="72">
        <f t="shared" si="0"/>
        <v>6</v>
      </c>
      <c r="Y67" s="72">
        <f t="shared" si="0"/>
        <v>5</v>
      </c>
      <c r="Z67" s="72">
        <f t="shared" si="0"/>
        <v>3</v>
      </c>
      <c r="AA67" s="72">
        <f t="shared" si="0"/>
        <v>1</v>
      </c>
      <c r="AB67" s="72">
        <f t="shared" si="0"/>
        <v>1</v>
      </c>
      <c r="AC67" s="72">
        <f t="shared" si="0"/>
        <v>56</v>
      </c>
      <c r="AD67" s="72">
        <f t="shared" si="0"/>
        <v>3</v>
      </c>
      <c r="AE67" s="72">
        <f t="shared" si="0"/>
        <v>4</v>
      </c>
      <c r="AF67" s="72">
        <f t="shared" si="0"/>
        <v>3</v>
      </c>
      <c r="AG67" s="72">
        <f t="shared" si="0"/>
        <v>0</v>
      </c>
      <c r="AH67" s="72">
        <f t="shared" si="0"/>
        <v>0</v>
      </c>
      <c r="AI67" s="72">
        <f t="shared" si="0"/>
        <v>62</v>
      </c>
      <c r="AJ67" s="72">
        <f t="shared" si="0"/>
        <v>58</v>
      </c>
      <c r="AK67" s="72">
        <f t="shared" si="0"/>
        <v>50</v>
      </c>
      <c r="AL67" s="72">
        <f t="shared" si="0"/>
        <v>35</v>
      </c>
      <c r="AM67" s="72">
        <f t="shared" si="0"/>
        <v>32</v>
      </c>
      <c r="AN67" s="72">
        <f t="shared" si="0"/>
        <v>49</v>
      </c>
      <c r="AO67" s="72">
        <f t="shared" si="0"/>
        <v>51</v>
      </c>
      <c r="AP67" s="72">
        <f t="shared" si="0"/>
        <v>37</v>
      </c>
      <c r="AQ67" s="72">
        <f t="shared" si="0"/>
        <v>28</v>
      </c>
      <c r="AR67" s="72">
        <f t="shared" si="0"/>
        <v>26</v>
      </c>
      <c r="AS67" s="72">
        <f t="shared" si="0"/>
        <v>40</v>
      </c>
      <c r="AT67" s="72">
        <f t="shared" si="0"/>
        <v>59</v>
      </c>
      <c r="AU67" s="72">
        <f t="shared" si="0"/>
        <v>51</v>
      </c>
      <c r="AV67" s="72">
        <f t="shared" si="0"/>
        <v>59</v>
      </c>
      <c r="AW67" s="72">
        <f t="shared" si="0"/>
        <v>50</v>
      </c>
      <c r="AX67" s="72">
        <f t="shared" si="0"/>
        <v>59</v>
      </c>
      <c r="AY67" s="72">
        <f t="shared" si="0"/>
        <v>49</v>
      </c>
      <c r="AZ67" s="72">
        <f t="shared" si="0"/>
        <v>59</v>
      </c>
      <c r="BA67" s="72">
        <f t="shared" si="0"/>
        <v>51</v>
      </c>
      <c r="BB67" s="72">
        <f t="shared" si="0"/>
        <v>59</v>
      </c>
      <c r="BC67" s="72">
        <f t="shared" si="0"/>
        <v>50</v>
      </c>
      <c r="BD67" s="72">
        <f t="shared" si="0"/>
        <v>59</v>
      </c>
      <c r="BE67" s="72">
        <f t="shared" si="0"/>
        <v>50</v>
      </c>
      <c r="BF67" s="72">
        <f t="shared" si="0"/>
        <v>63</v>
      </c>
      <c r="BG67" s="72">
        <f t="shared" si="0"/>
        <v>64</v>
      </c>
      <c r="BH67" s="72">
        <f t="shared" si="0"/>
        <v>10</v>
      </c>
      <c r="BI67" s="72">
        <f t="shared" si="0"/>
        <v>64</v>
      </c>
      <c r="BJ67" s="72">
        <f t="shared" si="0"/>
        <v>3</v>
      </c>
      <c r="BK67" s="72">
        <f t="shared" si="0"/>
        <v>64</v>
      </c>
      <c r="BL67" s="72">
        <f t="shared" si="0"/>
        <v>3</v>
      </c>
      <c r="BM67" s="72">
        <f t="shared" si="0"/>
        <v>64</v>
      </c>
      <c r="BN67" s="72">
        <f t="shared" si="0"/>
        <v>8</v>
      </c>
      <c r="BO67" s="72">
        <f t="shared" ref="BO67:DZ67" si="1">COUNTA(BO3:BO66)</f>
        <v>64</v>
      </c>
      <c r="BP67" s="72">
        <f t="shared" si="1"/>
        <v>12</v>
      </c>
      <c r="BQ67" s="72">
        <f t="shared" si="1"/>
        <v>64</v>
      </c>
      <c r="BR67" s="72">
        <f t="shared" si="1"/>
        <v>37</v>
      </c>
      <c r="BS67" s="72">
        <f t="shared" si="1"/>
        <v>51</v>
      </c>
      <c r="BT67" s="72">
        <f t="shared" si="1"/>
        <v>50</v>
      </c>
      <c r="BU67" s="72">
        <f t="shared" si="1"/>
        <v>2</v>
      </c>
      <c r="BV67" s="72">
        <f t="shared" si="1"/>
        <v>47</v>
      </c>
      <c r="BW67" s="72">
        <f t="shared" si="1"/>
        <v>4</v>
      </c>
      <c r="BX67" s="72">
        <f t="shared" si="1"/>
        <v>4</v>
      </c>
      <c r="BY67" s="72">
        <f t="shared" si="1"/>
        <v>2</v>
      </c>
      <c r="BZ67" s="72">
        <f t="shared" si="1"/>
        <v>0</v>
      </c>
      <c r="CA67" s="72">
        <f t="shared" si="1"/>
        <v>0</v>
      </c>
      <c r="CB67" s="72">
        <f t="shared" si="1"/>
        <v>48</v>
      </c>
      <c r="CC67" s="72">
        <f t="shared" si="1"/>
        <v>3</v>
      </c>
      <c r="CD67" s="72">
        <f t="shared" si="1"/>
        <v>3</v>
      </c>
      <c r="CE67" s="72">
        <f t="shared" si="1"/>
        <v>2</v>
      </c>
      <c r="CF67" s="72">
        <f t="shared" si="1"/>
        <v>0</v>
      </c>
      <c r="CG67" s="72">
        <f t="shared" si="1"/>
        <v>0</v>
      </c>
      <c r="CH67" s="72">
        <f t="shared" si="1"/>
        <v>55</v>
      </c>
      <c r="CI67" s="72">
        <f t="shared" si="1"/>
        <v>11</v>
      </c>
      <c r="CJ67" s="72">
        <f t="shared" si="1"/>
        <v>16</v>
      </c>
      <c r="CK67" s="72">
        <f t="shared" si="1"/>
        <v>15</v>
      </c>
      <c r="CL67" s="72">
        <f t="shared" si="1"/>
        <v>0</v>
      </c>
      <c r="CM67" s="72">
        <f t="shared" si="1"/>
        <v>14</v>
      </c>
      <c r="CN67" s="72">
        <f t="shared" si="1"/>
        <v>2</v>
      </c>
      <c r="CO67" s="72">
        <f t="shared" si="1"/>
        <v>2</v>
      </c>
      <c r="CP67" s="72">
        <f t="shared" si="1"/>
        <v>1</v>
      </c>
      <c r="CQ67" s="72">
        <f t="shared" si="1"/>
        <v>0</v>
      </c>
      <c r="CR67" s="72">
        <f t="shared" si="1"/>
        <v>0</v>
      </c>
      <c r="CS67" s="72">
        <f t="shared" si="1"/>
        <v>16</v>
      </c>
      <c r="CT67" s="72">
        <f t="shared" si="1"/>
        <v>1</v>
      </c>
      <c r="CU67" s="72">
        <f t="shared" si="1"/>
        <v>1</v>
      </c>
      <c r="CV67" s="72">
        <f t="shared" si="1"/>
        <v>1</v>
      </c>
      <c r="CW67" s="72">
        <f t="shared" si="1"/>
        <v>0</v>
      </c>
      <c r="CX67" s="72">
        <f t="shared" si="1"/>
        <v>0</v>
      </c>
      <c r="CY67" s="72">
        <f t="shared" si="1"/>
        <v>18</v>
      </c>
      <c r="CZ67" s="72">
        <f t="shared" si="1"/>
        <v>38</v>
      </c>
      <c r="DA67" s="72">
        <f t="shared" si="1"/>
        <v>57</v>
      </c>
      <c r="DB67" s="72">
        <f t="shared" si="1"/>
        <v>56</v>
      </c>
      <c r="DC67" s="72">
        <f t="shared" si="1"/>
        <v>2</v>
      </c>
      <c r="DD67" s="72">
        <f t="shared" si="1"/>
        <v>52</v>
      </c>
      <c r="DE67" s="72">
        <f t="shared" si="1"/>
        <v>5</v>
      </c>
      <c r="DF67" s="72">
        <f t="shared" si="1"/>
        <v>4</v>
      </c>
      <c r="DG67" s="72">
        <f t="shared" si="1"/>
        <v>2</v>
      </c>
      <c r="DH67" s="72">
        <f t="shared" si="1"/>
        <v>0</v>
      </c>
      <c r="DI67" s="72">
        <f t="shared" si="1"/>
        <v>0</v>
      </c>
      <c r="DJ67" s="72">
        <f t="shared" si="1"/>
        <v>52</v>
      </c>
      <c r="DK67" s="72">
        <f t="shared" si="1"/>
        <v>3</v>
      </c>
      <c r="DL67" s="72">
        <f t="shared" si="1"/>
        <v>4</v>
      </c>
      <c r="DM67" s="72">
        <f t="shared" si="1"/>
        <v>3</v>
      </c>
      <c r="DN67" s="72">
        <f t="shared" si="1"/>
        <v>0</v>
      </c>
      <c r="DO67" s="72">
        <f t="shared" si="1"/>
        <v>0</v>
      </c>
      <c r="DP67" s="72">
        <f t="shared" si="1"/>
        <v>60</v>
      </c>
      <c r="DQ67" s="72">
        <f t="shared" si="1"/>
        <v>34</v>
      </c>
      <c r="DR67" s="72">
        <f t="shared" si="1"/>
        <v>49</v>
      </c>
      <c r="DS67" s="72">
        <f t="shared" si="1"/>
        <v>48</v>
      </c>
      <c r="DT67" s="72">
        <f t="shared" si="1"/>
        <v>2</v>
      </c>
      <c r="DU67" s="72">
        <f t="shared" si="1"/>
        <v>45</v>
      </c>
      <c r="DV67" s="72">
        <f t="shared" si="1"/>
        <v>4</v>
      </c>
      <c r="DW67" s="72">
        <f t="shared" si="1"/>
        <v>4</v>
      </c>
      <c r="DX67" s="72">
        <f t="shared" si="1"/>
        <v>2</v>
      </c>
      <c r="DY67" s="72">
        <f t="shared" si="1"/>
        <v>0</v>
      </c>
      <c r="DZ67" s="72">
        <f t="shared" si="1"/>
        <v>0</v>
      </c>
      <c r="EA67" s="72">
        <f t="shared" ref="EA67:GL67" si="2">COUNTA(EA3:EA66)</f>
        <v>44</v>
      </c>
      <c r="EB67" s="72">
        <f t="shared" si="2"/>
        <v>3</v>
      </c>
      <c r="EC67" s="72">
        <f t="shared" si="2"/>
        <v>4</v>
      </c>
      <c r="ED67" s="72">
        <f t="shared" si="2"/>
        <v>3</v>
      </c>
      <c r="EE67" s="72">
        <f t="shared" si="2"/>
        <v>0</v>
      </c>
      <c r="EF67" s="72">
        <f t="shared" si="2"/>
        <v>0</v>
      </c>
      <c r="EG67" s="72">
        <f t="shared" si="2"/>
        <v>54</v>
      </c>
      <c r="EH67" s="72">
        <f t="shared" si="2"/>
        <v>2</v>
      </c>
      <c r="EI67" s="72">
        <f t="shared" si="2"/>
        <v>3</v>
      </c>
      <c r="EJ67" s="72">
        <f t="shared" si="2"/>
        <v>3</v>
      </c>
      <c r="EK67" s="72">
        <f t="shared" si="2"/>
        <v>1</v>
      </c>
      <c r="EL67" s="72">
        <f t="shared" si="2"/>
        <v>3</v>
      </c>
      <c r="EM67" s="72">
        <f t="shared" si="2"/>
        <v>0</v>
      </c>
      <c r="EN67" s="72">
        <f t="shared" si="2"/>
        <v>0</v>
      </c>
      <c r="EO67" s="72">
        <f t="shared" si="2"/>
        <v>0</v>
      </c>
      <c r="EP67" s="72">
        <f t="shared" si="2"/>
        <v>0</v>
      </c>
      <c r="EQ67" s="72">
        <f t="shared" si="2"/>
        <v>0</v>
      </c>
      <c r="ER67" s="72">
        <f t="shared" si="2"/>
        <v>2</v>
      </c>
      <c r="ES67" s="72">
        <f t="shared" si="2"/>
        <v>0</v>
      </c>
      <c r="ET67" s="72">
        <f t="shared" si="2"/>
        <v>0</v>
      </c>
      <c r="EU67" s="72">
        <f t="shared" si="2"/>
        <v>0</v>
      </c>
      <c r="EV67" s="72">
        <f t="shared" si="2"/>
        <v>0</v>
      </c>
      <c r="EW67" s="72">
        <f t="shared" si="2"/>
        <v>0</v>
      </c>
      <c r="EX67" s="72">
        <f t="shared" si="2"/>
        <v>3</v>
      </c>
      <c r="EY67" s="72">
        <f t="shared" si="2"/>
        <v>0</v>
      </c>
      <c r="EZ67" s="72">
        <f t="shared" si="2"/>
        <v>0</v>
      </c>
      <c r="FA67" s="72">
        <f t="shared" si="2"/>
        <v>0</v>
      </c>
      <c r="FB67" s="72">
        <f t="shared" si="2"/>
        <v>0</v>
      </c>
      <c r="FC67" s="72">
        <f t="shared" si="2"/>
        <v>0</v>
      </c>
      <c r="FD67" s="72">
        <f t="shared" si="2"/>
        <v>0</v>
      </c>
      <c r="FE67" s="72">
        <f t="shared" si="2"/>
        <v>0</v>
      </c>
      <c r="FF67" s="72">
        <f t="shared" si="2"/>
        <v>0</v>
      </c>
      <c r="FG67" s="72">
        <f t="shared" si="2"/>
        <v>0</v>
      </c>
      <c r="FH67" s="72">
        <f t="shared" si="2"/>
        <v>0</v>
      </c>
      <c r="FI67" s="72">
        <f t="shared" si="2"/>
        <v>0</v>
      </c>
      <c r="FJ67" s="72">
        <f t="shared" si="2"/>
        <v>0</v>
      </c>
      <c r="FK67" s="72">
        <f t="shared" si="2"/>
        <v>0</v>
      </c>
      <c r="FL67" s="72">
        <f t="shared" si="2"/>
        <v>0</v>
      </c>
      <c r="FM67" s="72">
        <f t="shared" si="2"/>
        <v>0</v>
      </c>
      <c r="FN67" s="72">
        <f t="shared" si="2"/>
        <v>0</v>
      </c>
      <c r="FO67" s="72">
        <f t="shared" si="2"/>
        <v>1</v>
      </c>
      <c r="FP67" s="72">
        <f t="shared" si="2"/>
        <v>2</v>
      </c>
      <c r="FQ67" s="72">
        <f t="shared" si="2"/>
        <v>4</v>
      </c>
      <c r="FR67" s="72">
        <f t="shared" si="2"/>
        <v>4</v>
      </c>
      <c r="FS67" s="72">
        <f t="shared" si="2"/>
        <v>0</v>
      </c>
      <c r="FT67" s="72">
        <f t="shared" si="2"/>
        <v>3</v>
      </c>
      <c r="FU67" s="72">
        <f t="shared" si="2"/>
        <v>1</v>
      </c>
      <c r="FV67" s="72">
        <f t="shared" si="2"/>
        <v>1</v>
      </c>
      <c r="FW67" s="72">
        <f t="shared" si="2"/>
        <v>1</v>
      </c>
      <c r="FX67" s="72">
        <f t="shared" si="2"/>
        <v>0</v>
      </c>
      <c r="FY67" s="72">
        <f t="shared" si="2"/>
        <v>0</v>
      </c>
      <c r="FZ67" s="72">
        <f t="shared" si="2"/>
        <v>2</v>
      </c>
      <c r="GA67" s="72">
        <f t="shared" si="2"/>
        <v>1</v>
      </c>
      <c r="GB67" s="72">
        <f t="shared" si="2"/>
        <v>2</v>
      </c>
      <c r="GC67" s="72">
        <f t="shared" si="2"/>
        <v>2</v>
      </c>
      <c r="GD67" s="72">
        <f t="shared" si="2"/>
        <v>0</v>
      </c>
      <c r="GE67" s="72">
        <f t="shared" si="2"/>
        <v>0</v>
      </c>
      <c r="GF67" s="72">
        <f t="shared" si="2"/>
        <v>5</v>
      </c>
      <c r="GG67" s="72">
        <f t="shared" si="2"/>
        <v>64</v>
      </c>
      <c r="GH67" s="72">
        <f t="shared" si="2"/>
        <v>64</v>
      </c>
      <c r="GI67" s="72">
        <f t="shared" si="2"/>
        <v>37</v>
      </c>
      <c r="GJ67" s="72">
        <f t="shared" si="2"/>
        <v>59</v>
      </c>
      <c r="GK67" s="72">
        <f t="shared" si="2"/>
        <v>58</v>
      </c>
      <c r="GL67" s="72">
        <f t="shared" si="2"/>
        <v>3</v>
      </c>
      <c r="GM67" s="72">
        <f t="shared" ref="GM67:IX67" si="3">COUNTA(GM3:GM66)</f>
        <v>54</v>
      </c>
      <c r="GN67" s="72">
        <f t="shared" si="3"/>
        <v>5</v>
      </c>
      <c r="GO67" s="72">
        <f t="shared" si="3"/>
        <v>4</v>
      </c>
      <c r="GP67" s="72">
        <f t="shared" si="3"/>
        <v>2</v>
      </c>
      <c r="GQ67" s="72">
        <f t="shared" si="3"/>
        <v>0</v>
      </c>
      <c r="GR67" s="72">
        <f t="shared" si="3"/>
        <v>0</v>
      </c>
      <c r="GS67" s="72">
        <f t="shared" si="3"/>
        <v>55</v>
      </c>
      <c r="GT67" s="72">
        <f t="shared" si="3"/>
        <v>3</v>
      </c>
      <c r="GU67" s="72">
        <f t="shared" si="3"/>
        <v>4</v>
      </c>
      <c r="GV67" s="72">
        <f t="shared" si="3"/>
        <v>3</v>
      </c>
      <c r="GW67" s="72">
        <f t="shared" si="3"/>
        <v>0</v>
      </c>
      <c r="GX67" s="72">
        <f t="shared" si="3"/>
        <v>0</v>
      </c>
      <c r="GY67" s="72">
        <f t="shared" si="3"/>
        <v>64</v>
      </c>
      <c r="GZ67" s="72">
        <f t="shared" si="3"/>
        <v>60</v>
      </c>
      <c r="HA67" s="72">
        <f t="shared" si="3"/>
        <v>35</v>
      </c>
      <c r="HB67" s="72">
        <f t="shared" si="3"/>
        <v>57</v>
      </c>
      <c r="HC67" s="72">
        <f t="shared" si="3"/>
        <v>56</v>
      </c>
      <c r="HD67" s="72">
        <f t="shared" si="3"/>
        <v>2</v>
      </c>
      <c r="HE67" s="72">
        <f t="shared" si="3"/>
        <v>52</v>
      </c>
      <c r="HF67" s="72">
        <f t="shared" si="3"/>
        <v>5</v>
      </c>
      <c r="HG67" s="72">
        <f t="shared" si="3"/>
        <v>4</v>
      </c>
      <c r="HH67" s="72">
        <f t="shared" si="3"/>
        <v>2</v>
      </c>
      <c r="HI67" s="72">
        <f t="shared" si="3"/>
        <v>0</v>
      </c>
      <c r="HJ67" s="72">
        <f t="shared" si="3"/>
        <v>0</v>
      </c>
      <c r="HK67" s="72">
        <f t="shared" si="3"/>
        <v>54</v>
      </c>
      <c r="HL67" s="72">
        <f t="shared" si="3"/>
        <v>3</v>
      </c>
      <c r="HM67" s="72">
        <f t="shared" si="3"/>
        <v>4</v>
      </c>
      <c r="HN67" s="72">
        <f t="shared" si="3"/>
        <v>3</v>
      </c>
      <c r="HO67" s="72">
        <f t="shared" si="3"/>
        <v>0</v>
      </c>
      <c r="HP67" s="72">
        <f t="shared" si="3"/>
        <v>0</v>
      </c>
      <c r="HQ67" s="72">
        <f t="shared" si="3"/>
        <v>64</v>
      </c>
      <c r="HR67" s="72">
        <f t="shared" si="3"/>
        <v>64</v>
      </c>
      <c r="HS67" s="72">
        <f t="shared" si="3"/>
        <v>48</v>
      </c>
      <c r="HT67" s="72">
        <f t="shared" si="3"/>
        <v>7</v>
      </c>
      <c r="HU67" s="72">
        <f t="shared" si="3"/>
        <v>9</v>
      </c>
      <c r="HV67" s="72">
        <f t="shared" si="3"/>
        <v>50</v>
      </c>
      <c r="HW67" s="72">
        <f t="shared" si="3"/>
        <v>50</v>
      </c>
      <c r="HX67" s="72">
        <f t="shared" si="3"/>
        <v>64</v>
      </c>
      <c r="HY67" s="72">
        <f t="shared" si="3"/>
        <v>64</v>
      </c>
      <c r="HZ67" s="72">
        <f t="shared" si="3"/>
        <v>64</v>
      </c>
      <c r="IA67" s="72">
        <f t="shared" si="3"/>
        <v>64</v>
      </c>
      <c r="IB67" s="72">
        <f t="shared" si="3"/>
        <v>2</v>
      </c>
      <c r="IC67" s="72">
        <f t="shared" si="3"/>
        <v>64</v>
      </c>
      <c r="ID67" s="72">
        <f t="shared" si="3"/>
        <v>63</v>
      </c>
      <c r="IE67" s="72">
        <f t="shared" si="3"/>
        <v>64</v>
      </c>
      <c r="IF67" s="72">
        <f t="shared" si="3"/>
        <v>58</v>
      </c>
      <c r="IG67" s="72">
        <f t="shared" si="3"/>
        <v>49</v>
      </c>
      <c r="IH67" s="72">
        <f t="shared" si="3"/>
        <v>47</v>
      </c>
      <c r="II67" s="72">
        <f t="shared" si="3"/>
        <v>47</v>
      </c>
      <c r="IJ67" s="72">
        <f t="shared" si="3"/>
        <v>64</v>
      </c>
      <c r="IK67" s="72">
        <f t="shared" si="3"/>
        <v>10</v>
      </c>
      <c r="IL67" s="72">
        <f t="shared" si="3"/>
        <v>64</v>
      </c>
      <c r="IM67" s="72">
        <f t="shared" si="3"/>
        <v>64</v>
      </c>
      <c r="IN67" s="72">
        <f t="shared" si="3"/>
        <v>1</v>
      </c>
      <c r="IO67" s="72">
        <f t="shared" si="3"/>
        <v>64</v>
      </c>
      <c r="IP67" s="72">
        <f t="shared" si="3"/>
        <v>64</v>
      </c>
      <c r="IQ67" s="72">
        <f t="shared" si="3"/>
        <v>63</v>
      </c>
      <c r="IR67" s="72">
        <f t="shared" si="3"/>
        <v>63</v>
      </c>
      <c r="IS67" s="72">
        <f t="shared" si="3"/>
        <v>63</v>
      </c>
      <c r="IT67" s="72">
        <f t="shared" si="3"/>
        <v>63</v>
      </c>
      <c r="IU67" s="72">
        <f t="shared" si="3"/>
        <v>63</v>
      </c>
      <c r="IV67" s="72">
        <f t="shared" si="3"/>
        <v>63</v>
      </c>
      <c r="IW67" s="72">
        <f t="shared" si="3"/>
        <v>63</v>
      </c>
      <c r="IX67" s="72">
        <f t="shared" si="3"/>
        <v>64</v>
      </c>
      <c r="IY67" s="72">
        <f t="shared" ref="IY67:JH67" si="4">COUNTA(IY3:IY66)</f>
        <v>1</v>
      </c>
      <c r="IZ67" s="72">
        <f t="shared" si="4"/>
        <v>63</v>
      </c>
      <c r="JA67" s="72">
        <f t="shared" si="4"/>
        <v>64</v>
      </c>
      <c r="JB67" s="72">
        <f t="shared" si="4"/>
        <v>62</v>
      </c>
      <c r="JC67" s="72">
        <f t="shared" si="4"/>
        <v>63</v>
      </c>
      <c r="JD67" s="72">
        <f t="shared" si="4"/>
        <v>63</v>
      </c>
      <c r="JE67" s="72">
        <f t="shared" si="4"/>
        <v>64</v>
      </c>
      <c r="JF67" s="72">
        <f t="shared" si="4"/>
        <v>63</v>
      </c>
      <c r="JG67" s="72">
        <f t="shared" si="4"/>
        <v>63</v>
      </c>
      <c r="JH67" s="72">
        <f t="shared" si="4"/>
        <v>61</v>
      </c>
    </row>
  </sheetData>
  <autoFilter ref="A2:JH66" xr:uid="{D09980BA-4936-4F28-B7EA-9677245E50A3}">
    <sortState xmlns:xlrd2="http://schemas.microsoft.com/office/spreadsheetml/2017/richdata2" ref="A3:JH66">
      <sortCondition ref="A3:A66"/>
    </sortState>
  </autoFilter>
  <hyperlinks>
    <hyperlink ref="A1" location="Index!A1" display="Index" xr:uid="{00000000-0004-0000-0200-000000000000}"/>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2500"/>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1.25" x14ac:dyDescent="0.2"/>
  <cols>
    <col min="1" max="1" width="11.42578125" style="47" bestFit="1" customWidth="1"/>
    <col min="2" max="4" width="30.7109375" style="48" customWidth="1"/>
    <col min="5" max="5" width="50.7109375" style="48" customWidth="1"/>
    <col min="6" max="24" width="30.7109375" style="48" customWidth="1"/>
    <col min="25" max="16384" width="9.140625" style="47"/>
  </cols>
  <sheetData>
    <row r="1" spans="1:24" s="44" customFormat="1" ht="12.75" x14ac:dyDescent="0.2">
      <c r="A1" s="67" t="s">
        <v>181</v>
      </c>
      <c r="B1" s="12" t="s">
        <v>0</v>
      </c>
      <c r="C1" s="12" t="s">
        <v>1</v>
      </c>
      <c r="D1" s="12" t="s">
        <v>2</v>
      </c>
      <c r="E1" s="12" t="s">
        <v>3</v>
      </c>
      <c r="F1" s="12" t="s">
        <v>4</v>
      </c>
      <c r="G1" s="12" t="s">
        <v>5</v>
      </c>
      <c r="H1" s="12" t="s">
        <v>6</v>
      </c>
      <c r="I1" s="12" t="s">
        <v>7</v>
      </c>
      <c r="J1" s="12" t="s">
        <v>8</v>
      </c>
      <c r="K1" s="12" t="s">
        <v>9</v>
      </c>
      <c r="L1" s="12" t="s">
        <v>10</v>
      </c>
      <c r="M1" s="12" t="s">
        <v>11</v>
      </c>
      <c r="N1" s="12" t="s">
        <v>12</v>
      </c>
      <c r="O1" s="12" t="s">
        <v>13</v>
      </c>
      <c r="P1" s="12" t="s">
        <v>14</v>
      </c>
      <c r="Q1" s="12" t="s">
        <v>15</v>
      </c>
      <c r="R1" s="12" t="s">
        <v>16</v>
      </c>
      <c r="S1" s="12" t="s">
        <v>17</v>
      </c>
      <c r="T1" s="12" t="s">
        <v>18</v>
      </c>
      <c r="U1" s="12" t="s">
        <v>19</v>
      </c>
      <c r="V1" s="12" t="s">
        <v>20</v>
      </c>
      <c r="W1" s="12" t="s">
        <v>21</v>
      </c>
      <c r="X1" s="12" t="s">
        <v>22</v>
      </c>
    </row>
    <row r="2" spans="1:24" s="44" customFormat="1" ht="63.75" x14ac:dyDescent="0.2">
      <c r="A2" s="30" t="s">
        <v>116</v>
      </c>
      <c r="B2" s="75" t="s">
        <v>9704</v>
      </c>
      <c r="C2" s="75" t="s">
        <v>9705</v>
      </c>
      <c r="D2" s="12" t="s">
        <v>9706</v>
      </c>
      <c r="E2" s="75" t="s">
        <v>9707</v>
      </c>
      <c r="F2" s="12" t="s">
        <v>9708</v>
      </c>
      <c r="G2" s="12" t="s">
        <v>9709</v>
      </c>
      <c r="H2" s="12" t="s">
        <v>9710</v>
      </c>
      <c r="I2" s="12" t="s">
        <v>9711</v>
      </c>
      <c r="J2" s="12" t="s">
        <v>9712</v>
      </c>
      <c r="K2" s="12" t="s">
        <v>9713</v>
      </c>
      <c r="L2" s="12" t="s">
        <v>9714</v>
      </c>
      <c r="M2" s="12" t="s">
        <v>9715</v>
      </c>
      <c r="N2" s="12" t="s">
        <v>9716</v>
      </c>
      <c r="O2" s="12" t="s">
        <v>9717</v>
      </c>
      <c r="P2" s="75" t="s">
        <v>9718</v>
      </c>
      <c r="Q2" s="75" t="s">
        <v>9719</v>
      </c>
      <c r="R2" s="75" t="s">
        <v>9720</v>
      </c>
      <c r="S2" s="12" t="s">
        <v>9721</v>
      </c>
      <c r="T2" s="75" t="s">
        <v>9722</v>
      </c>
      <c r="U2" s="75" t="s">
        <v>9723</v>
      </c>
      <c r="V2" s="75" t="s">
        <v>9724</v>
      </c>
      <c r="W2" s="75" t="s">
        <v>9725</v>
      </c>
      <c r="X2" s="12" t="s">
        <v>9726</v>
      </c>
    </row>
    <row r="3" spans="1:24" ht="38.25" x14ac:dyDescent="0.2">
      <c r="A3" s="45" t="s">
        <v>152</v>
      </c>
      <c r="B3" s="46" t="s">
        <v>42</v>
      </c>
      <c r="C3" s="46" t="s">
        <v>35</v>
      </c>
      <c r="D3" s="46" t="s">
        <v>25</v>
      </c>
      <c r="E3" s="46" t="s">
        <v>85</v>
      </c>
      <c r="F3" s="46">
        <v>2020</v>
      </c>
      <c r="G3" s="46">
        <v>2020</v>
      </c>
      <c r="H3" s="46" t="s">
        <v>27</v>
      </c>
      <c r="I3" s="46" t="s">
        <v>27</v>
      </c>
      <c r="J3" s="46" t="s">
        <v>27</v>
      </c>
      <c r="K3" s="46" t="s">
        <v>27</v>
      </c>
      <c r="L3" s="46" t="s">
        <v>27</v>
      </c>
      <c r="M3" s="46" t="s">
        <v>27</v>
      </c>
      <c r="N3" s="46" t="s">
        <v>27</v>
      </c>
      <c r="O3" s="46"/>
      <c r="P3" s="46" t="s">
        <v>25</v>
      </c>
      <c r="Q3" s="46"/>
      <c r="R3" s="46"/>
      <c r="S3" s="46" t="s">
        <v>25</v>
      </c>
      <c r="T3" s="46" t="s">
        <v>25</v>
      </c>
      <c r="U3" s="46"/>
      <c r="V3" s="46"/>
      <c r="W3" s="46"/>
      <c r="X3" s="46" t="s">
        <v>28</v>
      </c>
    </row>
    <row r="4" spans="1:24" ht="63.75" x14ac:dyDescent="0.2">
      <c r="A4" s="45" t="s">
        <v>133</v>
      </c>
      <c r="B4" s="46" t="s">
        <v>42</v>
      </c>
      <c r="C4" s="46" t="s">
        <v>35</v>
      </c>
      <c r="D4" s="46" t="s">
        <v>25</v>
      </c>
      <c r="E4" s="46" t="s">
        <v>82</v>
      </c>
      <c r="F4" s="46">
        <v>2021</v>
      </c>
      <c r="G4" s="46">
        <v>2021</v>
      </c>
      <c r="H4" s="46">
        <v>2019</v>
      </c>
      <c r="I4" s="46" t="s">
        <v>27</v>
      </c>
      <c r="J4" s="46">
        <v>2020</v>
      </c>
      <c r="K4" s="46">
        <v>2020</v>
      </c>
      <c r="L4" s="46" t="s">
        <v>27</v>
      </c>
      <c r="M4" s="46" t="s">
        <v>32</v>
      </c>
      <c r="N4" s="46" t="s">
        <v>32</v>
      </c>
      <c r="O4" s="46"/>
      <c r="P4" s="46" t="s">
        <v>28</v>
      </c>
      <c r="Q4" s="46" t="s">
        <v>29</v>
      </c>
      <c r="R4" s="46" t="s">
        <v>83</v>
      </c>
      <c r="S4" s="46" t="s">
        <v>28</v>
      </c>
      <c r="T4" s="46" t="s">
        <v>28</v>
      </c>
      <c r="U4" s="46" t="s">
        <v>13303</v>
      </c>
      <c r="V4" s="46" t="s">
        <v>84</v>
      </c>
      <c r="W4" s="46" t="s">
        <v>51</v>
      </c>
      <c r="X4" s="46" t="s">
        <v>25</v>
      </c>
    </row>
    <row r="5" spans="1:24" ht="63.75" x14ac:dyDescent="0.2">
      <c r="A5" s="45" t="s">
        <v>156</v>
      </c>
      <c r="B5" s="46" t="s">
        <v>23</v>
      </c>
      <c r="C5" s="46" t="s">
        <v>45</v>
      </c>
      <c r="D5" s="46" t="s">
        <v>25</v>
      </c>
      <c r="E5" s="46" t="s">
        <v>48</v>
      </c>
      <c r="F5" s="46" t="s">
        <v>32</v>
      </c>
      <c r="G5" s="46" t="s">
        <v>32</v>
      </c>
      <c r="H5" s="46" t="s">
        <v>32</v>
      </c>
      <c r="I5" s="46" t="s">
        <v>32</v>
      </c>
      <c r="J5" s="46" t="s">
        <v>32</v>
      </c>
      <c r="K5" s="46" t="s">
        <v>32</v>
      </c>
      <c r="L5" s="46" t="s">
        <v>32</v>
      </c>
      <c r="M5" s="46" t="s">
        <v>32</v>
      </c>
      <c r="N5" s="46" t="s">
        <v>32</v>
      </c>
      <c r="O5" s="46" t="s">
        <v>32</v>
      </c>
      <c r="P5" s="46" t="s">
        <v>25</v>
      </c>
      <c r="Q5" s="46"/>
      <c r="R5" s="46"/>
      <c r="S5" s="46" t="s">
        <v>28</v>
      </c>
      <c r="T5" s="46" t="s">
        <v>25</v>
      </c>
      <c r="U5" s="46"/>
      <c r="V5" s="46"/>
      <c r="W5" s="46"/>
      <c r="X5" s="46" t="s">
        <v>25</v>
      </c>
    </row>
    <row r="6" spans="1:24" ht="63.75" x14ac:dyDescent="0.2">
      <c r="A6" s="45" t="s">
        <v>179</v>
      </c>
      <c r="B6" s="46" t="s">
        <v>34</v>
      </c>
      <c r="C6" s="46" t="s">
        <v>45</v>
      </c>
      <c r="D6" s="46" t="s">
        <v>25</v>
      </c>
      <c r="E6" s="46" t="s">
        <v>52</v>
      </c>
      <c r="F6" s="46" t="s">
        <v>27</v>
      </c>
      <c r="G6" s="46" t="s">
        <v>27</v>
      </c>
      <c r="H6" s="46" t="s">
        <v>27</v>
      </c>
      <c r="I6" s="46" t="s">
        <v>27</v>
      </c>
      <c r="J6" s="46" t="s">
        <v>27</v>
      </c>
      <c r="K6" s="46" t="s">
        <v>27</v>
      </c>
      <c r="L6" s="46" t="s">
        <v>27</v>
      </c>
      <c r="M6" s="46" t="s">
        <v>27</v>
      </c>
      <c r="N6" s="46" t="s">
        <v>27</v>
      </c>
      <c r="O6" s="46"/>
      <c r="P6" s="46" t="s">
        <v>28</v>
      </c>
      <c r="Q6" s="46" t="s">
        <v>14621</v>
      </c>
      <c r="R6" s="46"/>
      <c r="S6" s="46" t="s">
        <v>25</v>
      </c>
      <c r="T6" s="46" t="s">
        <v>25</v>
      </c>
      <c r="U6" s="46"/>
      <c r="V6" s="46"/>
      <c r="W6" s="46"/>
      <c r="X6" s="46" t="s">
        <v>25</v>
      </c>
    </row>
    <row r="7" spans="1:24" ht="38.25" x14ac:dyDescent="0.2">
      <c r="A7" s="45" t="s">
        <v>122</v>
      </c>
      <c r="B7" s="46" t="s">
        <v>31</v>
      </c>
      <c r="C7" s="46"/>
      <c r="D7" s="46" t="s">
        <v>25</v>
      </c>
      <c r="E7" s="46" t="s">
        <v>40</v>
      </c>
      <c r="F7" s="46">
        <v>2019</v>
      </c>
      <c r="G7" s="46">
        <v>2019</v>
      </c>
      <c r="H7" s="46" t="s">
        <v>32</v>
      </c>
      <c r="I7" s="46" t="s">
        <v>32</v>
      </c>
      <c r="J7" s="46">
        <v>2020</v>
      </c>
      <c r="K7" s="46" t="s">
        <v>32</v>
      </c>
      <c r="L7" s="46" t="s">
        <v>32</v>
      </c>
      <c r="M7" s="46" t="s">
        <v>32</v>
      </c>
      <c r="N7" s="46" t="s">
        <v>27</v>
      </c>
      <c r="O7" s="46" t="s">
        <v>32</v>
      </c>
      <c r="P7" s="46" t="s">
        <v>28</v>
      </c>
      <c r="Q7" s="46" t="s">
        <v>33</v>
      </c>
      <c r="R7" s="46"/>
      <c r="S7" s="46" t="s">
        <v>28</v>
      </c>
      <c r="T7" s="46" t="s">
        <v>25</v>
      </c>
      <c r="U7" s="46"/>
      <c r="V7" s="46"/>
      <c r="W7" s="46"/>
      <c r="X7" s="46" t="s">
        <v>41</v>
      </c>
    </row>
    <row r="8" spans="1:24" ht="38.25" x14ac:dyDescent="0.2">
      <c r="A8" s="45" t="s">
        <v>160</v>
      </c>
      <c r="B8" s="46" t="s">
        <v>23</v>
      </c>
      <c r="C8" s="46" t="s">
        <v>72</v>
      </c>
      <c r="D8" s="46" t="s">
        <v>25</v>
      </c>
      <c r="E8" s="46" t="s">
        <v>73</v>
      </c>
      <c r="F8" s="46" t="s">
        <v>32</v>
      </c>
      <c r="G8" s="46" t="s">
        <v>32</v>
      </c>
      <c r="H8" s="46" t="s">
        <v>32</v>
      </c>
      <c r="I8" s="46" t="s">
        <v>32</v>
      </c>
      <c r="J8" s="46" t="s">
        <v>32</v>
      </c>
      <c r="K8" s="46" t="s">
        <v>32</v>
      </c>
      <c r="L8" s="46" t="s">
        <v>32</v>
      </c>
      <c r="M8" s="46" t="s">
        <v>32</v>
      </c>
      <c r="N8" s="46" t="s">
        <v>32</v>
      </c>
      <c r="O8" s="46"/>
      <c r="P8" s="46" t="s">
        <v>28</v>
      </c>
      <c r="Q8" s="46" t="s">
        <v>74</v>
      </c>
      <c r="R8" s="46"/>
      <c r="S8" s="46" t="s">
        <v>25</v>
      </c>
      <c r="T8" s="46" t="s">
        <v>25</v>
      </c>
      <c r="U8" s="46"/>
      <c r="V8" s="46"/>
      <c r="W8" s="46"/>
      <c r="X8" s="46" t="s">
        <v>25</v>
      </c>
    </row>
    <row r="9" spans="1:24" ht="63.75" x14ac:dyDescent="0.2">
      <c r="A9" s="45" t="s">
        <v>154</v>
      </c>
      <c r="B9" s="46" t="s">
        <v>42</v>
      </c>
      <c r="C9" s="46" t="s">
        <v>24</v>
      </c>
      <c r="D9" s="46" t="s">
        <v>25</v>
      </c>
      <c r="E9" s="46" t="s">
        <v>71</v>
      </c>
      <c r="F9" s="46" t="s">
        <v>27</v>
      </c>
      <c r="G9" s="46">
        <v>2021</v>
      </c>
      <c r="H9" s="46" t="s">
        <v>27</v>
      </c>
      <c r="I9" s="46" t="s">
        <v>27</v>
      </c>
      <c r="J9" s="46" t="s">
        <v>27</v>
      </c>
      <c r="K9" s="46" t="s">
        <v>27</v>
      </c>
      <c r="L9" s="46" t="s">
        <v>27</v>
      </c>
      <c r="M9" s="46" t="s">
        <v>27</v>
      </c>
      <c r="N9" s="46" t="s">
        <v>27</v>
      </c>
      <c r="O9" s="46"/>
      <c r="P9" s="46" t="s">
        <v>25</v>
      </c>
      <c r="Q9" s="46"/>
      <c r="R9" s="46"/>
      <c r="S9" s="46" t="s">
        <v>25</v>
      </c>
      <c r="T9" s="46" t="s">
        <v>25</v>
      </c>
      <c r="U9" s="46"/>
      <c r="V9" s="46"/>
      <c r="W9" s="46"/>
      <c r="X9" s="46" t="s">
        <v>25</v>
      </c>
    </row>
    <row r="10" spans="1:24" ht="25.5" x14ac:dyDescent="0.2">
      <c r="A10" s="45" t="s">
        <v>170</v>
      </c>
      <c r="B10" s="46" t="s">
        <v>31</v>
      </c>
      <c r="C10" s="46"/>
      <c r="D10" s="46" t="s">
        <v>25</v>
      </c>
      <c r="E10" s="46"/>
      <c r="F10" s="46" t="s">
        <v>32</v>
      </c>
      <c r="G10" s="46" t="s">
        <v>32</v>
      </c>
      <c r="H10" s="46" t="s">
        <v>32</v>
      </c>
      <c r="I10" s="46" t="s">
        <v>32</v>
      </c>
      <c r="J10" s="46" t="s">
        <v>32</v>
      </c>
      <c r="K10" s="46" t="s">
        <v>32</v>
      </c>
      <c r="L10" s="46" t="s">
        <v>32</v>
      </c>
      <c r="M10" s="46" t="s">
        <v>32</v>
      </c>
      <c r="N10" s="46" t="s">
        <v>32</v>
      </c>
      <c r="O10" s="46" t="s">
        <v>32</v>
      </c>
      <c r="P10" s="46" t="s">
        <v>28</v>
      </c>
      <c r="Q10" s="46" t="s">
        <v>33</v>
      </c>
      <c r="R10" s="46"/>
      <c r="S10" s="46" t="s">
        <v>25</v>
      </c>
      <c r="T10" s="46" t="s">
        <v>25</v>
      </c>
      <c r="U10" s="46"/>
      <c r="V10" s="46"/>
      <c r="W10" s="46"/>
      <c r="X10" s="46" t="s">
        <v>25</v>
      </c>
    </row>
    <row r="11" spans="1:24" ht="63.75" x14ac:dyDescent="0.2">
      <c r="A11" s="45" t="s">
        <v>176</v>
      </c>
      <c r="B11" s="46" t="s">
        <v>23</v>
      </c>
      <c r="C11" s="46" t="s">
        <v>35</v>
      </c>
      <c r="D11" s="46" t="s">
        <v>25</v>
      </c>
      <c r="E11" s="46" t="s">
        <v>48</v>
      </c>
      <c r="F11" s="46"/>
      <c r="G11" s="46" t="s">
        <v>32</v>
      </c>
      <c r="H11" s="46" t="s">
        <v>32</v>
      </c>
      <c r="I11" s="46" t="s">
        <v>27</v>
      </c>
      <c r="J11" s="46" t="s">
        <v>27</v>
      </c>
      <c r="K11" s="46" t="s">
        <v>27</v>
      </c>
      <c r="L11" s="46" t="s">
        <v>27</v>
      </c>
      <c r="M11" s="46" t="s">
        <v>32</v>
      </c>
      <c r="N11" s="46" t="s">
        <v>32</v>
      </c>
      <c r="O11" s="46"/>
      <c r="P11" s="46" t="s">
        <v>28</v>
      </c>
      <c r="Q11" s="46" t="s">
        <v>33</v>
      </c>
      <c r="R11" s="46"/>
      <c r="S11" s="46" t="s">
        <v>28</v>
      </c>
      <c r="T11" s="46" t="s">
        <v>25</v>
      </c>
      <c r="U11" s="46"/>
      <c r="V11" s="46"/>
      <c r="W11" s="46"/>
      <c r="X11" s="46" t="s">
        <v>49</v>
      </c>
    </row>
    <row r="12" spans="1:24" ht="38.25" x14ac:dyDescent="0.2">
      <c r="A12" s="45" t="s">
        <v>175</v>
      </c>
      <c r="B12" s="46" t="s">
        <v>42</v>
      </c>
      <c r="C12" s="46" t="s">
        <v>24</v>
      </c>
      <c r="D12" s="46" t="s">
        <v>25</v>
      </c>
      <c r="E12" s="46" t="s">
        <v>114</v>
      </c>
      <c r="F12" s="46" t="s">
        <v>27</v>
      </c>
      <c r="G12" s="46">
        <v>2019</v>
      </c>
      <c r="H12" s="46" t="s">
        <v>27</v>
      </c>
      <c r="I12" s="46" t="s">
        <v>27</v>
      </c>
      <c r="J12" s="46" t="s">
        <v>27</v>
      </c>
      <c r="K12" s="46" t="s">
        <v>27</v>
      </c>
      <c r="L12" s="46" t="s">
        <v>27</v>
      </c>
      <c r="M12" s="46">
        <v>2021</v>
      </c>
      <c r="N12" s="46" t="s">
        <v>27</v>
      </c>
      <c r="O12" s="46"/>
      <c r="P12" s="46" t="s">
        <v>25</v>
      </c>
      <c r="Q12" s="46"/>
      <c r="R12" s="46"/>
      <c r="S12" s="46" t="s">
        <v>25</v>
      </c>
      <c r="T12" s="46" t="s">
        <v>25</v>
      </c>
      <c r="U12" s="46"/>
      <c r="V12" s="46"/>
      <c r="W12" s="46"/>
      <c r="X12" s="46" t="s">
        <v>25</v>
      </c>
    </row>
    <row r="13" spans="1:24" ht="63.75" x14ac:dyDescent="0.2">
      <c r="A13" s="45" t="s">
        <v>121</v>
      </c>
      <c r="B13" s="46" t="s">
        <v>23</v>
      </c>
      <c r="C13" s="46" t="s">
        <v>35</v>
      </c>
      <c r="D13" s="46" t="s">
        <v>25</v>
      </c>
      <c r="E13" s="46" t="s">
        <v>71</v>
      </c>
      <c r="F13" s="46">
        <v>2020</v>
      </c>
      <c r="G13" s="46">
        <v>2020</v>
      </c>
      <c r="H13" s="46" t="s">
        <v>27</v>
      </c>
      <c r="I13" s="46" t="s">
        <v>27</v>
      </c>
      <c r="J13" s="46">
        <v>2020</v>
      </c>
      <c r="K13" s="46" t="s">
        <v>27</v>
      </c>
      <c r="L13" s="46">
        <v>2020</v>
      </c>
      <c r="M13" s="46" t="s">
        <v>27</v>
      </c>
      <c r="N13" s="46" t="s">
        <v>27</v>
      </c>
      <c r="O13" s="46">
        <v>2021</v>
      </c>
      <c r="P13" s="46" t="s">
        <v>25</v>
      </c>
      <c r="Q13" s="46"/>
      <c r="R13" s="46"/>
      <c r="S13" s="46" t="s">
        <v>25</v>
      </c>
      <c r="T13" s="46" t="s">
        <v>25</v>
      </c>
      <c r="U13" s="46"/>
      <c r="V13" s="46"/>
      <c r="W13" s="46"/>
      <c r="X13" s="46" t="s">
        <v>49</v>
      </c>
    </row>
    <row r="14" spans="1:24" ht="63.75" x14ac:dyDescent="0.2">
      <c r="A14" s="45" t="s">
        <v>147</v>
      </c>
      <c r="B14" s="46" t="s">
        <v>23</v>
      </c>
      <c r="C14" s="46" t="s">
        <v>24</v>
      </c>
      <c r="D14" s="46" t="s">
        <v>25</v>
      </c>
      <c r="E14" s="46" t="s">
        <v>80</v>
      </c>
      <c r="F14" s="46" t="s">
        <v>27</v>
      </c>
      <c r="G14" s="46">
        <v>2019</v>
      </c>
      <c r="H14" s="46" t="s">
        <v>27</v>
      </c>
      <c r="I14" s="46" t="s">
        <v>27</v>
      </c>
      <c r="J14" s="46" t="s">
        <v>27</v>
      </c>
      <c r="K14" s="46" t="s">
        <v>27</v>
      </c>
      <c r="L14" s="46" t="s">
        <v>27</v>
      </c>
      <c r="M14" s="46" t="s">
        <v>27</v>
      </c>
      <c r="N14" s="46" t="s">
        <v>27</v>
      </c>
      <c r="O14" s="46"/>
      <c r="P14" s="46" t="s">
        <v>28</v>
      </c>
      <c r="Q14" s="46" t="s">
        <v>29</v>
      </c>
      <c r="R14" s="46" t="s">
        <v>81</v>
      </c>
      <c r="S14" s="46" t="s">
        <v>28</v>
      </c>
      <c r="T14" s="46" t="s">
        <v>25</v>
      </c>
      <c r="U14" s="46"/>
      <c r="V14" s="46"/>
      <c r="W14" s="46"/>
      <c r="X14" s="46" t="s">
        <v>25</v>
      </c>
    </row>
    <row r="15" spans="1:24" ht="63.75" x14ac:dyDescent="0.2">
      <c r="A15" s="45" t="s">
        <v>138</v>
      </c>
      <c r="B15" s="46" t="s">
        <v>42</v>
      </c>
      <c r="C15" s="46" t="s">
        <v>35</v>
      </c>
      <c r="D15" s="46" t="s">
        <v>25</v>
      </c>
      <c r="E15" s="46" t="s">
        <v>71</v>
      </c>
      <c r="F15" s="46">
        <v>2020</v>
      </c>
      <c r="G15" s="46">
        <v>2020</v>
      </c>
      <c r="H15" s="46">
        <v>2020</v>
      </c>
      <c r="I15" s="46" t="s">
        <v>27</v>
      </c>
      <c r="J15" s="46" t="s">
        <v>27</v>
      </c>
      <c r="K15" s="46">
        <v>2020</v>
      </c>
      <c r="L15" s="46">
        <v>2020</v>
      </c>
      <c r="M15" s="46" t="s">
        <v>32</v>
      </c>
      <c r="N15" s="46">
        <v>2020</v>
      </c>
      <c r="O15" s="46"/>
      <c r="P15" s="46" t="s">
        <v>28</v>
      </c>
      <c r="Q15" s="46" t="s">
        <v>39</v>
      </c>
      <c r="R15" s="46"/>
      <c r="S15" s="46" t="s">
        <v>28</v>
      </c>
      <c r="T15" s="46" t="s">
        <v>28</v>
      </c>
      <c r="U15" s="46" t="s">
        <v>13304</v>
      </c>
      <c r="V15" s="46"/>
      <c r="W15" s="46" t="s">
        <v>51</v>
      </c>
      <c r="X15" s="46" t="s">
        <v>25</v>
      </c>
    </row>
    <row r="16" spans="1:24" ht="38.25" x14ac:dyDescent="0.2">
      <c r="A16" s="45" t="s">
        <v>118</v>
      </c>
      <c r="B16" s="46" t="s">
        <v>42</v>
      </c>
      <c r="C16" s="46" t="s">
        <v>24</v>
      </c>
      <c r="D16" s="46" t="s">
        <v>25</v>
      </c>
      <c r="E16" s="46" t="s">
        <v>54</v>
      </c>
      <c r="F16" s="46">
        <v>2019</v>
      </c>
      <c r="G16" s="46">
        <v>2019</v>
      </c>
      <c r="H16" s="46">
        <v>2019</v>
      </c>
      <c r="I16" s="46" t="s">
        <v>27</v>
      </c>
      <c r="J16" s="46">
        <v>2019</v>
      </c>
      <c r="K16" s="46" t="s">
        <v>27</v>
      </c>
      <c r="L16" s="46" t="s">
        <v>27</v>
      </c>
      <c r="M16" s="46">
        <v>2021</v>
      </c>
      <c r="N16" s="46" t="s">
        <v>32</v>
      </c>
      <c r="O16" s="46"/>
      <c r="P16" s="46" t="s">
        <v>25</v>
      </c>
      <c r="Q16" s="46"/>
      <c r="R16" s="46"/>
      <c r="S16" s="46" t="s">
        <v>25</v>
      </c>
      <c r="T16" s="46" t="s">
        <v>25</v>
      </c>
      <c r="U16" s="46"/>
      <c r="V16" s="46"/>
      <c r="W16" s="46"/>
      <c r="X16" s="46" t="s">
        <v>49</v>
      </c>
    </row>
    <row r="17" spans="1:24" ht="25.5" x14ac:dyDescent="0.2">
      <c r="A17" s="45" t="s">
        <v>134</v>
      </c>
      <c r="B17" s="46" t="s">
        <v>37</v>
      </c>
      <c r="C17" s="46"/>
      <c r="D17" s="46" t="s">
        <v>25</v>
      </c>
      <c r="E17" s="46" t="s">
        <v>50</v>
      </c>
      <c r="F17" s="46">
        <v>2020</v>
      </c>
      <c r="G17" s="46">
        <v>2019</v>
      </c>
      <c r="H17" s="46" t="s">
        <v>27</v>
      </c>
      <c r="I17" s="46" t="s">
        <v>27</v>
      </c>
      <c r="J17" s="46">
        <v>2020</v>
      </c>
      <c r="K17" s="46">
        <v>2020</v>
      </c>
      <c r="L17" s="46" t="s">
        <v>27</v>
      </c>
      <c r="M17" s="46" t="s">
        <v>32</v>
      </c>
      <c r="N17" s="46" t="s">
        <v>32</v>
      </c>
      <c r="O17" s="46"/>
      <c r="P17" s="46" t="s">
        <v>25</v>
      </c>
      <c r="Q17" s="46"/>
      <c r="R17" s="46"/>
      <c r="S17" s="46" t="s">
        <v>28</v>
      </c>
      <c r="T17" s="46" t="s">
        <v>28</v>
      </c>
      <c r="U17" s="46" t="s">
        <v>13304</v>
      </c>
      <c r="V17" s="46"/>
      <c r="W17" s="46" t="s">
        <v>51</v>
      </c>
      <c r="X17" s="46" t="s">
        <v>25</v>
      </c>
    </row>
    <row r="18" spans="1:24" ht="38.25" x14ac:dyDescent="0.2">
      <c r="A18" s="45" t="s">
        <v>171</v>
      </c>
      <c r="B18" s="46" t="s">
        <v>34</v>
      </c>
      <c r="C18" s="46" t="s">
        <v>24</v>
      </c>
      <c r="D18" s="46" t="s">
        <v>25</v>
      </c>
      <c r="E18" s="46" t="s">
        <v>75</v>
      </c>
      <c r="F18" s="46" t="s">
        <v>32</v>
      </c>
      <c r="G18" s="46" t="s">
        <v>32</v>
      </c>
      <c r="H18" s="46" t="s">
        <v>27</v>
      </c>
      <c r="I18" s="46" t="s">
        <v>27</v>
      </c>
      <c r="J18" s="46" t="s">
        <v>27</v>
      </c>
      <c r="K18" s="46" t="s">
        <v>27</v>
      </c>
      <c r="L18" s="46" t="s">
        <v>27</v>
      </c>
      <c r="M18" s="46" t="s">
        <v>27</v>
      </c>
      <c r="N18" s="46" t="s">
        <v>27</v>
      </c>
      <c r="O18" s="46"/>
      <c r="P18" s="46" t="s">
        <v>25</v>
      </c>
      <c r="Q18" s="46"/>
      <c r="R18" s="46"/>
      <c r="S18" s="46" t="s">
        <v>28</v>
      </c>
      <c r="T18" s="46" t="s">
        <v>25</v>
      </c>
      <c r="U18" s="46"/>
      <c r="V18" s="46"/>
      <c r="W18" s="46"/>
      <c r="X18" s="46" t="s">
        <v>25</v>
      </c>
    </row>
    <row r="19" spans="1:24" ht="63.75" x14ac:dyDescent="0.2">
      <c r="A19" s="45" t="s">
        <v>123</v>
      </c>
      <c r="B19" s="46" t="s">
        <v>37</v>
      </c>
      <c r="C19" s="46"/>
      <c r="D19" s="46" t="s">
        <v>25</v>
      </c>
      <c r="E19" s="46" t="s">
        <v>66</v>
      </c>
      <c r="F19" s="46" t="s">
        <v>32</v>
      </c>
      <c r="G19" s="46" t="s">
        <v>32</v>
      </c>
      <c r="H19" s="46" t="s">
        <v>32</v>
      </c>
      <c r="I19" s="46" t="s">
        <v>32</v>
      </c>
      <c r="J19" s="46" t="s">
        <v>32</v>
      </c>
      <c r="K19" s="46" t="s">
        <v>32</v>
      </c>
      <c r="L19" s="46" t="s">
        <v>32</v>
      </c>
      <c r="M19" s="46" t="s">
        <v>32</v>
      </c>
      <c r="N19" s="46" t="s">
        <v>32</v>
      </c>
      <c r="O19" s="46"/>
      <c r="P19" s="46" t="s">
        <v>28</v>
      </c>
      <c r="Q19" s="46" t="s">
        <v>33</v>
      </c>
      <c r="R19" s="46"/>
      <c r="S19" s="46" t="s">
        <v>25</v>
      </c>
      <c r="T19" s="46" t="s">
        <v>25</v>
      </c>
      <c r="U19" s="46"/>
      <c r="V19" s="46"/>
      <c r="W19" s="46"/>
      <c r="X19" s="46" t="s">
        <v>25</v>
      </c>
    </row>
    <row r="20" spans="1:24" ht="38.25" x14ac:dyDescent="0.2">
      <c r="A20" s="45" t="s">
        <v>125</v>
      </c>
      <c r="B20" s="46" t="s">
        <v>42</v>
      </c>
      <c r="C20" s="46" t="s">
        <v>35</v>
      </c>
      <c r="D20" s="46" t="s">
        <v>25</v>
      </c>
      <c r="E20" s="46" t="s">
        <v>79</v>
      </c>
      <c r="F20" s="46">
        <v>2019</v>
      </c>
      <c r="G20" s="46">
        <v>2019</v>
      </c>
      <c r="H20" s="46" t="s">
        <v>27</v>
      </c>
      <c r="I20" s="46" t="s">
        <v>27</v>
      </c>
      <c r="J20" s="46" t="s">
        <v>27</v>
      </c>
      <c r="K20" s="46" t="s">
        <v>27</v>
      </c>
      <c r="L20" s="46" t="s">
        <v>27</v>
      </c>
      <c r="M20" s="46" t="s">
        <v>27</v>
      </c>
      <c r="N20" s="46" t="s">
        <v>27</v>
      </c>
      <c r="O20" s="46"/>
      <c r="P20" s="46" t="s">
        <v>25</v>
      </c>
      <c r="Q20" s="46"/>
      <c r="R20" s="46"/>
      <c r="S20" s="46" t="s">
        <v>25</v>
      </c>
      <c r="T20" s="46" t="s">
        <v>25</v>
      </c>
      <c r="U20" s="46"/>
      <c r="V20" s="46"/>
      <c r="W20" s="46"/>
      <c r="X20" s="46" t="s">
        <v>25</v>
      </c>
    </row>
    <row r="21" spans="1:24" ht="38.25" x14ac:dyDescent="0.2">
      <c r="A21" s="45" t="s">
        <v>169</v>
      </c>
      <c r="B21" s="46" t="s">
        <v>37</v>
      </c>
      <c r="C21" s="46"/>
      <c r="D21" s="46" t="s">
        <v>25</v>
      </c>
      <c r="E21" s="46" t="s">
        <v>110</v>
      </c>
      <c r="F21" s="46">
        <v>2019</v>
      </c>
      <c r="G21" s="46" t="s">
        <v>27</v>
      </c>
      <c r="H21" s="46" t="s">
        <v>27</v>
      </c>
      <c r="I21" s="46" t="s">
        <v>27</v>
      </c>
      <c r="J21" s="46" t="s">
        <v>27</v>
      </c>
      <c r="K21" s="46" t="s">
        <v>27</v>
      </c>
      <c r="L21" s="46" t="s">
        <v>27</v>
      </c>
      <c r="M21" s="46" t="s">
        <v>27</v>
      </c>
      <c r="N21" s="46" t="s">
        <v>27</v>
      </c>
      <c r="O21" s="46" t="s">
        <v>27</v>
      </c>
      <c r="P21" s="46" t="s">
        <v>25</v>
      </c>
      <c r="Q21" s="46"/>
      <c r="R21" s="46"/>
      <c r="S21" s="46" t="s">
        <v>25</v>
      </c>
      <c r="T21" s="46" t="s">
        <v>25</v>
      </c>
      <c r="U21" s="46"/>
      <c r="V21" s="46"/>
      <c r="W21" s="46"/>
      <c r="X21" s="46" t="s">
        <v>25</v>
      </c>
    </row>
    <row r="22" spans="1:24" ht="12.75" x14ac:dyDescent="0.2">
      <c r="A22" s="45" t="s">
        <v>159</v>
      </c>
      <c r="B22" s="46" t="s">
        <v>37</v>
      </c>
      <c r="C22" s="46"/>
      <c r="D22" s="46" t="s">
        <v>25</v>
      </c>
      <c r="E22" s="46" t="s">
        <v>47</v>
      </c>
      <c r="F22" s="46" t="s">
        <v>27</v>
      </c>
      <c r="G22" s="46" t="s">
        <v>27</v>
      </c>
      <c r="H22" s="46" t="s">
        <v>27</v>
      </c>
      <c r="I22" s="46" t="s">
        <v>27</v>
      </c>
      <c r="J22" s="46" t="s">
        <v>27</v>
      </c>
      <c r="K22" s="46" t="s">
        <v>27</v>
      </c>
      <c r="L22" s="46" t="s">
        <v>27</v>
      </c>
      <c r="M22" s="46" t="s">
        <v>27</v>
      </c>
      <c r="N22" s="46" t="s">
        <v>27</v>
      </c>
      <c r="O22" s="46"/>
      <c r="P22" s="46" t="s">
        <v>25</v>
      </c>
      <c r="Q22" s="46"/>
      <c r="R22" s="46"/>
      <c r="S22" s="46" t="s">
        <v>25</v>
      </c>
      <c r="T22" s="46" t="s">
        <v>25</v>
      </c>
      <c r="U22" s="46"/>
      <c r="V22" s="46"/>
      <c r="W22" s="46"/>
      <c r="X22" s="46" t="s">
        <v>28</v>
      </c>
    </row>
    <row r="23" spans="1:24" ht="76.5" x14ac:dyDescent="0.2">
      <c r="A23" s="45" t="s">
        <v>166</v>
      </c>
      <c r="B23" s="46" t="s">
        <v>42</v>
      </c>
      <c r="C23" s="46" t="s">
        <v>35</v>
      </c>
      <c r="D23" s="46" t="s">
        <v>25</v>
      </c>
      <c r="E23" s="46" t="s">
        <v>60</v>
      </c>
      <c r="F23" s="46" t="s">
        <v>32</v>
      </c>
      <c r="G23" s="46" t="s">
        <v>32</v>
      </c>
      <c r="H23" s="46" t="s">
        <v>32</v>
      </c>
      <c r="I23" s="46" t="s">
        <v>32</v>
      </c>
      <c r="J23" s="46" t="s">
        <v>32</v>
      </c>
      <c r="K23" s="46" t="s">
        <v>32</v>
      </c>
      <c r="L23" s="46" t="s">
        <v>32</v>
      </c>
      <c r="M23" s="46" t="s">
        <v>32</v>
      </c>
      <c r="N23" s="46" t="s">
        <v>32</v>
      </c>
      <c r="O23" s="46"/>
      <c r="P23" s="46" t="s">
        <v>25</v>
      </c>
      <c r="Q23" s="46"/>
      <c r="R23" s="46"/>
      <c r="S23" s="46" t="s">
        <v>25</v>
      </c>
      <c r="T23" s="46" t="s">
        <v>25</v>
      </c>
      <c r="U23" s="46"/>
      <c r="V23" s="46"/>
      <c r="W23" s="46"/>
      <c r="X23" s="46" t="s">
        <v>25</v>
      </c>
    </row>
    <row r="24" spans="1:24" ht="63.75" x14ac:dyDescent="0.2">
      <c r="A24" s="45" t="s">
        <v>157</v>
      </c>
      <c r="B24" s="46" t="s">
        <v>42</v>
      </c>
      <c r="C24" s="46" t="s">
        <v>72</v>
      </c>
      <c r="D24" s="46" t="s">
        <v>25</v>
      </c>
      <c r="E24" s="46" t="s">
        <v>80</v>
      </c>
      <c r="F24" s="46" t="s">
        <v>32</v>
      </c>
      <c r="G24" s="46" t="s">
        <v>32</v>
      </c>
      <c r="H24" s="46" t="s">
        <v>32</v>
      </c>
      <c r="I24" s="46" t="s">
        <v>32</v>
      </c>
      <c r="J24" s="46" t="s">
        <v>27</v>
      </c>
      <c r="K24" s="46" t="s">
        <v>27</v>
      </c>
      <c r="L24" s="46" t="s">
        <v>27</v>
      </c>
      <c r="M24" s="46">
        <v>2021</v>
      </c>
      <c r="N24" s="46" t="s">
        <v>32</v>
      </c>
      <c r="O24" s="46"/>
      <c r="P24" s="46" t="s">
        <v>28</v>
      </c>
      <c r="Q24" s="46" t="s">
        <v>14622</v>
      </c>
      <c r="R24" s="46"/>
      <c r="S24" s="46" t="s">
        <v>28</v>
      </c>
      <c r="T24" s="46" t="s">
        <v>25</v>
      </c>
      <c r="U24" s="46"/>
      <c r="V24" s="46"/>
      <c r="W24" s="46"/>
      <c r="X24" s="46" t="s">
        <v>25</v>
      </c>
    </row>
    <row r="25" spans="1:24" ht="51" x14ac:dyDescent="0.2">
      <c r="A25" s="45" t="s">
        <v>144</v>
      </c>
      <c r="B25" s="46" t="s">
        <v>42</v>
      </c>
      <c r="C25" s="46" t="s">
        <v>35</v>
      </c>
      <c r="D25" s="46" t="s">
        <v>25</v>
      </c>
      <c r="E25" s="46" t="s">
        <v>36</v>
      </c>
      <c r="F25" s="46">
        <v>2021</v>
      </c>
      <c r="G25" s="46">
        <v>2020</v>
      </c>
      <c r="H25" s="46" t="s">
        <v>32</v>
      </c>
      <c r="I25" s="46" t="s">
        <v>32</v>
      </c>
      <c r="J25" s="46" t="s">
        <v>32</v>
      </c>
      <c r="K25" s="46">
        <v>2021</v>
      </c>
      <c r="L25" s="46" t="s">
        <v>32</v>
      </c>
      <c r="M25" s="46" t="s">
        <v>27</v>
      </c>
      <c r="N25" s="46">
        <v>2019</v>
      </c>
      <c r="O25" s="46" t="s">
        <v>32</v>
      </c>
      <c r="P25" s="46" t="s">
        <v>28</v>
      </c>
      <c r="Q25" s="46" t="s">
        <v>93</v>
      </c>
      <c r="R25" s="46"/>
      <c r="S25" s="46" t="s">
        <v>28</v>
      </c>
      <c r="T25" s="46" t="s">
        <v>25</v>
      </c>
      <c r="U25" s="46"/>
      <c r="V25" s="46"/>
      <c r="W25" s="46"/>
      <c r="X25" s="46" t="s">
        <v>25</v>
      </c>
    </row>
    <row r="26" spans="1:24" ht="38.25" x14ac:dyDescent="0.2">
      <c r="A26" s="45" t="s">
        <v>140</v>
      </c>
      <c r="B26" s="46" t="s">
        <v>23</v>
      </c>
      <c r="C26" s="46" t="s">
        <v>24</v>
      </c>
      <c r="D26" s="46" t="s">
        <v>25</v>
      </c>
      <c r="E26" s="46" t="s">
        <v>54</v>
      </c>
      <c r="F26" s="46">
        <v>2020</v>
      </c>
      <c r="G26" s="46">
        <v>2020</v>
      </c>
      <c r="H26" s="46" t="s">
        <v>32</v>
      </c>
      <c r="I26" s="46" t="s">
        <v>32</v>
      </c>
      <c r="J26" s="46" t="s">
        <v>32</v>
      </c>
      <c r="K26" s="46" t="s">
        <v>32</v>
      </c>
      <c r="L26" s="46" t="s">
        <v>32</v>
      </c>
      <c r="M26" s="46" t="s">
        <v>32</v>
      </c>
      <c r="N26" s="46" t="s">
        <v>32</v>
      </c>
      <c r="O26" s="46"/>
      <c r="P26" s="46" t="s">
        <v>28</v>
      </c>
      <c r="Q26" s="46" t="s">
        <v>58</v>
      </c>
      <c r="R26" s="46" t="s">
        <v>59</v>
      </c>
      <c r="S26" s="46" t="s">
        <v>28</v>
      </c>
      <c r="T26" s="46" t="s">
        <v>25</v>
      </c>
      <c r="U26" s="46"/>
      <c r="V26" s="46"/>
      <c r="W26" s="46"/>
      <c r="X26" s="46" t="s">
        <v>25</v>
      </c>
    </row>
    <row r="27" spans="1:24" ht="38.25" x14ac:dyDescent="0.2">
      <c r="A27" s="45" t="s">
        <v>127</v>
      </c>
      <c r="B27" s="46" t="s">
        <v>37</v>
      </c>
      <c r="C27" s="46"/>
      <c r="D27" s="46" t="s">
        <v>25</v>
      </c>
      <c r="E27" s="46" t="s">
        <v>54</v>
      </c>
      <c r="F27" s="46" t="s">
        <v>27</v>
      </c>
      <c r="G27" s="46"/>
      <c r="H27" s="46" t="s">
        <v>27</v>
      </c>
      <c r="I27" s="46" t="s">
        <v>27</v>
      </c>
      <c r="J27" s="46" t="s">
        <v>27</v>
      </c>
      <c r="K27" s="46" t="s">
        <v>27</v>
      </c>
      <c r="L27" s="46" t="s">
        <v>27</v>
      </c>
      <c r="M27" s="46" t="s">
        <v>27</v>
      </c>
      <c r="N27" s="46" t="s">
        <v>27</v>
      </c>
      <c r="O27" s="46"/>
      <c r="P27" s="46" t="s">
        <v>28</v>
      </c>
      <c r="Q27" s="46" t="s">
        <v>105</v>
      </c>
      <c r="R27" s="46"/>
      <c r="S27" s="46" t="s">
        <v>28</v>
      </c>
      <c r="T27" s="46" t="s">
        <v>28</v>
      </c>
      <c r="U27" s="46" t="s">
        <v>13303</v>
      </c>
      <c r="V27" s="46" t="s">
        <v>106</v>
      </c>
      <c r="W27" s="46" t="s">
        <v>51</v>
      </c>
      <c r="X27" s="46" t="s">
        <v>25</v>
      </c>
    </row>
    <row r="28" spans="1:24" ht="25.5" x14ac:dyDescent="0.2">
      <c r="A28" s="45" t="s">
        <v>131</v>
      </c>
      <c r="B28" s="46" t="s">
        <v>42</v>
      </c>
      <c r="C28" s="46" t="s">
        <v>24</v>
      </c>
      <c r="D28" s="46" t="s">
        <v>25</v>
      </c>
      <c r="E28" s="46" t="s">
        <v>50</v>
      </c>
      <c r="F28" s="46">
        <v>2020</v>
      </c>
      <c r="G28" s="46"/>
      <c r="H28" s="46" t="s">
        <v>27</v>
      </c>
      <c r="I28" s="46" t="s">
        <v>27</v>
      </c>
      <c r="J28" s="46">
        <v>2020</v>
      </c>
      <c r="K28" s="46">
        <v>2020</v>
      </c>
      <c r="L28" s="46">
        <v>2020</v>
      </c>
      <c r="M28" s="46">
        <v>2019</v>
      </c>
      <c r="N28" s="46" t="s">
        <v>32</v>
      </c>
      <c r="O28" s="46"/>
      <c r="P28" s="46" t="s">
        <v>28</v>
      </c>
      <c r="Q28" s="46" t="s">
        <v>39</v>
      </c>
      <c r="R28" s="46"/>
      <c r="S28" s="46" t="s">
        <v>28</v>
      </c>
      <c r="T28" s="46" t="s">
        <v>28</v>
      </c>
      <c r="U28" s="46" t="s">
        <v>89</v>
      </c>
      <c r="V28" s="46" t="s">
        <v>90</v>
      </c>
      <c r="W28" s="46" t="s">
        <v>51</v>
      </c>
      <c r="X28" s="46" t="s">
        <v>25</v>
      </c>
    </row>
    <row r="29" spans="1:24" ht="63.75" x14ac:dyDescent="0.2">
      <c r="A29" s="45" t="s">
        <v>139</v>
      </c>
      <c r="B29" s="46" t="s">
        <v>42</v>
      </c>
      <c r="C29" s="46" t="s">
        <v>35</v>
      </c>
      <c r="D29" s="46" t="s">
        <v>25</v>
      </c>
      <c r="E29" s="46" t="s">
        <v>66</v>
      </c>
      <c r="F29" s="46" t="s">
        <v>32</v>
      </c>
      <c r="G29" s="46">
        <v>2020</v>
      </c>
      <c r="H29" s="46" t="s">
        <v>27</v>
      </c>
      <c r="I29" s="46" t="s">
        <v>27</v>
      </c>
      <c r="J29" s="46">
        <v>2019</v>
      </c>
      <c r="K29" s="46" t="s">
        <v>27</v>
      </c>
      <c r="L29" s="46" t="s">
        <v>27</v>
      </c>
      <c r="M29" s="46" t="s">
        <v>27</v>
      </c>
      <c r="N29" s="46" t="s">
        <v>27</v>
      </c>
      <c r="O29" s="46"/>
      <c r="P29" s="46" t="s">
        <v>28</v>
      </c>
      <c r="Q29" s="46" t="s">
        <v>33</v>
      </c>
      <c r="R29" s="46"/>
      <c r="S29" s="46" t="s">
        <v>28</v>
      </c>
      <c r="T29" s="46" t="s">
        <v>28</v>
      </c>
      <c r="U29" s="46" t="s">
        <v>13305</v>
      </c>
      <c r="V29" s="46" t="s">
        <v>92</v>
      </c>
      <c r="W29" s="46" t="s">
        <v>51</v>
      </c>
      <c r="X29" s="46" t="s">
        <v>25</v>
      </c>
    </row>
    <row r="30" spans="1:24" ht="25.5" x14ac:dyDescent="0.2">
      <c r="A30" s="45" t="s">
        <v>120</v>
      </c>
      <c r="B30" s="46" t="s">
        <v>31</v>
      </c>
      <c r="C30" s="46"/>
      <c r="D30" s="46" t="s">
        <v>25</v>
      </c>
      <c r="E30" s="46" t="s">
        <v>46</v>
      </c>
      <c r="F30" s="46" t="s">
        <v>32</v>
      </c>
      <c r="G30" s="46" t="s">
        <v>32</v>
      </c>
      <c r="H30" s="46" t="s">
        <v>32</v>
      </c>
      <c r="I30" s="46" t="s">
        <v>32</v>
      </c>
      <c r="J30" s="46" t="s">
        <v>32</v>
      </c>
      <c r="K30" s="46" t="s">
        <v>32</v>
      </c>
      <c r="L30" s="46" t="s">
        <v>32</v>
      </c>
      <c r="M30" s="46" t="s">
        <v>32</v>
      </c>
      <c r="N30" s="46" t="s">
        <v>32</v>
      </c>
      <c r="O30" s="46"/>
      <c r="P30" s="46" t="s">
        <v>25</v>
      </c>
      <c r="Q30" s="46"/>
      <c r="R30" s="46"/>
      <c r="S30" s="46" t="s">
        <v>25</v>
      </c>
      <c r="T30" s="46" t="s">
        <v>25</v>
      </c>
      <c r="U30" s="46"/>
      <c r="V30" s="46"/>
      <c r="W30" s="46"/>
      <c r="X30" s="46" t="s">
        <v>25</v>
      </c>
    </row>
    <row r="31" spans="1:24" ht="38.25" x14ac:dyDescent="0.2">
      <c r="A31" s="45" t="s">
        <v>174</v>
      </c>
      <c r="B31" s="46" t="s">
        <v>37</v>
      </c>
      <c r="C31" s="46"/>
      <c r="D31" s="46" t="s">
        <v>25</v>
      </c>
      <c r="E31" s="46"/>
      <c r="F31" s="46" t="s">
        <v>27</v>
      </c>
      <c r="G31" s="46" t="s">
        <v>27</v>
      </c>
      <c r="H31" s="46" t="s">
        <v>27</v>
      </c>
      <c r="I31" s="46" t="s">
        <v>27</v>
      </c>
      <c r="J31" s="46" t="s">
        <v>27</v>
      </c>
      <c r="K31" s="46" t="s">
        <v>27</v>
      </c>
      <c r="L31" s="46" t="s">
        <v>27</v>
      </c>
      <c r="M31" s="46" t="s">
        <v>27</v>
      </c>
      <c r="N31" s="46" t="s">
        <v>27</v>
      </c>
      <c r="O31" s="46"/>
      <c r="P31" s="46" t="s">
        <v>28</v>
      </c>
      <c r="Q31" s="46" t="s">
        <v>87</v>
      </c>
      <c r="R31" s="46" t="s">
        <v>88</v>
      </c>
      <c r="S31" s="46" t="s">
        <v>25</v>
      </c>
      <c r="T31" s="46" t="s">
        <v>25</v>
      </c>
      <c r="U31" s="46"/>
      <c r="V31" s="46"/>
      <c r="W31" s="46"/>
      <c r="X31" s="46" t="s">
        <v>25</v>
      </c>
    </row>
    <row r="32" spans="1:24" ht="51" x14ac:dyDescent="0.2">
      <c r="A32" s="45" t="s">
        <v>124</v>
      </c>
      <c r="B32" s="46" t="s">
        <v>42</v>
      </c>
      <c r="C32" s="46" t="s">
        <v>35</v>
      </c>
      <c r="D32" s="46" t="s">
        <v>25</v>
      </c>
      <c r="E32" s="46" t="s">
        <v>99</v>
      </c>
      <c r="F32" s="46"/>
      <c r="G32" s="46" t="s">
        <v>27</v>
      </c>
      <c r="H32" s="46" t="s">
        <v>27</v>
      </c>
      <c r="I32" s="46" t="s">
        <v>27</v>
      </c>
      <c r="J32" s="46" t="s">
        <v>27</v>
      </c>
      <c r="K32" s="46">
        <v>2020</v>
      </c>
      <c r="L32" s="46">
        <v>2020</v>
      </c>
      <c r="M32" s="46" t="s">
        <v>27</v>
      </c>
      <c r="N32" s="46" t="s">
        <v>27</v>
      </c>
      <c r="O32" s="46"/>
      <c r="P32" s="46" t="s">
        <v>28</v>
      </c>
      <c r="Q32" s="46" t="s">
        <v>100</v>
      </c>
      <c r="R32" s="46"/>
      <c r="S32" s="46" t="s">
        <v>28</v>
      </c>
      <c r="T32" s="46" t="s">
        <v>25</v>
      </c>
      <c r="U32" s="46"/>
      <c r="V32" s="46"/>
      <c r="W32" s="46"/>
      <c r="X32" s="46" t="s">
        <v>25</v>
      </c>
    </row>
    <row r="33" spans="1:24" ht="51" x14ac:dyDescent="0.2">
      <c r="A33" s="45" t="s">
        <v>117</v>
      </c>
      <c r="B33" s="46" t="s">
        <v>42</v>
      </c>
      <c r="C33" s="46" t="s">
        <v>35</v>
      </c>
      <c r="D33" s="46" t="s">
        <v>25</v>
      </c>
      <c r="E33" s="46" t="s">
        <v>36</v>
      </c>
      <c r="F33" s="46">
        <v>2019</v>
      </c>
      <c r="G33" s="46">
        <v>2019</v>
      </c>
      <c r="H33" s="46" t="s">
        <v>32</v>
      </c>
      <c r="I33" s="46" t="s">
        <v>32</v>
      </c>
      <c r="J33" s="46">
        <v>2021</v>
      </c>
      <c r="K33" s="46" t="s">
        <v>32</v>
      </c>
      <c r="L33" s="46" t="s">
        <v>32</v>
      </c>
      <c r="M33" s="46" t="s">
        <v>27</v>
      </c>
      <c r="N33" s="46" t="s">
        <v>32</v>
      </c>
      <c r="O33" s="46">
        <v>2020</v>
      </c>
      <c r="P33" s="46" t="s">
        <v>28</v>
      </c>
      <c r="Q33" s="46" t="s">
        <v>29</v>
      </c>
      <c r="R33" s="46" t="s">
        <v>101</v>
      </c>
      <c r="S33" s="46" t="s">
        <v>25</v>
      </c>
      <c r="T33" s="46" t="s">
        <v>25</v>
      </c>
      <c r="U33" s="46"/>
      <c r="V33" s="46"/>
      <c r="W33" s="46"/>
      <c r="X33" s="46" t="s">
        <v>25</v>
      </c>
    </row>
    <row r="34" spans="1:24" ht="38.25" x14ac:dyDescent="0.2">
      <c r="A34" s="45" t="s">
        <v>168</v>
      </c>
      <c r="B34" s="46" t="s">
        <v>42</v>
      </c>
      <c r="C34" s="46" t="s">
        <v>24</v>
      </c>
      <c r="D34" s="46" t="s">
        <v>25</v>
      </c>
      <c r="E34" s="46" t="s">
        <v>65</v>
      </c>
      <c r="F34" s="46" t="s">
        <v>27</v>
      </c>
      <c r="G34" s="46" t="s">
        <v>27</v>
      </c>
      <c r="H34" s="46" t="s">
        <v>27</v>
      </c>
      <c r="I34" s="46" t="s">
        <v>27</v>
      </c>
      <c r="J34" s="46" t="s">
        <v>27</v>
      </c>
      <c r="K34" s="46" t="s">
        <v>27</v>
      </c>
      <c r="L34" s="46" t="s">
        <v>27</v>
      </c>
      <c r="M34" s="46" t="s">
        <v>27</v>
      </c>
      <c r="N34" s="46" t="s">
        <v>27</v>
      </c>
      <c r="O34" s="46"/>
      <c r="P34" s="46" t="s">
        <v>25</v>
      </c>
      <c r="Q34" s="46"/>
      <c r="R34" s="46"/>
      <c r="S34" s="46" t="s">
        <v>28</v>
      </c>
      <c r="T34" s="46" t="s">
        <v>25</v>
      </c>
      <c r="U34" s="46"/>
      <c r="V34" s="46"/>
      <c r="W34" s="46"/>
      <c r="X34" s="46" t="s">
        <v>25</v>
      </c>
    </row>
    <row r="35" spans="1:24" ht="38.25" x14ac:dyDescent="0.2">
      <c r="A35" s="45" t="s">
        <v>143</v>
      </c>
      <c r="B35" s="46" t="s">
        <v>23</v>
      </c>
      <c r="C35" s="46" t="s">
        <v>24</v>
      </c>
      <c r="D35" s="46" t="s">
        <v>25</v>
      </c>
      <c r="E35" s="46" t="s">
        <v>75</v>
      </c>
      <c r="F35" s="46"/>
      <c r="G35" s="46">
        <v>2020</v>
      </c>
      <c r="H35" s="46" t="s">
        <v>32</v>
      </c>
      <c r="I35" s="46" t="s">
        <v>32</v>
      </c>
      <c r="J35" s="46" t="s">
        <v>32</v>
      </c>
      <c r="K35" s="46" t="s">
        <v>32</v>
      </c>
      <c r="L35" s="46" t="s">
        <v>32</v>
      </c>
      <c r="M35" s="46" t="s">
        <v>32</v>
      </c>
      <c r="N35" s="46" t="s">
        <v>32</v>
      </c>
      <c r="O35" s="46">
        <v>2021</v>
      </c>
      <c r="P35" s="46" t="s">
        <v>28</v>
      </c>
      <c r="Q35" s="46" t="s">
        <v>29</v>
      </c>
      <c r="R35" s="46" t="s">
        <v>78</v>
      </c>
      <c r="S35" s="46" t="s">
        <v>28</v>
      </c>
      <c r="T35" s="46" t="s">
        <v>25</v>
      </c>
      <c r="U35" s="46"/>
      <c r="V35" s="46"/>
      <c r="W35" s="46"/>
      <c r="X35" s="46" t="s">
        <v>25</v>
      </c>
    </row>
    <row r="36" spans="1:24" ht="12.75" x14ac:dyDescent="0.2">
      <c r="A36" s="45" t="s">
        <v>180</v>
      </c>
      <c r="B36" s="46" t="s">
        <v>31</v>
      </c>
      <c r="C36" s="46"/>
      <c r="D36" s="46" t="s">
        <v>25</v>
      </c>
      <c r="E36" s="46" t="s">
        <v>76</v>
      </c>
      <c r="F36" s="46" t="s">
        <v>27</v>
      </c>
      <c r="G36" s="46" t="s">
        <v>27</v>
      </c>
      <c r="H36" s="46" t="s">
        <v>27</v>
      </c>
      <c r="I36" s="46" t="s">
        <v>27</v>
      </c>
      <c r="J36" s="46" t="s">
        <v>27</v>
      </c>
      <c r="K36" s="46" t="s">
        <v>27</v>
      </c>
      <c r="L36" s="46" t="s">
        <v>27</v>
      </c>
      <c r="M36" s="46" t="s">
        <v>27</v>
      </c>
      <c r="N36" s="46" t="s">
        <v>27</v>
      </c>
      <c r="O36" s="46" t="s">
        <v>27</v>
      </c>
      <c r="P36" s="46" t="s">
        <v>28</v>
      </c>
      <c r="Q36" s="46" t="s">
        <v>29</v>
      </c>
      <c r="R36" s="46" t="s">
        <v>30</v>
      </c>
      <c r="S36" s="46" t="s">
        <v>25</v>
      </c>
      <c r="T36" s="46" t="s">
        <v>25</v>
      </c>
      <c r="U36" s="46"/>
      <c r="V36" s="46"/>
      <c r="W36" s="46"/>
      <c r="X36" s="46" t="s">
        <v>28</v>
      </c>
    </row>
    <row r="37" spans="1:24" ht="76.5" x14ac:dyDescent="0.2">
      <c r="A37" s="45" t="s">
        <v>158</v>
      </c>
      <c r="B37" s="46" t="s">
        <v>23</v>
      </c>
      <c r="C37" s="46" t="s">
        <v>35</v>
      </c>
      <c r="D37" s="46" t="s">
        <v>25</v>
      </c>
      <c r="E37" s="46" t="s">
        <v>94</v>
      </c>
      <c r="F37" s="46">
        <v>2021</v>
      </c>
      <c r="G37" s="46">
        <v>2021</v>
      </c>
      <c r="H37" s="46" t="s">
        <v>27</v>
      </c>
      <c r="I37" s="46" t="s">
        <v>27</v>
      </c>
      <c r="J37" s="46">
        <v>2020</v>
      </c>
      <c r="K37" s="46">
        <v>2021</v>
      </c>
      <c r="L37" s="46">
        <v>2021</v>
      </c>
      <c r="M37" s="46" t="s">
        <v>32</v>
      </c>
      <c r="N37" s="46">
        <v>2020</v>
      </c>
      <c r="O37" s="46" t="s">
        <v>27</v>
      </c>
      <c r="P37" s="46" t="s">
        <v>28</v>
      </c>
      <c r="Q37" s="46" t="s">
        <v>14623</v>
      </c>
      <c r="R37" s="46"/>
      <c r="S37" s="46" t="s">
        <v>25</v>
      </c>
      <c r="T37" s="46" t="s">
        <v>28</v>
      </c>
      <c r="U37" s="46" t="s">
        <v>13304</v>
      </c>
      <c r="V37" s="46"/>
      <c r="W37" s="46" t="s">
        <v>95</v>
      </c>
      <c r="X37" s="46" t="s">
        <v>25</v>
      </c>
    </row>
    <row r="38" spans="1:24" ht="51" x14ac:dyDescent="0.2">
      <c r="A38" s="45" t="s">
        <v>150</v>
      </c>
      <c r="B38" s="46" t="s">
        <v>37</v>
      </c>
      <c r="C38" s="46"/>
      <c r="D38" s="46" t="s">
        <v>25</v>
      </c>
      <c r="E38" s="46" t="s">
        <v>38</v>
      </c>
      <c r="F38" s="46" t="s">
        <v>32</v>
      </c>
      <c r="G38" s="46">
        <v>2020</v>
      </c>
      <c r="H38" s="46" t="s">
        <v>27</v>
      </c>
      <c r="I38" s="46" t="s">
        <v>27</v>
      </c>
      <c r="J38" s="46" t="s">
        <v>27</v>
      </c>
      <c r="K38" s="46" t="s">
        <v>27</v>
      </c>
      <c r="L38" s="46" t="s">
        <v>27</v>
      </c>
      <c r="M38" s="46" t="s">
        <v>27</v>
      </c>
      <c r="N38" s="46" t="s">
        <v>27</v>
      </c>
      <c r="O38" s="46">
        <v>2021</v>
      </c>
      <c r="P38" s="46" t="s">
        <v>28</v>
      </c>
      <c r="Q38" s="46" t="s">
        <v>39</v>
      </c>
      <c r="R38" s="46"/>
      <c r="S38" s="46" t="s">
        <v>28</v>
      </c>
      <c r="T38" s="46" t="s">
        <v>25</v>
      </c>
      <c r="U38" s="46"/>
      <c r="V38" s="46"/>
      <c r="W38" s="46"/>
      <c r="X38" s="46" t="s">
        <v>25</v>
      </c>
    </row>
    <row r="39" spans="1:24" ht="63.75" x14ac:dyDescent="0.2">
      <c r="A39" s="45" t="s">
        <v>135</v>
      </c>
      <c r="B39" s="46" t="s">
        <v>42</v>
      </c>
      <c r="C39" s="46" t="s">
        <v>35</v>
      </c>
      <c r="D39" s="46" t="s">
        <v>25</v>
      </c>
      <c r="E39" s="46" t="s">
        <v>66</v>
      </c>
      <c r="F39" s="46">
        <v>2021</v>
      </c>
      <c r="G39" s="46">
        <v>2021</v>
      </c>
      <c r="H39" s="46" t="s">
        <v>27</v>
      </c>
      <c r="I39" s="46" t="s">
        <v>27</v>
      </c>
      <c r="J39" s="46" t="s">
        <v>27</v>
      </c>
      <c r="K39" s="46" t="s">
        <v>27</v>
      </c>
      <c r="L39" s="46" t="s">
        <v>27</v>
      </c>
      <c r="M39" s="46">
        <v>2021</v>
      </c>
      <c r="N39" s="46">
        <v>2019</v>
      </c>
      <c r="O39" s="46"/>
      <c r="P39" s="46" t="s">
        <v>28</v>
      </c>
      <c r="Q39" s="46" t="s">
        <v>67</v>
      </c>
      <c r="R39" s="46"/>
      <c r="S39" s="46" t="s">
        <v>28</v>
      </c>
      <c r="T39" s="46" t="s">
        <v>25</v>
      </c>
      <c r="U39" s="46"/>
      <c r="V39" s="46"/>
      <c r="W39" s="46"/>
      <c r="X39" s="46" t="s">
        <v>25</v>
      </c>
    </row>
    <row r="40" spans="1:24" ht="63.75" x14ac:dyDescent="0.2">
      <c r="A40" s="45" t="s">
        <v>137</v>
      </c>
      <c r="B40" s="46" t="s">
        <v>37</v>
      </c>
      <c r="C40" s="46"/>
      <c r="D40" s="46" t="s">
        <v>25</v>
      </c>
      <c r="E40" s="46" t="s">
        <v>66</v>
      </c>
      <c r="F40" s="46">
        <v>2021</v>
      </c>
      <c r="G40" s="46">
        <v>2021</v>
      </c>
      <c r="H40" s="46" t="s">
        <v>27</v>
      </c>
      <c r="I40" s="46" t="s">
        <v>27</v>
      </c>
      <c r="J40" s="46" t="s">
        <v>27</v>
      </c>
      <c r="K40" s="46" t="s">
        <v>27</v>
      </c>
      <c r="L40" s="46" t="s">
        <v>27</v>
      </c>
      <c r="M40" s="46">
        <v>2019</v>
      </c>
      <c r="N40" s="46" t="s">
        <v>27</v>
      </c>
      <c r="O40" s="46"/>
      <c r="P40" s="46" t="s">
        <v>28</v>
      </c>
      <c r="Q40" s="46" t="s">
        <v>67</v>
      </c>
      <c r="R40" s="46"/>
      <c r="S40" s="46" t="s">
        <v>28</v>
      </c>
      <c r="T40" s="46" t="s">
        <v>28</v>
      </c>
      <c r="U40" s="46" t="s">
        <v>13303</v>
      </c>
      <c r="V40" s="46" t="s">
        <v>68</v>
      </c>
      <c r="W40" s="46" t="s">
        <v>51</v>
      </c>
      <c r="X40" s="46" t="s">
        <v>25</v>
      </c>
    </row>
    <row r="41" spans="1:24" ht="38.25" x14ac:dyDescent="0.2">
      <c r="A41" s="45" t="s">
        <v>142</v>
      </c>
      <c r="B41" s="46" t="s">
        <v>42</v>
      </c>
      <c r="C41" s="46" t="s">
        <v>24</v>
      </c>
      <c r="D41" s="46" t="s">
        <v>25</v>
      </c>
      <c r="E41" s="46" t="s">
        <v>86</v>
      </c>
      <c r="F41" s="46" t="s">
        <v>32</v>
      </c>
      <c r="G41" s="46" t="s">
        <v>32</v>
      </c>
      <c r="H41" s="46" t="s">
        <v>32</v>
      </c>
      <c r="I41" s="46" t="s">
        <v>32</v>
      </c>
      <c r="J41" s="46" t="s">
        <v>32</v>
      </c>
      <c r="K41" s="46" t="s">
        <v>32</v>
      </c>
      <c r="L41" s="46" t="s">
        <v>32</v>
      </c>
      <c r="M41" s="46" t="s">
        <v>32</v>
      </c>
      <c r="N41" s="46" t="s">
        <v>32</v>
      </c>
      <c r="O41" s="46"/>
      <c r="P41" s="46" t="s">
        <v>28</v>
      </c>
      <c r="Q41" s="46" t="s">
        <v>33</v>
      </c>
      <c r="R41" s="46"/>
      <c r="S41" s="46" t="s">
        <v>25</v>
      </c>
      <c r="T41" s="46" t="s">
        <v>25</v>
      </c>
      <c r="U41" s="46"/>
      <c r="V41" s="46"/>
      <c r="W41" s="46"/>
      <c r="X41" s="46" t="s">
        <v>28</v>
      </c>
    </row>
    <row r="42" spans="1:24" ht="38.25" x14ac:dyDescent="0.2">
      <c r="A42" s="45" t="s">
        <v>161</v>
      </c>
      <c r="B42" s="46" t="s">
        <v>23</v>
      </c>
      <c r="C42" s="46" t="s">
        <v>35</v>
      </c>
      <c r="D42" s="46" t="s">
        <v>25</v>
      </c>
      <c r="E42" s="46" t="s">
        <v>111</v>
      </c>
      <c r="F42" s="46">
        <v>2021</v>
      </c>
      <c r="G42" s="46">
        <v>2020</v>
      </c>
      <c r="H42" s="46">
        <v>2019</v>
      </c>
      <c r="I42" s="46" t="s">
        <v>32</v>
      </c>
      <c r="J42" s="46" t="s">
        <v>27</v>
      </c>
      <c r="K42" s="46" t="s">
        <v>27</v>
      </c>
      <c r="L42" s="46" t="s">
        <v>27</v>
      </c>
      <c r="M42" s="46">
        <v>2021</v>
      </c>
      <c r="N42" s="46" t="s">
        <v>27</v>
      </c>
      <c r="O42" s="46"/>
      <c r="P42" s="46" t="s">
        <v>28</v>
      </c>
      <c r="Q42" s="46" t="s">
        <v>112</v>
      </c>
      <c r="R42" s="46"/>
      <c r="S42" s="46" t="s">
        <v>25</v>
      </c>
      <c r="T42" s="46" t="s">
        <v>28</v>
      </c>
      <c r="U42" s="46" t="s">
        <v>13303</v>
      </c>
      <c r="V42" s="46" t="s">
        <v>113</v>
      </c>
      <c r="W42" s="46" t="s">
        <v>51</v>
      </c>
      <c r="X42" s="46" t="s">
        <v>25</v>
      </c>
    </row>
    <row r="43" spans="1:24" ht="12.75" x14ac:dyDescent="0.2">
      <c r="A43" s="45" t="s">
        <v>163</v>
      </c>
      <c r="B43" s="46" t="s">
        <v>37</v>
      </c>
      <c r="C43" s="46"/>
      <c r="D43" s="46" t="s">
        <v>25</v>
      </c>
      <c r="E43" s="46" t="s">
        <v>91</v>
      </c>
      <c r="F43" s="46" t="s">
        <v>32</v>
      </c>
      <c r="G43" s="46" t="s">
        <v>32</v>
      </c>
      <c r="H43" s="46" t="s">
        <v>32</v>
      </c>
      <c r="I43" s="46" t="s">
        <v>32</v>
      </c>
      <c r="J43" s="46" t="s">
        <v>32</v>
      </c>
      <c r="K43" s="46" t="s">
        <v>32</v>
      </c>
      <c r="L43" s="46" t="s">
        <v>32</v>
      </c>
      <c r="M43" s="46">
        <v>2021</v>
      </c>
      <c r="N43" s="46" t="s">
        <v>32</v>
      </c>
      <c r="O43" s="46"/>
      <c r="P43" s="46" t="s">
        <v>25</v>
      </c>
      <c r="Q43" s="46"/>
      <c r="R43" s="46"/>
      <c r="S43" s="46" t="s">
        <v>28</v>
      </c>
      <c r="T43" s="46" t="s">
        <v>28</v>
      </c>
      <c r="U43" s="46" t="s">
        <v>56</v>
      </c>
      <c r="V43" s="46"/>
      <c r="W43" s="46" t="s">
        <v>57</v>
      </c>
      <c r="X43" s="46" t="s">
        <v>25</v>
      </c>
    </row>
    <row r="44" spans="1:24" ht="12.75" x14ac:dyDescent="0.2">
      <c r="A44" s="45" t="s">
        <v>165</v>
      </c>
      <c r="B44" s="46" t="s">
        <v>37</v>
      </c>
      <c r="C44" s="46"/>
      <c r="D44" s="46" t="s">
        <v>25</v>
      </c>
      <c r="E44" s="46" t="s">
        <v>77</v>
      </c>
      <c r="F44" s="46">
        <v>2019</v>
      </c>
      <c r="G44" s="46">
        <v>2020</v>
      </c>
      <c r="H44" s="46" t="s">
        <v>32</v>
      </c>
      <c r="I44" s="46" t="s">
        <v>32</v>
      </c>
      <c r="J44" s="46" t="s">
        <v>32</v>
      </c>
      <c r="K44" s="46" t="s">
        <v>32</v>
      </c>
      <c r="L44" s="46" t="s">
        <v>32</v>
      </c>
      <c r="M44" s="46" t="s">
        <v>32</v>
      </c>
      <c r="N44" s="46">
        <v>2020</v>
      </c>
      <c r="O44" s="46"/>
      <c r="P44" s="46" t="s">
        <v>25</v>
      </c>
      <c r="Q44" s="46"/>
      <c r="R44" s="46"/>
      <c r="S44" s="46" t="s">
        <v>28</v>
      </c>
      <c r="T44" s="46" t="s">
        <v>25</v>
      </c>
      <c r="U44" s="46"/>
      <c r="V44" s="46"/>
      <c r="W44" s="46"/>
      <c r="X44" s="46" t="s">
        <v>25</v>
      </c>
    </row>
    <row r="45" spans="1:24" ht="38.25" x14ac:dyDescent="0.2">
      <c r="A45" s="45" t="s">
        <v>129</v>
      </c>
      <c r="B45" s="46" t="s">
        <v>42</v>
      </c>
      <c r="C45" s="46" t="s">
        <v>35</v>
      </c>
      <c r="D45" s="46" t="s">
        <v>25</v>
      </c>
      <c r="E45" s="46" t="s">
        <v>54</v>
      </c>
      <c r="F45" s="46">
        <v>2020</v>
      </c>
      <c r="G45" s="46">
        <v>2020</v>
      </c>
      <c r="H45" s="46">
        <v>2020</v>
      </c>
      <c r="I45" s="46">
        <v>2020</v>
      </c>
      <c r="J45" s="46">
        <v>2019</v>
      </c>
      <c r="K45" s="46"/>
      <c r="L45" s="46"/>
      <c r="M45" s="46"/>
      <c r="N45" s="46" t="s">
        <v>27</v>
      </c>
      <c r="O45" s="46"/>
      <c r="P45" s="46" t="s">
        <v>28</v>
      </c>
      <c r="Q45" s="46" t="s">
        <v>55</v>
      </c>
      <c r="R45" s="46" t="s">
        <v>30</v>
      </c>
      <c r="S45" s="46" t="s">
        <v>28</v>
      </c>
      <c r="T45" s="46" t="s">
        <v>28</v>
      </c>
      <c r="U45" s="46" t="s">
        <v>56</v>
      </c>
      <c r="V45" s="46"/>
      <c r="W45" s="46" t="s">
        <v>57</v>
      </c>
      <c r="X45" s="46" t="s">
        <v>25</v>
      </c>
    </row>
    <row r="46" spans="1:24" ht="12.75" x14ac:dyDescent="0.2">
      <c r="A46" s="45" t="s">
        <v>153</v>
      </c>
      <c r="B46" s="46" t="s">
        <v>23</v>
      </c>
      <c r="C46" s="46" t="s">
        <v>72</v>
      </c>
      <c r="D46" s="46" t="s">
        <v>25</v>
      </c>
      <c r="E46" s="46"/>
      <c r="F46" s="46" t="s">
        <v>32</v>
      </c>
      <c r="G46" s="46" t="s">
        <v>32</v>
      </c>
      <c r="H46" s="46" t="s">
        <v>32</v>
      </c>
      <c r="I46" s="46" t="s">
        <v>32</v>
      </c>
      <c r="J46" s="46" t="s">
        <v>32</v>
      </c>
      <c r="K46" s="46" t="s">
        <v>32</v>
      </c>
      <c r="L46" s="46" t="s">
        <v>32</v>
      </c>
      <c r="M46" s="46" t="s">
        <v>32</v>
      </c>
      <c r="N46" s="46" t="s">
        <v>32</v>
      </c>
      <c r="O46" s="46"/>
      <c r="P46" s="46" t="s">
        <v>28</v>
      </c>
      <c r="Q46" s="46" t="s">
        <v>70</v>
      </c>
      <c r="R46" s="46"/>
      <c r="S46" s="46" t="s">
        <v>25</v>
      </c>
      <c r="T46" s="46" t="s">
        <v>25</v>
      </c>
      <c r="U46" s="46"/>
      <c r="V46" s="46"/>
      <c r="W46" s="46"/>
      <c r="X46" s="46" t="s">
        <v>49</v>
      </c>
    </row>
    <row r="47" spans="1:24" ht="63.75" x14ac:dyDescent="0.2">
      <c r="A47" s="45" t="s">
        <v>164</v>
      </c>
      <c r="B47" s="46" t="s">
        <v>42</v>
      </c>
      <c r="C47" s="46" t="s">
        <v>35</v>
      </c>
      <c r="D47" s="46" t="s">
        <v>25</v>
      </c>
      <c r="E47" s="46" t="s">
        <v>48</v>
      </c>
      <c r="F47" s="46"/>
      <c r="G47" s="46">
        <v>2021</v>
      </c>
      <c r="H47" s="46"/>
      <c r="I47" s="46"/>
      <c r="J47" s="46"/>
      <c r="K47" s="46"/>
      <c r="L47" s="46"/>
      <c r="M47" s="46"/>
      <c r="N47" s="46"/>
      <c r="O47" s="46">
        <v>2021</v>
      </c>
      <c r="P47" s="46" t="s">
        <v>25</v>
      </c>
      <c r="Q47" s="46"/>
      <c r="R47" s="46"/>
      <c r="S47" s="46" t="s">
        <v>28</v>
      </c>
      <c r="T47" s="46" t="s">
        <v>28</v>
      </c>
      <c r="U47" s="46" t="s">
        <v>98</v>
      </c>
      <c r="V47" s="46"/>
      <c r="W47" s="46" t="s">
        <v>95</v>
      </c>
      <c r="X47" s="46" t="s">
        <v>25</v>
      </c>
    </row>
    <row r="48" spans="1:24" ht="38.25" x14ac:dyDescent="0.2">
      <c r="A48" s="45" t="s">
        <v>155</v>
      </c>
      <c r="B48" s="46" t="s">
        <v>42</v>
      </c>
      <c r="C48" s="46" t="s">
        <v>35</v>
      </c>
      <c r="D48" s="46" t="s">
        <v>25</v>
      </c>
      <c r="E48" s="46" t="s">
        <v>54</v>
      </c>
      <c r="F48" s="46">
        <v>2021</v>
      </c>
      <c r="G48" s="46">
        <v>2021</v>
      </c>
      <c r="H48" s="46">
        <v>2020</v>
      </c>
      <c r="I48" s="46" t="s">
        <v>27</v>
      </c>
      <c r="J48" s="46" t="s">
        <v>27</v>
      </c>
      <c r="K48" s="46" t="s">
        <v>32</v>
      </c>
      <c r="L48" s="46">
        <v>2020</v>
      </c>
      <c r="M48" s="46" t="s">
        <v>32</v>
      </c>
      <c r="N48" s="46">
        <v>2021</v>
      </c>
      <c r="O48" s="46"/>
      <c r="P48" s="46" t="s">
        <v>28</v>
      </c>
      <c r="Q48" s="46" t="s">
        <v>69</v>
      </c>
      <c r="R48" s="46"/>
      <c r="S48" s="46" t="s">
        <v>25</v>
      </c>
      <c r="T48" s="46" t="s">
        <v>25</v>
      </c>
      <c r="U48" s="46"/>
      <c r="V48" s="46"/>
      <c r="W48" s="46"/>
      <c r="X48" s="46" t="s">
        <v>49</v>
      </c>
    </row>
    <row r="49" spans="1:24" ht="38.25" x14ac:dyDescent="0.2">
      <c r="A49" s="45" t="s">
        <v>128</v>
      </c>
      <c r="B49" s="46" t="s">
        <v>23</v>
      </c>
      <c r="C49" s="46" t="s">
        <v>24</v>
      </c>
      <c r="D49" s="46" t="s">
        <v>25</v>
      </c>
      <c r="E49" s="46" t="s">
        <v>54</v>
      </c>
      <c r="F49" s="46" t="s">
        <v>27</v>
      </c>
      <c r="G49" s="46" t="s">
        <v>27</v>
      </c>
      <c r="H49" s="46" t="s">
        <v>27</v>
      </c>
      <c r="I49" s="46" t="s">
        <v>27</v>
      </c>
      <c r="J49" s="46" t="s">
        <v>27</v>
      </c>
      <c r="K49" s="46" t="s">
        <v>27</v>
      </c>
      <c r="L49" s="46" t="s">
        <v>27</v>
      </c>
      <c r="M49" s="46" t="s">
        <v>27</v>
      </c>
      <c r="N49" s="46" t="s">
        <v>27</v>
      </c>
      <c r="O49" s="46"/>
      <c r="P49" s="46" t="s">
        <v>25</v>
      </c>
      <c r="Q49" s="46"/>
      <c r="R49" s="46"/>
      <c r="S49" s="46" t="s">
        <v>25</v>
      </c>
      <c r="T49" s="46" t="s">
        <v>25</v>
      </c>
      <c r="U49" s="46"/>
      <c r="V49" s="46"/>
      <c r="W49" s="46"/>
      <c r="X49" s="46" t="s">
        <v>25</v>
      </c>
    </row>
    <row r="50" spans="1:24" ht="38.25" x14ac:dyDescent="0.2">
      <c r="A50" s="45" t="s">
        <v>126</v>
      </c>
      <c r="B50" s="46" t="s">
        <v>37</v>
      </c>
      <c r="C50" s="46"/>
      <c r="D50" s="46" t="s">
        <v>25</v>
      </c>
      <c r="E50" s="46" t="s">
        <v>54</v>
      </c>
      <c r="F50" s="46"/>
      <c r="G50" s="46">
        <v>2021</v>
      </c>
      <c r="H50" s="46" t="s">
        <v>27</v>
      </c>
      <c r="I50" s="46" t="s">
        <v>27</v>
      </c>
      <c r="J50" s="46" t="s">
        <v>27</v>
      </c>
      <c r="K50" s="46" t="s">
        <v>27</v>
      </c>
      <c r="L50" s="46" t="s">
        <v>27</v>
      </c>
      <c r="M50" s="46" t="s">
        <v>27</v>
      </c>
      <c r="N50" s="46" t="s">
        <v>27</v>
      </c>
      <c r="O50" s="46"/>
      <c r="P50" s="46" t="s">
        <v>25</v>
      </c>
      <c r="Q50" s="46"/>
      <c r="R50" s="46"/>
      <c r="S50" s="46" t="s">
        <v>28</v>
      </c>
      <c r="T50" s="46" t="s">
        <v>25</v>
      </c>
      <c r="U50" s="46"/>
      <c r="V50" s="46"/>
      <c r="W50" s="46"/>
      <c r="X50" s="46" t="s">
        <v>25</v>
      </c>
    </row>
    <row r="51" spans="1:24" ht="25.5" x14ac:dyDescent="0.2">
      <c r="A51" s="45" t="s">
        <v>130</v>
      </c>
      <c r="B51" s="46" t="s">
        <v>34</v>
      </c>
      <c r="C51" s="46" t="s">
        <v>45</v>
      </c>
      <c r="D51" s="46" t="s">
        <v>25</v>
      </c>
      <c r="E51" s="46" t="s">
        <v>46</v>
      </c>
      <c r="F51" s="46" t="s">
        <v>27</v>
      </c>
      <c r="G51" s="46" t="s">
        <v>27</v>
      </c>
      <c r="H51" s="46" t="s">
        <v>27</v>
      </c>
      <c r="I51" s="46" t="s">
        <v>27</v>
      </c>
      <c r="J51" s="46" t="s">
        <v>27</v>
      </c>
      <c r="K51" s="46" t="s">
        <v>27</v>
      </c>
      <c r="L51" s="46" t="s">
        <v>27</v>
      </c>
      <c r="M51" s="46" t="s">
        <v>27</v>
      </c>
      <c r="N51" s="46" t="s">
        <v>27</v>
      </c>
      <c r="O51" s="46"/>
      <c r="P51" s="46" t="s">
        <v>25</v>
      </c>
      <c r="Q51" s="46"/>
      <c r="R51" s="46"/>
      <c r="S51" s="46" t="s">
        <v>25</v>
      </c>
      <c r="T51" s="46" t="s">
        <v>25</v>
      </c>
      <c r="U51" s="46"/>
      <c r="V51" s="46"/>
      <c r="W51" s="46"/>
      <c r="X51" s="46" t="s">
        <v>28</v>
      </c>
    </row>
    <row r="52" spans="1:24" ht="38.25" x14ac:dyDescent="0.2">
      <c r="A52" s="45" t="s">
        <v>173</v>
      </c>
      <c r="B52" s="46" t="s">
        <v>42</v>
      </c>
      <c r="C52" s="46" t="s">
        <v>35</v>
      </c>
      <c r="D52" s="46" t="s">
        <v>25</v>
      </c>
      <c r="E52" s="46" t="s">
        <v>109</v>
      </c>
      <c r="F52" s="46">
        <v>2020</v>
      </c>
      <c r="G52" s="46">
        <v>2020</v>
      </c>
      <c r="H52" s="46" t="s">
        <v>27</v>
      </c>
      <c r="I52" s="46" t="s">
        <v>27</v>
      </c>
      <c r="J52" s="46" t="s">
        <v>27</v>
      </c>
      <c r="K52" s="46" t="s">
        <v>27</v>
      </c>
      <c r="L52" s="46" t="s">
        <v>27</v>
      </c>
      <c r="M52" s="46" t="s">
        <v>27</v>
      </c>
      <c r="N52" s="46" t="s">
        <v>27</v>
      </c>
      <c r="O52" s="46"/>
      <c r="P52" s="46" t="s">
        <v>25</v>
      </c>
      <c r="Q52" s="46"/>
      <c r="R52" s="46"/>
      <c r="S52" s="46" t="s">
        <v>28</v>
      </c>
      <c r="T52" s="46" t="s">
        <v>28</v>
      </c>
      <c r="U52" s="46" t="s">
        <v>98</v>
      </c>
      <c r="V52" s="46"/>
      <c r="W52" s="46" t="s">
        <v>57</v>
      </c>
      <c r="X52" s="46" t="s">
        <v>25</v>
      </c>
    </row>
    <row r="53" spans="1:24" ht="38.25" x14ac:dyDescent="0.2">
      <c r="A53" s="45" t="s">
        <v>178</v>
      </c>
      <c r="B53" s="46" t="s">
        <v>31</v>
      </c>
      <c r="C53" s="46"/>
      <c r="D53" s="46" t="s">
        <v>25</v>
      </c>
      <c r="E53" s="46" t="s">
        <v>62</v>
      </c>
      <c r="F53" s="46" t="s">
        <v>32</v>
      </c>
      <c r="G53" s="46" t="s">
        <v>32</v>
      </c>
      <c r="H53" s="46" t="s">
        <v>32</v>
      </c>
      <c r="I53" s="46" t="s">
        <v>32</v>
      </c>
      <c r="J53" s="46" t="s">
        <v>32</v>
      </c>
      <c r="K53" s="46">
        <v>2021</v>
      </c>
      <c r="L53" s="46">
        <v>2021</v>
      </c>
      <c r="M53" s="46" t="s">
        <v>32</v>
      </c>
      <c r="N53" s="46" t="s">
        <v>32</v>
      </c>
      <c r="O53" s="46"/>
      <c r="P53" s="46" t="s">
        <v>25</v>
      </c>
      <c r="Q53" s="46"/>
      <c r="R53" s="46"/>
      <c r="S53" s="46" t="s">
        <v>25</v>
      </c>
      <c r="T53" s="46" t="s">
        <v>28</v>
      </c>
      <c r="U53" s="46" t="s">
        <v>63</v>
      </c>
      <c r="V53" s="46" t="s">
        <v>64</v>
      </c>
      <c r="W53" s="46" t="s">
        <v>51</v>
      </c>
      <c r="X53" s="46" t="s">
        <v>25</v>
      </c>
    </row>
    <row r="54" spans="1:24" ht="25.5" x14ac:dyDescent="0.2">
      <c r="A54" s="45" t="s">
        <v>151</v>
      </c>
      <c r="B54" s="46" t="s">
        <v>31</v>
      </c>
      <c r="C54" s="46"/>
      <c r="D54" s="46" t="s">
        <v>25</v>
      </c>
      <c r="E54" s="46" t="s">
        <v>46</v>
      </c>
      <c r="F54" s="46" t="s">
        <v>32</v>
      </c>
      <c r="G54" s="46" t="s">
        <v>32</v>
      </c>
      <c r="H54" s="46" t="s">
        <v>32</v>
      </c>
      <c r="I54" s="46" t="s">
        <v>32</v>
      </c>
      <c r="J54" s="46" t="s">
        <v>32</v>
      </c>
      <c r="K54" s="46" t="s">
        <v>32</v>
      </c>
      <c r="L54" s="46" t="s">
        <v>32</v>
      </c>
      <c r="M54" s="46" t="s">
        <v>32</v>
      </c>
      <c r="N54" s="46" t="s">
        <v>32</v>
      </c>
      <c r="O54" s="46"/>
      <c r="P54" s="46" t="s">
        <v>25</v>
      </c>
      <c r="Q54" s="46"/>
      <c r="R54" s="46"/>
      <c r="S54" s="46" t="s">
        <v>28</v>
      </c>
      <c r="T54" s="46" t="s">
        <v>25</v>
      </c>
      <c r="U54" s="46"/>
      <c r="V54" s="46"/>
      <c r="W54" s="46"/>
      <c r="X54" s="46" t="s">
        <v>25</v>
      </c>
    </row>
    <row r="55" spans="1:24" ht="38.25" x14ac:dyDescent="0.2">
      <c r="A55" s="45" t="s">
        <v>172</v>
      </c>
      <c r="B55" s="46" t="s">
        <v>37</v>
      </c>
      <c r="C55" s="46"/>
      <c r="D55" s="46" t="s">
        <v>25</v>
      </c>
      <c r="E55" s="46" t="s">
        <v>96</v>
      </c>
      <c r="F55" s="46"/>
      <c r="G55" s="46"/>
      <c r="H55" s="46"/>
      <c r="I55" s="46"/>
      <c r="J55" s="46"/>
      <c r="K55" s="46"/>
      <c r="L55" s="46"/>
      <c r="M55" s="46"/>
      <c r="N55" s="46"/>
      <c r="O55" s="46"/>
      <c r="P55" s="46" t="s">
        <v>28</v>
      </c>
      <c r="Q55" s="46" t="s">
        <v>97</v>
      </c>
      <c r="R55" s="46"/>
      <c r="S55" s="46" t="s">
        <v>25</v>
      </c>
      <c r="T55" s="46" t="s">
        <v>28</v>
      </c>
      <c r="U55" s="46" t="s">
        <v>13306</v>
      </c>
      <c r="V55" s="46"/>
      <c r="W55" s="46" t="s">
        <v>51</v>
      </c>
      <c r="X55" s="46" t="s">
        <v>49</v>
      </c>
    </row>
    <row r="56" spans="1:24" ht="25.5" x14ac:dyDescent="0.2">
      <c r="A56" s="45" t="s">
        <v>119</v>
      </c>
      <c r="B56" s="46" t="s">
        <v>31</v>
      </c>
      <c r="C56" s="46"/>
      <c r="D56" s="46" t="s">
        <v>25</v>
      </c>
      <c r="E56" s="46" t="s">
        <v>50</v>
      </c>
      <c r="F56" s="46">
        <v>2019</v>
      </c>
      <c r="G56" s="46">
        <v>2019</v>
      </c>
      <c r="H56" s="46" t="s">
        <v>27</v>
      </c>
      <c r="I56" s="46" t="s">
        <v>27</v>
      </c>
      <c r="J56" s="46" t="s">
        <v>27</v>
      </c>
      <c r="K56" s="46" t="s">
        <v>27</v>
      </c>
      <c r="L56" s="46" t="s">
        <v>27</v>
      </c>
      <c r="M56" s="46" t="s">
        <v>27</v>
      </c>
      <c r="N56" s="46" t="s">
        <v>27</v>
      </c>
      <c r="O56" s="46"/>
      <c r="P56" s="46" t="s">
        <v>25</v>
      </c>
      <c r="Q56" s="46"/>
      <c r="R56" s="46"/>
      <c r="S56" s="46" t="s">
        <v>28</v>
      </c>
      <c r="T56" s="46" t="s">
        <v>25</v>
      </c>
      <c r="U56" s="46"/>
      <c r="V56" s="46"/>
      <c r="W56" s="46"/>
      <c r="X56" s="46" t="s">
        <v>25</v>
      </c>
    </row>
    <row r="57" spans="1:24" ht="51" x14ac:dyDescent="0.2">
      <c r="A57" s="45" t="s">
        <v>146</v>
      </c>
      <c r="B57" s="46" t="s">
        <v>23</v>
      </c>
      <c r="C57" s="46" t="s">
        <v>24</v>
      </c>
      <c r="D57" s="46" t="s">
        <v>25</v>
      </c>
      <c r="E57" s="46" t="s">
        <v>107</v>
      </c>
      <c r="F57" s="46">
        <v>2019</v>
      </c>
      <c r="G57" s="46">
        <v>2019</v>
      </c>
      <c r="H57" s="46">
        <v>2019</v>
      </c>
      <c r="I57" s="46">
        <v>2019</v>
      </c>
      <c r="J57" s="46">
        <v>2019</v>
      </c>
      <c r="K57" s="46">
        <v>2019</v>
      </c>
      <c r="L57" s="46">
        <v>2019</v>
      </c>
      <c r="M57" s="46">
        <v>2019</v>
      </c>
      <c r="N57" s="46">
        <v>2019</v>
      </c>
      <c r="O57" s="46"/>
      <c r="P57" s="46" t="s">
        <v>25</v>
      </c>
      <c r="Q57" s="46"/>
      <c r="R57" s="46"/>
      <c r="S57" s="46" t="s">
        <v>28</v>
      </c>
      <c r="T57" s="46" t="s">
        <v>28</v>
      </c>
      <c r="U57" s="46" t="s">
        <v>13306</v>
      </c>
      <c r="V57" s="46"/>
      <c r="W57" s="46" t="s">
        <v>57</v>
      </c>
      <c r="X57" s="46" t="s">
        <v>25</v>
      </c>
    </row>
    <row r="58" spans="1:24" ht="38.25" x14ac:dyDescent="0.2">
      <c r="A58" s="45" t="s">
        <v>149</v>
      </c>
      <c r="B58" s="46" t="s">
        <v>23</v>
      </c>
      <c r="C58" s="46" t="s">
        <v>35</v>
      </c>
      <c r="D58" s="46" t="s">
        <v>25</v>
      </c>
      <c r="E58" s="46" t="s">
        <v>102</v>
      </c>
      <c r="F58" s="46"/>
      <c r="G58" s="46">
        <v>2020</v>
      </c>
      <c r="H58" s="46" t="s">
        <v>27</v>
      </c>
      <c r="I58" s="46" t="s">
        <v>27</v>
      </c>
      <c r="J58" s="46">
        <v>2019</v>
      </c>
      <c r="K58" s="46" t="s">
        <v>32</v>
      </c>
      <c r="L58" s="46" t="s">
        <v>32</v>
      </c>
      <c r="M58" s="46" t="s">
        <v>27</v>
      </c>
      <c r="N58" s="46" t="s">
        <v>27</v>
      </c>
      <c r="O58" s="46" t="s">
        <v>32</v>
      </c>
      <c r="P58" s="46" t="s">
        <v>28</v>
      </c>
      <c r="Q58" s="46" t="s">
        <v>44</v>
      </c>
      <c r="R58" s="46"/>
      <c r="S58" s="46" t="s">
        <v>25</v>
      </c>
      <c r="T58" s="46" t="s">
        <v>25</v>
      </c>
      <c r="U58" s="46"/>
      <c r="V58" s="46"/>
      <c r="W58" s="46"/>
      <c r="X58" s="46" t="s">
        <v>28</v>
      </c>
    </row>
    <row r="59" spans="1:24" ht="38.25" x14ac:dyDescent="0.2">
      <c r="A59" s="45" t="s">
        <v>145</v>
      </c>
      <c r="B59" s="46" t="s">
        <v>23</v>
      </c>
      <c r="C59" s="46" t="s">
        <v>24</v>
      </c>
      <c r="D59" s="46" t="s">
        <v>25</v>
      </c>
      <c r="E59" s="46" t="s">
        <v>26</v>
      </c>
      <c r="F59" s="46">
        <v>2021</v>
      </c>
      <c r="G59" s="46" t="s">
        <v>27</v>
      </c>
      <c r="H59" s="46" t="s">
        <v>27</v>
      </c>
      <c r="I59" s="46" t="s">
        <v>27</v>
      </c>
      <c r="J59" s="46" t="s">
        <v>27</v>
      </c>
      <c r="K59" s="46" t="s">
        <v>27</v>
      </c>
      <c r="L59" s="46" t="s">
        <v>27</v>
      </c>
      <c r="M59" s="46" t="s">
        <v>27</v>
      </c>
      <c r="N59" s="46" t="s">
        <v>27</v>
      </c>
      <c r="O59" s="46"/>
      <c r="P59" s="46" t="s">
        <v>28</v>
      </c>
      <c r="Q59" s="46" t="s">
        <v>29</v>
      </c>
      <c r="R59" s="46" t="s">
        <v>30</v>
      </c>
      <c r="S59" s="46" t="s">
        <v>25</v>
      </c>
      <c r="T59" s="46" t="s">
        <v>25</v>
      </c>
      <c r="U59" s="46"/>
      <c r="V59" s="46"/>
      <c r="W59" s="46"/>
      <c r="X59" s="46" t="s">
        <v>25</v>
      </c>
    </row>
    <row r="60" spans="1:24" ht="63.75" x14ac:dyDescent="0.2">
      <c r="A60" s="45" t="s">
        <v>141</v>
      </c>
      <c r="B60" s="46" t="s">
        <v>23</v>
      </c>
      <c r="C60" s="46" t="s">
        <v>24</v>
      </c>
      <c r="D60" s="46" t="s">
        <v>25</v>
      </c>
      <c r="E60" s="46" t="s">
        <v>52</v>
      </c>
      <c r="F60" s="46" t="s">
        <v>27</v>
      </c>
      <c r="G60" s="46" t="s">
        <v>27</v>
      </c>
      <c r="H60" s="46" t="s">
        <v>27</v>
      </c>
      <c r="I60" s="46" t="s">
        <v>27</v>
      </c>
      <c r="J60" s="46" t="s">
        <v>27</v>
      </c>
      <c r="K60" s="46" t="s">
        <v>27</v>
      </c>
      <c r="L60" s="46" t="s">
        <v>27</v>
      </c>
      <c r="M60" s="46">
        <v>2020</v>
      </c>
      <c r="N60" s="46" t="s">
        <v>27</v>
      </c>
      <c r="O60" s="46"/>
      <c r="P60" s="46" t="s">
        <v>28</v>
      </c>
      <c r="Q60" s="46" t="s">
        <v>70</v>
      </c>
      <c r="R60" s="46"/>
      <c r="S60" s="46" t="s">
        <v>25</v>
      </c>
      <c r="T60" s="46" t="s">
        <v>25</v>
      </c>
      <c r="U60" s="46"/>
      <c r="V60" s="46"/>
      <c r="W60" s="46"/>
      <c r="X60" s="46" t="s">
        <v>25</v>
      </c>
    </row>
    <row r="61" spans="1:24" ht="38.25" x14ac:dyDescent="0.2">
      <c r="A61" s="45" t="s">
        <v>132</v>
      </c>
      <c r="B61" s="46" t="s">
        <v>42</v>
      </c>
      <c r="C61" s="46" t="s">
        <v>24</v>
      </c>
      <c r="D61" s="46" t="s">
        <v>25</v>
      </c>
      <c r="E61" s="46" t="s">
        <v>108</v>
      </c>
      <c r="F61" s="46">
        <v>2019</v>
      </c>
      <c r="G61" s="46" t="s">
        <v>32</v>
      </c>
      <c r="H61" s="46" t="s">
        <v>27</v>
      </c>
      <c r="I61" s="46" t="s">
        <v>27</v>
      </c>
      <c r="J61" s="46" t="s">
        <v>27</v>
      </c>
      <c r="K61" s="46" t="s">
        <v>27</v>
      </c>
      <c r="L61" s="46" t="s">
        <v>27</v>
      </c>
      <c r="M61" s="46" t="s">
        <v>27</v>
      </c>
      <c r="N61" s="46" t="s">
        <v>27</v>
      </c>
      <c r="O61" s="46"/>
      <c r="P61" s="46" t="s">
        <v>25</v>
      </c>
      <c r="Q61" s="46"/>
      <c r="R61" s="46"/>
      <c r="S61" s="46" t="s">
        <v>25</v>
      </c>
      <c r="T61" s="46" t="s">
        <v>28</v>
      </c>
      <c r="U61" s="46" t="s">
        <v>98</v>
      </c>
      <c r="V61" s="46"/>
      <c r="W61" s="46" t="s">
        <v>51</v>
      </c>
      <c r="X61" s="46" t="s">
        <v>25</v>
      </c>
    </row>
    <row r="62" spans="1:24" ht="25.5" x14ac:dyDescent="0.2">
      <c r="A62" s="45" t="s">
        <v>136</v>
      </c>
      <c r="B62" s="46" t="s">
        <v>34</v>
      </c>
      <c r="C62" s="46" t="s">
        <v>24</v>
      </c>
      <c r="D62" s="46" t="s">
        <v>25</v>
      </c>
      <c r="E62" s="46" t="s">
        <v>79</v>
      </c>
      <c r="F62" s="46" t="s">
        <v>27</v>
      </c>
      <c r="G62" s="46" t="s">
        <v>27</v>
      </c>
      <c r="H62" s="46" t="s">
        <v>27</v>
      </c>
      <c r="I62" s="46" t="s">
        <v>27</v>
      </c>
      <c r="J62" s="46" t="s">
        <v>27</v>
      </c>
      <c r="K62" s="46" t="s">
        <v>27</v>
      </c>
      <c r="L62" s="46" t="s">
        <v>27</v>
      </c>
      <c r="M62" s="46" t="s">
        <v>27</v>
      </c>
      <c r="N62" s="46" t="s">
        <v>27</v>
      </c>
      <c r="O62" s="46"/>
      <c r="P62" s="46" t="s">
        <v>25</v>
      </c>
      <c r="Q62" s="46"/>
      <c r="R62" s="46"/>
      <c r="S62" s="46" t="s">
        <v>25</v>
      </c>
      <c r="T62" s="46" t="s">
        <v>25</v>
      </c>
      <c r="U62" s="46"/>
      <c r="V62" s="46"/>
      <c r="W62" s="46"/>
      <c r="X62" s="46" t="s">
        <v>25</v>
      </c>
    </row>
    <row r="63" spans="1:24" ht="76.5" x14ac:dyDescent="0.2">
      <c r="A63" s="45" t="s">
        <v>177</v>
      </c>
      <c r="B63" s="46" t="s">
        <v>23</v>
      </c>
      <c r="C63" s="46" t="s">
        <v>104</v>
      </c>
      <c r="D63" s="46" t="s">
        <v>25</v>
      </c>
      <c r="E63" s="46" t="s">
        <v>60</v>
      </c>
      <c r="F63" s="46" t="s">
        <v>27</v>
      </c>
      <c r="G63" s="46" t="s">
        <v>27</v>
      </c>
      <c r="H63" s="46" t="s">
        <v>27</v>
      </c>
      <c r="I63" s="46" t="s">
        <v>27</v>
      </c>
      <c r="J63" s="46" t="s">
        <v>27</v>
      </c>
      <c r="K63" s="46" t="s">
        <v>27</v>
      </c>
      <c r="L63" s="46" t="s">
        <v>27</v>
      </c>
      <c r="M63" s="46" t="s">
        <v>27</v>
      </c>
      <c r="N63" s="46" t="s">
        <v>27</v>
      </c>
      <c r="O63" s="46"/>
      <c r="P63" s="46" t="s">
        <v>28</v>
      </c>
      <c r="Q63" s="46" t="s">
        <v>69</v>
      </c>
      <c r="R63" s="46"/>
      <c r="S63" s="46" t="s">
        <v>28</v>
      </c>
      <c r="T63" s="46" t="s">
        <v>25</v>
      </c>
      <c r="U63" s="46"/>
      <c r="V63" s="46"/>
      <c r="W63" s="46"/>
      <c r="X63" s="46" t="s">
        <v>25</v>
      </c>
    </row>
    <row r="64" spans="1:24" ht="76.5" x14ac:dyDescent="0.2">
      <c r="A64" s="45" t="s">
        <v>162</v>
      </c>
      <c r="B64" s="46" t="s">
        <v>23</v>
      </c>
      <c r="C64" s="46" t="s">
        <v>24</v>
      </c>
      <c r="D64" s="46" t="s">
        <v>25</v>
      </c>
      <c r="E64" s="46" t="s">
        <v>60</v>
      </c>
      <c r="F64" s="46">
        <v>2020</v>
      </c>
      <c r="G64" s="46">
        <v>2021</v>
      </c>
      <c r="H64" s="46" t="s">
        <v>32</v>
      </c>
      <c r="I64" s="46" t="s">
        <v>32</v>
      </c>
      <c r="J64" s="46" t="s">
        <v>32</v>
      </c>
      <c r="K64" s="46" t="s">
        <v>32</v>
      </c>
      <c r="L64" s="46" t="s">
        <v>32</v>
      </c>
      <c r="M64" s="46" t="s">
        <v>32</v>
      </c>
      <c r="N64" s="46" t="s">
        <v>32</v>
      </c>
      <c r="O64" s="46"/>
      <c r="P64" s="46" t="s">
        <v>28</v>
      </c>
      <c r="Q64" s="46" t="s">
        <v>55</v>
      </c>
      <c r="R64" s="46" t="s">
        <v>61</v>
      </c>
      <c r="S64" s="46" t="s">
        <v>28</v>
      </c>
      <c r="T64" s="46" t="s">
        <v>25</v>
      </c>
      <c r="U64" s="46"/>
      <c r="V64" s="46"/>
      <c r="W64" s="46"/>
      <c r="X64" s="46" t="s">
        <v>25</v>
      </c>
    </row>
    <row r="65" spans="1:24" ht="51" x14ac:dyDescent="0.2">
      <c r="A65" s="45" t="s">
        <v>148</v>
      </c>
      <c r="B65" s="46" t="s">
        <v>34</v>
      </c>
      <c r="C65" s="46" t="s">
        <v>35</v>
      </c>
      <c r="D65" s="46" t="s">
        <v>25</v>
      </c>
      <c r="E65" s="46" t="s">
        <v>36</v>
      </c>
      <c r="F65" s="46">
        <v>2020</v>
      </c>
      <c r="G65" s="46">
        <v>2020</v>
      </c>
      <c r="H65" s="46">
        <v>2020</v>
      </c>
      <c r="I65" s="46">
        <v>2020</v>
      </c>
      <c r="J65" s="46" t="s">
        <v>32</v>
      </c>
      <c r="K65" s="46" t="s">
        <v>32</v>
      </c>
      <c r="L65" s="46" t="s">
        <v>32</v>
      </c>
      <c r="M65" s="46">
        <v>2020</v>
      </c>
      <c r="N65" s="46" t="s">
        <v>32</v>
      </c>
      <c r="O65" s="46"/>
      <c r="P65" s="46" t="s">
        <v>25</v>
      </c>
      <c r="Q65" s="46"/>
      <c r="R65" s="46"/>
      <c r="S65" s="46" t="s">
        <v>28</v>
      </c>
      <c r="T65" s="46" t="s">
        <v>25</v>
      </c>
      <c r="U65" s="46"/>
      <c r="V65" s="46"/>
      <c r="W65" s="46"/>
      <c r="X65" s="46" t="s">
        <v>25</v>
      </c>
    </row>
    <row r="66" spans="1:24" ht="51" x14ac:dyDescent="0.2">
      <c r="A66" s="45" t="s">
        <v>167</v>
      </c>
      <c r="B66" s="46" t="s">
        <v>42</v>
      </c>
      <c r="C66" s="46" t="s">
        <v>24</v>
      </c>
      <c r="D66" s="46" t="s">
        <v>25</v>
      </c>
      <c r="E66" s="46" t="s">
        <v>43</v>
      </c>
      <c r="F66" s="46">
        <v>2021</v>
      </c>
      <c r="G66" s="46" t="s">
        <v>27</v>
      </c>
      <c r="H66" s="46" t="s">
        <v>27</v>
      </c>
      <c r="I66" s="46" t="s">
        <v>27</v>
      </c>
      <c r="J66" s="46">
        <v>2020</v>
      </c>
      <c r="K66" s="46" t="s">
        <v>27</v>
      </c>
      <c r="L66" s="46" t="s">
        <v>27</v>
      </c>
      <c r="M66" s="46" t="s">
        <v>27</v>
      </c>
      <c r="N66" s="46" t="s">
        <v>27</v>
      </c>
      <c r="O66" s="46"/>
      <c r="P66" s="46" t="s">
        <v>28</v>
      </c>
      <c r="Q66" s="46" t="s">
        <v>44</v>
      </c>
      <c r="R66" s="46"/>
      <c r="S66" s="46" t="s">
        <v>28</v>
      </c>
      <c r="T66" s="46" t="s">
        <v>25</v>
      </c>
      <c r="U66" s="46"/>
      <c r="V66" s="46"/>
      <c r="W66" s="46"/>
      <c r="X66" s="46" t="s">
        <v>25</v>
      </c>
    </row>
    <row r="67" spans="1:24" ht="12.75" x14ac:dyDescent="0.2">
      <c r="A67" s="71" t="s">
        <v>14025</v>
      </c>
      <c r="B67" s="72">
        <f>COUNTA(B3:B66)</f>
        <v>64</v>
      </c>
      <c r="C67" s="72">
        <f t="shared" ref="C67:X67" si="0">COUNTA(C3:C66)</f>
        <v>45</v>
      </c>
      <c r="D67" s="72">
        <f t="shared" si="0"/>
        <v>64</v>
      </c>
      <c r="E67" s="72">
        <f t="shared" si="0"/>
        <v>61</v>
      </c>
      <c r="F67" s="72">
        <f t="shared" si="0"/>
        <v>57</v>
      </c>
      <c r="G67" s="72">
        <f t="shared" si="0"/>
        <v>61</v>
      </c>
      <c r="H67" s="72">
        <f t="shared" si="0"/>
        <v>62</v>
      </c>
      <c r="I67" s="72">
        <f t="shared" si="0"/>
        <v>62</v>
      </c>
      <c r="J67" s="72">
        <f t="shared" si="0"/>
        <v>62</v>
      </c>
      <c r="K67" s="72">
        <f t="shared" si="0"/>
        <v>61</v>
      </c>
      <c r="L67" s="72">
        <f t="shared" si="0"/>
        <v>61</v>
      </c>
      <c r="M67" s="72">
        <f t="shared" si="0"/>
        <v>61</v>
      </c>
      <c r="N67" s="72">
        <f t="shared" si="0"/>
        <v>62</v>
      </c>
      <c r="O67" s="72">
        <f t="shared" si="0"/>
        <v>13</v>
      </c>
      <c r="P67" s="72">
        <f t="shared" si="0"/>
        <v>64</v>
      </c>
      <c r="Q67" s="72">
        <f t="shared" si="0"/>
        <v>36</v>
      </c>
      <c r="R67" s="72">
        <f t="shared" si="0"/>
        <v>10</v>
      </c>
      <c r="S67" s="72">
        <f t="shared" si="0"/>
        <v>64</v>
      </c>
      <c r="T67" s="72">
        <f t="shared" si="0"/>
        <v>64</v>
      </c>
      <c r="U67" s="72">
        <f t="shared" si="0"/>
        <v>17</v>
      </c>
      <c r="V67" s="72">
        <f t="shared" si="0"/>
        <v>7</v>
      </c>
      <c r="W67" s="72">
        <f t="shared" si="0"/>
        <v>17</v>
      </c>
      <c r="X67" s="72">
        <f t="shared" si="0"/>
        <v>64</v>
      </c>
    </row>
    <row r="68" spans="1:24" ht="12.75"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row>
    <row r="69" spans="1:24" ht="12.75" x14ac:dyDescent="0.2">
      <c r="A69" s="45"/>
      <c r="B69" s="46"/>
      <c r="C69" s="46"/>
      <c r="D69" s="46"/>
      <c r="E69" s="46"/>
      <c r="F69" s="46"/>
      <c r="G69" s="46"/>
      <c r="H69" s="46"/>
      <c r="I69" s="46"/>
      <c r="J69" s="46"/>
      <c r="K69" s="46"/>
      <c r="L69" s="46"/>
      <c r="M69" s="46"/>
      <c r="N69" s="46"/>
      <c r="O69" s="46"/>
      <c r="P69" s="46"/>
      <c r="Q69" s="46"/>
      <c r="R69" s="46"/>
      <c r="S69" s="46"/>
      <c r="T69" s="46"/>
      <c r="U69" s="46"/>
      <c r="V69" s="46"/>
      <c r="W69" s="46"/>
      <c r="X69" s="46"/>
    </row>
    <row r="70" spans="1:24" ht="12.75" x14ac:dyDescent="0.2">
      <c r="A70" s="45"/>
      <c r="B70" s="46"/>
      <c r="C70" s="46"/>
      <c r="D70" s="46"/>
      <c r="E70" s="46"/>
      <c r="F70" s="46"/>
      <c r="G70" s="46"/>
      <c r="H70" s="46"/>
      <c r="I70" s="46"/>
      <c r="J70" s="46"/>
      <c r="K70" s="46"/>
      <c r="L70" s="46"/>
      <c r="M70" s="46"/>
      <c r="N70" s="46"/>
      <c r="O70" s="46"/>
      <c r="P70" s="46"/>
      <c r="Q70" s="46"/>
      <c r="R70" s="46"/>
      <c r="S70" s="46"/>
      <c r="T70" s="46"/>
      <c r="U70" s="46"/>
      <c r="V70" s="46"/>
      <c r="W70" s="46"/>
      <c r="X70" s="46"/>
    </row>
    <row r="71" spans="1:24" ht="12.75" x14ac:dyDescent="0.2">
      <c r="A71" s="45"/>
      <c r="B71" s="46"/>
      <c r="C71" s="46"/>
      <c r="D71" s="46"/>
      <c r="E71" s="46"/>
      <c r="F71" s="46"/>
      <c r="G71" s="46"/>
      <c r="H71" s="46"/>
      <c r="I71" s="46"/>
      <c r="J71" s="46"/>
      <c r="K71" s="46"/>
      <c r="L71" s="46"/>
      <c r="M71" s="46"/>
      <c r="N71" s="46"/>
      <c r="O71" s="46"/>
      <c r="P71" s="46"/>
      <c r="Q71" s="46"/>
      <c r="R71" s="46"/>
      <c r="S71" s="46"/>
      <c r="T71" s="46"/>
      <c r="U71" s="46"/>
      <c r="V71" s="46"/>
      <c r="W71" s="46"/>
      <c r="X71" s="46"/>
    </row>
    <row r="72" spans="1:24" ht="12.75" x14ac:dyDescent="0.2">
      <c r="A72" s="45"/>
      <c r="B72" s="46"/>
      <c r="C72" s="46"/>
      <c r="D72" s="46"/>
      <c r="E72" s="46"/>
      <c r="F72" s="46"/>
      <c r="G72" s="46"/>
      <c r="H72" s="46"/>
      <c r="I72" s="46"/>
      <c r="J72" s="46"/>
      <c r="K72" s="46"/>
      <c r="L72" s="46"/>
      <c r="M72" s="46"/>
      <c r="N72" s="46"/>
      <c r="O72" s="46"/>
      <c r="P72" s="46"/>
      <c r="Q72" s="46"/>
      <c r="R72" s="46"/>
      <c r="S72" s="46"/>
      <c r="T72" s="46"/>
      <c r="U72" s="46"/>
      <c r="V72" s="46"/>
      <c r="W72" s="46"/>
      <c r="X72" s="46"/>
    </row>
    <row r="73" spans="1:24" ht="12.75" x14ac:dyDescent="0.2">
      <c r="A73" s="45"/>
      <c r="B73" s="46"/>
      <c r="C73" s="46"/>
      <c r="D73" s="46"/>
      <c r="E73" s="46"/>
      <c r="F73" s="46"/>
      <c r="G73" s="46"/>
      <c r="H73" s="46"/>
      <c r="I73" s="46"/>
      <c r="J73" s="46"/>
      <c r="K73" s="46"/>
      <c r="L73" s="46"/>
      <c r="M73" s="46"/>
      <c r="N73" s="46"/>
      <c r="O73" s="46"/>
      <c r="P73" s="46"/>
      <c r="Q73" s="46"/>
      <c r="R73" s="46"/>
      <c r="S73" s="46"/>
      <c r="T73" s="46"/>
      <c r="U73" s="46"/>
      <c r="V73" s="46"/>
      <c r="W73" s="46"/>
      <c r="X73" s="46"/>
    </row>
    <row r="74" spans="1:24" ht="12.75" x14ac:dyDescent="0.2">
      <c r="A74" s="45"/>
      <c r="B74" s="46"/>
      <c r="C74" s="46"/>
      <c r="D74" s="46"/>
      <c r="E74" s="46"/>
      <c r="F74" s="46"/>
      <c r="G74" s="46"/>
      <c r="H74" s="46"/>
      <c r="I74" s="46"/>
      <c r="J74" s="46"/>
      <c r="K74" s="46"/>
      <c r="L74" s="46"/>
      <c r="M74" s="46"/>
      <c r="N74" s="46"/>
      <c r="O74" s="46"/>
      <c r="P74" s="46"/>
      <c r="Q74" s="46"/>
      <c r="R74" s="46"/>
      <c r="S74" s="46"/>
      <c r="T74" s="46"/>
      <c r="U74" s="46"/>
      <c r="V74" s="46"/>
      <c r="W74" s="46"/>
      <c r="X74" s="46"/>
    </row>
    <row r="75" spans="1:24" ht="12.75" x14ac:dyDescent="0.2">
      <c r="A75" s="45"/>
      <c r="B75" s="46"/>
      <c r="C75" s="46"/>
      <c r="D75" s="46"/>
      <c r="E75" s="46"/>
      <c r="F75" s="46"/>
      <c r="G75" s="46"/>
      <c r="H75" s="46"/>
      <c r="I75" s="46"/>
      <c r="J75" s="46"/>
      <c r="K75" s="46"/>
      <c r="L75" s="46"/>
      <c r="M75" s="46"/>
      <c r="N75" s="46"/>
      <c r="O75" s="46"/>
      <c r="P75" s="46"/>
      <c r="Q75" s="46"/>
      <c r="R75" s="46"/>
      <c r="S75" s="46"/>
      <c r="T75" s="46"/>
      <c r="U75" s="46"/>
      <c r="V75" s="46"/>
      <c r="W75" s="46"/>
      <c r="X75" s="46"/>
    </row>
    <row r="76" spans="1:24" ht="12.75" x14ac:dyDescent="0.2">
      <c r="A76" s="45"/>
      <c r="B76" s="46"/>
      <c r="C76" s="46"/>
      <c r="D76" s="46"/>
      <c r="E76" s="46"/>
      <c r="F76" s="46"/>
      <c r="G76" s="46"/>
      <c r="H76" s="46"/>
      <c r="I76" s="46"/>
      <c r="J76" s="46"/>
      <c r="K76" s="46"/>
      <c r="L76" s="46"/>
      <c r="M76" s="46"/>
      <c r="N76" s="46"/>
      <c r="O76" s="46"/>
      <c r="P76" s="46"/>
      <c r="Q76" s="46"/>
      <c r="R76" s="46"/>
      <c r="S76" s="46"/>
      <c r="T76" s="46"/>
      <c r="U76" s="46"/>
      <c r="V76" s="46"/>
      <c r="W76" s="46"/>
      <c r="X76" s="46"/>
    </row>
    <row r="77" spans="1:24" ht="12.75" x14ac:dyDescent="0.2">
      <c r="A77" s="45"/>
      <c r="B77" s="46"/>
      <c r="C77" s="46"/>
      <c r="D77" s="46"/>
      <c r="E77" s="46"/>
      <c r="F77" s="46"/>
      <c r="G77" s="46"/>
      <c r="H77" s="46"/>
      <c r="I77" s="46"/>
      <c r="J77" s="46"/>
      <c r="K77" s="46"/>
      <c r="L77" s="46"/>
      <c r="M77" s="46"/>
      <c r="N77" s="46"/>
      <c r="O77" s="46"/>
      <c r="P77" s="46"/>
      <c r="Q77" s="46"/>
      <c r="R77" s="46"/>
      <c r="S77" s="46"/>
      <c r="T77" s="46"/>
      <c r="U77" s="46"/>
      <c r="V77" s="46"/>
      <c r="W77" s="46"/>
      <c r="X77" s="46"/>
    </row>
    <row r="78" spans="1:24" ht="12.75" x14ac:dyDescent="0.2">
      <c r="A78" s="45"/>
      <c r="B78" s="46"/>
      <c r="C78" s="46"/>
      <c r="D78" s="46"/>
      <c r="E78" s="46"/>
      <c r="F78" s="46"/>
      <c r="G78" s="46"/>
      <c r="H78" s="46"/>
      <c r="I78" s="46"/>
      <c r="J78" s="46"/>
      <c r="K78" s="46"/>
      <c r="L78" s="46"/>
      <c r="M78" s="46"/>
      <c r="N78" s="46"/>
      <c r="O78" s="46"/>
      <c r="P78" s="46"/>
      <c r="Q78" s="46"/>
      <c r="R78" s="46"/>
      <c r="S78" s="46"/>
      <c r="T78" s="46"/>
      <c r="U78" s="46"/>
      <c r="V78" s="46"/>
      <c r="W78" s="46"/>
      <c r="X78" s="46"/>
    </row>
    <row r="79" spans="1:24" ht="12.75" x14ac:dyDescent="0.2">
      <c r="A79" s="45"/>
      <c r="B79" s="46"/>
      <c r="C79" s="46"/>
      <c r="D79" s="46"/>
      <c r="E79" s="46"/>
      <c r="F79" s="46"/>
      <c r="G79" s="46"/>
      <c r="H79" s="46"/>
      <c r="I79" s="46"/>
      <c r="J79" s="46"/>
      <c r="K79" s="46"/>
      <c r="L79" s="46"/>
      <c r="M79" s="46"/>
      <c r="N79" s="46"/>
      <c r="O79" s="46"/>
      <c r="P79" s="46"/>
      <c r="Q79" s="46"/>
      <c r="R79" s="46"/>
      <c r="S79" s="46"/>
      <c r="T79" s="46"/>
      <c r="U79" s="46"/>
      <c r="V79" s="46"/>
      <c r="W79" s="46"/>
      <c r="X79" s="46"/>
    </row>
    <row r="80" spans="1:24" ht="12.75" x14ac:dyDescent="0.2">
      <c r="A80" s="45"/>
      <c r="B80" s="46"/>
      <c r="C80" s="46"/>
      <c r="D80" s="46"/>
      <c r="E80" s="46"/>
      <c r="F80" s="46"/>
      <c r="G80" s="46"/>
      <c r="H80" s="46"/>
      <c r="I80" s="46"/>
      <c r="J80" s="46"/>
      <c r="K80" s="46"/>
      <c r="L80" s="46"/>
      <c r="M80" s="46"/>
      <c r="N80" s="46"/>
      <c r="O80" s="46"/>
      <c r="P80" s="46"/>
      <c r="Q80" s="46"/>
      <c r="R80" s="46"/>
      <c r="S80" s="46"/>
      <c r="T80" s="46"/>
      <c r="U80" s="46"/>
      <c r="V80" s="46"/>
      <c r="W80" s="46"/>
      <c r="X80" s="46"/>
    </row>
    <row r="81" spans="1:24" ht="12.75" x14ac:dyDescent="0.2">
      <c r="A81" s="45"/>
      <c r="B81" s="46"/>
      <c r="C81" s="46"/>
      <c r="D81" s="46"/>
      <c r="E81" s="46"/>
      <c r="F81" s="46"/>
      <c r="G81" s="46"/>
      <c r="H81" s="46"/>
      <c r="I81" s="46"/>
      <c r="J81" s="46"/>
      <c r="K81" s="46"/>
      <c r="L81" s="46"/>
      <c r="M81" s="46"/>
      <c r="N81" s="46"/>
      <c r="O81" s="46"/>
      <c r="P81" s="46"/>
      <c r="Q81" s="46"/>
      <c r="R81" s="46"/>
      <c r="S81" s="46"/>
      <c r="T81" s="46"/>
      <c r="U81" s="46"/>
      <c r="V81" s="46"/>
      <c r="W81" s="46"/>
      <c r="X81" s="46"/>
    </row>
    <row r="82" spans="1:24" ht="12.75" x14ac:dyDescent="0.2">
      <c r="A82" s="45"/>
      <c r="B82" s="46"/>
      <c r="C82" s="46"/>
      <c r="D82" s="46"/>
      <c r="E82" s="46"/>
      <c r="F82" s="46"/>
      <c r="G82" s="46"/>
      <c r="H82" s="46"/>
      <c r="I82" s="46"/>
      <c r="J82" s="46"/>
      <c r="K82" s="46"/>
      <c r="L82" s="46"/>
      <c r="M82" s="46"/>
      <c r="N82" s="46"/>
      <c r="O82" s="46"/>
      <c r="P82" s="46"/>
      <c r="Q82" s="46"/>
      <c r="R82" s="46"/>
      <c r="S82" s="46"/>
      <c r="T82" s="46"/>
      <c r="U82" s="46"/>
      <c r="V82" s="46"/>
      <c r="W82" s="46"/>
      <c r="X82" s="46"/>
    </row>
    <row r="83" spans="1:24" ht="12.75" x14ac:dyDescent="0.2">
      <c r="A83" s="45"/>
      <c r="B83" s="46"/>
      <c r="C83" s="46"/>
      <c r="D83" s="46"/>
      <c r="E83" s="46"/>
      <c r="F83" s="46"/>
      <c r="G83" s="46"/>
      <c r="H83" s="46"/>
      <c r="I83" s="46"/>
      <c r="J83" s="46"/>
      <c r="K83" s="46"/>
      <c r="L83" s="46"/>
      <c r="M83" s="46"/>
      <c r="N83" s="46"/>
      <c r="O83" s="46"/>
      <c r="P83" s="46"/>
      <c r="Q83" s="46"/>
      <c r="R83" s="46"/>
      <c r="S83" s="46"/>
      <c r="T83" s="46"/>
      <c r="U83" s="46"/>
      <c r="V83" s="46"/>
      <c r="W83" s="46"/>
      <c r="X83" s="46"/>
    </row>
    <row r="84" spans="1:24" ht="12.75" x14ac:dyDescent="0.2">
      <c r="A84" s="45"/>
      <c r="B84" s="46"/>
      <c r="C84" s="46"/>
      <c r="D84" s="46"/>
      <c r="E84" s="46"/>
      <c r="F84" s="46"/>
      <c r="G84" s="46"/>
      <c r="H84" s="46"/>
      <c r="I84" s="46"/>
      <c r="J84" s="46"/>
      <c r="K84" s="46"/>
      <c r="L84" s="46"/>
      <c r="M84" s="46"/>
      <c r="N84" s="46"/>
      <c r="O84" s="46"/>
      <c r="P84" s="46"/>
      <c r="Q84" s="46"/>
      <c r="R84" s="46"/>
      <c r="S84" s="46"/>
      <c r="T84" s="46"/>
      <c r="U84" s="46"/>
      <c r="V84" s="46"/>
      <c r="W84" s="46"/>
      <c r="X84" s="46"/>
    </row>
    <row r="85" spans="1:24" ht="12.75" x14ac:dyDescent="0.2">
      <c r="A85" s="45"/>
      <c r="B85" s="46"/>
      <c r="C85" s="46"/>
      <c r="D85" s="46"/>
      <c r="E85" s="46"/>
      <c r="F85" s="46"/>
      <c r="G85" s="46"/>
      <c r="H85" s="46"/>
      <c r="I85" s="46"/>
      <c r="J85" s="46"/>
      <c r="K85" s="46"/>
      <c r="L85" s="46"/>
      <c r="M85" s="46"/>
      <c r="N85" s="46"/>
      <c r="O85" s="46"/>
      <c r="P85" s="46"/>
      <c r="Q85" s="46"/>
      <c r="R85" s="46"/>
      <c r="S85" s="46"/>
      <c r="T85" s="46"/>
      <c r="U85" s="46"/>
      <c r="V85" s="46"/>
      <c r="W85" s="46"/>
      <c r="X85" s="46"/>
    </row>
    <row r="86" spans="1:24" ht="12.75" x14ac:dyDescent="0.2">
      <c r="A86" s="45"/>
      <c r="B86" s="46"/>
      <c r="C86" s="46"/>
      <c r="D86" s="46"/>
      <c r="E86" s="46"/>
      <c r="F86" s="46"/>
      <c r="G86" s="46"/>
      <c r="H86" s="46"/>
      <c r="I86" s="46"/>
      <c r="J86" s="46"/>
      <c r="K86" s="46"/>
      <c r="L86" s="46"/>
      <c r="M86" s="46"/>
      <c r="N86" s="46"/>
      <c r="O86" s="46"/>
      <c r="P86" s="46"/>
      <c r="Q86" s="46"/>
      <c r="R86" s="46"/>
      <c r="S86" s="46"/>
      <c r="T86" s="46"/>
      <c r="U86" s="46"/>
      <c r="V86" s="46"/>
      <c r="W86" s="46"/>
      <c r="X86" s="46"/>
    </row>
    <row r="87" spans="1:24" ht="12.75" x14ac:dyDescent="0.2">
      <c r="A87" s="45"/>
      <c r="B87" s="46"/>
      <c r="C87" s="46"/>
      <c r="D87" s="46"/>
      <c r="E87" s="46"/>
      <c r="F87" s="46"/>
      <c r="G87" s="46"/>
      <c r="H87" s="46"/>
      <c r="I87" s="46"/>
      <c r="J87" s="46"/>
      <c r="K87" s="46"/>
      <c r="L87" s="46"/>
      <c r="M87" s="46"/>
      <c r="N87" s="46"/>
      <c r="O87" s="46"/>
      <c r="P87" s="46"/>
      <c r="Q87" s="46"/>
      <c r="R87" s="46"/>
      <c r="S87" s="46"/>
      <c r="T87" s="46"/>
      <c r="U87" s="46"/>
      <c r="V87" s="46"/>
      <c r="W87" s="46"/>
      <c r="X87" s="46"/>
    </row>
    <row r="88" spans="1:24" ht="12.75" x14ac:dyDescent="0.2">
      <c r="A88" s="45"/>
      <c r="B88" s="46"/>
      <c r="C88" s="46"/>
      <c r="D88" s="46"/>
      <c r="E88" s="46"/>
      <c r="F88" s="46"/>
      <c r="G88" s="46"/>
      <c r="H88" s="46"/>
      <c r="I88" s="46"/>
      <c r="J88" s="46"/>
      <c r="K88" s="46"/>
      <c r="L88" s="46"/>
      <c r="M88" s="46"/>
      <c r="N88" s="46"/>
      <c r="O88" s="46"/>
      <c r="P88" s="46"/>
      <c r="Q88" s="46"/>
      <c r="R88" s="46"/>
      <c r="S88" s="46"/>
      <c r="T88" s="46"/>
      <c r="U88" s="46"/>
      <c r="V88" s="46"/>
      <c r="W88" s="46"/>
      <c r="X88" s="46"/>
    </row>
    <row r="89" spans="1:24" ht="12.75" x14ac:dyDescent="0.2">
      <c r="A89" s="45"/>
      <c r="B89" s="46"/>
      <c r="C89" s="46"/>
      <c r="D89" s="46"/>
      <c r="E89" s="46"/>
      <c r="F89" s="46"/>
      <c r="G89" s="46"/>
      <c r="H89" s="46"/>
      <c r="I89" s="46"/>
      <c r="J89" s="46"/>
      <c r="K89" s="46"/>
      <c r="L89" s="46"/>
      <c r="M89" s="46"/>
      <c r="N89" s="46"/>
      <c r="O89" s="46"/>
      <c r="P89" s="46"/>
      <c r="Q89" s="46"/>
      <c r="R89" s="46"/>
      <c r="S89" s="46"/>
      <c r="T89" s="46"/>
      <c r="U89" s="46"/>
      <c r="V89" s="46"/>
      <c r="W89" s="46"/>
      <c r="X89" s="46"/>
    </row>
    <row r="90" spans="1:24" ht="12.75" x14ac:dyDescent="0.2">
      <c r="A90" s="45"/>
      <c r="B90" s="46"/>
      <c r="C90" s="46"/>
      <c r="D90" s="46"/>
      <c r="E90" s="46"/>
      <c r="F90" s="46"/>
      <c r="G90" s="46"/>
      <c r="H90" s="46"/>
      <c r="I90" s="46"/>
      <c r="J90" s="46"/>
      <c r="K90" s="46"/>
      <c r="L90" s="46"/>
      <c r="M90" s="46"/>
      <c r="N90" s="46"/>
      <c r="O90" s="46"/>
      <c r="P90" s="46"/>
      <c r="Q90" s="46"/>
      <c r="R90" s="46"/>
      <c r="S90" s="46"/>
      <c r="T90" s="46"/>
      <c r="U90" s="46"/>
      <c r="V90" s="46"/>
      <c r="W90" s="46"/>
      <c r="X90" s="46"/>
    </row>
    <row r="91" spans="1:24" ht="12.75" x14ac:dyDescent="0.2">
      <c r="A91" s="45"/>
      <c r="B91" s="46"/>
      <c r="C91" s="46"/>
      <c r="D91" s="46"/>
      <c r="E91" s="46"/>
      <c r="F91" s="46"/>
      <c r="G91" s="46"/>
      <c r="H91" s="46"/>
      <c r="I91" s="46"/>
      <c r="J91" s="46"/>
      <c r="K91" s="46"/>
      <c r="L91" s="46"/>
      <c r="M91" s="46"/>
      <c r="N91" s="46"/>
      <c r="O91" s="46"/>
      <c r="P91" s="46"/>
      <c r="Q91" s="46"/>
      <c r="R91" s="46"/>
      <c r="S91" s="46"/>
      <c r="T91" s="46"/>
      <c r="U91" s="46"/>
      <c r="V91" s="46"/>
      <c r="W91" s="46"/>
      <c r="X91" s="46"/>
    </row>
    <row r="92" spans="1:24" ht="12.75" x14ac:dyDescent="0.2">
      <c r="A92" s="45"/>
      <c r="B92" s="46"/>
      <c r="C92" s="46"/>
      <c r="D92" s="46"/>
      <c r="E92" s="46"/>
      <c r="F92" s="46"/>
      <c r="G92" s="46"/>
      <c r="H92" s="46"/>
      <c r="I92" s="46"/>
      <c r="J92" s="46"/>
      <c r="K92" s="46"/>
      <c r="L92" s="46"/>
      <c r="M92" s="46"/>
      <c r="N92" s="46"/>
      <c r="O92" s="46"/>
      <c r="P92" s="46"/>
      <c r="Q92" s="46"/>
      <c r="R92" s="46"/>
      <c r="S92" s="46"/>
      <c r="T92" s="46"/>
      <c r="U92" s="46"/>
      <c r="V92" s="46"/>
      <c r="W92" s="46"/>
      <c r="X92" s="46"/>
    </row>
    <row r="93" spans="1:24" ht="12.75" x14ac:dyDescent="0.2">
      <c r="A93" s="45"/>
      <c r="B93" s="46"/>
      <c r="C93" s="46"/>
      <c r="D93" s="46"/>
      <c r="E93" s="46"/>
      <c r="F93" s="46"/>
      <c r="G93" s="46"/>
      <c r="H93" s="46"/>
      <c r="I93" s="46"/>
      <c r="J93" s="46"/>
      <c r="K93" s="46"/>
      <c r="L93" s="46"/>
      <c r="M93" s="46"/>
      <c r="N93" s="46"/>
      <c r="O93" s="46"/>
      <c r="P93" s="46"/>
      <c r="Q93" s="46"/>
      <c r="R93" s="46"/>
      <c r="S93" s="46"/>
      <c r="T93" s="46"/>
      <c r="U93" s="46"/>
      <c r="V93" s="46"/>
      <c r="W93" s="46"/>
      <c r="X93" s="46"/>
    </row>
    <row r="94" spans="1:24" ht="12.75" x14ac:dyDescent="0.2">
      <c r="A94" s="45"/>
      <c r="B94" s="46"/>
      <c r="C94" s="46"/>
      <c r="D94" s="46"/>
      <c r="E94" s="46"/>
      <c r="F94" s="46"/>
      <c r="G94" s="46"/>
      <c r="H94" s="46"/>
      <c r="I94" s="46"/>
      <c r="J94" s="46"/>
      <c r="K94" s="46"/>
      <c r="L94" s="46"/>
      <c r="M94" s="46"/>
      <c r="N94" s="46"/>
      <c r="O94" s="46"/>
      <c r="P94" s="46"/>
      <c r="Q94" s="46"/>
      <c r="R94" s="46"/>
      <c r="S94" s="46"/>
      <c r="T94" s="46"/>
      <c r="U94" s="46"/>
      <c r="V94" s="46"/>
      <c r="W94" s="46"/>
      <c r="X94" s="46"/>
    </row>
    <row r="95" spans="1:24" ht="12.75" x14ac:dyDescent="0.2">
      <c r="A95" s="45"/>
      <c r="B95" s="46"/>
      <c r="C95" s="46"/>
      <c r="D95" s="46"/>
      <c r="E95" s="46"/>
      <c r="F95" s="46"/>
      <c r="G95" s="46"/>
      <c r="H95" s="46"/>
      <c r="I95" s="46"/>
      <c r="J95" s="46"/>
      <c r="K95" s="46"/>
      <c r="L95" s="46"/>
      <c r="M95" s="46"/>
      <c r="N95" s="46"/>
      <c r="O95" s="46"/>
      <c r="P95" s="46"/>
      <c r="Q95" s="46"/>
      <c r="R95" s="46"/>
      <c r="S95" s="46"/>
      <c r="T95" s="46"/>
      <c r="U95" s="46"/>
      <c r="V95" s="46"/>
      <c r="W95" s="46"/>
      <c r="X95" s="46"/>
    </row>
    <row r="96" spans="1:24" ht="12.75" x14ac:dyDescent="0.2">
      <c r="A96" s="45"/>
      <c r="B96" s="46"/>
      <c r="C96" s="46"/>
      <c r="D96" s="46"/>
      <c r="E96" s="46"/>
      <c r="F96" s="46"/>
      <c r="G96" s="46"/>
      <c r="H96" s="46"/>
      <c r="I96" s="46"/>
      <c r="J96" s="46"/>
      <c r="K96" s="46"/>
      <c r="L96" s="46"/>
      <c r="M96" s="46"/>
      <c r="N96" s="46"/>
      <c r="O96" s="46"/>
      <c r="P96" s="46"/>
      <c r="Q96" s="46"/>
      <c r="R96" s="46"/>
      <c r="S96" s="46"/>
      <c r="T96" s="46"/>
      <c r="U96" s="46"/>
      <c r="V96" s="46"/>
      <c r="W96" s="46"/>
      <c r="X96" s="46"/>
    </row>
    <row r="97" spans="1:24" ht="12.75"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row>
    <row r="98" spans="1:24" ht="12.75" x14ac:dyDescent="0.2">
      <c r="A98" s="45"/>
      <c r="B98" s="46"/>
      <c r="C98" s="46"/>
      <c r="D98" s="46"/>
      <c r="E98" s="46"/>
      <c r="F98" s="46"/>
      <c r="G98" s="46"/>
      <c r="H98" s="46"/>
      <c r="I98" s="46"/>
      <c r="J98" s="46"/>
      <c r="K98" s="46"/>
      <c r="L98" s="46"/>
      <c r="M98" s="46"/>
      <c r="N98" s="46"/>
      <c r="O98" s="46"/>
      <c r="P98" s="46"/>
      <c r="Q98" s="46"/>
      <c r="R98" s="46"/>
      <c r="S98" s="46"/>
      <c r="T98" s="46"/>
      <c r="U98" s="46"/>
      <c r="V98" s="46"/>
      <c r="W98" s="46"/>
      <c r="X98" s="46"/>
    </row>
    <row r="99" spans="1:24" ht="12.75" x14ac:dyDescent="0.2">
      <c r="A99" s="45"/>
      <c r="B99" s="46"/>
      <c r="C99" s="46"/>
      <c r="D99" s="46"/>
      <c r="E99" s="46"/>
      <c r="F99" s="46"/>
      <c r="G99" s="46"/>
      <c r="H99" s="46"/>
      <c r="I99" s="46"/>
      <c r="J99" s="46"/>
      <c r="K99" s="46"/>
      <c r="L99" s="46"/>
      <c r="M99" s="46"/>
      <c r="N99" s="46"/>
      <c r="O99" s="46"/>
      <c r="P99" s="46"/>
      <c r="Q99" s="46"/>
      <c r="R99" s="46"/>
      <c r="S99" s="46"/>
      <c r="T99" s="46"/>
      <c r="U99" s="46"/>
      <c r="V99" s="46"/>
      <c r="W99" s="46"/>
      <c r="X99" s="46"/>
    </row>
    <row r="100" spans="1:24" ht="12.75" x14ac:dyDescent="0.2">
      <c r="A100" s="45"/>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ht="12.75" x14ac:dyDescent="0.2">
      <c r="A101" s="45"/>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ht="12.75" x14ac:dyDescent="0.2">
      <c r="A102" s="45"/>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ht="12.75" x14ac:dyDescent="0.2">
      <c r="A103" s="45"/>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ht="12.75" x14ac:dyDescent="0.2">
      <c r="A104" s="45"/>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ht="12.75" x14ac:dyDescent="0.2">
      <c r="A105" s="45"/>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ht="12.75" x14ac:dyDescent="0.2">
      <c r="A106" s="45"/>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ht="12.75" x14ac:dyDescent="0.2">
      <c r="A107" s="45"/>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ht="12.75" x14ac:dyDescent="0.2">
      <c r="A108" s="45"/>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ht="12.75" x14ac:dyDescent="0.2">
      <c r="A109" s="45"/>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ht="12.75" x14ac:dyDescent="0.2">
      <c r="A110" s="45"/>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ht="12.75" x14ac:dyDescent="0.2">
      <c r="A111" s="45"/>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ht="12.75" x14ac:dyDescent="0.2">
      <c r="A112" s="45"/>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ht="12.75" x14ac:dyDescent="0.2">
      <c r="A113" s="45"/>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ht="12.75" x14ac:dyDescent="0.2">
      <c r="A114" s="45"/>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ht="12.75" x14ac:dyDescent="0.2">
      <c r="A115" s="45"/>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ht="12.75" x14ac:dyDescent="0.2">
      <c r="A116" s="45"/>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ht="12.75" x14ac:dyDescent="0.2">
      <c r="A117" s="45"/>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ht="12.75" x14ac:dyDescent="0.2">
      <c r="A118" s="45"/>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ht="12.75" x14ac:dyDescent="0.2">
      <c r="A119" s="45"/>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ht="12.75" x14ac:dyDescent="0.2">
      <c r="A120" s="45"/>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ht="12.75" x14ac:dyDescent="0.2">
      <c r="A121" s="45"/>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ht="12.75" x14ac:dyDescent="0.2">
      <c r="A122" s="45"/>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ht="12.75" x14ac:dyDescent="0.2">
      <c r="A123" s="45"/>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ht="12.75" x14ac:dyDescent="0.2">
      <c r="A124" s="45"/>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ht="12.75" x14ac:dyDescent="0.2">
      <c r="A125" s="45"/>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ht="12.75" x14ac:dyDescent="0.2">
      <c r="A126" s="45"/>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ht="12.75" x14ac:dyDescent="0.2">
      <c r="A127" s="45"/>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ht="12.75" x14ac:dyDescent="0.2">
      <c r="A128" s="45"/>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ht="12.75" x14ac:dyDescent="0.2">
      <c r="A129" s="45"/>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ht="12.75" x14ac:dyDescent="0.2">
      <c r="A130" s="45"/>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ht="12.75" x14ac:dyDescent="0.2">
      <c r="A131" s="45"/>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ht="12.75" x14ac:dyDescent="0.2">
      <c r="A132" s="45"/>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ht="12.75" x14ac:dyDescent="0.2">
      <c r="A133" s="45"/>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ht="12.75" x14ac:dyDescent="0.2">
      <c r="A134" s="45"/>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ht="12.75" x14ac:dyDescent="0.2">
      <c r="A135" s="45"/>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ht="12.75" x14ac:dyDescent="0.2">
      <c r="A136" s="45"/>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ht="12.75" x14ac:dyDescent="0.2">
      <c r="A137" s="45"/>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ht="12.75" x14ac:dyDescent="0.2">
      <c r="A138" s="45"/>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ht="12.75" x14ac:dyDescent="0.2">
      <c r="A139" s="45"/>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ht="12.75" x14ac:dyDescent="0.2">
      <c r="A140" s="45"/>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ht="12.75" x14ac:dyDescent="0.2">
      <c r="A141" s="45"/>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ht="12.75" x14ac:dyDescent="0.2">
      <c r="A142" s="45"/>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ht="12.75" x14ac:dyDescent="0.2">
      <c r="A143" s="45"/>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ht="12.75" x14ac:dyDescent="0.2">
      <c r="A144" s="45"/>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ht="12.75" x14ac:dyDescent="0.2">
      <c r="A145" s="45"/>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ht="12.75" x14ac:dyDescent="0.2">
      <c r="A146" s="45"/>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ht="12.75" x14ac:dyDescent="0.2">
      <c r="A147" s="45"/>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ht="12.75" x14ac:dyDescent="0.2">
      <c r="A148" s="45"/>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ht="12.75" x14ac:dyDescent="0.2">
      <c r="A149" s="45"/>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ht="12.75" x14ac:dyDescent="0.2">
      <c r="A150" s="45"/>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ht="12.75" x14ac:dyDescent="0.2">
      <c r="A151" s="45"/>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ht="12.75" x14ac:dyDescent="0.2">
      <c r="A152" s="45"/>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ht="12.75" x14ac:dyDescent="0.2">
      <c r="A153" s="45"/>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ht="12.75" x14ac:dyDescent="0.2">
      <c r="A154" s="45"/>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ht="12.75" x14ac:dyDescent="0.2">
      <c r="A155" s="45"/>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ht="12.75" x14ac:dyDescent="0.2">
      <c r="A156" s="45"/>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ht="12.75" x14ac:dyDescent="0.2">
      <c r="A157" s="45"/>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ht="12.75" x14ac:dyDescent="0.2">
      <c r="A158" s="45"/>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ht="12.75" x14ac:dyDescent="0.2">
      <c r="A159" s="45"/>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ht="12.75" x14ac:dyDescent="0.2">
      <c r="A160" s="45"/>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ht="12.75" x14ac:dyDescent="0.2">
      <c r="A161" s="45"/>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ht="12.75" x14ac:dyDescent="0.2">
      <c r="A162" s="45"/>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ht="12.75" x14ac:dyDescent="0.2">
      <c r="A163" s="45"/>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ht="12.75" x14ac:dyDescent="0.2">
      <c r="A164" s="45"/>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ht="12.75" x14ac:dyDescent="0.2">
      <c r="A165" s="45"/>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ht="12.75" x14ac:dyDescent="0.2">
      <c r="A166" s="45"/>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ht="12.75" x14ac:dyDescent="0.2">
      <c r="A167" s="45"/>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ht="12.75" x14ac:dyDescent="0.2">
      <c r="A168" s="45"/>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ht="12.75" x14ac:dyDescent="0.2">
      <c r="A169" s="45"/>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ht="12.75" x14ac:dyDescent="0.2">
      <c r="A170" s="45"/>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ht="12.75" x14ac:dyDescent="0.2">
      <c r="A171" s="45"/>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ht="12.75" x14ac:dyDescent="0.2">
      <c r="A172" s="45"/>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ht="12.75" x14ac:dyDescent="0.2">
      <c r="A173" s="45"/>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ht="12.75" x14ac:dyDescent="0.2">
      <c r="A174" s="45"/>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ht="12.75" x14ac:dyDescent="0.2">
      <c r="A175" s="45"/>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ht="12.75" x14ac:dyDescent="0.2">
      <c r="A176" s="45"/>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ht="12.75" x14ac:dyDescent="0.2">
      <c r="A177" s="45"/>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ht="12.75" x14ac:dyDescent="0.2">
      <c r="A178" s="45"/>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ht="12.75" x14ac:dyDescent="0.2">
      <c r="A179" s="45"/>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ht="12.75" x14ac:dyDescent="0.2">
      <c r="A180" s="45"/>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ht="12.75" x14ac:dyDescent="0.2">
      <c r="A181" s="45"/>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ht="12.75" x14ac:dyDescent="0.2">
      <c r="A182" s="45"/>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ht="12.75" x14ac:dyDescent="0.2">
      <c r="A183" s="45"/>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ht="12.75" x14ac:dyDescent="0.2">
      <c r="A184" s="45"/>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ht="12.75" x14ac:dyDescent="0.2">
      <c r="A185" s="45"/>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ht="12.75" x14ac:dyDescent="0.2">
      <c r="A186" s="45"/>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ht="12.75" x14ac:dyDescent="0.2">
      <c r="A187" s="45"/>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ht="12.75" x14ac:dyDescent="0.2">
      <c r="A188" s="45"/>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ht="12.75" x14ac:dyDescent="0.2">
      <c r="A189" s="45"/>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ht="12.75" x14ac:dyDescent="0.2">
      <c r="A190" s="45"/>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ht="12.75" x14ac:dyDescent="0.2">
      <c r="A191" s="45"/>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ht="12.75" x14ac:dyDescent="0.2">
      <c r="A192" s="45"/>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ht="12.75" x14ac:dyDescent="0.2">
      <c r="A193" s="45"/>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ht="12.75" x14ac:dyDescent="0.2">
      <c r="A194" s="45"/>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ht="12.75" x14ac:dyDescent="0.2">
      <c r="A195" s="45"/>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ht="12.75" x14ac:dyDescent="0.2">
      <c r="A196" s="45"/>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ht="12.75" x14ac:dyDescent="0.2">
      <c r="A197" s="45"/>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ht="12.75" x14ac:dyDescent="0.2">
      <c r="A198" s="45"/>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ht="12.75" x14ac:dyDescent="0.2">
      <c r="A199" s="45"/>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ht="12.75" x14ac:dyDescent="0.2">
      <c r="A200" s="45"/>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ht="12.75" x14ac:dyDescent="0.2">
      <c r="A201" s="45"/>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ht="12.75" x14ac:dyDescent="0.2">
      <c r="A202" s="45"/>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ht="12.75" x14ac:dyDescent="0.2">
      <c r="A203" s="45"/>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ht="12.75" x14ac:dyDescent="0.2">
      <c r="A204" s="45"/>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ht="12.75" x14ac:dyDescent="0.2">
      <c r="A205" s="45"/>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ht="12.75" x14ac:dyDescent="0.2">
      <c r="A206" s="45"/>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ht="12.75" x14ac:dyDescent="0.2">
      <c r="A207" s="45"/>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ht="12.75" x14ac:dyDescent="0.2">
      <c r="A208" s="45"/>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ht="12.75" x14ac:dyDescent="0.2">
      <c r="A209" s="45"/>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ht="12.75" x14ac:dyDescent="0.2">
      <c r="A210" s="45"/>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ht="12.75" x14ac:dyDescent="0.2">
      <c r="A211" s="45"/>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ht="12.75" x14ac:dyDescent="0.2">
      <c r="A212" s="45"/>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ht="12.75" x14ac:dyDescent="0.2">
      <c r="A213" s="45"/>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ht="12.75" x14ac:dyDescent="0.2">
      <c r="A214" s="45"/>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ht="12.75" x14ac:dyDescent="0.2">
      <c r="A215" s="45"/>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ht="12.75" x14ac:dyDescent="0.2">
      <c r="A216" s="45"/>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ht="12.75" x14ac:dyDescent="0.2">
      <c r="A217" s="45"/>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ht="12.75" x14ac:dyDescent="0.2">
      <c r="A218" s="45"/>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ht="12.75" x14ac:dyDescent="0.2">
      <c r="A219" s="45"/>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ht="12.75" x14ac:dyDescent="0.2">
      <c r="A220" s="45"/>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ht="12.75" x14ac:dyDescent="0.2">
      <c r="A221" s="45"/>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ht="12.75" x14ac:dyDescent="0.2">
      <c r="A222" s="45"/>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ht="12.75" x14ac:dyDescent="0.2">
      <c r="A223" s="45"/>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ht="12.75" x14ac:dyDescent="0.2">
      <c r="A224" s="45"/>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ht="12.75" x14ac:dyDescent="0.2">
      <c r="A225" s="45"/>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ht="12.75" x14ac:dyDescent="0.2">
      <c r="A226" s="45"/>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ht="12.75" x14ac:dyDescent="0.2">
      <c r="A227" s="45"/>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ht="12.75" x14ac:dyDescent="0.2">
      <c r="A228" s="45"/>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ht="12.75" x14ac:dyDescent="0.2">
      <c r="A229" s="45"/>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ht="12.75" x14ac:dyDescent="0.2">
      <c r="A230" s="45"/>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ht="12.75" x14ac:dyDescent="0.2">
      <c r="A231" s="45"/>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ht="12.75" x14ac:dyDescent="0.2">
      <c r="A232" s="45"/>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ht="12.75" x14ac:dyDescent="0.2">
      <c r="A233" s="45"/>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ht="12.75" x14ac:dyDescent="0.2">
      <c r="A234" s="45"/>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ht="12.75" x14ac:dyDescent="0.2">
      <c r="A235" s="45"/>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ht="12.75" x14ac:dyDescent="0.2">
      <c r="A236" s="45"/>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ht="12.75" x14ac:dyDescent="0.2">
      <c r="A237" s="45"/>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ht="12.75" x14ac:dyDescent="0.2">
      <c r="A238" s="45"/>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ht="12.75" x14ac:dyDescent="0.2">
      <c r="A239" s="45"/>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ht="12.75" x14ac:dyDescent="0.2">
      <c r="A240" s="45"/>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ht="12.75" x14ac:dyDescent="0.2">
      <c r="A241" s="45"/>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ht="12.75" x14ac:dyDescent="0.2">
      <c r="A242" s="45"/>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ht="12.75" x14ac:dyDescent="0.2">
      <c r="A243" s="45"/>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ht="12.75" x14ac:dyDescent="0.2">
      <c r="A244" s="45"/>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ht="12.75" x14ac:dyDescent="0.2">
      <c r="A245" s="45"/>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ht="12.75" x14ac:dyDescent="0.2">
      <c r="A246" s="45"/>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ht="12.75" x14ac:dyDescent="0.2">
      <c r="A247" s="45"/>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ht="12.75" x14ac:dyDescent="0.2">
      <c r="A248" s="45"/>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ht="12.75" x14ac:dyDescent="0.2">
      <c r="A249" s="45"/>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ht="12.75" x14ac:dyDescent="0.2">
      <c r="A250" s="45"/>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ht="12.75" x14ac:dyDescent="0.2">
      <c r="A251" s="45"/>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ht="12.75" x14ac:dyDescent="0.2">
      <c r="A252" s="45"/>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ht="12.75" x14ac:dyDescent="0.2">
      <c r="A253" s="45"/>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ht="12.75" x14ac:dyDescent="0.2">
      <c r="A254" s="45"/>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ht="12.75" x14ac:dyDescent="0.2">
      <c r="A255" s="45"/>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ht="12.75" x14ac:dyDescent="0.2">
      <c r="A256" s="45"/>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ht="12.75" x14ac:dyDescent="0.2">
      <c r="A257" s="45"/>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ht="12.75" x14ac:dyDescent="0.2">
      <c r="A258" s="45"/>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ht="12.75" x14ac:dyDescent="0.2">
      <c r="A259" s="45"/>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ht="12.75" x14ac:dyDescent="0.2">
      <c r="A260" s="45"/>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ht="12.75" x14ac:dyDescent="0.2">
      <c r="A261" s="45"/>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ht="12.75" x14ac:dyDescent="0.2">
      <c r="A262" s="45"/>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ht="12.75" x14ac:dyDescent="0.2">
      <c r="A263" s="45"/>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ht="12.75" x14ac:dyDescent="0.2">
      <c r="A264" s="45"/>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ht="12.75" x14ac:dyDescent="0.2">
      <c r="A265" s="45"/>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ht="12.75" x14ac:dyDescent="0.2">
      <c r="A266" s="45"/>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ht="12.75" x14ac:dyDescent="0.2">
      <c r="A267" s="45"/>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ht="12.75" x14ac:dyDescent="0.2">
      <c r="A268" s="45"/>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ht="12.75" x14ac:dyDescent="0.2">
      <c r="A269" s="45"/>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ht="12.75" x14ac:dyDescent="0.2">
      <c r="A270" s="45"/>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ht="12.75" x14ac:dyDescent="0.2">
      <c r="A271" s="45"/>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ht="12.75" x14ac:dyDescent="0.2">
      <c r="A272" s="45"/>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ht="12.75" x14ac:dyDescent="0.2">
      <c r="A273" s="45"/>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ht="12.75" x14ac:dyDescent="0.2">
      <c r="A274" s="45"/>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ht="12.75" x14ac:dyDescent="0.2">
      <c r="A275" s="45"/>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ht="12.75" x14ac:dyDescent="0.2">
      <c r="A276" s="45"/>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ht="12.75" x14ac:dyDescent="0.2">
      <c r="A277" s="45"/>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ht="12.75" x14ac:dyDescent="0.2">
      <c r="A278" s="45"/>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ht="12.75" x14ac:dyDescent="0.2">
      <c r="A279" s="45"/>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ht="12.75" x14ac:dyDescent="0.2">
      <c r="A280" s="45"/>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ht="12.75" x14ac:dyDescent="0.2">
      <c r="A281" s="45"/>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ht="12.75" x14ac:dyDescent="0.2">
      <c r="A282" s="45"/>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ht="12.75" x14ac:dyDescent="0.2">
      <c r="A283" s="45"/>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ht="12.75" x14ac:dyDescent="0.2">
      <c r="A284" s="45"/>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ht="12.75" x14ac:dyDescent="0.2">
      <c r="A285" s="45"/>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ht="12.75" x14ac:dyDescent="0.2">
      <c r="A286" s="45"/>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ht="12.75" x14ac:dyDescent="0.2">
      <c r="A287" s="45"/>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ht="12.75" x14ac:dyDescent="0.2">
      <c r="A288" s="45"/>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ht="12.75" x14ac:dyDescent="0.2">
      <c r="A289" s="45"/>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ht="12.75" x14ac:dyDescent="0.2">
      <c r="A290" s="45"/>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ht="12.75" x14ac:dyDescent="0.2">
      <c r="A291" s="45"/>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ht="12.75" x14ac:dyDescent="0.2">
      <c r="A292" s="45"/>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ht="12.75" x14ac:dyDescent="0.2">
      <c r="A293" s="45"/>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ht="12.75" x14ac:dyDescent="0.2">
      <c r="A294" s="45"/>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ht="12.75" x14ac:dyDescent="0.2">
      <c r="A295" s="45"/>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ht="12.75" x14ac:dyDescent="0.2">
      <c r="A296" s="45"/>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ht="12.75" x14ac:dyDescent="0.2">
      <c r="A297" s="45"/>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ht="12.75" x14ac:dyDescent="0.2">
      <c r="A298" s="45"/>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ht="12.75" x14ac:dyDescent="0.2">
      <c r="A299" s="45"/>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ht="12.75" x14ac:dyDescent="0.2">
      <c r="A300" s="45"/>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ht="12.75" x14ac:dyDescent="0.2">
      <c r="A301" s="45"/>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ht="12.75" x14ac:dyDescent="0.2">
      <c r="A302" s="45"/>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ht="12.75" x14ac:dyDescent="0.2">
      <c r="A303" s="45"/>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ht="12.75" x14ac:dyDescent="0.2">
      <c r="A304" s="45"/>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ht="12.75" x14ac:dyDescent="0.2">
      <c r="A305" s="45"/>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ht="12.75" x14ac:dyDescent="0.2">
      <c r="A306" s="45"/>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ht="12.75" x14ac:dyDescent="0.2">
      <c r="A307" s="45"/>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ht="12.75" x14ac:dyDescent="0.2">
      <c r="A308" s="45"/>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ht="12.75" x14ac:dyDescent="0.2">
      <c r="A309" s="45"/>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ht="12.75" x14ac:dyDescent="0.2">
      <c r="A310" s="45"/>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ht="12.75" x14ac:dyDescent="0.2">
      <c r="A311" s="45"/>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ht="12.75" x14ac:dyDescent="0.2">
      <c r="A312" s="45"/>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ht="12.75" x14ac:dyDescent="0.2">
      <c r="A313" s="45"/>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ht="12.75" x14ac:dyDescent="0.2">
      <c r="A314" s="45"/>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ht="12.75" x14ac:dyDescent="0.2">
      <c r="A315" s="45"/>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ht="12.75" x14ac:dyDescent="0.2">
      <c r="A316" s="45"/>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ht="12.75" x14ac:dyDescent="0.2">
      <c r="A317" s="45"/>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ht="12.75" x14ac:dyDescent="0.2">
      <c r="A318" s="45"/>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ht="12.75" x14ac:dyDescent="0.2">
      <c r="A319" s="45"/>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ht="12.75" x14ac:dyDescent="0.2">
      <c r="A320" s="45"/>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ht="12.75" x14ac:dyDescent="0.2">
      <c r="A321" s="45"/>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ht="12.75" x14ac:dyDescent="0.2">
      <c r="A322" s="45"/>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ht="12.75" x14ac:dyDescent="0.2">
      <c r="A323" s="45"/>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ht="12.75" x14ac:dyDescent="0.2">
      <c r="A324" s="45"/>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ht="12.75" x14ac:dyDescent="0.2">
      <c r="A325" s="45"/>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ht="12.75" x14ac:dyDescent="0.2">
      <c r="A326" s="45"/>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ht="12.75" x14ac:dyDescent="0.2">
      <c r="A327" s="45"/>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ht="12.75" x14ac:dyDescent="0.2">
      <c r="A328" s="45"/>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ht="12.75" x14ac:dyDescent="0.2">
      <c r="A329" s="45"/>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ht="12.75" x14ac:dyDescent="0.2">
      <c r="A330" s="45"/>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ht="12.75" x14ac:dyDescent="0.2">
      <c r="A331" s="45"/>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ht="12.75" x14ac:dyDescent="0.2">
      <c r="A332" s="45"/>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ht="12.75" x14ac:dyDescent="0.2">
      <c r="A333" s="45"/>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ht="12.75" x14ac:dyDescent="0.2">
      <c r="A334" s="45"/>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ht="12.75" x14ac:dyDescent="0.2">
      <c r="A335" s="45"/>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ht="12.75" x14ac:dyDescent="0.2">
      <c r="A336" s="45"/>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ht="12.75" x14ac:dyDescent="0.2">
      <c r="A337" s="45"/>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ht="12.75" x14ac:dyDescent="0.2">
      <c r="A338" s="45"/>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ht="12.75" x14ac:dyDescent="0.2">
      <c r="A339" s="45"/>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ht="12.75" x14ac:dyDescent="0.2">
      <c r="A340" s="45"/>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ht="12.75" x14ac:dyDescent="0.2">
      <c r="A341" s="45"/>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ht="12.75" x14ac:dyDescent="0.2">
      <c r="A342" s="45"/>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ht="12.75" x14ac:dyDescent="0.2">
      <c r="A343" s="45"/>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ht="12.75" x14ac:dyDescent="0.2">
      <c r="A344" s="45"/>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ht="12.75" x14ac:dyDescent="0.2">
      <c r="A345" s="45"/>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ht="12.75" x14ac:dyDescent="0.2">
      <c r="A346" s="45"/>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ht="12.75" x14ac:dyDescent="0.2">
      <c r="A347" s="45"/>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ht="12.75" x14ac:dyDescent="0.2">
      <c r="A348" s="45"/>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ht="12.75" x14ac:dyDescent="0.2">
      <c r="A349" s="45"/>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ht="12.75" x14ac:dyDescent="0.2">
      <c r="A350" s="45"/>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ht="12.75" x14ac:dyDescent="0.2">
      <c r="A351" s="45"/>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ht="12.75" x14ac:dyDescent="0.2">
      <c r="A352" s="45"/>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ht="12.75" x14ac:dyDescent="0.2">
      <c r="A353" s="45"/>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ht="12.75" x14ac:dyDescent="0.2">
      <c r="A354" s="45"/>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ht="12.75" x14ac:dyDescent="0.2">
      <c r="A355" s="45"/>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ht="12.75" x14ac:dyDescent="0.2">
      <c r="A356" s="45"/>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ht="12.75" x14ac:dyDescent="0.2">
      <c r="A357" s="45"/>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ht="12.75" x14ac:dyDescent="0.2">
      <c r="A358" s="45"/>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ht="12.75" x14ac:dyDescent="0.2">
      <c r="A359" s="45"/>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ht="12.75" x14ac:dyDescent="0.2">
      <c r="A360" s="45"/>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ht="12.75" x14ac:dyDescent="0.2">
      <c r="A361" s="45"/>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ht="12.75" x14ac:dyDescent="0.2">
      <c r="A362" s="45"/>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ht="12.75" x14ac:dyDescent="0.2">
      <c r="A363" s="45"/>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ht="12.75" x14ac:dyDescent="0.2">
      <c r="A364" s="45"/>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ht="12.75" x14ac:dyDescent="0.2">
      <c r="A365" s="45"/>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ht="12.75" x14ac:dyDescent="0.2">
      <c r="A366" s="45"/>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ht="12.75" x14ac:dyDescent="0.2">
      <c r="A367" s="45"/>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ht="12.75" x14ac:dyDescent="0.2">
      <c r="A368" s="45"/>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ht="12.75" x14ac:dyDescent="0.2">
      <c r="A369" s="45"/>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ht="12.75" x14ac:dyDescent="0.2">
      <c r="A370" s="45"/>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ht="12.75" x14ac:dyDescent="0.2">
      <c r="A371" s="45"/>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ht="12.75" x14ac:dyDescent="0.2">
      <c r="A372" s="45"/>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ht="12.75" x14ac:dyDescent="0.2">
      <c r="A373" s="45"/>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ht="12.75" x14ac:dyDescent="0.2">
      <c r="A374" s="45"/>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ht="12.75" x14ac:dyDescent="0.2">
      <c r="A375" s="45"/>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ht="12.75" x14ac:dyDescent="0.2">
      <c r="A376" s="45"/>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ht="12.75" x14ac:dyDescent="0.2">
      <c r="A377" s="45"/>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ht="12.75" x14ac:dyDescent="0.2">
      <c r="A378" s="45"/>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ht="12.75" x14ac:dyDescent="0.2">
      <c r="A379" s="45"/>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ht="12.75" x14ac:dyDescent="0.2">
      <c r="A380" s="45"/>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ht="12.75" x14ac:dyDescent="0.2">
      <c r="A381" s="45"/>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ht="12.75" x14ac:dyDescent="0.2">
      <c r="A382" s="45"/>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ht="12.75" x14ac:dyDescent="0.2">
      <c r="A383" s="45"/>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ht="12.75" x14ac:dyDescent="0.2">
      <c r="A384" s="45"/>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ht="12.75" x14ac:dyDescent="0.2">
      <c r="A385" s="45"/>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ht="12.75" x14ac:dyDescent="0.2">
      <c r="A386" s="45"/>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ht="12.75" x14ac:dyDescent="0.2">
      <c r="A387" s="45"/>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ht="12.75" x14ac:dyDescent="0.2">
      <c r="A388" s="45"/>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ht="12.75" x14ac:dyDescent="0.2">
      <c r="A389" s="45"/>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ht="12.75" x14ac:dyDescent="0.2">
      <c r="A390" s="45"/>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ht="12.75" x14ac:dyDescent="0.2">
      <c r="A391" s="45"/>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ht="12.75" x14ac:dyDescent="0.2">
      <c r="A392" s="45"/>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ht="12.75" x14ac:dyDescent="0.2">
      <c r="A393" s="45"/>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ht="12.75" x14ac:dyDescent="0.2">
      <c r="A394" s="45"/>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ht="12.75" x14ac:dyDescent="0.2">
      <c r="A395" s="45"/>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ht="12.75" x14ac:dyDescent="0.2">
      <c r="A396" s="45"/>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ht="12.75" x14ac:dyDescent="0.2">
      <c r="A397" s="45"/>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ht="12.75" x14ac:dyDescent="0.2">
      <c r="A398" s="45"/>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ht="12.75" x14ac:dyDescent="0.2">
      <c r="A399" s="45"/>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ht="12.75" x14ac:dyDescent="0.2">
      <c r="A400" s="45"/>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ht="12.75" x14ac:dyDescent="0.2">
      <c r="A401" s="45"/>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ht="12.75" x14ac:dyDescent="0.2">
      <c r="A402" s="45"/>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ht="12.75" x14ac:dyDescent="0.2">
      <c r="A403" s="45"/>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ht="12.75" x14ac:dyDescent="0.2">
      <c r="A404" s="45"/>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ht="12.75" x14ac:dyDescent="0.2">
      <c r="A405" s="45"/>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ht="12.75" x14ac:dyDescent="0.2">
      <c r="A406" s="45"/>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ht="12.75" x14ac:dyDescent="0.2">
      <c r="A407" s="45"/>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ht="12.75" x14ac:dyDescent="0.2">
      <c r="A408" s="45"/>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ht="12.75" x14ac:dyDescent="0.2">
      <c r="A409" s="45"/>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ht="12.75" x14ac:dyDescent="0.2">
      <c r="A410" s="45"/>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ht="12.75" x14ac:dyDescent="0.2">
      <c r="A411" s="45"/>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ht="12.75" x14ac:dyDescent="0.2">
      <c r="A412" s="45"/>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ht="12.75" x14ac:dyDescent="0.2">
      <c r="A413" s="45"/>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ht="12.75" x14ac:dyDescent="0.2">
      <c r="A414" s="45"/>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ht="12.75" x14ac:dyDescent="0.2">
      <c r="A415" s="45"/>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ht="12.75" x14ac:dyDescent="0.2">
      <c r="A416" s="45"/>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ht="12.75" x14ac:dyDescent="0.2">
      <c r="A417" s="45"/>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ht="12.75" x14ac:dyDescent="0.2">
      <c r="A418" s="45"/>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ht="12.75" x14ac:dyDescent="0.2">
      <c r="A419" s="45"/>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ht="12.75" x14ac:dyDescent="0.2">
      <c r="A420" s="45"/>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ht="12.75" x14ac:dyDescent="0.2">
      <c r="A421" s="45"/>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ht="12.75" x14ac:dyDescent="0.2">
      <c r="A422" s="45"/>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ht="12.75" x14ac:dyDescent="0.2">
      <c r="A423" s="45"/>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ht="12.75" x14ac:dyDescent="0.2">
      <c r="A424" s="45"/>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ht="12.75" x14ac:dyDescent="0.2">
      <c r="A425" s="45"/>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ht="12.75" x14ac:dyDescent="0.2">
      <c r="A426" s="45"/>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ht="12.75" x14ac:dyDescent="0.2">
      <c r="A427" s="45"/>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ht="12.75" x14ac:dyDescent="0.2">
      <c r="A428" s="45"/>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ht="12.75" x14ac:dyDescent="0.2">
      <c r="A429" s="45"/>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ht="12.75" x14ac:dyDescent="0.2">
      <c r="A430" s="45"/>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ht="12.75" x14ac:dyDescent="0.2">
      <c r="A431" s="45"/>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ht="12.75" x14ac:dyDescent="0.2">
      <c r="A432" s="45"/>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ht="12.75" x14ac:dyDescent="0.2">
      <c r="A433" s="45"/>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ht="12.75" x14ac:dyDescent="0.2">
      <c r="A434" s="45"/>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ht="12.75" x14ac:dyDescent="0.2">
      <c r="A435" s="45"/>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ht="12.75" x14ac:dyDescent="0.2">
      <c r="A436" s="45"/>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ht="12.75" x14ac:dyDescent="0.2">
      <c r="A437" s="45"/>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ht="12.75" x14ac:dyDescent="0.2">
      <c r="A438" s="45"/>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ht="12.75" x14ac:dyDescent="0.2">
      <c r="A439" s="45"/>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ht="12.75" x14ac:dyDescent="0.2">
      <c r="A440" s="45"/>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ht="12.75" x14ac:dyDescent="0.2">
      <c r="A441" s="45"/>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ht="12.75" x14ac:dyDescent="0.2">
      <c r="A442" s="45"/>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ht="12.75" x14ac:dyDescent="0.2">
      <c r="A443" s="45"/>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ht="12.75" x14ac:dyDescent="0.2">
      <c r="A444" s="45"/>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ht="12.75" x14ac:dyDescent="0.2">
      <c r="A445" s="45"/>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ht="12.75" x14ac:dyDescent="0.2">
      <c r="A446" s="45"/>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ht="12.75" x14ac:dyDescent="0.2">
      <c r="A447" s="45"/>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ht="12.75" x14ac:dyDescent="0.2">
      <c r="A448" s="45"/>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ht="12.75" x14ac:dyDescent="0.2">
      <c r="A449" s="45"/>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ht="12.75" x14ac:dyDescent="0.2">
      <c r="A450" s="45"/>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ht="12.75" x14ac:dyDescent="0.2">
      <c r="A451" s="45"/>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ht="12.75" x14ac:dyDescent="0.2">
      <c r="A452" s="45"/>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ht="12.75" x14ac:dyDescent="0.2">
      <c r="A453" s="45"/>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ht="12.75" x14ac:dyDescent="0.2">
      <c r="A454" s="45"/>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ht="12.75" x14ac:dyDescent="0.2">
      <c r="A455" s="45"/>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ht="12.75" x14ac:dyDescent="0.2">
      <c r="A456" s="45"/>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ht="12.75" x14ac:dyDescent="0.2">
      <c r="A457" s="45"/>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ht="12.75" x14ac:dyDescent="0.2">
      <c r="A458" s="45"/>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ht="12.75" x14ac:dyDescent="0.2">
      <c r="A459" s="45"/>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ht="12.75" x14ac:dyDescent="0.2">
      <c r="A460" s="45"/>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ht="12.75" x14ac:dyDescent="0.2">
      <c r="A461" s="45"/>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ht="12.75" x14ac:dyDescent="0.2">
      <c r="A462" s="45"/>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ht="12.75" x14ac:dyDescent="0.2">
      <c r="A463" s="45"/>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ht="12.75" x14ac:dyDescent="0.2">
      <c r="A464" s="45"/>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ht="12.75" x14ac:dyDescent="0.2">
      <c r="A465" s="45"/>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ht="12.75" x14ac:dyDescent="0.2">
      <c r="A466" s="45"/>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ht="12.75" x14ac:dyDescent="0.2">
      <c r="A467" s="45"/>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ht="12.75" x14ac:dyDescent="0.2">
      <c r="A468" s="45"/>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ht="12.75" x14ac:dyDescent="0.2">
      <c r="A469" s="45"/>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ht="12.75" x14ac:dyDescent="0.2">
      <c r="A470" s="45"/>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ht="12.75" x14ac:dyDescent="0.2">
      <c r="A471" s="45"/>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ht="12.75" x14ac:dyDescent="0.2">
      <c r="A472" s="45"/>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ht="12.75" x14ac:dyDescent="0.2">
      <c r="A473" s="45"/>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ht="12.75" x14ac:dyDescent="0.2">
      <c r="A474" s="45"/>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ht="12.75" x14ac:dyDescent="0.2">
      <c r="A475" s="45"/>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ht="12.75" x14ac:dyDescent="0.2">
      <c r="A476" s="45"/>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ht="12.75" x14ac:dyDescent="0.2">
      <c r="A477" s="45"/>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ht="12.75" x14ac:dyDescent="0.2">
      <c r="A478" s="45"/>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ht="12.75" x14ac:dyDescent="0.2">
      <c r="A479" s="45"/>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ht="12.75" x14ac:dyDescent="0.2">
      <c r="A480" s="45"/>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ht="12.75" x14ac:dyDescent="0.2">
      <c r="A481" s="45"/>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ht="12.75" x14ac:dyDescent="0.2">
      <c r="A482" s="45"/>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ht="12.75" x14ac:dyDescent="0.2">
      <c r="A483" s="45"/>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ht="12.75" x14ac:dyDescent="0.2">
      <c r="A484" s="45"/>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ht="12.75" x14ac:dyDescent="0.2">
      <c r="A485" s="45"/>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ht="12.75" x14ac:dyDescent="0.2">
      <c r="A486" s="45"/>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ht="12.75" x14ac:dyDescent="0.2">
      <c r="A487" s="45"/>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ht="12.75" x14ac:dyDescent="0.2">
      <c r="A488" s="45"/>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ht="12.75" x14ac:dyDescent="0.2">
      <c r="A489" s="45"/>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ht="12.75" x14ac:dyDescent="0.2">
      <c r="A490" s="45"/>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ht="12.75" x14ac:dyDescent="0.2">
      <c r="A491" s="45"/>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ht="12.75" x14ac:dyDescent="0.2">
      <c r="A492" s="45"/>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ht="12.75" x14ac:dyDescent="0.2">
      <c r="A493" s="45"/>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ht="12.75" x14ac:dyDescent="0.2">
      <c r="A494" s="45"/>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ht="12.75" x14ac:dyDescent="0.2">
      <c r="A495" s="45"/>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ht="12.75" x14ac:dyDescent="0.2">
      <c r="A496" s="45"/>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ht="12.75" x14ac:dyDescent="0.2">
      <c r="A497" s="45"/>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ht="12.75" x14ac:dyDescent="0.2">
      <c r="A498" s="45"/>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ht="12.75" x14ac:dyDescent="0.2">
      <c r="A499" s="45"/>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ht="12.75" x14ac:dyDescent="0.2">
      <c r="A500" s="45"/>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ht="12.75" x14ac:dyDescent="0.2">
      <c r="A501" s="45"/>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ht="12.75" x14ac:dyDescent="0.2">
      <c r="A502" s="45"/>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ht="12.75" x14ac:dyDescent="0.2">
      <c r="A503" s="45"/>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ht="12.75" x14ac:dyDescent="0.2">
      <c r="A504" s="45"/>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ht="12.75" x14ac:dyDescent="0.2">
      <c r="A505" s="45"/>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ht="12.75" x14ac:dyDescent="0.2">
      <c r="A506" s="45"/>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ht="12.75" x14ac:dyDescent="0.2">
      <c r="A507" s="45"/>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ht="12.75" x14ac:dyDescent="0.2">
      <c r="A508" s="45"/>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ht="12.75" x14ac:dyDescent="0.2">
      <c r="A509" s="45"/>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ht="12.75" x14ac:dyDescent="0.2">
      <c r="A510" s="45"/>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ht="12.75" x14ac:dyDescent="0.2">
      <c r="A511" s="45"/>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ht="12.75" x14ac:dyDescent="0.2">
      <c r="A512" s="45"/>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ht="12.75" x14ac:dyDescent="0.2">
      <c r="A513" s="45"/>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ht="12.75" x14ac:dyDescent="0.2">
      <c r="A514" s="45"/>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ht="12.75" x14ac:dyDescent="0.2">
      <c r="A515" s="45"/>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ht="12.75" x14ac:dyDescent="0.2">
      <c r="A516" s="45"/>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ht="12.75" x14ac:dyDescent="0.2">
      <c r="A517" s="45"/>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ht="12.75" x14ac:dyDescent="0.2">
      <c r="A518" s="45"/>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ht="12.75" x14ac:dyDescent="0.2">
      <c r="A519" s="45"/>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ht="12.75" x14ac:dyDescent="0.2">
      <c r="A520" s="45"/>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ht="12.75" x14ac:dyDescent="0.2">
      <c r="A521" s="45"/>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ht="12.75" x14ac:dyDescent="0.2">
      <c r="A522" s="45"/>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ht="12.75" x14ac:dyDescent="0.2">
      <c r="A523" s="45"/>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ht="12.75" x14ac:dyDescent="0.2">
      <c r="A524" s="45"/>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ht="12.75" x14ac:dyDescent="0.2">
      <c r="A525" s="45"/>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ht="12.75" x14ac:dyDescent="0.2">
      <c r="A526" s="45"/>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ht="12.75" x14ac:dyDescent="0.2">
      <c r="A527" s="45"/>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ht="12.75" x14ac:dyDescent="0.2">
      <c r="A528" s="45"/>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ht="12.75" x14ac:dyDescent="0.2">
      <c r="A529" s="45"/>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ht="12.75" x14ac:dyDescent="0.2">
      <c r="A530" s="45"/>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ht="12.75" x14ac:dyDescent="0.2">
      <c r="A531" s="45"/>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ht="12.75" x14ac:dyDescent="0.2">
      <c r="A532" s="45"/>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ht="12.75" x14ac:dyDescent="0.2">
      <c r="A533" s="45"/>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ht="12.75" x14ac:dyDescent="0.2">
      <c r="A534" s="45"/>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ht="12.75" x14ac:dyDescent="0.2">
      <c r="A535" s="45"/>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ht="12.75" x14ac:dyDescent="0.2">
      <c r="A536" s="45"/>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ht="12.75" x14ac:dyDescent="0.2">
      <c r="A537" s="45"/>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ht="12.75" x14ac:dyDescent="0.2">
      <c r="A538" s="45"/>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ht="12.75" x14ac:dyDescent="0.2">
      <c r="A539" s="45"/>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ht="12.75" x14ac:dyDescent="0.2">
      <c r="A540" s="45"/>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ht="12.75" x14ac:dyDescent="0.2">
      <c r="A541" s="45"/>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ht="12.75" x14ac:dyDescent="0.2">
      <c r="A542" s="45"/>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ht="12.75" x14ac:dyDescent="0.2">
      <c r="A543" s="45"/>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ht="12.75" x14ac:dyDescent="0.2">
      <c r="A544" s="45"/>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ht="12.75" x14ac:dyDescent="0.2">
      <c r="A545" s="45"/>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ht="12.75" x14ac:dyDescent="0.2">
      <c r="A546" s="45"/>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ht="12.75" x14ac:dyDescent="0.2">
      <c r="A547" s="45"/>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ht="12.75" x14ac:dyDescent="0.2">
      <c r="A548" s="45"/>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ht="12.75" x14ac:dyDescent="0.2">
      <c r="A549" s="45"/>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ht="12.75" x14ac:dyDescent="0.2">
      <c r="A550" s="45"/>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ht="12.75" x14ac:dyDescent="0.2">
      <c r="A551" s="45"/>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ht="12.75" x14ac:dyDescent="0.2">
      <c r="A552" s="45"/>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ht="12.75" x14ac:dyDescent="0.2">
      <c r="A553" s="45"/>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ht="12.75" x14ac:dyDescent="0.2">
      <c r="A554" s="45"/>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ht="12.75" x14ac:dyDescent="0.2">
      <c r="A555" s="45"/>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ht="12.75" x14ac:dyDescent="0.2">
      <c r="A556" s="45"/>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ht="12.75" x14ac:dyDescent="0.2">
      <c r="A557" s="45"/>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ht="12.75" x14ac:dyDescent="0.2">
      <c r="A558" s="45"/>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ht="12.75" x14ac:dyDescent="0.2">
      <c r="A559" s="45"/>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ht="12.75" x14ac:dyDescent="0.2">
      <c r="A560" s="45"/>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ht="12.75" x14ac:dyDescent="0.2">
      <c r="A561" s="45"/>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ht="12.75" x14ac:dyDescent="0.2">
      <c r="A562" s="45"/>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ht="12.75" x14ac:dyDescent="0.2">
      <c r="A563" s="45"/>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ht="12.75" x14ac:dyDescent="0.2">
      <c r="A564" s="45"/>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ht="12.75" x14ac:dyDescent="0.2">
      <c r="A565" s="45"/>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ht="12.75" x14ac:dyDescent="0.2">
      <c r="A566" s="45"/>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ht="12.75" x14ac:dyDescent="0.2">
      <c r="A567" s="45"/>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ht="12.75" x14ac:dyDescent="0.2">
      <c r="A568" s="45"/>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ht="12.75" x14ac:dyDescent="0.2">
      <c r="A569" s="45"/>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ht="12.75" x14ac:dyDescent="0.2">
      <c r="A570" s="45"/>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ht="12.75" x14ac:dyDescent="0.2">
      <c r="A571" s="45"/>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ht="12.75" x14ac:dyDescent="0.2">
      <c r="A572" s="45"/>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ht="12.75" x14ac:dyDescent="0.2">
      <c r="A573" s="45"/>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ht="12.75" x14ac:dyDescent="0.2">
      <c r="A574" s="45"/>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ht="12.75" x14ac:dyDescent="0.2">
      <c r="A575" s="45"/>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ht="12.75" x14ac:dyDescent="0.2">
      <c r="A576" s="45"/>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ht="12.75" x14ac:dyDescent="0.2">
      <c r="A577" s="45"/>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ht="12.75" x14ac:dyDescent="0.2">
      <c r="A578" s="45"/>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ht="12.75" x14ac:dyDescent="0.2">
      <c r="A579" s="45"/>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ht="12.75" x14ac:dyDescent="0.2">
      <c r="A580" s="45"/>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ht="12.75" x14ac:dyDescent="0.2">
      <c r="A581" s="45"/>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ht="12.75" x14ac:dyDescent="0.2">
      <c r="A582" s="45"/>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ht="12.75" x14ac:dyDescent="0.2">
      <c r="A583" s="45"/>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ht="12.75" x14ac:dyDescent="0.2">
      <c r="A584" s="45"/>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ht="12.75" x14ac:dyDescent="0.2">
      <c r="A585" s="45"/>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ht="12.75" x14ac:dyDescent="0.2">
      <c r="A586" s="45"/>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ht="12.75" x14ac:dyDescent="0.2">
      <c r="A587" s="45"/>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ht="12.75" x14ac:dyDescent="0.2">
      <c r="A588" s="45"/>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ht="12.75" x14ac:dyDescent="0.2">
      <c r="A589" s="45"/>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ht="12.75" x14ac:dyDescent="0.2">
      <c r="A590" s="45"/>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ht="12.75" x14ac:dyDescent="0.2">
      <c r="A591" s="45"/>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ht="12.75" x14ac:dyDescent="0.2">
      <c r="A592" s="45"/>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ht="12.75" x14ac:dyDescent="0.2">
      <c r="A593" s="45"/>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ht="12.75" x14ac:dyDescent="0.2">
      <c r="A594" s="45"/>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ht="12.75" x14ac:dyDescent="0.2">
      <c r="A595" s="45"/>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ht="12.75" x14ac:dyDescent="0.2">
      <c r="A596" s="45"/>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ht="12.75" x14ac:dyDescent="0.2">
      <c r="A597" s="45"/>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ht="12.75" x14ac:dyDescent="0.2">
      <c r="A598" s="45"/>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ht="12.75" x14ac:dyDescent="0.2">
      <c r="A599" s="45"/>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ht="12.75" x14ac:dyDescent="0.2">
      <c r="A600" s="45"/>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ht="12.75" x14ac:dyDescent="0.2">
      <c r="A601" s="45"/>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ht="12.75" x14ac:dyDescent="0.2">
      <c r="A602" s="45"/>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ht="12.75" x14ac:dyDescent="0.2">
      <c r="A603" s="45"/>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ht="12.75" x14ac:dyDescent="0.2">
      <c r="A604" s="45"/>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ht="12.75" x14ac:dyDescent="0.2">
      <c r="A605" s="45"/>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ht="12.75" x14ac:dyDescent="0.2">
      <c r="A606" s="45"/>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ht="12.75" x14ac:dyDescent="0.2">
      <c r="A607" s="45"/>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ht="12.75" x14ac:dyDescent="0.2">
      <c r="A608" s="45"/>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ht="12.75" x14ac:dyDescent="0.2">
      <c r="A609" s="45"/>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ht="12.75" x14ac:dyDescent="0.2">
      <c r="A610" s="45"/>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ht="12.75" x14ac:dyDescent="0.2">
      <c r="A611" s="45"/>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ht="12.75" x14ac:dyDescent="0.2">
      <c r="A612" s="45"/>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ht="12.75" x14ac:dyDescent="0.2">
      <c r="A613" s="45"/>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ht="12.75" x14ac:dyDescent="0.2">
      <c r="A614" s="45"/>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ht="12.75" x14ac:dyDescent="0.2">
      <c r="A615" s="45"/>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ht="12.75" x14ac:dyDescent="0.2">
      <c r="A616" s="45"/>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ht="12.75" x14ac:dyDescent="0.2">
      <c r="A617" s="45"/>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ht="12.75" x14ac:dyDescent="0.2">
      <c r="A618" s="45"/>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ht="12.75" x14ac:dyDescent="0.2">
      <c r="A619" s="45"/>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ht="12.75" x14ac:dyDescent="0.2">
      <c r="A620" s="45"/>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ht="12.75" x14ac:dyDescent="0.2">
      <c r="A621" s="45"/>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ht="12.75" x14ac:dyDescent="0.2">
      <c r="A622" s="45"/>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ht="12.75" x14ac:dyDescent="0.2">
      <c r="A623" s="45"/>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ht="12.75" x14ac:dyDescent="0.2">
      <c r="A624" s="45"/>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ht="12.75" x14ac:dyDescent="0.2">
      <c r="A625" s="45"/>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ht="12.75" x14ac:dyDescent="0.2">
      <c r="A626" s="45"/>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ht="12.75" x14ac:dyDescent="0.2">
      <c r="A627" s="45"/>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ht="12.75" x14ac:dyDescent="0.2">
      <c r="A628" s="45"/>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ht="12.75" x14ac:dyDescent="0.2">
      <c r="A629" s="45"/>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ht="12.75" x14ac:dyDescent="0.2">
      <c r="A630" s="45"/>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ht="12.75" x14ac:dyDescent="0.2">
      <c r="A631" s="45"/>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ht="12.75" x14ac:dyDescent="0.2">
      <c r="A632" s="45"/>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ht="12.75" x14ac:dyDescent="0.2">
      <c r="A633" s="45"/>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ht="12.75" x14ac:dyDescent="0.2">
      <c r="A634" s="45"/>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ht="12.75" x14ac:dyDescent="0.2">
      <c r="A635" s="45"/>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ht="12.75" x14ac:dyDescent="0.2">
      <c r="A636" s="45"/>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ht="12.75" x14ac:dyDescent="0.2">
      <c r="A637" s="45"/>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ht="12.75" x14ac:dyDescent="0.2">
      <c r="A638" s="45"/>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ht="12.75" x14ac:dyDescent="0.2">
      <c r="A639" s="45"/>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ht="12.75" x14ac:dyDescent="0.2">
      <c r="A640" s="45"/>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ht="12.75" x14ac:dyDescent="0.2">
      <c r="A641" s="45"/>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ht="12.75" x14ac:dyDescent="0.2">
      <c r="A642" s="45"/>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ht="12.75" x14ac:dyDescent="0.2">
      <c r="A643" s="45"/>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ht="12.75" x14ac:dyDescent="0.2">
      <c r="A644" s="45"/>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ht="12.75" x14ac:dyDescent="0.2">
      <c r="A645" s="45"/>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ht="12.75" x14ac:dyDescent="0.2">
      <c r="A646" s="45"/>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ht="12.75" x14ac:dyDescent="0.2">
      <c r="A647" s="45"/>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ht="12.75" x14ac:dyDescent="0.2">
      <c r="A648" s="45"/>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ht="12.75" x14ac:dyDescent="0.2">
      <c r="A649" s="45"/>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ht="12.75" x14ac:dyDescent="0.2">
      <c r="A650" s="45"/>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ht="12.75" x14ac:dyDescent="0.2">
      <c r="A651" s="45"/>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ht="12.75" x14ac:dyDescent="0.2">
      <c r="A652" s="45"/>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ht="12.75" x14ac:dyDescent="0.2">
      <c r="A653" s="45"/>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ht="12.75" x14ac:dyDescent="0.2">
      <c r="A654" s="45"/>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ht="12.75" x14ac:dyDescent="0.2">
      <c r="A655" s="45"/>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ht="12.75" x14ac:dyDescent="0.2">
      <c r="A656" s="45"/>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ht="12.75" x14ac:dyDescent="0.2">
      <c r="A657" s="45"/>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ht="12.75" x14ac:dyDescent="0.2">
      <c r="A658" s="45"/>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ht="12.75" x14ac:dyDescent="0.2">
      <c r="A659" s="45"/>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ht="12.75" x14ac:dyDescent="0.2">
      <c r="A660" s="45"/>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ht="12.75" x14ac:dyDescent="0.2">
      <c r="A661" s="45"/>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ht="12.75" x14ac:dyDescent="0.2">
      <c r="A662" s="45"/>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ht="12.75" x14ac:dyDescent="0.2">
      <c r="A663" s="45"/>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ht="12.75" x14ac:dyDescent="0.2">
      <c r="A664" s="45"/>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ht="12.75" x14ac:dyDescent="0.2">
      <c r="A665" s="45"/>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ht="12.75" x14ac:dyDescent="0.2">
      <c r="A666" s="45"/>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ht="12.75" x14ac:dyDescent="0.2">
      <c r="A667" s="45"/>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ht="12.75" x14ac:dyDescent="0.2">
      <c r="A668" s="45"/>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ht="12.75" x14ac:dyDescent="0.2">
      <c r="A669" s="45"/>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ht="12.75" x14ac:dyDescent="0.2">
      <c r="A670" s="45"/>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ht="12.75" x14ac:dyDescent="0.2">
      <c r="A671" s="45"/>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ht="12.75" x14ac:dyDescent="0.2">
      <c r="A672" s="45"/>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ht="12.75" x14ac:dyDescent="0.2">
      <c r="A673" s="45"/>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ht="12.75" x14ac:dyDescent="0.2">
      <c r="A674" s="45"/>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ht="12.75" x14ac:dyDescent="0.2">
      <c r="A675" s="45"/>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ht="12.75" x14ac:dyDescent="0.2">
      <c r="A676" s="45"/>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ht="12.75" x14ac:dyDescent="0.2">
      <c r="A677" s="45"/>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ht="12.75" x14ac:dyDescent="0.2">
      <c r="A678" s="45"/>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ht="12.75" x14ac:dyDescent="0.2">
      <c r="A679" s="45"/>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ht="12.75" x14ac:dyDescent="0.2">
      <c r="A680" s="45"/>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ht="12.75" x14ac:dyDescent="0.2">
      <c r="A681" s="45"/>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ht="12.75" x14ac:dyDescent="0.2">
      <c r="A682" s="45"/>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ht="12.75" x14ac:dyDescent="0.2">
      <c r="A683" s="45"/>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ht="12.75" x14ac:dyDescent="0.2">
      <c r="A684" s="45"/>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ht="12.75" x14ac:dyDescent="0.2">
      <c r="A685" s="45"/>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ht="12.75" x14ac:dyDescent="0.2">
      <c r="A686" s="45"/>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ht="12.75" x14ac:dyDescent="0.2">
      <c r="A687" s="45"/>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ht="12.75" x14ac:dyDescent="0.2">
      <c r="A688" s="45"/>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ht="12.75" x14ac:dyDescent="0.2">
      <c r="A689" s="45"/>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ht="12.75" x14ac:dyDescent="0.2">
      <c r="A690" s="45"/>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ht="12.75" x14ac:dyDescent="0.2">
      <c r="A691" s="45"/>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ht="12.75" x14ac:dyDescent="0.2">
      <c r="A692" s="45"/>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ht="12.75" x14ac:dyDescent="0.2">
      <c r="A693" s="45"/>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ht="12.75" x14ac:dyDescent="0.2">
      <c r="A694" s="45"/>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ht="12.75" x14ac:dyDescent="0.2">
      <c r="A695" s="45"/>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ht="12.75" x14ac:dyDescent="0.2">
      <c r="A696" s="45"/>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ht="12.75" x14ac:dyDescent="0.2">
      <c r="A697" s="45"/>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ht="12.75" x14ac:dyDescent="0.2">
      <c r="A698" s="45"/>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ht="12.75" x14ac:dyDescent="0.2">
      <c r="A699" s="45"/>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ht="12.75" x14ac:dyDescent="0.2">
      <c r="A700" s="45"/>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ht="12.75" x14ac:dyDescent="0.2">
      <c r="A701" s="45"/>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ht="12.75" x14ac:dyDescent="0.2">
      <c r="A702" s="45"/>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ht="12.75" x14ac:dyDescent="0.2">
      <c r="A703" s="45"/>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ht="12.75" x14ac:dyDescent="0.2">
      <c r="A704" s="45"/>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ht="12.75" x14ac:dyDescent="0.2">
      <c r="A705" s="45"/>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ht="12.75" x14ac:dyDescent="0.2">
      <c r="A706" s="45"/>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ht="12.75" x14ac:dyDescent="0.2">
      <c r="A707" s="45"/>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ht="12.75" x14ac:dyDescent="0.2">
      <c r="A708" s="45"/>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ht="12.75" x14ac:dyDescent="0.2">
      <c r="A709" s="45"/>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ht="12.75" x14ac:dyDescent="0.2">
      <c r="A710" s="45"/>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ht="12.75" x14ac:dyDescent="0.2">
      <c r="A711" s="45"/>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ht="12.75" x14ac:dyDescent="0.2">
      <c r="A712" s="45"/>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ht="12.75" x14ac:dyDescent="0.2">
      <c r="A713" s="45"/>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ht="12.75" x14ac:dyDescent="0.2">
      <c r="A714" s="45"/>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ht="12.75" x14ac:dyDescent="0.2">
      <c r="A715" s="45"/>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ht="12.75" x14ac:dyDescent="0.2">
      <c r="A716" s="45"/>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ht="12.75" x14ac:dyDescent="0.2">
      <c r="A717" s="45"/>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ht="12.75" x14ac:dyDescent="0.2">
      <c r="A718" s="45"/>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ht="12.75" x14ac:dyDescent="0.2">
      <c r="A719" s="45"/>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ht="12.75" x14ac:dyDescent="0.2">
      <c r="A720" s="45"/>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ht="12.75" x14ac:dyDescent="0.2">
      <c r="A721" s="45"/>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ht="12.75" x14ac:dyDescent="0.2">
      <c r="A722" s="45"/>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ht="12.75" x14ac:dyDescent="0.2">
      <c r="A723" s="45"/>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ht="12.75" x14ac:dyDescent="0.2">
      <c r="A724" s="45"/>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ht="12.75" x14ac:dyDescent="0.2">
      <c r="A725" s="45"/>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ht="12.75" x14ac:dyDescent="0.2">
      <c r="A726" s="45"/>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ht="12.75" x14ac:dyDescent="0.2">
      <c r="A727" s="45"/>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ht="12.75" x14ac:dyDescent="0.2">
      <c r="A728" s="45"/>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ht="12.75" x14ac:dyDescent="0.2">
      <c r="A729" s="45"/>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ht="12.75" x14ac:dyDescent="0.2">
      <c r="A730" s="45"/>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ht="12.75" x14ac:dyDescent="0.2">
      <c r="A731" s="45"/>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ht="12.75" x14ac:dyDescent="0.2">
      <c r="A732" s="45"/>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ht="12.75" x14ac:dyDescent="0.2">
      <c r="A733" s="45"/>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ht="12.75" x14ac:dyDescent="0.2">
      <c r="A734" s="45"/>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ht="12.75" x14ac:dyDescent="0.2">
      <c r="A735" s="45"/>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ht="12.75" x14ac:dyDescent="0.2">
      <c r="A736" s="45"/>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ht="12.75" x14ac:dyDescent="0.2">
      <c r="A737" s="45"/>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ht="12.75" x14ac:dyDescent="0.2">
      <c r="A738" s="45"/>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ht="12.75" x14ac:dyDescent="0.2">
      <c r="A739" s="45"/>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ht="12.75" x14ac:dyDescent="0.2">
      <c r="A740" s="45"/>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ht="12.75" x14ac:dyDescent="0.2">
      <c r="A741" s="45"/>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ht="12.75" x14ac:dyDescent="0.2">
      <c r="A742" s="45"/>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ht="12.75" x14ac:dyDescent="0.2">
      <c r="A743" s="45"/>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ht="12.75" x14ac:dyDescent="0.2">
      <c r="A744" s="45"/>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ht="12.75" x14ac:dyDescent="0.2">
      <c r="A745" s="45"/>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ht="12.75" x14ac:dyDescent="0.2">
      <c r="A746" s="45"/>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ht="12.75" x14ac:dyDescent="0.2">
      <c r="A747" s="45"/>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ht="12.75" x14ac:dyDescent="0.2">
      <c r="A748" s="45"/>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ht="12.75" x14ac:dyDescent="0.2">
      <c r="A749" s="45"/>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ht="12.75" x14ac:dyDescent="0.2">
      <c r="A750" s="45"/>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ht="12.75" x14ac:dyDescent="0.2">
      <c r="A751" s="45"/>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ht="12.75" x14ac:dyDescent="0.2">
      <c r="A752" s="45"/>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ht="12.75" x14ac:dyDescent="0.2">
      <c r="A753" s="45"/>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ht="12.75" x14ac:dyDescent="0.2">
      <c r="A754" s="45"/>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ht="12.75" x14ac:dyDescent="0.2">
      <c r="A755" s="45"/>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ht="12.75" x14ac:dyDescent="0.2">
      <c r="A756" s="45"/>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ht="12.75" x14ac:dyDescent="0.2">
      <c r="A757" s="45"/>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ht="12.75" x14ac:dyDescent="0.2">
      <c r="A758" s="45"/>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ht="12.75" x14ac:dyDescent="0.2">
      <c r="A759" s="45"/>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ht="12.75" x14ac:dyDescent="0.2">
      <c r="A760" s="45"/>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ht="12.75" x14ac:dyDescent="0.2">
      <c r="A761" s="45"/>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ht="12.75" x14ac:dyDescent="0.2">
      <c r="A762" s="45"/>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ht="12.75" x14ac:dyDescent="0.2">
      <c r="A763" s="45"/>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ht="12.75" x14ac:dyDescent="0.2">
      <c r="A764" s="45"/>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ht="12.75" x14ac:dyDescent="0.2">
      <c r="A765" s="45"/>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ht="12.75" x14ac:dyDescent="0.2">
      <c r="A766" s="45"/>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ht="12.75" x14ac:dyDescent="0.2">
      <c r="A767" s="45"/>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ht="12.75" x14ac:dyDescent="0.2">
      <c r="A768" s="45"/>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ht="12.75" x14ac:dyDescent="0.2">
      <c r="A769" s="45"/>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ht="12.75" x14ac:dyDescent="0.2">
      <c r="A770" s="45"/>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ht="12.75" x14ac:dyDescent="0.2">
      <c r="A771" s="45"/>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ht="12.75" x14ac:dyDescent="0.2">
      <c r="A772" s="45"/>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ht="12.75" x14ac:dyDescent="0.2">
      <c r="A773" s="45"/>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ht="12.75" x14ac:dyDescent="0.2">
      <c r="A774" s="45"/>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ht="12.75" x14ac:dyDescent="0.2">
      <c r="A775" s="45"/>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ht="12.75" x14ac:dyDescent="0.2">
      <c r="A776" s="45"/>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ht="12.75" x14ac:dyDescent="0.2">
      <c r="A777" s="45"/>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ht="12.75" x14ac:dyDescent="0.2">
      <c r="A778" s="45"/>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ht="12.75" x14ac:dyDescent="0.2">
      <c r="A779" s="45"/>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ht="12.75" x14ac:dyDescent="0.2">
      <c r="A780" s="45"/>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ht="12.75" x14ac:dyDescent="0.2">
      <c r="A781" s="45"/>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ht="12.75" x14ac:dyDescent="0.2">
      <c r="A782" s="45"/>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ht="12.75" x14ac:dyDescent="0.2">
      <c r="A783" s="45"/>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ht="12.75" x14ac:dyDescent="0.2">
      <c r="A784" s="45"/>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ht="12.75" x14ac:dyDescent="0.2">
      <c r="A785" s="45"/>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ht="12.75" x14ac:dyDescent="0.2">
      <c r="A786" s="45"/>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ht="12.75" x14ac:dyDescent="0.2">
      <c r="A787" s="45"/>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ht="12.75" x14ac:dyDescent="0.2">
      <c r="A788" s="45"/>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ht="12.75" x14ac:dyDescent="0.2">
      <c r="A789" s="45"/>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ht="12.75" x14ac:dyDescent="0.2">
      <c r="A790" s="45"/>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ht="12.75" x14ac:dyDescent="0.2">
      <c r="A791" s="45"/>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ht="12.75" x14ac:dyDescent="0.2">
      <c r="A792" s="45"/>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ht="12.75" x14ac:dyDescent="0.2">
      <c r="A793" s="45"/>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ht="12.75" x14ac:dyDescent="0.2">
      <c r="A794" s="45"/>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ht="12.75" x14ac:dyDescent="0.2">
      <c r="A795" s="45"/>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ht="12.75" x14ac:dyDescent="0.2">
      <c r="A796" s="45"/>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ht="12.75" x14ac:dyDescent="0.2">
      <c r="A797" s="45"/>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ht="12.75" x14ac:dyDescent="0.2">
      <c r="A798" s="45"/>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ht="12.75" x14ac:dyDescent="0.2">
      <c r="A799" s="45"/>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ht="12.75" x14ac:dyDescent="0.2">
      <c r="A800" s="45"/>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ht="12.75" x14ac:dyDescent="0.2">
      <c r="A801" s="45"/>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ht="12.75" x14ac:dyDescent="0.2">
      <c r="A802" s="45"/>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ht="12.75" x14ac:dyDescent="0.2">
      <c r="A803" s="45"/>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ht="12.75" x14ac:dyDescent="0.2">
      <c r="A804" s="45"/>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ht="12.75" x14ac:dyDescent="0.2">
      <c r="A805" s="45"/>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ht="12.75" x14ac:dyDescent="0.2">
      <c r="A806" s="45"/>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ht="12.75" x14ac:dyDescent="0.2">
      <c r="A807" s="45"/>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ht="12.75" x14ac:dyDescent="0.2">
      <c r="A808" s="45"/>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ht="12.75" x14ac:dyDescent="0.2">
      <c r="A809" s="45"/>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ht="12.75" x14ac:dyDescent="0.2">
      <c r="A810" s="45"/>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ht="12.75" x14ac:dyDescent="0.2">
      <c r="A811" s="45"/>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ht="12.75" x14ac:dyDescent="0.2">
      <c r="A812" s="45"/>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ht="12.75" x14ac:dyDescent="0.2">
      <c r="A813" s="45"/>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ht="12.75" x14ac:dyDescent="0.2">
      <c r="A814" s="45"/>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ht="12.75" x14ac:dyDescent="0.2">
      <c r="A815" s="45"/>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ht="12.75" x14ac:dyDescent="0.2">
      <c r="A816" s="45"/>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ht="12.75" x14ac:dyDescent="0.2">
      <c r="A817" s="45"/>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ht="12.75" x14ac:dyDescent="0.2">
      <c r="A818" s="45"/>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ht="12.75" x14ac:dyDescent="0.2">
      <c r="A819" s="45"/>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ht="12.75" x14ac:dyDescent="0.2">
      <c r="A820" s="45"/>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ht="12.75" x14ac:dyDescent="0.2">
      <c r="A821" s="45"/>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ht="12.75" x14ac:dyDescent="0.2">
      <c r="A822" s="45"/>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ht="12.75" x14ac:dyDescent="0.2">
      <c r="A823" s="45"/>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ht="12.75" x14ac:dyDescent="0.2">
      <c r="A824" s="45"/>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ht="12.75" x14ac:dyDescent="0.2">
      <c r="A825" s="45"/>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ht="12.75" x14ac:dyDescent="0.2">
      <c r="A826" s="45"/>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ht="12.75" x14ac:dyDescent="0.2">
      <c r="A827" s="45"/>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ht="12.75" x14ac:dyDescent="0.2">
      <c r="A828" s="45"/>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ht="12.75" x14ac:dyDescent="0.2">
      <c r="A829" s="45"/>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ht="12.75" x14ac:dyDescent="0.2">
      <c r="A830" s="45"/>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ht="12.75" x14ac:dyDescent="0.2">
      <c r="A831" s="45"/>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ht="12.75" x14ac:dyDescent="0.2">
      <c r="A832" s="45"/>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ht="12.75" x14ac:dyDescent="0.2">
      <c r="A833" s="45"/>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ht="12.75" x14ac:dyDescent="0.2">
      <c r="A834" s="45"/>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ht="12.75" x14ac:dyDescent="0.2">
      <c r="A835" s="45"/>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ht="12.75" x14ac:dyDescent="0.2">
      <c r="A836" s="45"/>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ht="12.75" x14ac:dyDescent="0.2">
      <c r="A837" s="45"/>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ht="12.75" x14ac:dyDescent="0.2">
      <c r="A838" s="45"/>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ht="12.75" x14ac:dyDescent="0.2">
      <c r="A839" s="45"/>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ht="12.75" x14ac:dyDescent="0.2">
      <c r="A840" s="45"/>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ht="12.75" x14ac:dyDescent="0.2">
      <c r="A841" s="45"/>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ht="12.75" x14ac:dyDescent="0.2">
      <c r="A842" s="45"/>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ht="12.75" x14ac:dyDescent="0.2">
      <c r="A843" s="45"/>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ht="12.75" x14ac:dyDescent="0.2">
      <c r="A844" s="45"/>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ht="12.75" x14ac:dyDescent="0.2">
      <c r="A845" s="45"/>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ht="12.75" x14ac:dyDescent="0.2">
      <c r="A846" s="45"/>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ht="12.75" x14ac:dyDescent="0.2">
      <c r="A847" s="45"/>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ht="12.75" x14ac:dyDescent="0.2">
      <c r="A848" s="45"/>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ht="12.75" x14ac:dyDescent="0.2">
      <c r="A849" s="45"/>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ht="12.75" x14ac:dyDescent="0.2">
      <c r="A850" s="45"/>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ht="12.75" x14ac:dyDescent="0.2">
      <c r="A851" s="45"/>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ht="12.75" x14ac:dyDescent="0.2">
      <c r="A852" s="45"/>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ht="12.75" x14ac:dyDescent="0.2">
      <c r="A853" s="45"/>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ht="12.75" x14ac:dyDescent="0.2">
      <c r="A854" s="45"/>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ht="12.75" x14ac:dyDescent="0.2">
      <c r="A855" s="45"/>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ht="12.75" x14ac:dyDescent="0.2">
      <c r="A856" s="45"/>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ht="12.75" x14ac:dyDescent="0.2">
      <c r="A857" s="45"/>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ht="12.75" x14ac:dyDescent="0.2">
      <c r="A858" s="45"/>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ht="12.75" x14ac:dyDescent="0.2">
      <c r="A859" s="45"/>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ht="12.75" x14ac:dyDescent="0.2">
      <c r="A860" s="45"/>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ht="12.75" x14ac:dyDescent="0.2">
      <c r="A861" s="45"/>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ht="12.75" x14ac:dyDescent="0.2">
      <c r="A862" s="45"/>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ht="12.75" x14ac:dyDescent="0.2">
      <c r="A863" s="45"/>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ht="12.75" x14ac:dyDescent="0.2">
      <c r="A864" s="45"/>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ht="12.75" x14ac:dyDescent="0.2">
      <c r="A865" s="45"/>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ht="12.75" x14ac:dyDescent="0.2">
      <c r="A866" s="45"/>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ht="12.75" x14ac:dyDescent="0.2">
      <c r="A867" s="45"/>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ht="12.75" x14ac:dyDescent="0.2">
      <c r="A868" s="45"/>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ht="12.75" x14ac:dyDescent="0.2">
      <c r="A869" s="45"/>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ht="12.75" x14ac:dyDescent="0.2">
      <c r="A870" s="45"/>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ht="12.75" x14ac:dyDescent="0.2">
      <c r="A871" s="45"/>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ht="12.75" x14ac:dyDescent="0.2">
      <c r="A872" s="45"/>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ht="12.75" x14ac:dyDescent="0.2">
      <c r="A873" s="45"/>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ht="12.75" x14ac:dyDescent="0.2">
      <c r="A874" s="45"/>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ht="12.75" x14ac:dyDescent="0.2">
      <c r="A875" s="45"/>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ht="12.75" x14ac:dyDescent="0.2">
      <c r="A876" s="45"/>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ht="12.75" x14ac:dyDescent="0.2">
      <c r="A877" s="45"/>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ht="12.75" x14ac:dyDescent="0.2">
      <c r="A878" s="45"/>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ht="12.75" x14ac:dyDescent="0.2">
      <c r="A879" s="45"/>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ht="12.75" x14ac:dyDescent="0.2">
      <c r="A880" s="45"/>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ht="12.75" x14ac:dyDescent="0.2">
      <c r="A881" s="45"/>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ht="12.75" x14ac:dyDescent="0.2">
      <c r="A882" s="45"/>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ht="12.75" x14ac:dyDescent="0.2">
      <c r="A883" s="45"/>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ht="12.75" x14ac:dyDescent="0.2">
      <c r="A884" s="45"/>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ht="12.75" x14ac:dyDescent="0.2">
      <c r="A885" s="45"/>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ht="12.75" x14ac:dyDescent="0.2">
      <c r="A886" s="45"/>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ht="12.75" x14ac:dyDescent="0.2">
      <c r="A887" s="45"/>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ht="12.75" x14ac:dyDescent="0.2">
      <c r="A888" s="45"/>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ht="12.75" x14ac:dyDescent="0.2">
      <c r="A889" s="45"/>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ht="12.75" x14ac:dyDescent="0.2">
      <c r="A890" s="45"/>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ht="12.75" x14ac:dyDescent="0.2">
      <c r="A891" s="45"/>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ht="12.75" x14ac:dyDescent="0.2">
      <c r="A892" s="45"/>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ht="12.75" x14ac:dyDescent="0.2">
      <c r="A893" s="45"/>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ht="12.75" x14ac:dyDescent="0.2">
      <c r="A894" s="45"/>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ht="12.75" x14ac:dyDescent="0.2">
      <c r="A895" s="45"/>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ht="12.75" x14ac:dyDescent="0.2">
      <c r="A896" s="45"/>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ht="12.75" x14ac:dyDescent="0.2">
      <c r="A897" s="45"/>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ht="12.75" x14ac:dyDescent="0.2">
      <c r="A898" s="45"/>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ht="12.75" x14ac:dyDescent="0.2">
      <c r="A899" s="45"/>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ht="12.75" x14ac:dyDescent="0.2">
      <c r="A900" s="45"/>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ht="12.75" x14ac:dyDescent="0.2">
      <c r="A901" s="45"/>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ht="12.75" x14ac:dyDescent="0.2">
      <c r="A902" s="45"/>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ht="12.75" x14ac:dyDescent="0.2">
      <c r="A903" s="45"/>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ht="12.75" x14ac:dyDescent="0.2">
      <c r="A904" s="45"/>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ht="12.75" x14ac:dyDescent="0.2">
      <c r="A905" s="45"/>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ht="12.75" x14ac:dyDescent="0.2">
      <c r="A906" s="45"/>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ht="12.75" x14ac:dyDescent="0.2">
      <c r="A907" s="45"/>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ht="12.75" x14ac:dyDescent="0.2">
      <c r="A908" s="45"/>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ht="12.75" x14ac:dyDescent="0.2">
      <c r="A909" s="45"/>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ht="12.75" x14ac:dyDescent="0.2">
      <c r="A910" s="45"/>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ht="12.75" x14ac:dyDescent="0.2">
      <c r="A911" s="45"/>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ht="12.75" x14ac:dyDescent="0.2">
      <c r="A912" s="45"/>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ht="12.75" x14ac:dyDescent="0.2">
      <c r="A913" s="45"/>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ht="12.75" x14ac:dyDescent="0.2">
      <c r="A914" s="45"/>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ht="12.75" x14ac:dyDescent="0.2">
      <c r="A915" s="45"/>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ht="12.75" x14ac:dyDescent="0.2">
      <c r="A916" s="45"/>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ht="12.75" x14ac:dyDescent="0.2">
      <c r="A917" s="45"/>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ht="12.75" x14ac:dyDescent="0.2">
      <c r="A918" s="45"/>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ht="12.75" x14ac:dyDescent="0.2">
      <c r="A919" s="45"/>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ht="12.75" x14ac:dyDescent="0.2">
      <c r="A920" s="45"/>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ht="12.75" x14ac:dyDescent="0.2">
      <c r="A921" s="45"/>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ht="12.75" x14ac:dyDescent="0.2">
      <c r="A922" s="45"/>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ht="12.75" x14ac:dyDescent="0.2">
      <c r="A923" s="45"/>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ht="12.75" x14ac:dyDescent="0.2">
      <c r="A924" s="45"/>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ht="12.75" x14ac:dyDescent="0.2">
      <c r="A925" s="45"/>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ht="12.75" x14ac:dyDescent="0.2">
      <c r="A926" s="45"/>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ht="12.75" x14ac:dyDescent="0.2">
      <c r="A927" s="45"/>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ht="12.75" x14ac:dyDescent="0.2">
      <c r="A928" s="45"/>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ht="12.75" x14ac:dyDescent="0.2">
      <c r="A929" s="45"/>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ht="12.75" x14ac:dyDescent="0.2">
      <c r="A930" s="45"/>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ht="12.75" x14ac:dyDescent="0.2">
      <c r="A931" s="45"/>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ht="12.75" x14ac:dyDescent="0.2">
      <c r="A932" s="45"/>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ht="12.75" x14ac:dyDescent="0.2">
      <c r="A933" s="45"/>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ht="12.75" x14ac:dyDescent="0.2">
      <c r="A934" s="45"/>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ht="12.75" x14ac:dyDescent="0.2">
      <c r="A935" s="45"/>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ht="12.75" x14ac:dyDescent="0.2">
      <c r="A936" s="45"/>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ht="12.75" x14ac:dyDescent="0.2">
      <c r="A937" s="45"/>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ht="12.75" x14ac:dyDescent="0.2">
      <c r="A938" s="45"/>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ht="12.75" x14ac:dyDescent="0.2">
      <c r="A939" s="45"/>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ht="12.75" x14ac:dyDescent="0.2">
      <c r="A940" s="45"/>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ht="12.75" x14ac:dyDescent="0.2">
      <c r="A941" s="45"/>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ht="12.75" x14ac:dyDescent="0.2">
      <c r="A942" s="45"/>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ht="12.75" x14ac:dyDescent="0.2">
      <c r="A943" s="45"/>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ht="12.75" x14ac:dyDescent="0.2">
      <c r="A944" s="45"/>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ht="12.75" x14ac:dyDescent="0.2">
      <c r="A945" s="45"/>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ht="12.75" x14ac:dyDescent="0.2">
      <c r="A946" s="45"/>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ht="12.75" x14ac:dyDescent="0.2">
      <c r="A947" s="45"/>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ht="12.75" x14ac:dyDescent="0.2">
      <c r="A948" s="45"/>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ht="12.75" x14ac:dyDescent="0.2">
      <c r="A949" s="45"/>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ht="12.75" x14ac:dyDescent="0.2">
      <c r="A950" s="45"/>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ht="12.75" x14ac:dyDescent="0.2">
      <c r="A951" s="45"/>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ht="12.75" x14ac:dyDescent="0.2">
      <c r="A952" s="45"/>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ht="12.75" x14ac:dyDescent="0.2">
      <c r="A953" s="45"/>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ht="12.75" x14ac:dyDescent="0.2">
      <c r="A954" s="45"/>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ht="12.75" x14ac:dyDescent="0.2">
      <c r="A955" s="45"/>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ht="12.75" x14ac:dyDescent="0.2">
      <c r="A956" s="45"/>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ht="12.75" x14ac:dyDescent="0.2">
      <c r="A957" s="45"/>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ht="12.75" x14ac:dyDescent="0.2">
      <c r="A958" s="45"/>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ht="12.75" x14ac:dyDescent="0.2">
      <c r="A959" s="45"/>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ht="12.75" x14ac:dyDescent="0.2">
      <c r="A960" s="45"/>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ht="12.75" x14ac:dyDescent="0.2">
      <c r="A961" s="45"/>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ht="12.75" x14ac:dyDescent="0.2">
      <c r="A962" s="45"/>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ht="12.75" x14ac:dyDescent="0.2">
      <c r="A963" s="45"/>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ht="12.75" x14ac:dyDescent="0.2">
      <c r="A964" s="45"/>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ht="12.75" x14ac:dyDescent="0.2">
      <c r="A965" s="45"/>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ht="12.75" x14ac:dyDescent="0.2">
      <c r="A966" s="45"/>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ht="12.75" x14ac:dyDescent="0.2">
      <c r="A967" s="45"/>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ht="12.75" x14ac:dyDescent="0.2">
      <c r="A968" s="45"/>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ht="12.75" x14ac:dyDescent="0.2">
      <c r="A969" s="45"/>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ht="12.75" x14ac:dyDescent="0.2">
      <c r="A970" s="45"/>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ht="12.75" x14ac:dyDescent="0.2">
      <c r="A971" s="45"/>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ht="12.75" x14ac:dyDescent="0.2">
      <c r="A972" s="45"/>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ht="12.75" x14ac:dyDescent="0.2">
      <c r="A973" s="45"/>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row r="974" spans="1:24" ht="12.75" x14ac:dyDescent="0.2">
      <c r="A974" s="45"/>
      <c r="B974" s="46"/>
      <c r="C974" s="46"/>
      <c r="D974" s="46"/>
      <c r="E974" s="46"/>
      <c r="F974" s="46"/>
      <c r="G974" s="46"/>
      <c r="H974" s="46"/>
      <c r="I974" s="46"/>
      <c r="J974" s="46"/>
      <c r="K974" s="46"/>
      <c r="L974" s="46"/>
      <c r="M974" s="46"/>
      <c r="N974" s="46"/>
      <c r="O974" s="46"/>
      <c r="P974" s="46"/>
      <c r="Q974" s="46"/>
      <c r="R974" s="46"/>
      <c r="S974" s="46"/>
      <c r="T974" s="46"/>
      <c r="U974" s="46"/>
      <c r="V974" s="46"/>
      <c r="W974" s="46"/>
      <c r="X974" s="46"/>
    </row>
    <row r="975" spans="1:24" ht="12.75" x14ac:dyDescent="0.2">
      <c r="A975" s="45"/>
      <c r="B975" s="46"/>
      <c r="C975" s="46"/>
      <c r="D975" s="46"/>
      <c r="E975" s="46"/>
      <c r="F975" s="46"/>
      <c r="G975" s="46"/>
      <c r="H975" s="46"/>
      <c r="I975" s="46"/>
      <c r="J975" s="46"/>
      <c r="K975" s="46"/>
      <c r="L975" s="46"/>
      <c r="M975" s="46"/>
      <c r="N975" s="46"/>
      <c r="O975" s="46"/>
      <c r="P975" s="46"/>
      <c r="Q975" s="46"/>
      <c r="R975" s="46"/>
      <c r="S975" s="46"/>
      <c r="T975" s="46"/>
      <c r="U975" s="46"/>
      <c r="V975" s="46"/>
      <c r="W975" s="46"/>
      <c r="X975" s="46"/>
    </row>
    <row r="976" spans="1:24" ht="12.75" x14ac:dyDescent="0.2">
      <c r="A976" s="45"/>
      <c r="B976" s="46"/>
      <c r="C976" s="46"/>
      <c r="D976" s="46"/>
      <c r="E976" s="46"/>
      <c r="F976" s="46"/>
      <c r="G976" s="46"/>
      <c r="H976" s="46"/>
      <c r="I976" s="46"/>
      <c r="J976" s="46"/>
      <c r="K976" s="46"/>
      <c r="L976" s="46"/>
      <c r="M976" s="46"/>
      <c r="N976" s="46"/>
      <c r="O976" s="46"/>
      <c r="P976" s="46"/>
      <c r="Q976" s="46"/>
      <c r="R976" s="46"/>
      <c r="S976" s="46"/>
      <c r="T976" s="46"/>
      <c r="U976" s="46"/>
      <c r="V976" s="46"/>
      <c r="W976" s="46"/>
      <c r="X976" s="46"/>
    </row>
    <row r="977" spans="1:24" ht="12.75" x14ac:dyDescent="0.2">
      <c r="A977" s="45"/>
      <c r="B977" s="46"/>
      <c r="C977" s="46"/>
      <c r="D977" s="46"/>
      <c r="E977" s="46"/>
      <c r="F977" s="46"/>
      <c r="G977" s="46"/>
      <c r="H977" s="46"/>
      <c r="I977" s="46"/>
      <c r="J977" s="46"/>
      <c r="K977" s="46"/>
      <c r="L977" s="46"/>
      <c r="M977" s="46"/>
      <c r="N977" s="46"/>
      <c r="O977" s="46"/>
      <c r="P977" s="46"/>
      <c r="Q977" s="46"/>
      <c r="R977" s="46"/>
      <c r="S977" s="46"/>
      <c r="T977" s="46"/>
      <c r="U977" s="46"/>
      <c r="V977" s="46"/>
      <c r="W977" s="46"/>
      <c r="X977" s="46"/>
    </row>
    <row r="978" spans="1:24" ht="12.75" x14ac:dyDescent="0.2">
      <c r="A978" s="45"/>
      <c r="B978" s="46"/>
      <c r="C978" s="46"/>
      <c r="D978" s="46"/>
      <c r="E978" s="46"/>
      <c r="F978" s="46"/>
      <c r="G978" s="46"/>
      <c r="H978" s="46"/>
      <c r="I978" s="46"/>
      <c r="J978" s="46"/>
      <c r="K978" s="46"/>
      <c r="L978" s="46"/>
      <c r="M978" s="46"/>
      <c r="N978" s="46"/>
      <c r="O978" s="46"/>
      <c r="P978" s="46"/>
      <c r="Q978" s="46"/>
      <c r="R978" s="46"/>
      <c r="S978" s="46"/>
      <c r="T978" s="46"/>
      <c r="U978" s="46"/>
      <c r="V978" s="46"/>
      <c r="W978" s="46"/>
      <c r="X978" s="46"/>
    </row>
    <row r="979" spans="1:24" ht="12.75" x14ac:dyDescent="0.2">
      <c r="A979" s="45"/>
      <c r="B979" s="46"/>
      <c r="C979" s="46"/>
      <c r="D979" s="46"/>
      <c r="E979" s="46"/>
      <c r="F979" s="46"/>
      <c r="G979" s="46"/>
      <c r="H979" s="46"/>
      <c r="I979" s="46"/>
      <c r="J979" s="46"/>
      <c r="K979" s="46"/>
      <c r="L979" s="46"/>
      <c r="M979" s="46"/>
      <c r="N979" s="46"/>
      <c r="O979" s="46"/>
      <c r="P979" s="46"/>
      <c r="Q979" s="46"/>
      <c r="R979" s="46"/>
      <c r="S979" s="46"/>
      <c r="T979" s="46"/>
      <c r="U979" s="46"/>
      <c r="V979" s="46"/>
      <c r="W979" s="46"/>
      <c r="X979" s="46"/>
    </row>
    <row r="980" spans="1:24" ht="12.75" x14ac:dyDescent="0.2">
      <c r="A980" s="45"/>
      <c r="B980" s="46"/>
      <c r="C980" s="46"/>
      <c r="D980" s="46"/>
      <c r="E980" s="46"/>
      <c r="F980" s="46"/>
      <c r="G980" s="46"/>
      <c r="H980" s="46"/>
      <c r="I980" s="46"/>
      <c r="J980" s="46"/>
      <c r="K980" s="46"/>
      <c r="L980" s="46"/>
      <c r="M980" s="46"/>
      <c r="N980" s="46"/>
      <c r="O980" s="46"/>
      <c r="P980" s="46"/>
      <c r="Q980" s="46"/>
      <c r="R980" s="46"/>
      <c r="S980" s="46"/>
      <c r="T980" s="46"/>
      <c r="U980" s="46"/>
      <c r="V980" s="46"/>
      <c r="W980" s="46"/>
      <c r="X980" s="46"/>
    </row>
    <row r="981" spans="1:24" ht="12.75" x14ac:dyDescent="0.2">
      <c r="A981" s="45"/>
      <c r="B981" s="46"/>
      <c r="C981" s="46"/>
      <c r="D981" s="46"/>
      <c r="E981" s="46"/>
      <c r="F981" s="46"/>
      <c r="G981" s="46"/>
      <c r="H981" s="46"/>
      <c r="I981" s="46"/>
      <c r="J981" s="46"/>
      <c r="K981" s="46"/>
      <c r="L981" s="46"/>
      <c r="M981" s="46"/>
      <c r="N981" s="46"/>
      <c r="O981" s="46"/>
      <c r="P981" s="46"/>
      <c r="Q981" s="46"/>
      <c r="R981" s="46"/>
      <c r="S981" s="46"/>
      <c r="T981" s="46"/>
      <c r="U981" s="46"/>
      <c r="V981" s="46"/>
      <c r="W981" s="46"/>
      <c r="X981" s="46"/>
    </row>
    <row r="982" spans="1:24" ht="12.75" x14ac:dyDescent="0.2">
      <c r="A982" s="45"/>
      <c r="B982" s="46"/>
      <c r="C982" s="46"/>
      <c r="D982" s="46"/>
      <c r="E982" s="46"/>
      <c r="F982" s="46"/>
      <c r="G982" s="46"/>
      <c r="H982" s="46"/>
      <c r="I982" s="46"/>
      <c r="J982" s="46"/>
      <c r="K982" s="46"/>
      <c r="L982" s="46"/>
      <c r="M982" s="46"/>
      <c r="N982" s="46"/>
      <c r="O982" s="46"/>
      <c r="P982" s="46"/>
      <c r="Q982" s="46"/>
      <c r="R982" s="46"/>
      <c r="S982" s="46"/>
      <c r="T982" s="46"/>
      <c r="U982" s="46"/>
      <c r="V982" s="46"/>
      <c r="W982" s="46"/>
      <c r="X982" s="46"/>
    </row>
    <row r="983" spans="1:24" ht="12.75" x14ac:dyDescent="0.2">
      <c r="A983" s="45"/>
      <c r="B983" s="46"/>
      <c r="C983" s="46"/>
      <c r="D983" s="46"/>
      <c r="E983" s="46"/>
      <c r="F983" s="46"/>
      <c r="G983" s="46"/>
      <c r="H983" s="46"/>
      <c r="I983" s="46"/>
      <c r="J983" s="46"/>
      <c r="K983" s="46"/>
      <c r="L983" s="46"/>
      <c r="M983" s="46"/>
      <c r="N983" s="46"/>
      <c r="O983" s="46"/>
      <c r="P983" s="46"/>
      <c r="Q983" s="46"/>
      <c r="R983" s="46"/>
      <c r="S983" s="46"/>
      <c r="T983" s="46"/>
      <c r="U983" s="46"/>
      <c r="V983" s="46"/>
      <c r="W983" s="46"/>
      <c r="X983" s="46"/>
    </row>
    <row r="984" spans="1:24" ht="12.75" x14ac:dyDescent="0.2">
      <c r="A984" s="45"/>
      <c r="B984" s="46"/>
      <c r="C984" s="46"/>
      <c r="D984" s="46"/>
      <c r="E984" s="46"/>
      <c r="F984" s="46"/>
      <c r="G984" s="46"/>
      <c r="H984" s="46"/>
      <c r="I984" s="46"/>
      <c r="J984" s="46"/>
      <c r="K984" s="46"/>
      <c r="L984" s="46"/>
      <c r="M984" s="46"/>
      <c r="N984" s="46"/>
      <c r="O984" s="46"/>
      <c r="P984" s="46"/>
      <c r="Q984" s="46"/>
      <c r="R984" s="46"/>
      <c r="S984" s="46"/>
      <c r="T984" s="46"/>
      <c r="U984" s="46"/>
      <c r="V984" s="46"/>
      <c r="W984" s="46"/>
      <c r="X984" s="46"/>
    </row>
    <row r="985" spans="1:24" ht="12.75" x14ac:dyDescent="0.2">
      <c r="A985" s="45"/>
      <c r="B985" s="46"/>
      <c r="C985" s="46"/>
      <c r="D985" s="46"/>
      <c r="E985" s="46"/>
      <c r="F985" s="46"/>
      <c r="G985" s="46"/>
      <c r="H985" s="46"/>
      <c r="I985" s="46"/>
      <c r="J985" s="46"/>
      <c r="K985" s="46"/>
      <c r="L985" s="46"/>
      <c r="M985" s="46"/>
      <c r="N985" s="46"/>
      <c r="O985" s="46"/>
      <c r="P985" s="46"/>
      <c r="Q985" s="46"/>
      <c r="R985" s="46"/>
      <c r="S985" s="46"/>
      <c r="T985" s="46"/>
      <c r="U985" s="46"/>
      <c r="V985" s="46"/>
      <c r="W985" s="46"/>
      <c r="X985" s="46"/>
    </row>
    <row r="986" spans="1:24" ht="12.75" x14ac:dyDescent="0.2">
      <c r="A986" s="45"/>
      <c r="B986" s="46"/>
      <c r="C986" s="46"/>
      <c r="D986" s="46"/>
      <c r="E986" s="46"/>
      <c r="F986" s="46"/>
      <c r="G986" s="46"/>
      <c r="H986" s="46"/>
      <c r="I986" s="46"/>
      <c r="J986" s="46"/>
      <c r="K986" s="46"/>
      <c r="L986" s="46"/>
      <c r="M986" s="46"/>
      <c r="N986" s="46"/>
      <c r="O986" s="46"/>
      <c r="P986" s="46"/>
      <c r="Q986" s="46"/>
      <c r="R986" s="46"/>
      <c r="S986" s="46"/>
      <c r="T986" s="46"/>
      <c r="U986" s="46"/>
      <c r="V986" s="46"/>
      <c r="W986" s="46"/>
      <c r="X986" s="46"/>
    </row>
    <row r="987" spans="1:24" ht="12.75" x14ac:dyDescent="0.2">
      <c r="A987" s="45"/>
      <c r="B987" s="46"/>
      <c r="C987" s="46"/>
      <c r="D987" s="46"/>
      <c r="E987" s="46"/>
      <c r="F987" s="46"/>
      <c r="G987" s="46"/>
      <c r="H987" s="46"/>
      <c r="I987" s="46"/>
      <c r="J987" s="46"/>
      <c r="K987" s="46"/>
      <c r="L987" s="46"/>
      <c r="M987" s="46"/>
      <c r="N987" s="46"/>
      <c r="O987" s="46"/>
      <c r="P987" s="46"/>
      <c r="Q987" s="46"/>
      <c r="R987" s="46"/>
      <c r="S987" s="46"/>
      <c r="T987" s="46"/>
      <c r="U987" s="46"/>
      <c r="V987" s="46"/>
      <c r="W987" s="46"/>
      <c r="X987" s="46"/>
    </row>
    <row r="988" spans="1:24" ht="12.75" x14ac:dyDescent="0.2">
      <c r="A988" s="45"/>
      <c r="B988" s="46"/>
      <c r="C988" s="46"/>
      <c r="D988" s="46"/>
      <c r="E988" s="46"/>
      <c r="F988" s="46"/>
      <c r="G988" s="46"/>
      <c r="H988" s="46"/>
      <c r="I988" s="46"/>
      <c r="J988" s="46"/>
      <c r="K988" s="46"/>
      <c r="L988" s="46"/>
      <c r="M988" s="46"/>
      <c r="N988" s="46"/>
      <c r="O988" s="46"/>
      <c r="P988" s="46"/>
      <c r="Q988" s="46"/>
      <c r="R988" s="46"/>
      <c r="S988" s="46"/>
      <c r="T988" s="46"/>
      <c r="U988" s="46"/>
      <c r="V988" s="46"/>
      <c r="W988" s="46"/>
      <c r="X988" s="46"/>
    </row>
    <row r="989" spans="1:24" ht="12.75" x14ac:dyDescent="0.2">
      <c r="A989" s="45"/>
      <c r="B989" s="46"/>
      <c r="C989" s="46"/>
      <c r="D989" s="46"/>
      <c r="E989" s="46"/>
      <c r="F989" s="46"/>
      <c r="G989" s="46"/>
      <c r="H989" s="46"/>
      <c r="I989" s="46"/>
      <c r="J989" s="46"/>
      <c r="K989" s="46"/>
      <c r="L989" s="46"/>
      <c r="M989" s="46"/>
      <c r="N989" s="46"/>
      <c r="O989" s="46"/>
      <c r="P989" s="46"/>
      <c r="Q989" s="46"/>
      <c r="R989" s="46"/>
      <c r="S989" s="46"/>
      <c r="T989" s="46"/>
      <c r="U989" s="46"/>
      <c r="V989" s="46"/>
      <c r="W989" s="46"/>
      <c r="X989" s="46"/>
    </row>
    <row r="990" spans="1:24" ht="12.75" x14ac:dyDescent="0.2">
      <c r="A990" s="45"/>
      <c r="B990" s="46"/>
      <c r="C990" s="46"/>
      <c r="D990" s="46"/>
      <c r="E990" s="46"/>
      <c r="F990" s="46"/>
      <c r="G990" s="46"/>
      <c r="H990" s="46"/>
      <c r="I990" s="46"/>
      <c r="J990" s="46"/>
      <c r="K990" s="46"/>
      <c r="L990" s="46"/>
      <c r="M990" s="46"/>
      <c r="N990" s="46"/>
      <c r="O990" s="46"/>
      <c r="P990" s="46"/>
      <c r="Q990" s="46"/>
      <c r="R990" s="46"/>
      <c r="S990" s="46"/>
      <c r="T990" s="46"/>
      <c r="U990" s="46"/>
      <c r="V990" s="46"/>
      <c r="W990" s="46"/>
      <c r="X990" s="46"/>
    </row>
    <row r="991" spans="1:24" ht="12.75" x14ac:dyDescent="0.2">
      <c r="A991" s="45"/>
      <c r="B991" s="46"/>
      <c r="C991" s="46"/>
      <c r="D991" s="46"/>
      <c r="E991" s="46"/>
      <c r="F991" s="46"/>
      <c r="G991" s="46"/>
      <c r="H991" s="46"/>
      <c r="I991" s="46"/>
      <c r="J991" s="46"/>
      <c r="K991" s="46"/>
      <c r="L991" s="46"/>
      <c r="M991" s="46"/>
      <c r="N991" s="46"/>
      <c r="O991" s="46"/>
      <c r="P991" s="46"/>
      <c r="Q991" s="46"/>
      <c r="R991" s="46"/>
      <c r="S991" s="46"/>
      <c r="T991" s="46"/>
      <c r="U991" s="46"/>
      <c r="V991" s="46"/>
      <c r="W991" s="46"/>
      <c r="X991" s="46"/>
    </row>
    <row r="992" spans="1:24" ht="12.75" x14ac:dyDescent="0.2">
      <c r="A992" s="45"/>
      <c r="B992" s="46"/>
      <c r="C992" s="46"/>
      <c r="D992" s="46"/>
      <c r="E992" s="46"/>
      <c r="F992" s="46"/>
      <c r="G992" s="46"/>
      <c r="H992" s="46"/>
      <c r="I992" s="46"/>
      <c r="J992" s="46"/>
      <c r="K992" s="46"/>
      <c r="L992" s="46"/>
      <c r="M992" s="46"/>
      <c r="N992" s="46"/>
      <c r="O992" s="46"/>
      <c r="P992" s="46"/>
      <c r="Q992" s="46"/>
      <c r="R992" s="46"/>
      <c r="S992" s="46"/>
      <c r="T992" s="46"/>
      <c r="U992" s="46"/>
      <c r="V992" s="46"/>
      <c r="W992" s="46"/>
      <c r="X992" s="46"/>
    </row>
    <row r="993" spans="1:24" ht="12.75" x14ac:dyDescent="0.2">
      <c r="A993" s="45"/>
      <c r="B993" s="46"/>
      <c r="C993" s="46"/>
      <c r="D993" s="46"/>
      <c r="E993" s="46"/>
      <c r="F993" s="46"/>
      <c r="G993" s="46"/>
      <c r="H993" s="46"/>
      <c r="I993" s="46"/>
      <c r="J993" s="46"/>
      <c r="K993" s="46"/>
      <c r="L993" s="46"/>
      <c r="M993" s="46"/>
      <c r="N993" s="46"/>
      <c r="O993" s="46"/>
      <c r="P993" s="46"/>
      <c r="Q993" s="46"/>
      <c r="R993" s="46"/>
      <c r="S993" s="46"/>
      <c r="T993" s="46"/>
      <c r="U993" s="46"/>
      <c r="V993" s="46"/>
      <c r="W993" s="46"/>
      <c r="X993" s="46"/>
    </row>
    <row r="994" spans="1:24" ht="12.75" x14ac:dyDescent="0.2">
      <c r="A994" s="45"/>
      <c r="B994" s="46"/>
      <c r="C994" s="46"/>
      <c r="D994" s="46"/>
      <c r="E994" s="46"/>
      <c r="F994" s="46"/>
      <c r="G994" s="46"/>
      <c r="H994" s="46"/>
      <c r="I994" s="46"/>
      <c r="J994" s="46"/>
      <c r="K994" s="46"/>
      <c r="L994" s="46"/>
      <c r="M994" s="46"/>
      <c r="N994" s="46"/>
      <c r="O994" s="46"/>
      <c r="P994" s="46"/>
      <c r="Q994" s="46"/>
      <c r="R994" s="46"/>
      <c r="S994" s="46"/>
      <c r="T994" s="46"/>
      <c r="U994" s="46"/>
      <c r="V994" s="46"/>
      <c r="W994" s="46"/>
      <c r="X994" s="46"/>
    </row>
    <row r="995" spans="1:24" ht="12.75" x14ac:dyDescent="0.2">
      <c r="A995" s="45"/>
      <c r="B995" s="46"/>
      <c r="C995" s="46"/>
      <c r="D995" s="46"/>
      <c r="E995" s="46"/>
      <c r="F995" s="46"/>
      <c r="G995" s="46"/>
      <c r="H995" s="46"/>
      <c r="I995" s="46"/>
      <c r="J995" s="46"/>
      <c r="K995" s="46"/>
      <c r="L995" s="46"/>
      <c r="M995" s="46"/>
      <c r="N995" s="46"/>
      <c r="O995" s="46"/>
      <c r="P995" s="46"/>
      <c r="Q995" s="46"/>
      <c r="R995" s="46"/>
      <c r="S995" s="46"/>
      <c r="T995" s="46"/>
      <c r="U995" s="46"/>
      <c r="V995" s="46"/>
      <c r="W995" s="46"/>
      <c r="X995" s="46"/>
    </row>
    <row r="996" spans="1:24" ht="12.75" x14ac:dyDescent="0.2">
      <c r="A996" s="45"/>
      <c r="B996" s="46"/>
      <c r="C996" s="46"/>
      <c r="D996" s="46"/>
      <c r="E996" s="46"/>
      <c r="F996" s="46"/>
      <c r="G996" s="46"/>
      <c r="H996" s="46"/>
      <c r="I996" s="46"/>
      <c r="J996" s="46"/>
      <c r="K996" s="46"/>
      <c r="L996" s="46"/>
      <c r="M996" s="46"/>
      <c r="N996" s="46"/>
      <c r="O996" s="46"/>
      <c r="P996" s="46"/>
      <c r="Q996" s="46"/>
      <c r="R996" s="46"/>
      <c r="S996" s="46"/>
      <c r="T996" s="46"/>
      <c r="U996" s="46"/>
      <c r="V996" s="46"/>
      <c r="W996" s="46"/>
      <c r="X996" s="46"/>
    </row>
    <row r="997" spans="1:24" ht="12.75" x14ac:dyDescent="0.2">
      <c r="A997" s="45"/>
      <c r="B997" s="46"/>
      <c r="C997" s="46"/>
      <c r="D997" s="46"/>
      <c r="E997" s="46"/>
      <c r="F997" s="46"/>
      <c r="G997" s="46"/>
      <c r="H997" s="46"/>
      <c r="I997" s="46"/>
      <c r="J997" s="46"/>
      <c r="K997" s="46"/>
      <c r="L997" s="46"/>
      <c r="M997" s="46"/>
      <c r="N997" s="46"/>
      <c r="O997" s="46"/>
      <c r="P997" s="46"/>
      <c r="Q997" s="46"/>
      <c r="R997" s="46"/>
      <c r="S997" s="46"/>
      <c r="T997" s="46"/>
      <c r="U997" s="46"/>
      <c r="V997" s="46"/>
      <c r="W997" s="46"/>
      <c r="X997" s="46"/>
    </row>
    <row r="998" spans="1:24" ht="12.75" x14ac:dyDescent="0.2">
      <c r="A998" s="45"/>
      <c r="B998" s="46"/>
      <c r="C998" s="46"/>
      <c r="D998" s="46"/>
      <c r="E998" s="46"/>
      <c r="F998" s="46"/>
      <c r="G998" s="46"/>
      <c r="H998" s="46"/>
      <c r="I998" s="46"/>
      <c r="J998" s="46"/>
      <c r="K998" s="46"/>
      <c r="L998" s="46"/>
      <c r="M998" s="46"/>
      <c r="N998" s="46"/>
      <c r="O998" s="46"/>
      <c r="P998" s="46"/>
      <c r="Q998" s="46"/>
      <c r="R998" s="46"/>
      <c r="S998" s="46"/>
      <c r="T998" s="46"/>
      <c r="U998" s="46"/>
      <c r="V998" s="46"/>
      <c r="W998" s="46"/>
      <c r="X998" s="46"/>
    </row>
    <row r="999" spans="1:24" ht="12.75" x14ac:dyDescent="0.2">
      <c r="A999" s="45"/>
      <c r="B999" s="46"/>
      <c r="C999" s="46"/>
      <c r="D999" s="46"/>
      <c r="E999" s="46"/>
      <c r="F999" s="46"/>
      <c r="G999" s="46"/>
      <c r="H999" s="46"/>
      <c r="I999" s="46"/>
      <c r="J999" s="46"/>
      <c r="K999" s="46"/>
      <c r="L999" s="46"/>
      <c r="M999" s="46"/>
      <c r="N999" s="46"/>
      <c r="O999" s="46"/>
      <c r="P999" s="46"/>
      <c r="Q999" s="46"/>
      <c r="R999" s="46"/>
      <c r="S999" s="46"/>
      <c r="T999" s="46"/>
      <c r="U999" s="46"/>
      <c r="V999" s="46"/>
      <c r="W999" s="46"/>
      <c r="X999" s="46"/>
    </row>
    <row r="1000" spans="1:24" ht="12.75" x14ac:dyDescent="0.2">
      <c r="A1000" s="45"/>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row>
    <row r="1001" spans="1:24" ht="12.75" x14ac:dyDescent="0.2">
      <c r="A1001" s="45"/>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row>
    <row r="1002" spans="1:24" ht="12.75" x14ac:dyDescent="0.2">
      <c r="A1002" s="45"/>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row>
    <row r="1003" spans="1:24" ht="12.75" x14ac:dyDescent="0.2">
      <c r="A1003" s="45"/>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row>
    <row r="1004" spans="1:24" ht="12.75" x14ac:dyDescent="0.2">
      <c r="A1004" s="45"/>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row>
    <row r="1005" spans="1:24" ht="12.75" x14ac:dyDescent="0.2">
      <c r="A1005" s="45"/>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row>
    <row r="1006" spans="1:24" ht="12.75" x14ac:dyDescent="0.2">
      <c r="A1006" s="45"/>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row>
    <row r="1007" spans="1:24" ht="12.75" x14ac:dyDescent="0.2">
      <c r="A1007" s="45"/>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row>
    <row r="1008" spans="1:24" ht="12.75" x14ac:dyDescent="0.2">
      <c r="A1008" s="45"/>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row>
    <row r="1009" spans="1:24" ht="12.75" x14ac:dyDescent="0.2">
      <c r="A1009" s="45"/>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row>
    <row r="1010" spans="1:24" ht="12.75" x14ac:dyDescent="0.2">
      <c r="A1010" s="45"/>
      <c r="B1010" s="46"/>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row>
    <row r="1011" spans="1:24" ht="12.75" x14ac:dyDescent="0.2">
      <c r="A1011" s="45"/>
      <c r="B1011" s="46"/>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row>
    <row r="1012" spans="1:24" ht="12.75" x14ac:dyDescent="0.2">
      <c r="A1012" s="45"/>
      <c r="B1012" s="46"/>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row>
    <row r="1013" spans="1:24" ht="12.75" x14ac:dyDescent="0.2">
      <c r="A1013" s="45"/>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row>
    <row r="1014" spans="1:24" ht="12.75" x14ac:dyDescent="0.2">
      <c r="A1014" s="45"/>
      <c r="B1014" s="46"/>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row>
    <row r="1015" spans="1:24" ht="12.75" x14ac:dyDescent="0.2">
      <c r="A1015" s="45"/>
      <c r="B1015" s="46"/>
      <c r="C1015" s="46"/>
      <c r="D1015" s="46"/>
      <c r="E1015" s="46"/>
      <c r="F1015" s="46"/>
      <c r="G1015" s="46"/>
      <c r="H1015" s="46"/>
      <c r="I1015" s="46"/>
      <c r="J1015" s="46"/>
      <c r="K1015" s="46"/>
      <c r="L1015" s="46"/>
      <c r="M1015" s="46"/>
      <c r="N1015" s="46"/>
      <c r="O1015" s="46"/>
      <c r="P1015" s="46"/>
      <c r="Q1015" s="46"/>
      <c r="R1015" s="46"/>
      <c r="S1015" s="46"/>
      <c r="T1015" s="46"/>
      <c r="U1015" s="46"/>
      <c r="V1015" s="46"/>
      <c r="W1015" s="46"/>
      <c r="X1015" s="46"/>
    </row>
    <row r="1016" spans="1:24" ht="12.75" x14ac:dyDescent="0.2">
      <c r="A1016" s="45"/>
      <c r="B1016" s="46"/>
      <c r="C1016" s="46"/>
      <c r="D1016" s="46"/>
      <c r="E1016" s="46"/>
      <c r="F1016" s="46"/>
      <c r="G1016" s="46"/>
      <c r="H1016" s="46"/>
      <c r="I1016" s="46"/>
      <c r="J1016" s="46"/>
      <c r="K1016" s="46"/>
      <c r="L1016" s="46"/>
      <c r="M1016" s="46"/>
      <c r="N1016" s="46"/>
      <c r="O1016" s="46"/>
      <c r="P1016" s="46"/>
      <c r="Q1016" s="46"/>
      <c r="R1016" s="46"/>
      <c r="S1016" s="46"/>
      <c r="T1016" s="46"/>
      <c r="U1016" s="46"/>
      <c r="V1016" s="46"/>
      <c r="W1016" s="46"/>
      <c r="X1016" s="46"/>
    </row>
    <row r="1017" spans="1:24" ht="12.75" x14ac:dyDescent="0.2">
      <c r="A1017" s="45"/>
      <c r="B1017" s="46"/>
      <c r="C1017" s="46"/>
      <c r="D1017" s="46"/>
      <c r="E1017" s="46"/>
      <c r="F1017" s="46"/>
      <c r="G1017" s="46"/>
      <c r="H1017" s="46"/>
      <c r="I1017" s="46"/>
      <c r="J1017" s="46"/>
      <c r="K1017" s="46"/>
      <c r="L1017" s="46"/>
      <c r="M1017" s="46"/>
      <c r="N1017" s="46"/>
      <c r="O1017" s="46"/>
      <c r="P1017" s="46"/>
      <c r="Q1017" s="46"/>
      <c r="R1017" s="46"/>
      <c r="S1017" s="46"/>
      <c r="T1017" s="46"/>
      <c r="U1017" s="46"/>
      <c r="V1017" s="46"/>
      <c r="W1017" s="46"/>
      <c r="X1017" s="46"/>
    </row>
    <row r="1018" spans="1:24" ht="12.75" x14ac:dyDescent="0.2">
      <c r="A1018" s="45"/>
      <c r="B1018" s="46"/>
      <c r="C1018" s="46"/>
      <c r="D1018" s="46"/>
      <c r="E1018" s="46"/>
      <c r="F1018" s="46"/>
      <c r="G1018" s="46"/>
      <c r="H1018" s="46"/>
      <c r="I1018" s="46"/>
      <c r="J1018" s="46"/>
      <c r="K1018" s="46"/>
      <c r="L1018" s="46"/>
      <c r="M1018" s="46"/>
      <c r="N1018" s="46"/>
      <c r="O1018" s="46"/>
      <c r="P1018" s="46"/>
      <c r="Q1018" s="46"/>
      <c r="R1018" s="46"/>
      <c r="S1018" s="46"/>
      <c r="T1018" s="46"/>
      <c r="U1018" s="46"/>
      <c r="V1018" s="46"/>
      <c r="W1018" s="46"/>
      <c r="X1018" s="46"/>
    </row>
    <row r="1019" spans="1:24" ht="12.75" x14ac:dyDescent="0.2">
      <c r="A1019" s="45"/>
      <c r="B1019" s="46"/>
      <c r="C1019" s="46"/>
      <c r="D1019" s="46"/>
      <c r="E1019" s="46"/>
      <c r="F1019" s="46"/>
      <c r="G1019" s="46"/>
      <c r="H1019" s="46"/>
      <c r="I1019" s="46"/>
      <c r="J1019" s="46"/>
      <c r="K1019" s="46"/>
      <c r="L1019" s="46"/>
      <c r="M1019" s="46"/>
      <c r="N1019" s="46"/>
      <c r="O1019" s="46"/>
      <c r="P1019" s="46"/>
      <c r="Q1019" s="46"/>
      <c r="R1019" s="46"/>
      <c r="S1019" s="46"/>
      <c r="T1019" s="46"/>
      <c r="U1019" s="46"/>
      <c r="V1019" s="46"/>
      <c r="W1019" s="46"/>
      <c r="X1019" s="46"/>
    </row>
    <row r="1020" spans="1:24" ht="12.75" x14ac:dyDescent="0.2">
      <c r="A1020" s="45"/>
      <c r="B1020" s="46"/>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46"/>
    </row>
    <row r="1021" spans="1:24" ht="12.75" x14ac:dyDescent="0.2">
      <c r="A1021" s="45"/>
      <c r="B1021" s="46"/>
      <c r="C1021" s="46"/>
      <c r="D1021" s="46"/>
      <c r="E1021" s="46"/>
      <c r="F1021" s="46"/>
      <c r="G1021" s="46"/>
      <c r="H1021" s="46"/>
      <c r="I1021" s="46"/>
      <c r="J1021" s="46"/>
      <c r="K1021" s="46"/>
      <c r="L1021" s="46"/>
      <c r="M1021" s="46"/>
      <c r="N1021" s="46"/>
      <c r="O1021" s="46"/>
      <c r="P1021" s="46"/>
      <c r="Q1021" s="46"/>
      <c r="R1021" s="46"/>
      <c r="S1021" s="46"/>
      <c r="T1021" s="46"/>
      <c r="U1021" s="46"/>
      <c r="V1021" s="46"/>
      <c r="W1021" s="46"/>
      <c r="X1021" s="46"/>
    </row>
    <row r="1022" spans="1:24" ht="12.75" x14ac:dyDescent="0.2">
      <c r="A1022" s="45"/>
      <c r="B1022" s="46"/>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row>
    <row r="1023" spans="1:24" ht="12.75" x14ac:dyDescent="0.2">
      <c r="A1023" s="45"/>
      <c r="B1023" s="46"/>
      <c r="C1023" s="46"/>
      <c r="D1023" s="46"/>
      <c r="E1023" s="46"/>
      <c r="F1023" s="46"/>
      <c r="G1023" s="46"/>
      <c r="H1023" s="46"/>
      <c r="I1023" s="46"/>
      <c r="J1023" s="46"/>
      <c r="K1023" s="46"/>
      <c r="L1023" s="46"/>
      <c r="M1023" s="46"/>
      <c r="N1023" s="46"/>
      <c r="O1023" s="46"/>
      <c r="P1023" s="46"/>
      <c r="Q1023" s="46"/>
      <c r="R1023" s="46"/>
      <c r="S1023" s="46"/>
      <c r="T1023" s="46"/>
      <c r="U1023" s="46"/>
      <c r="V1023" s="46"/>
      <c r="W1023" s="46"/>
      <c r="X1023" s="46"/>
    </row>
    <row r="1024" spans="1:24" ht="12.75" x14ac:dyDescent="0.2">
      <c r="A1024" s="45"/>
      <c r="B1024" s="46"/>
      <c r="C1024" s="46"/>
      <c r="D1024" s="46"/>
      <c r="E1024" s="46"/>
      <c r="F1024" s="46"/>
      <c r="G1024" s="46"/>
      <c r="H1024" s="46"/>
      <c r="I1024" s="46"/>
      <c r="J1024" s="46"/>
      <c r="K1024" s="46"/>
      <c r="L1024" s="46"/>
      <c r="M1024" s="46"/>
      <c r="N1024" s="46"/>
      <c r="O1024" s="46"/>
      <c r="P1024" s="46"/>
      <c r="Q1024" s="46"/>
      <c r="R1024" s="46"/>
      <c r="S1024" s="46"/>
      <c r="T1024" s="46"/>
      <c r="U1024" s="46"/>
      <c r="V1024" s="46"/>
      <c r="W1024" s="46"/>
      <c r="X1024" s="46"/>
    </row>
    <row r="1025" spans="1:24" ht="12.75" x14ac:dyDescent="0.2">
      <c r="A1025" s="45"/>
      <c r="B1025" s="46"/>
      <c r="C1025" s="46"/>
      <c r="D1025" s="46"/>
      <c r="E1025" s="46"/>
      <c r="F1025" s="46"/>
      <c r="G1025" s="46"/>
      <c r="H1025" s="46"/>
      <c r="I1025" s="46"/>
      <c r="J1025" s="46"/>
      <c r="K1025" s="46"/>
      <c r="L1025" s="46"/>
      <c r="M1025" s="46"/>
      <c r="N1025" s="46"/>
      <c r="O1025" s="46"/>
      <c r="P1025" s="46"/>
      <c r="Q1025" s="46"/>
      <c r="R1025" s="46"/>
      <c r="S1025" s="46"/>
      <c r="T1025" s="46"/>
      <c r="U1025" s="46"/>
      <c r="V1025" s="46"/>
      <c r="W1025" s="46"/>
      <c r="X1025" s="46"/>
    </row>
    <row r="1026" spans="1:24" ht="12.75" x14ac:dyDescent="0.2">
      <c r="A1026" s="45"/>
      <c r="B1026" s="46"/>
      <c r="C1026" s="46"/>
      <c r="D1026" s="46"/>
      <c r="E1026" s="46"/>
      <c r="F1026" s="46"/>
      <c r="G1026" s="46"/>
      <c r="H1026" s="46"/>
      <c r="I1026" s="46"/>
      <c r="J1026" s="46"/>
      <c r="K1026" s="46"/>
      <c r="L1026" s="46"/>
      <c r="M1026" s="46"/>
      <c r="N1026" s="46"/>
      <c r="O1026" s="46"/>
      <c r="P1026" s="46"/>
      <c r="Q1026" s="46"/>
      <c r="R1026" s="46"/>
      <c r="S1026" s="46"/>
      <c r="T1026" s="46"/>
      <c r="U1026" s="46"/>
      <c r="V1026" s="46"/>
      <c r="W1026" s="46"/>
      <c r="X1026" s="46"/>
    </row>
    <row r="1027" spans="1:24" ht="12.75" x14ac:dyDescent="0.2">
      <c r="A1027" s="45"/>
      <c r="B1027" s="46"/>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46"/>
    </row>
    <row r="1028" spans="1:24" ht="12.75" x14ac:dyDescent="0.2">
      <c r="A1028" s="45"/>
      <c r="B1028" s="46"/>
      <c r="C1028" s="46"/>
      <c r="D1028" s="46"/>
      <c r="E1028" s="46"/>
      <c r="F1028" s="46"/>
      <c r="G1028" s="46"/>
      <c r="H1028" s="46"/>
      <c r="I1028" s="46"/>
      <c r="J1028" s="46"/>
      <c r="K1028" s="46"/>
      <c r="L1028" s="46"/>
      <c r="M1028" s="46"/>
      <c r="N1028" s="46"/>
      <c r="O1028" s="46"/>
      <c r="P1028" s="46"/>
      <c r="Q1028" s="46"/>
      <c r="R1028" s="46"/>
      <c r="S1028" s="46"/>
      <c r="T1028" s="46"/>
      <c r="U1028" s="46"/>
      <c r="V1028" s="46"/>
      <c r="W1028" s="46"/>
      <c r="X1028" s="46"/>
    </row>
    <row r="1029" spans="1:24" ht="12.75" x14ac:dyDescent="0.2">
      <c r="A1029" s="45"/>
      <c r="B1029" s="46"/>
      <c r="C1029" s="46"/>
      <c r="D1029" s="46"/>
      <c r="E1029" s="46"/>
      <c r="F1029" s="46"/>
      <c r="G1029" s="46"/>
      <c r="H1029" s="46"/>
      <c r="I1029" s="46"/>
      <c r="J1029" s="46"/>
      <c r="K1029" s="46"/>
      <c r="L1029" s="46"/>
      <c r="M1029" s="46"/>
      <c r="N1029" s="46"/>
      <c r="O1029" s="46"/>
      <c r="P1029" s="46"/>
      <c r="Q1029" s="46"/>
      <c r="R1029" s="46"/>
      <c r="S1029" s="46"/>
      <c r="T1029" s="46"/>
      <c r="U1029" s="46"/>
      <c r="V1029" s="46"/>
      <c r="W1029" s="46"/>
      <c r="X1029" s="46"/>
    </row>
    <row r="1030" spans="1:24" ht="12.75" x14ac:dyDescent="0.2">
      <c r="A1030" s="45"/>
      <c r="B1030" s="46"/>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row>
    <row r="1031" spans="1:24" ht="12.75" x14ac:dyDescent="0.2">
      <c r="A1031" s="45"/>
      <c r="B1031" s="46"/>
      <c r="C1031" s="46"/>
      <c r="D1031" s="46"/>
      <c r="E1031" s="46"/>
      <c r="F1031" s="46"/>
      <c r="G1031" s="46"/>
      <c r="H1031" s="46"/>
      <c r="I1031" s="46"/>
      <c r="J1031" s="46"/>
      <c r="K1031" s="46"/>
      <c r="L1031" s="46"/>
      <c r="M1031" s="46"/>
      <c r="N1031" s="46"/>
      <c r="O1031" s="46"/>
      <c r="P1031" s="46"/>
      <c r="Q1031" s="46"/>
      <c r="R1031" s="46"/>
      <c r="S1031" s="46"/>
      <c r="T1031" s="46"/>
      <c r="U1031" s="46"/>
      <c r="V1031" s="46"/>
      <c r="W1031" s="46"/>
      <c r="X1031" s="46"/>
    </row>
    <row r="1032" spans="1:24" ht="12.75" x14ac:dyDescent="0.2">
      <c r="A1032" s="45"/>
      <c r="B1032" s="46"/>
      <c r="C1032" s="46"/>
      <c r="D1032" s="46"/>
      <c r="E1032" s="46"/>
      <c r="F1032" s="46"/>
      <c r="G1032" s="46"/>
      <c r="H1032" s="46"/>
      <c r="I1032" s="46"/>
      <c r="J1032" s="46"/>
      <c r="K1032" s="46"/>
      <c r="L1032" s="46"/>
      <c r="M1032" s="46"/>
      <c r="N1032" s="46"/>
      <c r="O1032" s="46"/>
      <c r="P1032" s="46"/>
      <c r="Q1032" s="46"/>
      <c r="R1032" s="46"/>
      <c r="S1032" s="46"/>
      <c r="T1032" s="46"/>
      <c r="U1032" s="46"/>
      <c r="V1032" s="46"/>
      <c r="W1032" s="46"/>
      <c r="X1032" s="46"/>
    </row>
    <row r="1033" spans="1:24" ht="12.75" x14ac:dyDescent="0.2">
      <c r="A1033" s="45"/>
      <c r="B1033" s="46"/>
      <c r="C1033" s="46"/>
      <c r="D1033" s="46"/>
      <c r="E1033" s="46"/>
      <c r="F1033" s="46"/>
      <c r="G1033" s="46"/>
      <c r="H1033" s="46"/>
      <c r="I1033" s="46"/>
      <c r="J1033" s="46"/>
      <c r="K1033" s="46"/>
      <c r="L1033" s="46"/>
      <c r="M1033" s="46"/>
      <c r="N1033" s="46"/>
      <c r="O1033" s="46"/>
      <c r="P1033" s="46"/>
      <c r="Q1033" s="46"/>
      <c r="R1033" s="46"/>
      <c r="S1033" s="46"/>
      <c r="T1033" s="46"/>
      <c r="U1033" s="46"/>
      <c r="V1033" s="46"/>
      <c r="W1033" s="46"/>
      <c r="X1033" s="46"/>
    </row>
    <row r="1034" spans="1:24" ht="12.75" x14ac:dyDescent="0.2">
      <c r="A1034" s="45"/>
      <c r="B1034" s="46"/>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46"/>
    </row>
    <row r="1035" spans="1:24" ht="12.75" x14ac:dyDescent="0.2">
      <c r="A1035" s="45"/>
      <c r="B1035" s="46"/>
      <c r="C1035" s="46"/>
      <c r="D1035" s="46"/>
      <c r="E1035" s="46"/>
      <c r="F1035" s="46"/>
      <c r="G1035" s="46"/>
      <c r="H1035" s="46"/>
      <c r="I1035" s="46"/>
      <c r="J1035" s="46"/>
      <c r="K1035" s="46"/>
      <c r="L1035" s="46"/>
      <c r="M1035" s="46"/>
      <c r="N1035" s="46"/>
      <c r="O1035" s="46"/>
      <c r="P1035" s="46"/>
      <c r="Q1035" s="46"/>
      <c r="R1035" s="46"/>
      <c r="S1035" s="46"/>
      <c r="T1035" s="46"/>
      <c r="U1035" s="46"/>
      <c r="V1035" s="46"/>
      <c r="W1035" s="46"/>
      <c r="X1035" s="46"/>
    </row>
    <row r="1036" spans="1:24" ht="12.75" x14ac:dyDescent="0.2">
      <c r="A1036" s="45"/>
      <c r="B1036" s="46"/>
      <c r="C1036" s="46"/>
      <c r="D1036" s="46"/>
      <c r="E1036" s="46"/>
      <c r="F1036" s="46"/>
      <c r="G1036" s="46"/>
      <c r="H1036" s="46"/>
      <c r="I1036" s="46"/>
      <c r="J1036" s="46"/>
      <c r="K1036" s="46"/>
      <c r="L1036" s="46"/>
      <c r="M1036" s="46"/>
      <c r="N1036" s="46"/>
      <c r="O1036" s="46"/>
      <c r="P1036" s="46"/>
      <c r="Q1036" s="46"/>
      <c r="R1036" s="46"/>
      <c r="S1036" s="46"/>
      <c r="T1036" s="46"/>
      <c r="U1036" s="46"/>
      <c r="V1036" s="46"/>
      <c r="W1036" s="46"/>
      <c r="X1036" s="46"/>
    </row>
    <row r="1037" spans="1:24" ht="12.75" x14ac:dyDescent="0.2">
      <c r="A1037" s="45"/>
      <c r="B1037" s="46"/>
      <c r="C1037" s="46"/>
      <c r="D1037" s="46"/>
      <c r="E1037" s="46"/>
      <c r="F1037" s="46"/>
      <c r="G1037" s="46"/>
      <c r="H1037" s="46"/>
      <c r="I1037" s="46"/>
      <c r="J1037" s="46"/>
      <c r="K1037" s="46"/>
      <c r="L1037" s="46"/>
      <c r="M1037" s="46"/>
      <c r="N1037" s="46"/>
      <c r="O1037" s="46"/>
      <c r="P1037" s="46"/>
      <c r="Q1037" s="46"/>
      <c r="R1037" s="46"/>
      <c r="S1037" s="46"/>
      <c r="T1037" s="46"/>
      <c r="U1037" s="46"/>
      <c r="V1037" s="46"/>
      <c r="W1037" s="46"/>
      <c r="X1037" s="46"/>
    </row>
    <row r="1038" spans="1:24" ht="12.75" x14ac:dyDescent="0.2">
      <c r="A1038" s="45"/>
      <c r="B1038" s="46"/>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row>
    <row r="1039" spans="1:24" ht="12.75" x14ac:dyDescent="0.2">
      <c r="A1039" s="45"/>
      <c r="B1039" s="46"/>
      <c r="C1039" s="46"/>
      <c r="D1039" s="46"/>
      <c r="E1039" s="46"/>
      <c r="F1039" s="46"/>
      <c r="G1039" s="46"/>
      <c r="H1039" s="46"/>
      <c r="I1039" s="46"/>
      <c r="J1039" s="46"/>
      <c r="K1039" s="46"/>
      <c r="L1039" s="46"/>
      <c r="M1039" s="46"/>
      <c r="N1039" s="46"/>
      <c r="O1039" s="46"/>
      <c r="P1039" s="46"/>
      <c r="Q1039" s="46"/>
      <c r="R1039" s="46"/>
      <c r="S1039" s="46"/>
      <c r="T1039" s="46"/>
      <c r="U1039" s="46"/>
      <c r="V1039" s="46"/>
      <c r="W1039" s="46"/>
      <c r="X1039" s="46"/>
    </row>
    <row r="1040" spans="1:24" ht="12.75" x14ac:dyDescent="0.2">
      <c r="A1040" s="45"/>
      <c r="B1040" s="46"/>
      <c r="C1040" s="46"/>
      <c r="D1040" s="46"/>
      <c r="E1040" s="46"/>
      <c r="F1040" s="46"/>
      <c r="G1040" s="46"/>
      <c r="H1040" s="46"/>
      <c r="I1040" s="46"/>
      <c r="J1040" s="46"/>
      <c r="K1040" s="46"/>
      <c r="L1040" s="46"/>
      <c r="M1040" s="46"/>
      <c r="N1040" s="46"/>
      <c r="O1040" s="46"/>
      <c r="P1040" s="46"/>
      <c r="Q1040" s="46"/>
      <c r="R1040" s="46"/>
      <c r="S1040" s="46"/>
      <c r="T1040" s="46"/>
      <c r="U1040" s="46"/>
      <c r="V1040" s="46"/>
      <c r="W1040" s="46"/>
      <c r="X1040" s="46"/>
    </row>
    <row r="1041" spans="1:24" ht="12.75" x14ac:dyDescent="0.2">
      <c r="A1041" s="45"/>
      <c r="B1041" s="46"/>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46"/>
    </row>
    <row r="1042" spans="1:24" ht="12.75" x14ac:dyDescent="0.2">
      <c r="A1042" s="45"/>
      <c r="B1042" s="46"/>
      <c r="C1042" s="46"/>
      <c r="D1042" s="46"/>
      <c r="E1042" s="46"/>
      <c r="F1042" s="46"/>
      <c r="G1042" s="46"/>
      <c r="H1042" s="46"/>
      <c r="I1042" s="46"/>
      <c r="J1042" s="46"/>
      <c r="K1042" s="46"/>
      <c r="L1042" s="46"/>
      <c r="M1042" s="46"/>
      <c r="N1042" s="46"/>
      <c r="O1042" s="46"/>
      <c r="P1042" s="46"/>
      <c r="Q1042" s="46"/>
      <c r="R1042" s="46"/>
      <c r="S1042" s="46"/>
      <c r="T1042" s="46"/>
      <c r="U1042" s="46"/>
      <c r="V1042" s="46"/>
      <c r="W1042" s="46"/>
      <c r="X1042" s="46"/>
    </row>
    <row r="1043" spans="1:24" ht="12.75" x14ac:dyDescent="0.2">
      <c r="A1043" s="45"/>
      <c r="B1043" s="46"/>
      <c r="C1043" s="46"/>
      <c r="D1043" s="46"/>
      <c r="E1043" s="46"/>
      <c r="F1043" s="46"/>
      <c r="G1043" s="46"/>
      <c r="H1043" s="46"/>
      <c r="I1043" s="46"/>
      <c r="J1043" s="46"/>
      <c r="K1043" s="46"/>
      <c r="L1043" s="46"/>
      <c r="M1043" s="46"/>
      <c r="N1043" s="46"/>
      <c r="O1043" s="46"/>
      <c r="P1043" s="46"/>
      <c r="Q1043" s="46"/>
      <c r="R1043" s="46"/>
      <c r="S1043" s="46"/>
      <c r="T1043" s="46"/>
      <c r="U1043" s="46"/>
      <c r="V1043" s="46"/>
      <c r="W1043" s="46"/>
      <c r="X1043" s="46"/>
    </row>
    <row r="1044" spans="1:24" ht="12.75" x14ac:dyDescent="0.2">
      <c r="A1044" s="45"/>
      <c r="B1044" s="46"/>
      <c r="C1044" s="46"/>
      <c r="D1044" s="46"/>
      <c r="E1044" s="46"/>
      <c r="F1044" s="46"/>
      <c r="G1044" s="46"/>
      <c r="H1044" s="46"/>
      <c r="I1044" s="46"/>
      <c r="J1044" s="46"/>
      <c r="K1044" s="46"/>
      <c r="L1044" s="46"/>
      <c r="M1044" s="46"/>
      <c r="N1044" s="46"/>
      <c r="O1044" s="46"/>
      <c r="P1044" s="46"/>
      <c r="Q1044" s="46"/>
      <c r="R1044" s="46"/>
      <c r="S1044" s="46"/>
      <c r="T1044" s="46"/>
      <c r="U1044" s="46"/>
      <c r="V1044" s="46"/>
      <c r="W1044" s="46"/>
      <c r="X1044" s="46"/>
    </row>
    <row r="1045" spans="1:24" ht="12.75" x14ac:dyDescent="0.2">
      <c r="A1045" s="45"/>
      <c r="B1045" s="46"/>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row>
    <row r="1046" spans="1:24" ht="12.75" x14ac:dyDescent="0.2">
      <c r="A1046" s="45"/>
      <c r="B1046" s="46"/>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row>
    <row r="1047" spans="1:24" ht="12.75" x14ac:dyDescent="0.2">
      <c r="A1047" s="45"/>
      <c r="B1047" s="46"/>
      <c r="C1047" s="46"/>
      <c r="D1047" s="46"/>
      <c r="E1047" s="46"/>
      <c r="F1047" s="46"/>
      <c r="G1047" s="46"/>
      <c r="H1047" s="46"/>
      <c r="I1047" s="46"/>
      <c r="J1047" s="46"/>
      <c r="K1047" s="46"/>
      <c r="L1047" s="46"/>
      <c r="M1047" s="46"/>
      <c r="N1047" s="46"/>
      <c r="O1047" s="46"/>
      <c r="P1047" s="46"/>
      <c r="Q1047" s="46"/>
      <c r="R1047" s="46"/>
      <c r="S1047" s="46"/>
      <c r="T1047" s="46"/>
      <c r="U1047" s="46"/>
      <c r="V1047" s="46"/>
      <c r="W1047" s="46"/>
      <c r="X1047" s="46"/>
    </row>
    <row r="1048" spans="1:24" ht="12.75" x14ac:dyDescent="0.2">
      <c r="A1048" s="45"/>
      <c r="B1048" s="46"/>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46"/>
    </row>
    <row r="1049" spans="1:24" ht="12.75" x14ac:dyDescent="0.2">
      <c r="A1049" s="45"/>
      <c r="B1049" s="46"/>
      <c r="C1049" s="46"/>
      <c r="D1049" s="46"/>
      <c r="E1049" s="46"/>
      <c r="F1049" s="46"/>
      <c r="G1049" s="46"/>
      <c r="H1049" s="46"/>
      <c r="I1049" s="46"/>
      <c r="J1049" s="46"/>
      <c r="K1049" s="46"/>
      <c r="L1049" s="46"/>
      <c r="M1049" s="46"/>
      <c r="N1049" s="46"/>
      <c r="O1049" s="46"/>
      <c r="P1049" s="46"/>
      <c r="Q1049" s="46"/>
      <c r="R1049" s="46"/>
      <c r="S1049" s="46"/>
      <c r="T1049" s="46"/>
      <c r="U1049" s="46"/>
      <c r="V1049" s="46"/>
      <c r="W1049" s="46"/>
      <c r="X1049" s="46"/>
    </row>
    <row r="1050" spans="1:24" ht="12.75" x14ac:dyDescent="0.2">
      <c r="A1050" s="45"/>
      <c r="B1050" s="46"/>
      <c r="C1050" s="46"/>
      <c r="D1050" s="46"/>
      <c r="E1050" s="46"/>
      <c r="F1050" s="46"/>
      <c r="G1050" s="46"/>
      <c r="H1050" s="46"/>
      <c r="I1050" s="46"/>
      <c r="J1050" s="46"/>
      <c r="K1050" s="46"/>
      <c r="L1050" s="46"/>
      <c r="M1050" s="46"/>
      <c r="N1050" s="46"/>
      <c r="O1050" s="46"/>
      <c r="P1050" s="46"/>
      <c r="Q1050" s="46"/>
      <c r="R1050" s="46"/>
      <c r="S1050" s="46"/>
      <c r="T1050" s="46"/>
      <c r="U1050" s="46"/>
      <c r="V1050" s="46"/>
      <c r="W1050" s="46"/>
      <c r="X1050" s="46"/>
    </row>
    <row r="1051" spans="1:24" ht="12.75" x14ac:dyDescent="0.2">
      <c r="A1051" s="45"/>
      <c r="B1051" s="46"/>
      <c r="C1051" s="46"/>
      <c r="D1051" s="46"/>
      <c r="E1051" s="46"/>
      <c r="F1051" s="46"/>
      <c r="G1051" s="46"/>
      <c r="H1051" s="46"/>
      <c r="I1051" s="46"/>
      <c r="J1051" s="46"/>
      <c r="K1051" s="46"/>
      <c r="L1051" s="46"/>
      <c r="M1051" s="46"/>
      <c r="N1051" s="46"/>
      <c r="O1051" s="46"/>
      <c r="P1051" s="46"/>
      <c r="Q1051" s="46"/>
      <c r="R1051" s="46"/>
      <c r="S1051" s="46"/>
      <c r="T1051" s="46"/>
      <c r="U1051" s="46"/>
      <c r="V1051" s="46"/>
      <c r="W1051" s="46"/>
      <c r="X1051" s="46"/>
    </row>
    <row r="1052" spans="1:24" ht="12.75" x14ac:dyDescent="0.2">
      <c r="A1052" s="45"/>
      <c r="B1052" s="46"/>
      <c r="C1052" s="46"/>
      <c r="D1052" s="46"/>
      <c r="E1052" s="46"/>
      <c r="F1052" s="46"/>
      <c r="G1052" s="46"/>
      <c r="H1052" s="46"/>
      <c r="I1052" s="46"/>
      <c r="J1052" s="46"/>
      <c r="K1052" s="46"/>
      <c r="L1052" s="46"/>
      <c r="M1052" s="46"/>
      <c r="N1052" s="46"/>
      <c r="O1052" s="46"/>
      <c r="P1052" s="46"/>
      <c r="Q1052" s="46"/>
      <c r="R1052" s="46"/>
      <c r="S1052" s="46"/>
      <c r="T1052" s="46"/>
      <c r="U1052" s="46"/>
      <c r="V1052" s="46"/>
      <c r="W1052" s="46"/>
      <c r="X1052" s="46"/>
    </row>
    <row r="1053" spans="1:24" ht="12.75" x14ac:dyDescent="0.2">
      <c r="A1053" s="45"/>
      <c r="B1053" s="46"/>
      <c r="C1053" s="46"/>
      <c r="D1053" s="46"/>
      <c r="E1053" s="46"/>
      <c r="F1053" s="46"/>
      <c r="G1053" s="46"/>
      <c r="H1053" s="46"/>
      <c r="I1053" s="46"/>
      <c r="J1053" s="46"/>
      <c r="K1053" s="46"/>
      <c r="L1053" s="46"/>
      <c r="M1053" s="46"/>
      <c r="N1053" s="46"/>
      <c r="O1053" s="46"/>
      <c r="P1053" s="46"/>
      <c r="Q1053" s="46"/>
      <c r="R1053" s="46"/>
      <c r="S1053" s="46"/>
      <c r="T1053" s="46"/>
      <c r="U1053" s="46"/>
      <c r="V1053" s="46"/>
      <c r="W1053" s="46"/>
      <c r="X1053" s="46"/>
    </row>
    <row r="1054" spans="1:24" ht="12.75" x14ac:dyDescent="0.2">
      <c r="A1054" s="45"/>
      <c r="B1054" s="46"/>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row>
    <row r="1055" spans="1:24" ht="12.75" x14ac:dyDescent="0.2">
      <c r="A1055" s="45"/>
      <c r="B1055" s="46"/>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46"/>
    </row>
    <row r="1056" spans="1:24" ht="12.75" x14ac:dyDescent="0.2">
      <c r="A1056" s="45"/>
      <c r="B1056" s="46"/>
      <c r="C1056" s="46"/>
      <c r="D1056" s="46"/>
      <c r="E1056" s="46"/>
      <c r="F1056" s="46"/>
      <c r="G1056" s="46"/>
      <c r="H1056" s="46"/>
      <c r="I1056" s="46"/>
      <c r="J1056" s="46"/>
      <c r="K1056" s="46"/>
      <c r="L1056" s="46"/>
      <c r="M1056" s="46"/>
      <c r="N1056" s="46"/>
      <c r="O1056" s="46"/>
      <c r="P1056" s="46"/>
      <c r="Q1056" s="46"/>
      <c r="R1056" s="46"/>
      <c r="S1056" s="46"/>
      <c r="T1056" s="46"/>
      <c r="U1056" s="46"/>
      <c r="V1056" s="46"/>
      <c r="W1056" s="46"/>
      <c r="X1056" s="46"/>
    </row>
    <row r="1057" spans="1:24" ht="12.75" x14ac:dyDescent="0.2">
      <c r="A1057" s="45"/>
      <c r="B1057" s="46"/>
      <c r="C1057" s="46"/>
      <c r="D1057" s="46"/>
      <c r="E1057" s="46"/>
      <c r="F1057" s="46"/>
      <c r="G1057" s="46"/>
      <c r="H1057" s="46"/>
      <c r="I1057" s="46"/>
      <c r="J1057" s="46"/>
      <c r="K1057" s="46"/>
      <c r="L1057" s="46"/>
      <c r="M1057" s="46"/>
      <c r="N1057" s="46"/>
      <c r="O1057" s="46"/>
      <c r="P1057" s="46"/>
      <c r="Q1057" s="46"/>
      <c r="R1057" s="46"/>
      <c r="S1057" s="46"/>
      <c r="T1057" s="46"/>
      <c r="U1057" s="46"/>
      <c r="V1057" s="46"/>
      <c r="W1057" s="46"/>
      <c r="X1057" s="46"/>
    </row>
    <row r="1058" spans="1:24" ht="12.75" x14ac:dyDescent="0.2">
      <c r="A1058" s="45"/>
      <c r="B1058" s="46"/>
      <c r="C1058" s="46"/>
      <c r="D1058" s="46"/>
      <c r="E1058" s="46"/>
      <c r="F1058" s="46"/>
      <c r="G1058" s="46"/>
      <c r="H1058" s="46"/>
      <c r="I1058" s="46"/>
      <c r="J1058" s="46"/>
      <c r="K1058" s="46"/>
      <c r="L1058" s="46"/>
      <c r="M1058" s="46"/>
      <c r="N1058" s="46"/>
      <c r="O1058" s="46"/>
      <c r="P1058" s="46"/>
      <c r="Q1058" s="46"/>
      <c r="R1058" s="46"/>
      <c r="S1058" s="46"/>
      <c r="T1058" s="46"/>
      <c r="U1058" s="46"/>
      <c r="V1058" s="46"/>
      <c r="W1058" s="46"/>
      <c r="X1058" s="46"/>
    </row>
    <row r="1059" spans="1:24" ht="12.75" x14ac:dyDescent="0.2">
      <c r="A1059" s="45"/>
      <c r="B1059" s="46"/>
      <c r="C1059" s="46"/>
      <c r="D1059" s="46"/>
      <c r="E1059" s="46"/>
      <c r="F1059" s="46"/>
      <c r="G1059" s="46"/>
      <c r="H1059" s="46"/>
      <c r="I1059" s="46"/>
      <c r="J1059" s="46"/>
      <c r="K1059" s="46"/>
      <c r="L1059" s="46"/>
      <c r="M1059" s="46"/>
      <c r="N1059" s="46"/>
      <c r="O1059" s="46"/>
      <c r="P1059" s="46"/>
      <c r="Q1059" s="46"/>
      <c r="R1059" s="46"/>
      <c r="S1059" s="46"/>
      <c r="T1059" s="46"/>
      <c r="U1059" s="46"/>
      <c r="V1059" s="46"/>
      <c r="W1059" s="46"/>
      <c r="X1059" s="46"/>
    </row>
    <row r="1060" spans="1:24" ht="12.75" x14ac:dyDescent="0.2">
      <c r="A1060" s="45"/>
      <c r="B1060" s="46"/>
      <c r="C1060" s="46"/>
      <c r="D1060" s="46"/>
      <c r="E1060" s="46"/>
      <c r="F1060" s="46"/>
      <c r="G1060" s="46"/>
      <c r="H1060" s="46"/>
      <c r="I1060" s="46"/>
      <c r="J1060" s="46"/>
      <c r="K1060" s="46"/>
      <c r="L1060" s="46"/>
      <c r="M1060" s="46"/>
      <c r="N1060" s="46"/>
      <c r="O1060" s="46"/>
      <c r="P1060" s="46"/>
      <c r="Q1060" s="46"/>
      <c r="R1060" s="46"/>
      <c r="S1060" s="46"/>
      <c r="T1060" s="46"/>
      <c r="U1060" s="46"/>
      <c r="V1060" s="46"/>
      <c r="W1060" s="46"/>
      <c r="X1060" s="46"/>
    </row>
    <row r="1061" spans="1:24" ht="12.75" x14ac:dyDescent="0.2">
      <c r="A1061" s="45"/>
      <c r="B1061" s="46"/>
      <c r="C1061" s="46"/>
      <c r="D1061" s="46"/>
      <c r="E1061" s="46"/>
      <c r="F1061" s="46"/>
      <c r="G1061" s="46"/>
      <c r="H1061" s="46"/>
      <c r="I1061" s="46"/>
      <c r="J1061" s="46"/>
      <c r="K1061" s="46"/>
      <c r="L1061" s="46"/>
      <c r="M1061" s="46"/>
      <c r="N1061" s="46"/>
      <c r="O1061" s="46"/>
      <c r="P1061" s="46"/>
      <c r="Q1061" s="46"/>
      <c r="R1061" s="46"/>
      <c r="S1061" s="46"/>
      <c r="T1061" s="46"/>
      <c r="U1061" s="46"/>
      <c r="V1061" s="46"/>
      <c r="W1061" s="46"/>
      <c r="X1061" s="46"/>
    </row>
    <row r="1062" spans="1:24" ht="12.75" x14ac:dyDescent="0.2">
      <c r="A1062" s="45"/>
      <c r="B1062" s="46"/>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row>
    <row r="1063" spans="1:24" ht="12.75" x14ac:dyDescent="0.2">
      <c r="A1063" s="45"/>
      <c r="B1063" s="46"/>
      <c r="C1063" s="46"/>
      <c r="D1063" s="46"/>
      <c r="E1063" s="46"/>
      <c r="F1063" s="46"/>
      <c r="G1063" s="46"/>
      <c r="H1063" s="46"/>
      <c r="I1063" s="46"/>
      <c r="J1063" s="46"/>
      <c r="K1063" s="46"/>
      <c r="L1063" s="46"/>
      <c r="M1063" s="46"/>
      <c r="N1063" s="46"/>
      <c r="O1063" s="46"/>
      <c r="P1063" s="46"/>
      <c r="Q1063" s="46"/>
      <c r="R1063" s="46"/>
      <c r="S1063" s="46"/>
      <c r="T1063" s="46"/>
      <c r="U1063" s="46"/>
      <c r="V1063" s="46"/>
      <c r="W1063" s="46"/>
      <c r="X1063" s="46"/>
    </row>
    <row r="1064" spans="1:24" ht="12.75" x14ac:dyDescent="0.2">
      <c r="A1064" s="45"/>
      <c r="B1064" s="46"/>
      <c r="C1064" s="46"/>
      <c r="D1064" s="46"/>
      <c r="E1064" s="46"/>
      <c r="F1064" s="46"/>
      <c r="G1064" s="46"/>
      <c r="H1064" s="46"/>
      <c r="I1064" s="46"/>
      <c r="J1064" s="46"/>
      <c r="K1064" s="46"/>
      <c r="L1064" s="46"/>
      <c r="M1064" s="46"/>
      <c r="N1064" s="46"/>
      <c r="O1064" s="46"/>
      <c r="P1064" s="46"/>
      <c r="Q1064" s="46"/>
      <c r="R1064" s="46"/>
      <c r="S1064" s="46"/>
      <c r="T1064" s="46"/>
      <c r="U1064" s="46"/>
      <c r="V1064" s="46"/>
      <c r="W1064" s="46"/>
      <c r="X1064" s="46"/>
    </row>
    <row r="1065" spans="1:24" ht="12.75" x14ac:dyDescent="0.2">
      <c r="A1065" s="45"/>
      <c r="B1065" s="46"/>
      <c r="C1065" s="46"/>
      <c r="D1065" s="46"/>
      <c r="E1065" s="46"/>
      <c r="F1065" s="46"/>
      <c r="G1065" s="46"/>
      <c r="H1065" s="46"/>
      <c r="I1065" s="46"/>
      <c r="J1065" s="46"/>
      <c r="K1065" s="46"/>
      <c r="L1065" s="46"/>
      <c r="M1065" s="46"/>
      <c r="N1065" s="46"/>
      <c r="O1065" s="46"/>
      <c r="P1065" s="46"/>
      <c r="Q1065" s="46"/>
      <c r="R1065" s="46"/>
      <c r="S1065" s="46"/>
      <c r="T1065" s="46"/>
      <c r="U1065" s="46"/>
      <c r="V1065" s="46"/>
      <c r="W1065" s="46"/>
      <c r="X1065" s="46"/>
    </row>
    <row r="1066" spans="1:24" ht="12.75" x14ac:dyDescent="0.2">
      <c r="A1066" s="45"/>
      <c r="B1066" s="46"/>
      <c r="C1066" s="46"/>
      <c r="D1066" s="46"/>
      <c r="E1066" s="46"/>
      <c r="F1066" s="46"/>
      <c r="G1066" s="46"/>
      <c r="H1066" s="46"/>
      <c r="I1066" s="46"/>
      <c r="J1066" s="46"/>
      <c r="K1066" s="46"/>
      <c r="L1066" s="46"/>
      <c r="M1066" s="46"/>
      <c r="N1066" s="46"/>
      <c r="O1066" s="46"/>
      <c r="P1066" s="46"/>
      <c r="Q1066" s="46"/>
      <c r="R1066" s="46"/>
      <c r="S1066" s="46"/>
      <c r="T1066" s="46"/>
      <c r="U1066" s="46"/>
      <c r="V1066" s="46"/>
      <c r="W1066" s="46"/>
      <c r="X1066" s="46"/>
    </row>
    <row r="1067" spans="1:24" ht="12.75" x14ac:dyDescent="0.2">
      <c r="A1067" s="45"/>
      <c r="B1067" s="46"/>
      <c r="C1067" s="46"/>
      <c r="D1067" s="46"/>
      <c r="E1067" s="46"/>
      <c r="F1067" s="46"/>
      <c r="G1067" s="46"/>
      <c r="H1067" s="46"/>
      <c r="I1067" s="46"/>
      <c r="J1067" s="46"/>
      <c r="K1067" s="46"/>
      <c r="L1067" s="46"/>
      <c r="M1067" s="46"/>
      <c r="N1067" s="46"/>
      <c r="O1067" s="46"/>
      <c r="P1067" s="46"/>
      <c r="Q1067" s="46"/>
      <c r="R1067" s="46"/>
      <c r="S1067" s="46"/>
      <c r="T1067" s="46"/>
      <c r="U1067" s="46"/>
      <c r="V1067" s="46"/>
      <c r="W1067" s="46"/>
      <c r="X1067" s="46"/>
    </row>
    <row r="1068" spans="1:24" ht="12.75" x14ac:dyDescent="0.2">
      <c r="A1068" s="45"/>
      <c r="B1068" s="46"/>
      <c r="C1068" s="46"/>
      <c r="D1068" s="46"/>
      <c r="E1068" s="46"/>
      <c r="F1068" s="46"/>
      <c r="G1068" s="46"/>
      <c r="H1068" s="46"/>
      <c r="I1068" s="46"/>
      <c r="J1068" s="46"/>
      <c r="K1068" s="46"/>
      <c r="L1068" s="46"/>
      <c r="M1068" s="46"/>
      <c r="N1068" s="46"/>
      <c r="O1068" s="46"/>
      <c r="P1068" s="46"/>
      <c r="Q1068" s="46"/>
      <c r="R1068" s="46"/>
      <c r="S1068" s="46"/>
      <c r="T1068" s="46"/>
      <c r="U1068" s="46"/>
      <c r="V1068" s="46"/>
      <c r="W1068" s="46"/>
      <c r="X1068" s="46"/>
    </row>
    <row r="1069" spans="1:24" ht="12.75" x14ac:dyDescent="0.2">
      <c r="A1069" s="45"/>
      <c r="B1069" s="46"/>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46"/>
    </row>
    <row r="1070" spans="1:24" ht="12.75" x14ac:dyDescent="0.2">
      <c r="A1070" s="45"/>
      <c r="B1070" s="46"/>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row>
    <row r="1071" spans="1:24" ht="12.75" x14ac:dyDescent="0.2">
      <c r="A1071" s="45"/>
      <c r="B1071" s="46"/>
      <c r="C1071" s="46"/>
      <c r="D1071" s="46"/>
      <c r="E1071" s="46"/>
      <c r="F1071" s="46"/>
      <c r="G1071" s="46"/>
      <c r="H1071" s="46"/>
      <c r="I1071" s="46"/>
      <c r="J1071" s="46"/>
      <c r="K1071" s="46"/>
      <c r="L1071" s="46"/>
      <c r="M1071" s="46"/>
      <c r="N1071" s="46"/>
      <c r="O1071" s="46"/>
      <c r="P1071" s="46"/>
      <c r="Q1071" s="46"/>
      <c r="R1071" s="46"/>
      <c r="S1071" s="46"/>
      <c r="T1071" s="46"/>
      <c r="U1071" s="46"/>
      <c r="V1071" s="46"/>
      <c r="W1071" s="46"/>
      <c r="X1071" s="46"/>
    </row>
    <row r="1072" spans="1:24" ht="12.75" x14ac:dyDescent="0.2">
      <c r="A1072" s="45"/>
      <c r="B1072" s="46"/>
      <c r="C1072" s="46"/>
      <c r="D1072" s="46"/>
      <c r="E1072" s="46"/>
      <c r="F1072" s="46"/>
      <c r="G1072" s="46"/>
      <c r="H1072" s="46"/>
      <c r="I1072" s="46"/>
      <c r="J1072" s="46"/>
      <c r="K1072" s="46"/>
      <c r="L1072" s="46"/>
      <c r="M1072" s="46"/>
      <c r="N1072" s="46"/>
      <c r="O1072" s="46"/>
      <c r="P1072" s="46"/>
      <c r="Q1072" s="46"/>
      <c r="R1072" s="46"/>
      <c r="S1072" s="46"/>
      <c r="T1072" s="46"/>
      <c r="U1072" s="46"/>
      <c r="V1072" s="46"/>
      <c r="W1072" s="46"/>
      <c r="X1072" s="46"/>
    </row>
    <row r="1073" spans="1:24" ht="12.75" x14ac:dyDescent="0.2">
      <c r="A1073" s="45"/>
      <c r="B1073" s="46"/>
      <c r="C1073" s="46"/>
      <c r="D1073" s="46"/>
      <c r="E1073" s="46"/>
      <c r="F1073" s="46"/>
      <c r="G1073" s="46"/>
      <c r="H1073" s="46"/>
      <c r="I1073" s="46"/>
      <c r="J1073" s="46"/>
      <c r="K1073" s="46"/>
      <c r="L1073" s="46"/>
      <c r="M1073" s="46"/>
      <c r="N1073" s="46"/>
      <c r="O1073" s="46"/>
      <c r="P1073" s="46"/>
      <c r="Q1073" s="46"/>
      <c r="R1073" s="46"/>
      <c r="S1073" s="46"/>
      <c r="T1073" s="46"/>
      <c r="U1073" s="46"/>
      <c r="V1073" s="46"/>
      <c r="W1073" s="46"/>
      <c r="X1073" s="46"/>
    </row>
    <row r="1074" spans="1:24" ht="12.75" x14ac:dyDescent="0.2">
      <c r="A1074" s="45"/>
      <c r="B1074" s="46"/>
      <c r="C1074" s="46"/>
      <c r="D1074" s="46"/>
      <c r="E1074" s="46"/>
      <c r="F1074" s="46"/>
      <c r="G1074" s="46"/>
      <c r="H1074" s="46"/>
      <c r="I1074" s="46"/>
      <c r="J1074" s="46"/>
      <c r="K1074" s="46"/>
      <c r="L1074" s="46"/>
      <c r="M1074" s="46"/>
      <c r="N1074" s="46"/>
      <c r="O1074" s="46"/>
      <c r="P1074" s="46"/>
      <c r="Q1074" s="46"/>
      <c r="R1074" s="46"/>
      <c r="S1074" s="46"/>
      <c r="T1074" s="46"/>
      <c r="U1074" s="46"/>
      <c r="V1074" s="46"/>
      <c r="W1074" s="46"/>
      <c r="X1074" s="46"/>
    </row>
    <row r="1075" spans="1:24" ht="12.75" x14ac:dyDescent="0.2">
      <c r="A1075" s="45"/>
      <c r="B1075" s="46"/>
      <c r="C1075" s="46"/>
      <c r="D1075" s="46"/>
      <c r="E1075" s="46"/>
      <c r="F1075" s="46"/>
      <c r="G1075" s="46"/>
      <c r="H1075" s="46"/>
      <c r="I1075" s="46"/>
      <c r="J1075" s="46"/>
      <c r="K1075" s="46"/>
      <c r="L1075" s="46"/>
      <c r="M1075" s="46"/>
      <c r="N1075" s="46"/>
      <c r="O1075" s="46"/>
      <c r="P1075" s="46"/>
      <c r="Q1075" s="46"/>
      <c r="R1075" s="46"/>
      <c r="S1075" s="46"/>
      <c r="T1075" s="46"/>
      <c r="U1075" s="46"/>
      <c r="V1075" s="46"/>
      <c r="W1075" s="46"/>
      <c r="X1075" s="46"/>
    </row>
    <row r="1076" spans="1:24" ht="12.75" x14ac:dyDescent="0.2">
      <c r="A1076" s="45"/>
      <c r="B1076" s="4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46"/>
    </row>
    <row r="1077" spans="1:24" ht="12.75" x14ac:dyDescent="0.2">
      <c r="A1077" s="45"/>
      <c r="B1077" s="46"/>
      <c r="C1077" s="46"/>
      <c r="D1077" s="46"/>
      <c r="E1077" s="46"/>
      <c r="F1077" s="46"/>
      <c r="G1077" s="46"/>
      <c r="H1077" s="46"/>
      <c r="I1077" s="46"/>
      <c r="J1077" s="46"/>
      <c r="K1077" s="46"/>
      <c r="L1077" s="46"/>
      <c r="M1077" s="46"/>
      <c r="N1077" s="46"/>
      <c r="O1077" s="46"/>
      <c r="P1077" s="46"/>
      <c r="Q1077" s="46"/>
      <c r="R1077" s="46"/>
      <c r="S1077" s="46"/>
      <c r="T1077" s="46"/>
      <c r="U1077" s="46"/>
      <c r="V1077" s="46"/>
      <c r="W1077" s="46"/>
      <c r="X1077" s="46"/>
    </row>
    <row r="1078" spans="1:24" ht="12.75" x14ac:dyDescent="0.2">
      <c r="A1078" s="45"/>
      <c r="B1078" s="46"/>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row>
    <row r="1079" spans="1:24" ht="12.75" x14ac:dyDescent="0.2">
      <c r="A1079" s="45"/>
      <c r="B1079" s="46"/>
      <c r="C1079" s="46"/>
      <c r="D1079" s="46"/>
      <c r="E1079" s="46"/>
      <c r="F1079" s="46"/>
      <c r="G1079" s="46"/>
      <c r="H1079" s="46"/>
      <c r="I1079" s="46"/>
      <c r="J1079" s="46"/>
      <c r="K1079" s="46"/>
      <c r="L1079" s="46"/>
      <c r="M1079" s="46"/>
      <c r="N1079" s="46"/>
      <c r="O1079" s="46"/>
      <c r="P1079" s="46"/>
      <c r="Q1079" s="46"/>
      <c r="R1079" s="46"/>
      <c r="S1079" s="46"/>
      <c r="T1079" s="46"/>
      <c r="U1079" s="46"/>
      <c r="V1079" s="46"/>
      <c r="W1079" s="46"/>
      <c r="X1079" s="46"/>
    </row>
    <row r="1080" spans="1:24" ht="12.75" x14ac:dyDescent="0.2">
      <c r="A1080" s="45"/>
      <c r="B1080" s="46"/>
      <c r="C1080" s="46"/>
      <c r="D1080" s="46"/>
      <c r="E1080" s="46"/>
      <c r="F1080" s="46"/>
      <c r="G1080" s="46"/>
      <c r="H1080" s="46"/>
      <c r="I1080" s="46"/>
      <c r="J1080" s="46"/>
      <c r="K1080" s="46"/>
      <c r="L1080" s="46"/>
      <c r="M1080" s="46"/>
      <c r="N1080" s="46"/>
      <c r="O1080" s="46"/>
      <c r="P1080" s="46"/>
      <c r="Q1080" s="46"/>
      <c r="R1080" s="46"/>
      <c r="S1080" s="46"/>
      <c r="T1080" s="46"/>
      <c r="U1080" s="46"/>
      <c r="V1080" s="46"/>
      <c r="W1080" s="46"/>
      <c r="X1080" s="46"/>
    </row>
    <row r="1081" spans="1:24" ht="12.75" x14ac:dyDescent="0.2">
      <c r="A1081" s="45"/>
      <c r="B1081" s="46"/>
      <c r="C1081" s="46"/>
      <c r="D1081" s="46"/>
      <c r="E1081" s="46"/>
      <c r="F1081" s="46"/>
      <c r="G1081" s="46"/>
      <c r="H1081" s="46"/>
      <c r="I1081" s="46"/>
      <c r="J1081" s="46"/>
      <c r="K1081" s="46"/>
      <c r="L1081" s="46"/>
      <c r="M1081" s="46"/>
      <c r="N1081" s="46"/>
      <c r="O1081" s="46"/>
      <c r="P1081" s="46"/>
      <c r="Q1081" s="46"/>
      <c r="R1081" s="46"/>
      <c r="S1081" s="46"/>
      <c r="T1081" s="46"/>
      <c r="U1081" s="46"/>
      <c r="V1081" s="46"/>
      <c r="W1081" s="46"/>
      <c r="X1081" s="46"/>
    </row>
    <row r="1082" spans="1:24" ht="12.75" x14ac:dyDescent="0.2">
      <c r="A1082" s="45"/>
      <c r="B1082" s="46"/>
      <c r="C1082" s="46"/>
      <c r="D1082" s="46"/>
      <c r="E1082" s="46"/>
      <c r="F1082" s="46"/>
      <c r="G1082" s="46"/>
      <c r="H1082" s="46"/>
      <c r="I1082" s="46"/>
      <c r="J1082" s="46"/>
      <c r="K1082" s="46"/>
      <c r="L1082" s="46"/>
      <c r="M1082" s="46"/>
      <c r="N1082" s="46"/>
      <c r="O1082" s="46"/>
      <c r="P1082" s="46"/>
      <c r="Q1082" s="46"/>
      <c r="R1082" s="46"/>
      <c r="S1082" s="46"/>
      <c r="T1082" s="46"/>
      <c r="U1082" s="46"/>
      <c r="V1082" s="46"/>
      <c r="W1082" s="46"/>
      <c r="X1082" s="46"/>
    </row>
    <row r="1083" spans="1:24" ht="12.75" x14ac:dyDescent="0.2">
      <c r="A1083" s="45"/>
      <c r="B1083" s="46"/>
      <c r="C1083" s="46"/>
      <c r="D1083" s="46"/>
      <c r="E1083" s="46"/>
      <c r="F1083" s="46"/>
      <c r="G1083" s="46"/>
      <c r="H1083" s="46"/>
      <c r="I1083" s="46"/>
      <c r="J1083" s="46"/>
      <c r="K1083" s="46"/>
      <c r="L1083" s="46"/>
      <c r="M1083" s="46"/>
      <c r="N1083" s="46"/>
      <c r="O1083" s="46"/>
      <c r="P1083" s="46"/>
      <c r="Q1083" s="46"/>
      <c r="R1083" s="46"/>
      <c r="S1083" s="46"/>
      <c r="T1083" s="46"/>
      <c r="U1083" s="46"/>
      <c r="V1083" s="46"/>
      <c r="W1083" s="46"/>
      <c r="X1083" s="46"/>
    </row>
    <row r="1084" spans="1:24" ht="12.75" x14ac:dyDescent="0.2">
      <c r="A1084" s="45"/>
      <c r="B1084" s="46"/>
      <c r="C1084" s="46"/>
      <c r="D1084" s="46"/>
      <c r="E1084" s="46"/>
      <c r="F1084" s="46"/>
      <c r="G1084" s="46"/>
      <c r="H1084" s="46"/>
      <c r="I1084" s="46"/>
      <c r="J1084" s="46"/>
      <c r="K1084" s="46"/>
      <c r="L1084" s="46"/>
      <c r="M1084" s="46"/>
      <c r="N1084" s="46"/>
      <c r="O1084" s="46"/>
      <c r="P1084" s="46"/>
      <c r="Q1084" s="46"/>
      <c r="R1084" s="46"/>
      <c r="S1084" s="46"/>
      <c r="T1084" s="46"/>
      <c r="U1084" s="46"/>
      <c r="V1084" s="46"/>
      <c r="W1084" s="46"/>
      <c r="X1084" s="46"/>
    </row>
    <row r="1085" spans="1:24" ht="12.75" x14ac:dyDescent="0.2">
      <c r="A1085" s="45"/>
      <c r="B1085" s="46"/>
      <c r="C1085" s="46"/>
      <c r="D1085" s="46"/>
      <c r="E1085" s="46"/>
      <c r="F1085" s="46"/>
      <c r="G1085" s="46"/>
      <c r="H1085" s="46"/>
      <c r="I1085" s="46"/>
      <c r="J1085" s="46"/>
      <c r="K1085" s="46"/>
      <c r="L1085" s="46"/>
      <c r="M1085" s="46"/>
      <c r="N1085" s="46"/>
      <c r="O1085" s="46"/>
      <c r="P1085" s="46"/>
      <c r="Q1085" s="46"/>
      <c r="R1085" s="46"/>
      <c r="S1085" s="46"/>
      <c r="T1085" s="46"/>
      <c r="U1085" s="46"/>
      <c r="V1085" s="46"/>
      <c r="W1085" s="46"/>
      <c r="X1085" s="46"/>
    </row>
    <row r="1086" spans="1:24" ht="12.75" x14ac:dyDescent="0.2">
      <c r="A1086" s="45"/>
      <c r="B1086" s="46"/>
      <c r="C1086" s="46"/>
      <c r="D1086" s="46"/>
      <c r="E1086" s="46"/>
      <c r="F1086" s="46"/>
      <c r="G1086" s="46"/>
      <c r="H1086" s="46"/>
      <c r="I1086" s="46"/>
      <c r="J1086" s="46"/>
      <c r="K1086" s="46"/>
      <c r="L1086" s="46"/>
      <c r="M1086" s="46"/>
      <c r="N1086" s="46"/>
      <c r="O1086" s="46"/>
      <c r="P1086" s="46"/>
      <c r="Q1086" s="46"/>
      <c r="R1086" s="46"/>
      <c r="S1086" s="46"/>
      <c r="T1086" s="46"/>
      <c r="U1086" s="46"/>
      <c r="V1086" s="46"/>
      <c r="W1086" s="46"/>
      <c r="X1086" s="46"/>
    </row>
    <row r="1087" spans="1:24" ht="12.75" x14ac:dyDescent="0.2">
      <c r="A1087" s="45"/>
      <c r="B1087" s="46"/>
      <c r="C1087" s="46"/>
      <c r="D1087" s="46"/>
      <c r="E1087" s="46"/>
      <c r="F1087" s="46"/>
      <c r="G1087" s="46"/>
      <c r="H1087" s="46"/>
      <c r="I1087" s="46"/>
      <c r="J1087" s="46"/>
      <c r="K1087" s="46"/>
      <c r="L1087" s="46"/>
      <c r="M1087" s="46"/>
      <c r="N1087" s="46"/>
      <c r="O1087" s="46"/>
      <c r="P1087" s="46"/>
      <c r="Q1087" s="46"/>
      <c r="R1087" s="46"/>
      <c r="S1087" s="46"/>
      <c r="T1087" s="46"/>
      <c r="U1087" s="46"/>
      <c r="V1087" s="46"/>
      <c r="W1087" s="46"/>
      <c r="X1087" s="46"/>
    </row>
    <row r="1088" spans="1:24" ht="12.75" x14ac:dyDescent="0.2">
      <c r="A1088" s="45"/>
      <c r="B1088" s="46"/>
      <c r="C1088" s="46"/>
      <c r="D1088" s="46"/>
      <c r="E1088" s="46"/>
      <c r="F1088" s="46"/>
      <c r="G1088" s="46"/>
      <c r="H1088" s="46"/>
      <c r="I1088" s="46"/>
      <c r="J1088" s="46"/>
      <c r="K1088" s="46"/>
      <c r="L1088" s="46"/>
      <c r="M1088" s="46"/>
      <c r="N1088" s="46"/>
      <c r="O1088" s="46"/>
      <c r="P1088" s="46"/>
      <c r="Q1088" s="46"/>
      <c r="R1088" s="46"/>
      <c r="S1088" s="46"/>
      <c r="T1088" s="46"/>
      <c r="U1088" s="46"/>
      <c r="V1088" s="46"/>
      <c r="W1088" s="46"/>
      <c r="X1088" s="46"/>
    </row>
    <row r="1089" spans="1:24" ht="12.75" x14ac:dyDescent="0.2">
      <c r="A1089" s="45"/>
      <c r="B1089" s="46"/>
      <c r="C1089" s="46"/>
      <c r="D1089" s="46"/>
      <c r="E1089" s="46"/>
      <c r="F1089" s="46"/>
      <c r="G1089" s="46"/>
      <c r="H1089" s="46"/>
      <c r="I1089" s="46"/>
      <c r="J1089" s="46"/>
      <c r="K1089" s="46"/>
      <c r="L1089" s="46"/>
      <c r="M1089" s="46"/>
      <c r="N1089" s="46"/>
      <c r="O1089" s="46"/>
      <c r="P1089" s="46"/>
      <c r="Q1089" s="46"/>
      <c r="R1089" s="46"/>
      <c r="S1089" s="46"/>
      <c r="T1089" s="46"/>
      <c r="U1089" s="46"/>
      <c r="V1089" s="46"/>
      <c r="W1089" s="46"/>
      <c r="X1089" s="46"/>
    </row>
    <row r="1090" spans="1:24" ht="12.75" x14ac:dyDescent="0.2">
      <c r="A1090" s="45"/>
      <c r="B1090" s="46"/>
      <c r="C1090" s="46"/>
      <c r="D1090" s="46"/>
      <c r="E1090" s="46"/>
      <c r="F1090" s="46"/>
      <c r="G1090" s="46"/>
      <c r="H1090" s="46"/>
      <c r="I1090" s="46"/>
      <c r="J1090" s="46"/>
      <c r="K1090" s="46"/>
      <c r="L1090" s="46"/>
      <c r="M1090" s="46"/>
      <c r="N1090" s="46"/>
      <c r="O1090" s="46"/>
      <c r="P1090" s="46"/>
      <c r="Q1090" s="46"/>
      <c r="R1090" s="46"/>
      <c r="S1090" s="46"/>
      <c r="T1090" s="46"/>
      <c r="U1090" s="46"/>
      <c r="V1090" s="46"/>
      <c r="W1090" s="46"/>
      <c r="X1090" s="46"/>
    </row>
    <row r="1091" spans="1:24" ht="12.75" x14ac:dyDescent="0.2">
      <c r="A1091" s="45"/>
      <c r="B1091" s="46"/>
      <c r="C1091" s="46"/>
      <c r="D1091" s="46"/>
      <c r="E1091" s="46"/>
      <c r="F1091" s="46"/>
      <c r="G1091" s="46"/>
      <c r="H1091" s="46"/>
      <c r="I1091" s="46"/>
      <c r="J1091" s="46"/>
      <c r="K1091" s="46"/>
      <c r="L1091" s="46"/>
      <c r="M1091" s="46"/>
      <c r="N1091" s="46"/>
      <c r="O1091" s="46"/>
      <c r="P1091" s="46"/>
      <c r="Q1091" s="46"/>
      <c r="R1091" s="46"/>
      <c r="S1091" s="46"/>
      <c r="T1091" s="46"/>
      <c r="U1091" s="46"/>
      <c r="V1091" s="46"/>
      <c r="W1091" s="46"/>
      <c r="X1091" s="46"/>
    </row>
    <row r="1092" spans="1:24" ht="12.75" x14ac:dyDescent="0.2">
      <c r="A1092" s="45"/>
      <c r="B1092" s="46"/>
      <c r="C1092" s="46"/>
      <c r="D1092" s="46"/>
      <c r="E1092" s="46"/>
      <c r="F1092" s="46"/>
      <c r="G1092" s="46"/>
      <c r="H1092" s="46"/>
      <c r="I1092" s="46"/>
      <c r="J1092" s="46"/>
      <c r="K1092" s="46"/>
      <c r="L1092" s="46"/>
      <c r="M1092" s="46"/>
      <c r="N1092" s="46"/>
      <c r="O1092" s="46"/>
      <c r="P1092" s="46"/>
      <c r="Q1092" s="46"/>
      <c r="R1092" s="46"/>
      <c r="S1092" s="46"/>
      <c r="T1092" s="46"/>
      <c r="U1092" s="46"/>
      <c r="V1092" s="46"/>
      <c r="W1092" s="46"/>
      <c r="X1092" s="46"/>
    </row>
    <row r="1093" spans="1:24" ht="12.75" x14ac:dyDescent="0.2">
      <c r="A1093" s="45"/>
      <c r="B1093" s="46"/>
      <c r="C1093" s="46"/>
      <c r="D1093" s="46"/>
      <c r="E1093" s="46"/>
      <c r="F1093" s="46"/>
      <c r="G1093" s="46"/>
      <c r="H1093" s="46"/>
      <c r="I1093" s="46"/>
      <c r="J1093" s="46"/>
      <c r="K1093" s="46"/>
      <c r="L1093" s="46"/>
      <c r="M1093" s="46"/>
      <c r="N1093" s="46"/>
      <c r="O1093" s="46"/>
      <c r="P1093" s="46"/>
      <c r="Q1093" s="46"/>
      <c r="R1093" s="46"/>
      <c r="S1093" s="46"/>
      <c r="T1093" s="46"/>
      <c r="U1093" s="46"/>
      <c r="V1093" s="46"/>
      <c r="W1093" s="46"/>
      <c r="X1093" s="46"/>
    </row>
    <row r="1094" spans="1:24" ht="12.75" x14ac:dyDescent="0.2">
      <c r="A1094" s="45"/>
      <c r="B1094" s="46"/>
      <c r="C1094" s="46"/>
      <c r="D1094" s="46"/>
      <c r="E1094" s="46"/>
      <c r="F1094" s="46"/>
      <c r="G1094" s="46"/>
      <c r="H1094" s="46"/>
      <c r="I1094" s="46"/>
      <c r="J1094" s="46"/>
      <c r="K1094" s="46"/>
      <c r="L1094" s="46"/>
      <c r="M1094" s="46"/>
      <c r="N1094" s="46"/>
      <c r="O1094" s="46"/>
      <c r="P1094" s="46"/>
      <c r="Q1094" s="46"/>
      <c r="R1094" s="46"/>
      <c r="S1094" s="46"/>
      <c r="T1094" s="46"/>
      <c r="U1094" s="46"/>
      <c r="V1094" s="46"/>
      <c r="W1094" s="46"/>
      <c r="X1094" s="46"/>
    </row>
    <row r="1095" spans="1:24" ht="12.75" x14ac:dyDescent="0.2">
      <c r="A1095" s="45"/>
      <c r="B1095" s="46"/>
      <c r="C1095" s="46"/>
      <c r="D1095" s="46"/>
      <c r="E1095" s="46"/>
      <c r="F1095" s="46"/>
      <c r="G1095" s="46"/>
      <c r="H1095" s="46"/>
      <c r="I1095" s="46"/>
      <c r="J1095" s="46"/>
      <c r="K1095" s="46"/>
      <c r="L1095" s="46"/>
      <c r="M1095" s="46"/>
      <c r="N1095" s="46"/>
      <c r="O1095" s="46"/>
      <c r="P1095" s="46"/>
      <c r="Q1095" s="46"/>
      <c r="R1095" s="46"/>
      <c r="S1095" s="46"/>
      <c r="T1095" s="46"/>
      <c r="U1095" s="46"/>
      <c r="V1095" s="46"/>
      <c r="W1095" s="46"/>
      <c r="X1095" s="46"/>
    </row>
    <row r="1096" spans="1:24" ht="12.75" x14ac:dyDescent="0.2">
      <c r="A1096" s="45"/>
      <c r="B1096" s="46"/>
      <c r="C1096" s="46"/>
      <c r="D1096" s="46"/>
      <c r="E1096" s="46"/>
      <c r="F1096" s="46"/>
      <c r="G1096" s="46"/>
      <c r="H1096" s="46"/>
      <c r="I1096" s="46"/>
      <c r="J1096" s="46"/>
      <c r="K1096" s="46"/>
      <c r="L1096" s="46"/>
      <c r="M1096" s="46"/>
      <c r="N1096" s="46"/>
      <c r="O1096" s="46"/>
      <c r="P1096" s="46"/>
      <c r="Q1096" s="46"/>
      <c r="R1096" s="46"/>
      <c r="S1096" s="46"/>
      <c r="T1096" s="46"/>
      <c r="U1096" s="46"/>
      <c r="V1096" s="46"/>
      <c r="W1096" s="46"/>
      <c r="X1096" s="46"/>
    </row>
    <row r="1097" spans="1:24" ht="12.75" x14ac:dyDescent="0.2">
      <c r="A1097" s="45"/>
      <c r="B1097" s="46"/>
      <c r="C1097" s="46"/>
      <c r="D1097" s="46"/>
      <c r="E1097" s="46"/>
      <c r="F1097" s="46"/>
      <c r="G1097" s="46"/>
      <c r="H1097" s="46"/>
      <c r="I1097" s="46"/>
      <c r="J1097" s="46"/>
      <c r="K1097" s="46"/>
      <c r="L1097" s="46"/>
      <c r="M1097" s="46"/>
      <c r="N1097" s="46"/>
      <c r="O1097" s="46"/>
      <c r="P1097" s="46"/>
      <c r="Q1097" s="46"/>
      <c r="R1097" s="46"/>
      <c r="S1097" s="46"/>
      <c r="T1097" s="46"/>
      <c r="U1097" s="46"/>
      <c r="V1097" s="46"/>
      <c r="W1097" s="46"/>
      <c r="X1097" s="46"/>
    </row>
    <row r="1098" spans="1:24" ht="12.75" x14ac:dyDescent="0.2">
      <c r="A1098" s="45"/>
      <c r="B1098" s="46"/>
      <c r="C1098" s="46"/>
      <c r="D1098" s="46"/>
      <c r="E1098" s="46"/>
      <c r="F1098" s="46"/>
      <c r="G1098" s="46"/>
      <c r="H1098" s="46"/>
      <c r="I1098" s="46"/>
      <c r="J1098" s="46"/>
      <c r="K1098" s="46"/>
      <c r="L1098" s="46"/>
      <c r="M1098" s="46"/>
      <c r="N1098" s="46"/>
      <c r="O1098" s="46"/>
      <c r="P1098" s="46"/>
      <c r="Q1098" s="46"/>
      <c r="R1098" s="46"/>
      <c r="S1098" s="46"/>
      <c r="T1098" s="46"/>
      <c r="U1098" s="46"/>
      <c r="V1098" s="46"/>
      <c r="W1098" s="46"/>
      <c r="X1098" s="46"/>
    </row>
    <row r="1099" spans="1:24" ht="12.75" x14ac:dyDescent="0.2">
      <c r="A1099" s="45"/>
      <c r="B1099" s="46"/>
      <c r="C1099" s="46"/>
      <c r="D1099" s="46"/>
      <c r="E1099" s="46"/>
      <c r="F1099" s="46"/>
      <c r="G1099" s="46"/>
      <c r="H1099" s="46"/>
      <c r="I1099" s="46"/>
      <c r="J1099" s="46"/>
      <c r="K1099" s="46"/>
      <c r="L1099" s="46"/>
      <c r="M1099" s="46"/>
      <c r="N1099" s="46"/>
      <c r="O1099" s="46"/>
      <c r="P1099" s="46"/>
      <c r="Q1099" s="46"/>
      <c r="R1099" s="46"/>
      <c r="S1099" s="46"/>
      <c r="T1099" s="46"/>
      <c r="U1099" s="46"/>
      <c r="V1099" s="46"/>
      <c r="W1099" s="46"/>
      <c r="X1099" s="46"/>
    </row>
    <row r="1100" spans="1:24" ht="12.75" x14ac:dyDescent="0.2">
      <c r="A1100" s="45"/>
      <c r="B1100" s="46"/>
      <c r="C1100" s="46"/>
      <c r="D1100" s="46"/>
      <c r="E1100" s="46"/>
      <c r="F1100" s="46"/>
      <c r="G1100" s="46"/>
      <c r="H1100" s="46"/>
      <c r="I1100" s="46"/>
      <c r="J1100" s="46"/>
      <c r="K1100" s="46"/>
      <c r="L1100" s="46"/>
      <c r="M1100" s="46"/>
      <c r="N1100" s="46"/>
      <c r="O1100" s="46"/>
      <c r="P1100" s="46"/>
      <c r="Q1100" s="46"/>
      <c r="R1100" s="46"/>
      <c r="S1100" s="46"/>
      <c r="T1100" s="46"/>
      <c r="U1100" s="46"/>
      <c r="V1100" s="46"/>
      <c r="W1100" s="46"/>
      <c r="X1100" s="46"/>
    </row>
    <row r="1101" spans="1:24" ht="12.75" x14ac:dyDescent="0.2">
      <c r="A1101" s="45"/>
      <c r="B1101" s="46"/>
      <c r="C1101" s="46"/>
      <c r="D1101" s="46"/>
      <c r="E1101" s="46"/>
      <c r="F1101" s="46"/>
      <c r="G1101" s="46"/>
      <c r="H1101" s="46"/>
      <c r="I1101" s="46"/>
      <c r="J1101" s="46"/>
      <c r="K1101" s="46"/>
      <c r="L1101" s="46"/>
      <c r="M1101" s="46"/>
      <c r="N1101" s="46"/>
      <c r="O1101" s="46"/>
      <c r="P1101" s="46"/>
      <c r="Q1101" s="46"/>
      <c r="R1101" s="46"/>
      <c r="S1101" s="46"/>
      <c r="T1101" s="46"/>
      <c r="U1101" s="46"/>
      <c r="V1101" s="46"/>
      <c r="W1101" s="46"/>
      <c r="X1101" s="46"/>
    </row>
    <row r="1102" spans="1:24" ht="12.75" x14ac:dyDescent="0.2">
      <c r="A1102" s="45"/>
      <c r="B1102" s="46"/>
      <c r="C1102" s="46"/>
      <c r="D1102" s="46"/>
      <c r="E1102" s="46"/>
      <c r="F1102" s="46"/>
      <c r="G1102" s="46"/>
      <c r="H1102" s="46"/>
      <c r="I1102" s="46"/>
      <c r="J1102" s="46"/>
      <c r="K1102" s="46"/>
      <c r="L1102" s="46"/>
      <c r="M1102" s="46"/>
      <c r="N1102" s="46"/>
      <c r="O1102" s="46"/>
      <c r="P1102" s="46"/>
      <c r="Q1102" s="46"/>
      <c r="R1102" s="46"/>
      <c r="S1102" s="46"/>
      <c r="T1102" s="46"/>
      <c r="U1102" s="46"/>
      <c r="V1102" s="46"/>
      <c r="W1102" s="46"/>
      <c r="X1102" s="46"/>
    </row>
    <row r="1103" spans="1:24" ht="12.75" x14ac:dyDescent="0.2">
      <c r="A1103" s="45"/>
      <c r="B1103" s="46"/>
      <c r="C1103" s="46"/>
      <c r="D1103" s="46"/>
      <c r="E1103" s="46"/>
      <c r="F1103" s="46"/>
      <c r="G1103" s="46"/>
      <c r="H1103" s="46"/>
      <c r="I1103" s="46"/>
      <c r="J1103" s="46"/>
      <c r="K1103" s="46"/>
      <c r="L1103" s="46"/>
      <c r="M1103" s="46"/>
      <c r="N1103" s="46"/>
      <c r="O1103" s="46"/>
      <c r="P1103" s="46"/>
      <c r="Q1103" s="46"/>
      <c r="R1103" s="46"/>
      <c r="S1103" s="46"/>
      <c r="T1103" s="46"/>
      <c r="U1103" s="46"/>
      <c r="V1103" s="46"/>
      <c r="W1103" s="46"/>
      <c r="X1103" s="46"/>
    </row>
    <row r="1104" spans="1:24" ht="12.75" x14ac:dyDescent="0.2">
      <c r="A1104" s="45"/>
      <c r="B1104" s="46"/>
      <c r="C1104" s="46"/>
      <c r="D1104" s="46"/>
      <c r="E1104" s="46"/>
      <c r="F1104" s="46"/>
      <c r="G1104" s="46"/>
      <c r="H1104" s="46"/>
      <c r="I1104" s="46"/>
      <c r="J1104" s="46"/>
      <c r="K1104" s="46"/>
      <c r="L1104" s="46"/>
      <c r="M1104" s="46"/>
      <c r="N1104" s="46"/>
      <c r="O1104" s="46"/>
      <c r="P1104" s="46"/>
      <c r="Q1104" s="46"/>
      <c r="R1104" s="46"/>
      <c r="S1104" s="46"/>
      <c r="T1104" s="46"/>
      <c r="U1104" s="46"/>
      <c r="V1104" s="46"/>
      <c r="W1104" s="46"/>
      <c r="X1104" s="46"/>
    </row>
    <row r="1105" spans="1:24" ht="12.75" x14ac:dyDescent="0.2">
      <c r="A1105" s="45"/>
      <c r="B1105" s="46"/>
      <c r="C1105" s="46"/>
      <c r="D1105" s="46"/>
      <c r="E1105" s="46"/>
      <c r="F1105" s="46"/>
      <c r="G1105" s="46"/>
      <c r="H1105" s="46"/>
      <c r="I1105" s="46"/>
      <c r="J1105" s="46"/>
      <c r="K1105" s="46"/>
      <c r="L1105" s="46"/>
      <c r="M1105" s="46"/>
      <c r="N1105" s="46"/>
      <c r="O1105" s="46"/>
      <c r="P1105" s="46"/>
      <c r="Q1105" s="46"/>
      <c r="R1105" s="46"/>
      <c r="S1105" s="46"/>
      <c r="T1105" s="46"/>
      <c r="U1105" s="46"/>
      <c r="V1105" s="46"/>
      <c r="W1105" s="46"/>
      <c r="X1105" s="46"/>
    </row>
    <row r="1106" spans="1:24" ht="12.75" x14ac:dyDescent="0.2">
      <c r="A1106" s="45"/>
      <c r="B1106" s="46"/>
      <c r="C1106" s="46"/>
      <c r="D1106" s="46"/>
      <c r="E1106" s="46"/>
      <c r="F1106" s="46"/>
      <c r="G1106" s="46"/>
      <c r="H1106" s="46"/>
      <c r="I1106" s="46"/>
      <c r="J1106" s="46"/>
      <c r="K1106" s="46"/>
      <c r="L1106" s="46"/>
      <c r="M1106" s="46"/>
      <c r="N1106" s="46"/>
      <c r="O1106" s="46"/>
      <c r="P1106" s="46"/>
      <c r="Q1106" s="46"/>
      <c r="R1106" s="46"/>
      <c r="S1106" s="46"/>
      <c r="T1106" s="46"/>
      <c r="U1106" s="46"/>
      <c r="V1106" s="46"/>
      <c r="W1106" s="46"/>
      <c r="X1106" s="46"/>
    </row>
    <row r="1107" spans="1:24" ht="12.75" x14ac:dyDescent="0.2">
      <c r="A1107" s="45"/>
      <c r="B1107" s="46"/>
      <c r="C1107" s="46"/>
      <c r="D1107" s="46"/>
      <c r="E1107" s="46"/>
      <c r="F1107" s="46"/>
      <c r="G1107" s="46"/>
      <c r="H1107" s="46"/>
      <c r="I1107" s="46"/>
      <c r="J1107" s="46"/>
      <c r="K1107" s="46"/>
      <c r="L1107" s="46"/>
      <c r="M1107" s="46"/>
      <c r="N1107" s="46"/>
      <c r="O1107" s="46"/>
      <c r="P1107" s="46"/>
      <c r="Q1107" s="46"/>
      <c r="R1107" s="46"/>
      <c r="S1107" s="46"/>
      <c r="T1107" s="46"/>
      <c r="U1107" s="46"/>
      <c r="V1107" s="46"/>
      <c r="W1107" s="46"/>
      <c r="X1107" s="46"/>
    </row>
    <row r="1108" spans="1:24" ht="12.75" x14ac:dyDescent="0.2">
      <c r="A1108" s="45"/>
      <c r="B1108" s="46"/>
      <c r="C1108" s="46"/>
      <c r="D1108" s="46"/>
      <c r="E1108" s="46"/>
      <c r="F1108" s="46"/>
      <c r="G1108" s="46"/>
      <c r="H1108" s="46"/>
      <c r="I1108" s="46"/>
      <c r="J1108" s="46"/>
      <c r="K1108" s="46"/>
      <c r="L1108" s="46"/>
      <c r="M1108" s="46"/>
      <c r="N1108" s="46"/>
      <c r="O1108" s="46"/>
      <c r="P1108" s="46"/>
      <c r="Q1108" s="46"/>
      <c r="R1108" s="46"/>
      <c r="S1108" s="46"/>
      <c r="T1108" s="46"/>
      <c r="U1108" s="46"/>
      <c r="V1108" s="46"/>
      <c r="W1108" s="46"/>
      <c r="X1108" s="46"/>
    </row>
    <row r="1109" spans="1:24" ht="12.75" x14ac:dyDescent="0.2">
      <c r="A1109" s="45"/>
      <c r="B1109" s="46"/>
      <c r="C1109" s="46"/>
      <c r="D1109" s="46"/>
      <c r="E1109" s="46"/>
      <c r="F1109" s="46"/>
      <c r="G1109" s="46"/>
      <c r="H1109" s="46"/>
      <c r="I1109" s="46"/>
      <c r="J1109" s="46"/>
      <c r="K1109" s="46"/>
      <c r="L1109" s="46"/>
      <c r="M1109" s="46"/>
      <c r="N1109" s="46"/>
      <c r="O1109" s="46"/>
      <c r="P1109" s="46"/>
      <c r="Q1109" s="46"/>
      <c r="R1109" s="46"/>
      <c r="S1109" s="46"/>
      <c r="T1109" s="46"/>
      <c r="U1109" s="46"/>
      <c r="V1109" s="46"/>
      <c r="W1109" s="46"/>
      <c r="X1109" s="46"/>
    </row>
    <row r="1110" spans="1:24" ht="12.75" x14ac:dyDescent="0.2">
      <c r="A1110" s="45"/>
      <c r="B1110" s="46"/>
      <c r="C1110" s="46"/>
      <c r="D1110" s="46"/>
      <c r="E1110" s="46"/>
      <c r="F1110" s="46"/>
      <c r="G1110" s="46"/>
      <c r="H1110" s="46"/>
      <c r="I1110" s="46"/>
      <c r="J1110" s="46"/>
      <c r="K1110" s="46"/>
      <c r="L1110" s="46"/>
      <c r="M1110" s="46"/>
      <c r="N1110" s="46"/>
      <c r="O1110" s="46"/>
      <c r="P1110" s="46"/>
      <c r="Q1110" s="46"/>
      <c r="R1110" s="46"/>
      <c r="S1110" s="46"/>
      <c r="T1110" s="46"/>
      <c r="U1110" s="46"/>
      <c r="V1110" s="46"/>
      <c r="W1110" s="46"/>
      <c r="X1110" s="46"/>
    </row>
    <row r="1111" spans="1:24" ht="12.75" x14ac:dyDescent="0.2">
      <c r="A1111" s="45"/>
      <c r="B1111" s="46"/>
      <c r="C1111" s="46"/>
      <c r="D1111" s="46"/>
      <c r="E1111" s="46"/>
      <c r="F1111" s="46"/>
      <c r="G1111" s="46"/>
      <c r="H1111" s="46"/>
      <c r="I1111" s="46"/>
      <c r="J1111" s="46"/>
      <c r="K1111" s="46"/>
      <c r="L1111" s="46"/>
      <c r="M1111" s="46"/>
      <c r="N1111" s="46"/>
      <c r="O1111" s="46"/>
      <c r="P1111" s="46"/>
      <c r="Q1111" s="46"/>
      <c r="R1111" s="46"/>
      <c r="S1111" s="46"/>
      <c r="T1111" s="46"/>
      <c r="U1111" s="46"/>
      <c r="V1111" s="46"/>
      <c r="W1111" s="46"/>
      <c r="X1111" s="46"/>
    </row>
    <row r="1112" spans="1:24" ht="12.75" x14ac:dyDescent="0.2">
      <c r="A1112" s="45"/>
      <c r="B1112" s="46"/>
      <c r="C1112" s="46"/>
      <c r="D1112" s="46"/>
      <c r="E1112" s="46"/>
      <c r="F1112" s="46"/>
      <c r="G1112" s="46"/>
      <c r="H1112" s="46"/>
      <c r="I1112" s="46"/>
      <c r="J1112" s="46"/>
      <c r="K1112" s="46"/>
      <c r="L1112" s="46"/>
      <c r="M1112" s="46"/>
      <c r="N1112" s="46"/>
      <c r="O1112" s="46"/>
      <c r="P1112" s="46"/>
      <c r="Q1112" s="46"/>
      <c r="R1112" s="46"/>
      <c r="S1112" s="46"/>
      <c r="T1112" s="46"/>
      <c r="U1112" s="46"/>
      <c r="V1112" s="46"/>
      <c r="W1112" s="46"/>
      <c r="X1112" s="46"/>
    </row>
    <row r="1113" spans="1:24" ht="12.75" x14ac:dyDescent="0.2">
      <c r="A1113" s="45"/>
      <c r="B1113" s="46"/>
      <c r="C1113" s="46"/>
      <c r="D1113" s="46"/>
      <c r="E1113" s="46"/>
      <c r="F1113" s="46"/>
      <c r="G1113" s="46"/>
      <c r="H1113" s="46"/>
      <c r="I1113" s="46"/>
      <c r="J1113" s="46"/>
      <c r="K1113" s="46"/>
      <c r="L1113" s="46"/>
      <c r="M1113" s="46"/>
      <c r="N1113" s="46"/>
      <c r="O1113" s="46"/>
      <c r="P1113" s="46"/>
      <c r="Q1113" s="46"/>
      <c r="R1113" s="46"/>
      <c r="S1113" s="46"/>
      <c r="T1113" s="46"/>
      <c r="U1113" s="46"/>
      <c r="V1113" s="46"/>
      <c r="W1113" s="46"/>
      <c r="X1113" s="46"/>
    </row>
    <row r="1114" spans="1:24" ht="12.75" x14ac:dyDescent="0.2">
      <c r="A1114" s="45"/>
      <c r="B1114" s="46"/>
      <c r="C1114" s="46"/>
      <c r="D1114" s="46"/>
      <c r="E1114" s="46"/>
      <c r="F1114" s="46"/>
      <c r="G1114" s="46"/>
      <c r="H1114" s="46"/>
      <c r="I1114" s="46"/>
      <c r="J1114" s="46"/>
      <c r="K1114" s="46"/>
      <c r="L1114" s="46"/>
      <c r="M1114" s="46"/>
      <c r="N1114" s="46"/>
      <c r="O1114" s="46"/>
      <c r="P1114" s="46"/>
      <c r="Q1114" s="46"/>
      <c r="R1114" s="46"/>
      <c r="S1114" s="46"/>
      <c r="T1114" s="46"/>
      <c r="U1114" s="46"/>
      <c r="V1114" s="46"/>
      <c r="W1114" s="46"/>
      <c r="X1114" s="46"/>
    </row>
    <row r="1115" spans="1:24" ht="12.75" x14ac:dyDescent="0.2">
      <c r="A1115" s="45"/>
      <c r="B1115" s="46"/>
      <c r="C1115" s="46"/>
      <c r="D1115" s="46"/>
      <c r="E1115" s="46"/>
      <c r="F1115" s="46"/>
      <c r="G1115" s="46"/>
      <c r="H1115" s="46"/>
      <c r="I1115" s="46"/>
      <c r="J1115" s="46"/>
      <c r="K1115" s="46"/>
      <c r="L1115" s="46"/>
      <c r="M1115" s="46"/>
      <c r="N1115" s="46"/>
      <c r="O1115" s="46"/>
      <c r="P1115" s="46"/>
      <c r="Q1115" s="46"/>
      <c r="R1115" s="46"/>
      <c r="S1115" s="46"/>
      <c r="T1115" s="46"/>
      <c r="U1115" s="46"/>
      <c r="V1115" s="46"/>
      <c r="W1115" s="46"/>
      <c r="X1115" s="46"/>
    </row>
    <row r="1116" spans="1:24" ht="12.75" x14ac:dyDescent="0.2">
      <c r="A1116" s="45"/>
      <c r="B1116" s="46"/>
      <c r="C1116" s="46"/>
      <c r="D1116" s="46"/>
      <c r="E1116" s="46"/>
      <c r="F1116" s="46"/>
      <c r="G1116" s="46"/>
      <c r="H1116" s="46"/>
      <c r="I1116" s="46"/>
      <c r="J1116" s="46"/>
      <c r="K1116" s="46"/>
      <c r="L1116" s="46"/>
      <c r="M1116" s="46"/>
      <c r="N1116" s="46"/>
      <c r="O1116" s="46"/>
      <c r="P1116" s="46"/>
      <c r="Q1116" s="46"/>
      <c r="R1116" s="46"/>
      <c r="S1116" s="46"/>
      <c r="T1116" s="46"/>
      <c r="U1116" s="46"/>
      <c r="V1116" s="46"/>
      <c r="W1116" s="46"/>
      <c r="X1116" s="46"/>
    </row>
    <row r="1117" spans="1:24" ht="12.75" x14ac:dyDescent="0.2">
      <c r="A1117" s="45"/>
      <c r="B1117" s="46"/>
      <c r="C1117" s="46"/>
      <c r="D1117" s="46"/>
      <c r="E1117" s="46"/>
      <c r="F1117" s="46"/>
      <c r="G1117" s="46"/>
      <c r="H1117" s="46"/>
      <c r="I1117" s="46"/>
      <c r="J1117" s="46"/>
      <c r="K1117" s="46"/>
      <c r="L1117" s="46"/>
      <c r="M1117" s="46"/>
      <c r="N1117" s="46"/>
      <c r="O1117" s="46"/>
      <c r="P1117" s="46"/>
      <c r="Q1117" s="46"/>
      <c r="R1117" s="46"/>
      <c r="S1117" s="46"/>
      <c r="T1117" s="46"/>
      <c r="U1117" s="46"/>
      <c r="V1117" s="46"/>
      <c r="W1117" s="46"/>
      <c r="X1117" s="46"/>
    </row>
    <row r="1118" spans="1:24" ht="12.75" x14ac:dyDescent="0.2">
      <c r="A1118" s="45"/>
      <c r="B1118" s="46"/>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46"/>
    </row>
    <row r="1119" spans="1:24" ht="12.75" x14ac:dyDescent="0.2">
      <c r="A1119" s="45"/>
      <c r="B1119" s="46"/>
      <c r="C1119" s="46"/>
      <c r="D1119" s="46"/>
      <c r="E1119" s="46"/>
      <c r="F1119" s="46"/>
      <c r="G1119" s="46"/>
      <c r="H1119" s="46"/>
      <c r="I1119" s="46"/>
      <c r="J1119" s="46"/>
      <c r="K1119" s="46"/>
      <c r="L1119" s="46"/>
      <c r="M1119" s="46"/>
      <c r="N1119" s="46"/>
      <c r="O1119" s="46"/>
      <c r="P1119" s="46"/>
      <c r="Q1119" s="46"/>
      <c r="R1119" s="46"/>
      <c r="S1119" s="46"/>
      <c r="T1119" s="46"/>
      <c r="U1119" s="46"/>
      <c r="V1119" s="46"/>
      <c r="W1119" s="46"/>
      <c r="X1119" s="46"/>
    </row>
    <row r="1120" spans="1:24" ht="12.75" x14ac:dyDescent="0.2">
      <c r="A1120" s="45"/>
      <c r="B1120" s="46"/>
      <c r="C1120" s="46"/>
      <c r="D1120" s="46"/>
      <c r="E1120" s="46"/>
      <c r="F1120" s="46"/>
      <c r="G1120" s="46"/>
      <c r="H1120" s="46"/>
      <c r="I1120" s="46"/>
      <c r="J1120" s="46"/>
      <c r="K1120" s="46"/>
      <c r="L1120" s="46"/>
      <c r="M1120" s="46"/>
      <c r="N1120" s="46"/>
      <c r="O1120" s="46"/>
      <c r="P1120" s="46"/>
      <c r="Q1120" s="46"/>
      <c r="R1120" s="46"/>
      <c r="S1120" s="46"/>
      <c r="T1120" s="46"/>
      <c r="U1120" s="46"/>
      <c r="V1120" s="46"/>
      <c r="W1120" s="46"/>
      <c r="X1120" s="46"/>
    </row>
    <row r="1121" spans="1:24" ht="12.75" x14ac:dyDescent="0.2">
      <c r="A1121" s="45"/>
      <c r="B1121" s="46"/>
      <c r="C1121" s="46"/>
      <c r="D1121" s="46"/>
      <c r="E1121" s="46"/>
      <c r="F1121" s="46"/>
      <c r="G1121" s="46"/>
      <c r="H1121" s="46"/>
      <c r="I1121" s="46"/>
      <c r="J1121" s="46"/>
      <c r="K1121" s="46"/>
      <c r="L1121" s="46"/>
      <c r="M1121" s="46"/>
      <c r="N1121" s="46"/>
      <c r="O1121" s="46"/>
      <c r="P1121" s="46"/>
      <c r="Q1121" s="46"/>
      <c r="R1121" s="46"/>
      <c r="S1121" s="46"/>
      <c r="T1121" s="46"/>
      <c r="U1121" s="46"/>
      <c r="V1121" s="46"/>
      <c r="W1121" s="46"/>
      <c r="X1121" s="46"/>
    </row>
    <row r="1122" spans="1:24" ht="12.75" x14ac:dyDescent="0.2">
      <c r="A1122" s="45"/>
      <c r="B1122" s="46"/>
      <c r="C1122" s="46"/>
      <c r="D1122" s="46"/>
      <c r="E1122" s="46"/>
      <c r="F1122" s="46"/>
      <c r="G1122" s="46"/>
      <c r="H1122" s="46"/>
      <c r="I1122" s="46"/>
      <c r="J1122" s="46"/>
      <c r="K1122" s="46"/>
      <c r="L1122" s="46"/>
      <c r="M1122" s="46"/>
      <c r="N1122" s="46"/>
      <c r="O1122" s="46"/>
      <c r="P1122" s="46"/>
      <c r="Q1122" s="46"/>
      <c r="R1122" s="46"/>
      <c r="S1122" s="46"/>
      <c r="T1122" s="46"/>
      <c r="U1122" s="46"/>
      <c r="V1122" s="46"/>
      <c r="W1122" s="46"/>
      <c r="X1122" s="46"/>
    </row>
    <row r="1123" spans="1:24" ht="12.75" x14ac:dyDescent="0.2">
      <c r="A1123" s="45"/>
      <c r="B1123" s="46"/>
      <c r="C1123" s="46"/>
      <c r="D1123" s="46"/>
      <c r="E1123" s="46"/>
      <c r="F1123" s="46"/>
      <c r="G1123" s="46"/>
      <c r="H1123" s="46"/>
      <c r="I1123" s="46"/>
      <c r="J1123" s="46"/>
      <c r="K1123" s="46"/>
      <c r="L1123" s="46"/>
      <c r="M1123" s="46"/>
      <c r="N1123" s="46"/>
      <c r="O1123" s="46"/>
      <c r="P1123" s="46"/>
      <c r="Q1123" s="46"/>
      <c r="R1123" s="46"/>
      <c r="S1123" s="46"/>
      <c r="T1123" s="46"/>
      <c r="U1123" s="46"/>
      <c r="V1123" s="46"/>
      <c r="W1123" s="46"/>
      <c r="X1123" s="46"/>
    </row>
    <row r="1124" spans="1:24" ht="12.75" x14ac:dyDescent="0.2">
      <c r="A1124" s="45"/>
      <c r="B1124" s="46"/>
      <c r="C1124" s="46"/>
      <c r="D1124" s="46"/>
      <c r="E1124" s="46"/>
      <c r="F1124" s="46"/>
      <c r="G1124" s="46"/>
      <c r="H1124" s="46"/>
      <c r="I1124" s="46"/>
      <c r="J1124" s="46"/>
      <c r="K1124" s="46"/>
      <c r="L1124" s="46"/>
      <c r="M1124" s="46"/>
      <c r="N1124" s="46"/>
      <c r="O1124" s="46"/>
      <c r="P1124" s="46"/>
      <c r="Q1124" s="46"/>
      <c r="R1124" s="46"/>
      <c r="S1124" s="46"/>
      <c r="T1124" s="46"/>
      <c r="U1124" s="46"/>
      <c r="V1124" s="46"/>
      <c r="W1124" s="46"/>
      <c r="X1124" s="46"/>
    </row>
    <row r="1125" spans="1:24" ht="12.75" x14ac:dyDescent="0.2">
      <c r="A1125" s="45"/>
      <c r="B1125" s="46"/>
      <c r="C1125" s="46"/>
      <c r="D1125" s="46"/>
      <c r="E1125" s="46"/>
      <c r="F1125" s="46"/>
      <c r="G1125" s="46"/>
      <c r="H1125" s="46"/>
      <c r="I1125" s="46"/>
      <c r="J1125" s="46"/>
      <c r="K1125" s="46"/>
      <c r="L1125" s="46"/>
      <c r="M1125" s="46"/>
      <c r="N1125" s="46"/>
      <c r="O1125" s="46"/>
      <c r="P1125" s="46"/>
      <c r="Q1125" s="46"/>
      <c r="R1125" s="46"/>
      <c r="S1125" s="46"/>
      <c r="T1125" s="46"/>
      <c r="U1125" s="46"/>
      <c r="V1125" s="46"/>
      <c r="W1125" s="46"/>
      <c r="X1125" s="46"/>
    </row>
    <row r="1126" spans="1:24" ht="12.75" x14ac:dyDescent="0.2">
      <c r="A1126" s="45"/>
      <c r="B1126" s="46"/>
      <c r="C1126" s="46"/>
      <c r="D1126" s="46"/>
      <c r="E1126" s="46"/>
      <c r="F1126" s="46"/>
      <c r="G1126" s="46"/>
      <c r="H1126" s="46"/>
      <c r="I1126" s="46"/>
      <c r="J1126" s="46"/>
      <c r="K1126" s="46"/>
      <c r="L1126" s="46"/>
      <c r="M1126" s="46"/>
      <c r="N1126" s="46"/>
      <c r="O1126" s="46"/>
      <c r="P1126" s="46"/>
      <c r="Q1126" s="46"/>
      <c r="R1126" s="46"/>
      <c r="S1126" s="46"/>
      <c r="T1126" s="46"/>
      <c r="U1126" s="46"/>
      <c r="V1126" s="46"/>
      <c r="W1126" s="46"/>
      <c r="X1126" s="46"/>
    </row>
    <row r="1127" spans="1:24" ht="12.75" x14ac:dyDescent="0.2">
      <c r="A1127" s="45"/>
      <c r="B1127" s="46"/>
      <c r="C1127" s="46"/>
      <c r="D1127" s="46"/>
      <c r="E1127" s="46"/>
      <c r="F1127" s="46"/>
      <c r="G1127" s="46"/>
      <c r="H1127" s="46"/>
      <c r="I1127" s="46"/>
      <c r="J1127" s="46"/>
      <c r="K1127" s="46"/>
      <c r="L1127" s="46"/>
      <c r="M1127" s="46"/>
      <c r="N1127" s="46"/>
      <c r="O1127" s="46"/>
      <c r="P1127" s="46"/>
      <c r="Q1127" s="46"/>
      <c r="R1127" s="46"/>
      <c r="S1127" s="46"/>
      <c r="T1127" s="46"/>
      <c r="U1127" s="46"/>
      <c r="V1127" s="46"/>
      <c r="W1127" s="46"/>
      <c r="X1127" s="46"/>
    </row>
    <row r="1128" spans="1:24" ht="12.75" x14ac:dyDescent="0.2">
      <c r="A1128" s="45"/>
      <c r="B1128" s="46"/>
      <c r="C1128" s="46"/>
      <c r="D1128" s="46"/>
      <c r="E1128" s="46"/>
      <c r="F1128" s="46"/>
      <c r="G1128" s="46"/>
      <c r="H1128" s="46"/>
      <c r="I1128" s="46"/>
      <c r="J1128" s="46"/>
      <c r="K1128" s="46"/>
      <c r="L1128" s="46"/>
      <c r="M1128" s="46"/>
      <c r="N1128" s="46"/>
      <c r="O1128" s="46"/>
      <c r="P1128" s="46"/>
      <c r="Q1128" s="46"/>
      <c r="R1128" s="46"/>
      <c r="S1128" s="46"/>
      <c r="T1128" s="46"/>
      <c r="U1128" s="46"/>
      <c r="V1128" s="46"/>
      <c r="W1128" s="46"/>
      <c r="X1128" s="46"/>
    </row>
    <row r="1129" spans="1:24" ht="12.75" x14ac:dyDescent="0.2">
      <c r="A1129" s="45"/>
      <c r="B1129" s="46"/>
      <c r="C1129" s="46"/>
      <c r="D1129" s="46"/>
      <c r="E1129" s="46"/>
      <c r="F1129" s="46"/>
      <c r="G1129" s="46"/>
      <c r="H1129" s="46"/>
      <c r="I1129" s="46"/>
      <c r="J1129" s="46"/>
      <c r="K1129" s="46"/>
      <c r="L1129" s="46"/>
      <c r="M1129" s="46"/>
      <c r="N1129" s="46"/>
      <c r="O1129" s="46"/>
      <c r="P1129" s="46"/>
      <c r="Q1129" s="46"/>
      <c r="R1129" s="46"/>
      <c r="S1129" s="46"/>
      <c r="T1129" s="46"/>
      <c r="U1129" s="46"/>
      <c r="V1129" s="46"/>
      <c r="W1129" s="46"/>
      <c r="X1129" s="46"/>
    </row>
    <row r="1130" spans="1:24" ht="12.75" x14ac:dyDescent="0.2">
      <c r="A1130" s="45"/>
      <c r="B1130" s="46"/>
      <c r="C1130" s="46"/>
      <c r="D1130" s="46"/>
      <c r="E1130" s="46"/>
      <c r="F1130" s="46"/>
      <c r="G1130" s="46"/>
      <c r="H1130" s="46"/>
      <c r="I1130" s="46"/>
      <c r="J1130" s="46"/>
      <c r="K1130" s="46"/>
      <c r="L1130" s="46"/>
      <c r="M1130" s="46"/>
      <c r="N1130" s="46"/>
      <c r="O1130" s="46"/>
      <c r="P1130" s="46"/>
      <c r="Q1130" s="46"/>
      <c r="R1130" s="46"/>
      <c r="S1130" s="46"/>
      <c r="T1130" s="46"/>
      <c r="U1130" s="46"/>
      <c r="V1130" s="46"/>
      <c r="W1130" s="46"/>
      <c r="X1130" s="46"/>
    </row>
    <row r="1131" spans="1:24" ht="12.75" x14ac:dyDescent="0.2">
      <c r="A1131" s="45"/>
      <c r="B1131" s="46"/>
      <c r="C1131" s="46"/>
      <c r="D1131" s="46"/>
      <c r="E1131" s="46"/>
      <c r="F1131" s="46"/>
      <c r="G1131" s="46"/>
      <c r="H1131" s="46"/>
      <c r="I1131" s="46"/>
      <c r="J1131" s="46"/>
      <c r="K1131" s="46"/>
      <c r="L1131" s="46"/>
      <c r="M1131" s="46"/>
      <c r="N1131" s="46"/>
      <c r="O1131" s="46"/>
      <c r="P1131" s="46"/>
      <c r="Q1131" s="46"/>
      <c r="R1131" s="46"/>
      <c r="S1131" s="46"/>
      <c r="T1131" s="46"/>
      <c r="U1131" s="46"/>
      <c r="V1131" s="46"/>
      <c r="W1131" s="46"/>
      <c r="X1131" s="46"/>
    </row>
    <row r="1132" spans="1:24" ht="12.75" x14ac:dyDescent="0.2">
      <c r="A1132" s="45"/>
      <c r="B1132" s="46"/>
      <c r="C1132" s="46"/>
      <c r="D1132" s="46"/>
      <c r="E1132" s="46"/>
      <c r="F1132" s="46"/>
      <c r="G1132" s="46"/>
      <c r="H1132" s="46"/>
      <c r="I1132" s="46"/>
      <c r="J1132" s="46"/>
      <c r="K1132" s="46"/>
      <c r="L1132" s="46"/>
      <c r="M1132" s="46"/>
      <c r="N1132" s="46"/>
      <c r="O1132" s="46"/>
      <c r="P1132" s="46"/>
      <c r="Q1132" s="46"/>
      <c r="R1132" s="46"/>
      <c r="S1132" s="46"/>
      <c r="T1132" s="46"/>
      <c r="U1132" s="46"/>
      <c r="V1132" s="46"/>
      <c r="W1132" s="46"/>
      <c r="X1132" s="46"/>
    </row>
    <row r="1133" spans="1:24" ht="12.75" x14ac:dyDescent="0.2">
      <c r="A1133" s="45"/>
      <c r="B1133" s="46"/>
      <c r="C1133" s="46"/>
      <c r="D1133" s="46"/>
      <c r="E1133" s="46"/>
      <c r="F1133" s="46"/>
      <c r="G1133" s="46"/>
      <c r="H1133" s="46"/>
      <c r="I1133" s="46"/>
      <c r="J1133" s="46"/>
      <c r="K1133" s="46"/>
      <c r="L1133" s="46"/>
      <c r="M1133" s="46"/>
      <c r="N1133" s="46"/>
      <c r="O1133" s="46"/>
      <c r="P1133" s="46"/>
      <c r="Q1133" s="46"/>
      <c r="R1133" s="46"/>
      <c r="S1133" s="46"/>
      <c r="T1133" s="46"/>
      <c r="U1133" s="46"/>
      <c r="V1133" s="46"/>
      <c r="W1133" s="46"/>
      <c r="X1133" s="46"/>
    </row>
    <row r="1134" spans="1:24" ht="12.75" x14ac:dyDescent="0.2">
      <c r="A1134" s="45"/>
      <c r="B1134" s="46"/>
      <c r="C1134" s="46"/>
      <c r="D1134" s="46"/>
      <c r="E1134" s="46"/>
      <c r="F1134" s="46"/>
      <c r="G1134" s="46"/>
      <c r="H1134" s="46"/>
      <c r="I1134" s="46"/>
      <c r="J1134" s="46"/>
      <c r="K1134" s="46"/>
      <c r="L1134" s="46"/>
      <c r="M1134" s="46"/>
      <c r="N1134" s="46"/>
      <c r="O1134" s="46"/>
      <c r="P1134" s="46"/>
      <c r="Q1134" s="46"/>
      <c r="R1134" s="46"/>
      <c r="S1134" s="46"/>
      <c r="T1134" s="46"/>
      <c r="U1134" s="46"/>
      <c r="V1134" s="46"/>
      <c r="W1134" s="46"/>
      <c r="X1134" s="46"/>
    </row>
    <row r="1135" spans="1:24" ht="12.75" x14ac:dyDescent="0.2">
      <c r="A1135" s="45"/>
      <c r="B1135" s="46"/>
      <c r="C1135" s="46"/>
      <c r="D1135" s="46"/>
      <c r="E1135" s="46"/>
      <c r="F1135" s="46"/>
      <c r="G1135" s="46"/>
      <c r="H1135" s="46"/>
      <c r="I1135" s="46"/>
      <c r="J1135" s="46"/>
      <c r="K1135" s="46"/>
      <c r="L1135" s="46"/>
      <c r="M1135" s="46"/>
      <c r="N1135" s="46"/>
      <c r="O1135" s="46"/>
      <c r="P1135" s="46"/>
      <c r="Q1135" s="46"/>
      <c r="R1135" s="46"/>
      <c r="S1135" s="46"/>
      <c r="T1135" s="46"/>
      <c r="U1135" s="46"/>
      <c r="V1135" s="46"/>
      <c r="W1135" s="46"/>
      <c r="X1135" s="46"/>
    </row>
    <row r="1136" spans="1:24" ht="12.75" x14ac:dyDescent="0.2">
      <c r="A1136" s="45"/>
      <c r="B1136" s="46"/>
      <c r="C1136" s="46"/>
      <c r="D1136" s="46"/>
      <c r="E1136" s="46"/>
      <c r="F1136" s="46"/>
      <c r="G1136" s="46"/>
      <c r="H1136" s="46"/>
      <c r="I1136" s="46"/>
      <c r="J1136" s="46"/>
      <c r="K1136" s="46"/>
      <c r="L1136" s="46"/>
      <c r="M1136" s="46"/>
      <c r="N1136" s="46"/>
      <c r="O1136" s="46"/>
      <c r="P1136" s="46"/>
      <c r="Q1136" s="46"/>
      <c r="R1136" s="46"/>
      <c r="S1136" s="46"/>
      <c r="T1136" s="46"/>
      <c r="U1136" s="46"/>
      <c r="V1136" s="46"/>
      <c r="W1136" s="46"/>
      <c r="X1136" s="46"/>
    </row>
    <row r="1137" spans="1:24" ht="12.75" x14ac:dyDescent="0.2">
      <c r="A1137" s="45"/>
      <c r="B1137" s="46"/>
      <c r="C1137" s="46"/>
      <c r="D1137" s="46"/>
      <c r="E1137" s="46"/>
      <c r="F1137" s="46"/>
      <c r="G1137" s="46"/>
      <c r="H1137" s="46"/>
      <c r="I1137" s="46"/>
      <c r="J1137" s="46"/>
      <c r="K1137" s="46"/>
      <c r="L1137" s="46"/>
      <c r="M1137" s="46"/>
      <c r="N1137" s="46"/>
      <c r="O1137" s="46"/>
      <c r="P1137" s="46"/>
      <c r="Q1137" s="46"/>
      <c r="R1137" s="46"/>
      <c r="S1137" s="46"/>
      <c r="T1137" s="46"/>
      <c r="U1137" s="46"/>
      <c r="V1137" s="46"/>
      <c r="W1137" s="46"/>
      <c r="X1137" s="46"/>
    </row>
    <row r="1138" spans="1:24" ht="12.75" x14ac:dyDescent="0.2">
      <c r="A1138" s="45"/>
      <c r="B1138" s="46"/>
      <c r="C1138" s="46"/>
      <c r="D1138" s="46"/>
      <c r="E1138" s="46"/>
      <c r="F1138" s="46"/>
      <c r="G1138" s="46"/>
      <c r="H1138" s="46"/>
      <c r="I1138" s="46"/>
      <c r="J1138" s="46"/>
      <c r="K1138" s="46"/>
      <c r="L1138" s="46"/>
      <c r="M1138" s="46"/>
      <c r="N1138" s="46"/>
      <c r="O1138" s="46"/>
      <c r="P1138" s="46"/>
      <c r="Q1138" s="46"/>
      <c r="R1138" s="46"/>
      <c r="S1138" s="46"/>
      <c r="T1138" s="46"/>
      <c r="U1138" s="46"/>
      <c r="V1138" s="46"/>
      <c r="W1138" s="46"/>
      <c r="X1138" s="46"/>
    </row>
    <row r="1139" spans="1:24" ht="12.75" x14ac:dyDescent="0.2">
      <c r="A1139" s="45"/>
      <c r="B1139" s="46"/>
      <c r="C1139" s="46"/>
      <c r="D1139" s="46"/>
      <c r="E1139" s="46"/>
      <c r="F1139" s="46"/>
      <c r="G1139" s="46"/>
      <c r="H1139" s="46"/>
      <c r="I1139" s="46"/>
      <c r="J1139" s="46"/>
      <c r="K1139" s="46"/>
      <c r="L1139" s="46"/>
      <c r="M1139" s="46"/>
      <c r="N1139" s="46"/>
      <c r="O1139" s="46"/>
      <c r="P1139" s="46"/>
      <c r="Q1139" s="46"/>
      <c r="R1139" s="46"/>
      <c r="S1139" s="46"/>
      <c r="T1139" s="46"/>
      <c r="U1139" s="46"/>
      <c r="V1139" s="46"/>
      <c r="W1139" s="46"/>
      <c r="X1139" s="46"/>
    </row>
    <row r="1140" spans="1:24" ht="12.75" x14ac:dyDescent="0.2">
      <c r="A1140" s="45"/>
      <c r="B1140" s="46"/>
      <c r="C1140" s="46"/>
      <c r="D1140" s="46"/>
      <c r="E1140" s="46"/>
      <c r="F1140" s="46"/>
      <c r="G1140" s="46"/>
      <c r="H1140" s="46"/>
      <c r="I1140" s="46"/>
      <c r="J1140" s="46"/>
      <c r="K1140" s="46"/>
      <c r="L1140" s="46"/>
      <c r="M1140" s="46"/>
      <c r="N1140" s="46"/>
      <c r="O1140" s="46"/>
      <c r="P1140" s="46"/>
      <c r="Q1140" s="46"/>
      <c r="R1140" s="46"/>
      <c r="S1140" s="46"/>
      <c r="T1140" s="46"/>
      <c r="U1140" s="46"/>
      <c r="V1140" s="46"/>
      <c r="W1140" s="46"/>
      <c r="X1140" s="46"/>
    </row>
    <row r="1141" spans="1:24" ht="12.75" x14ac:dyDescent="0.2">
      <c r="A1141" s="45"/>
      <c r="B1141" s="46"/>
      <c r="C1141" s="46"/>
      <c r="D1141" s="46"/>
      <c r="E1141" s="46"/>
      <c r="F1141" s="46"/>
      <c r="G1141" s="46"/>
      <c r="H1141" s="46"/>
      <c r="I1141" s="46"/>
      <c r="J1141" s="46"/>
      <c r="K1141" s="46"/>
      <c r="L1141" s="46"/>
      <c r="M1141" s="46"/>
      <c r="N1141" s="46"/>
      <c r="O1141" s="46"/>
      <c r="P1141" s="46"/>
      <c r="Q1141" s="46"/>
      <c r="R1141" s="46"/>
      <c r="S1141" s="46"/>
      <c r="T1141" s="46"/>
      <c r="U1141" s="46"/>
      <c r="V1141" s="46"/>
      <c r="W1141" s="46"/>
      <c r="X1141" s="46"/>
    </row>
    <row r="1142" spans="1:24" ht="12.75" x14ac:dyDescent="0.2">
      <c r="A1142" s="45"/>
      <c r="B1142" s="46"/>
      <c r="C1142" s="46"/>
      <c r="D1142" s="46"/>
      <c r="E1142" s="46"/>
      <c r="F1142" s="46"/>
      <c r="G1142" s="46"/>
      <c r="H1142" s="46"/>
      <c r="I1142" s="46"/>
      <c r="J1142" s="46"/>
      <c r="K1142" s="46"/>
      <c r="L1142" s="46"/>
      <c r="M1142" s="46"/>
      <c r="N1142" s="46"/>
      <c r="O1142" s="46"/>
      <c r="P1142" s="46"/>
      <c r="Q1142" s="46"/>
      <c r="R1142" s="46"/>
      <c r="S1142" s="46"/>
      <c r="T1142" s="46"/>
      <c r="U1142" s="46"/>
      <c r="V1142" s="46"/>
      <c r="W1142" s="46"/>
      <c r="X1142" s="46"/>
    </row>
    <row r="1143" spans="1:24" ht="12.75" x14ac:dyDescent="0.2">
      <c r="A1143" s="45"/>
      <c r="B1143" s="46"/>
      <c r="C1143" s="46"/>
      <c r="D1143" s="46"/>
      <c r="E1143" s="46"/>
      <c r="F1143" s="46"/>
      <c r="G1143" s="46"/>
      <c r="H1143" s="46"/>
      <c r="I1143" s="46"/>
      <c r="J1143" s="46"/>
      <c r="K1143" s="46"/>
      <c r="L1143" s="46"/>
      <c r="M1143" s="46"/>
      <c r="N1143" s="46"/>
      <c r="O1143" s="46"/>
      <c r="P1143" s="46"/>
      <c r="Q1143" s="46"/>
      <c r="R1143" s="46"/>
      <c r="S1143" s="46"/>
      <c r="T1143" s="46"/>
      <c r="U1143" s="46"/>
      <c r="V1143" s="46"/>
      <c r="W1143" s="46"/>
      <c r="X1143" s="46"/>
    </row>
    <row r="1144" spans="1:24" ht="12.75" x14ac:dyDescent="0.2">
      <c r="A1144" s="45"/>
      <c r="B1144" s="46"/>
      <c r="C1144" s="46"/>
      <c r="D1144" s="46"/>
      <c r="E1144" s="46"/>
      <c r="F1144" s="46"/>
      <c r="G1144" s="46"/>
      <c r="H1144" s="46"/>
      <c r="I1144" s="46"/>
      <c r="J1144" s="46"/>
      <c r="K1144" s="46"/>
      <c r="L1144" s="46"/>
      <c r="M1144" s="46"/>
      <c r="N1144" s="46"/>
      <c r="O1144" s="46"/>
      <c r="P1144" s="46"/>
      <c r="Q1144" s="46"/>
      <c r="R1144" s="46"/>
      <c r="S1144" s="46"/>
      <c r="T1144" s="46"/>
      <c r="U1144" s="46"/>
      <c r="V1144" s="46"/>
      <c r="W1144" s="46"/>
      <c r="X1144" s="46"/>
    </row>
    <row r="1145" spans="1:24" ht="12.75" x14ac:dyDescent="0.2">
      <c r="A1145" s="45"/>
      <c r="B1145" s="46"/>
      <c r="C1145" s="46"/>
      <c r="D1145" s="46"/>
      <c r="E1145" s="46"/>
      <c r="F1145" s="46"/>
      <c r="G1145" s="46"/>
      <c r="H1145" s="46"/>
      <c r="I1145" s="46"/>
      <c r="J1145" s="46"/>
      <c r="K1145" s="46"/>
      <c r="L1145" s="46"/>
      <c r="M1145" s="46"/>
      <c r="N1145" s="46"/>
      <c r="O1145" s="46"/>
      <c r="P1145" s="46"/>
      <c r="Q1145" s="46"/>
      <c r="R1145" s="46"/>
      <c r="S1145" s="46"/>
      <c r="T1145" s="46"/>
      <c r="U1145" s="46"/>
      <c r="V1145" s="46"/>
      <c r="W1145" s="46"/>
      <c r="X1145" s="46"/>
    </row>
    <row r="1146" spans="1:24" ht="12.75" x14ac:dyDescent="0.2">
      <c r="A1146" s="45"/>
      <c r="B1146" s="46"/>
      <c r="C1146" s="46"/>
      <c r="D1146" s="46"/>
      <c r="E1146" s="46"/>
      <c r="F1146" s="46"/>
      <c r="G1146" s="46"/>
      <c r="H1146" s="46"/>
      <c r="I1146" s="46"/>
      <c r="J1146" s="46"/>
      <c r="K1146" s="46"/>
      <c r="L1146" s="46"/>
      <c r="M1146" s="46"/>
      <c r="N1146" s="46"/>
      <c r="O1146" s="46"/>
      <c r="P1146" s="46"/>
      <c r="Q1146" s="46"/>
      <c r="R1146" s="46"/>
      <c r="S1146" s="46"/>
      <c r="T1146" s="46"/>
      <c r="U1146" s="46"/>
      <c r="V1146" s="46"/>
      <c r="W1146" s="46"/>
      <c r="X1146" s="46"/>
    </row>
    <row r="1147" spans="1:24" ht="12.75" x14ac:dyDescent="0.2">
      <c r="A1147" s="45"/>
      <c r="B1147" s="46"/>
      <c r="C1147" s="46"/>
      <c r="D1147" s="46"/>
      <c r="E1147" s="46"/>
      <c r="F1147" s="46"/>
      <c r="G1147" s="46"/>
      <c r="H1147" s="46"/>
      <c r="I1147" s="46"/>
      <c r="J1147" s="46"/>
      <c r="K1147" s="46"/>
      <c r="L1147" s="46"/>
      <c r="M1147" s="46"/>
      <c r="N1147" s="46"/>
      <c r="O1147" s="46"/>
      <c r="P1147" s="46"/>
      <c r="Q1147" s="46"/>
      <c r="R1147" s="46"/>
      <c r="S1147" s="46"/>
      <c r="T1147" s="46"/>
      <c r="U1147" s="46"/>
      <c r="V1147" s="46"/>
      <c r="W1147" s="46"/>
      <c r="X1147" s="46"/>
    </row>
    <row r="1148" spans="1:24" ht="12.75" x14ac:dyDescent="0.2">
      <c r="A1148" s="45"/>
      <c r="B1148" s="46"/>
      <c r="C1148" s="46"/>
      <c r="D1148" s="46"/>
      <c r="E1148" s="46"/>
      <c r="F1148" s="46"/>
      <c r="G1148" s="46"/>
      <c r="H1148" s="46"/>
      <c r="I1148" s="46"/>
      <c r="J1148" s="46"/>
      <c r="K1148" s="46"/>
      <c r="L1148" s="46"/>
      <c r="M1148" s="46"/>
      <c r="N1148" s="46"/>
      <c r="O1148" s="46"/>
      <c r="P1148" s="46"/>
      <c r="Q1148" s="46"/>
      <c r="R1148" s="46"/>
      <c r="S1148" s="46"/>
      <c r="T1148" s="46"/>
      <c r="U1148" s="46"/>
      <c r="V1148" s="46"/>
      <c r="W1148" s="46"/>
      <c r="X1148" s="46"/>
    </row>
    <row r="1149" spans="1:24" ht="12.75" x14ac:dyDescent="0.2">
      <c r="A1149" s="45"/>
      <c r="B1149" s="46"/>
      <c r="C1149" s="46"/>
      <c r="D1149" s="46"/>
      <c r="E1149" s="46"/>
      <c r="F1149" s="46"/>
      <c r="G1149" s="46"/>
      <c r="H1149" s="46"/>
      <c r="I1149" s="46"/>
      <c r="J1149" s="46"/>
      <c r="K1149" s="46"/>
      <c r="L1149" s="46"/>
      <c r="M1149" s="46"/>
      <c r="N1149" s="46"/>
      <c r="O1149" s="46"/>
      <c r="P1149" s="46"/>
      <c r="Q1149" s="46"/>
      <c r="R1149" s="46"/>
      <c r="S1149" s="46"/>
      <c r="T1149" s="46"/>
      <c r="U1149" s="46"/>
      <c r="V1149" s="46"/>
      <c r="W1149" s="46"/>
      <c r="X1149" s="46"/>
    </row>
    <row r="1150" spans="1:24" ht="12.75" x14ac:dyDescent="0.2">
      <c r="A1150" s="45"/>
      <c r="B1150" s="46"/>
      <c r="C1150" s="46"/>
      <c r="D1150" s="46"/>
      <c r="E1150" s="46"/>
      <c r="F1150" s="46"/>
      <c r="G1150" s="46"/>
      <c r="H1150" s="46"/>
      <c r="I1150" s="46"/>
      <c r="J1150" s="46"/>
      <c r="K1150" s="46"/>
      <c r="L1150" s="46"/>
      <c r="M1150" s="46"/>
      <c r="N1150" s="46"/>
      <c r="O1150" s="46"/>
      <c r="P1150" s="46"/>
      <c r="Q1150" s="46"/>
      <c r="R1150" s="46"/>
      <c r="S1150" s="46"/>
      <c r="T1150" s="46"/>
      <c r="U1150" s="46"/>
      <c r="V1150" s="46"/>
      <c r="W1150" s="46"/>
      <c r="X1150" s="46"/>
    </row>
    <row r="1151" spans="1:24" ht="12.75" x14ac:dyDescent="0.2">
      <c r="A1151" s="45"/>
      <c r="B1151" s="46"/>
      <c r="C1151" s="46"/>
      <c r="D1151" s="46"/>
      <c r="E1151" s="46"/>
      <c r="F1151" s="46"/>
      <c r="G1151" s="46"/>
      <c r="H1151" s="46"/>
      <c r="I1151" s="46"/>
      <c r="J1151" s="46"/>
      <c r="K1151" s="46"/>
      <c r="L1151" s="46"/>
      <c r="M1151" s="46"/>
      <c r="N1151" s="46"/>
      <c r="O1151" s="46"/>
      <c r="P1151" s="46"/>
      <c r="Q1151" s="46"/>
      <c r="R1151" s="46"/>
      <c r="S1151" s="46"/>
      <c r="T1151" s="46"/>
      <c r="U1151" s="46"/>
      <c r="V1151" s="46"/>
      <c r="W1151" s="46"/>
      <c r="X1151" s="46"/>
    </row>
    <row r="1152" spans="1:24" ht="12.75" x14ac:dyDescent="0.2">
      <c r="A1152" s="45"/>
      <c r="B1152" s="46"/>
      <c r="C1152" s="46"/>
      <c r="D1152" s="46"/>
      <c r="E1152" s="46"/>
      <c r="F1152" s="46"/>
      <c r="G1152" s="46"/>
      <c r="H1152" s="46"/>
      <c r="I1152" s="46"/>
      <c r="J1152" s="46"/>
      <c r="K1152" s="46"/>
      <c r="L1152" s="46"/>
      <c r="M1152" s="46"/>
      <c r="N1152" s="46"/>
      <c r="O1152" s="46"/>
      <c r="P1152" s="46"/>
      <c r="Q1152" s="46"/>
      <c r="R1152" s="46"/>
      <c r="S1152" s="46"/>
      <c r="T1152" s="46"/>
      <c r="U1152" s="46"/>
      <c r="V1152" s="46"/>
      <c r="W1152" s="46"/>
      <c r="X1152" s="46"/>
    </row>
    <row r="1153" spans="1:24" ht="12.75" x14ac:dyDescent="0.2">
      <c r="A1153" s="45"/>
      <c r="B1153" s="46"/>
      <c r="C1153" s="46"/>
      <c r="D1153" s="46"/>
      <c r="E1153" s="46"/>
      <c r="F1153" s="46"/>
      <c r="G1153" s="46"/>
      <c r="H1153" s="46"/>
      <c r="I1153" s="46"/>
      <c r="J1153" s="46"/>
      <c r="K1153" s="46"/>
      <c r="L1153" s="46"/>
      <c r="M1153" s="46"/>
      <c r="N1153" s="46"/>
      <c r="O1153" s="46"/>
      <c r="P1153" s="46"/>
      <c r="Q1153" s="46"/>
      <c r="R1153" s="46"/>
      <c r="S1153" s="46"/>
      <c r="T1153" s="46"/>
      <c r="U1153" s="46"/>
      <c r="V1153" s="46"/>
      <c r="W1153" s="46"/>
      <c r="X1153" s="46"/>
    </row>
    <row r="1154" spans="1:24" ht="12.75" x14ac:dyDescent="0.2">
      <c r="A1154" s="45"/>
      <c r="B1154" s="46"/>
      <c r="C1154" s="46"/>
      <c r="D1154" s="46"/>
      <c r="E1154" s="46"/>
      <c r="F1154" s="46"/>
      <c r="G1154" s="46"/>
      <c r="H1154" s="46"/>
      <c r="I1154" s="46"/>
      <c r="J1154" s="46"/>
      <c r="K1154" s="46"/>
      <c r="L1154" s="46"/>
      <c r="M1154" s="46"/>
      <c r="N1154" s="46"/>
      <c r="O1154" s="46"/>
      <c r="P1154" s="46"/>
      <c r="Q1154" s="46"/>
      <c r="R1154" s="46"/>
      <c r="S1154" s="46"/>
      <c r="T1154" s="46"/>
      <c r="U1154" s="46"/>
      <c r="V1154" s="46"/>
      <c r="W1154" s="46"/>
      <c r="X1154" s="46"/>
    </row>
    <row r="1155" spans="1:24" ht="12.75" x14ac:dyDescent="0.2">
      <c r="A1155" s="45"/>
      <c r="B1155" s="46"/>
      <c r="C1155" s="46"/>
      <c r="D1155" s="46"/>
      <c r="E1155" s="46"/>
      <c r="F1155" s="46"/>
      <c r="G1155" s="46"/>
      <c r="H1155" s="46"/>
      <c r="I1155" s="46"/>
      <c r="J1155" s="46"/>
      <c r="K1155" s="46"/>
      <c r="L1155" s="46"/>
      <c r="M1155" s="46"/>
      <c r="N1155" s="46"/>
      <c r="O1155" s="46"/>
      <c r="P1155" s="46"/>
      <c r="Q1155" s="46"/>
      <c r="R1155" s="46"/>
      <c r="S1155" s="46"/>
      <c r="T1155" s="46"/>
      <c r="U1155" s="46"/>
      <c r="V1155" s="46"/>
      <c r="W1155" s="46"/>
      <c r="X1155" s="46"/>
    </row>
    <row r="1156" spans="1:24" ht="12.75" x14ac:dyDescent="0.2">
      <c r="A1156" s="45"/>
      <c r="B1156" s="46"/>
      <c r="C1156" s="46"/>
      <c r="D1156" s="46"/>
      <c r="E1156" s="46"/>
      <c r="F1156" s="46"/>
      <c r="G1156" s="46"/>
      <c r="H1156" s="46"/>
      <c r="I1156" s="46"/>
      <c r="J1156" s="46"/>
      <c r="K1156" s="46"/>
      <c r="L1156" s="46"/>
      <c r="M1156" s="46"/>
      <c r="N1156" s="46"/>
      <c r="O1156" s="46"/>
      <c r="P1156" s="46"/>
      <c r="Q1156" s="46"/>
      <c r="R1156" s="46"/>
      <c r="S1156" s="46"/>
      <c r="T1156" s="46"/>
      <c r="U1156" s="46"/>
      <c r="V1156" s="46"/>
      <c r="W1156" s="46"/>
      <c r="X1156" s="46"/>
    </row>
    <row r="1157" spans="1:24" ht="12.75" x14ac:dyDescent="0.2">
      <c r="A1157" s="45"/>
      <c r="B1157" s="46"/>
      <c r="C1157" s="46"/>
      <c r="D1157" s="46"/>
      <c r="E1157" s="46"/>
      <c r="F1157" s="46"/>
      <c r="G1157" s="46"/>
      <c r="H1157" s="46"/>
      <c r="I1157" s="46"/>
      <c r="J1157" s="46"/>
      <c r="K1157" s="46"/>
      <c r="L1157" s="46"/>
      <c r="M1157" s="46"/>
      <c r="N1157" s="46"/>
      <c r="O1157" s="46"/>
      <c r="P1157" s="46"/>
      <c r="Q1157" s="46"/>
      <c r="R1157" s="46"/>
      <c r="S1157" s="46"/>
      <c r="T1157" s="46"/>
      <c r="U1157" s="46"/>
      <c r="V1157" s="46"/>
      <c r="W1157" s="46"/>
      <c r="X1157" s="46"/>
    </row>
    <row r="1158" spans="1:24" ht="12.75" x14ac:dyDescent="0.2">
      <c r="A1158" s="45"/>
      <c r="B1158" s="46"/>
      <c r="C1158" s="46"/>
      <c r="D1158" s="46"/>
      <c r="E1158" s="46"/>
      <c r="F1158" s="46"/>
      <c r="G1158" s="46"/>
      <c r="H1158" s="46"/>
      <c r="I1158" s="46"/>
      <c r="J1158" s="46"/>
      <c r="K1158" s="46"/>
      <c r="L1158" s="46"/>
      <c r="M1158" s="46"/>
      <c r="N1158" s="46"/>
      <c r="O1158" s="46"/>
      <c r="P1158" s="46"/>
      <c r="Q1158" s="46"/>
      <c r="R1158" s="46"/>
      <c r="S1158" s="46"/>
      <c r="T1158" s="46"/>
      <c r="U1158" s="46"/>
      <c r="V1158" s="46"/>
      <c r="W1158" s="46"/>
      <c r="X1158" s="46"/>
    </row>
    <row r="1159" spans="1:24" ht="12.75" x14ac:dyDescent="0.2">
      <c r="A1159" s="45"/>
      <c r="B1159" s="46"/>
      <c r="C1159" s="46"/>
      <c r="D1159" s="46"/>
      <c r="E1159" s="46"/>
      <c r="F1159" s="46"/>
      <c r="G1159" s="46"/>
      <c r="H1159" s="46"/>
      <c r="I1159" s="46"/>
      <c r="J1159" s="46"/>
      <c r="K1159" s="46"/>
      <c r="L1159" s="46"/>
      <c r="M1159" s="46"/>
      <c r="N1159" s="46"/>
      <c r="O1159" s="46"/>
      <c r="P1159" s="46"/>
      <c r="Q1159" s="46"/>
      <c r="R1159" s="46"/>
      <c r="S1159" s="46"/>
      <c r="T1159" s="46"/>
      <c r="U1159" s="46"/>
      <c r="V1159" s="46"/>
      <c r="W1159" s="46"/>
      <c r="X1159" s="46"/>
    </row>
    <row r="1160" spans="1:24" ht="12.75" x14ac:dyDescent="0.2">
      <c r="A1160" s="45"/>
      <c r="B1160" s="46"/>
      <c r="C1160" s="46"/>
      <c r="D1160" s="46"/>
      <c r="E1160" s="46"/>
      <c r="F1160" s="46"/>
      <c r="G1160" s="46"/>
      <c r="H1160" s="46"/>
      <c r="I1160" s="46"/>
      <c r="J1160" s="46"/>
      <c r="K1160" s="46"/>
      <c r="L1160" s="46"/>
      <c r="M1160" s="46"/>
      <c r="N1160" s="46"/>
      <c r="O1160" s="46"/>
      <c r="P1160" s="46"/>
      <c r="Q1160" s="46"/>
      <c r="R1160" s="46"/>
      <c r="S1160" s="46"/>
      <c r="T1160" s="46"/>
      <c r="U1160" s="46"/>
      <c r="V1160" s="46"/>
      <c r="W1160" s="46"/>
      <c r="X1160" s="46"/>
    </row>
    <row r="1161" spans="1:24" ht="12.75" x14ac:dyDescent="0.2">
      <c r="A1161" s="45"/>
      <c r="B1161" s="46"/>
      <c r="C1161" s="46"/>
      <c r="D1161" s="46"/>
      <c r="E1161" s="46"/>
      <c r="F1161" s="46"/>
      <c r="G1161" s="46"/>
      <c r="H1161" s="46"/>
      <c r="I1161" s="46"/>
      <c r="J1161" s="46"/>
      <c r="K1161" s="46"/>
      <c r="L1161" s="46"/>
      <c r="M1161" s="46"/>
      <c r="N1161" s="46"/>
      <c r="O1161" s="46"/>
      <c r="P1161" s="46"/>
      <c r="Q1161" s="46"/>
      <c r="R1161" s="46"/>
      <c r="S1161" s="46"/>
      <c r="T1161" s="46"/>
      <c r="U1161" s="46"/>
      <c r="V1161" s="46"/>
      <c r="W1161" s="46"/>
      <c r="X1161" s="46"/>
    </row>
    <row r="1162" spans="1:24" ht="12.75" x14ac:dyDescent="0.2">
      <c r="A1162" s="45"/>
      <c r="B1162" s="46"/>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row>
    <row r="1163" spans="1:24" ht="12.75" x14ac:dyDescent="0.2">
      <c r="A1163" s="45"/>
      <c r="B1163" s="46"/>
      <c r="C1163" s="46"/>
      <c r="D1163" s="46"/>
      <c r="E1163" s="46"/>
      <c r="F1163" s="46"/>
      <c r="G1163" s="46"/>
      <c r="H1163" s="46"/>
      <c r="I1163" s="46"/>
      <c r="J1163" s="46"/>
      <c r="K1163" s="46"/>
      <c r="L1163" s="46"/>
      <c r="M1163" s="46"/>
      <c r="N1163" s="46"/>
      <c r="O1163" s="46"/>
      <c r="P1163" s="46"/>
      <c r="Q1163" s="46"/>
      <c r="R1163" s="46"/>
      <c r="S1163" s="46"/>
      <c r="T1163" s="46"/>
      <c r="U1163" s="46"/>
      <c r="V1163" s="46"/>
      <c r="W1163" s="46"/>
      <c r="X1163" s="46"/>
    </row>
    <row r="1164" spans="1:24" ht="12.75" x14ac:dyDescent="0.2">
      <c r="A1164" s="45"/>
      <c r="B1164" s="46"/>
      <c r="C1164" s="46"/>
      <c r="D1164" s="46"/>
      <c r="E1164" s="46"/>
      <c r="F1164" s="46"/>
      <c r="G1164" s="46"/>
      <c r="H1164" s="46"/>
      <c r="I1164" s="46"/>
      <c r="J1164" s="46"/>
      <c r="K1164" s="46"/>
      <c r="L1164" s="46"/>
      <c r="M1164" s="46"/>
      <c r="N1164" s="46"/>
      <c r="O1164" s="46"/>
      <c r="P1164" s="46"/>
      <c r="Q1164" s="46"/>
      <c r="R1164" s="46"/>
      <c r="S1164" s="46"/>
      <c r="T1164" s="46"/>
      <c r="U1164" s="46"/>
      <c r="V1164" s="46"/>
      <c r="W1164" s="46"/>
      <c r="X1164" s="46"/>
    </row>
    <row r="1165" spans="1:24" ht="12.75" x14ac:dyDescent="0.2">
      <c r="A1165" s="45"/>
      <c r="B1165" s="46"/>
      <c r="C1165" s="46"/>
      <c r="D1165" s="46"/>
      <c r="E1165" s="46"/>
      <c r="F1165" s="46"/>
      <c r="G1165" s="46"/>
      <c r="H1165" s="46"/>
      <c r="I1165" s="46"/>
      <c r="J1165" s="46"/>
      <c r="K1165" s="46"/>
      <c r="L1165" s="46"/>
      <c r="M1165" s="46"/>
      <c r="N1165" s="46"/>
      <c r="O1165" s="46"/>
      <c r="P1165" s="46"/>
      <c r="Q1165" s="46"/>
      <c r="R1165" s="46"/>
      <c r="S1165" s="46"/>
      <c r="T1165" s="46"/>
      <c r="U1165" s="46"/>
      <c r="V1165" s="46"/>
      <c r="W1165" s="46"/>
      <c r="X1165" s="46"/>
    </row>
    <row r="1166" spans="1:24" ht="12.75" x14ac:dyDescent="0.2">
      <c r="A1166" s="45"/>
      <c r="B1166" s="46"/>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row>
    <row r="1167" spans="1:24" ht="12.75" x14ac:dyDescent="0.2">
      <c r="A1167" s="45"/>
      <c r="B1167" s="46"/>
      <c r="C1167" s="46"/>
      <c r="D1167" s="46"/>
      <c r="E1167" s="46"/>
      <c r="F1167" s="46"/>
      <c r="G1167" s="46"/>
      <c r="H1167" s="46"/>
      <c r="I1167" s="46"/>
      <c r="J1167" s="46"/>
      <c r="K1167" s="46"/>
      <c r="L1167" s="46"/>
      <c r="M1167" s="46"/>
      <c r="N1167" s="46"/>
      <c r="O1167" s="46"/>
      <c r="P1167" s="46"/>
      <c r="Q1167" s="46"/>
      <c r="R1167" s="46"/>
      <c r="S1167" s="46"/>
      <c r="T1167" s="46"/>
      <c r="U1167" s="46"/>
      <c r="V1167" s="46"/>
      <c r="W1167" s="46"/>
      <c r="X1167" s="46"/>
    </row>
    <row r="1168" spans="1:24" ht="12.75" x14ac:dyDescent="0.2">
      <c r="A1168" s="45"/>
      <c r="B1168" s="46"/>
      <c r="C1168" s="46"/>
      <c r="D1168" s="46"/>
      <c r="E1168" s="46"/>
      <c r="F1168" s="46"/>
      <c r="G1168" s="46"/>
      <c r="H1168" s="46"/>
      <c r="I1168" s="46"/>
      <c r="J1168" s="46"/>
      <c r="K1168" s="46"/>
      <c r="L1168" s="46"/>
      <c r="M1168" s="46"/>
      <c r="N1168" s="46"/>
      <c r="O1168" s="46"/>
      <c r="P1168" s="46"/>
      <c r="Q1168" s="46"/>
      <c r="R1168" s="46"/>
      <c r="S1168" s="46"/>
      <c r="T1168" s="46"/>
      <c r="U1168" s="46"/>
      <c r="V1168" s="46"/>
      <c r="W1168" s="46"/>
      <c r="X1168" s="46"/>
    </row>
    <row r="1169" spans="1:24" ht="12.75" x14ac:dyDescent="0.2">
      <c r="A1169" s="45"/>
      <c r="B1169" s="46"/>
      <c r="C1169" s="46"/>
      <c r="D1169" s="46"/>
      <c r="E1169" s="46"/>
      <c r="F1169" s="46"/>
      <c r="G1169" s="46"/>
      <c r="H1169" s="46"/>
      <c r="I1169" s="46"/>
      <c r="J1169" s="46"/>
      <c r="K1169" s="46"/>
      <c r="L1169" s="46"/>
      <c r="M1169" s="46"/>
      <c r="N1169" s="46"/>
      <c r="O1169" s="46"/>
      <c r="P1169" s="46"/>
      <c r="Q1169" s="46"/>
      <c r="R1169" s="46"/>
      <c r="S1169" s="46"/>
      <c r="T1169" s="46"/>
      <c r="U1169" s="46"/>
      <c r="V1169" s="46"/>
      <c r="W1169" s="46"/>
      <c r="X1169" s="46"/>
    </row>
    <row r="1170" spans="1:24" ht="12.75" x14ac:dyDescent="0.2">
      <c r="A1170" s="45"/>
      <c r="B1170" s="46"/>
      <c r="C1170" s="46"/>
      <c r="D1170" s="46"/>
      <c r="E1170" s="46"/>
      <c r="F1170" s="46"/>
      <c r="G1170" s="46"/>
      <c r="H1170" s="46"/>
      <c r="I1170" s="46"/>
      <c r="J1170" s="46"/>
      <c r="K1170" s="46"/>
      <c r="L1170" s="46"/>
      <c r="M1170" s="46"/>
      <c r="N1170" s="46"/>
      <c r="O1170" s="46"/>
      <c r="P1170" s="46"/>
      <c r="Q1170" s="46"/>
      <c r="R1170" s="46"/>
      <c r="S1170" s="46"/>
      <c r="T1170" s="46"/>
      <c r="U1170" s="46"/>
      <c r="V1170" s="46"/>
      <c r="W1170" s="46"/>
      <c r="X1170" s="46"/>
    </row>
    <row r="1171" spans="1:24" ht="12.75" x14ac:dyDescent="0.2">
      <c r="A1171" s="45"/>
      <c r="B1171" s="46"/>
      <c r="C1171" s="46"/>
      <c r="D1171" s="46"/>
      <c r="E1171" s="46"/>
      <c r="F1171" s="46"/>
      <c r="G1171" s="46"/>
      <c r="H1171" s="46"/>
      <c r="I1171" s="46"/>
      <c r="J1171" s="46"/>
      <c r="K1171" s="46"/>
      <c r="L1171" s="46"/>
      <c r="M1171" s="46"/>
      <c r="N1171" s="46"/>
      <c r="O1171" s="46"/>
      <c r="P1171" s="46"/>
      <c r="Q1171" s="46"/>
      <c r="R1171" s="46"/>
      <c r="S1171" s="46"/>
      <c r="T1171" s="46"/>
      <c r="U1171" s="46"/>
      <c r="V1171" s="46"/>
      <c r="W1171" s="46"/>
      <c r="X1171" s="46"/>
    </row>
    <row r="1172" spans="1:24" ht="12.75" x14ac:dyDescent="0.2">
      <c r="A1172" s="45"/>
      <c r="B1172" s="46"/>
      <c r="C1172" s="46"/>
      <c r="D1172" s="46"/>
      <c r="E1172" s="46"/>
      <c r="F1172" s="46"/>
      <c r="G1172" s="46"/>
      <c r="H1172" s="46"/>
      <c r="I1172" s="46"/>
      <c r="J1172" s="46"/>
      <c r="K1172" s="46"/>
      <c r="L1172" s="46"/>
      <c r="M1172" s="46"/>
      <c r="N1172" s="46"/>
      <c r="O1172" s="46"/>
      <c r="P1172" s="46"/>
      <c r="Q1172" s="46"/>
      <c r="R1172" s="46"/>
      <c r="S1172" s="46"/>
      <c r="T1172" s="46"/>
      <c r="U1172" s="46"/>
      <c r="V1172" s="46"/>
      <c r="W1172" s="46"/>
      <c r="X1172" s="46"/>
    </row>
    <row r="1173" spans="1:24" ht="12.75" x14ac:dyDescent="0.2">
      <c r="A1173" s="45"/>
      <c r="B1173" s="46"/>
      <c r="C1173" s="46"/>
      <c r="D1173" s="46"/>
      <c r="E1173" s="46"/>
      <c r="F1173" s="46"/>
      <c r="G1173" s="46"/>
      <c r="H1173" s="46"/>
      <c r="I1173" s="46"/>
      <c r="J1173" s="46"/>
      <c r="K1173" s="46"/>
      <c r="L1173" s="46"/>
      <c r="M1173" s="46"/>
      <c r="N1173" s="46"/>
      <c r="O1173" s="46"/>
      <c r="P1173" s="46"/>
      <c r="Q1173" s="46"/>
      <c r="R1173" s="46"/>
      <c r="S1173" s="46"/>
      <c r="T1173" s="46"/>
      <c r="U1173" s="46"/>
      <c r="V1173" s="46"/>
      <c r="W1173" s="46"/>
      <c r="X1173" s="46"/>
    </row>
    <row r="1174" spans="1:24" ht="12.75" x14ac:dyDescent="0.2">
      <c r="A1174" s="45"/>
      <c r="B1174" s="46"/>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46"/>
    </row>
    <row r="1175" spans="1:24" ht="12.75" x14ac:dyDescent="0.2">
      <c r="A1175" s="45"/>
      <c r="B1175" s="46"/>
      <c r="C1175" s="46"/>
      <c r="D1175" s="46"/>
      <c r="E1175" s="46"/>
      <c r="F1175" s="46"/>
      <c r="G1175" s="46"/>
      <c r="H1175" s="46"/>
      <c r="I1175" s="46"/>
      <c r="J1175" s="46"/>
      <c r="K1175" s="46"/>
      <c r="L1175" s="46"/>
      <c r="M1175" s="46"/>
      <c r="N1175" s="46"/>
      <c r="O1175" s="46"/>
      <c r="P1175" s="46"/>
      <c r="Q1175" s="46"/>
      <c r="R1175" s="46"/>
      <c r="S1175" s="46"/>
      <c r="T1175" s="46"/>
      <c r="U1175" s="46"/>
      <c r="V1175" s="46"/>
      <c r="W1175" s="46"/>
      <c r="X1175" s="46"/>
    </row>
    <row r="1176" spans="1:24" ht="12.75" x14ac:dyDescent="0.2">
      <c r="A1176" s="45"/>
      <c r="B1176" s="46"/>
      <c r="C1176" s="46"/>
      <c r="D1176" s="46"/>
      <c r="E1176" s="46"/>
      <c r="F1176" s="46"/>
      <c r="G1176" s="46"/>
      <c r="H1176" s="46"/>
      <c r="I1176" s="46"/>
      <c r="J1176" s="46"/>
      <c r="K1176" s="46"/>
      <c r="L1176" s="46"/>
      <c r="M1176" s="46"/>
      <c r="N1176" s="46"/>
      <c r="O1176" s="46"/>
      <c r="P1176" s="46"/>
      <c r="Q1176" s="46"/>
      <c r="R1176" s="46"/>
      <c r="S1176" s="46"/>
      <c r="T1176" s="46"/>
      <c r="U1176" s="46"/>
      <c r="V1176" s="46"/>
      <c r="W1176" s="46"/>
      <c r="X1176" s="46"/>
    </row>
    <row r="1177" spans="1:24" ht="12.75" x14ac:dyDescent="0.2">
      <c r="A1177" s="45"/>
      <c r="B1177" s="46"/>
      <c r="C1177" s="46"/>
      <c r="D1177" s="46"/>
      <c r="E1177" s="46"/>
      <c r="F1177" s="46"/>
      <c r="G1177" s="46"/>
      <c r="H1177" s="46"/>
      <c r="I1177" s="46"/>
      <c r="J1177" s="46"/>
      <c r="K1177" s="46"/>
      <c r="L1177" s="46"/>
      <c r="M1177" s="46"/>
      <c r="N1177" s="46"/>
      <c r="O1177" s="46"/>
      <c r="P1177" s="46"/>
      <c r="Q1177" s="46"/>
      <c r="R1177" s="46"/>
      <c r="S1177" s="46"/>
      <c r="T1177" s="46"/>
      <c r="U1177" s="46"/>
      <c r="V1177" s="46"/>
      <c r="W1177" s="46"/>
      <c r="X1177" s="46"/>
    </row>
    <row r="1178" spans="1:24" ht="12.75" x14ac:dyDescent="0.2">
      <c r="A1178" s="45"/>
      <c r="B1178" s="46"/>
      <c r="C1178" s="46"/>
      <c r="D1178" s="46"/>
      <c r="E1178" s="46"/>
      <c r="F1178" s="46"/>
      <c r="G1178" s="46"/>
      <c r="H1178" s="46"/>
      <c r="I1178" s="46"/>
      <c r="J1178" s="46"/>
      <c r="K1178" s="46"/>
      <c r="L1178" s="46"/>
      <c r="M1178" s="46"/>
      <c r="N1178" s="46"/>
      <c r="O1178" s="46"/>
      <c r="P1178" s="46"/>
      <c r="Q1178" s="46"/>
      <c r="R1178" s="46"/>
      <c r="S1178" s="46"/>
      <c r="T1178" s="46"/>
      <c r="U1178" s="46"/>
      <c r="V1178" s="46"/>
      <c r="W1178" s="46"/>
      <c r="X1178" s="46"/>
    </row>
    <row r="1179" spans="1:24" ht="12.75" x14ac:dyDescent="0.2">
      <c r="A1179" s="45"/>
      <c r="B1179" s="46"/>
      <c r="C1179" s="46"/>
      <c r="D1179" s="46"/>
      <c r="E1179" s="46"/>
      <c r="F1179" s="46"/>
      <c r="G1179" s="46"/>
      <c r="H1179" s="46"/>
      <c r="I1179" s="46"/>
      <c r="J1179" s="46"/>
      <c r="K1179" s="46"/>
      <c r="L1179" s="46"/>
      <c r="M1179" s="46"/>
      <c r="N1179" s="46"/>
      <c r="O1179" s="46"/>
      <c r="P1179" s="46"/>
      <c r="Q1179" s="46"/>
      <c r="R1179" s="46"/>
      <c r="S1179" s="46"/>
      <c r="T1179" s="46"/>
      <c r="U1179" s="46"/>
      <c r="V1179" s="46"/>
      <c r="W1179" s="46"/>
      <c r="X1179" s="46"/>
    </row>
    <row r="1180" spans="1:24" ht="12.75" x14ac:dyDescent="0.2">
      <c r="A1180" s="45"/>
      <c r="B1180" s="46"/>
      <c r="C1180" s="46"/>
      <c r="D1180" s="46"/>
      <c r="E1180" s="46"/>
      <c r="F1180" s="46"/>
      <c r="G1180" s="46"/>
      <c r="H1180" s="46"/>
      <c r="I1180" s="46"/>
      <c r="J1180" s="46"/>
      <c r="K1180" s="46"/>
      <c r="L1180" s="46"/>
      <c r="M1180" s="46"/>
      <c r="N1180" s="46"/>
      <c r="O1180" s="46"/>
      <c r="P1180" s="46"/>
      <c r="Q1180" s="46"/>
      <c r="R1180" s="46"/>
      <c r="S1180" s="46"/>
      <c r="T1180" s="46"/>
      <c r="U1180" s="46"/>
      <c r="V1180" s="46"/>
      <c r="W1180" s="46"/>
      <c r="X1180" s="46"/>
    </row>
    <row r="1181" spans="1:24" ht="12.75" x14ac:dyDescent="0.2">
      <c r="A1181" s="45"/>
      <c r="B1181" s="46"/>
      <c r="C1181" s="46"/>
      <c r="D1181" s="46"/>
      <c r="E1181" s="46"/>
      <c r="F1181" s="46"/>
      <c r="G1181" s="46"/>
      <c r="H1181" s="46"/>
      <c r="I1181" s="46"/>
      <c r="J1181" s="46"/>
      <c r="K1181" s="46"/>
      <c r="L1181" s="46"/>
      <c r="M1181" s="46"/>
      <c r="N1181" s="46"/>
      <c r="O1181" s="46"/>
      <c r="P1181" s="46"/>
      <c r="Q1181" s="46"/>
      <c r="R1181" s="46"/>
      <c r="S1181" s="46"/>
      <c r="T1181" s="46"/>
      <c r="U1181" s="46"/>
      <c r="V1181" s="46"/>
      <c r="W1181" s="46"/>
      <c r="X1181" s="46"/>
    </row>
    <row r="1182" spans="1:24" ht="12.75" x14ac:dyDescent="0.2">
      <c r="A1182" s="45"/>
      <c r="B1182" s="46"/>
      <c r="C1182" s="46"/>
      <c r="D1182" s="46"/>
      <c r="E1182" s="46"/>
      <c r="F1182" s="46"/>
      <c r="G1182" s="46"/>
      <c r="H1182" s="46"/>
      <c r="I1182" s="46"/>
      <c r="J1182" s="46"/>
      <c r="K1182" s="46"/>
      <c r="L1182" s="46"/>
      <c r="M1182" s="46"/>
      <c r="N1182" s="46"/>
      <c r="O1182" s="46"/>
      <c r="P1182" s="46"/>
      <c r="Q1182" s="46"/>
      <c r="R1182" s="46"/>
      <c r="S1182" s="46"/>
      <c r="T1182" s="46"/>
      <c r="U1182" s="46"/>
      <c r="V1182" s="46"/>
      <c r="W1182" s="46"/>
      <c r="X1182" s="46"/>
    </row>
    <row r="1183" spans="1:24" ht="12.75" x14ac:dyDescent="0.2">
      <c r="A1183" s="45"/>
      <c r="B1183" s="46"/>
      <c r="C1183" s="46"/>
      <c r="D1183" s="46"/>
      <c r="E1183" s="46"/>
      <c r="F1183" s="46"/>
      <c r="G1183" s="46"/>
      <c r="H1183" s="46"/>
      <c r="I1183" s="46"/>
      <c r="J1183" s="46"/>
      <c r="K1183" s="46"/>
      <c r="L1183" s="46"/>
      <c r="M1183" s="46"/>
      <c r="N1183" s="46"/>
      <c r="O1183" s="46"/>
      <c r="P1183" s="46"/>
      <c r="Q1183" s="46"/>
      <c r="R1183" s="46"/>
      <c r="S1183" s="46"/>
      <c r="T1183" s="46"/>
      <c r="U1183" s="46"/>
      <c r="V1183" s="46"/>
      <c r="W1183" s="46"/>
      <c r="X1183" s="46"/>
    </row>
    <row r="1184" spans="1:24" ht="12.75" x14ac:dyDescent="0.2">
      <c r="A1184" s="45"/>
      <c r="B1184" s="46"/>
      <c r="C1184" s="46"/>
      <c r="D1184" s="46"/>
      <c r="E1184" s="46"/>
      <c r="F1184" s="46"/>
      <c r="G1184" s="46"/>
      <c r="H1184" s="46"/>
      <c r="I1184" s="46"/>
      <c r="J1184" s="46"/>
      <c r="K1184" s="46"/>
      <c r="L1184" s="46"/>
      <c r="M1184" s="46"/>
      <c r="N1184" s="46"/>
      <c r="O1184" s="46"/>
      <c r="P1184" s="46"/>
      <c r="Q1184" s="46"/>
      <c r="R1184" s="46"/>
      <c r="S1184" s="46"/>
      <c r="T1184" s="46"/>
      <c r="U1184" s="46"/>
      <c r="V1184" s="46"/>
      <c r="W1184" s="46"/>
      <c r="X1184" s="46"/>
    </row>
    <row r="1185" spans="1:24" ht="12.75" x14ac:dyDescent="0.2">
      <c r="A1185" s="45"/>
      <c r="B1185" s="46"/>
      <c r="C1185" s="46"/>
      <c r="D1185" s="46"/>
      <c r="E1185" s="46"/>
      <c r="F1185" s="46"/>
      <c r="G1185" s="46"/>
      <c r="H1185" s="46"/>
      <c r="I1185" s="46"/>
      <c r="J1185" s="46"/>
      <c r="K1185" s="46"/>
      <c r="L1185" s="46"/>
      <c r="M1185" s="46"/>
      <c r="N1185" s="46"/>
      <c r="O1185" s="46"/>
      <c r="P1185" s="46"/>
      <c r="Q1185" s="46"/>
      <c r="R1185" s="46"/>
      <c r="S1185" s="46"/>
      <c r="T1185" s="46"/>
      <c r="U1185" s="46"/>
      <c r="V1185" s="46"/>
      <c r="W1185" s="46"/>
      <c r="X1185" s="46"/>
    </row>
    <row r="1186" spans="1:24" ht="12.75" x14ac:dyDescent="0.2">
      <c r="A1186" s="45"/>
      <c r="B1186" s="46"/>
      <c r="C1186" s="46"/>
      <c r="D1186" s="46"/>
      <c r="E1186" s="46"/>
      <c r="F1186" s="46"/>
      <c r="G1186" s="46"/>
      <c r="H1186" s="46"/>
      <c r="I1186" s="46"/>
      <c r="J1186" s="46"/>
      <c r="K1186" s="46"/>
      <c r="L1186" s="46"/>
      <c r="M1186" s="46"/>
      <c r="N1186" s="46"/>
      <c r="O1186" s="46"/>
      <c r="P1186" s="46"/>
      <c r="Q1186" s="46"/>
      <c r="R1186" s="46"/>
      <c r="S1186" s="46"/>
      <c r="T1186" s="46"/>
      <c r="U1186" s="46"/>
      <c r="V1186" s="46"/>
      <c r="W1186" s="46"/>
      <c r="X1186" s="46"/>
    </row>
    <row r="1187" spans="1:24" ht="12.75" x14ac:dyDescent="0.2">
      <c r="A1187" s="45"/>
      <c r="B1187" s="46"/>
      <c r="C1187" s="46"/>
      <c r="D1187" s="46"/>
      <c r="E1187" s="46"/>
      <c r="F1187" s="46"/>
      <c r="G1187" s="46"/>
      <c r="H1187" s="46"/>
      <c r="I1187" s="46"/>
      <c r="J1187" s="46"/>
      <c r="K1187" s="46"/>
      <c r="L1187" s="46"/>
      <c r="M1187" s="46"/>
      <c r="N1187" s="46"/>
      <c r="O1187" s="46"/>
      <c r="P1187" s="46"/>
      <c r="Q1187" s="46"/>
      <c r="R1187" s="46"/>
      <c r="S1187" s="46"/>
      <c r="T1187" s="46"/>
      <c r="U1187" s="46"/>
      <c r="V1187" s="46"/>
      <c r="W1187" s="46"/>
      <c r="X1187" s="46"/>
    </row>
    <row r="1188" spans="1:24" ht="12.75" x14ac:dyDescent="0.2">
      <c r="A1188" s="45"/>
      <c r="B1188" s="46"/>
      <c r="C1188" s="46"/>
      <c r="D1188" s="46"/>
      <c r="E1188" s="46"/>
      <c r="F1188" s="46"/>
      <c r="G1188" s="46"/>
      <c r="H1188" s="46"/>
      <c r="I1188" s="46"/>
      <c r="J1188" s="46"/>
      <c r="K1188" s="46"/>
      <c r="L1188" s="46"/>
      <c r="M1188" s="46"/>
      <c r="N1188" s="46"/>
      <c r="O1188" s="46"/>
      <c r="P1188" s="46"/>
      <c r="Q1188" s="46"/>
      <c r="R1188" s="46"/>
      <c r="S1188" s="46"/>
      <c r="T1188" s="46"/>
      <c r="U1188" s="46"/>
      <c r="V1188" s="46"/>
      <c r="W1188" s="46"/>
      <c r="X1188" s="46"/>
    </row>
    <row r="1189" spans="1:24" ht="12.75" x14ac:dyDescent="0.2">
      <c r="A1189" s="45"/>
      <c r="B1189" s="46"/>
      <c r="C1189" s="46"/>
      <c r="D1189" s="46"/>
      <c r="E1189" s="46"/>
      <c r="F1189" s="46"/>
      <c r="G1189" s="46"/>
      <c r="H1189" s="46"/>
      <c r="I1189" s="46"/>
      <c r="J1189" s="46"/>
      <c r="K1189" s="46"/>
      <c r="L1189" s="46"/>
      <c r="M1189" s="46"/>
      <c r="N1189" s="46"/>
      <c r="O1189" s="46"/>
      <c r="P1189" s="46"/>
      <c r="Q1189" s="46"/>
      <c r="R1189" s="46"/>
      <c r="S1189" s="46"/>
      <c r="T1189" s="46"/>
      <c r="U1189" s="46"/>
      <c r="V1189" s="46"/>
      <c r="W1189" s="46"/>
      <c r="X1189" s="46"/>
    </row>
    <row r="1190" spans="1:24" ht="12.75" x14ac:dyDescent="0.2">
      <c r="A1190" s="45"/>
      <c r="B1190" s="46"/>
      <c r="C1190" s="46"/>
      <c r="D1190" s="46"/>
      <c r="E1190" s="46"/>
      <c r="F1190" s="46"/>
      <c r="G1190" s="46"/>
      <c r="H1190" s="46"/>
      <c r="I1190" s="46"/>
      <c r="J1190" s="46"/>
      <c r="K1190" s="46"/>
      <c r="L1190" s="46"/>
      <c r="M1190" s="46"/>
      <c r="N1190" s="46"/>
      <c r="O1190" s="46"/>
      <c r="P1190" s="46"/>
      <c r="Q1190" s="46"/>
      <c r="R1190" s="46"/>
      <c r="S1190" s="46"/>
      <c r="T1190" s="46"/>
      <c r="U1190" s="46"/>
      <c r="V1190" s="46"/>
      <c r="W1190" s="46"/>
      <c r="X1190" s="46"/>
    </row>
    <row r="1191" spans="1:24" ht="12.75" x14ac:dyDescent="0.2">
      <c r="A1191" s="45"/>
      <c r="B1191" s="46"/>
      <c r="C1191" s="46"/>
      <c r="D1191" s="46"/>
      <c r="E1191" s="46"/>
      <c r="F1191" s="46"/>
      <c r="G1191" s="46"/>
      <c r="H1191" s="46"/>
      <c r="I1191" s="46"/>
      <c r="J1191" s="46"/>
      <c r="K1191" s="46"/>
      <c r="L1191" s="46"/>
      <c r="M1191" s="46"/>
      <c r="N1191" s="46"/>
      <c r="O1191" s="46"/>
      <c r="P1191" s="46"/>
      <c r="Q1191" s="46"/>
      <c r="R1191" s="46"/>
      <c r="S1191" s="46"/>
      <c r="T1191" s="46"/>
      <c r="U1191" s="46"/>
      <c r="V1191" s="46"/>
      <c r="W1191" s="46"/>
      <c r="X1191" s="46"/>
    </row>
    <row r="1192" spans="1:24" ht="12.75" x14ac:dyDescent="0.2">
      <c r="A1192" s="45"/>
      <c r="B1192" s="46"/>
      <c r="C1192" s="46"/>
      <c r="D1192" s="46"/>
      <c r="E1192" s="46"/>
      <c r="F1192" s="46"/>
      <c r="G1192" s="46"/>
      <c r="H1192" s="46"/>
      <c r="I1192" s="46"/>
      <c r="J1192" s="46"/>
      <c r="K1192" s="46"/>
      <c r="L1192" s="46"/>
      <c r="M1192" s="46"/>
      <c r="N1192" s="46"/>
      <c r="O1192" s="46"/>
      <c r="P1192" s="46"/>
      <c r="Q1192" s="46"/>
      <c r="R1192" s="46"/>
      <c r="S1192" s="46"/>
      <c r="T1192" s="46"/>
      <c r="U1192" s="46"/>
      <c r="V1192" s="46"/>
      <c r="W1192" s="46"/>
      <c r="X1192" s="46"/>
    </row>
    <row r="1193" spans="1:24" ht="12.75" x14ac:dyDescent="0.2">
      <c r="A1193" s="45"/>
      <c r="B1193" s="46"/>
      <c r="C1193" s="46"/>
      <c r="D1193" s="46"/>
      <c r="E1193" s="46"/>
      <c r="F1193" s="46"/>
      <c r="G1193" s="46"/>
      <c r="H1193" s="46"/>
      <c r="I1193" s="46"/>
      <c r="J1193" s="46"/>
      <c r="K1193" s="46"/>
      <c r="L1193" s="46"/>
      <c r="M1193" s="46"/>
      <c r="N1193" s="46"/>
      <c r="O1193" s="46"/>
      <c r="P1193" s="46"/>
      <c r="Q1193" s="46"/>
      <c r="R1193" s="46"/>
      <c r="S1193" s="46"/>
      <c r="T1193" s="46"/>
      <c r="U1193" s="46"/>
      <c r="V1193" s="46"/>
      <c r="W1193" s="46"/>
      <c r="X1193" s="46"/>
    </row>
    <row r="1194" spans="1:24" ht="12.75" x14ac:dyDescent="0.2">
      <c r="A1194" s="45"/>
      <c r="B1194" s="46"/>
      <c r="C1194" s="46"/>
      <c r="D1194" s="46"/>
      <c r="E1194" s="46"/>
      <c r="F1194" s="46"/>
      <c r="G1194" s="46"/>
      <c r="H1194" s="46"/>
      <c r="I1194" s="46"/>
      <c r="J1194" s="46"/>
      <c r="K1194" s="46"/>
      <c r="L1194" s="46"/>
      <c r="M1194" s="46"/>
      <c r="N1194" s="46"/>
      <c r="O1194" s="46"/>
      <c r="P1194" s="46"/>
      <c r="Q1194" s="46"/>
      <c r="R1194" s="46"/>
      <c r="S1194" s="46"/>
      <c r="T1194" s="46"/>
      <c r="U1194" s="46"/>
      <c r="V1194" s="46"/>
      <c r="W1194" s="46"/>
      <c r="X1194" s="46"/>
    </row>
    <row r="1195" spans="1:24" ht="12.75" x14ac:dyDescent="0.2">
      <c r="A1195" s="45"/>
      <c r="B1195" s="46"/>
      <c r="C1195" s="46"/>
      <c r="D1195" s="46"/>
      <c r="E1195" s="46"/>
      <c r="F1195" s="46"/>
      <c r="G1195" s="46"/>
      <c r="H1195" s="46"/>
      <c r="I1195" s="46"/>
      <c r="J1195" s="46"/>
      <c r="K1195" s="46"/>
      <c r="L1195" s="46"/>
      <c r="M1195" s="46"/>
      <c r="N1195" s="46"/>
      <c r="O1195" s="46"/>
      <c r="P1195" s="46"/>
      <c r="Q1195" s="46"/>
      <c r="R1195" s="46"/>
      <c r="S1195" s="46"/>
      <c r="T1195" s="46"/>
      <c r="U1195" s="46"/>
      <c r="V1195" s="46"/>
      <c r="W1195" s="46"/>
      <c r="X1195" s="46"/>
    </row>
    <row r="1196" spans="1:24" ht="12.75" x14ac:dyDescent="0.2">
      <c r="A1196" s="45"/>
      <c r="B1196" s="46"/>
      <c r="C1196" s="46"/>
      <c r="D1196" s="46"/>
      <c r="E1196" s="46"/>
      <c r="F1196" s="46"/>
      <c r="G1196" s="46"/>
      <c r="H1196" s="46"/>
      <c r="I1196" s="46"/>
      <c r="J1196" s="46"/>
      <c r="K1196" s="46"/>
      <c r="L1196" s="46"/>
      <c r="M1196" s="46"/>
      <c r="N1196" s="46"/>
      <c r="O1196" s="46"/>
      <c r="P1196" s="46"/>
      <c r="Q1196" s="46"/>
      <c r="R1196" s="46"/>
      <c r="S1196" s="46"/>
      <c r="T1196" s="46"/>
      <c r="U1196" s="46"/>
      <c r="V1196" s="46"/>
      <c r="W1196" s="46"/>
      <c r="X1196" s="46"/>
    </row>
    <row r="1197" spans="1:24" ht="12.75" x14ac:dyDescent="0.2">
      <c r="A1197" s="45"/>
      <c r="B1197" s="46"/>
      <c r="C1197" s="46"/>
      <c r="D1197" s="46"/>
      <c r="E1197" s="46"/>
      <c r="F1197" s="46"/>
      <c r="G1197" s="46"/>
      <c r="H1197" s="46"/>
      <c r="I1197" s="46"/>
      <c r="J1197" s="46"/>
      <c r="K1197" s="46"/>
      <c r="L1197" s="46"/>
      <c r="M1197" s="46"/>
      <c r="N1197" s="46"/>
      <c r="O1197" s="46"/>
      <c r="P1197" s="46"/>
      <c r="Q1197" s="46"/>
      <c r="R1197" s="46"/>
      <c r="S1197" s="46"/>
      <c r="T1197" s="46"/>
      <c r="U1197" s="46"/>
      <c r="V1197" s="46"/>
      <c r="W1197" s="46"/>
      <c r="X1197" s="46"/>
    </row>
    <row r="1198" spans="1:24" ht="12.75" x14ac:dyDescent="0.2">
      <c r="A1198" s="45"/>
      <c r="B1198" s="46"/>
      <c r="C1198" s="46"/>
      <c r="D1198" s="46"/>
      <c r="E1198" s="46"/>
      <c r="F1198" s="46"/>
      <c r="G1198" s="46"/>
      <c r="H1198" s="46"/>
      <c r="I1198" s="46"/>
      <c r="J1198" s="46"/>
      <c r="K1198" s="46"/>
      <c r="L1198" s="46"/>
      <c r="M1198" s="46"/>
      <c r="N1198" s="46"/>
      <c r="O1198" s="46"/>
      <c r="P1198" s="46"/>
      <c r="Q1198" s="46"/>
      <c r="R1198" s="46"/>
      <c r="S1198" s="46"/>
      <c r="T1198" s="46"/>
      <c r="U1198" s="46"/>
      <c r="V1198" s="46"/>
      <c r="W1198" s="46"/>
      <c r="X1198" s="46"/>
    </row>
    <row r="1199" spans="1:24" ht="12.75" x14ac:dyDescent="0.2">
      <c r="A1199" s="45"/>
      <c r="B1199" s="46"/>
      <c r="C1199" s="46"/>
      <c r="D1199" s="46"/>
      <c r="E1199" s="46"/>
      <c r="F1199" s="46"/>
      <c r="G1199" s="46"/>
      <c r="H1199" s="46"/>
      <c r="I1199" s="46"/>
      <c r="J1199" s="46"/>
      <c r="K1199" s="46"/>
      <c r="L1199" s="46"/>
      <c r="M1199" s="46"/>
      <c r="N1199" s="46"/>
      <c r="O1199" s="46"/>
      <c r="P1199" s="46"/>
      <c r="Q1199" s="46"/>
      <c r="R1199" s="46"/>
      <c r="S1199" s="46"/>
      <c r="T1199" s="46"/>
      <c r="U1199" s="46"/>
      <c r="V1199" s="46"/>
      <c r="W1199" s="46"/>
      <c r="X1199" s="46"/>
    </row>
    <row r="1200" spans="1:24" ht="12.75" x14ac:dyDescent="0.2">
      <c r="A1200" s="45"/>
      <c r="B1200" s="46"/>
      <c r="C1200" s="46"/>
      <c r="D1200" s="46"/>
      <c r="E1200" s="46"/>
      <c r="F1200" s="46"/>
      <c r="G1200" s="46"/>
      <c r="H1200" s="46"/>
      <c r="I1200" s="46"/>
      <c r="J1200" s="46"/>
      <c r="K1200" s="46"/>
      <c r="L1200" s="46"/>
      <c r="M1200" s="46"/>
      <c r="N1200" s="46"/>
      <c r="O1200" s="46"/>
      <c r="P1200" s="46"/>
      <c r="Q1200" s="46"/>
      <c r="R1200" s="46"/>
      <c r="S1200" s="46"/>
      <c r="T1200" s="46"/>
      <c r="U1200" s="46"/>
      <c r="V1200" s="46"/>
      <c r="W1200" s="46"/>
      <c r="X1200" s="46"/>
    </row>
    <row r="1201" spans="1:24" ht="12.75" x14ac:dyDescent="0.2">
      <c r="A1201" s="45"/>
      <c r="B1201" s="46"/>
      <c r="C1201" s="46"/>
      <c r="D1201" s="46"/>
      <c r="E1201" s="46"/>
      <c r="F1201" s="46"/>
      <c r="G1201" s="46"/>
      <c r="H1201" s="46"/>
      <c r="I1201" s="46"/>
      <c r="J1201" s="46"/>
      <c r="K1201" s="46"/>
      <c r="L1201" s="46"/>
      <c r="M1201" s="46"/>
      <c r="N1201" s="46"/>
      <c r="O1201" s="46"/>
      <c r="P1201" s="46"/>
      <c r="Q1201" s="46"/>
      <c r="R1201" s="46"/>
      <c r="S1201" s="46"/>
      <c r="T1201" s="46"/>
      <c r="U1201" s="46"/>
      <c r="V1201" s="46"/>
      <c r="W1201" s="46"/>
      <c r="X1201" s="46"/>
    </row>
    <row r="1202" spans="1:24" ht="12.75" x14ac:dyDescent="0.2">
      <c r="A1202" s="45"/>
      <c r="B1202" s="46"/>
      <c r="C1202" s="46"/>
      <c r="D1202" s="46"/>
      <c r="E1202" s="46"/>
      <c r="F1202" s="46"/>
      <c r="G1202" s="46"/>
      <c r="H1202" s="46"/>
      <c r="I1202" s="46"/>
      <c r="J1202" s="46"/>
      <c r="K1202" s="46"/>
      <c r="L1202" s="46"/>
      <c r="M1202" s="46"/>
      <c r="N1202" s="46"/>
      <c r="O1202" s="46"/>
      <c r="P1202" s="46"/>
      <c r="Q1202" s="46"/>
      <c r="R1202" s="46"/>
      <c r="S1202" s="46"/>
      <c r="T1202" s="46"/>
      <c r="U1202" s="46"/>
      <c r="V1202" s="46"/>
      <c r="W1202" s="46"/>
      <c r="X1202" s="46"/>
    </row>
    <row r="1203" spans="1:24" ht="12.75" x14ac:dyDescent="0.2">
      <c r="A1203" s="45"/>
      <c r="B1203" s="46"/>
      <c r="C1203" s="46"/>
      <c r="D1203" s="46"/>
      <c r="E1203" s="46"/>
      <c r="F1203" s="46"/>
      <c r="G1203" s="46"/>
      <c r="H1203" s="46"/>
      <c r="I1203" s="46"/>
      <c r="J1203" s="46"/>
      <c r="K1203" s="46"/>
      <c r="L1203" s="46"/>
      <c r="M1203" s="46"/>
      <c r="N1203" s="46"/>
      <c r="O1203" s="46"/>
      <c r="P1203" s="46"/>
      <c r="Q1203" s="46"/>
      <c r="R1203" s="46"/>
      <c r="S1203" s="46"/>
      <c r="T1203" s="46"/>
      <c r="U1203" s="46"/>
      <c r="V1203" s="46"/>
      <c r="W1203" s="46"/>
      <c r="X1203" s="46"/>
    </row>
    <row r="1204" spans="1:24" ht="12.75" x14ac:dyDescent="0.2">
      <c r="A1204" s="45"/>
      <c r="B1204" s="46"/>
      <c r="C1204" s="46"/>
      <c r="D1204" s="46"/>
      <c r="E1204" s="46"/>
      <c r="F1204" s="46"/>
      <c r="G1204" s="46"/>
      <c r="H1204" s="46"/>
      <c r="I1204" s="46"/>
      <c r="J1204" s="46"/>
      <c r="K1204" s="46"/>
      <c r="L1204" s="46"/>
      <c r="M1204" s="46"/>
      <c r="N1204" s="46"/>
      <c r="O1204" s="46"/>
      <c r="P1204" s="46"/>
      <c r="Q1204" s="46"/>
      <c r="R1204" s="46"/>
      <c r="S1204" s="46"/>
      <c r="T1204" s="46"/>
      <c r="U1204" s="46"/>
      <c r="V1204" s="46"/>
      <c r="W1204" s="46"/>
      <c r="X1204" s="46"/>
    </row>
    <row r="1205" spans="1:24" ht="12.75" x14ac:dyDescent="0.2">
      <c r="A1205" s="45"/>
      <c r="B1205" s="46"/>
      <c r="C1205" s="46"/>
      <c r="D1205" s="46"/>
      <c r="E1205" s="46"/>
      <c r="F1205" s="46"/>
      <c r="G1205" s="46"/>
      <c r="H1205" s="46"/>
      <c r="I1205" s="46"/>
      <c r="J1205" s="46"/>
      <c r="K1205" s="46"/>
      <c r="L1205" s="46"/>
      <c r="M1205" s="46"/>
      <c r="N1205" s="46"/>
      <c r="O1205" s="46"/>
      <c r="P1205" s="46"/>
      <c r="Q1205" s="46"/>
      <c r="R1205" s="46"/>
      <c r="S1205" s="46"/>
      <c r="T1205" s="46"/>
      <c r="U1205" s="46"/>
      <c r="V1205" s="46"/>
      <c r="W1205" s="46"/>
      <c r="X1205" s="46"/>
    </row>
    <row r="1206" spans="1:24" ht="12.75" x14ac:dyDescent="0.2">
      <c r="A1206" s="45"/>
      <c r="B1206" s="46"/>
      <c r="C1206" s="46"/>
      <c r="D1206" s="46"/>
      <c r="E1206" s="46"/>
      <c r="F1206" s="46"/>
      <c r="G1206" s="46"/>
      <c r="H1206" s="46"/>
      <c r="I1206" s="46"/>
      <c r="J1206" s="46"/>
      <c r="K1206" s="46"/>
      <c r="L1206" s="46"/>
      <c r="M1206" s="46"/>
      <c r="N1206" s="46"/>
      <c r="O1206" s="46"/>
      <c r="P1206" s="46"/>
      <c r="Q1206" s="46"/>
      <c r="R1206" s="46"/>
      <c r="S1206" s="46"/>
      <c r="T1206" s="46"/>
      <c r="U1206" s="46"/>
      <c r="V1206" s="46"/>
      <c r="W1206" s="46"/>
      <c r="X1206" s="46"/>
    </row>
    <row r="1207" spans="1:24" ht="12.75" x14ac:dyDescent="0.2">
      <c r="A1207" s="45"/>
      <c r="B1207" s="46"/>
      <c r="C1207" s="46"/>
      <c r="D1207" s="46"/>
      <c r="E1207" s="46"/>
      <c r="F1207" s="46"/>
      <c r="G1207" s="46"/>
      <c r="H1207" s="46"/>
      <c r="I1207" s="46"/>
      <c r="J1207" s="46"/>
      <c r="K1207" s="46"/>
      <c r="L1207" s="46"/>
      <c r="M1207" s="46"/>
      <c r="N1207" s="46"/>
      <c r="O1207" s="46"/>
      <c r="P1207" s="46"/>
      <c r="Q1207" s="46"/>
      <c r="R1207" s="46"/>
      <c r="S1207" s="46"/>
      <c r="T1207" s="46"/>
      <c r="U1207" s="46"/>
      <c r="V1207" s="46"/>
      <c r="W1207" s="46"/>
      <c r="X1207" s="46"/>
    </row>
    <row r="1208" spans="1:24" ht="12.75" x14ac:dyDescent="0.2">
      <c r="A1208" s="45"/>
      <c r="B1208" s="46"/>
      <c r="C1208" s="46"/>
      <c r="D1208" s="46"/>
      <c r="E1208" s="46"/>
      <c r="F1208" s="46"/>
      <c r="G1208" s="46"/>
      <c r="H1208" s="46"/>
      <c r="I1208" s="46"/>
      <c r="J1208" s="46"/>
      <c r="K1208" s="46"/>
      <c r="L1208" s="46"/>
      <c r="M1208" s="46"/>
      <c r="N1208" s="46"/>
      <c r="O1208" s="46"/>
      <c r="P1208" s="46"/>
      <c r="Q1208" s="46"/>
      <c r="R1208" s="46"/>
      <c r="S1208" s="46"/>
      <c r="T1208" s="46"/>
      <c r="U1208" s="46"/>
      <c r="V1208" s="46"/>
      <c r="W1208" s="46"/>
      <c r="X1208" s="46"/>
    </row>
    <row r="1209" spans="1:24" ht="12.75" x14ac:dyDescent="0.2">
      <c r="A1209" s="45"/>
      <c r="B1209" s="46"/>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46"/>
    </row>
    <row r="1210" spans="1:24" ht="12.75" x14ac:dyDescent="0.2">
      <c r="A1210" s="45"/>
      <c r="B1210" s="46"/>
      <c r="C1210" s="46"/>
      <c r="D1210" s="46"/>
      <c r="E1210" s="46"/>
      <c r="F1210" s="46"/>
      <c r="G1210" s="46"/>
      <c r="H1210" s="46"/>
      <c r="I1210" s="46"/>
      <c r="J1210" s="46"/>
      <c r="K1210" s="46"/>
      <c r="L1210" s="46"/>
      <c r="M1210" s="46"/>
      <c r="N1210" s="46"/>
      <c r="O1210" s="46"/>
      <c r="P1210" s="46"/>
      <c r="Q1210" s="46"/>
      <c r="R1210" s="46"/>
      <c r="S1210" s="46"/>
      <c r="T1210" s="46"/>
      <c r="U1210" s="46"/>
      <c r="V1210" s="46"/>
      <c r="W1210" s="46"/>
      <c r="X1210" s="46"/>
    </row>
    <row r="1211" spans="1:24" ht="12.75" x14ac:dyDescent="0.2">
      <c r="A1211" s="45"/>
      <c r="B1211" s="46"/>
      <c r="C1211" s="46"/>
      <c r="D1211" s="46"/>
      <c r="E1211" s="46"/>
      <c r="F1211" s="46"/>
      <c r="G1211" s="46"/>
      <c r="H1211" s="46"/>
      <c r="I1211" s="46"/>
      <c r="J1211" s="46"/>
      <c r="K1211" s="46"/>
      <c r="L1211" s="46"/>
      <c r="M1211" s="46"/>
      <c r="N1211" s="46"/>
      <c r="O1211" s="46"/>
      <c r="P1211" s="46"/>
      <c r="Q1211" s="46"/>
      <c r="R1211" s="46"/>
      <c r="S1211" s="46"/>
      <c r="T1211" s="46"/>
      <c r="U1211" s="46"/>
      <c r="V1211" s="46"/>
      <c r="W1211" s="46"/>
      <c r="X1211" s="46"/>
    </row>
    <row r="1212" spans="1:24" ht="12.75" x14ac:dyDescent="0.2">
      <c r="A1212" s="45"/>
      <c r="B1212" s="46"/>
      <c r="C1212" s="46"/>
      <c r="D1212" s="46"/>
      <c r="E1212" s="46"/>
      <c r="F1212" s="46"/>
      <c r="G1212" s="46"/>
      <c r="H1212" s="46"/>
      <c r="I1212" s="46"/>
      <c r="J1212" s="46"/>
      <c r="K1212" s="46"/>
      <c r="L1212" s="46"/>
      <c r="M1212" s="46"/>
      <c r="N1212" s="46"/>
      <c r="O1212" s="46"/>
      <c r="P1212" s="46"/>
      <c r="Q1212" s="46"/>
      <c r="R1212" s="46"/>
      <c r="S1212" s="46"/>
      <c r="T1212" s="46"/>
      <c r="U1212" s="46"/>
      <c r="V1212" s="46"/>
      <c r="W1212" s="46"/>
      <c r="X1212" s="46"/>
    </row>
    <row r="1213" spans="1:24" ht="12.75" x14ac:dyDescent="0.2">
      <c r="A1213" s="45"/>
      <c r="B1213" s="46"/>
      <c r="C1213" s="46"/>
      <c r="D1213" s="46"/>
      <c r="E1213" s="46"/>
      <c r="F1213" s="46"/>
      <c r="G1213" s="46"/>
      <c r="H1213" s="46"/>
      <c r="I1213" s="46"/>
      <c r="J1213" s="46"/>
      <c r="K1213" s="46"/>
      <c r="L1213" s="46"/>
      <c r="M1213" s="46"/>
      <c r="N1213" s="46"/>
      <c r="O1213" s="46"/>
      <c r="P1213" s="46"/>
      <c r="Q1213" s="46"/>
      <c r="R1213" s="46"/>
      <c r="S1213" s="46"/>
      <c r="T1213" s="46"/>
      <c r="U1213" s="46"/>
      <c r="V1213" s="46"/>
      <c r="W1213" s="46"/>
      <c r="X1213" s="46"/>
    </row>
    <row r="1214" spans="1:24" ht="12.75" x14ac:dyDescent="0.2">
      <c r="A1214" s="45"/>
      <c r="B1214" s="46"/>
      <c r="C1214" s="46"/>
      <c r="D1214" s="46"/>
      <c r="E1214" s="46"/>
      <c r="F1214" s="46"/>
      <c r="G1214" s="46"/>
      <c r="H1214" s="46"/>
      <c r="I1214" s="46"/>
      <c r="J1214" s="46"/>
      <c r="K1214" s="46"/>
      <c r="L1214" s="46"/>
      <c r="M1214" s="46"/>
      <c r="N1214" s="46"/>
      <c r="O1214" s="46"/>
      <c r="P1214" s="46"/>
      <c r="Q1214" s="46"/>
      <c r="R1214" s="46"/>
      <c r="S1214" s="46"/>
      <c r="T1214" s="46"/>
      <c r="U1214" s="46"/>
      <c r="V1214" s="46"/>
      <c r="W1214" s="46"/>
      <c r="X1214" s="46"/>
    </row>
    <row r="1215" spans="1:24" ht="12.75" x14ac:dyDescent="0.2">
      <c r="A1215" s="45"/>
      <c r="B1215" s="46"/>
      <c r="C1215" s="46"/>
      <c r="D1215" s="46"/>
      <c r="E1215" s="46"/>
      <c r="F1215" s="46"/>
      <c r="G1215" s="46"/>
      <c r="H1215" s="46"/>
      <c r="I1215" s="46"/>
      <c r="J1215" s="46"/>
      <c r="K1215" s="46"/>
      <c r="L1215" s="46"/>
      <c r="M1215" s="46"/>
      <c r="N1215" s="46"/>
      <c r="O1215" s="46"/>
      <c r="P1215" s="46"/>
      <c r="Q1215" s="46"/>
      <c r="R1215" s="46"/>
      <c r="S1215" s="46"/>
      <c r="T1215" s="46"/>
      <c r="U1215" s="46"/>
      <c r="V1215" s="46"/>
      <c r="W1215" s="46"/>
      <c r="X1215" s="46"/>
    </row>
    <row r="1216" spans="1:24" ht="12.75" x14ac:dyDescent="0.2">
      <c r="A1216" s="45"/>
      <c r="B1216" s="46"/>
      <c r="C1216" s="46"/>
      <c r="D1216" s="46"/>
      <c r="E1216" s="46"/>
      <c r="F1216" s="46"/>
      <c r="G1216" s="46"/>
      <c r="H1216" s="46"/>
      <c r="I1216" s="46"/>
      <c r="J1216" s="46"/>
      <c r="K1216" s="46"/>
      <c r="L1216" s="46"/>
      <c r="M1216" s="46"/>
      <c r="N1216" s="46"/>
      <c r="O1216" s="46"/>
      <c r="P1216" s="46"/>
      <c r="Q1216" s="46"/>
      <c r="R1216" s="46"/>
      <c r="S1216" s="46"/>
      <c r="T1216" s="46"/>
      <c r="U1216" s="46"/>
      <c r="V1216" s="46"/>
      <c r="W1216" s="46"/>
      <c r="X1216" s="46"/>
    </row>
    <row r="1217" spans="1:24" ht="12.75" x14ac:dyDescent="0.2">
      <c r="A1217" s="45"/>
      <c r="B1217" s="46"/>
      <c r="C1217" s="46"/>
      <c r="D1217" s="46"/>
      <c r="E1217" s="46"/>
      <c r="F1217" s="46"/>
      <c r="G1217" s="46"/>
      <c r="H1217" s="46"/>
      <c r="I1217" s="46"/>
      <c r="J1217" s="46"/>
      <c r="K1217" s="46"/>
      <c r="L1217" s="46"/>
      <c r="M1217" s="46"/>
      <c r="N1217" s="46"/>
      <c r="O1217" s="46"/>
      <c r="P1217" s="46"/>
      <c r="Q1217" s="46"/>
      <c r="R1217" s="46"/>
      <c r="S1217" s="46"/>
      <c r="T1217" s="46"/>
      <c r="U1217" s="46"/>
      <c r="V1217" s="46"/>
      <c r="W1217" s="46"/>
      <c r="X1217" s="46"/>
    </row>
    <row r="1218" spans="1:24" ht="12.75" x14ac:dyDescent="0.2">
      <c r="A1218" s="45"/>
      <c r="B1218" s="46"/>
      <c r="C1218" s="46"/>
      <c r="D1218" s="46"/>
      <c r="E1218" s="46"/>
      <c r="F1218" s="46"/>
      <c r="G1218" s="46"/>
      <c r="H1218" s="46"/>
      <c r="I1218" s="46"/>
      <c r="J1218" s="46"/>
      <c r="K1218" s="46"/>
      <c r="L1218" s="46"/>
      <c r="M1218" s="46"/>
      <c r="N1218" s="46"/>
      <c r="O1218" s="46"/>
      <c r="P1218" s="46"/>
      <c r="Q1218" s="46"/>
      <c r="R1218" s="46"/>
      <c r="S1218" s="46"/>
      <c r="T1218" s="46"/>
      <c r="U1218" s="46"/>
      <c r="V1218" s="46"/>
      <c r="W1218" s="46"/>
      <c r="X1218" s="46"/>
    </row>
    <row r="1219" spans="1:24" ht="12.75" x14ac:dyDescent="0.2">
      <c r="A1219" s="45"/>
      <c r="B1219" s="46"/>
      <c r="C1219" s="46"/>
      <c r="D1219" s="46"/>
      <c r="E1219" s="46"/>
      <c r="F1219" s="46"/>
      <c r="G1219" s="46"/>
      <c r="H1219" s="46"/>
      <c r="I1219" s="46"/>
      <c r="J1219" s="46"/>
      <c r="K1219" s="46"/>
      <c r="L1219" s="46"/>
      <c r="M1219" s="46"/>
      <c r="N1219" s="46"/>
      <c r="O1219" s="46"/>
      <c r="P1219" s="46"/>
      <c r="Q1219" s="46"/>
      <c r="R1219" s="46"/>
      <c r="S1219" s="46"/>
      <c r="T1219" s="46"/>
      <c r="U1219" s="46"/>
      <c r="V1219" s="46"/>
      <c r="W1219" s="46"/>
      <c r="X1219" s="46"/>
    </row>
    <row r="1220" spans="1:24" ht="12.75" x14ac:dyDescent="0.2">
      <c r="A1220" s="45"/>
      <c r="B1220" s="46"/>
      <c r="C1220" s="46"/>
      <c r="D1220" s="46"/>
      <c r="E1220" s="46"/>
      <c r="F1220" s="46"/>
      <c r="G1220" s="46"/>
      <c r="H1220" s="46"/>
      <c r="I1220" s="46"/>
      <c r="J1220" s="46"/>
      <c r="K1220" s="46"/>
      <c r="L1220" s="46"/>
      <c r="M1220" s="46"/>
      <c r="N1220" s="46"/>
      <c r="O1220" s="46"/>
      <c r="P1220" s="46"/>
      <c r="Q1220" s="46"/>
      <c r="R1220" s="46"/>
      <c r="S1220" s="46"/>
      <c r="T1220" s="46"/>
      <c r="U1220" s="46"/>
      <c r="V1220" s="46"/>
      <c r="W1220" s="46"/>
      <c r="X1220" s="46"/>
    </row>
    <row r="1221" spans="1:24" ht="12.75" x14ac:dyDescent="0.2">
      <c r="A1221" s="45"/>
      <c r="B1221" s="46"/>
      <c r="C1221" s="46"/>
      <c r="D1221" s="46"/>
      <c r="E1221" s="46"/>
      <c r="F1221" s="46"/>
      <c r="G1221" s="46"/>
      <c r="H1221" s="46"/>
      <c r="I1221" s="46"/>
      <c r="J1221" s="46"/>
      <c r="K1221" s="46"/>
      <c r="L1221" s="46"/>
      <c r="M1221" s="46"/>
      <c r="N1221" s="46"/>
      <c r="O1221" s="46"/>
      <c r="P1221" s="46"/>
      <c r="Q1221" s="46"/>
      <c r="R1221" s="46"/>
      <c r="S1221" s="46"/>
      <c r="T1221" s="46"/>
      <c r="U1221" s="46"/>
      <c r="V1221" s="46"/>
      <c r="W1221" s="46"/>
      <c r="X1221" s="46"/>
    </row>
    <row r="1222" spans="1:24" ht="12.75" x14ac:dyDescent="0.2">
      <c r="A1222" s="45"/>
      <c r="B1222" s="46"/>
      <c r="C1222" s="46"/>
      <c r="D1222" s="46"/>
      <c r="E1222" s="46"/>
      <c r="F1222" s="46"/>
      <c r="G1222" s="46"/>
      <c r="H1222" s="46"/>
      <c r="I1222" s="46"/>
      <c r="J1222" s="46"/>
      <c r="K1222" s="46"/>
      <c r="L1222" s="46"/>
      <c r="M1222" s="46"/>
      <c r="N1222" s="46"/>
      <c r="O1222" s="46"/>
      <c r="P1222" s="46"/>
      <c r="Q1222" s="46"/>
      <c r="R1222" s="46"/>
      <c r="S1222" s="46"/>
      <c r="T1222" s="46"/>
      <c r="U1222" s="46"/>
      <c r="V1222" s="46"/>
      <c r="W1222" s="46"/>
      <c r="X1222" s="46"/>
    </row>
    <row r="1223" spans="1:24" ht="12.75" x14ac:dyDescent="0.2">
      <c r="A1223" s="45"/>
      <c r="B1223" s="46"/>
      <c r="C1223" s="46"/>
      <c r="D1223" s="46"/>
      <c r="E1223" s="46"/>
      <c r="F1223" s="46"/>
      <c r="G1223" s="46"/>
      <c r="H1223" s="46"/>
      <c r="I1223" s="46"/>
      <c r="J1223" s="46"/>
      <c r="K1223" s="46"/>
      <c r="L1223" s="46"/>
      <c r="M1223" s="46"/>
      <c r="N1223" s="46"/>
      <c r="O1223" s="46"/>
      <c r="P1223" s="46"/>
      <c r="Q1223" s="46"/>
      <c r="R1223" s="46"/>
      <c r="S1223" s="46"/>
      <c r="T1223" s="46"/>
      <c r="U1223" s="46"/>
      <c r="V1223" s="46"/>
      <c r="W1223" s="46"/>
      <c r="X1223" s="46"/>
    </row>
    <row r="1224" spans="1:24" ht="12.75" x14ac:dyDescent="0.2">
      <c r="A1224" s="45"/>
      <c r="B1224" s="46"/>
      <c r="C1224" s="46"/>
      <c r="D1224" s="46"/>
      <c r="E1224" s="46"/>
      <c r="F1224" s="46"/>
      <c r="G1224" s="46"/>
      <c r="H1224" s="46"/>
      <c r="I1224" s="46"/>
      <c r="J1224" s="46"/>
      <c r="K1224" s="46"/>
      <c r="L1224" s="46"/>
      <c r="M1224" s="46"/>
      <c r="N1224" s="46"/>
      <c r="O1224" s="46"/>
      <c r="P1224" s="46"/>
      <c r="Q1224" s="46"/>
      <c r="R1224" s="46"/>
      <c r="S1224" s="46"/>
      <c r="T1224" s="46"/>
      <c r="U1224" s="46"/>
      <c r="V1224" s="46"/>
      <c r="W1224" s="46"/>
      <c r="X1224" s="46"/>
    </row>
    <row r="1225" spans="1:24" ht="12.75" x14ac:dyDescent="0.2">
      <c r="A1225" s="45"/>
      <c r="B1225" s="46"/>
      <c r="C1225" s="46"/>
      <c r="D1225" s="46"/>
      <c r="E1225" s="46"/>
      <c r="F1225" s="46"/>
      <c r="G1225" s="46"/>
      <c r="H1225" s="46"/>
      <c r="I1225" s="46"/>
      <c r="J1225" s="46"/>
      <c r="K1225" s="46"/>
      <c r="L1225" s="46"/>
      <c r="M1225" s="46"/>
      <c r="N1225" s="46"/>
      <c r="O1225" s="46"/>
      <c r="P1225" s="46"/>
      <c r="Q1225" s="46"/>
      <c r="R1225" s="46"/>
      <c r="S1225" s="46"/>
      <c r="T1225" s="46"/>
      <c r="U1225" s="46"/>
      <c r="V1225" s="46"/>
      <c r="W1225" s="46"/>
      <c r="X1225" s="46"/>
    </row>
    <row r="1226" spans="1:24" ht="12.75" x14ac:dyDescent="0.2">
      <c r="A1226" s="45"/>
      <c r="B1226" s="46"/>
      <c r="C1226" s="46"/>
      <c r="D1226" s="46"/>
      <c r="E1226" s="46"/>
      <c r="F1226" s="46"/>
      <c r="G1226" s="46"/>
      <c r="H1226" s="46"/>
      <c r="I1226" s="46"/>
      <c r="J1226" s="46"/>
      <c r="K1226" s="46"/>
      <c r="L1226" s="46"/>
      <c r="M1226" s="46"/>
      <c r="N1226" s="46"/>
      <c r="O1226" s="46"/>
      <c r="P1226" s="46"/>
      <c r="Q1226" s="46"/>
      <c r="R1226" s="46"/>
      <c r="S1226" s="46"/>
      <c r="T1226" s="46"/>
      <c r="U1226" s="46"/>
      <c r="V1226" s="46"/>
      <c r="W1226" s="46"/>
      <c r="X1226" s="46"/>
    </row>
    <row r="1227" spans="1:24" ht="12.75" x14ac:dyDescent="0.2">
      <c r="A1227" s="45"/>
      <c r="B1227" s="46"/>
      <c r="C1227" s="46"/>
      <c r="D1227" s="46"/>
      <c r="E1227" s="46"/>
      <c r="F1227" s="46"/>
      <c r="G1227" s="46"/>
      <c r="H1227" s="46"/>
      <c r="I1227" s="46"/>
      <c r="J1227" s="46"/>
      <c r="K1227" s="46"/>
      <c r="L1227" s="46"/>
      <c r="M1227" s="46"/>
      <c r="N1227" s="46"/>
      <c r="O1227" s="46"/>
      <c r="P1227" s="46"/>
      <c r="Q1227" s="46"/>
      <c r="R1227" s="46"/>
      <c r="S1227" s="46"/>
      <c r="T1227" s="46"/>
      <c r="U1227" s="46"/>
      <c r="V1227" s="46"/>
      <c r="W1227" s="46"/>
      <c r="X1227" s="46"/>
    </row>
    <row r="1228" spans="1:24" ht="12.75" x14ac:dyDescent="0.2">
      <c r="A1228" s="45"/>
      <c r="B1228" s="46"/>
      <c r="C1228" s="46"/>
      <c r="D1228" s="46"/>
      <c r="E1228" s="46"/>
      <c r="F1228" s="46"/>
      <c r="G1228" s="46"/>
      <c r="H1228" s="46"/>
      <c r="I1228" s="46"/>
      <c r="J1228" s="46"/>
      <c r="K1228" s="46"/>
      <c r="L1228" s="46"/>
      <c r="M1228" s="46"/>
      <c r="N1228" s="46"/>
      <c r="O1228" s="46"/>
      <c r="P1228" s="46"/>
      <c r="Q1228" s="46"/>
      <c r="R1228" s="46"/>
      <c r="S1228" s="46"/>
      <c r="T1228" s="46"/>
      <c r="U1228" s="46"/>
      <c r="V1228" s="46"/>
      <c r="W1228" s="46"/>
      <c r="X1228" s="46"/>
    </row>
    <row r="1229" spans="1:24" ht="12.75" x14ac:dyDescent="0.2">
      <c r="A1229" s="45"/>
      <c r="B1229" s="46"/>
      <c r="C1229" s="46"/>
      <c r="D1229" s="46"/>
      <c r="E1229" s="46"/>
      <c r="F1229" s="46"/>
      <c r="G1229" s="46"/>
      <c r="H1229" s="46"/>
      <c r="I1229" s="46"/>
      <c r="J1229" s="46"/>
      <c r="K1229" s="46"/>
      <c r="L1229" s="46"/>
      <c r="M1229" s="46"/>
      <c r="N1229" s="46"/>
      <c r="O1229" s="46"/>
      <c r="P1229" s="46"/>
      <c r="Q1229" s="46"/>
      <c r="R1229" s="46"/>
      <c r="S1229" s="46"/>
      <c r="T1229" s="46"/>
      <c r="U1229" s="46"/>
      <c r="V1229" s="46"/>
      <c r="W1229" s="46"/>
      <c r="X1229" s="46"/>
    </row>
    <row r="1230" spans="1:24" ht="12.75" x14ac:dyDescent="0.2">
      <c r="A1230" s="45"/>
      <c r="B1230" s="46"/>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46"/>
    </row>
    <row r="1231" spans="1:24" ht="12.75" x14ac:dyDescent="0.2">
      <c r="A1231" s="45"/>
      <c r="B1231" s="46"/>
      <c r="C1231" s="46"/>
      <c r="D1231" s="46"/>
      <c r="E1231" s="46"/>
      <c r="F1231" s="46"/>
      <c r="G1231" s="46"/>
      <c r="H1231" s="46"/>
      <c r="I1231" s="46"/>
      <c r="J1231" s="46"/>
      <c r="K1231" s="46"/>
      <c r="L1231" s="46"/>
      <c r="M1231" s="46"/>
      <c r="N1231" s="46"/>
      <c r="O1231" s="46"/>
      <c r="P1231" s="46"/>
      <c r="Q1231" s="46"/>
      <c r="R1231" s="46"/>
      <c r="S1231" s="46"/>
      <c r="T1231" s="46"/>
      <c r="U1231" s="46"/>
      <c r="V1231" s="46"/>
      <c r="W1231" s="46"/>
      <c r="X1231" s="46"/>
    </row>
    <row r="1232" spans="1:24" ht="12.75" x14ac:dyDescent="0.2">
      <c r="A1232" s="45"/>
      <c r="B1232" s="46"/>
      <c r="C1232" s="46"/>
      <c r="D1232" s="46"/>
      <c r="E1232" s="46"/>
      <c r="F1232" s="46"/>
      <c r="G1232" s="46"/>
      <c r="H1232" s="46"/>
      <c r="I1232" s="46"/>
      <c r="J1232" s="46"/>
      <c r="K1232" s="46"/>
      <c r="L1232" s="46"/>
      <c r="M1232" s="46"/>
      <c r="N1232" s="46"/>
      <c r="O1232" s="46"/>
      <c r="P1232" s="46"/>
      <c r="Q1232" s="46"/>
      <c r="R1232" s="46"/>
      <c r="S1232" s="46"/>
      <c r="T1232" s="46"/>
      <c r="U1232" s="46"/>
      <c r="V1232" s="46"/>
      <c r="W1232" s="46"/>
      <c r="X1232" s="46"/>
    </row>
    <row r="1233" spans="1:24" ht="12.75" x14ac:dyDescent="0.2">
      <c r="A1233" s="45"/>
      <c r="B1233" s="46"/>
      <c r="C1233" s="46"/>
      <c r="D1233" s="46"/>
      <c r="E1233" s="46"/>
      <c r="F1233" s="46"/>
      <c r="G1233" s="46"/>
      <c r="H1233" s="46"/>
      <c r="I1233" s="46"/>
      <c r="J1233" s="46"/>
      <c r="K1233" s="46"/>
      <c r="L1233" s="46"/>
      <c r="M1233" s="46"/>
      <c r="N1233" s="46"/>
      <c r="O1233" s="46"/>
      <c r="P1233" s="46"/>
      <c r="Q1233" s="46"/>
      <c r="R1233" s="46"/>
      <c r="S1233" s="46"/>
      <c r="T1233" s="46"/>
      <c r="U1233" s="46"/>
      <c r="V1233" s="46"/>
      <c r="W1233" s="46"/>
      <c r="X1233" s="46"/>
    </row>
    <row r="1234" spans="1:24" ht="12.75" x14ac:dyDescent="0.2">
      <c r="A1234" s="45"/>
      <c r="B1234" s="46"/>
      <c r="C1234" s="46"/>
      <c r="D1234" s="46"/>
      <c r="E1234" s="46"/>
      <c r="F1234" s="46"/>
      <c r="G1234" s="46"/>
      <c r="H1234" s="46"/>
      <c r="I1234" s="46"/>
      <c r="J1234" s="46"/>
      <c r="K1234" s="46"/>
      <c r="L1234" s="46"/>
      <c r="M1234" s="46"/>
      <c r="N1234" s="46"/>
      <c r="O1234" s="46"/>
      <c r="P1234" s="46"/>
      <c r="Q1234" s="46"/>
      <c r="R1234" s="46"/>
      <c r="S1234" s="46"/>
      <c r="T1234" s="46"/>
      <c r="U1234" s="46"/>
      <c r="V1234" s="46"/>
      <c r="W1234" s="46"/>
      <c r="X1234" s="46"/>
    </row>
    <row r="1235" spans="1:24" ht="12.75" x14ac:dyDescent="0.2">
      <c r="A1235" s="45"/>
      <c r="B1235" s="46"/>
      <c r="C1235" s="46"/>
      <c r="D1235" s="46"/>
      <c r="E1235" s="46"/>
      <c r="F1235" s="46"/>
      <c r="G1235" s="46"/>
      <c r="H1235" s="46"/>
      <c r="I1235" s="46"/>
      <c r="J1235" s="46"/>
      <c r="K1235" s="46"/>
      <c r="L1235" s="46"/>
      <c r="M1235" s="46"/>
      <c r="N1235" s="46"/>
      <c r="O1235" s="46"/>
      <c r="P1235" s="46"/>
      <c r="Q1235" s="46"/>
      <c r="R1235" s="46"/>
      <c r="S1235" s="46"/>
      <c r="T1235" s="46"/>
      <c r="U1235" s="46"/>
      <c r="V1235" s="46"/>
      <c r="W1235" s="46"/>
      <c r="X1235" s="46"/>
    </row>
    <row r="1236" spans="1:24" ht="12.75" x14ac:dyDescent="0.2">
      <c r="A1236" s="45"/>
      <c r="B1236" s="46"/>
      <c r="C1236" s="46"/>
      <c r="D1236" s="46"/>
      <c r="E1236" s="46"/>
      <c r="F1236" s="46"/>
      <c r="G1236" s="46"/>
      <c r="H1236" s="46"/>
      <c r="I1236" s="46"/>
      <c r="J1236" s="46"/>
      <c r="K1236" s="46"/>
      <c r="L1236" s="46"/>
      <c r="M1236" s="46"/>
      <c r="N1236" s="46"/>
      <c r="O1236" s="46"/>
      <c r="P1236" s="46"/>
      <c r="Q1236" s="46"/>
      <c r="R1236" s="46"/>
      <c r="S1236" s="46"/>
      <c r="T1236" s="46"/>
      <c r="U1236" s="46"/>
      <c r="V1236" s="46"/>
      <c r="W1236" s="46"/>
      <c r="X1236" s="46"/>
    </row>
    <row r="1237" spans="1:24" ht="12.75" x14ac:dyDescent="0.2">
      <c r="A1237" s="45"/>
      <c r="B1237" s="46"/>
      <c r="C1237" s="46"/>
      <c r="D1237" s="46"/>
      <c r="E1237" s="46"/>
      <c r="F1237" s="46"/>
      <c r="G1237" s="46"/>
      <c r="H1237" s="46"/>
      <c r="I1237" s="46"/>
      <c r="J1237" s="46"/>
      <c r="K1237" s="46"/>
      <c r="L1237" s="46"/>
      <c r="M1237" s="46"/>
      <c r="N1237" s="46"/>
      <c r="O1237" s="46"/>
      <c r="P1237" s="46"/>
      <c r="Q1237" s="46"/>
      <c r="R1237" s="46"/>
      <c r="S1237" s="46"/>
      <c r="T1237" s="46"/>
      <c r="U1237" s="46"/>
      <c r="V1237" s="46"/>
      <c r="W1237" s="46"/>
      <c r="X1237" s="46"/>
    </row>
    <row r="1238" spans="1:24" ht="12.75" x14ac:dyDescent="0.2">
      <c r="A1238" s="45"/>
      <c r="B1238" s="46"/>
      <c r="C1238" s="46"/>
      <c r="D1238" s="46"/>
      <c r="E1238" s="46"/>
      <c r="F1238" s="46"/>
      <c r="G1238" s="46"/>
      <c r="H1238" s="46"/>
      <c r="I1238" s="46"/>
      <c r="J1238" s="46"/>
      <c r="K1238" s="46"/>
      <c r="L1238" s="46"/>
      <c r="M1238" s="46"/>
      <c r="N1238" s="46"/>
      <c r="O1238" s="46"/>
      <c r="P1238" s="46"/>
      <c r="Q1238" s="46"/>
      <c r="R1238" s="46"/>
      <c r="S1238" s="46"/>
      <c r="T1238" s="46"/>
      <c r="U1238" s="46"/>
      <c r="V1238" s="46"/>
      <c r="W1238" s="46"/>
      <c r="X1238" s="46"/>
    </row>
    <row r="1239" spans="1:24" ht="12.75" x14ac:dyDescent="0.2">
      <c r="A1239" s="45"/>
      <c r="B1239" s="46"/>
      <c r="C1239" s="46"/>
      <c r="D1239" s="46"/>
      <c r="E1239" s="46"/>
      <c r="F1239" s="46"/>
      <c r="G1239" s="46"/>
      <c r="H1239" s="46"/>
      <c r="I1239" s="46"/>
      <c r="J1239" s="46"/>
      <c r="K1239" s="46"/>
      <c r="L1239" s="46"/>
      <c r="M1239" s="46"/>
      <c r="N1239" s="46"/>
      <c r="O1239" s="46"/>
      <c r="P1239" s="46"/>
      <c r="Q1239" s="46"/>
      <c r="R1239" s="46"/>
      <c r="S1239" s="46"/>
      <c r="T1239" s="46"/>
      <c r="U1239" s="46"/>
      <c r="V1239" s="46"/>
      <c r="W1239" s="46"/>
      <c r="X1239" s="46"/>
    </row>
    <row r="1240" spans="1:24" ht="12.75" x14ac:dyDescent="0.2">
      <c r="A1240" s="45"/>
      <c r="B1240" s="46"/>
      <c r="C1240" s="46"/>
      <c r="D1240" s="46"/>
      <c r="E1240" s="46"/>
      <c r="F1240" s="46"/>
      <c r="G1240" s="46"/>
      <c r="H1240" s="46"/>
      <c r="I1240" s="46"/>
      <c r="J1240" s="46"/>
      <c r="K1240" s="46"/>
      <c r="L1240" s="46"/>
      <c r="M1240" s="46"/>
      <c r="N1240" s="46"/>
      <c r="O1240" s="46"/>
      <c r="P1240" s="46"/>
      <c r="Q1240" s="46"/>
      <c r="R1240" s="46"/>
      <c r="S1240" s="46"/>
      <c r="T1240" s="46"/>
      <c r="U1240" s="46"/>
      <c r="V1240" s="46"/>
      <c r="W1240" s="46"/>
      <c r="X1240" s="46"/>
    </row>
    <row r="1241" spans="1:24" ht="12.75" x14ac:dyDescent="0.2">
      <c r="A1241" s="45"/>
      <c r="B1241" s="46"/>
      <c r="C1241" s="46"/>
      <c r="D1241" s="46"/>
      <c r="E1241" s="46"/>
      <c r="F1241" s="46"/>
      <c r="G1241" s="46"/>
      <c r="H1241" s="46"/>
      <c r="I1241" s="46"/>
      <c r="J1241" s="46"/>
      <c r="K1241" s="46"/>
      <c r="L1241" s="46"/>
      <c r="M1241" s="46"/>
      <c r="N1241" s="46"/>
      <c r="O1241" s="46"/>
      <c r="P1241" s="46"/>
      <c r="Q1241" s="46"/>
      <c r="R1241" s="46"/>
      <c r="S1241" s="46"/>
      <c r="T1241" s="46"/>
      <c r="U1241" s="46"/>
      <c r="V1241" s="46"/>
      <c r="W1241" s="46"/>
      <c r="X1241" s="46"/>
    </row>
    <row r="1242" spans="1:24" ht="12.75" x14ac:dyDescent="0.2">
      <c r="A1242" s="45"/>
      <c r="B1242" s="46"/>
      <c r="C1242" s="46"/>
      <c r="D1242" s="46"/>
      <c r="E1242" s="46"/>
      <c r="F1242" s="46"/>
      <c r="G1242" s="46"/>
      <c r="H1242" s="46"/>
      <c r="I1242" s="46"/>
      <c r="J1242" s="46"/>
      <c r="K1242" s="46"/>
      <c r="L1242" s="46"/>
      <c r="M1242" s="46"/>
      <c r="N1242" s="46"/>
      <c r="O1242" s="46"/>
      <c r="P1242" s="46"/>
      <c r="Q1242" s="46"/>
      <c r="R1242" s="46"/>
      <c r="S1242" s="46"/>
      <c r="T1242" s="46"/>
      <c r="U1242" s="46"/>
      <c r="V1242" s="46"/>
      <c r="W1242" s="46"/>
      <c r="X1242" s="46"/>
    </row>
    <row r="1243" spans="1:24" ht="12.75" x14ac:dyDescent="0.2">
      <c r="A1243" s="45"/>
      <c r="B1243" s="46"/>
      <c r="C1243" s="46"/>
      <c r="D1243" s="46"/>
      <c r="E1243" s="46"/>
      <c r="F1243" s="46"/>
      <c r="G1243" s="46"/>
      <c r="H1243" s="46"/>
      <c r="I1243" s="46"/>
      <c r="J1243" s="46"/>
      <c r="K1243" s="46"/>
      <c r="L1243" s="46"/>
      <c r="M1243" s="46"/>
      <c r="N1243" s="46"/>
      <c r="O1243" s="46"/>
      <c r="P1243" s="46"/>
      <c r="Q1243" s="46"/>
      <c r="R1243" s="46"/>
      <c r="S1243" s="46"/>
      <c r="T1243" s="46"/>
      <c r="U1243" s="46"/>
      <c r="V1243" s="46"/>
      <c r="W1243" s="46"/>
      <c r="X1243" s="46"/>
    </row>
    <row r="1244" spans="1:24" ht="12.75" x14ac:dyDescent="0.2">
      <c r="A1244" s="45"/>
      <c r="B1244" s="46"/>
      <c r="C1244" s="46"/>
      <c r="D1244" s="46"/>
      <c r="E1244" s="46"/>
      <c r="F1244" s="46"/>
      <c r="G1244" s="46"/>
      <c r="H1244" s="46"/>
      <c r="I1244" s="46"/>
      <c r="J1244" s="46"/>
      <c r="K1244" s="46"/>
      <c r="L1244" s="46"/>
      <c r="M1244" s="46"/>
      <c r="N1244" s="46"/>
      <c r="O1244" s="46"/>
      <c r="P1244" s="46"/>
      <c r="Q1244" s="46"/>
      <c r="R1244" s="46"/>
      <c r="S1244" s="46"/>
      <c r="T1244" s="46"/>
      <c r="U1244" s="46"/>
      <c r="V1244" s="46"/>
      <c r="W1244" s="46"/>
      <c r="X1244" s="46"/>
    </row>
    <row r="1245" spans="1:24" ht="12.75" x14ac:dyDescent="0.2">
      <c r="A1245" s="45"/>
      <c r="B1245" s="46"/>
      <c r="C1245" s="46"/>
      <c r="D1245" s="46"/>
      <c r="E1245" s="46"/>
      <c r="F1245" s="46"/>
      <c r="G1245" s="46"/>
      <c r="H1245" s="46"/>
      <c r="I1245" s="46"/>
      <c r="J1245" s="46"/>
      <c r="K1245" s="46"/>
      <c r="L1245" s="46"/>
      <c r="M1245" s="46"/>
      <c r="N1245" s="46"/>
      <c r="O1245" s="46"/>
      <c r="P1245" s="46"/>
      <c r="Q1245" s="46"/>
      <c r="R1245" s="46"/>
      <c r="S1245" s="46"/>
      <c r="T1245" s="46"/>
      <c r="U1245" s="46"/>
      <c r="V1245" s="46"/>
      <c r="W1245" s="46"/>
      <c r="X1245" s="46"/>
    </row>
    <row r="1246" spans="1:24" ht="12.75" x14ac:dyDescent="0.2">
      <c r="A1246" s="45"/>
      <c r="B1246" s="46"/>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row>
    <row r="1247" spans="1:24" ht="12.75" x14ac:dyDescent="0.2">
      <c r="A1247" s="45"/>
      <c r="B1247" s="46"/>
      <c r="C1247" s="46"/>
      <c r="D1247" s="46"/>
      <c r="E1247" s="46"/>
      <c r="F1247" s="46"/>
      <c r="G1247" s="46"/>
      <c r="H1247" s="46"/>
      <c r="I1247" s="46"/>
      <c r="J1247" s="46"/>
      <c r="K1247" s="46"/>
      <c r="L1247" s="46"/>
      <c r="M1247" s="46"/>
      <c r="N1247" s="46"/>
      <c r="O1247" s="46"/>
      <c r="P1247" s="46"/>
      <c r="Q1247" s="46"/>
      <c r="R1247" s="46"/>
      <c r="S1247" s="46"/>
      <c r="T1247" s="46"/>
      <c r="U1247" s="46"/>
      <c r="V1247" s="46"/>
      <c r="W1247" s="46"/>
      <c r="X1247" s="46"/>
    </row>
    <row r="1248" spans="1:24" ht="12.75" x14ac:dyDescent="0.2">
      <c r="A1248" s="45"/>
      <c r="B1248" s="46"/>
      <c r="C1248" s="46"/>
      <c r="D1248" s="46"/>
      <c r="E1248" s="46"/>
      <c r="F1248" s="46"/>
      <c r="G1248" s="46"/>
      <c r="H1248" s="46"/>
      <c r="I1248" s="46"/>
      <c r="J1248" s="46"/>
      <c r="K1248" s="46"/>
      <c r="L1248" s="46"/>
      <c r="M1248" s="46"/>
      <c r="N1248" s="46"/>
      <c r="O1248" s="46"/>
      <c r="P1248" s="46"/>
      <c r="Q1248" s="46"/>
      <c r="R1248" s="46"/>
      <c r="S1248" s="46"/>
      <c r="T1248" s="46"/>
      <c r="U1248" s="46"/>
      <c r="V1248" s="46"/>
      <c r="W1248" s="46"/>
      <c r="X1248" s="46"/>
    </row>
    <row r="1249" spans="1:24" ht="12.75" x14ac:dyDescent="0.2">
      <c r="A1249" s="45"/>
      <c r="B1249" s="46"/>
      <c r="C1249" s="46"/>
      <c r="D1249" s="46"/>
      <c r="E1249" s="46"/>
      <c r="F1249" s="46"/>
      <c r="G1249" s="46"/>
      <c r="H1249" s="46"/>
      <c r="I1249" s="46"/>
      <c r="J1249" s="46"/>
      <c r="K1249" s="46"/>
      <c r="L1249" s="46"/>
      <c r="M1249" s="46"/>
      <c r="N1249" s="46"/>
      <c r="O1249" s="46"/>
      <c r="P1249" s="46"/>
      <c r="Q1249" s="46"/>
      <c r="R1249" s="46"/>
      <c r="S1249" s="46"/>
      <c r="T1249" s="46"/>
      <c r="U1249" s="46"/>
      <c r="V1249" s="46"/>
      <c r="W1249" s="46"/>
      <c r="X1249" s="46"/>
    </row>
    <row r="1250" spans="1:24" ht="12.75" x14ac:dyDescent="0.2">
      <c r="A1250" s="45"/>
      <c r="B1250" s="46"/>
      <c r="C1250" s="46"/>
      <c r="D1250" s="46"/>
      <c r="E1250" s="46"/>
      <c r="F1250" s="46"/>
      <c r="G1250" s="46"/>
      <c r="H1250" s="46"/>
      <c r="I1250" s="46"/>
      <c r="J1250" s="46"/>
      <c r="K1250" s="46"/>
      <c r="L1250" s="46"/>
      <c r="M1250" s="46"/>
      <c r="N1250" s="46"/>
      <c r="O1250" s="46"/>
      <c r="P1250" s="46"/>
      <c r="Q1250" s="46"/>
      <c r="R1250" s="46"/>
      <c r="S1250" s="46"/>
      <c r="T1250" s="46"/>
      <c r="U1250" s="46"/>
      <c r="V1250" s="46"/>
      <c r="W1250" s="46"/>
      <c r="X1250" s="46"/>
    </row>
    <row r="1251" spans="1:24" ht="12.75" x14ac:dyDescent="0.2">
      <c r="A1251" s="45"/>
      <c r="B1251" s="46"/>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46"/>
    </row>
    <row r="1252" spans="1:24" ht="12.75" x14ac:dyDescent="0.2">
      <c r="A1252" s="45"/>
      <c r="B1252" s="46"/>
      <c r="C1252" s="46"/>
      <c r="D1252" s="46"/>
      <c r="E1252" s="46"/>
      <c r="F1252" s="46"/>
      <c r="G1252" s="46"/>
      <c r="H1252" s="46"/>
      <c r="I1252" s="46"/>
      <c r="J1252" s="46"/>
      <c r="K1252" s="46"/>
      <c r="L1252" s="46"/>
      <c r="M1252" s="46"/>
      <c r="N1252" s="46"/>
      <c r="O1252" s="46"/>
      <c r="P1252" s="46"/>
      <c r="Q1252" s="46"/>
      <c r="R1252" s="46"/>
      <c r="S1252" s="46"/>
      <c r="T1252" s="46"/>
      <c r="U1252" s="46"/>
      <c r="V1252" s="46"/>
      <c r="W1252" s="46"/>
      <c r="X1252" s="46"/>
    </row>
    <row r="1253" spans="1:24" ht="12.75" x14ac:dyDescent="0.2">
      <c r="A1253" s="45"/>
      <c r="B1253" s="46"/>
      <c r="C1253" s="46"/>
      <c r="D1253" s="46"/>
      <c r="E1253" s="46"/>
      <c r="F1253" s="46"/>
      <c r="G1253" s="46"/>
      <c r="H1253" s="46"/>
      <c r="I1253" s="46"/>
      <c r="J1253" s="46"/>
      <c r="K1253" s="46"/>
      <c r="L1253" s="46"/>
      <c r="M1253" s="46"/>
      <c r="N1253" s="46"/>
      <c r="O1253" s="46"/>
      <c r="P1253" s="46"/>
      <c r="Q1253" s="46"/>
      <c r="R1253" s="46"/>
      <c r="S1253" s="46"/>
      <c r="T1253" s="46"/>
      <c r="U1253" s="46"/>
      <c r="V1253" s="46"/>
      <c r="W1253" s="46"/>
      <c r="X1253" s="46"/>
    </row>
    <row r="1254" spans="1:24" ht="12.75" x14ac:dyDescent="0.2">
      <c r="A1254" s="45"/>
      <c r="B1254" s="46"/>
      <c r="C1254" s="46"/>
      <c r="D1254" s="46"/>
      <c r="E1254" s="46"/>
      <c r="F1254" s="46"/>
      <c r="G1254" s="46"/>
      <c r="H1254" s="46"/>
      <c r="I1254" s="46"/>
      <c r="J1254" s="46"/>
      <c r="K1254" s="46"/>
      <c r="L1254" s="46"/>
      <c r="M1254" s="46"/>
      <c r="N1254" s="46"/>
      <c r="O1254" s="46"/>
      <c r="P1254" s="46"/>
      <c r="Q1254" s="46"/>
      <c r="R1254" s="46"/>
      <c r="S1254" s="46"/>
      <c r="T1254" s="46"/>
      <c r="U1254" s="46"/>
      <c r="V1254" s="46"/>
      <c r="W1254" s="46"/>
      <c r="X1254" s="46"/>
    </row>
    <row r="1255" spans="1:24" ht="12.75" x14ac:dyDescent="0.2">
      <c r="A1255" s="45"/>
      <c r="B1255" s="46"/>
      <c r="C1255" s="46"/>
      <c r="D1255" s="46"/>
      <c r="E1255" s="46"/>
      <c r="F1255" s="46"/>
      <c r="G1255" s="46"/>
      <c r="H1255" s="46"/>
      <c r="I1255" s="46"/>
      <c r="J1255" s="46"/>
      <c r="K1255" s="46"/>
      <c r="L1255" s="46"/>
      <c r="M1255" s="46"/>
      <c r="N1255" s="46"/>
      <c r="O1255" s="46"/>
      <c r="P1255" s="46"/>
      <c r="Q1255" s="46"/>
      <c r="R1255" s="46"/>
      <c r="S1255" s="46"/>
      <c r="T1255" s="46"/>
      <c r="U1255" s="46"/>
      <c r="V1255" s="46"/>
      <c r="W1255" s="46"/>
      <c r="X1255" s="46"/>
    </row>
    <row r="1256" spans="1:24" ht="12.75" x14ac:dyDescent="0.2">
      <c r="A1256" s="45"/>
      <c r="B1256" s="46"/>
      <c r="C1256" s="46"/>
      <c r="D1256" s="46"/>
      <c r="E1256" s="46"/>
      <c r="F1256" s="46"/>
      <c r="G1256" s="46"/>
      <c r="H1256" s="46"/>
      <c r="I1256" s="46"/>
      <c r="J1256" s="46"/>
      <c r="K1256" s="46"/>
      <c r="L1256" s="46"/>
      <c r="M1256" s="46"/>
      <c r="N1256" s="46"/>
      <c r="O1256" s="46"/>
      <c r="P1256" s="46"/>
      <c r="Q1256" s="46"/>
      <c r="R1256" s="46"/>
      <c r="S1256" s="46"/>
      <c r="T1256" s="46"/>
      <c r="U1256" s="46"/>
      <c r="V1256" s="46"/>
      <c r="W1256" s="46"/>
      <c r="X1256" s="46"/>
    </row>
    <row r="1257" spans="1:24" ht="12.75" x14ac:dyDescent="0.2">
      <c r="A1257" s="45"/>
      <c r="B1257" s="46"/>
      <c r="C1257" s="46"/>
      <c r="D1257" s="46"/>
      <c r="E1257" s="46"/>
      <c r="F1257" s="46"/>
      <c r="G1257" s="46"/>
      <c r="H1257" s="46"/>
      <c r="I1257" s="46"/>
      <c r="J1257" s="46"/>
      <c r="K1257" s="46"/>
      <c r="L1257" s="46"/>
      <c r="M1257" s="46"/>
      <c r="N1257" s="46"/>
      <c r="O1257" s="46"/>
      <c r="P1257" s="46"/>
      <c r="Q1257" s="46"/>
      <c r="R1257" s="46"/>
      <c r="S1257" s="46"/>
      <c r="T1257" s="46"/>
      <c r="U1257" s="46"/>
      <c r="V1257" s="46"/>
      <c r="W1257" s="46"/>
      <c r="X1257" s="46"/>
    </row>
    <row r="1258" spans="1:24" ht="12.75" x14ac:dyDescent="0.2">
      <c r="A1258" s="45"/>
      <c r="B1258" s="46"/>
      <c r="C1258" s="46"/>
      <c r="D1258" s="46"/>
      <c r="E1258" s="46"/>
      <c r="F1258" s="46"/>
      <c r="G1258" s="46"/>
      <c r="H1258" s="46"/>
      <c r="I1258" s="46"/>
      <c r="J1258" s="46"/>
      <c r="K1258" s="46"/>
      <c r="L1258" s="46"/>
      <c r="M1258" s="46"/>
      <c r="N1258" s="46"/>
      <c r="O1258" s="46"/>
      <c r="P1258" s="46"/>
      <c r="Q1258" s="46"/>
      <c r="R1258" s="46"/>
      <c r="S1258" s="46"/>
      <c r="T1258" s="46"/>
      <c r="U1258" s="46"/>
      <c r="V1258" s="46"/>
      <c r="W1258" s="46"/>
      <c r="X1258" s="46"/>
    </row>
    <row r="1259" spans="1:24" ht="12.75" x14ac:dyDescent="0.2">
      <c r="A1259" s="45"/>
      <c r="B1259" s="46"/>
      <c r="C1259" s="46"/>
      <c r="D1259" s="46"/>
      <c r="E1259" s="46"/>
      <c r="F1259" s="46"/>
      <c r="G1259" s="46"/>
      <c r="H1259" s="46"/>
      <c r="I1259" s="46"/>
      <c r="J1259" s="46"/>
      <c r="K1259" s="46"/>
      <c r="L1259" s="46"/>
      <c r="M1259" s="46"/>
      <c r="N1259" s="46"/>
      <c r="O1259" s="46"/>
      <c r="P1259" s="46"/>
      <c r="Q1259" s="46"/>
      <c r="R1259" s="46"/>
      <c r="S1259" s="46"/>
      <c r="T1259" s="46"/>
      <c r="U1259" s="46"/>
      <c r="V1259" s="46"/>
      <c r="W1259" s="46"/>
      <c r="X1259" s="46"/>
    </row>
    <row r="1260" spans="1:24" ht="12.75" x14ac:dyDescent="0.2">
      <c r="A1260" s="45"/>
      <c r="B1260" s="46"/>
      <c r="C1260" s="46"/>
      <c r="D1260" s="46"/>
      <c r="E1260" s="46"/>
      <c r="F1260" s="46"/>
      <c r="G1260" s="46"/>
      <c r="H1260" s="46"/>
      <c r="I1260" s="46"/>
      <c r="J1260" s="46"/>
      <c r="K1260" s="46"/>
      <c r="L1260" s="46"/>
      <c r="M1260" s="46"/>
      <c r="N1260" s="46"/>
      <c r="O1260" s="46"/>
      <c r="P1260" s="46"/>
      <c r="Q1260" s="46"/>
      <c r="R1260" s="46"/>
      <c r="S1260" s="46"/>
      <c r="T1260" s="46"/>
      <c r="U1260" s="46"/>
      <c r="V1260" s="46"/>
      <c r="W1260" s="46"/>
      <c r="X1260" s="46"/>
    </row>
    <row r="1261" spans="1:24" ht="12.75" x14ac:dyDescent="0.2">
      <c r="A1261" s="45"/>
      <c r="B1261" s="46"/>
      <c r="C1261" s="46"/>
      <c r="D1261" s="46"/>
      <c r="E1261" s="46"/>
      <c r="F1261" s="46"/>
      <c r="G1261" s="46"/>
      <c r="H1261" s="46"/>
      <c r="I1261" s="46"/>
      <c r="J1261" s="46"/>
      <c r="K1261" s="46"/>
      <c r="L1261" s="46"/>
      <c r="M1261" s="46"/>
      <c r="N1261" s="46"/>
      <c r="O1261" s="46"/>
      <c r="P1261" s="46"/>
      <c r="Q1261" s="46"/>
      <c r="R1261" s="46"/>
      <c r="S1261" s="46"/>
      <c r="T1261" s="46"/>
      <c r="U1261" s="46"/>
      <c r="V1261" s="46"/>
      <c r="W1261" s="46"/>
      <c r="X1261" s="46"/>
    </row>
    <row r="1262" spans="1:24" ht="12.75" x14ac:dyDescent="0.2">
      <c r="A1262" s="45"/>
      <c r="B1262" s="46"/>
      <c r="C1262" s="46"/>
      <c r="D1262" s="46"/>
      <c r="E1262" s="46"/>
      <c r="F1262" s="46"/>
      <c r="G1262" s="46"/>
      <c r="H1262" s="46"/>
      <c r="I1262" s="46"/>
      <c r="J1262" s="46"/>
      <c r="K1262" s="46"/>
      <c r="L1262" s="46"/>
      <c r="M1262" s="46"/>
      <c r="N1262" s="46"/>
      <c r="O1262" s="46"/>
      <c r="P1262" s="46"/>
      <c r="Q1262" s="46"/>
      <c r="R1262" s="46"/>
      <c r="S1262" s="46"/>
      <c r="T1262" s="46"/>
      <c r="U1262" s="46"/>
      <c r="V1262" s="46"/>
      <c r="W1262" s="46"/>
      <c r="X1262" s="46"/>
    </row>
    <row r="1263" spans="1:24" ht="12.75" x14ac:dyDescent="0.2">
      <c r="A1263" s="45"/>
      <c r="B1263" s="46"/>
      <c r="C1263" s="46"/>
      <c r="D1263" s="46"/>
      <c r="E1263" s="46"/>
      <c r="F1263" s="46"/>
      <c r="G1263" s="46"/>
      <c r="H1263" s="46"/>
      <c r="I1263" s="46"/>
      <c r="J1263" s="46"/>
      <c r="K1263" s="46"/>
      <c r="L1263" s="46"/>
      <c r="M1263" s="46"/>
      <c r="N1263" s="46"/>
      <c r="O1263" s="46"/>
      <c r="P1263" s="46"/>
      <c r="Q1263" s="46"/>
      <c r="R1263" s="46"/>
      <c r="S1263" s="46"/>
      <c r="T1263" s="46"/>
      <c r="U1263" s="46"/>
      <c r="V1263" s="46"/>
      <c r="W1263" s="46"/>
      <c r="X1263" s="46"/>
    </row>
    <row r="1264" spans="1:24" ht="12.75" x14ac:dyDescent="0.2">
      <c r="A1264" s="45"/>
      <c r="B1264" s="46"/>
      <c r="C1264" s="46"/>
      <c r="D1264" s="46"/>
      <c r="E1264" s="46"/>
      <c r="F1264" s="46"/>
      <c r="G1264" s="46"/>
      <c r="H1264" s="46"/>
      <c r="I1264" s="46"/>
      <c r="J1264" s="46"/>
      <c r="K1264" s="46"/>
      <c r="L1264" s="46"/>
      <c r="M1264" s="46"/>
      <c r="N1264" s="46"/>
      <c r="O1264" s="46"/>
      <c r="P1264" s="46"/>
      <c r="Q1264" s="46"/>
      <c r="R1264" s="46"/>
      <c r="S1264" s="46"/>
      <c r="T1264" s="46"/>
      <c r="U1264" s="46"/>
      <c r="V1264" s="46"/>
      <c r="W1264" s="46"/>
      <c r="X1264" s="46"/>
    </row>
    <row r="1265" spans="1:24" ht="12.75" x14ac:dyDescent="0.2">
      <c r="A1265" s="45"/>
      <c r="B1265" s="46"/>
      <c r="C1265" s="46"/>
      <c r="D1265" s="46"/>
      <c r="E1265" s="46"/>
      <c r="F1265" s="46"/>
      <c r="G1265" s="46"/>
      <c r="H1265" s="46"/>
      <c r="I1265" s="46"/>
      <c r="J1265" s="46"/>
      <c r="K1265" s="46"/>
      <c r="L1265" s="46"/>
      <c r="M1265" s="46"/>
      <c r="N1265" s="46"/>
      <c r="O1265" s="46"/>
      <c r="P1265" s="46"/>
      <c r="Q1265" s="46"/>
      <c r="R1265" s="46"/>
      <c r="S1265" s="46"/>
      <c r="T1265" s="46"/>
      <c r="U1265" s="46"/>
      <c r="V1265" s="46"/>
      <c r="W1265" s="46"/>
      <c r="X1265" s="46"/>
    </row>
    <row r="1266" spans="1:24" ht="12.75" x14ac:dyDescent="0.2">
      <c r="A1266" s="45"/>
      <c r="B1266" s="46"/>
      <c r="C1266" s="46"/>
      <c r="D1266" s="46"/>
      <c r="E1266" s="46"/>
      <c r="F1266" s="46"/>
      <c r="G1266" s="46"/>
      <c r="H1266" s="46"/>
      <c r="I1266" s="46"/>
      <c r="J1266" s="46"/>
      <c r="K1266" s="46"/>
      <c r="L1266" s="46"/>
      <c r="M1266" s="46"/>
      <c r="N1266" s="46"/>
      <c r="O1266" s="46"/>
      <c r="P1266" s="46"/>
      <c r="Q1266" s="46"/>
      <c r="R1266" s="46"/>
      <c r="S1266" s="46"/>
      <c r="T1266" s="46"/>
      <c r="U1266" s="46"/>
      <c r="V1266" s="46"/>
      <c r="W1266" s="46"/>
      <c r="X1266" s="46"/>
    </row>
    <row r="1267" spans="1:24" ht="12.75" x14ac:dyDescent="0.2">
      <c r="A1267" s="45"/>
      <c r="B1267" s="46"/>
      <c r="C1267" s="46"/>
      <c r="D1267" s="46"/>
      <c r="E1267" s="46"/>
      <c r="F1267" s="46"/>
      <c r="G1267" s="46"/>
      <c r="H1267" s="46"/>
      <c r="I1267" s="46"/>
      <c r="J1267" s="46"/>
      <c r="K1267" s="46"/>
      <c r="L1267" s="46"/>
      <c r="M1267" s="46"/>
      <c r="N1267" s="46"/>
      <c r="O1267" s="46"/>
      <c r="P1267" s="46"/>
      <c r="Q1267" s="46"/>
      <c r="R1267" s="46"/>
      <c r="S1267" s="46"/>
      <c r="T1267" s="46"/>
      <c r="U1267" s="46"/>
      <c r="V1267" s="46"/>
      <c r="W1267" s="46"/>
      <c r="X1267" s="46"/>
    </row>
    <row r="1268" spans="1:24" ht="12.75" x14ac:dyDescent="0.2">
      <c r="A1268" s="45"/>
      <c r="B1268" s="46"/>
      <c r="C1268" s="46"/>
      <c r="D1268" s="46"/>
      <c r="E1268" s="46"/>
      <c r="F1268" s="46"/>
      <c r="G1268" s="46"/>
      <c r="H1268" s="46"/>
      <c r="I1268" s="46"/>
      <c r="J1268" s="46"/>
      <c r="K1268" s="46"/>
      <c r="L1268" s="46"/>
      <c r="M1268" s="46"/>
      <c r="N1268" s="46"/>
      <c r="O1268" s="46"/>
      <c r="P1268" s="46"/>
      <c r="Q1268" s="46"/>
      <c r="R1268" s="46"/>
      <c r="S1268" s="46"/>
      <c r="T1268" s="46"/>
      <c r="U1268" s="46"/>
      <c r="V1268" s="46"/>
      <c r="W1268" s="46"/>
      <c r="X1268" s="46"/>
    </row>
    <row r="1269" spans="1:24" ht="12.75" x14ac:dyDescent="0.2">
      <c r="A1269" s="45"/>
      <c r="B1269" s="46"/>
      <c r="C1269" s="46"/>
      <c r="D1269" s="46"/>
      <c r="E1269" s="46"/>
      <c r="F1269" s="46"/>
      <c r="G1269" s="46"/>
      <c r="H1269" s="46"/>
      <c r="I1269" s="46"/>
      <c r="J1269" s="46"/>
      <c r="K1269" s="46"/>
      <c r="L1269" s="46"/>
      <c r="M1269" s="46"/>
      <c r="N1269" s="46"/>
      <c r="O1269" s="46"/>
      <c r="P1269" s="46"/>
      <c r="Q1269" s="46"/>
      <c r="R1269" s="46"/>
      <c r="S1269" s="46"/>
      <c r="T1269" s="46"/>
      <c r="U1269" s="46"/>
      <c r="V1269" s="46"/>
      <c r="W1269" s="46"/>
      <c r="X1269" s="46"/>
    </row>
    <row r="1270" spans="1:24" ht="12.75" x14ac:dyDescent="0.2">
      <c r="A1270" s="45"/>
      <c r="B1270" s="46"/>
      <c r="C1270" s="46"/>
      <c r="D1270" s="46"/>
      <c r="E1270" s="46"/>
      <c r="F1270" s="46"/>
      <c r="G1270" s="46"/>
      <c r="H1270" s="46"/>
      <c r="I1270" s="46"/>
      <c r="J1270" s="46"/>
      <c r="K1270" s="46"/>
      <c r="L1270" s="46"/>
      <c r="M1270" s="46"/>
      <c r="N1270" s="46"/>
      <c r="O1270" s="46"/>
      <c r="P1270" s="46"/>
      <c r="Q1270" s="46"/>
      <c r="R1270" s="46"/>
      <c r="S1270" s="46"/>
      <c r="T1270" s="46"/>
      <c r="U1270" s="46"/>
      <c r="V1270" s="46"/>
      <c r="W1270" s="46"/>
      <c r="X1270" s="46"/>
    </row>
    <row r="1271" spans="1:24" ht="12.75" x14ac:dyDescent="0.2">
      <c r="A1271" s="45"/>
      <c r="B1271" s="46"/>
      <c r="C1271" s="46"/>
      <c r="D1271" s="46"/>
      <c r="E1271" s="46"/>
      <c r="F1271" s="46"/>
      <c r="G1271" s="46"/>
      <c r="H1271" s="46"/>
      <c r="I1271" s="46"/>
      <c r="J1271" s="46"/>
      <c r="K1271" s="46"/>
      <c r="L1271" s="46"/>
      <c r="M1271" s="46"/>
      <c r="N1271" s="46"/>
      <c r="O1271" s="46"/>
      <c r="P1271" s="46"/>
      <c r="Q1271" s="46"/>
      <c r="R1271" s="46"/>
      <c r="S1271" s="46"/>
      <c r="T1271" s="46"/>
      <c r="U1271" s="46"/>
      <c r="V1271" s="46"/>
      <c r="W1271" s="46"/>
      <c r="X1271" s="46"/>
    </row>
    <row r="1272" spans="1:24" ht="12.75" x14ac:dyDescent="0.2">
      <c r="A1272" s="45"/>
      <c r="B1272" s="46"/>
      <c r="C1272" s="46"/>
      <c r="D1272" s="46"/>
      <c r="E1272" s="46"/>
      <c r="F1272" s="46"/>
      <c r="G1272" s="46"/>
      <c r="H1272" s="46"/>
      <c r="I1272" s="46"/>
      <c r="J1272" s="46"/>
      <c r="K1272" s="46"/>
      <c r="L1272" s="46"/>
      <c r="M1272" s="46"/>
      <c r="N1272" s="46"/>
      <c r="O1272" s="46"/>
      <c r="P1272" s="46"/>
      <c r="Q1272" s="46"/>
      <c r="R1272" s="46"/>
      <c r="S1272" s="46"/>
      <c r="T1272" s="46"/>
      <c r="U1272" s="46"/>
      <c r="V1272" s="46"/>
      <c r="W1272" s="46"/>
      <c r="X1272" s="46"/>
    </row>
    <row r="1273" spans="1:24" ht="12.75" x14ac:dyDescent="0.2">
      <c r="A1273" s="45"/>
      <c r="B1273" s="46"/>
      <c r="C1273" s="46"/>
      <c r="D1273" s="46"/>
      <c r="E1273" s="46"/>
      <c r="F1273" s="46"/>
      <c r="G1273" s="46"/>
      <c r="H1273" s="46"/>
      <c r="I1273" s="46"/>
      <c r="J1273" s="46"/>
      <c r="K1273" s="46"/>
      <c r="L1273" s="46"/>
      <c r="M1273" s="46"/>
      <c r="N1273" s="46"/>
      <c r="O1273" s="46"/>
      <c r="P1273" s="46"/>
      <c r="Q1273" s="46"/>
      <c r="R1273" s="46"/>
      <c r="S1273" s="46"/>
      <c r="T1273" s="46"/>
      <c r="U1273" s="46"/>
      <c r="V1273" s="46"/>
      <c r="W1273" s="46"/>
      <c r="X1273" s="46"/>
    </row>
    <row r="1274" spans="1:24" ht="12.75" x14ac:dyDescent="0.2">
      <c r="A1274" s="45"/>
      <c r="B1274" s="46"/>
      <c r="C1274" s="46"/>
      <c r="D1274" s="46"/>
      <c r="E1274" s="46"/>
      <c r="F1274" s="46"/>
      <c r="G1274" s="46"/>
      <c r="H1274" s="46"/>
      <c r="I1274" s="46"/>
      <c r="J1274" s="46"/>
      <c r="K1274" s="46"/>
      <c r="L1274" s="46"/>
      <c r="M1274" s="46"/>
      <c r="N1274" s="46"/>
      <c r="O1274" s="46"/>
      <c r="P1274" s="46"/>
      <c r="Q1274" s="46"/>
      <c r="R1274" s="46"/>
      <c r="S1274" s="46"/>
      <c r="T1274" s="46"/>
      <c r="U1274" s="46"/>
      <c r="V1274" s="46"/>
      <c r="W1274" s="46"/>
      <c r="X1274" s="46"/>
    </row>
    <row r="1275" spans="1:24" ht="12.75" x14ac:dyDescent="0.2">
      <c r="A1275" s="45"/>
      <c r="B1275" s="46"/>
      <c r="C1275" s="46"/>
      <c r="D1275" s="46"/>
      <c r="E1275" s="46"/>
      <c r="F1275" s="46"/>
      <c r="G1275" s="46"/>
      <c r="H1275" s="46"/>
      <c r="I1275" s="46"/>
      <c r="J1275" s="46"/>
      <c r="K1275" s="46"/>
      <c r="L1275" s="46"/>
      <c r="M1275" s="46"/>
      <c r="N1275" s="46"/>
      <c r="O1275" s="46"/>
      <c r="P1275" s="46"/>
      <c r="Q1275" s="46"/>
      <c r="R1275" s="46"/>
      <c r="S1275" s="46"/>
      <c r="T1275" s="46"/>
      <c r="U1275" s="46"/>
      <c r="V1275" s="46"/>
      <c r="W1275" s="46"/>
      <c r="X1275" s="46"/>
    </row>
    <row r="1276" spans="1:24" ht="12.75" x14ac:dyDescent="0.2">
      <c r="A1276" s="45"/>
      <c r="B1276" s="46"/>
      <c r="C1276" s="46"/>
      <c r="D1276" s="46"/>
      <c r="E1276" s="46"/>
      <c r="F1276" s="46"/>
      <c r="G1276" s="46"/>
      <c r="H1276" s="46"/>
      <c r="I1276" s="46"/>
      <c r="J1276" s="46"/>
      <c r="K1276" s="46"/>
      <c r="L1276" s="46"/>
      <c r="M1276" s="46"/>
      <c r="N1276" s="46"/>
      <c r="O1276" s="46"/>
      <c r="P1276" s="46"/>
      <c r="Q1276" s="46"/>
      <c r="R1276" s="46"/>
      <c r="S1276" s="46"/>
      <c r="T1276" s="46"/>
      <c r="U1276" s="46"/>
      <c r="V1276" s="46"/>
      <c r="W1276" s="46"/>
      <c r="X1276" s="46"/>
    </row>
    <row r="1277" spans="1:24" ht="12.75" x14ac:dyDescent="0.2">
      <c r="A1277" s="45"/>
      <c r="B1277" s="46"/>
      <c r="C1277" s="46"/>
      <c r="D1277" s="46"/>
      <c r="E1277" s="46"/>
      <c r="F1277" s="46"/>
      <c r="G1277" s="46"/>
      <c r="H1277" s="46"/>
      <c r="I1277" s="46"/>
      <c r="J1277" s="46"/>
      <c r="K1277" s="46"/>
      <c r="L1277" s="46"/>
      <c r="M1277" s="46"/>
      <c r="N1277" s="46"/>
      <c r="O1277" s="46"/>
      <c r="P1277" s="46"/>
      <c r="Q1277" s="46"/>
      <c r="R1277" s="46"/>
      <c r="S1277" s="46"/>
      <c r="T1277" s="46"/>
      <c r="U1277" s="46"/>
      <c r="V1277" s="46"/>
      <c r="W1277" s="46"/>
      <c r="X1277" s="46"/>
    </row>
    <row r="1278" spans="1:24" ht="12.75" x14ac:dyDescent="0.2">
      <c r="A1278" s="45"/>
      <c r="B1278" s="46"/>
      <c r="C1278" s="46"/>
      <c r="D1278" s="46"/>
      <c r="E1278" s="46"/>
      <c r="F1278" s="46"/>
      <c r="G1278" s="46"/>
      <c r="H1278" s="46"/>
      <c r="I1278" s="46"/>
      <c r="J1278" s="46"/>
      <c r="K1278" s="46"/>
      <c r="L1278" s="46"/>
      <c r="M1278" s="46"/>
      <c r="N1278" s="46"/>
      <c r="O1278" s="46"/>
      <c r="P1278" s="46"/>
      <c r="Q1278" s="46"/>
      <c r="R1278" s="46"/>
      <c r="S1278" s="46"/>
      <c r="T1278" s="46"/>
      <c r="U1278" s="46"/>
      <c r="V1278" s="46"/>
      <c r="W1278" s="46"/>
      <c r="X1278" s="46"/>
    </row>
    <row r="1279" spans="1:24" ht="12.75" x14ac:dyDescent="0.2">
      <c r="A1279" s="45"/>
      <c r="B1279" s="46"/>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46"/>
    </row>
    <row r="1280" spans="1:24" ht="12.75" x14ac:dyDescent="0.2">
      <c r="A1280" s="45"/>
      <c r="B1280" s="46"/>
      <c r="C1280" s="46"/>
      <c r="D1280" s="46"/>
      <c r="E1280" s="46"/>
      <c r="F1280" s="46"/>
      <c r="G1280" s="46"/>
      <c r="H1280" s="46"/>
      <c r="I1280" s="46"/>
      <c r="J1280" s="46"/>
      <c r="K1280" s="46"/>
      <c r="L1280" s="46"/>
      <c r="M1280" s="46"/>
      <c r="N1280" s="46"/>
      <c r="O1280" s="46"/>
      <c r="P1280" s="46"/>
      <c r="Q1280" s="46"/>
      <c r="R1280" s="46"/>
      <c r="S1280" s="46"/>
      <c r="T1280" s="46"/>
      <c r="U1280" s="46"/>
      <c r="V1280" s="46"/>
      <c r="W1280" s="46"/>
      <c r="X1280" s="46"/>
    </row>
    <row r="1281" spans="1:24" ht="12.75" x14ac:dyDescent="0.2">
      <c r="A1281" s="45"/>
      <c r="B1281" s="46"/>
      <c r="C1281" s="46"/>
      <c r="D1281" s="46"/>
      <c r="E1281" s="46"/>
      <c r="F1281" s="46"/>
      <c r="G1281" s="46"/>
      <c r="H1281" s="46"/>
      <c r="I1281" s="46"/>
      <c r="J1281" s="46"/>
      <c r="K1281" s="46"/>
      <c r="L1281" s="46"/>
      <c r="M1281" s="46"/>
      <c r="N1281" s="46"/>
      <c r="O1281" s="46"/>
      <c r="P1281" s="46"/>
      <c r="Q1281" s="46"/>
      <c r="R1281" s="46"/>
      <c r="S1281" s="46"/>
      <c r="T1281" s="46"/>
      <c r="U1281" s="46"/>
      <c r="V1281" s="46"/>
      <c r="W1281" s="46"/>
      <c r="X1281" s="46"/>
    </row>
    <row r="1282" spans="1:24" ht="12.75" x14ac:dyDescent="0.2">
      <c r="A1282" s="45"/>
      <c r="B1282" s="46"/>
      <c r="C1282" s="46"/>
      <c r="D1282" s="46"/>
      <c r="E1282" s="46"/>
      <c r="F1282" s="46"/>
      <c r="G1282" s="46"/>
      <c r="H1282" s="46"/>
      <c r="I1282" s="46"/>
      <c r="J1282" s="46"/>
      <c r="K1282" s="46"/>
      <c r="L1282" s="46"/>
      <c r="M1282" s="46"/>
      <c r="N1282" s="46"/>
      <c r="O1282" s="46"/>
      <c r="P1282" s="46"/>
      <c r="Q1282" s="46"/>
      <c r="R1282" s="46"/>
      <c r="S1282" s="46"/>
      <c r="T1282" s="46"/>
      <c r="U1282" s="46"/>
      <c r="V1282" s="46"/>
      <c r="W1282" s="46"/>
      <c r="X1282" s="46"/>
    </row>
    <row r="1283" spans="1:24" ht="12.75" x14ac:dyDescent="0.2">
      <c r="A1283" s="45"/>
      <c r="B1283" s="46"/>
      <c r="C1283" s="46"/>
      <c r="D1283" s="46"/>
      <c r="E1283" s="46"/>
      <c r="F1283" s="46"/>
      <c r="G1283" s="46"/>
      <c r="H1283" s="46"/>
      <c r="I1283" s="46"/>
      <c r="J1283" s="46"/>
      <c r="K1283" s="46"/>
      <c r="L1283" s="46"/>
      <c r="M1283" s="46"/>
      <c r="N1283" s="46"/>
      <c r="O1283" s="46"/>
      <c r="P1283" s="46"/>
      <c r="Q1283" s="46"/>
      <c r="R1283" s="46"/>
      <c r="S1283" s="46"/>
      <c r="T1283" s="46"/>
      <c r="U1283" s="46"/>
      <c r="V1283" s="46"/>
      <c r="W1283" s="46"/>
      <c r="X1283" s="46"/>
    </row>
    <row r="1284" spans="1:24" ht="12.75" x14ac:dyDescent="0.2">
      <c r="A1284" s="45"/>
      <c r="B1284" s="46"/>
      <c r="C1284" s="46"/>
      <c r="D1284" s="46"/>
      <c r="E1284" s="46"/>
      <c r="F1284" s="46"/>
      <c r="G1284" s="46"/>
      <c r="H1284" s="46"/>
      <c r="I1284" s="46"/>
      <c r="J1284" s="46"/>
      <c r="K1284" s="46"/>
      <c r="L1284" s="46"/>
      <c r="M1284" s="46"/>
      <c r="N1284" s="46"/>
      <c r="O1284" s="46"/>
      <c r="P1284" s="46"/>
      <c r="Q1284" s="46"/>
      <c r="R1284" s="46"/>
      <c r="S1284" s="46"/>
      <c r="T1284" s="46"/>
      <c r="U1284" s="46"/>
      <c r="V1284" s="46"/>
      <c r="W1284" s="46"/>
      <c r="X1284" s="46"/>
    </row>
    <row r="1285" spans="1:24" ht="12.75" x14ac:dyDescent="0.2">
      <c r="A1285" s="45"/>
      <c r="B1285" s="46"/>
      <c r="C1285" s="46"/>
      <c r="D1285" s="46"/>
      <c r="E1285" s="46"/>
      <c r="F1285" s="46"/>
      <c r="G1285" s="46"/>
      <c r="H1285" s="46"/>
      <c r="I1285" s="46"/>
      <c r="J1285" s="46"/>
      <c r="K1285" s="46"/>
      <c r="L1285" s="46"/>
      <c r="M1285" s="46"/>
      <c r="N1285" s="46"/>
      <c r="O1285" s="46"/>
      <c r="P1285" s="46"/>
      <c r="Q1285" s="46"/>
      <c r="R1285" s="46"/>
      <c r="S1285" s="46"/>
      <c r="T1285" s="46"/>
      <c r="U1285" s="46"/>
      <c r="V1285" s="46"/>
      <c r="W1285" s="46"/>
      <c r="X1285" s="46"/>
    </row>
    <row r="1286" spans="1:24" ht="12.75" x14ac:dyDescent="0.2">
      <c r="A1286" s="45"/>
      <c r="B1286" s="46"/>
      <c r="C1286" s="46"/>
      <c r="D1286" s="46"/>
      <c r="E1286" s="46"/>
      <c r="F1286" s="46"/>
      <c r="G1286" s="46"/>
      <c r="H1286" s="46"/>
      <c r="I1286" s="46"/>
      <c r="J1286" s="46"/>
      <c r="K1286" s="46"/>
      <c r="L1286" s="46"/>
      <c r="M1286" s="46"/>
      <c r="N1286" s="46"/>
      <c r="O1286" s="46"/>
      <c r="P1286" s="46"/>
      <c r="Q1286" s="46"/>
      <c r="R1286" s="46"/>
      <c r="S1286" s="46"/>
      <c r="T1286" s="46"/>
      <c r="U1286" s="46"/>
      <c r="V1286" s="46"/>
      <c r="W1286" s="46"/>
      <c r="X1286" s="46"/>
    </row>
    <row r="1287" spans="1:24" ht="12.75" x14ac:dyDescent="0.2">
      <c r="A1287" s="45"/>
      <c r="B1287" s="46"/>
      <c r="C1287" s="46"/>
      <c r="D1287" s="46"/>
      <c r="E1287" s="46"/>
      <c r="F1287" s="46"/>
      <c r="G1287" s="46"/>
      <c r="H1287" s="46"/>
      <c r="I1287" s="46"/>
      <c r="J1287" s="46"/>
      <c r="K1287" s="46"/>
      <c r="L1287" s="46"/>
      <c r="M1287" s="46"/>
      <c r="N1287" s="46"/>
      <c r="O1287" s="46"/>
      <c r="P1287" s="46"/>
      <c r="Q1287" s="46"/>
      <c r="R1287" s="46"/>
      <c r="S1287" s="46"/>
      <c r="T1287" s="46"/>
      <c r="U1287" s="46"/>
      <c r="V1287" s="46"/>
      <c r="W1287" s="46"/>
      <c r="X1287" s="46"/>
    </row>
    <row r="1288" spans="1:24" ht="12.75" x14ac:dyDescent="0.2">
      <c r="A1288" s="45"/>
      <c r="B1288" s="46"/>
      <c r="C1288" s="46"/>
      <c r="D1288" s="46"/>
      <c r="E1288" s="46"/>
      <c r="F1288" s="46"/>
      <c r="G1288" s="46"/>
      <c r="H1288" s="46"/>
      <c r="I1288" s="46"/>
      <c r="J1288" s="46"/>
      <c r="K1288" s="46"/>
      <c r="L1288" s="46"/>
      <c r="M1288" s="46"/>
      <c r="N1288" s="46"/>
      <c r="O1288" s="46"/>
      <c r="P1288" s="46"/>
      <c r="Q1288" s="46"/>
      <c r="R1288" s="46"/>
      <c r="S1288" s="46"/>
      <c r="T1288" s="46"/>
      <c r="U1288" s="46"/>
      <c r="V1288" s="46"/>
      <c r="W1288" s="46"/>
      <c r="X1288" s="46"/>
    </row>
    <row r="1289" spans="1:24" ht="12.75" x14ac:dyDescent="0.2">
      <c r="A1289" s="45"/>
      <c r="B1289" s="46"/>
      <c r="C1289" s="46"/>
      <c r="D1289" s="46"/>
      <c r="E1289" s="46"/>
      <c r="F1289" s="46"/>
      <c r="G1289" s="46"/>
      <c r="H1289" s="46"/>
      <c r="I1289" s="46"/>
      <c r="J1289" s="46"/>
      <c r="K1289" s="46"/>
      <c r="L1289" s="46"/>
      <c r="M1289" s="46"/>
      <c r="N1289" s="46"/>
      <c r="O1289" s="46"/>
      <c r="P1289" s="46"/>
      <c r="Q1289" s="46"/>
      <c r="R1289" s="46"/>
      <c r="S1289" s="46"/>
      <c r="T1289" s="46"/>
      <c r="U1289" s="46"/>
      <c r="V1289" s="46"/>
      <c r="W1289" s="46"/>
      <c r="X1289" s="46"/>
    </row>
    <row r="1290" spans="1:24" ht="12.75" x14ac:dyDescent="0.2">
      <c r="A1290" s="45"/>
      <c r="B1290" s="46"/>
      <c r="C1290" s="46"/>
      <c r="D1290" s="46"/>
      <c r="E1290" s="46"/>
      <c r="F1290" s="46"/>
      <c r="G1290" s="46"/>
      <c r="H1290" s="46"/>
      <c r="I1290" s="46"/>
      <c r="J1290" s="46"/>
      <c r="K1290" s="46"/>
      <c r="L1290" s="46"/>
      <c r="M1290" s="46"/>
      <c r="N1290" s="46"/>
      <c r="O1290" s="46"/>
      <c r="P1290" s="46"/>
      <c r="Q1290" s="46"/>
      <c r="R1290" s="46"/>
      <c r="S1290" s="46"/>
      <c r="T1290" s="46"/>
      <c r="U1290" s="46"/>
      <c r="V1290" s="46"/>
      <c r="W1290" s="46"/>
      <c r="X1290" s="46"/>
    </row>
    <row r="1291" spans="1:24" ht="12.75" x14ac:dyDescent="0.2">
      <c r="A1291" s="45"/>
      <c r="B1291" s="46"/>
      <c r="C1291" s="46"/>
      <c r="D1291" s="46"/>
      <c r="E1291" s="46"/>
      <c r="F1291" s="46"/>
      <c r="G1291" s="46"/>
      <c r="H1291" s="46"/>
      <c r="I1291" s="46"/>
      <c r="J1291" s="46"/>
      <c r="K1291" s="46"/>
      <c r="L1291" s="46"/>
      <c r="M1291" s="46"/>
      <c r="N1291" s="46"/>
      <c r="O1291" s="46"/>
      <c r="P1291" s="46"/>
      <c r="Q1291" s="46"/>
      <c r="R1291" s="46"/>
      <c r="S1291" s="46"/>
      <c r="T1291" s="46"/>
      <c r="U1291" s="46"/>
      <c r="V1291" s="46"/>
      <c r="W1291" s="46"/>
      <c r="X1291" s="46"/>
    </row>
    <row r="1292" spans="1:24" ht="12.75" x14ac:dyDescent="0.2">
      <c r="A1292" s="45"/>
      <c r="B1292" s="46"/>
      <c r="C1292" s="46"/>
      <c r="D1292" s="46"/>
      <c r="E1292" s="46"/>
      <c r="F1292" s="46"/>
      <c r="G1292" s="46"/>
      <c r="H1292" s="46"/>
      <c r="I1292" s="46"/>
      <c r="J1292" s="46"/>
      <c r="K1292" s="46"/>
      <c r="L1292" s="46"/>
      <c r="M1292" s="46"/>
      <c r="N1292" s="46"/>
      <c r="O1292" s="46"/>
      <c r="P1292" s="46"/>
      <c r="Q1292" s="46"/>
      <c r="R1292" s="46"/>
      <c r="S1292" s="46"/>
      <c r="T1292" s="46"/>
      <c r="U1292" s="46"/>
      <c r="V1292" s="46"/>
      <c r="W1292" s="46"/>
      <c r="X1292" s="46"/>
    </row>
    <row r="1293" spans="1:24" ht="12.75" x14ac:dyDescent="0.2">
      <c r="A1293" s="45"/>
      <c r="B1293" s="46"/>
      <c r="C1293" s="46"/>
      <c r="D1293" s="46"/>
      <c r="E1293" s="46"/>
      <c r="F1293" s="46"/>
      <c r="G1293" s="46"/>
      <c r="H1293" s="46"/>
      <c r="I1293" s="46"/>
      <c r="J1293" s="46"/>
      <c r="K1293" s="46"/>
      <c r="L1293" s="46"/>
      <c r="M1293" s="46"/>
      <c r="N1293" s="46"/>
      <c r="O1293" s="46"/>
      <c r="P1293" s="46"/>
      <c r="Q1293" s="46"/>
      <c r="R1293" s="46"/>
      <c r="S1293" s="46"/>
      <c r="T1293" s="46"/>
      <c r="U1293" s="46"/>
      <c r="V1293" s="46"/>
      <c r="W1293" s="46"/>
      <c r="X1293" s="46"/>
    </row>
    <row r="1294" spans="1:24" ht="12.75" x14ac:dyDescent="0.2">
      <c r="A1294" s="45"/>
      <c r="B1294" s="46"/>
      <c r="C1294" s="46"/>
      <c r="D1294" s="46"/>
      <c r="E1294" s="46"/>
      <c r="F1294" s="46"/>
      <c r="G1294" s="46"/>
      <c r="H1294" s="46"/>
      <c r="I1294" s="46"/>
      <c r="J1294" s="46"/>
      <c r="K1294" s="46"/>
      <c r="L1294" s="46"/>
      <c r="M1294" s="46"/>
      <c r="N1294" s="46"/>
      <c r="O1294" s="46"/>
      <c r="P1294" s="46"/>
      <c r="Q1294" s="46"/>
      <c r="R1294" s="46"/>
      <c r="S1294" s="46"/>
      <c r="T1294" s="46"/>
      <c r="U1294" s="46"/>
      <c r="V1294" s="46"/>
      <c r="W1294" s="46"/>
      <c r="X1294" s="46"/>
    </row>
    <row r="1295" spans="1:24" ht="12.75" x14ac:dyDescent="0.2">
      <c r="A1295" s="45"/>
      <c r="B1295" s="46"/>
      <c r="C1295" s="46"/>
      <c r="D1295" s="46"/>
      <c r="E1295" s="46"/>
      <c r="F1295" s="46"/>
      <c r="G1295" s="46"/>
      <c r="H1295" s="46"/>
      <c r="I1295" s="46"/>
      <c r="J1295" s="46"/>
      <c r="K1295" s="46"/>
      <c r="L1295" s="46"/>
      <c r="M1295" s="46"/>
      <c r="N1295" s="46"/>
      <c r="O1295" s="46"/>
      <c r="P1295" s="46"/>
      <c r="Q1295" s="46"/>
      <c r="R1295" s="46"/>
      <c r="S1295" s="46"/>
      <c r="T1295" s="46"/>
      <c r="U1295" s="46"/>
      <c r="V1295" s="46"/>
      <c r="W1295" s="46"/>
      <c r="X1295" s="46"/>
    </row>
    <row r="1296" spans="1:24" ht="12.75" x14ac:dyDescent="0.2">
      <c r="A1296" s="45"/>
      <c r="B1296" s="46"/>
      <c r="C1296" s="46"/>
      <c r="D1296" s="46"/>
      <c r="E1296" s="46"/>
      <c r="F1296" s="46"/>
      <c r="G1296" s="46"/>
      <c r="H1296" s="46"/>
      <c r="I1296" s="46"/>
      <c r="J1296" s="46"/>
      <c r="K1296" s="46"/>
      <c r="L1296" s="46"/>
      <c r="M1296" s="46"/>
      <c r="N1296" s="46"/>
      <c r="O1296" s="46"/>
      <c r="P1296" s="46"/>
      <c r="Q1296" s="46"/>
      <c r="R1296" s="46"/>
      <c r="S1296" s="46"/>
      <c r="T1296" s="46"/>
      <c r="U1296" s="46"/>
      <c r="V1296" s="46"/>
      <c r="W1296" s="46"/>
      <c r="X1296" s="46"/>
    </row>
    <row r="1297" spans="1:24" ht="12.75" x14ac:dyDescent="0.2">
      <c r="A1297" s="45"/>
      <c r="B1297" s="46"/>
      <c r="C1297" s="46"/>
      <c r="D1297" s="46"/>
      <c r="E1297" s="46"/>
      <c r="F1297" s="46"/>
      <c r="G1297" s="46"/>
      <c r="H1297" s="46"/>
      <c r="I1297" s="46"/>
      <c r="J1297" s="46"/>
      <c r="K1297" s="46"/>
      <c r="L1297" s="46"/>
      <c r="M1297" s="46"/>
      <c r="N1297" s="46"/>
      <c r="O1297" s="46"/>
      <c r="P1297" s="46"/>
      <c r="Q1297" s="46"/>
      <c r="R1297" s="46"/>
      <c r="S1297" s="46"/>
      <c r="T1297" s="46"/>
      <c r="U1297" s="46"/>
      <c r="V1297" s="46"/>
      <c r="W1297" s="46"/>
      <c r="X1297" s="46"/>
    </row>
    <row r="1298" spans="1:24" ht="12.75" x14ac:dyDescent="0.2">
      <c r="A1298" s="45"/>
      <c r="B1298" s="46"/>
      <c r="C1298" s="46"/>
      <c r="D1298" s="46"/>
      <c r="E1298" s="46"/>
      <c r="F1298" s="46"/>
      <c r="G1298" s="46"/>
      <c r="H1298" s="46"/>
      <c r="I1298" s="46"/>
      <c r="J1298" s="46"/>
      <c r="K1298" s="46"/>
      <c r="L1298" s="46"/>
      <c r="M1298" s="46"/>
      <c r="N1298" s="46"/>
      <c r="O1298" s="46"/>
      <c r="P1298" s="46"/>
      <c r="Q1298" s="46"/>
      <c r="R1298" s="46"/>
      <c r="S1298" s="46"/>
      <c r="T1298" s="46"/>
      <c r="U1298" s="46"/>
      <c r="V1298" s="46"/>
      <c r="W1298" s="46"/>
      <c r="X1298" s="46"/>
    </row>
    <row r="1299" spans="1:24" ht="12.75" x14ac:dyDescent="0.2">
      <c r="A1299" s="45"/>
      <c r="B1299" s="46"/>
      <c r="C1299" s="46"/>
      <c r="D1299" s="46"/>
      <c r="E1299" s="46"/>
      <c r="F1299" s="46"/>
      <c r="G1299" s="46"/>
      <c r="H1299" s="46"/>
      <c r="I1299" s="46"/>
      <c r="J1299" s="46"/>
      <c r="K1299" s="46"/>
      <c r="L1299" s="46"/>
      <c r="M1299" s="46"/>
      <c r="N1299" s="46"/>
      <c r="O1299" s="46"/>
      <c r="P1299" s="46"/>
      <c r="Q1299" s="46"/>
      <c r="R1299" s="46"/>
      <c r="S1299" s="46"/>
      <c r="T1299" s="46"/>
      <c r="U1299" s="46"/>
      <c r="V1299" s="46"/>
      <c r="W1299" s="46"/>
      <c r="X1299" s="46"/>
    </row>
    <row r="1300" spans="1:24" ht="12.75" x14ac:dyDescent="0.2">
      <c r="A1300" s="45"/>
      <c r="B1300" s="46"/>
      <c r="C1300" s="46"/>
      <c r="D1300" s="46"/>
      <c r="E1300" s="46"/>
      <c r="F1300" s="46"/>
      <c r="G1300" s="46"/>
      <c r="H1300" s="46"/>
      <c r="I1300" s="46"/>
      <c r="J1300" s="46"/>
      <c r="K1300" s="46"/>
      <c r="L1300" s="46"/>
      <c r="M1300" s="46"/>
      <c r="N1300" s="46"/>
      <c r="O1300" s="46"/>
      <c r="P1300" s="46"/>
      <c r="Q1300" s="46"/>
      <c r="R1300" s="46"/>
      <c r="S1300" s="46"/>
      <c r="T1300" s="46"/>
      <c r="U1300" s="46"/>
      <c r="V1300" s="46"/>
      <c r="W1300" s="46"/>
      <c r="X1300" s="46"/>
    </row>
    <row r="1301" spans="1:24" ht="12.75" x14ac:dyDescent="0.2">
      <c r="A1301" s="45"/>
      <c r="B1301" s="46"/>
      <c r="C1301" s="46"/>
      <c r="D1301" s="46"/>
      <c r="E1301" s="46"/>
      <c r="F1301" s="46"/>
      <c r="G1301" s="46"/>
      <c r="H1301" s="46"/>
      <c r="I1301" s="46"/>
      <c r="J1301" s="46"/>
      <c r="K1301" s="46"/>
      <c r="L1301" s="46"/>
      <c r="M1301" s="46"/>
      <c r="N1301" s="46"/>
      <c r="O1301" s="46"/>
      <c r="P1301" s="46"/>
      <c r="Q1301" s="46"/>
      <c r="R1301" s="46"/>
      <c r="S1301" s="46"/>
      <c r="T1301" s="46"/>
      <c r="U1301" s="46"/>
      <c r="V1301" s="46"/>
      <c r="W1301" s="46"/>
      <c r="X1301" s="46"/>
    </row>
    <row r="1302" spans="1:24" ht="12.75" x14ac:dyDescent="0.2">
      <c r="A1302" s="45"/>
      <c r="B1302" s="46"/>
      <c r="C1302" s="46"/>
      <c r="D1302" s="46"/>
      <c r="E1302" s="46"/>
      <c r="F1302" s="46"/>
      <c r="G1302" s="46"/>
      <c r="H1302" s="46"/>
      <c r="I1302" s="46"/>
      <c r="J1302" s="46"/>
      <c r="K1302" s="46"/>
      <c r="L1302" s="46"/>
      <c r="M1302" s="46"/>
      <c r="N1302" s="46"/>
      <c r="O1302" s="46"/>
      <c r="P1302" s="46"/>
      <c r="Q1302" s="46"/>
      <c r="R1302" s="46"/>
      <c r="S1302" s="46"/>
      <c r="T1302" s="46"/>
      <c r="U1302" s="46"/>
      <c r="V1302" s="46"/>
      <c r="W1302" s="46"/>
      <c r="X1302" s="46"/>
    </row>
    <row r="1303" spans="1:24" ht="12.75" x14ac:dyDescent="0.2">
      <c r="A1303" s="45"/>
      <c r="B1303" s="46"/>
      <c r="C1303" s="46"/>
      <c r="D1303" s="46"/>
      <c r="E1303" s="46"/>
      <c r="F1303" s="46"/>
      <c r="G1303" s="46"/>
      <c r="H1303" s="46"/>
      <c r="I1303" s="46"/>
      <c r="J1303" s="46"/>
      <c r="K1303" s="46"/>
      <c r="L1303" s="46"/>
      <c r="M1303" s="46"/>
      <c r="N1303" s="46"/>
      <c r="O1303" s="46"/>
      <c r="P1303" s="46"/>
      <c r="Q1303" s="46"/>
      <c r="R1303" s="46"/>
      <c r="S1303" s="46"/>
      <c r="T1303" s="46"/>
      <c r="U1303" s="46"/>
      <c r="V1303" s="46"/>
      <c r="W1303" s="46"/>
      <c r="X1303" s="46"/>
    </row>
    <row r="1304" spans="1:24" ht="12.75" x14ac:dyDescent="0.2">
      <c r="A1304" s="45"/>
      <c r="B1304" s="46"/>
      <c r="C1304" s="46"/>
      <c r="D1304" s="46"/>
      <c r="E1304" s="46"/>
      <c r="F1304" s="46"/>
      <c r="G1304" s="46"/>
      <c r="H1304" s="46"/>
      <c r="I1304" s="46"/>
      <c r="J1304" s="46"/>
      <c r="K1304" s="46"/>
      <c r="L1304" s="46"/>
      <c r="M1304" s="46"/>
      <c r="N1304" s="46"/>
      <c r="O1304" s="46"/>
      <c r="P1304" s="46"/>
      <c r="Q1304" s="46"/>
      <c r="R1304" s="46"/>
      <c r="S1304" s="46"/>
      <c r="T1304" s="46"/>
      <c r="U1304" s="46"/>
      <c r="V1304" s="46"/>
      <c r="W1304" s="46"/>
      <c r="X1304" s="46"/>
    </row>
    <row r="1305" spans="1:24" ht="12.75" x14ac:dyDescent="0.2">
      <c r="A1305" s="45"/>
      <c r="B1305" s="46"/>
      <c r="C1305" s="46"/>
      <c r="D1305" s="46"/>
      <c r="E1305" s="46"/>
      <c r="F1305" s="46"/>
      <c r="G1305" s="46"/>
      <c r="H1305" s="46"/>
      <c r="I1305" s="46"/>
      <c r="J1305" s="46"/>
      <c r="K1305" s="46"/>
      <c r="L1305" s="46"/>
      <c r="M1305" s="46"/>
      <c r="N1305" s="46"/>
      <c r="O1305" s="46"/>
      <c r="P1305" s="46"/>
      <c r="Q1305" s="46"/>
      <c r="R1305" s="46"/>
      <c r="S1305" s="46"/>
      <c r="T1305" s="46"/>
      <c r="U1305" s="46"/>
      <c r="V1305" s="46"/>
      <c r="W1305" s="46"/>
      <c r="X1305" s="46"/>
    </row>
    <row r="1306" spans="1:24" ht="12.75" x14ac:dyDescent="0.2">
      <c r="A1306" s="45"/>
      <c r="B1306" s="46"/>
      <c r="C1306" s="46"/>
      <c r="D1306" s="46"/>
      <c r="E1306" s="46"/>
      <c r="F1306" s="46"/>
      <c r="G1306" s="46"/>
      <c r="H1306" s="46"/>
      <c r="I1306" s="46"/>
      <c r="J1306" s="46"/>
      <c r="K1306" s="46"/>
      <c r="L1306" s="46"/>
      <c r="M1306" s="46"/>
      <c r="N1306" s="46"/>
      <c r="O1306" s="46"/>
      <c r="P1306" s="46"/>
      <c r="Q1306" s="46"/>
      <c r="R1306" s="46"/>
      <c r="S1306" s="46"/>
      <c r="T1306" s="46"/>
      <c r="U1306" s="46"/>
      <c r="V1306" s="46"/>
      <c r="W1306" s="46"/>
      <c r="X1306" s="46"/>
    </row>
    <row r="1307" spans="1:24" ht="12.75" x14ac:dyDescent="0.2">
      <c r="A1307" s="45"/>
      <c r="B1307" s="46"/>
      <c r="C1307" s="46"/>
      <c r="D1307" s="46"/>
      <c r="E1307" s="46"/>
      <c r="F1307" s="46"/>
      <c r="G1307" s="46"/>
      <c r="H1307" s="46"/>
      <c r="I1307" s="46"/>
      <c r="J1307" s="46"/>
      <c r="K1307" s="46"/>
      <c r="L1307" s="46"/>
      <c r="M1307" s="46"/>
      <c r="N1307" s="46"/>
      <c r="O1307" s="46"/>
      <c r="P1307" s="46"/>
      <c r="Q1307" s="46"/>
      <c r="R1307" s="46"/>
      <c r="S1307" s="46"/>
      <c r="T1307" s="46"/>
      <c r="U1307" s="46"/>
      <c r="V1307" s="46"/>
      <c r="W1307" s="46"/>
      <c r="X1307" s="46"/>
    </row>
    <row r="1308" spans="1:24" ht="12.75" x14ac:dyDescent="0.2">
      <c r="A1308" s="45"/>
      <c r="B1308" s="46"/>
      <c r="C1308" s="46"/>
      <c r="D1308" s="46"/>
      <c r="E1308" s="46"/>
      <c r="F1308" s="46"/>
      <c r="G1308" s="46"/>
      <c r="H1308" s="46"/>
      <c r="I1308" s="46"/>
      <c r="J1308" s="46"/>
      <c r="K1308" s="46"/>
      <c r="L1308" s="46"/>
      <c r="M1308" s="46"/>
      <c r="N1308" s="46"/>
      <c r="O1308" s="46"/>
      <c r="P1308" s="46"/>
      <c r="Q1308" s="46"/>
      <c r="R1308" s="46"/>
      <c r="S1308" s="46"/>
      <c r="T1308" s="46"/>
      <c r="U1308" s="46"/>
      <c r="V1308" s="46"/>
      <c r="W1308" s="46"/>
      <c r="X1308" s="46"/>
    </row>
    <row r="1309" spans="1:24" ht="12.75" x14ac:dyDescent="0.2">
      <c r="A1309" s="45"/>
      <c r="B1309" s="46"/>
      <c r="C1309" s="46"/>
      <c r="D1309" s="46"/>
      <c r="E1309" s="46"/>
      <c r="F1309" s="46"/>
      <c r="G1309" s="46"/>
      <c r="H1309" s="46"/>
      <c r="I1309" s="46"/>
      <c r="J1309" s="46"/>
      <c r="K1309" s="46"/>
      <c r="L1309" s="46"/>
      <c r="M1309" s="46"/>
      <c r="N1309" s="46"/>
      <c r="O1309" s="46"/>
      <c r="P1309" s="46"/>
      <c r="Q1309" s="46"/>
      <c r="R1309" s="46"/>
      <c r="S1309" s="46"/>
      <c r="T1309" s="46"/>
      <c r="U1309" s="46"/>
      <c r="V1309" s="46"/>
      <c r="W1309" s="46"/>
      <c r="X1309" s="46"/>
    </row>
    <row r="1310" spans="1:24" ht="12.75" x14ac:dyDescent="0.2">
      <c r="A1310" s="45"/>
      <c r="B1310" s="46"/>
      <c r="C1310" s="46"/>
      <c r="D1310" s="46"/>
      <c r="E1310" s="46"/>
      <c r="F1310" s="46"/>
      <c r="G1310" s="46"/>
      <c r="H1310" s="46"/>
      <c r="I1310" s="46"/>
      <c r="J1310" s="46"/>
      <c r="K1310" s="46"/>
      <c r="L1310" s="46"/>
      <c r="M1310" s="46"/>
      <c r="N1310" s="46"/>
      <c r="O1310" s="46"/>
      <c r="P1310" s="46"/>
      <c r="Q1310" s="46"/>
      <c r="R1310" s="46"/>
      <c r="S1310" s="46"/>
      <c r="T1310" s="46"/>
      <c r="U1310" s="46"/>
      <c r="V1310" s="46"/>
      <c r="W1310" s="46"/>
      <c r="X1310" s="46"/>
    </row>
    <row r="1311" spans="1:24" ht="12.75" x14ac:dyDescent="0.2">
      <c r="A1311" s="45"/>
      <c r="B1311" s="46"/>
      <c r="C1311" s="46"/>
      <c r="D1311" s="46"/>
      <c r="E1311" s="46"/>
      <c r="F1311" s="46"/>
      <c r="G1311" s="46"/>
      <c r="H1311" s="46"/>
      <c r="I1311" s="46"/>
      <c r="J1311" s="46"/>
      <c r="K1311" s="46"/>
      <c r="L1311" s="46"/>
      <c r="M1311" s="46"/>
      <c r="N1311" s="46"/>
      <c r="O1311" s="46"/>
      <c r="P1311" s="46"/>
      <c r="Q1311" s="46"/>
      <c r="R1311" s="46"/>
      <c r="S1311" s="46"/>
      <c r="T1311" s="46"/>
      <c r="U1311" s="46"/>
      <c r="V1311" s="46"/>
      <c r="W1311" s="46"/>
      <c r="X1311" s="46"/>
    </row>
    <row r="1312" spans="1:24" ht="12.75" x14ac:dyDescent="0.2">
      <c r="A1312" s="45"/>
      <c r="B1312" s="46"/>
      <c r="C1312" s="46"/>
      <c r="D1312" s="46"/>
      <c r="E1312" s="46"/>
      <c r="F1312" s="46"/>
      <c r="G1312" s="46"/>
      <c r="H1312" s="46"/>
      <c r="I1312" s="46"/>
      <c r="J1312" s="46"/>
      <c r="K1312" s="46"/>
      <c r="L1312" s="46"/>
      <c r="M1312" s="46"/>
      <c r="N1312" s="46"/>
      <c r="O1312" s="46"/>
      <c r="P1312" s="46"/>
      <c r="Q1312" s="46"/>
      <c r="R1312" s="46"/>
      <c r="S1312" s="46"/>
      <c r="T1312" s="46"/>
      <c r="U1312" s="46"/>
      <c r="V1312" s="46"/>
      <c r="W1312" s="46"/>
      <c r="X1312" s="46"/>
    </row>
    <row r="1313" spans="1:24" ht="12.75" x14ac:dyDescent="0.2">
      <c r="A1313" s="45"/>
      <c r="B1313" s="46"/>
      <c r="C1313" s="46"/>
      <c r="D1313" s="46"/>
      <c r="E1313" s="46"/>
      <c r="F1313" s="46"/>
      <c r="G1313" s="46"/>
      <c r="H1313" s="46"/>
      <c r="I1313" s="46"/>
      <c r="J1313" s="46"/>
      <c r="K1313" s="46"/>
      <c r="L1313" s="46"/>
      <c r="M1313" s="46"/>
      <c r="N1313" s="46"/>
      <c r="O1313" s="46"/>
      <c r="P1313" s="46"/>
      <c r="Q1313" s="46"/>
      <c r="R1313" s="46"/>
      <c r="S1313" s="46"/>
      <c r="T1313" s="46"/>
      <c r="U1313" s="46"/>
      <c r="V1313" s="46"/>
      <c r="W1313" s="46"/>
      <c r="X1313" s="46"/>
    </row>
    <row r="1314" spans="1:24" ht="12.75" x14ac:dyDescent="0.2">
      <c r="A1314" s="45"/>
      <c r="B1314" s="46"/>
      <c r="C1314" s="46"/>
      <c r="D1314" s="46"/>
      <c r="E1314" s="46"/>
      <c r="F1314" s="46"/>
      <c r="G1314" s="46"/>
      <c r="H1314" s="46"/>
      <c r="I1314" s="46"/>
      <c r="J1314" s="46"/>
      <c r="K1314" s="46"/>
      <c r="L1314" s="46"/>
      <c r="M1314" s="46"/>
      <c r="N1314" s="46"/>
      <c r="O1314" s="46"/>
      <c r="P1314" s="46"/>
      <c r="Q1314" s="46"/>
      <c r="R1314" s="46"/>
      <c r="S1314" s="46"/>
      <c r="T1314" s="46"/>
      <c r="U1314" s="46"/>
      <c r="V1314" s="46"/>
      <c r="W1314" s="46"/>
      <c r="X1314" s="46"/>
    </row>
    <row r="1315" spans="1:24" ht="12.75" x14ac:dyDescent="0.2">
      <c r="A1315" s="45"/>
      <c r="B1315" s="46"/>
      <c r="C1315" s="46"/>
      <c r="D1315" s="46"/>
      <c r="E1315" s="46"/>
      <c r="F1315" s="46"/>
      <c r="G1315" s="46"/>
      <c r="H1315" s="46"/>
      <c r="I1315" s="46"/>
      <c r="J1315" s="46"/>
      <c r="K1315" s="46"/>
      <c r="L1315" s="46"/>
      <c r="M1315" s="46"/>
      <c r="N1315" s="46"/>
      <c r="O1315" s="46"/>
      <c r="P1315" s="46"/>
      <c r="Q1315" s="46"/>
      <c r="R1315" s="46"/>
      <c r="S1315" s="46"/>
      <c r="T1315" s="46"/>
      <c r="U1315" s="46"/>
      <c r="V1315" s="46"/>
      <c r="W1315" s="46"/>
      <c r="X1315" s="46"/>
    </row>
    <row r="1316" spans="1:24" ht="12.75" x14ac:dyDescent="0.2">
      <c r="A1316" s="45"/>
      <c r="B1316" s="46"/>
      <c r="C1316" s="46"/>
      <c r="D1316" s="46"/>
      <c r="E1316" s="46"/>
      <c r="F1316" s="46"/>
      <c r="G1316" s="46"/>
      <c r="H1316" s="46"/>
      <c r="I1316" s="46"/>
      <c r="J1316" s="46"/>
      <c r="K1316" s="46"/>
      <c r="L1316" s="46"/>
      <c r="M1316" s="46"/>
      <c r="N1316" s="46"/>
      <c r="O1316" s="46"/>
      <c r="P1316" s="46"/>
      <c r="Q1316" s="46"/>
      <c r="R1316" s="46"/>
      <c r="S1316" s="46"/>
      <c r="T1316" s="46"/>
      <c r="U1316" s="46"/>
      <c r="V1316" s="46"/>
      <c r="W1316" s="46"/>
      <c r="X1316" s="46"/>
    </row>
    <row r="1317" spans="1:24" ht="12.75" x14ac:dyDescent="0.2">
      <c r="A1317" s="45"/>
      <c r="B1317" s="46"/>
      <c r="C1317" s="46"/>
      <c r="D1317" s="46"/>
      <c r="E1317" s="46"/>
      <c r="F1317" s="46"/>
      <c r="G1317" s="46"/>
      <c r="H1317" s="46"/>
      <c r="I1317" s="46"/>
      <c r="J1317" s="46"/>
      <c r="K1317" s="46"/>
      <c r="L1317" s="46"/>
      <c r="M1317" s="46"/>
      <c r="N1317" s="46"/>
      <c r="O1317" s="46"/>
      <c r="P1317" s="46"/>
      <c r="Q1317" s="46"/>
      <c r="R1317" s="46"/>
      <c r="S1317" s="46"/>
      <c r="T1317" s="46"/>
      <c r="U1317" s="46"/>
      <c r="V1317" s="46"/>
      <c r="W1317" s="46"/>
      <c r="X1317" s="46"/>
    </row>
    <row r="1318" spans="1:24" ht="12.75" x14ac:dyDescent="0.2">
      <c r="A1318" s="45"/>
      <c r="B1318" s="46"/>
      <c r="C1318" s="46"/>
      <c r="D1318" s="46"/>
      <c r="E1318" s="46"/>
      <c r="F1318" s="46"/>
      <c r="G1318" s="46"/>
      <c r="H1318" s="46"/>
      <c r="I1318" s="46"/>
      <c r="J1318" s="46"/>
      <c r="K1318" s="46"/>
      <c r="L1318" s="46"/>
      <c r="M1318" s="46"/>
      <c r="N1318" s="46"/>
      <c r="O1318" s="46"/>
      <c r="P1318" s="46"/>
      <c r="Q1318" s="46"/>
      <c r="R1318" s="46"/>
      <c r="S1318" s="46"/>
      <c r="T1318" s="46"/>
      <c r="U1318" s="46"/>
      <c r="V1318" s="46"/>
      <c r="W1318" s="46"/>
      <c r="X1318" s="46"/>
    </row>
    <row r="1319" spans="1:24" ht="12.75" x14ac:dyDescent="0.2">
      <c r="A1319" s="45"/>
      <c r="B1319" s="46"/>
      <c r="C1319" s="46"/>
      <c r="D1319" s="46"/>
      <c r="E1319" s="46"/>
      <c r="F1319" s="46"/>
      <c r="G1319" s="46"/>
      <c r="H1319" s="46"/>
      <c r="I1319" s="46"/>
      <c r="J1319" s="46"/>
      <c r="K1319" s="46"/>
      <c r="L1319" s="46"/>
      <c r="M1319" s="46"/>
      <c r="N1319" s="46"/>
      <c r="O1319" s="46"/>
      <c r="P1319" s="46"/>
      <c r="Q1319" s="46"/>
      <c r="R1319" s="46"/>
      <c r="S1319" s="46"/>
      <c r="T1319" s="46"/>
      <c r="U1319" s="46"/>
      <c r="V1319" s="46"/>
      <c r="W1319" s="46"/>
      <c r="X1319" s="46"/>
    </row>
    <row r="1320" spans="1:24" ht="12.75" x14ac:dyDescent="0.2">
      <c r="A1320" s="45"/>
      <c r="B1320" s="46"/>
      <c r="C1320" s="46"/>
      <c r="D1320" s="46"/>
      <c r="E1320" s="46"/>
      <c r="F1320" s="46"/>
      <c r="G1320" s="46"/>
      <c r="H1320" s="46"/>
      <c r="I1320" s="46"/>
      <c r="J1320" s="46"/>
      <c r="K1320" s="46"/>
      <c r="L1320" s="46"/>
      <c r="M1320" s="46"/>
      <c r="N1320" s="46"/>
      <c r="O1320" s="46"/>
      <c r="P1320" s="46"/>
      <c r="Q1320" s="46"/>
      <c r="R1320" s="46"/>
      <c r="S1320" s="46"/>
      <c r="T1320" s="46"/>
      <c r="U1320" s="46"/>
      <c r="V1320" s="46"/>
      <c r="W1320" s="46"/>
      <c r="X1320" s="46"/>
    </row>
    <row r="1321" spans="1:24" ht="12.75" x14ac:dyDescent="0.2">
      <c r="A1321" s="45"/>
      <c r="B1321" s="46"/>
      <c r="C1321" s="46"/>
      <c r="D1321" s="46"/>
      <c r="E1321" s="46"/>
      <c r="F1321" s="46"/>
      <c r="G1321" s="46"/>
      <c r="H1321" s="46"/>
      <c r="I1321" s="46"/>
      <c r="J1321" s="46"/>
      <c r="K1321" s="46"/>
      <c r="L1321" s="46"/>
      <c r="M1321" s="46"/>
      <c r="N1321" s="46"/>
      <c r="O1321" s="46"/>
      <c r="P1321" s="46"/>
      <c r="Q1321" s="46"/>
      <c r="R1321" s="46"/>
      <c r="S1321" s="46"/>
      <c r="T1321" s="46"/>
      <c r="U1321" s="46"/>
      <c r="V1321" s="46"/>
      <c r="W1321" s="46"/>
      <c r="X1321" s="46"/>
    </row>
    <row r="1322" spans="1:24" ht="12.75" x14ac:dyDescent="0.2">
      <c r="A1322" s="45"/>
      <c r="B1322" s="46"/>
      <c r="C1322" s="46"/>
      <c r="D1322" s="46"/>
      <c r="E1322" s="46"/>
      <c r="F1322" s="46"/>
      <c r="G1322" s="46"/>
      <c r="H1322" s="46"/>
      <c r="I1322" s="46"/>
      <c r="J1322" s="46"/>
      <c r="K1322" s="46"/>
      <c r="L1322" s="46"/>
      <c r="M1322" s="46"/>
      <c r="N1322" s="46"/>
      <c r="O1322" s="46"/>
      <c r="P1322" s="46"/>
      <c r="Q1322" s="46"/>
      <c r="R1322" s="46"/>
      <c r="S1322" s="46"/>
      <c r="T1322" s="46"/>
      <c r="U1322" s="46"/>
      <c r="V1322" s="46"/>
      <c r="W1322" s="46"/>
      <c r="X1322" s="46"/>
    </row>
    <row r="1323" spans="1:24" ht="12.75" x14ac:dyDescent="0.2">
      <c r="A1323" s="45"/>
      <c r="B1323" s="46"/>
      <c r="C1323" s="46"/>
      <c r="D1323" s="46"/>
      <c r="E1323" s="46"/>
      <c r="F1323" s="46"/>
      <c r="G1323" s="46"/>
      <c r="H1323" s="46"/>
      <c r="I1323" s="46"/>
      <c r="J1323" s="46"/>
      <c r="K1323" s="46"/>
      <c r="L1323" s="46"/>
      <c r="M1323" s="46"/>
      <c r="N1323" s="46"/>
      <c r="O1323" s="46"/>
      <c r="P1323" s="46"/>
      <c r="Q1323" s="46"/>
      <c r="R1323" s="46"/>
      <c r="S1323" s="46"/>
      <c r="T1323" s="46"/>
      <c r="U1323" s="46"/>
      <c r="V1323" s="46"/>
      <c r="W1323" s="46"/>
      <c r="X1323" s="46"/>
    </row>
    <row r="1324" spans="1:24" ht="12.75" x14ac:dyDescent="0.2">
      <c r="A1324" s="45"/>
      <c r="B1324" s="46"/>
      <c r="C1324" s="46"/>
      <c r="D1324" s="46"/>
      <c r="E1324" s="46"/>
      <c r="F1324" s="46"/>
      <c r="G1324" s="46"/>
      <c r="H1324" s="46"/>
      <c r="I1324" s="46"/>
      <c r="J1324" s="46"/>
      <c r="K1324" s="46"/>
      <c r="L1324" s="46"/>
      <c r="M1324" s="46"/>
      <c r="N1324" s="46"/>
      <c r="O1324" s="46"/>
      <c r="P1324" s="46"/>
      <c r="Q1324" s="46"/>
      <c r="R1324" s="46"/>
      <c r="S1324" s="46"/>
      <c r="T1324" s="46"/>
      <c r="U1324" s="46"/>
      <c r="V1324" s="46"/>
      <c r="W1324" s="46"/>
      <c r="X1324" s="46"/>
    </row>
    <row r="1325" spans="1:24" ht="12.75" x14ac:dyDescent="0.2">
      <c r="A1325" s="45"/>
      <c r="B1325" s="46"/>
      <c r="C1325" s="46"/>
      <c r="D1325" s="46"/>
      <c r="E1325" s="46"/>
      <c r="F1325" s="46"/>
      <c r="G1325" s="46"/>
      <c r="H1325" s="46"/>
      <c r="I1325" s="46"/>
      <c r="J1325" s="46"/>
      <c r="K1325" s="46"/>
      <c r="L1325" s="46"/>
      <c r="M1325" s="46"/>
      <c r="N1325" s="46"/>
      <c r="O1325" s="46"/>
      <c r="P1325" s="46"/>
      <c r="Q1325" s="46"/>
      <c r="R1325" s="46"/>
      <c r="S1325" s="46"/>
      <c r="T1325" s="46"/>
      <c r="U1325" s="46"/>
      <c r="V1325" s="46"/>
      <c r="W1325" s="46"/>
      <c r="X1325" s="46"/>
    </row>
    <row r="1326" spans="1:24" ht="12.75" x14ac:dyDescent="0.2">
      <c r="A1326" s="45"/>
      <c r="B1326" s="46"/>
      <c r="C1326" s="46"/>
      <c r="D1326" s="46"/>
      <c r="E1326" s="46"/>
      <c r="F1326" s="46"/>
      <c r="G1326" s="46"/>
      <c r="H1326" s="46"/>
      <c r="I1326" s="46"/>
      <c r="J1326" s="46"/>
      <c r="K1326" s="46"/>
      <c r="L1326" s="46"/>
      <c r="M1326" s="46"/>
      <c r="N1326" s="46"/>
      <c r="O1326" s="46"/>
      <c r="P1326" s="46"/>
      <c r="Q1326" s="46"/>
      <c r="R1326" s="46"/>
      <c r="S1326" s="46"/>
      <c r="T1326" s="46"/>
      <c r="U1326" s="46"/>
      <c r="V1326" s="46"/>
      <c r="W1326" s="46"/>
      <c r="X1326" s="46"/>
    </row>
    <row r="1327" spans="1:24" ht="12.75" x14ac:dyDescent="0.2">
      <c r="A1327" s="45"/>
      <c r="B1327" s="46"/>
      <c r="C1327" s="46"/>
      <c r="D1327" s="46"/>
      <c r="E1327" s="46"/>
      <c r="F1327" s="46"/>
      <c r="G1327" s="46"/>
      <c r="H1327" s="46"/>
      <c r="I1327" s="46"/>
      <c r="J1327" s="46"/>
      <c r="K1327" s="46"/>
      <c r="L1327" s="46"/>
      <c r="M1327" s="46"/>
      <c r="N1327" s="46"/>
      <c r="O1327" s="46"/>
      <c r="P1327" s="46"/>
      <c r="Q1327" s="46"/>
      <c r="R1327" s="46"/>
      <c r="S1327" s="46"/>
      <c r="T1327" s="46"/>
      <c r="U1327" s="46"/>
      <c r="V1327" s="46"/>
      <c r="W1327" s="46"/>
      <c r="X1327" s="46"/>
    </row>
    <row r="1328" spans="1:24" ht="12.75" x14ac:dyDescent="0.2">
      <c r="A1328" s="45"/>
      <c r="B1328" s="46"/>
      <c r="C1328" s="46"/>
      <c r="D1328" s="46"/>
      <c r="E1328" s="46"/>
      <c r="F1328" s="46"/>
      <c r="G1328" s="46"/>
      <c r="H1328" s="46"/>
      <c r="I1328" s="46"/>
      <c r="J1328" s="46"/>
      <c r="K1328" s="46"/>
      <c r="L1328" s="46"/>
      <c r="M1328" s="46"/>
      <c r="N1328" s="46"/>
      <c r="O1328" s="46"/>
      <c r="P1328" s="46"/>
      <c r="Q1328" s="46"/>
      <c r="R1328" s="46"/>
      <c r="S1328" s="46"/>
      <c r="T1328" s="46"/>
      <c r="U1328" s="46"/>
      <c r="V1328" s="46"/>
      <c r="W1328" s="46"/>
      <c r="X1328" s="46"/>
    </row>
    <row r="1329" spans="1:24" ht="12.75" x14ac:dyDescent="0.2">
      <c r="A1329" s="45"/>
      <c r="B1329" s="46"/>
      <c r="C1329" s="46"/>
      <c r="D1329" s="46"/>
      <c r="E1329" s="46"/>
      <c r="F1329" s="46"/>
      <c r="G1329" s="46"/>
      <c r="H1329" s="46"/>
      <c r="I1329" s="46"/>
      <c r="J1329" s="46"/>
      <c r="K1329" s="46"/>
      <c r="L1329" s="46"/>
      <c r="M1329" s="46"/>
      <c r="N1329" s="46"/>
      <c r="O1329" s="46"/>
      <c r="P1329" s="46"/>
      <c r="Q1329" s="46"/>
      <c r="R1329" s="46"/>
      <c r="S1329" s="46"/>
      <c r="T1329" s="46"/>
      <c r="U1329" s="46"/>
      <c r="V1329" s="46"/>
      <c r="W1329" s="46"/>
      <c r="X1329" s="46"/>
    </row>
    <row r="1330" spans="1:24" ht="12.75" x14ac:dyDescent="0.2">
      <c r="A1330" s="45"/>
      <c r="B1330" s="46"/>
      <c r="C1330" s="46"/>
      <c r="D1330" s="46"/>
      <c r="E1330" s="46"/>
      <c r="F1330" s="46"/>
      <c r="G1330" s="46"/>
      <c r="H1330" s="46"/>
      <c r="I1330" s="46"/>
      <c r="J1330" s="46"/>
      <c r="K1330" s="46"/>
      <c r="L1330" s="46"/>
      <c r="M1330" s="46"/>
      <c r="N1330" s="46"/>
      <c r="O1330" s="46"/>
      <c r="P1330" s="46"/>
      <c r="Q1330" s="46"/>
      <c r="R1330" s="46"/>
      <c r="S1330" s="46"/>
      <c r="T1330" s="46"/>
      <c r="U1330" s="46"/>
      <c r="V1330" s="46"/>
      <c r="W1330" s="46"/>
      <c r="X1330" s="46"/>
    </row>
    <row r="1331" spans="1:24" ht="12.75" x14ac:dyDescent="0.2">
      <c r="A1331" s="45"/>
      <c r="B1331" s="46"/>
      <c r="C1331" s="46"/>
      <c r="D1331" s="46"/>
      <c r="E1331" s="46"/>
      <c r="F1331" s="46"/>
      <c r="G1331" s="46"/>
      <c r="H1331" s="46"/>
      <c r="I1331" s="46"/>
      <c r="J1331" s="46"/>
      <c r="K1331" s="46"/>
      <c r="L1331" s="46"/>
      <c r="M1331" s="46"/>
      <c r="N1331" s="46"/>
      <c r="O1331" s="46"/>
      <c r="P1331" s="46"/>
      <c r="Q1331" s="46"/>
      <c r="R1331" s="46"/>
      <c r="S1331" s="46"/>
      <c r="T1331" s="46"/>
      <c r="U1331" s="46"/>
      <c r="V1331" s="46"/>
      <c r="W1331" s="46"/>
      <c r="X1331" s="46"/>
    </row>
    <row r="1332" spans="1:24" ht="12.75" x14ac:dyDescent="0.2">
      <c r="A1332" s="45"/>
      <c r="B1332" s="46"/>
      <c r="C1332" s="46"/>
      <c r="D1332" s="46"/>
      <c r="E1332" s="46"/>
      <c r="F1332" s="46"/>
      <c r="G1332" s="46"/>
      <c r="H1332" s="46"/>
      <c r="I1332" s="46"/>
      <c r="J1332" s="46"/>
      <c r="K1332" s="46"/>
      <c r="L1332" s="46"/>
      <c r="M1332" s="46"/>
      <c r="N1332" s="46"/>
      <c r="O1332" s="46"/>
      <c r="P1332" s="46"/>
      <c r="Q1332" s="46"/>
      <c r="R1332" s="46"/>
      <c r="S1332" s="46"/>
      <c r="T1332" s="46"/>
      <c r="U1332" s="46"/>
      <c r="V1332" s="46"/>
      <c r="W1332" s="46"/>
      <c r="X1332" s="46"/>
    </row>
    <row r="1333" spans="1:24" ht="12.75" x14ac:dyDescent="0.2">
      <c r="A1333" s="45"/>
      <c r="B1333" s="46"/>
      <c r="C1333" s="46"/>
      <c r="D1333" s="46"/>
      <c r="E1333" s="46"/>
      <c r="F1333" s="46"/>
      <c r="G1333" s="46"/>
      <c r="H1333" s="46"/>
      <c r="I1333" s="46"/>
      <c r="J1333" s="46"/>
      <c r="K1333" s="46"/>
      <c r="L1333" s="46"/>
      <c r="M1333" s="46"/>
      <c r="N1333" s="46"/>
      <c r="O1333" s="46"/>
      <c r="P1333" s="46"/>
      <c r="Q1333" s="46"/>
      <c r="R1333" s="46"/>
      <c r="S1333" s="46"/>
      <c r="T1333" s="46"/>
      <c r="U1333" s="46"/>
      <c r="V1333" s="46"/>
      <c r="W1333" s="46"/>
      <c r="X1333" s="46"/>
    </row>
    <row r="1334" spans="1:24" ht="12.75" x14ac:dyDescent="0.2">
      <c r="A1334" s="45"/>
      <c r="B1334" s="46"/>
      <c r="C1334" s="46"/>
      <c r="D1334" s="46"/>
      <c r="E1334" s="46"/>
      <c r="F1334" s="46"/>
      <c r="G1334" s="46"/>
      <c r="H1334" s="46"/>
      <c r="I1334" s="46"/>
      <c r="J1334" s="46"/>
      <c r="K1334" s="46"/>
      <c r="L1334" s="46"/>
      <c r="M1334" s="46"/>
      <c r="N1334" s="46"/>
      <c r="O1334" s="46"/>
      <c r="P1334" s="46"/>
      <c r="Q1334" s="46"/>
      <c r="R1334" s="46"/>
      <c r="S1334" s="46"/>
      <c r="T1334" s="46"/>
      <c r="U1334" s="46"/>
      <c r="V1334" s="46"/>
      <c r="W1334" s="46"/>
      <c r="X1334" s="46"/>
    </row>
    <row r="1335" spans="1:24" ht="12.75" x14ac:dyDescent="0.2">
      <c r="A1335" s="45"/>
      <c r="B1335" s="46"/>
      <c r="C1335" s="46"/>
      <c r="D1335" s="46"/>
      <c r="E1335" s="46"/>
      <c r="F1335" s="46"/>
      <c r="G1335" s="46"/>
      <c r="H1335" s="46"/>
      <c r="I1335" s="46"/>
      <c r="J1335" s="46"/>
      <c r="K1335" s="46"/>
      <c r="L1335" s="46"/>
      <c r="M1335" s="46"/>
      <c r="N1335" s="46"/>
      <c r="O1335" s="46"/>
      <c r="P1335" s="46"/>
      <c r="Q1335" s="46"/>
      <c r="R1335" s="46"/>
      <c r="S1335" s="46"/>
      <c r="T1335" s="46"/>
      <c r="U1335" s="46"/>
      <c r="V1335" s="46"/>
      <c r="W1335" s="46"/>
      <c r="X1335" s="46"/>
    </row>
    <row r="1336" spans="1:24" ht="12.75" x14ac:dyDescent="0.2">
      <c r="A1336" s="45"/>
      <c r="B1336" s="46"/>
      <c r="C1336" s="46"/>
      <c r="D1336" s="46"/>
      <c r="E1336" s="46"/>
      <c r="F1336" s="46"/>
      <c r="G1336" s="46"/>
      <c r="H1336" s="46"/>
      <c r="I1336" s="46"/>
      <c r="J1336" s="46"/>
      <c r="K1336" s="46"/>
      <c r="L1336" s="46"/>
      <c r="M1336" s="46"/>
      <c r="N1336" s="46"/>
      <c r="O1336" s="46"/>
      <c r="P1336" s="46"/>
      <c r="Q1336" s="46"/>
      <c r="R1336" s="46"/>
      <c r="S1336" s="46"/>
      <c r="T1336" s="46"/>
      <c r="U1336" s="46"/>
      <c r="V1336" s="46"/>
      <c r="W1336" s="46"/>
      <c r="X1336" s="46"/>
    </row>
    <row r="1337" spans="1:24" ht="12.75" x14ac:dyDescent="0.2">
      <c r="A1337" s="45"/>
      <c r="B1337" s="46"/>
      <c r="C1337" s="46"/>
      <c r="D1337" s="46"/>
      <c r="E1337" s="46"/>
      <c r="F1337" s="46"/>
      <c r="G1337" s="46"/>
      <c r="H1337" s="46"/>
      <c r="I1337" s="46"/>
      <c r="J1337" s="46"/>
      <c r="K1337" s="46"/>
      <c r="L1337" s="46"/>
      <c r="M1337" s="46"/>
      <c r="N1337" s="46"/>
      <c r="O1337" s="46"/>
      <c r="P1337" s="46"/>
      <c r="Q1337" s="46"/>
      <c r="R1337" s="46"/>
      <c r="S1337" s="46"/>
      <c r="T1337" s="46"/>
      <c r="U1337" s="46"/>
      <c r="V1337" s="46"/>
      <c r="W1337" s="46"/>
      <c r="X1337" s="46"/>
    </row>
    <row r="1338" spans="1:24" ht="12.75" x14ac:dyDescent="0.2">
      <c r="A1338" s="45"/>
      <c r="B1338" s="46"/>
      <c r="C1338" s="46"/>
      <c r="D1338" s="46"/>
      <c r="E1338" s="46"/>
      <c r="F1338" s="46"/>
      <c r="G1338" s="46"/>
      <c r="H1338" s="46"/>
      <c r="I1338" s="46"/>
      <c r="J1338" s="46"/>
      <c r="K1338" s="46"/>
      <c r="L1338" s="46"/>
      <c r="M1338" s="46"/>
      <c r="N1338" s="46"/>
      <c r="O1338" s="46"/>
      <c r="P1338" s="46"/>
      <c r="Q1338" s="46"/>
      <c r="R1338" s="46"/>
      <c r="S1338" s="46"/>
      <c r="T1338" s="46"/>
      <c r="U1338" s="46"/>
      <c r="V1338" s="46"/>
      <c r="W1338" s="46"/>
      <c r="X1338" s="46"/>
    </row>
    <row r="1339" spans="1:24" ht="12.75" x14ac:dyDescent="0.2">
      <c r="A1339" s="45"/>
      <c r="B1339" s="46"/>
      <c r="C1339" s="46"/>
      <c r="D1339" s="46"/>
      <c r="E1339" s="46"/>
      <c r="F1339" s="46"/>
      <c r="G1339" s="46"/>
      <c r="H1339" s="46"/>
      <c r="I1339" s="46"/>
      <c r="J1339" s="46"/>
      <c r="K1339" s="46"/>
      <c r="L1339" s="46"/>
      <c r="M1339" s="46"/>
      <c r="N1339" s="46"/>
      <c r="O1339" s="46"/>
      <c r="P1339" s="46"/>
      <c r="Q1339" s="46"/>
      <c r="R1339" s="46"/>
      <c r="S1339" s="46"/>
      <c r="T1339" s="46"/>
      <c r="U1339" s="46"/>
      <c r="V1339" s="46"/>
      <c r="W1339" s="46"/>
      <c r="X1339" s="46"/>
    </row>
    <row r="1340" spans="1:24" ht="12.75" x14ac:dyDescent="0.2">
      <c r="A1340" s="45"/>
      <c r="B1340" s="46"/>
      <c r="C1340" s="46"/>
      <c r="D1340" s="46"/>
      <c r="E1340" s="46"/>
      <c r="F1340" s="46"/>
      <c r="G1340" s="46"/>
      <c r="H1340" s="46"/>
      <c r="I1340" s="46"/>
      <c r="J1340" s="46"/>
      <c r="K1340" s="46"/>
      <c r="L1340" s="46"/>
      <c r="M1340" s="46"/>
      <c r="N1340" s="46"/>
      <c r="O1340" s="46"/>
      <c r="P1340" s="46"/>
      <c r="Q1340" s="46"/>
      <c r="R1340" s="46"/>
      <c r="S1340" s="46"/>
      <c r="T1340" s="46"/>
      <c r="U1340" s="46"/>
      <c r="V1340" s="46"/>
      <c r="W1340" s="46"/>
      <c r="X1340" s="46"/>
    </row>
    <row r="1341" spans="1:24" ht="12.75" x14ac:dyDescent="0.2">
      <c r="A1341" s="45"/>
      <c r="B1341" s="46"/>
      <c r="C1341" s="46"/>
      <c r="D1341" s="46"/>
      <c r="E1341" s="46"/>
      <c r="F1341" s="46"/>
      <c r="G1341" s="46"/>
      <c r="H1341" s="46"/>
      <c r="I1341" s="46"/>
      <c r="J1341" s="46"/>
      <c r="K1341" s="46"/>
      <c r="L1341" s="46"/>
      <c r="M1341" s="46"/>
      <c r="N1341" s="46"/>
      <c r="O1341" s="46"/>
      <c r="P1341" s="46"/>
      <c r="Q1341" s="46"/>
      <c r="R1341" s="46"/>
      <c r="S1341" s="46"/>
      <c r="T1341" s="46"/>
      <c r="U1341" s="46"/>
      <c r="V1341" s="46"/>
      <c r="W1341" s="46"/>
      <c r="X1341" s="46"/>
    </row>
    <row r="1342" spans="1:24" ht="12.75" x14ac:dyDescent="0.2">
      <c r="A1342" s="45"/>
      <c r="B1342" s="46"/>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46"/>
    </row>
    <row r="1343" spans="1:24" ht="12.75" x14ac:dyDescent="0.2">
      <c r="A1343" s="45"/>
      <c r="B1343" s="46"/>
      <c r="C1343" s="46"/>
      <c r="D1343" s="46"/>
      <c r="E1343" s="46"/>
      <c r="F1343" s="46"/>
      <c r="G1343" s="46"/>
      <c r="H1343" s="46"/>
      <c r="I1343" s="46"/>
      <c r="J1343" s="46"/>
      <c r="K1343" s="46"/>
      <c r="L1343" s="46"/>
      <c r="M1343" s="46"/>
      <c r="N1343" s="46"/>
      <c r="O1343" s="46"/>
      <c r="P1343" s="46"/>
      <c r="Q1343" s="46"/>
      <c r="R1343" s="46"/>
      <c r="S1343" s="46"/>
      <c r="T1343" s="46"/>
      <c r="U1343" s="46"/>
      <c r="V1343" s="46"/>
      <c r="W1343" s="46"/>
      <c r="X1343" s="46"/>
    </row>
    <row r="1344" spans="1:24" ht="12.75" x14ac:dyDescent="0.2">
      <c r="A1344" s="45"/>
      <c r="B1344" s="46"/>
      <c r="C1344" s="46"/>
      <c r="D1344" s="46"/>
      <c r="E1344" s="46"/>
      <c r="F1344" s="46"/>
      <c r="G1344" s="46"/>
      <c r="H1344" s="46"/>
      <c r="I1344" s="46"/>
      <c r="J1344" s="46"/>
      <c r="K1344" s="46"/>
      <c r="L1344" s="46"/>
      <c r="M1344" s="46"/>
      <c r="N1344" s="46"/>
      <c r="O1344" s="46"/>
      <c r="P1344" s="46"/>
      <c r="Q1344" s="46"/>
      <c r="R1344" s="46"/>
      <c r="S1344" s="46"/>
      <c r="T1344" s="46"/>
      <c r="U1344" s="46"/>
      <c r="V1344" s="46"/>
      <c r="W1344" s="46"/>
      <c r="X1344" s="46"/>
    </row>
    <row r="1345" spans="1:24" ht="12.75" x14ac:dyDescent="0.2">
      <c r="A1345" s="45"/>
      <c r="B1345" s="46"/>
      <c r="C1345" s="46"/>
      <c r="D1345" s="46"/>
      <c r="E1345" s="46"/>
      <c r="F1345" s="46"/>
      <c r="G1345" s="46"/>
      <c r="H1345" s="46"/>
      <c r="I1345" s="46"/>
      <c r="J1345" s="46"/>
      <c r="K1345" s="46"/>
      <c r="L1345" s="46"/>
      <c r="M1345" s="46"/>
      <c r="N1345" s="46"/>
      <c r="O1345" s="46"/>
      <c r="P1345" s="46"/>
      <c r="Q1345" s="46"/>
      <c r="R1345" s="46"/>
      <c r="S1345" s="46"/>
      <c r="T1345" s="46"/>
      <c r="U1345" s="46"/>
      <c r="V1345" s="46"/>
      <c r="W1345" s="46"/>
      <c r="X1345" s="46"/>
    </row>
    <row r="1346" spans="1:24" ht="12.75" x14ac:dyDescent="0.2">
      <c r="A1346" s="45"/>
      <c r="B1346" s="46"/>
      <c r="C1346" s="46"/>
      <c r="D1346" s="46"/>
      <c r="E1346" s="46"/>
      <c r="F1346" s="46"/>
      <c r="G1346" s="46"/>
      <c r="H1346" s="46"/>
      <c r="I1346" s="46"/>
      <c r="J1346" s="46"/>
      <c r="K1346" s="46"/>
      <c r="L1346" s="46"/>
      <c r="M1346" s="46"/>
      <c r="N1346" s="46"/>
      <c r="O1346" s="46"/>
      <c r="P1346" s="46"/>
      <c r="Q1346" s="46"/>
      <c r="R1346" s="46"/>
      <c r="S1346" s="46"/>
      <c r="T1346" s="46"/>
      <c r="U1346" s="46"/>
      <c r="V1346" s="46"/>
      <c r="W1346" s="46"/>
      <c r="X1346" s="46"/>
    </row>
    <row r="1347" spans="1:24" ht="12.75" x14ac:dyDescent="0.2">
      <c r="A1347" s="45"/>
      <c r="B1347" s="46"/>
      <c r="C1347" s="46"/>
      <c r="D1347" s="46"/>
      <c r="E1347" s="46"/>
      <c r="F1347" s="46"/>
      <c r="G1347" s="46"/>
      <c r="H1347" s="46"/>
      <c r="I1347" s="46"/>
      <c r="J1347" s="46"/>
      <c r="K1347" s="46"/>
      <c r="L1347" s="46"/>
      <c r="M1347" s="46"/>
      <c r="N1347" s="46"/>
      <c r="O1347" s="46"/>
      <c r="P1347" s="46"/>
      <c r="Q1347" s="46"/>
      <c r="R1347" s="46"/>
      <c r="S1347" s="46"/>
      <c r="T1347" s="46"/>
      <c r="U1347" s="46"/>
      <c r="V1347" s="46"/>
      <c r="W1347" s="46"/>
      <c r="X1347" s="46"/>
    </row>
    <row r="1348" spans="1:24" ht="12.75" x14ac:dyDescent="0.2">
      <c r="A1348" s="45"/>
      <c r="B1348" s="46"/>
      <c r="C1348" s="46"/>
      <c r="D1348" s="46"/>
      <c r="E1348" s="46"/>
      <c r="F1348" s="46"/>
      <c r="G1348" s="46"/>
      <c r="H1348" s="46"/>
      <c r="I1348" s="46"/>
      <c r="J1348" s="46"/>
      <c r="K1348" s="46"/>
      <c r="L1348" s="46"/>
      <c r="M1348" s="46"/>
      <c r="N1348" s="46"/>
      <c r="O1348" s="46"/>
      <c r="P1348" s="46"/>
      <c r="Q1348" s="46"/>
      <c r="R1348" s="46"/>
      <c r="S1348" s="46"/>
      <c r="T1348" s="46"/>
      <c r="U1348" s="46"/>
      <c r="V1348" s="46"/>
      <c r="W1348" s="46"/>
      <c r="X1348" s="46"/>
    </row>
    <row r="1349" spans="1:24" ht="12.75" x14ac:dyDescent="0.2">
      <c r="A1349" s="45"/>
      <c r="B1349" s="46"/>
      <c r="C1349" s="46"/>
      <c r="D1349" s="46"/>
      <c r="E1349" s="46"/>
      <c r="F1349" s="46"/>
      <c r="G1349" s="46"/>
      <c r="H1349" s="46"/>
      <c r="I1349" s="46"/>
      <c r="J1349" s="46"/>
      <c r="K1349" s="46"/>
      <c r="L1349" s="46"/>
      <c r="M1349" s="46"/>
      <c r="N1349" s="46"/>
      <c r="O1349" s="46"/>
      <c r="P1349" s="46"/>
      <c r="Q1349" s="46"/>
      <c r="R1349" s="46"/>
      <c r="S1349" s="46"/>
      <c r="T1349" s="46"/>
      <c r="U1349" s="46"/>
      <c r="V1349" s="46"/>
      <c r="W1349" s="46"/>
      <c r="X1349" s="46"/>
    </row>
    <row r="1350" spans="1:24" ht="12.75" x14ac:dyDescent="0.2">
      <c r="A1350" s="45"/>
      <c r="B1350" s="46"/>
      <c r="C1350" s="46"/>
      <c r="D1350" s="46"/>
      <c r="E1350" s="46"/>
      <c r="F1350" s="46"/>
      <c r="G1350" s="46"/>
      <c r="H1350" s="46"/>
      <c r="I1350" s="46"/>
      <c r="J1350" s="46"/>
      <c r="K1350" s="46"/>
      <c r="L1350" s="46"/>
      <c r="M1350" s="46"/>
      <c r="N1350" s="46"/>
      <c r="O1350" s="46"/>
      <c r="P1350" s="46"/>
      <c r="Q1350" s="46"/>
      <c r="R1350" s="46"/>
      <c r="S1350" s="46"/>
      <c r="T1350" s="46"/>
      <c r="U1350" s="46"/>
      <c r="V1350" s="46"/>
      <c r="W1350" s="46"/>
      <c r="X1350" s="46"/>
    </row>
    <row r="1351" spans="1:24" ht="12.75" x14ac:dyDescent="0.2">
      <c r="A1351" s="45"/>
      <c r="B1351" s="46"/>
      <c r="C1351" s="46"/>
      <c r="D1351" s="46"/>
      <c r="E1351" s="46"/>
      <c r="F1351" s="46"/>
      <c r="G1351" s="46"/>
      <c r="H1351" s="46"/>
      <c r="I1351" s="46"/>
      <c r="J1351" s="46"/>
      <c r="K1351" s="46"/>
      <c r="L1351" s="46"/>
      <c r="M1351" s="46"/>
      <c r="N1351" s="46"/>
      <c r="O1351" s="46"/>
      <c r="P1351" s="46"/>
      <c r="Q1351" s="46"/>
      <c r="R1351" s="46"/>
      <c r="S1351" s="46"/>
      <c r="T1351" s="46"/>
      <c r="U1351" s="46"/>
      <c r="V1351" s="46"/>
      <c r="W1351" s="46"/>
      <c r="X1351" s="46"/>
    </row>
    <row r="1352" spans="1:24" ht="12.75" x14ac:dyDescent="0.2">
      <c r="A1352" s="45"/>
      <c r="B1352" s="46"/>
      <c r="C1352" s="46"/>
      <c r="D1352" s="46"/>
      <c r="E1352" s="46"/>
      <c r="F1352" s="46"/>
      <c r="G1352" s="46"/>
      <c r="H1352" s="46"/>
      <c r="I1352" s="46"/>
      <c r="J1352" s="46"/>
      <c r="K1352" s="46"/>
      <c r="L1352" s="46"/>
      <c r="M1352" s="46"/>
      <c r="N1352" s="46"/>
      <c r="O1352" s="46"/>
      <c r="P1352" s="46"/>
      <c r="Q1352" s="46"/>
      <c r="R1352" s="46"/>
      <c r="S1352" s="46"/>
      <c r="T1352" s="46"/>
      <c r="U1352" s="46"/>
      <c r="V1352" s="46"/>
      <c r="W1352" s="46"/>
      <c r="X1352" s="46"/>
    </row>
    <row r="1353" spans="1:24" ht="12.75" x14ac:dyDescent="0.2">
      <c r="A1353" s="45"/>
      <c r="B1353" s="46"/>
      <c r="C1353" s="46"/>
      <c r="D1353" s="46"/>
      <c r="E1353" s="46"/>
      <c r="F1353" s="46"/>
      <c r="G1353" s="46"/>
      <c r="H1353" s="46"/>
      <c r="I1353" s="46"/>
      <c r="J1353" s="46"/>
      <c r="K1353" s="46"/>
      <c r="L1353" s="46"/>
      <c r="M1353" s="46"/>
      <c r="N1353" s="46"/>
      <c r="O1353" s="46"/>
      <c r="P1353" s="46"/>
      <c r="Q1353" s="46"/>
      <c r="R1353" s="46"/>
      <c r="S1353" s="46"/>
      <c r="T1353" s="46"/>
      <c r="U1353" s="46"/>
      <c r="V1353" s="46"/>
      <c r="W1353" s="46"/>
      <c r="X1353" s="46"/>
    </row>
    <row r="1354" spans="1:24" ht="12.75" x14ac:dyDescent="0.2">
      <c r="A1354" s="45"/>
      <c r="B1354" s="46"/>
      <c r="C1354" s="46"/>
      <c r="D1354" s="46"/>
      <c r="E1354" s="46"/>
      <c r="F1354" s="46"/>
      <c r="G1354" s="46"/>
      <c r="H1354" s="46"/>
      <c r="I1354" s="46"/>
      <c r="J1354" s="46"/>
      <c r="K1354" s="46"/>
      <c r="L1354" s="46"/>
      <c r="M1354" s="46"/>
      <c r="N1354" s="46"/>
      <c r="O1354" s="46"/>
      <c r="P1354" s="46"/>
      <c r="Q1354" s="46"/>
      <c r="R1354" s="46"/>
      <c r="S1354" s="46"/>
      <c r="T1354" s="46"/>
      <c r="U1354" s="46"/>
      <c r="V1354" s="46"/>
      <c r="W1354" s="46"/>
      <c r="X1354" s="46"/>
    </row>
    <row r="1355" spans="1:24" ht="12.75" x14ac:dyDescent="0.2">
      <c r="A1355" s="45"/>
      <c r="B1355" s="46"/>
      <c r="C1355" s="46"/>
      <c r="D1355" s="46"/>
      <c r="E1355" s="46"/>
      <c r="F1355" s="46"/>
      <c r="G1355" s="46"/>
      <c r="H1355" s="46"/>
      <c r="I1355" s="46"/>
      <c r="J1355" s="46"/>
      <c r="K1355" s="46"/>
      <c r="L1355" s="46"/>
      <c r="M1355" s="46"/>
      <c r="N1355" s="46"/>
      <c r="O1355" s="46"/>
      <c r="P1355" s="46"/>
      <c r="Q1355" s="46"/>
      <c r="R1355" s="46"/>
      <c r="S1355" s="46"/>
      <c r="T1355" s="46"/>
      <c r="U1355" s="46"/>
      <c r="V1355" s="46"/>
      <c r="W1355" s="46"/>
      <c r="X1355" s="46"/>
    </row>
    <row r="1356" spans="1:24" ht="12.75" x14ac:dyDescent="0.2">
      <c r="A1356" s="45"/>
      <c r="B1356" s="46"/>
      <c r="C1356" s="46"/>
      <c r="D1356" s="46"/>
      <c r="E1356" s="46"/>
      <c r="F1356" s="46"/>
      <c r="G1356" s="46"/>
      <c r="H1356" s="46"/>
      <c r="I1356" s="46"/>
      <c r="J1356" s="46"/>
      <c r="K1356" s="46"/>
      <c r="L1356" s="46"/>
      <c r="M1356" s="46"/>
      <c r="N1356" s="46"/>
      <c r="O1356" s="46"/>
      <c r="P1356" s="46"/>
      <c r="Q1356" s="46"/>
      <c r="R1356" s="46"/>
      <c r="S1356" s="46"/>
      <c r="T1356" s="46"/>
      <c r="U1356" s="46"/>
      <c r="V1356" s="46"/>
      <c r="W1356" s="46"/>
      <c r="X1356" s="46"/>
    </row>
    <row r="1357" spans="1:24" ht="12.75" x14ac:dyDescent="0.2">
      <c r="A1357" s="45"/>
      <c r="B1357" s="46"/>
      <c r="C1357" s="46"/>
      <c r="D1357" s="46"/>
      <c r="E1357" s="46"/>
      <c r="F1357" s="46"/>
      <c r="G1357" s="46"/>
      <c r="H1357" s="46"/>
      <c r="I1357" s="46"/>
      <c r="J1357" s="46"/>
      <c r="K1357" s="46"/>
      <c r="L1357" s="46"/>
      <c r="M1357" s="46"/>
      <c r="N1357" s="46"/>
      <c r="O1357" s="46"/>
      <c r="P1357" s="46"/>
      <c r="Q1357" s="46"/>
      <c r="R1357" s="46"/>
      <c r="S1357" s="46"/>
      <c r="T1357" s="46"/>
      <c r="U1357" s="46"/>
      <c r="V1357" s="46"/>
      <c r="W1357" s="46"/>
      <c r="X1357" s="46"/>
    </row>
    <row r="1358" spans="1:24" ht="12.75" x14ac:dyDescent="0.2">
      <c r="A1358" s="45"/>
      <c r="B1358" s="46"/>
      <c r="C1358" s="46"/>
      <c r="D1358" s="46"/>
      <c r="E1358" s="46"/>
      <c r="F1358" s="46"/>
      <c r="G1358" s="46"/>
      <c r="H1358" s="46"/>
      <c r="I1358" s="46"/>
      <c r="J1358" s="46"/>
      <c r="K1358" s="46"/>
      <c r="L1358" s="46"/>
      <c r="M1358" s="46"/>
      <c r="N1358" s="46"/>
      <c r="O1358" s="46"/>
      <c r="P1358" s="46"/>
      <c r="Q1358" s="46"/>
      <c r="R1358" s="46"/>
      <c r="S1358" s="46"/>
      <c r="T1358" s="46"/>
      <c r="U1358" s="46"/>
      <c r="V1358" s="46"/>
      <c r="W1358" s="46"/>
      <c r="X1358" s="46"/>
    </row>
    <row r="1359" spans="1:24" ht="12.75" x14ac:dyDescent="0.2">
      <c r="A1359" s="45"/>
      <c r="B1359" s="46"/>
      <c r="C1359" s="46"/>
      <c r="D1359" s="46"/>
      <c r="E1359" s="46"/>
      <c r="F1359" s="46"/>
      <c r="G1359" s="46"/>
      <c r="H1359" s="46"/>
      <c r="I1359" s="46"/>
      <c r="J1359" s="46"/>
      <c r="K1359" s="46"/>
      <c r="L1359" s="46"/>
      <c r="M1359" s="46"/>
      <c r="N1359" s="46"/>
      <c r="O1359" s="46"/>
      <c r="P1359" s="46"/>
      <c r="Q1359" s="46"/>
      <c r="R1359" s="46"/>
      <c r="S1359" s="46"/>
      <c r="T1359" s="46"/>
      <c r="U1359" s="46"/>
      <c r="V1359" s="46"/>
      <c r="W1359" s="46"/>
      <c r="X1359" s="46"/>
    </row>
    <row r="1360" spans="1:24" ht="12.75" x14ac:dyDescent="0.2">
      <c r="A1360" s="45"/>
      <c r="B1360" s="46"/>
      <c r="C1360" s="46"/>
      <c r="D1360" s="46"/>
      <c r="E1360" s="46"/>
      <c r="F1360" s="46"/>
      <c r="G1360" s="46"/>
      <c r="H1360" s="46"/>
      <c r="I1360" s="46"/>
      <c r="J1360" s="46"/>
      <c r="K1360" s="46"/>
      <c r="L1360" s="46"/>
      <c r="M1360" s="46"/>
      <c r="N1360" s="46"/>
      <c r="O1360" s="46"/>
      <c r="P1360" s="46"/>
      <c r="Q1360" s="46"/>
      <c r="R1360" s="46"/>
      <c r="S1360" s="46"/>
      <c r="T1360" s="46"/>
      <c r="U1360" s="46"/>
      <c r="V1360" s="46"/>
      <c r="W1360" s="46"/>
      <c r="X1360" s="46"/>
    </row>
    <row r="1361" spans="1:24" ht="12.75" x14ac:dyDescent="0.2">
      <c r="A1361" s="45"/>
      <c r="B1361" s="46"/>
      <c r="C1361" s="46"/>
      <c r="D1361" s="46"/>
      <c r="E1361" s="46"/>
      <c r="F1361" s="46"/>
      <c r="G1361" s="46"/>
      <c r="H1361" s="46"/>
      <c r="I1361" s="46"/>
      <c r="J1361" s="46"/>
      <c r="K1361" s="46"/>
      <c r="L1361" s="46"/>
      <c r="M1361" s="46"/>
      <c r="N1361" s="46"/>
      <c r="O1361" s="46"/>
      <c r="P1361" s="46"/>
      <c r="Q1361" s="46"/>
      <c r="R1361" s="46"/>
      <c r="S1361" s="46"/>
      <c r="T1361" s="46"/>
      <c r="U1361" s="46"/>
      <c r="V1361" s="46"/>
      <c r="W1361" s="46"/>
      <c r="X1361" s="46"/>
    </row>
    <row r="1362" spans="1:24" ht="12.75" x14ac:dyDescent="0.2">
      <c r="A1362" s="45"/>
      <c r="B1362" s="46"/>
      <c r="C1362" s="46"/>
      <c r="D1362" s="46"/>
      <c r="E1362" s="46"/>
      <c r="F1362" s="46"/>
      <c r="G1362" s="46"/>
      <c r="H1362" s="46"/>
      <c r="I1362" s="46"/>
      <c r="J1362" s="46"/>
      <c r="K1362" s="46"/>
      <c r="L1362" s="46"/>
      <c r="M1362" s="46"/>
      <c r="N1362" s="46"/>
      <c r="O1362" s="46"/>
      <c r="P1362" s="46"/>
      <c r="Q1362" s="46"/>
      <c r="R1362" s="46"/>
      <c r="S1362" s="46"/>
      <c r="T1362" s="46"/>
      <c r="U1362" s="46"/>
      <c r="V1362" s="46"/>
      <c r="W1362" s="46"/>
      <c r="X1362" s="46"/>
    </row>
    <row r="1363" spans="1:24" ht="12.75" x14ac:dyDescent="0.2">
      <c r="A1363" s="45"/>
      <c r="B1363" s="46"/>
      <c r="C1363" s="46"/>
      <c r="D1363" s="46"/>
      <c r="E1363" s="46"/>
      <c r="F1363" s="46"/>
      <c r="G1363" s="46"/>
      <c r="H1363" s="46"/>
      <c r="I1363" s="46"/>
      <c r="J1363" s="46"/>
      <c r="K1363" s="46"/>
      <c r="L1363" s="46"/>
      <c r="M1363" s="46"/>
      <c r="N1363" s="46"/>
      <c r="O1363" s="46"/>
      <c r="P1363" s="46"/>
      <c r="Q1363" s="46"/>
      <c r="R1363" s="46"/>
      <c r="S1363" s="46"/>
      <c r="T1363" s="46"/>
      <c r="U1363" s="46"/>
      <c r="V1363" s="46"/>
      <c r="W1363" s="46"/>
      <c r="X1363" s="46"/>
    </row>
    <row r="1364" spans="1:24" ht="12.75" x14ac:dyDescent="0.2">
      <c r="A1364" s="45"/>
      <c r="B1364" s="46"/>
      <c r="C1364" s="46"/>
      <c r="D1364" s="46"/>
      <c r="E1364" s="46"/>
      <c r="F1364" s="46"/>
      <c r="G1364" s="46"/>
      <c r="H1364" s="46"/>
      <c r="I1364" s="46"/>
      <c r="J1364" s="46"/>
      <c r="K1364" s="46"/>
      <c r="L1364" s="46"/>
      <c r="M1364" s="46"/>
      <c r="N1364" s="46"/>
      <c r="O1364" s="46"/>
      <c r="P1364" s="46"/>
      <c r="Q1364" s="46"/>
      <c r="R1364" s="46"/>
      <c r="S1364" s="46"/>
      <c r="T1364" s="46"/>
      <c r="U1364" s="46"/>
      <c r="V1364" s="46"/>
      <c r="W1364" s="46"/>
      <c r="X1364" s="46"/>
    </row>
    <row r="1365" spans="1:24" ht="12.75" x14ac:dyDescent="0.2">
      <c r="A1365" s="45"/>
      <c r="B1365" s="46"/>
      <c r="C1365" s="46"/>
      <c r="D1365" s="46"/>
      <c r="E1365" s="46"/>
      <c r="F1365" s="46"/>
      <c r="G1365" s="46"/>
      <c r="H1365" s="46"/>
      <c r="I1365" s="46"/>
      <c r="J1365" s="46"/>
      <c r="K1365" s="46"/>
      <c r="L1365" s="46"/>
      <c r="M1365" s="46"/>
      <c r="N1365" s="46"/>
      <c r="O1365" s="46"/>
      <c r="P1365" s="46"/>
      <c r="Q1365" s="46"/>
      <c r="R1365" s="46"/>
      <c r="S1365" s="46"/>
      <c r="T1365" s="46"/>
      <c r="U1365" s="46"/>
      <c r="V1365" s="46"/>
      <c r="W1365" s="46"/>
      <c r="X1365" s="46"/>
    </row>
    <row r="1366" spans="1:24" ht="12.75" x14ac:dyDescent="0.2">
      <c r="A1366" s="45"/>
      <c r="B1366" s="46"/>
      <c r="C1366" s="46"/>
      <c r="D1366" s="46"/>
      <c r="E1366" s="46"/>
      <c r="F1366" s="46"/>
      <c r="G1366" s="46"/>
      <c r="H1366" s="46"/>
      <c r="I1366" s="46"/>
      <c r="J1366" s="46"/>
      <c r="K1366" s="46"/>
      <c r="L1366" s="46"/>
      <c r="M1366" s="46"/>
      <c r="N1366" s="46"/>
      <c r="O1366" s="46"/>
      <c r="P1366" s="46"/>
      <c r="Q1366" s="46"/>
      <c r="R1366" s="46"/>
      <c r="S1366" s="46"/>
      <c r="T1366" s="46"/>
      <c r="U1366" s="46"/>
      <c r="V1366" s="46"/>
      <c r="W1366" s="46"/>
      <c r="X1366" s="46"/>
    </row>
    <row r="1367" spans="1:24" ht="12.75" x14ac:dyDescent="0.2">
      <c r="A1367" s="45"/>
      <c r="B1367" s="46"/>
      <c r="C1367" s="46"/>
      <c r="D1367" s="46"/>
      <c r="E1367" s="46"/>
      <c r="F1367" s="46"/>
      <c r="G1367" s="46"/>
      <c r="H1367" s="46"/>
      <c r="I1367" s="46"/>
      <c r="J1367" s="46"/>
      <c r="K1367" s="46"/>
      <c r="L1367" s="46"/>
      <c r="M1367" s="46"/>
      <c r="N1367" s="46"/>
      <c r="O1367" s="46"/>
      <c r="P1367" s="46"/>
      <c r="Q1367" s="46"/>
      <c r="R1367" s="46"/>
      <c r="S1367" s="46"/>
      <c r="T1367" s="46"/>
      <c r="U1367" s="46"/>
      <c r="V1367" s="46"/>
      <c r="W1367" s="46"/>
      <c r="X1367" s="46"/>
    </row>
    <row r="1368" spans="1:24" ht="12.75" x14ac:dyDescent="0.2">
      <c r="A1368" s="45"/>
      <c r="B1368" s="46"/>
      <c r="C1368" s="46"/>
      <c r="D1368" s="46"/>
      <c r="E1368" s="46"/>
      <c r="F1368" s="46"/>
      <c r="G1368" s="46"/>
      <c r="H1368" s="46"/>
      <c r="I1368" s="46"/>
      <c r="J1368" s="46"/>
      <c r="K1368" s="46"/>
      <c r="L1368" s="46"/>
      <c r="M1368" s="46"/>
      <c r="N1368" s="46"/>
      <c r="O1368" s="46"/>
      <c r="P1368" s="46"/>
      <c r="Q1368" s="46"/>
      <c r="R1368" s="46"/>
      <c r="S1368" s="46"/>
      <c r="T1368" s="46"/>
      <c r="U1368" s="46"/>
      <c r="V1368" s="46"/>
      <c r="W1368" s="46"/>
      <c r="X1368" s="46"/>
    </row>
    <row r="1369" spans="1:24" ht="12.75" x14ac:dyDescent="0.2">
      <c r="A1369" s="45"/>
      <c r="B1369" s="46"/>
      <c r="C1369" s="46"/>
      <c r="D1369" s="46"/>
      <c r="E1369" s="46"/>
      <c r="F1369" s="46"/>
      <c r="G1369" s="46"/>
      <c r="H1369" s="46"/>
      <c r="I1369" s="46"/>
      <c r="J1369" s="46"/>
      <c r="K1369" s="46"/>
      <c r="L1369" s="46"/>
      <c r="M1369" s="46"/>
      <c r="N1369" s="46"/>
      <c r="O1369" s="46"/>
      <c r="P1369" s="46"/>
      <c r="Q1369" s="46"/>
      <c r="R1369" s="46"/>
      <c r="S1369" s="46"/>
      <c r="T1369" s="46"/>
      <c r="U1369" s="46"/>
      <c r="V1369" s="46"/>
      <c r="W1369" s="46"/>
      <c r="X1369" s="46"/>
    </row>
    <row r="1370" spans="1:24" ht="12.75" x14ac:dyDescent="0.2">
      <c r="A1370" s="45"/>
      <c r="B1370" s="46"/>
      <c r="C1370" s="46"/>
      <c r="D1370" s="46"/>
      <c r="E1370" s="46"/>
      <c r="F1370" s="46"/>
      <c r="G1370" s="46"/>
      <c r="H1370" s="46"/>
      <c r="I1370" s="46"/>
      <c r="J1370" s="46"/>
      <c r="K1370" s="46"/>
      <c r="L1370" s="46"/>
      <c r="M1370" s="46"/>
      <c r="N1370" s="46"/>
      <c r="O1370" s="46"/>
      <c r="P1370" s="46"/>
      <c r="Q1370" s="46"/>
      <c r="R1370" s="46"/>
      <c r="S1370" s="46"/>
      <c r="T1370" s="46"/>
      <c r="U1370" s="46"/>
      <c r="V1370" s="46"/>
      <c r="W1370" s="46"/>
      <c r="X1370" s="46"/>
    </row>
    <row r="1371" spans="1:24" ht="12.75" x14ac:dyDescent="0.2">
      <c r="A1371" s="45"/>
      <c r="B1371" s="46"/>
      <c r="C1371" s="46"/>
      <c r="D1371" s="46"/>
      <c r="E1371" s="46"/>
      <c r="F1371" s="46"/>
      <c r="G1371" s="46"/>
      <c r="H1371" s="46"/>
      <c r="I1371" s="46"/>
      <c r="J1371" s="46"/>
      <c r="K1371" s="46"/>
      <c r="L1371" s="46"/>
      <c r="M1371" s="46"/>
      <c r="N1371" s="46"/>
      <c r="O1371" s="46"/>
      <c r="P1371" s="46"/>
      <c r="Q1371" s="46"/>
      <c r="R1371" s="46"/>
      <c r="S1371" s="46"/>
      <c r="T1371" s="46"/>
      <c r="U1371" s="46"/>
      <c r="V1371" s="46"/>
      <c r="W1371" s="46"/>
      <c r="X1371" s="46"/>
    </row>
    <row r="1372" spans="1:24" ht="12.75" x14ac:dyDescent="0.2">
      <c r="A1372" s="45"/>
      <c r="B1372" s="46"/>
      <c r="C1372" s="46"/>
      <c r="D1372" s="46"/>
      <c r="E1372" s="46"/>
      <c r="F1372" s="46"/>
      <c r="G1372" s="46"/>
      <c r="H1372" s="46"/>
      <c r="I1372" s="46"/>
      <c r="J1372" s="46"/>
      <c r="K1372" s="46"/>
      <c r="L1372" s="46"/>
      <c r="M1372" s="46"/>
      <c r="N1372" s="46"/>
      <c r="O1372" s="46"/>
      <c r="P1372" s="46"/>
      <c r="Q1372" s="46"/>
      <c r="R1372" s="46"/>
      <c r="S1372" s="46"/>
      <c r="T1372" s="46"/>
      <c r="U1372" s="46"/>
      <c r="V1372" s="46"/>
      <c r="W1372" s="46"/>
      <c r="X1372" s="46"/>
    </row>
    <row r="1373" spans="1:24" ht="12.75" x14ac:dyDescent="0.2">
      <c r="A1373" s="45"/>
      <c r="B1373" s="46"/>
      <c r="C1373" s="46"/>
      <c r="D1373" s="46"/>
      <c r="E1373" s="46"/>
      <c r="F1373" s="46"/>
      <c r="G1373" s="46"/>
      <c r="H1373" s="46"/>
      <c r="I1373" s="46"/>
      <c r="J1373" s="46"/>
      <c r="K1373" s="46"/>
      <c r="L1373" s="46"/>
      <c r="M1373" s="46"/>
      <c r="N1373" s="46"/>
      <c r="O1373" s="46"/>
      <c r="P1373" s="46"/>
      <c r="Q1373" s="46"/>
      <c r="R1373" s="46"/>
      <c r="S1373" s="46"/>
      <c r="T1373" s="46"/>
      <c r="U1373" s="46"/>
      <c r="V1373" s="46"/>
      <c r="W1373" s="46"/>
      <c r="X1373" s="46"/>
    </row>
    <row r="1374" spans="1:24" ht="12.75" x14ac:dyDescent="0.2">
      <c r="A1374" s="45"/>
      <c r="B1374" s="46"/>
      <c r="C1374" s="46"/>
      <c r="D1374" s="46"/>
      <c r="E1374" s="46"/>
      <c r="F1374" s="46"/>
      <c r="G1374" s="46"/>
      <c r="H1374" s="46"/>
      <c r="I1374" s="46"/>
      <c r="J1374" s="46"/>
      <c r="K1374" s="46"/>
      <c r="L1374" s="46"/>
      <c r="M1374" s="46"/>
      <c r="N1374" s="46"/>
      <c r="O1374" s="46"/>
      <c r="P1374" s="46"/>
      <c r="Q1374" s="46"/>
      <c r="R1374" s="46"/>
      <c r="S1374" s="46"/>
      <c r="T1374" s="46"/>
      <c r="U1374" s="46"/>
      <c r="V1374" s="46"/>
      <c r="W1374" s="46"/>
      <c r="X1374" s="46"/>
    </row>
    <row r="1375" spans="1:24" ht="12.75" x14ac:dyDescent="0.2">
      <c r="A1375" s="45"/>
      <c r="B1375" s="46"/>
      <c r="C1375" s="46"/>
      <c r="D1375" s="46"/>
      <c r="E1375" s="46"/>
      <c r="F1375" s="46"/>
      <c r="G1375" s="46"/>
      <c r="H1375" s="46"/>
      <c r="I1375" s="46"/>
      <c r="J1375" s="46"/>
      <c r="K1375" s="46"/>
      <c r="L1375" s="46"/>
      <c r="M1375" s="46"/>
      <c r="N1375" s="46"/>
      <c r="O1375" s="46"/>
      <c r="P1375" s="46"/>
      <c r="Q1375" s="46"/>
      <c r="R1375" s="46"/>
      <c r="S1375" s="46"/>
      <c r="T1375" s="46"/>
      <c r="U1375" s="46"/>
      <c r="V1375" s="46"/>
      <c r="W1375" s="46"/>
      <c r="X1375" s="46"/>
    </row>
    <row r="1376" spans="1:24" ht="12.75" x14ac:dyDescent="0.2">
      <c r="A1376" s="45"/>
      <c r="B1376" s="46"/>
      <c r="C1376" s="46"/>
      <c r="D1376" s="46"/>
      <c r="E1376" s="46"/>
      <c r="F1376" s="46"/>
      <c r="G1376" s="46"/>
      <c r="H1376" s="46"/>
      <c r="I1376" s="46"/>
      <c r="J1376" s="46"/>
      <c r="K1376" s="46"/>
      <c r="L1376" s="46"/>
      <c r="M1376" s="46"/>
      <c r="N1376" s="46"/>
      <c r="O1376" s="46"/>
      <c r="P1376" s="46"/>
      <c r="Q1376" s="46"/>
      <c r="R1376" s="46"/>
      <c r="S1376" s="46"/>
      <c r="T1376" s="46"/>
      <c r="U1376" s="46"/>
      <c r="V1376" s="46"/>
      <c r="W1376" s="46"/>
      <c r="X1376" s="46"/>
    </row>
    <row r="1377" spans="1:24" ht="12.75" x14ac:dyDescent="0.2">
      <c r="A1377" s="45"/>
      <c r="B1377" s="46"/>
      <c r="C1377" s="46"/>
      <c r="D1377" s="46"/>
      <c r="E1377" s="46"/>
      <c r="F1377" s="46"/>
      <c r="G1377" s="46"/>
      <c r="H1377" s="46"/>
      <c r="I1377" s="46"/>
      <c r="J1377" s="46"/>
      <c r="K1377" s="46"/>
      <c r="L1377" s="46"/>
      <c r="M1377" s="46"/>
      <c r="N1377" s="46"/>
      <c r="O1377" s="46"/>
      <c r="P1377" s="46"/>
      <c r="Q1377" s="46"/>
      <c r="R1377" s="46"/>
      <c r="S1377" s="46"/>
      <c r="T1377" s="46"/>
      <c r="U1377" s="46"/>
      <c r="V1377" s="46"/>
      <c r="W1377" s="46"/>
      <c r="X1377" s="46"/>
    </row>
    <row r="1378" spans="1:24" ht="12.75" x14ac:dyDescent="0.2">
      <c r="A1378" s="45"/>
      <c r="B1378" s="46"/>
      <c r="C1378" s="46"/>
      <c r="D1378" s="46"/>
      <c r="E1378" s="46"/>
      <c r="F1378" s="46"/>
      <c r="G1378" s="46"/>
      <c r="H1378" s="46"/>
      <c r="I1378" s="46"/>
      <c r="J1378" s="46"/>
      <c r="K1378" s="46"/>
      <c r="L1378" s="46"/>
      <c r="M1378" s="46"/>
      <c r="N1378" s="46"/>
      <c r="O1378" s="46"/>
      <c r="P1378" s="46"/>
      <c r="Q1378" s="46"/>
      <c r="R1378" s="46"/>
      <c r="S1378" s="46"/>
      <c r="T1378" s="46"/>
      <c r="U1378" s="46"/>
      <c r="V1378" s="46"/>
      <c r="W1378" s="46"/>
      <c r="X1378" s="46"/>
    </row>
    <row r="1379" spans="1:24" ht="12.75" x14ac:dyDescent="0.2">
      <c r="A1379" s="45"/>
      <c r="B1379" s="46"/>
      <c r="C1379" s="46"/>
      <c r="D1379" s="46"/>
      <c r="E1379" s="46"/>
      <c r="F1379" s="46"/>
      <c r="G1379" s="46"/>
      <c r="H1379" s="46"/>
      <c r="I1379" s="46"/>
      <c r="J1379" s="46"/>
      <c r="K1379" s="46"/>
      <c r="L1379" s="46"/>
      <c r="M1379" s="46"/>
      <c r="N1379" s="46"/>
      <c r="O1379" s="46"/>
      <c r="P1379" s="46"/>
      <c r="Q1379" s="46"/>
      <c r="R1379" s="46"/>
      <c r="S1379" s="46"/>
      <c r="T1379" s="46"/>
      <c r="U1379" s="46"/>
      <c r="V1379" s="46"/>
      <c r="W1379" s="46"/>
      <c r="X1379" s="46"/>
    </row>
    <row r="1380" spans="1:24" ht="12.75" x14ac:dyDescent="0.2">
      <c r="A1380" s="45"/>
      <c r="B1380" s="46"/>
      <c r="C1380" s="46"/>
      <c r="D1380" s="46"/>
      <c r="E1380" s="46"/>
      <c r="F1380" s="46"/>
      <c r="G1380" s="46"/>
      <c r="H1380" s="46"/>
      <c r="I1380" s="46"/>
      <c r="J1380" s="46"/>
      <c r="K1380" s="46"/>
      <c r="L1380" s="46"/>
      <c r="M1380" s="46"/>
      <c r="N1380" s="46"/>
      <c r="O1380" s="46"/>
      <c r="P1380" s="46"/>
      <c r="Q1380" s="46"/>
      <c r="R1380" s="46"/>
      <c r="S1380" s="46"/>
      <c r="T1380" s="46"/>
      <c r="U1380" s="46"/>
      <c r="V1380" s="46"/>
      <c r="W1380" s="46"/>
      <c r="X1380" s="46"/>
    </row>
    <row r="1381" spans="1:24" ht="12.75" x14ac:dyDescent="0.2">
      <c r="A1381" s="45"/>
      <c r="B1381" s="46"/>
      <c r="C1381" s="46"/>
      <c r="D1381" s="46"/>
      <c r="E1381" s="46"/>
      <c r="F1381" s="46"/>
      <c r="G1381" s="46"/>
      <c r="H1381" s="46"/>
      <c r="I1381" s="46"/>
      <c r="J1381" s="46"/>
      <c r="K1381" s="46"/>
      <c r="L1381" s="46"/>
      <c r="M1381" s="46"/>
      <c r="N1381" s="46"/>
      <c r="O1381" s="46"/>
      <c r="P1381" s="46"/>
      <c r="Q1381" s="46"/>
      <c r="R1381" s="46"/>
      <c r="S1381" s="46"/>
      <c r="T1381" s="46"/>
      <c r="U1381" s="46"/>
      <c r="V1381" s="46"/>
      <c r="W1381" s="46"/>
      <c r="X1381" s="46"/>
    </row>
    <row r="1382" spans="1:24" ht="12.75" x14ac:dyDescent="0.2">
      <c r="A1382" s="45"/>
      <c r="B1382" s="46"/>
      <c r="C1382" s="46"/>
      <c r="D1382" s="46"/>
      <c r="E1382" s="46"/>
      <c r="F1382" s="46"/>
      <c r="G1382" s="46"/>
      <c r="H1382" s="46"/>
      <c r="I1382" s="46"/>
      <c r="J1382" s="46"/>
      <c r="K1382" s="46"/>
      <c r="L1382" s="46"/>
      <c r="M1382" s="46"/>
      <c r="N1382" s="46"/>
      <c r="O1382" s="46"/>
      <c r="P1382" s="46"/>
      <c r="Q1382" s="46"/>
      <c r="R1382" s="46"/>
      <c r="S1382" s="46"/>
      <c r="T1382" s="46"/>
      <c r="U1382" s="46"/>
      <c r="V1382" s="46"/>
      <c r="W1382" s="46"/>
      <c r="X1382" s="46"/>
    </row>
    <row r="1383" spans="1:24" ht="12.75" x14ac:dyDescent="0.2">
      <c r="A1383" s="45"/>
      <c r="B1383" s="46"/>
      <c r="C1383" s="46"/>
      <c r="D1383" s="46"/>
      <c r="E1383" s="46"/>
      <c r="F1383" s="46"/>
      <c r="G1383" s="46"/>
      <c r="H1383" s="46"/>
      <c r="I1383" s="46"/>
      <c r="J1383" s="46"/>
      <c r="K1383" s="46"/>
      <c r="L1383" s="46"/>
      <c r="M1383" s="46"/>
      <c r="N1383" s="46"/>
      <c r="O1383" s="46"/>
      <c r="P1383" s="46"/>
      <c r="Q1383" s="46"/>
      <c r="R1383" s="46"/>
      <c r="S1383" s="46"/>
      <c r="T1383" s="46"/>
      <c r="U1383" s="46"/>
      <c r="V1383" s="46"/>
      <c r="W1383" s="46"/>
      <c r="X1383" s="46"/>
    </row>
    <row r="1384" spans="1:24" ht="12.75" x14ac:dyDescent="0.2">
      <c r="A1384" s="45"/>
      <c r="B1384" s="46"/>
      <c r="C1384" s="46"/>
      <c r="D1384" s="46"/>
      <c r="E1384" s="46"/>
      <c r="F1384" s="46"/>
      <c r="G1384" s="46"/>
      <c r="H1384" s="46"/>
      <c r="I1384" s="46"/>
      <c r="J1384" s="46"/>
      <c r="K1384" s="46"/>
      <c r="L1384" s="46"/>
      <c r="M1384" s="46"/>
      <c r="N1384" s="46"/>
      <c r="O1384" s="46"/>
      <c r="P1384" s="46"/>
      <c r="Q1384" s="46"/>
      <c r="R1384" s="46"/>
      <c r="S1384" s="46"/>
      <c r="T1384" s="46"/>
      <c r="U1384" s="46"/>
      <c r="V1384" s="46"/>
      <c r="W1384" s="46"/>
      <c r="X1384" s="46"/>
    </row>
    <row r="1385" spans="1:24" ht="12.75" x14ac:dyDescent="0.2">
      <c r="A1385" s="45"/>
      <c r="B1385" s="46"/>
      <c r="C1385" s="46"/>
      <c r="D1385" s="46"/>
      <c r="E1385" s="46"/>
      <c r="F1385" s="46"/>
      <c r="G1385" s="46"/>
      <c r="H1385" s="46"/>
      <c r="I1385" s="46"/>
      <c r="J1385" s="46"/>
      <c r="K1385" s="46"/>
      <c r="L1385" s="46"/>
      <c r="M1385" s="46"/>
      <c r="N1385" s="46"/>
      <c r="O1385" s="46"/>
      <c r="P1385" s="46"/>
      <c r="Q1385" s="46"/>
      <c r="R1385" s="46"/>
      <c r="S1385" s="46"/>
      <c r="T1385" s="46"/>
      <c r="U1385" s="46"/>
      <c r="V1385" s="46"/>
      <c r="W1385" s="46"/>
      <c r="X1385" s="46"/>
    </row>
    <row r="1386" spans="1:24" ht="12.75" x14ac:dyDescent="0.2">
      <c r="A1386" s="45"/>
      <c r="B1386" s="46"/>
      <c r="C1386" s="46"/>
      <c r="D1386" s="46"/>
      <c r="E1386" s="46"/>
      <c r="F1386" s="46"/>
      <c r="G1386" s="46"/>
      <c r="H1386" s="46"/>
      <c r="I1386" s="46"/>
      <c r="J1386" s="46"/>
      <c r="K1386" s="46"/>
      <c r="L1386" s="46"/>
      <c r="M1386" s="46"/>
      <c r="N1386" s="46"/>
      <c r="O1386" s="46"/>
      <c r="P1386" s="46"/>
      <c r="Q1386" s="46"/>
      <c r="R1386" s="46"/>
      <c r="S1386" s="46"/>
      <c r="T1386" s="46"/>
      <c r="U1386" s="46"/>
      <c r="V1386" s="46"/>
      <c r="W1386" s="46"/>
      <c r="X1386" s="46"/>
    </row>
    <row r="1387" spans="1:24" ht="12.75" x14ac:dyDescent="0.2">
      <c r="A1387" s="45"/>
      <c r="B1387" s="46"/>
      <c r="C1387" s="46"/>
      <c r="D1387" s="46"/>
      <c r="E1387" s="46"/>
      <c r="F1387" s="46"/>
      <c r="G1387" s="46"/>
      <c r="H1387" s="46"/>
      <c r="I1387" s="46"/>
      <c r="J1387" s="46"/>
      <c r="K1387" s="46"/>
      <c r="L1387" s="46"/>
      <c r="M1387" s="46"/>
      <c r="N1387" s="46"/>
      <c r="O1387" s="46"/>
      <c r="P1387" s="46"/>
      <c r="Q1387" s="46"/>
      <c r="R1387" s="46"/>
      <c r="S1387" s="46"/>
      <c r="T1387" s="46"/>
      <c r="U1387" s="46"/>
      <c r="V1387" s="46"/>
      <c r="W1387" s="46"/>
      <c r="X1387" s="46"/>
    </row>
    <row r="1388" spans="1:24" ht="12.75" x14ac:dyDescent="0.2">
      <c r="A1388" s="45"/>
      <c r="B1388" s="46"/>
      <c r="C1388" s="46"/>
      <c r="D1388" s="46"/>
      <c r="E1388" s="46"/>
      <c r="F1388" s="46"/>
      <c r="G1388" s="46"/>
      <c r="H1388" s="46"/>
      <c r="I1388" s="46"/>
      <c r="J1388" s="46"/>
      <c r="K1388" s="46"/>
      <c r="L1388" s="46"/>
      <c r="M1388" s="46"/>
      <c r="N1388" s="46"/>
      <c r="O1388" s="46"/>
      <c r="P1388" s="46"/>
      <c r="Q1388" s="46"/>
      <c r="R1388" s="46"/>
      <c r="S1388" s="46"/>
      <c r="T1388" s="46"/>
      <c r="U1388" s="46"/>
      <c r="V1388" s="46"/>
      <c r="W1388" s="46"/>
      <c r="X1388" s="46"/>
    </row>
    <row r="1389" spans="1:24" ht="12.75" x14ac:dyDescent="0.2">
      <c r="A1389" s="45"/>
      <c r="B1389" s="46"/>
      <c r="C1389" s="46"/>
      <c r="D1389" s="46"/>
      <c r="E1389" s="46"/>
      <c r="F1389" s="46"/>
      <c r="G1389" s="46"/>
      <c r="H1389" s="46"/>
      <c r="I1389" s="46"/>
      <c r="J1389" s="46"/>
      <c r="K1389" s="46"/>
      <c r="L1389" s="46"/>
      <c r="M1389" s="46"/>
      <c r="N1389" s="46"/>
      <c r="O1389" s="46"/>
      <c r="P1389" s="46"/>
      <c r="Q1389" s="46"/>
      <c r="R1389" s="46"/>
      <c r="S1389" s="46"/>
      <c r="T1389" s="46"/>
      <c r="U1389" s="46"/>
      <c r="V1389" s="46"/>
      <c r="W1389" s="46"/>
      <c r="X1389" s="46"/>
    </row>
    <row r="1390" spans="1:24" ht="12.75" x14ac:dyDescent="0.2">
      <c r="A1390" s="45"/>
      <c r="B1390" s="46"/>
      <c r="C1390" s="46"/>
      <c r="D1390" s="46"/>
      <c r="E1390" s="46"/>
      <c r="F1390" s="46"/>
      <c r="G1390" s="46"/>
      <c r="H1390" s="46"/>
      <c r="I1390" s="46"/>
      <c r="J1390" s="46"/>
      <c r="K1390" s="46"/>
      <c r="L1390" s="46"/>
      <c r="M1390" s="46"/>
      <c r="N1390" s="46"/>
      <c r="O1390" s="46"/>
      <c r="P1390" s="46"/>
      <c r="Q1390" s="46"/>
      <c r="R1390" s="46"/>
      <c r="S1390" s="46"/>
      <c r="T1390" s="46"/>
      <c r="U1390" s="46"/>
      <c r="V1390" s="46"/>
      <c r="W1390" s="46"/>
      <c r="X1390" s="46"/>
    </row>
    <row r="1391" spans="1:24" ht="12.75" x14ac:dyDescent="0.2">
      <c r="A1391" s="45"/>
      <c r="B1391" s="46"/>
      <c r="C1391" s="46"/>
      <c r="D1391" s="46"/>
      <c r="E1391" s="46"/>
      <c r="F1391" s="46"/>
      <c r="G1391" s="46"/>
      <c r="H1391" s="46"/>
      <c r="I1391" s="46"/>
      <c r="J1391" s="46"/>
      <c r="K1391" s="46"/>
      <c r="L1391" s="46"/>
      <c r="M1391" s="46"/>
      <c r="N1391" s="46"/>
      <c r="O1391" s="46"/>
      <c r="P1391" s="46"/>
      <c r="Q1391" s="46"/>
      <c r="R1391" s="46"/>
      <c r="S1391" s="46"/>
      <c r="T1391" s="46"/>
      <c r="U1391" s="46"/>
      <c r="V1391" s="46"/>
      <c r="W1391" s="46"/>
      <c r="X1391" s="46"/>
    </row>
    <row r="1392" spans="1:24" ht="12.75" x14ac:dyDescent="0.2">
      <c r="A1392" s="45"/>
      <c r="B1392" s="46"/>
      <c r="C1392" s="46"/>
      <c r="D1392" s="46"/>
      <c r="E1392" s="46"/>
      <c r="F1392" s="46"/>
      <c r="G1392" s="46"/>
      <c r="H1392" s="46"/>
      <c r="I1392" s="46"/>
      <c r="J1392" s="46"/>
      <c r="K1392" s="46"/>
      <c r="L1392" s="46"/>
      <c r="M1392" s="46"/>
      <c r="N1392" s="46"/>
      <c r="O1392" s="46"/>
      <c r="P1392" s="46"/>
      <c r="Q1392" s="46"/>
      <c r="R1392" s="46"/>
      <c r="S1392" s="46"/>
      <c r="T1392" s="46"/>
      <c r="U1392" s="46"/>
      <c r="V1392" s="46"/>
      <c r="W1392" s="46"/>
      <c r="X1392" s="46"/>
    </row>
    <row r="1393" spans="1:24" ht="12.75" x14ac:dyDescent="0.2">
      <c r="A1393" s="45"/>
      <c r="B1393" s="46"/>
      <c r="C1393" s="46"/>
      <c r="D1393" s="46"/>
      <c r="E1393" s="46"/>
      <c r="F1393" s="46"/>
      <c r="G1393" s="46"/>
      <c r="H1393" s="46"/>
      <c r="I1393" s="46"/>
      <c r="J1393" s="46"/>
      <c r="K1393" s="46"/>
      <c r="L1393" s="46"/>
      <c r="M1393" s="46"/>
      <c r="N1393" s="46"/>
      <c r="O1393" s="46"/>
      <c r="P1393" s="46"/>
      <c r="Q1393" s="46"/>
      <c r="R1393" s="46"/>
      <c r="S1393" s="46"/>
      <c r="T1393" s="46"/>
      <c r="U1393" s="46"/>
      <c r="V1393" s="46"/>
      <c r="W1393" s="46"/>
      <c r="X1393" s="46"/>
    </row>
    <row r="1394" spans="1:24" ht="12.75" x14ac:dyDescent="0.2">
      <c r="A1394" s="45"/>
      <c r="B1394" s="46"/>
      <c r="C1394" s="46"/>
      <c r="D1394" s="46"/>
      <c r="E1394" s="46"/>
      <c r="F1394" s="46"/>
      <c r="G1394" s="46"/>
      <c r="H1394" s="46"/>
      <c r="I1394" s="46"/>
      <c r="J1394" s="46"/>
      <c r="K1394" s="46"/>
      <c r="L1394" s="46"/>
      <c r="M1394" s="46"/>
      <c r="N1394" s="46"/>
      <c r="O1394" s="46"/>
      <c r="P1394" s="46"/>
      <c r="Q1394" s="46"/>
      <c r="R1394" s="46"/>
      <c r="S1394" s="46"/>
      <c r="T1394" s="46"/>
      <c r="U1394" s="46"/>
      <c r="V1394" s="46"/>
      <c r="W1394" s="46"/>
      <c r="X1394" s="46"/>
    </row>
    <row r="1395" spans="1:24" ht="12.75" x14ac:dyDescent="0.2">
      <c r="A1395" s="45"/>
      <c r="B1395" s="46"/>
      <c r="C1395" s="46"/>
      <c r="D1395" s="46"/>
      <c r="E1395" s="46"/>
      <c r="F1395" s="46"/>
      <c r="G1395" s="46"/>
      <c r="H1395" s="46"/>
      <c r="I1395" s="46"/>
      <c r="J1395" s="46"/>
      <c r="K1395" s="46"/>
      <c r="L1395" s="46"/>
      <c r="M1395" s="46"/>
      <c r="N1395" s="46"/>
      <c r="O1395" s="46"/>
      <c r="P1395" s="46"/>
      <c r="Q1395" s="46"/>
      <c r="R1395" s="46"/>
      <c r="S1395" s="46"/>
      <c r="T1395" s="46"/>
      <c r="U1395" s="46"/>
      <c r="V1395" s="46"/>
      <c r="W1395" s="46"/>
      <c r="X1395" s="46"/>
    </row>
    <row r="1396" spans="1:24" ht="12.75" x14ac:dyDescent="0.2">
      <c r="A1396" s="45"/>
      <c r="B1396" s="46"/>
      <c r="C1396" s="46"/>
      <c r="D1396" s="46"/>
      <c r="E1396" s="46"/>
      <c r="F1396" s="46"/>
      <c r="G1396" s="46"/>
      <c r="H1396" s="46"/>
      <c r="I1396" s="46"/>
      <c r="J1396" s="46"/>
      <c r="K1396" s="46"/>
      <c r="L1396" s="46"/>
      <c r="M1396" s="46"/>
      <c r="N1396" s="46"/>
      <c r="O1396" s="46"/>
      <c r="P1396" s="46"/>
      <c r="Q1396" s="46"/>
      <c r="R1396" s="46"/>
      <c r="S1396" s="46"/>
      <c r="T1396" s="46"/>
      <c r="U1396" s="46"/>
      <c r="V1396" s="46"/>
      <c r="W1396" s="46"/>
      <c r="X1396" s="46"/>
    </row>
    <row r="1397" spans="1:24" ht="12.75" x14ac:dyDescent="0.2">
      <c r="A1397" s="45"/>
      <c r="B1397" s="46"/>
      <c r="C1397" s="46"/>
      <c r="D1397" s="46"/>
      <c r="E1397" s="46"/>
      <c r="F1397" s="46"/>
      <c r="G1397" s="46"/>
      <c r="H1397" s="46"/>
      <c r="I1397" s="46"/>
      <c r="J1397" s="46"/>
      <c r="K1397" s="46"/>
      <c r="L1397" s="46"/>
      <c r="M1397" s="46"/>
      <c r="N1397" s="46"/>
      <c r="O1397" s="46"/>
      <c r="P1397" s="46"/>
      <c r="Q1397" s="46"/>
      <c r="R1397" s="46"/>
      <c r="S1397" s="46"/>
      <c r="T1397" s="46"/>
      <c r="U1397" s="46"/>
      <c r="V1397" s="46"/>
      <c r="W1397" s="46"/>
      <c r="X1397" s="46"/>
    </row>
    <row r="1398" spans="1:24" ht="12.75" x14ac:dyDescent="0.2">
      <c r="A1398" s="45"/>
      <c r="B1398" s="46"/>
      <c r="C1398" s="46"/>
      <c r="D1398" s="46"/>
      <c r="E1398" s="46"/>
      <c r="F1398" s="46"/>
      <c r="G1398" s="46"/>
      <c r="H1398" s="46"/>
      <c r="I1398" s="46"/>
      <c r="J1398" s="46"/>
      <c r="K1398" s="46"/>
      <c r="L1398" s="46"/>
      <c r="M1398" s="46"/>
      <c r="N1398" s="46"/>
      <c r="O1398" s="46"/>
      <c r="P1398" s="46"/>
      <c r="Q1398" s="46"/>
      <c r="R1398" s="46"/>
      <c r="S1398" s="46"/>
      <c r="T1398" s="46"/>
      <c r="U1398" s="46"/>
      <c r="V1398" s="46"/>
      <c r="W1398" s="46"/>
      <c r="X1398" s="46"/>
    </row>
    <row r="1399" spans="1:24" ht="12.75" x14ac:dyDescent="0.2">
      <c r="A1399" s="45"/>
      <c r="B1399" s="46"/>
      <c r="C1399" s="46"/>
      <c r="D1399" s="46"/>
      <c r="E1399" s="46"/>
      <c r="F1399" s="46"/>
      <c r="G1399" s="46"/>
      <c r="H1399" s="46"/>
      <c r="I1399" s="46"/>
      <c r="J1399" s="46"/>
      <c r="K1399" s="46"/>
      <c r="L1399" s="46"/>
      <c r="M1399" s="46"/>
      <c r="N1399" s="46"/>
      <c r="O1399" s="46"/>
      <c r="P1399" s="46"/>
      <c r="Q1399" s="46"/>
      <c r="R1399" s="46"/>
      <c r="S1399" s="46"/>
      <c r="T1399" s="46"/>
      <c r="U1399" s="46"/>
      <c r="V1399" s="46"/>
      <c r="W1399" s="46"/>
      <c r="X1399" s="46"/>
    </row>
    <row r="1400" spans="1:24" ht="12.75" x14ac:dyDescent="0.2">
      <c r="A1400" s="45"/>
      <c r="B1400" s="46"/>
      <c r="C1400" s="46"/>
      <c r="D1400" s="46"/>
      <c r="E1400" s="46"/>
      <c r="F1400" s="46"/>
      <c r="G1400" s="46"/>
      <c r="H1400" s="46"/>
      <c r="I1400" s="46"/>
      <c r="J1400" s="46"/>
      <c r="K1400" s="46"/>
      <c r="L1400" s="46"/>
      <c r="M1400" s="46"/>
      <c r="N1400" s="46"/>
      <c r="O1400" s="46"/>
      <c r="P1400" s="46"/>
      <c r="Q1400" s="46"/>
      <c r="R1400" s="46"/>
      <c r="S1400" s="46"/>
      <c r="T1400" s="46"/>
      <c r="U1400" s="46"/>
      <c r="V1400" s="46"/>
      <c r="W1400" s="46"/>
      <c r="X1400" s="46"/>
    </row>
    <row r="1401" spans="1:24" ht="12.75" x14ac:dyDescent="0.2">
      <c r="A1401" s="45"/>
      <c r="B1401" s="46"/>
      <c r="C1401" s="46"/>
      <c r="D1401" s="46"/>
      <c r="E1401" s="46"/>
      <c r="F1401" s="46"/>
      <c r="G1401" s="46"/>
      <c r="H1401" s="46"/>
      <c r="I1401" s="46"/>
      <c r="J1401" s="46"/>
      <c r="K1401" s="46"/>
      <c r="L1401" s="46"/>
      <c r="M1401" s="46"/>
      <c r="N1401" s="46"/>
      <c r="O1401" s="46"/>
      <c r="P1401" s="46"/>
      <c r="Q1401" s="46"/>
      <c r="R1401" s="46"/>
      <c r="S1401" s="46"/>
      <c r="T1401" s="46"/>
      <c r="U1401" s="46"/>
      <c r="V1401" s="46"/>
      <c r="W1401" s="46"/>
      <c r="X1401" s="46"/>
    </row>
    <row r="1402" spans="1:24" ht="12.75" x14ac:dyDescent="0.2">
      <c r="A1402" s="45"/>
      <c r="B1402" s="46"/>
      <c r="C1402" s="46"/>
      <c r="D1402" s="46"/>
      <c r="E1402" s="46"/>
      <c r="F1402" s="46"/>
      <c r="G1402" s="46"/>
      <c r="H1402" s="46"/>
      <c r="I1402" s="46"/>
      <c r="J1402" s="46"/>
      <c r="K1402" s="46"/>
      <c r="L1402" s="46"/>
      <c r="M1402" s="46"/>
      <c r="N1402" s="46"/>
      <c r="O1402" s="46"/>
      <c r="P1402" s="46"/>
      <c r="Q1402" s="46"/>
      <c r="R1402" s="46"/>
      <c r="S1402" s="46"/>
      <c r="T1402" s="46"/>
      <c r="U1402" s="46"/>
      <c r="V1402" s="46"/>
      <c r="W1402" s="46"/>
      <c r="X1402" s="46"/>
    </row>
    <row r="1403" spans="1:24" ht="12.75" x14ac:dyDescent="0.2">
      <c r="A1403" s="45"/>
      <c r="B1403" s="46"/>
      <c r="C1403" s="46"/>
      <c r="D1403" s="46"/>
      <c r="E1403" s="46"/>
      <c r="F1403" s="46"/>
      <c r="G1403" s="46"/>
      <c r="H1403" s="46"/>
      <c r="I1403" s="46"/>
      <c r="J1403" s="46"/>
      <c r="K1403" s="46"/>
      <c r="L1403" s="46"/>
      <c r="M1403" s="46"/>
      <c r="N1403" s="46"/>
      <c r="O1403" s="46"/>
      <c r="P1403" s="46"/>
      <c r="Q1403" s="46"/>
      <c r="R1403" s="46"/>
      <c r="S1403" s="46"/>
      <c r="T1403" s="46"/>
      <c r="U1403" s="46"/>
      <c r="V1403" s="46"/>
      <c r="W1403" s="46"/>
      <c r="X1403" s="46"/>
    </row>
    <row r="1404" spans="1:24" ht="12.75" x14ac:dyDescent="0.2">
      <c r="A1404" s="45"/>
      <c r="B1404" s="46"/>
      <c r="C1404" s="46"/>
      <c r="D1404" s="46"/>
      <c r="E1404" s="46"/>
      <c r="F1404" s="46"/>
      <c r="G1404" s="46"/>
      <c r="H1404" s="46"/>
      <c r="I1404" s="46"/>
      <c r="J1404" s="46"/>
      <c r="K1404" s="46"/>
      <c r="L1404" s="46"/>
      <c r="M1404" s="46"/>
      <c r="N1404" s="46"/>
      <c r="O1404" s="46"/>
      <c r="P1404" s="46"/>
      <c r="Q1404" s="46"/>
      <c r="R1404" s="46"/>
      <c r="S1404" s="46"/>
      <c r="T1404" s="46"/>
      <c r="U1404" s="46"/>
      <c r="V1404" s="46"/>
      <c r="W1404" s="46"/>
      <c r="X1404" s="46"/>
    </row>
    <row r="1405" spans="1:24" ht="12.75" x14ac:dyDescent="0.2">
      <c r="A1405" s="45"/>
      <c r="B1405" s="46"/>
      <c r="C1405" s="46"/>
      <c r="D1405" s="46"/>
      <c r="E1405" s="46"/>
      <c r="F1405" s="46"/>
      <c r="G1405" s="46"/>
      <c r="H1405" s="46"/>
      <c r="I1405" s="46"/>
      <c r="J1405" s="46"/>
      <c r="K1405" s="46"/>
      <c r="L1405" s="46"/>
      <c r="M1405" s="46"/>
      <c r="N1405" s="46"/>
      <c r="O1405" s="46"/>
      <c r="P1405" s="46"/>
      <c r="Q1405" s="46"/>
      <c r="R1405" s="46"/>
      <c r="S1405" s="46"/>
      <c r="T1405" s="46"/>
      <c r="U1405" s="46"/>
      <c r="V1405" s="46"/>
      <c r="W1405" s="46"/>
      <c r="X1405" s="46"/>
    </row>
    <row r="1406" spans="1:24" ht="12.75" x14ac:dyDescent="0.2">
      <c r="A1406" s="45"/>
      <c r="B1406" s="46"/>
      <c r="C1406" s="46"/>
      <c r="D1406" s="46"/>
      <c r="E1406" s="46"/>
      <c r="F1406" s="46"/>
      <c r="G1406" s="46"/>
      <c r="H1406" s="46"/>
      <c r="I1406" s="46"/>
      <c r="J1406" s="46"/>
      <c r="K1406" s="46"/>
      <c r="L1406" s="46"/>
      <c r="M1406" s="46"/>
      <c r="N1406" s="46"/>
      <c r="O1406" s="46"/>
      <c r="P1406" s="46"/>
      <c r="Q1406" s="46"/>
      <c r="R1406" s="46"/>
      <c r="S1406" s="46"/>
      <c r="T1406" s="46"/>
      <c r="U1406" s="46"/>
      <c r="V1406" s="46"/>
      <c r="W1406" s="46"/>
      <c r="X1406" s="46"/>
    </row>
    <row r="1407" spans="1:24" ht="12.75" x14ac:dyDescent="0.2">
      <c r="A1407" s="45"/>
      <c r="B1407" s="46"/>
      <c r="C1407" s="46"/>
      <c r="D1407" s="46"/>
      <c r="E1407" s="46"/>
      <c r="F1407" s="46"/>
      <c r="G1407" s="46"/>
      <c r="H1407" s="46"/>
      <c r="I1407" s="46"/>
      <c r="J1407" s="46"/>
      <c r="K1407" s="46"/>
      <c r="L1407" s="46"/>
      <c r="M1407" s="46"/>
      <c r="N1407" s="46"/>
      <c r="O1407" s="46"/>
      <c r="P1407" s="46"/>
      <c r="Q1407" s="46"/>
      <c r="R1407" s="46"/>
      <c r="S1407" s="46"/>
      <c r="T1407" s="46"/>
      <c r="U1407" s="46"/>
      <c r="V1407" s="46"/>
      <c r="W1407" s="46"/>
      <c r="X1407" s="46"/>
    </row>
    <row r="1408" spans="1:24" ht="12.75" x14ac:dyDescent="0.2">
      <c r="A1408" s="45"/>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row>
    <row r="1409" spans="1:24" ht="12.75" x14ac:dyDescent="0.2">
      <c r="A1409" s="45"/>
      <c r="B1409" s="46"/>
      <c r="C1409" s="46"/>
      <c r="D1409" s="46"/>
      <c r="E1409" s="46"/>
      <c r="F1409" s="46"/>
      <c r="G1409" s="46"/>
      <c r="H1409" s="46"/>
      <c r="I1409" s="46"/>
      <c r="J1409" s="46"/>
      <c r="K1409" s="46"/>
      <c r="L1409" s="46"/>
      <c r="M1409" s="46"/>
      <c r="N1409" s="46"/>
      <c r="O1409" s="46"/>
      <c r="P1409" s="46"/>
      <c r="Q1409" s="46"/>
      <c r="R1409" s="46"/>
      <c r="S1409" s="46"/>
      <c r="T1409" s="46"/>
      <c r="U1409" s="46"/>
      <c r="V1409" s="46"/>
      <c r="W1409" s="46"/>
      <c r="X1409" s="46"/>
    </row>
    <row r="1410" spans="1:24" ht="12.75" x14ac:dyDescent="0.2">
      <c r="A1410" s="45"/>
      <c r="B1410" s="46"/>
      <c r="C1410" s="46"/>
      <c r="D1410" s="46"/>
      <c r="E1410" s="46"/>
      <c r="F1410" s="46"/>
      <c r="G1410" s="46"/>
      <c r="H1410" s="46"/>
      <c r="I1410" s="46"/>
      <c r="J1410" s="46"/>
      <c r="K1410" s="46"/>
      <c r="L1410" s="46"/>
      <c r="M1410" s="46"/>
      <c r="N1410" s="46"/>
      <c r="O1410" s="46"/>
      <c r="P1410" s="46"/>
      <c r="Q1410" s="46"/>
      <c r="R1410" s="46"/>
      <c r="S1410" s="46"/>
      <c r="T1410" s="46"/>
      <c r="U1410" s="46"/>
      <c r="V1410" s="46"/>
      <c r="W1410" s="46"/>
      <c r="X1410" s="46"/>
    </row>
    <row r="1411" spans="1:24" ht="12.75" x14ac:dyDescent="0.2">
      <c r="A1411" s="45"/>
      <c r="B1411" s="46"/>
      <c r="C1411" s="46"/>
      <c r="D1411" s="46"/>
      <c r="E1411" s="46"/>
      <c r="F1411" s="46"/>
      <c r="G1411" s="46"/>
      <c r="H1411" s="46"/>
      <c r="I1411" s="46"/>
      <c r="J1411" s="46"/>
      <c r="K1411" s="46"/>
      <c r="L1411" s="46"/>
      <c r="M1411" s="46"/>
      <c r="N1411" s="46"/>
      <c r="O1411" s="46"/>
      <c r="P1411" s="46"/>
      <c r="Q1411" s="46"/>
      <c r="R1411" s="46"/>
      <c r="S1411" s="46"/>
      <c r="T1411" s="46"/>
      <c r="U1411" s="46"/>
      <c r="V1411" s="46"/>
      <c r="W1411" s="46"/>
      <c r="X1411" s="46"/>
    </row>
    <row r="1412" spans="1:24" ht="12.75" x14ac:dyDescent="0.2">
      <c r="A1412" s="45"/>
      <c r="B1412" s="46"/>
      <c r="C1412" s="46"/>
      <c r="D1412" s="46"/>
      <c r="E1412" s="46"/>
      <c r="F1412" s="46"/>
      <c r="G1412" s="46"/>
      <c r="H1412" s="46"/>
      <c r="I1412" s="46"/>
      <c r="J1412" s="46"/>
      <c r="K1412" s="46"/>
      <c r="L1412" s="46"/>
      <c r="M1412" s="46"/>
      <c r="N1412" s="46"/>
      <c r="O1412" s="46"/>
      <c r="P1412" s="46"/>
      <c r="Q1412" s="46"/>
      <c r="R1412" s="46"/>
      <c r="S1412" s="46"/>
      <c r="T1412" s="46"/>
      <c r="U1412" s="46"/>
      <c r="V1412" s="46"/>
      <c r="W1412" s="46"/>
      <c r="X1412" s="46"/>
    </row>
    <row r="1413" spans="1:24" ht="12.75" x14ac:dyDescent="0.2">
      <c r="A1413" s="45"/>
      <c r="B1413" s="46"/>
      <c r="C1413" s="46"/>
      <c r="D1413" s="46"/>
      <c r="E1413" s="46"/>
      <c r="F1413" s="46"/>
      <c r="G1413" s="46"/>
      <c r="H1413" s="46"/>
      <c r="I1413" s="46"/>
      <c r="J1413" s="46"/>
      <c r="K1413" s="46"/>
      <c r="L1413" s="46"/>
      <c r="M1413" s="46"/>
      <c r="N1413" s="46"/>
      <c r="O1413" s="46"/>
      <c r="P1413" s="46"/>
      <c r="Q1413" s="46"/>
      <c r="R1413" s="46"/>
      <c r="S1413" s="46"/>
      <c r="T1413" s="46"/>
      <c r="U1413" s="46"/>
      <c r="V1413" s="46"/>
      <c r="W1413" s="46"/>
      <c r="X1413" s="46"/>
    </row>
    <row r="1414" spans="1:24" ht="12.75" x14ac:dyDescent="0.2">
      <c r="A1414" s="45"/>
      <c r="B1414" s="46"/>
      <c r="C1414" s="46"/>
      <c r="D1414" s="46"/>
      <c r="E1414" s="46"/>
      <c r="F1414" s="46"/>
      <c r="G1414" s="46"/>
      <c r="H1414" s="46"/>
      <c r="I1414" s="46"/>
      <c r="J1414" s="46"/>
      <c r="K1414" s="46"/>
      <c r="L1414" s="46"/>
      <c r="M1414" s="46"/>
      <c r="N1414" s="46"/>
      <c r="O1414" s="46"/>
      <c r="P1414" s="46"/>
      <c r="Q1414" s="46"/>
      <c r="R1414" s="46"/>
      <c r="S1414" s="46"/>
      <c r="T1414" s="46"/>
      <c r="U1414" s="46"/>
      <c r="V1414" s="46"/>
      <c r="W1414" s="46"/>
      <c r="X1414" s="46"/>
    </row>
    <row r="1415" spans="1:24" ht="12.75" x14ac:dyDescent="0.2">
      <c r="A1415" s="45"/>
      <c r="B1415" s="46"/>
      <c r="C1415" s="46"/>
      <c r="D1415" s="46"/>
      <c r="E1415" s="46"/>
      <c r="F1415" s="46"/>
      <c r="G1415" s="46"/>
      <c r="H1415" s="46"/>
      <c r="I1415" s="46"/>
      <c r="J1415" s="46"/>
      <c r="K1415" s="46"/>
      <c r="L1415" s="46"/>
      <c r="M1415" s="46"/>
      <c r="N1415" s="46"/>
      <c r="O1415" s="46"/>
      <c r="P1415" s="46"/>
      <c r="Q1415" s="46"/>
      <c r="R1415" s="46"/>
      <c r="S1415" s="46"/>
      <c r="T1415" s="46"/>
      <c r="U1415" s="46"/>
      <c r="V1415" s="46"/>
      <c r="W1415" s="46"/>
      <c r="X1415" s="46"/>
    </row>
    <row r="1416" spans="1:24" ht="12.75" x14ac:dyDescent="0.2">
      <c r="A1416" s="45"/>
      <c r="B1416" s="46"/>
      <c r="C1416" s="46"/>
      <c r="D1416" s="46"/>
      <c r="E1416" s="46"/>
      <c r="F1416" s="46"/>
      <c r="G1416" s="46"/>
      <c r="H1416" s="46"/>
      <c r="I1416" s="46"/>
      <c r="J1416" s="46"/>
      <c r="K1416" s="46"/>
      <c r="L1416" s="46"/>
      <c r="M1416" s="46"/>
      <c r="N1416" s="46"/>
      <c r="O1416" s="46"/>
      <c r="P1416" s="46"/>
      <c r="Q1416" s="46"/>
      <c r="R1416" s="46"/>
      <c r="S1416" s="46"/>
      <c r="T1416" s="46"/>
      <c r="U1416" s="46"/>
      <c r="V1416" s="46"/>
      <c r="W1416" s="46"/>
      <c r="X1416" s="46"/>
    </row>
    <row r="1417" spans="1:24" ht="12.75" x14ac:dyDescent="0.2">
      <c r="A1417" s="45"/>
      <c r="B1417" s="46"/>
      <c r="C1417" s="46"/>
      <c r="D1417" s="46"/>
      <c r="E1417" s="46"/>
      <c r="F1417" s="46"/>
      <c r="G1417" s="46"/>
      <c r="H1417" s="46"/>
      <c r="I1417" s="46"/>
      <c r="J1417" s="46"/>
      <c r="K1417" s="46"/>
      <c r="L1417" s="46"/>
      <c r="M1417" s="46"/>
      <c r="N1417" s="46"/>
      <c r="O1417" s="46"/>
      <c r="P1417" s="46"/>
      <c r="Q1417" s="46"/>
      <c r="R1417" s="46"/>
      <c r="S1417" s="46"/>
      <c r="T1417" s="46"/>
      <c r="U1417" s="46"/>
      <c r="V1417" s="46"/>
      <c r="W1417" s="46"/>
      <c r="X1417" s="46"/>
    </row>
    <row r="1418" spans="1:24" ht="12.75" x14ac:dyDescent="0.2">
      <c r="A1418" s="45"/>
      <c r="B1418" s="46"/>
      <c r="C1418" s="46"/>
      <c r="D1418" s="46"/>
      <c r="E1418" s="46"/>
      <c r="F1418" s="46"/>
      <c r="G1418" s="46"/>
      <c r="H1418" s="46"/>
      <c r="I1418" s="46"/>
      <c r="J1418" s="46"/>
      <c r="K1418" s="46"/>
      <c r="L1418" s="46"/>
      <c r="M1418" s="46"/>
      <c r="N1418" s="46"/>
      <c r="O1418" s="46"/>
      <c r="P1418" s="46"/>
      <c r="Q1418" s="46"/>
      <c r="R1418" s="46"/>
      <c r="S1418" s="46"/>
      <c r="T1418" s="46"/>
      <c r="U1418" s="46"/>
      <c r="V1418" s="46"/>
      <c r="W1418" s="46"/>
      <c r="X1418" s="46"/>
    </row>
    <row r="1419" spans="1:24" ht="12.75" x14ac:dyDescent="0.2">
      <c r="A1419" s="45"/>
      <c r="B1419" s="46"/>
      <c r="C1419" s="46"/>
      <c r="D1419" s="46"/>
      <c r="E1419" s="46"/>
      <c r="F1419" s="46"/>
      <c r="G1419" s="46"/>
      <c r="H1419" s="46"/>
      <c r="I1419" s="46"/>
      <c r="J1419" s="46"/>
      <c r="K1419" s="46"/>
      <c r="L1419" s="46"/>
      <c r="M1419" s="46"/>
      <c r="N1419" s="46"/>
      <c r="O1419" s="46"/>
      <c r="P1419" s="46"/>
      <c r="Q1419" s="46"/>
      <c r="R1419" s="46"/>
      <c r="S1419" s="46"/>
      <c r="T1419" s="46"/>
      <c r="U1419" s="46"/>
      <c r="V1419" s="46"/>
      <c r="W1419" s="46"/>
      <c r="X1419" s="46"/>
    </row>
    <row r="1420" spans="1:24" ht="12.75" x14ac:dyDescent="0.2">
      <c r="A1420" s="45"/>
      <c r="B1420" s="46"/>
      <c r="C1420" s="46"/>
      <c r="D1420" s="46"/>
      <c r="E1420" s="46"/>
      <c r="F1420" s="46"/>
      <c r="G1420" s="46"/>
      <c r="H1420" s="46"/>
      <c r="I1420" s="46"/>
      <c r="J1420" s="46"/>
      <c r="K1420" s="46"/>
      <c r="L1420" s="46"/>
      <c r="M1420" s="46"/>
      <c r="N1420" s="46"/>
      <c r="O1420" s="46"/>
      <c r="P1420" s="46"/>
      <c r="Q1420" s="46"/>
      <c r="R1420" s="46"/>
      <c r="S1420" s="46"/>
      <c r="T1420" s="46"/>
      <c r="U1420" s="46"/>
      <c r="V1420" s="46"/>
      <c r="W1420" s="46"/>
      <c r="X1420" s="46"/>
    </row>
    <row r="1421" spans="1:24" ht="12.75" x14ac:dyDescent="0.2">
      <c r="A1421" s="45"/>
      <c r="B1421" s="46"/>
      <c r="C1421" s="46"/>
      <c r="D1421" s="46"/>
      <c r="E1421" s="46"/>
      <c r="F1421" s="46"/>
      <c r="G1421" s="46"/>
      <c r="H1421" s="46"/>
      <c r="I1421" s="46"/>
      <c r="J1421" s="46"/>
      <c r="K1421" s="46"/>
      <c r="L1421" s="46"/>
      <c r="M1421" s="46"/>
      <c r="N1421" s="46"/>
      <c r="O1421" s="46"/>
      <c r="P1421" s="46"/>
      <c r="Q1421" s="46"/>
      <c r="R1421" s="46"/>
      <c r="S1421" s="46"/>
      <c r="T1421" s="46"/>
      <c r="U1421" s="46"/>
      <c r="V1421" s="46"/>
      <c r="W1421" s="46"/>
      <c r="X1421" s="46"/>
    </row>
    <row r="1422" spans="1:24" ht="12.75" x14ac:dyDescent="0.2">
      <c r="A1422" s="45"/>
      <c r="B1422" s="46"/>
      <c r="C1422" s="46"/>
      <c r="D1422" s="46"/>
      <c r="E1422" s="46"/>
      <c r="F1422" s="46"/>
      <c r="G1422" s="46"/>
      <c r="H1422" s="46"/>
      <c r="I1422" s="46"/>
      <c r="J1422" s="46"/>
      <c r="K1422" s="46"/>
      <c r="L1422" s="46"/>
      <c r="M1422" s="46"/>
      <c r="N1422" s="46"/>
      <c r="O1422" s="46"/>
      <c r="P1422" s="46"/>
      <c r="Q1422" s="46"/>
      <c r="R1422" s="46"/>
      <c r="S1422" s="46"/>
      <c r="T1422" s="46"/>
      <c r="U1422" s="46"/>
      <c r="V1422" s="46"/>
      <c r="W1422" s="46"/>
      <c r="X1422" s="46"/>
    </row>
    <row r="1423" spans="1:24" ht="12.75" x14ac:dyDescent="0.2">
      <c r="A1423" s="45"/>
      <c r="B1423" s="46"/>
      <c r="C1423" s="46"/>
      <c r="D1423" s="46"/>
      <c r="E1423" s="46"/>
      <c r="F1423" s="46"/>
      <c r="G1423" s="46"/>
      <c r="H1423" s="46"/>
      <c r="I1423" s="46"/>
      <c r="J1423" s="46"/>
      <c r="K1423" s="46"/>
      <c r="L1423" s="46"/>
      <c r="M1423" s="46"/>
      <c r="N1423" s="46"/>
      <c r="O1423" s="46"/>
      <c r="P1423" s="46"/>
      <c r="Q1423" s="46"/>
      <c r="R1423" s="46"/>
      <c r="S1423" s="46"/>
      <c r="T1423" s="46"/>
      <c r="U1423" s="46"/>
      <c r="V1423" s="46"/>
      <c r="W1423" s="46"/>
      <c r="X1423" s="46"/>
    </row>
    <row r="1424" spans="1:24" ht="12.75" x14ac:dyDescent="0.2">
      <c r="A1424" s="45"/>
      <c r="B1424" s="46"/>
      <c r="C1424" s="46"/>
      <c r="D1424" s="46"/>
      <c r="E1424" s="46"/>
      <c r="F1424" s="46"/>
      <c r="G1424" s="46"/>
      <c r="H1424" s="46"/>
      <c r="I1424" s="46"/>
      <c r="J1424" s="46"/>
      <c r="K1424" s="46"/>
      <c r="L1424" s="46"/>
      <c r="M1424" s="46"/>
      <c r="N1424" s="46"/>
      <c r="O1424" s="46"/>
      <c r="P1424" s="46"/>
      <c r="Q1424" s="46"/>
      <c r="R1424" s="46"/>
      <c r="S1424" s="46"/>
      <c r="T1424" s="46"/>
      <c r="U1424" s="46"/>
      <c r="V1424" s="46"/>
      <c r="W1424" s="46"/>
      <c r="X1424" s="46"/>
    </row>
    <row r="1425" spans="1:24" ht="12.75" x14ac:dyDescent="0.2">
      <c r="A1425" s="45"/>
      <c r="B1425" s="46"/>
      <c r="C1425" s="46"/>
      <c r="D1425" s="46"/>
      <c r="E1425" s="46"/>
      <c r="F1425" s="46"/>
      <c r="G1425" s="46"/>
      <c r="H1425" s="46"/>
      <c r="I1425" s="46"/>
      <c r="J1425" s="46"/>
      <c r="K1425" s="46"/>
      <c r="L1425" s="46"/>
      <c r="M1425" s="46"/>
      <c r="N1425" s="46"/>
      <c r="O1425" s="46"/>
      <c r="P1425" s="46"/>
      <c r="Q1425" s="46"/>
      <c r="R1425" s="46"/>
      <c r="S1425" s="46"/>
      <c r="T1425" s="46"/>
      <c r="U1425" s="46"/>
      <c r="V1425" s="46"/>
      <c r="W1425" s="46"/>
      <c r="X1425" s="46"/>
    </row>
    <row r="1426" spans="1:24" ht="12.75" x14ac:dyDescent="0.2">
      <c r="A1426" s="45"/>
      <c r="B1426" s="46"/>
      <c r="C1426" s="46"/>
      <c r="D1426" s="46"/>
      <c r="E1426" s="46"/>
      <c r="F1426" s="46"/>
      <c r="G1426" s="46"/>
      <c r="H1426" s="46"/>
      <c r="I1426" s="46"/>
      <c r="J1426" s="46"/>
      <c r="K1426" s="46"/>
      <c r="L1426" s="46"/>
      <c r="M1426" s="46"/>
      <c r="N1426" s="46"/>
      <c r="O1426" s="46"/>
      <c r="P1426" s="46"/>
      <c r="Q1426" s="46"/>
      <c r="R1426" s="46"/>
      <c r="S1426" s="46"/>
      <c r="T1426" s="46"/>
      <c r="U1426" s="46"/>
      <c r="V1426" s="46"/>
      <c r="W1426" s="46"/>
      <c r="X1426" s="46"/>
    </row>
    <row r="1427" spans="1:24" ht="12.75" x14ac:dyDescent="0.2">
      <c r="A1427" s="45"/>
      <c r="B1427" s="46"/>
      <c r="C1427" s="46"/>
      <c r="D1427" s="46"/>
      <c r="E1427" s="46"/>
      <c r="F1427" s="46"/>
      <c r="G1427" s="46"/>
      <c r="H1427" s="46"/>
      <c r="I1427" s="46"/>
      <c r="J1427" s="46"/>
      <c r="K1427" s="46"/>
      <c r="L1427" s="46"/>
      <c r="M1427" s="46"/>
      <c r="N1427" s="46"/>
      <c r="O1427" s="46"/>
      <c r="P1427" s="46"/>
      <c r="Q1427" s="46"/>
      <c r="R1427" s="46"/>
      <c r="S1427" s="46"/>
      <c r="T1427" s="46"/>
      <c r="U1427" s="46"/>
      <c r="V1427" s="46"/>
      <c r="W1427" s="46"/>
      <c r="X1427" s="46"/>
    </row>
    <row r="1428" spans="1:24" ht="12.75" x14ac:dyDescent="0.2">
      <c r="A1428" s="45"/>
      <c r="B1428" s="46"/>
      <c r="C1428" s="46"/>
      <c r="D1428" s="46"/>
      <c r="E1428" s="46"/>
      <c r="F1428" s="46"/>
      <c r="G1428" s="46"/>
      <c r="H1428" s="46"/>
      <c r="I1428" s="46"/>
      <c r="J1428" s="46"/>
      <c r="K1428" s="46"/>
      <c r="L1428" s="46"/>
      <c r="M1428" s="46"/>
      <c r="N1428" s="46"/>
      <c r="O1428" s="46"/>
      <c r="P1428" s="46"/>
      <c r="Q1428" s="46"/>
      <c r="R1428" s="46"/>
      <c r="S1428" s="46"/>
      <c r="T1428" s="46"/>
      <c r="U1428" s="46"/>
      <c r="V1428" s="46"/>
      <c r="W1428" s="46"/>
      <c r="X1428" s="46"/>
    </row>
    <row r="1429" spans="1:24" ht="12.75" x14ac:dyDescent="0.2">
      <c r="A1429" s="45"/>
      <c r="B1429" s="46"/>
      <c r="C1429" s="46"/>
      <c r="D1429" s="46"/>
      <c r="E1429" s="46"/>
      <c r="F1429" s="46"/>
      <c r="G1429" s="46"/>
      <c r="H1429" s="46"/>
      <c r="I1429" s="46"/>
      <c r="J1429" s="46"/>
      <c r="K1429" s="46"/>
      <c r="L1429" s="46"/>
      <c r="M1429" s="46"/>
      <c r="N1429" s="46"/>
      <c r="O1429" s="46"/>
      <c r="P1429" s="46"/>
      <c r="Q1429" s="46"/>
      <c r="R1429" s="46"/>
      <c r="S1429" s="46"/>
      <c r="T1429" s="46"/>
      <c r="U1429" s="46"/>
      <c r="V1429" s="46"/>
      <c r="W1429" s="46"/>
      <c r="X1429" s="46"/>
    </row>
    <row r="1430" spans="1:24" ht="12.75" x14ac:dyDescent="0.2">
      <c r="A1430" s="45"/>
      <c r="B1430" s="46"/>
      <c r="C1430" s="46"/>
      <c r="D1430" s="46"/>
      <c r="E1430" s="46"/>
      <c r="F1430" s="46"/>
      <c r="G1430" s="46"/>
      <c r="H1430" s="46"/>
      <c r="I1430" s="46"/>
      <c r="J1430" s="46"/>
      <c r="K1430" s="46"/>
      <c r="L1430" s="46"/>
      <c r="M1430" s="46"/>
      <c r="N1430" s="46"/>
      <c r="O1430" s="46"/>
      <c r="P1430" s="46"/>
      <c r="Q1430" s="46"/>
      <c r="R1430" s="46"/>
      <c r="S1430" s="46"/>
      <c r="T1430" s="46"/>
      <c r="U1430" s="46"/>
      <c r="V1430" s="46"/>
      <c r="W1430" s="46"/>
      <c r="X1430" s="46"/>
    </row>
    <row r="1431" spans="1:24" ht="12.75" x14ac:dyDescent="0.2">
      <c r="A1431" s="45"/>
      <c r="B1431" s="46"/>
      <c r="C1431" s="46"/>
      <c r="D1431" s="46"/>
      <c r="E1431" s="46"/>
      <c r="F1431" s="46"/>
      <c r="G1431" s="46"/>
      <c r="H1431" s="46"/>
      <c r="I1431" s="46"/>
      <c r="J1431" s="46"/>
      <c r="K1431" s="46"/>
      <c r="L1431" s="46"/>
      <c r="M1431" s="46"/>
      <c r="N1431" s="46"/>
      <c r="O1431" s="46"/>
      <c r="P1431" s="46"/>
      <c r="Q1431" s="46"/>
      <c r="R1431" s="46"/>
      <c r="S1431" s="46"/>
      <c r="T1431" s="46"/>
      <c r="U1431" s="46"/>
      <c r="V1431" s="46"/>
      <c r="W1431" s="46"/>
      <c r="X1431" s="46"/>
    </row>
    <row r="1432" spans="1:24" ht="12.75" x14ac:dyDescent="0.2">
      <c r="A1432" s="45"/>
      <c r="B1432" s="46"/>
      <c r="C1432" s="46"/>
      <c r="D1432" s="46"/>
      <c r="E1432" s="46"/>
      <c r="F1432" s="46"/>
      <c r="G1432" s="46"/>
      <c r="H1432" s="46"/>
      <c r="I1432" s="46"/>
      <c r="J1432" s="46"/>
      <c r="K1432" s="46"/>
      <c r="L1432" s="46"/>
      <c r="M1432" s="46"/>
      <c r="N1432" s="46"/>
      <c r="O1432" s="46"/>
      <c r="P1432" s="46"/>
      <c r="Q1432" s="46"/>
      <c r="R1432" s="46"/>
      <c r="S1432" s="46"/>
      <c r="T1432" s="46"/>
      <c r="U1432" s="46"/>
      <c r="V1432" s="46"/>
      <c r="W1432" s="46"/>
      <c r="X1432" s="46"/>
    </row>
    <row r="1433" spans="1:24" ht="12.75" x14ac:dyDescent="0.2">
      <c r="A1433" s="45"/>
      <c r="B1433" s="46"/>
      <c r="C1433" s="46"/>
      <c r="D1433" s="46"/>
      <c r="E1433" s="46"/>
      <c r="F1433" s="46"/>
      <c r="G1433" s="46"/>
      <c r="H1433" s="46"/>
      <c r="I1433" s="46"/>
      <c r="J1433" s="46"/>
      <c r="K1433" s="46"/>
      <c r="L1433" s="46"/>
      <c r="M1433" s="46"/>
      <c r="N1433" s="46"/>
      <c r="O1433" s="46"/>
      <c r="P1433" s="46"/>
      <c r="Q1433" s="46"/>
      <c r="R1433" s="46"/>
      <c r="S1433" s="46"/>
      <c r="T1433" s="46"/>
      <c r="U1433" s="46"/>
      <c r="V1433" s="46"/>
      <c r="W1433" s="46"/>
      <c r="X1433" s="46"/>
    </row>
    <row r="1434" spans="1:24" ht="12.75" x14ac:dyDescent="0.2">
      <c r="A1434" s="45"/>
      <c r="B1434" s="46"/>
      <c r="C1434" s="46"/>
      <c r="D1434" s="46"/>
      <c r="E1434" s="46"/>
      <c r="F1434" s="46"/>
      <c r="G1434" s="46"/>
      <c r="H1434" s="46"/>
      <c r="I1434" s="46"/>
      <c r="J1434" s="46"/>
      <c r="K1434" s="46"/>
      <c r="L1434" s="46"/>
      <c r="M1434" s="46"/>
      <c r="N1434" s="46"/>
      <c r="O1434" s="46"/>
      <c r="P1434" s="46"/>
      <c r="Q1434" s="46"/>
      <c r="R1434" s="46"/>
      <c r="S1434" s="46"/>
      <c r="T1434" s="46"/>
      <c r="U1434" s="46"/>
      <c r="V1434" s="46"/>
      <c r="W1434" s="46"/>
      <c r="X1434" s="46"/>
    </row>
    <row r="1435" spans="1:24" ht="12.75" x14ac:dyDescent="0.2">
      <c r="A1435" s="45"/>
      <c r="B1435" s="46"/>
      <c r="C1435" s="46"/>
      <c r="D1435" s="46"/>
      <c r="E1435" s="46"/>
      <c r="F1435" s="46"/>
      <c r="G1435" s="46"/>
      <c r="H1435" s="46"/>
      <c r="I1435" s="46"/>
      <c r="J1435" s="46"/>
      <c r="K1435" s="46"/>
      <c r="L1435" s="46"/>
      <c r="M1435" s="46"/>
      <c r="N1435" s="46"/>
      <c r="O1435" s="46"/>
      <c r="P1435" s="46"/>
      <c r="Q1435" s="46"/>
      <c r="R1435" s="46"/>
      <c r="S1435" s="46"/>
      <c r="T1435" s="46"/>
      <c r="U1435" s="46"/>
      <c r="V1435" s="46"/>
      <c r="W1435" s="46"/>
      <c r="X1435" s="46"/>
    </row>
    <row r="1436" spans="1:24" ht="12.75" x14ac:dyDescent="0.2">
      <c r="A1436" s="45"/>
      <c r="B1436" s="46"/>
      <c r="C1436" s="46"/>
      <c r="D1436" s="46"/>
      <c r="E1436" s="46"/>
      <c r="F1436" s="46"/>
      <c r="G1436" s="46"/>
      <c r="H1436" s="46"/>
      <c r="I1436" s="46"/>
      <c r="J1436" s="46"/>
      <c r="K1436" s="46"/>
      <c r="L1436" s="46"/>
      <c r="M1436" s="46"/>
      <c r="N1436" s="46"/>
      <c r="O1436" s="46"/>
      <c r="P1436" s="46"/>
      <c r="Q1436" s="46"/>
      <c r="R1436" s="46"/>
      <c r="S1436" s="46"/>
      <c r="T1436" s="46"/>
      <c r="U1436" s="46"/>
      <c r="V1436" s="46"/>
      <c r="W1436" s="46"/>
      <c r="X1436" s="46"/>
    </row>
    <row r="1437" spans="1:24" ht="12.75" x14ac:dyDescent="0.2">
      <c r="A1437" s="45"/>
      <c r="B1437" s="46"/>
      <c r="C1437" s="46"/>
      <c r="D1437" s="46"/>
      <c r="E1437" s="46"/>
      <c r="F1437" s="46"/>
      <c r="G1437" s="46"/>
      <c r="H1437" s="46"/>
      <c r="I1437" s="46"/>
      <c r="J1437" s="46"/>
      <c r="K1437" s="46"/>
      <c r="L1437" s="46"/>
      <c r="M1437" s="46"/>
      <c r="N1437" s="46"/>
      <c r="O1437" s="46"/>
      <c r="P1437" s="46"/>
      <c r="Q1437" s="46"/>
      <c r="R1437" s="46"/>
      <c r="S1437" s="46"/>
      <c r="T1437" s="46"/>
      <c r="U1437" s="46"/>
      <c r="V1437" s="46"/>
      <c r="W1437" s="46"/>
      <c r="X1437" s="46"/>
    </row>
    <row r="1438" spans="1:24" ht="12.75" x14ac:dyDescent="0.2">
      <c r="A1438" s="45"/>
      <c r="B1438" s="46"/>
      <c r="C1438" s="46"/>
      <c r="D1438" s="46"/>
      <c r="E1438" s="46"/>
      <c r="F1438" s="46"/>
      <c r="G1438" s="46"/>
      <c r="H1438" s="46"/>
      <c r="I1438" s="46"/>
      <c r="J1438" s="46"/>
      <c r="K1438" s="46"/>
      <c r="L1438" s="46"/>
      <c r="M1438" s="46"/>
      <c r="N1438" s="46"/>
      <c r="O1438" s="46"/>
      <c r="P1438" s="46"/>
      <c r="Q1438" s="46"/>
      <c r="R1438" s="46"/>
      <c r="S1438" s="46"/>
      <c r="T1438" s="46"/>
      <c r="U1438" s="46"/>
      <c r="V1438" s="46"/>
      <c r="W1438" s="46"/>
      <c r="X1438" s="46"/>
    </row>
    <row r="1439" spans="1:24" ht="12.75" x14ac:dyDescent="0.2">
      <c r="A1439" s="45"/>
      <c r="B1439" s="46"/>
      <c r="C1439" s="46"/>
      <c r="D1439" s="46"/>
      <c r="E1439" s="46"/>
      <c r="F1439" s="46"/>
      <c r="G1439" s="46"/>
      <c r="H1439" s="46"/>
      <c r="I1439" s="46"/>
      <c r="J1439" s="46"/>
      <c r="K1439" s="46"/>
      <c r="L1439" s="46"/>
      <c r="M1439" s="46"/>
      <c r="N1439" s="46"/>
      <c r="O1439" s="46"/>
      <c r="P1439" s="46"/>
      <c r="Q1439" s="46"/>
      <c r="R1439" s="46"/>
      <c r="S1439" s="46"/>
      <c r="T1439" s="46"/>
      <c r="U1439" s="46"/>
      <c r="V1439" s="46"/>
      <c r="W1439" s="46"/>
      <c r="X1439" s="46"/>
    </row>
    <row r="1440" spans="1:24" ht="12.75" x14ac:dyDescent="0.2">
      <c r="A1440" s="45"/>
      <c r="B1440" s="46"/>
      <c r="C1440" s="46"/>
      <c r="D1440" s="46"/>
      <c r="E1440" s="46"/>
      <c r="F1440" s="46"/>
      <c r="G1440" s="46"/>
      <c r="H1440" s="46"/>
      <c r="I1440" s="46"/>
      <c r="J1440" s="46"/>
      <c r="K1440" s="46"/>
      <c r="L1440" s="46"/>
      <c r="M1440" s="46"/>
      <c r="N1440" s="46"/>
      <c r="O1440" s="46"/>
      <c r="P1440" s="46"/>
      <c r="Q1440" s="46"/>
      <c r="R1440" s="46"/>
      <c r="S1440" s="46"/>
      <c r="T1440" s="46"/>
      <c r="U1440" s="46"/>
      <c r="V1440" s="46"/>
      <c r="W1440" s="46"/>
      <c r="X1440" s="46"/>
    </row>
    <row r="1441" spans="1:24" ht="12.75" x14ac:dyDescent="0.2">
      <c r="A1441" s="45"/>
      <c r="B1441" s="46"/>
      <c r="C1441" s="46"/>
      <c r="D1441" s="46"/>
      <c r="E1441" s="46"/>
      <c r="F1441" s="46"/>
      <c r="G1441" s="46"/>
      <c r="H1441" s="46"/>
      <c r="I1441" s="46"/>
      <c r="J1441" s="46"/>
      <c r="K1441" s="46"/>
      <c r="L1441" s="46"/>
      <c r="M1441" s="46"/>
      <c r="N1441" s="46"/>
      <c r="O1441" s="46"/>
      <c r="P1441" s="46"/>
      <c r="Q1441" s="46"/>
      <c r="R1441" s="46"/>
      <c r="S1441" s="46"/>
      <c r="T1441" s="46"/>
      <c r="U1441" s="46"/>
      <c r="V1441" s="46"/>
      <c r="W1441" s="46"/>
      <c r="X1441" s="46"/>
    </row>
    <row r="1442" spans="1:24" ht="12.75" x14ac:dyDescent="0.2">
      <c r="A1442" s="45"/>
      <c r="B1442" s="46"/>
      <c r="C1442" s="46"/>
      <c r="D1442" s="46"/>
      <c r="E1442" s="46"/>
      <c r="F1442" s="46"/>
      <c r="G1442" s="46"/>
      <c r="H1442" s="46"/>
      <c r="I1442" s="46"/>
      <c r="J1442" s="46"/>
      <c r="K1442" s="46"/>
      <c r="L1442" s="46"/>
      <c r="M1442" s="46"/>
      <c r="N1442" s="46"/>
      <c r="O1442" s="46"/>
      <c r="P1442" s="46"/>
      <c r="Q1442" s="46"/>
      <c r="R1442" s="46"/>
      <c r="S1442" s="46"/>
      <c r="T1442" s="46"/>
      <c r="U1442" s="46"/>
      <c r="V1442" s="46"/>
      <c r="W1442" s="46"/>
      <c r="X1442" s="46"/>
    </row>
    <row r="1443" spans="1:24" ht="12.75" x14ac:dyDescent="0.2">
      <c r="A1443" s="45"/>
      <c r="B1443" s="46"/>
      <c r="C1443" s="46"/>
      <c r="D1443" s="46"/>
      <c r="E1443" s="46"/>
      <c r="F1443" s="46"/>
      <c r="G1443" s="46"/>
      <c r="H1443" s="46"/>
      <c r="I1443" s="46"/>
      <c r="J1443" s="46"/>
      <c r="K1443" s="46"/>
      <c r="L1443" s="46"/>
      <c r="M1443" s="46"/>
      <c r="N1443" s="46"/>
      <c r="O1443" s="46"/>
      <c r="P1443" s="46"/>
      <c r="Q1443" s="46"/>
      <c r="R1443" s="46"/>
      <c r="S1443" s="46"/>
      <c r="T1443" s="46"/>
      <c r="U1443" s="46"/>
      <c r="V1443" s="46"/>
      <c r="W1443" s="46"/>
      <c r="X1443" s="46"/>
    </row>
    <row r="1444" spans="1:24" ht="12.75" x14ac:dyDescent="0.2">
      <c r="A1444" s="45"/>
      <c r="B1444" s="46"/>
      <c r="C1444" s="46"/>
      <c r="D1444" s="46"/>
      <c r="E1444" s="46"/>
      <c r="F1444" s="46"/>
      <c r="G1444" s="46"/>
      <c r="H1444" s="46"/>
      <c r="I1444" s="46"/>
      <c r="J1444" s="46"/>
      <c r="K1444" s="46"/>
      <c r="L1444" s="46"/>
      <c r="M1444" s="46"/>
      <c r="N1444" s="46"/>
      <c r="O1444" s="46"/>
      <c r="P1444" s="46"/>
      <c r="Q1444" s="46"/>
      <c r="R1444" s="46"/>
      <c r="S1444" s="46"/>
      <c r="T1444" s="46"/>
      <c r="U1444" s="46"/>
      <c r="V1444" s="46"/>
      <c r="W1444" s="46"/>
      <c r="X1444" s="46"/>
    </row>
    <row r="1445" spans="1:24" ht="12.75" x14ac:dyDescent="0.2">
      <c r="A1445" s="45"/>
      <c r="B1445" s="46"/>
      <c r="C1445" s="46"/>
      <c r="D1445" s="46"/>
      <c r="E1445" s="46"/>
      <c r="F1445" s="46"/>
      <c r="G1445" s="46"/>
      <c r="H1445" s="46"/>
      <c r="I1445" s="46"/>
      <c r="J1445" s="46"/>
      <c r="K1445" s="46"/>
      <c r="L1445" s="46"/>
      <c r="M1445" s="46"/>
      <c r="N1445" s="46"/>
      <c r="O1445" s="46"/>
      <c r="P1445" s="46"/>
      <c r="Q1445" s="46"/>
      <c r="R1445" s="46"/>
      <c r="S1445" s="46"/>
      <c r="T1445" s="46"/>
      <c r="U1445" s="46"/>
      <c r="V1445" s="46"/>
      <c r="W1445" s="46"/>
      <c r="X1445" s="46"/>
    </row>
    <row r="1446" spans="1:24" ht="12.75" x14ac:dyDescent="0.2">
      <c r="A1446" s="45"/>
      <c r="B1446" s="46"/>
      <c r="C1446" s="46"/>
      <c r="D1446" s="46"/>
      <c r="E1446" s="46"/>
      <c r="F1446" s="46"/>
      <c r="G1446" s="46"/>
      <c r="H1446" s="46"/>
      <c r="I1446" s="46"/>
      <c r="J1446" s="46"/>
      <c r="K1446" s="46"/>
      <c r="L1446" s="46"/>
      <c r="M1446" s="46"/>
      <c r="N1446" s="46"/>
      <c r="O1446" s="46"/>
      <c r="P1446" s="46"/>
      <c r="Q1446" s="46"/>
      <c r="R1446" s="46"/>
      <c r="S1446" s="46"/>
      <c r="T1446" s="46"/>
      <c r="U1446" s="46"/>
      <c r="V1446" s="46"/>
      <c r="W1446" s="46"/>
      <c r="X1446" s="46"/>
    </row>
    <row r="1447" spans="1:24" ht="12.75" x14ac:dyDescent="0.2">
      <c r="A1447" s="45"/>
      <c r="B1447" s="46"/>
      <c r="C1447" s="46"/>
      <c r="D1447" s="46"/>
      <c r="E1447" s="46"/>
      <c r="F1447" s="46"/>
      <c r="G1447" s="46"/>
      <c r="H1447" s="46"/>
      <c r="I1447" s="46"/>
      <c r="J1447" s="46"/>
      <c r="K1447" s="46"/>
      <c r="L1447" s="46"/>
      <c r="M1447" s="46"/>
      <c r="N1447" s="46"/>
      <c r="O1447" s="46"/>
      <c r="P1447" s="46"/>
      <c r="Q1447" s="46"/>
      <c r="R1447" s="46"/>
      <c r="S1447" s="46"/>
      <c r="T1447" s="46"/>
      <c r="U1447" s="46"/>
      <c r="V1447" s="46"/>
      <c r="W1447" s="46"/>
      <c r="X1447" s="46"/>
    </row>
    <row r="1448" spans="1:24" ht="12.75" x14ac:dyDescent="0.2">
      <c r="A1448" s="45"/>
      <c r="B1448" s="46"/>
      <c r="C1448" s="46"/>
      <c r="D1448" s="46"/>
      <c r="E1448" s="46"/>
      <c r="F1448" s="46"/>
      <c r="G1448" s="46"/>
      <c r="H1448" s="46"/>
      <c r="I1448" s="46"/>
      <c r="J1448" s="46"/>
      <c r="K1448" s="46"/>
      <c r="L1448" s="46"/>
      <c r="M1448" s="46"/>
      <c r="N1448" s="46"/>
      <c r="O1448" s="46"/>
      <c r="P1448" s="46"/>
      <c r="Q1448" s="46"/>
      <c r="R1448" s="46"/>
      <c r="S1448" s="46"/>
      <c r="T1448" s="46"/>
      <c r="U1448" s="46"/>
      <c r="V1448" s="46"/>
      <c r="W1448" s="46"/>
      <c r="X1448" s="46"/>
    </row>
    <row r="1449" spans="1:24" ht="12.75" x14ac:dyDescent="0.2">
      <c r="A1449" s="45"/>
      <c r="B1449" s="46"/>
      <c r="C1449" s="46"/>
      <c r="D1449" s="46"/>
      <c r="E1449" s="46"/>
      <c r="F1449" s="46"/>
      <c r="G1449" s="46"/>
      <c r="H1449" s="46"/>
      <c r="I1449" s="46"/>
      <c r="J1449" s="46"/>
      <c r="K1449" s="46"/>
      <c r="L1449" s="46"/>
      <c r="M1449" s="46"/>
      <c r="N1449" s="46"/>
      <c r="O1449" s="46"/>
      <c r="P1449" s="46"/>
      <c r="Q1449" s="46"/>
      <c r="R1449" s="46"/>
      <c r="S1449" s="46"/>
      <c r="T1449" s="46"/>
      <c r="U1449" s="46"/>
      <c r="V1449" s="46"/>
      <c r="W1449" s="46"/>
      <c r="X1449" s="46"/>
    </row>
    <row r="1450" spans="1:24" ht="12.75" x14ac:dyDescent="0.2">
      <c r="A1450" s="45"/>
      <c r="B1450" s="46"/>
      <c r="C1450" s="46"/>
      <c r="D1450" s="46"/>
      <c r="E1450" s="46"/>
      <c r="F1450" s="46"/>
      <c r="G1450" s="46"/>
      <c r="H1450" s="46"/>
      <c r="I1450" s="46"/>
      <c r="J1450" s="46"/>
      <c r="K1450" s="46"/>
      <c r="L1450" s="46"/>
      <c r="M1450" s="46"/>
      <c r="N1450" s="46"/>
      <c r="O1450" s="46"/>
      <c r="P1450" s="46"/>
      <c r="Q1450" s="46"/>
      <c r="R1450" s="46"/>
      <c r="S1450" s="46"/>
      <c r="T1450" s="46"/>
      <c r="U1450" s="46"/>
      <c r="V1450" s="46"/>
      <c r="W1450" s="46"/>
      <c r="X1450" s="46"/>
    </row>
    <row r="1451" spans="1:24" ht="12.75" x14ac:dyDescent="0.2">
      <c r="A1451" s="45"/>
      <c r="B1451" s="46"/>
      <c r="C1451" s="46"/>
      <c r="D1451" s="46"/>
      <c r="E1451" s="46"/>
      <c r="F1451" s="46"/>
      <c r="G1451" s="46"/>
      <c r="H1451" s="46"/>
      <c r="I1451" s="46"/>
      <c r="J1451" s="46"/>
      <c r="K1451" s="46"/>
      <c r="L1451" s="46"/>
      <c r="M1451" s="46"/>
      <c r="N1451" s="46"/>
      <c r="O1451" s="46"/>
      <c r="P1451" s="46"/>
      <c r="Q1451" s="46"/>
      <c r="R1451" s="46"/>
      <c r="S1451" s="46"/>
      <c r="T1451" s="46"/>
      <c r="U1451" s="46"/>
      <c r="V1451" s="46"/>
      <c r="W1451" s="46"/>
      <c r="X1451" s="46"/>
    </row>
    <row r="1452" spans="1:24" ht="12.75" x14ac:dyDescent="0.2">
      <c r="A1452" s="45"/>
      <c r="B1452" s="46"/>
      <c r="C1452" s="46"/>
      <c r="D1452" s="46"/>
      <c r="E1452" s="46"/>
      <c r="F1452" s="46"/>
      <c r="G1452" s="46"/>
      <c r="H1452" s="46"/>
      <c r="I1452" s="46"/>
      <c r="J1452" s="46"/>
      <c r="K1452" s="46"/>
      <c r="L1452" s="46"/>
      <c r="M1452" s="46"/>
      <c r="N1452" s="46"/>
      <c r="O1452" s="46"/>
      <c r="P1452" s="46"/>
      <c r="Q1452" s="46"/>
      <c r="R1452" s="46"/>
      <c r="S1452" s="46"/>
      <c r="T1452" s="46"/>
      <c r="U1452" s="46"/>
      <c r="V1452" s="46"/>
      <c r="W1452" s="46"/>
      <c r="X1452" s="46"/>
    </row>
    <row r="1453" spans="1:24" ht="12.75" x14ac:dyDescent="0.2">
      <c r="A1453" s="45"/>
      <c r="B1453" s="46"/>
      <c r="C1453" s="46"/>
      <c r="D1453" s="46"/>
      <c r="E1453" s="46"/>
      <c r="F1453" s="46"/>
      <c r="G1453" s="46"/>
      <c r="H1453" s="46"/>
      <c r="I1453" s="46"/>
      <c r="J1453" s="46"/>
      <c r="K1453" s="46"/>
      <c r="L1453" s="46"/>
      <c r="M1453" s="46"/>
      <c r="N1453" s="46"/>
      <c r="O1453" s="46"/>
      <c r="P1453" s="46"/>
      <c r="Q1453" s="46"/>
      <c r="R1453" s="46"/>
      <c r="S1453" s="46"/>
      <c r="T1453" s="46"/>
      <c r="U1453" s="46"/>
      <c r="V1453" s="46"/>
      <c r="W1453" s="46"/>
      <c r="X1453" s="46"/>
    </row>
    <row r="1454" spans="1:24" ht="12.75" x14ac:dyDescent="0.2">
      <c r="A1454" s="45"/>
      <c r="B1454" s="46"/>
      <c r="C1454" s="46"/>
      <c r="D1454" s="46"/>
      <c r="E1454" s="46"/>
      <c r="F1454" s="46"/>
      <c r="G1454" s="46"/>
      <c r="H1454" s="46"/>
      <c r="I1454" s="46"/>
      <c r="J1454" s="46"/>
      <c r="K1454" s="46"/>
      <c r="L1454" s="46"/>
      <c r="M1454" s="46"/>
      <c r="N1454" s="46"/>
      <c r="O1454" s="46"/>
      <c r="P1454" s="46"/>
      <c r="Q1454" s="46"/>
      <c r="R1454" s="46"/>
      <c r="S1454" s="46"/>
      <c r="T1454" s="46"/>
      <c r="U1454" s="46"/>
      <c r="V1454" s="46"/>
      <c r="W1454" s="46"/>
      <c r="X1454" s="46"/>
    </row>
    <row r="1455" spans="1:24" ht="12.75" x14ac:dyDescent="0.2">
      <c r="A1455" s="45"/>
      <c r="B1455" s="46"/>
      <c r="C1455" s="46"/>
      <c r="D1455" s="46"/>
      <c r="E1455" s="46"/>
      <c r="F1455" s="46"/>
      <c r="G1455" s="46"/>
      <c r="H1455" s="46"/>
      <c r="I1455" s="46"/>
      <c r="J1455" s="46"/>
      <c r="K1455" s="46"/>
      <c r="L1455" s="46"/>
      <c r="M1455" s="46"/>
      <c r="N1455" s="46"/>
      <c r="O1455" s="46"/>
      <c r="P1455" s="46"/>
      <c r="Q1455" s="46"/>
      <c r="R1455" s="46"/>
      <c r="S1455" s="46"/>
      <c r="T1455" s="46"/>
      <c r="U1455" s="46"/>
      <c r="V1455" s="46"/>
      <c r="W1455" s="46"/>
      <c r="X1455" s="46"/>
    </row>
    <row r="1456" spans="1:24" ht="12.75" x14ac:dyDescent="0.2">
      <c r="A1456" s="45"/>
      <c r="B1456" s="46"/>
      <c r="C1456" s="46"/>
      <c r="D1456" s="46"/>
      <c r="E1456" s="46"/>
      <c r="F1456" s="46"/>
      <c r="G1456" s="46"/>
      <c r="H1456" s="46"/>
      <c r="I1456" s="46"/>
      <c r="J1456" s="46"/>
      <c r="K1456" s="46"/>
      <c r="L1456" s="46"/>
      <c r="M1456" s="46"/>
      <c r="N1456" s="46"/>
      <c r="O1456" s="46"/>
      <c r="P1456" s="46"/>
      <c r="Q1456" s="46"/>
      <c r="R1456" s="46"/>
      <c r="S1456" s="46"/>
      <c r="T1456" s="46"/>
      <c r="U1456" s="46"/>
      <c r="V1456" s="46"/>
      <c r="W1456" s="46"/>
      <c r="X1456" s="46"/>
    </row>
    <row r="1457" spans="1:24" ht="12.75" x14ac:dyDescent="0.2">
      <c r="A1457" s="45"/>
      <c r="B1457" s="46"/>
      <c r="C1457" s="46"/>
      <c r="D1457" s="46"/>
      <c r="E1457" s="46"/>
      <c r="F1457" s="46"/>
      <c r="G1457" s="46"/>
      <c r="H1457" s="46"/>
      <c r="I1457" s="46"/>
      <c r="J1457" s="46"/>
      <c r="K1457" s="46"/>
      <c r="L1457" s="46"/>
      <c r="M1457" s="46"/>
      <c r="N1457" s="46"/>
      <c r="O1457" s="46"/>
      <c r="P1457" s="46"/>
      <c r="Q1457" s="46"/>
      <c r="R1457" s="46"/>
      <c r="S1457" s="46"/>
      <c r="T1457" s="46"/>
      <c r="U1457" s="46"/>
      <c r="V1457" s="46"/>
      <c r="W1457" s="46"/>
      <c r="X1457" s="46"/>
    </row>
    <row r="1458" spans="1:24" ht="12.75" x14ac:dyDescent="0.2">
      <c r="A1458" s="45"/>
      <c r="B1458" s="46"/>
      <c r="C1458" s="46"/>
      <c r="D1458" s="46"/>
      <c r="E1458" s="46"/>
      <c r="F1458" s="46"/>
      <c r="G1458" s="46"/>
      <c r="H1458" s="46"/>
      <c r="I1458" s="46"/>
      <c r="J1458" s="46"/>
      <c r="K1458" s="46"/>
      <c r="L1458" s="46"/>
      <c r="M1458" s="46"/>
      <c r="N1458" s="46"/>
      <c r="O1458" s="46"/>
      <c r="P1458" s="46"/>
      <c r="Q1458" s="46"/>
      <c r="R1458" s="46"/>
      <c r="S1458" s="46"/>
      <c r="T1458" s="46"/>
      <c r="U1458" s="46"/>
      <c r="V1458" s="46"/>
      <c r="W1458" s="46"/>
      <c r="X1458" s="46"/>
    </row>
    <row r="1459" spans="1:24" ht="12.75" x14ac:dyDescent="0.2">
      <c r="A1459" s="45"/>
      <c r="B1459" s="46"/>
      <c r="C1459" s="46"/>
      <c r="D1459" s="46"/>
      <c r="E1459" s="46"/>
      <c r="F1459" s="46"/>
      <c r="G1459" s="46"/>
      <c r="H1459" s="46"/>
      <c r="I1459" s="46"/>
      <c r="J1459" s="46"/>
      <c r="K1459" s="46"/>
      <c r="L1459" s="46"/>
      <c r="M1459" s="46"/>
      <c r="N1459" s="46"/>
      <c r="O1459" s="46"/>
      <c r="P1459" s="46"/>
      <c r="Q1459" s="46"/>
      <c r="R1459" s="46"/>
      <c r="S1459" s="46"/>
      <c r="T1459" s="46"/>
      <c r="U1459" s="46"/>
      <c r="V1459" s="46"/>
      <c r="W1459" s="46"/>
      <c r="X1459" s="46"/>
    </row>
    <row r="1460" spans="1:24" ht="12.75" x14ac:dyDescent="0.2">
      <c r="A1460" s="45"/>
      <c r="B1460" s="46"/>
      <c r="C1460" s="46"/>
      <c r="D1460" s="46"/>
      <c r="E1460" s="46"/>
      <c r="F1460" s="46"/>
      <c r="G1460" s="46"/>
      <c r="H1460" s="46"/>
      <c r="I1460" s="46"/>
      <c r="J1460" s="46"/>
      <c r="K1460" s="46"/>
      <c r="L1460" s="46"/>
      <c r="M1460" s="46"/>
      <c r="N1460" s="46"/>
      <c r="O1460" s="46"/>
      <c r="P1460" s="46"/>
      <c r="Q1460" s="46"/>
      <c r="R1460" s="46"/>
      <c r="S1460" s="46"/>
      <c r="T1460" s="46"/>
      <c r="U1460" s="46"/>
      <c r="V1460" s="46"/>
      <c r="W1460" s="46"/>
      <c r="X1460" s="46"/>
    </row>
    <row r="1461" spans="1:24" ht="12.75" x14ac:dyDescent="0.2">
      <c r="A1461" s="45"/>
      <c r="B1461" s="46"/>
      <c r="C1461" s="46"/>
      <c r="D1461" s="46"/>
      <c r="E1461" s="46"/>
      <c r="F1461" s="46"/>
      <c r="G1461" s="46"/>
      <c r="H1461" s="46"/>
      <c r="I1461" s="46"/>
      <c r="J1461" s="46"/>
      <c r="K1461" s="46"/>
      <c r="L1461" s="46"/>
      <c r="M1461" s="46"/>
      <c r="N1461" s="46"/>
      <c r="O1461" s="46"/>
      <c r="P1461" s="46"/>
      <c r="Q1461" s="46"/>
      <c r="R1461" s="46"/>
      <c r="S1461" s="46"/>
      <c r="T1461" s="46"/>
      <c r="U1461" s="46"/>
      <c r="V1461" s="46"/>
      <c r="W1461" s="46"/>
      <c r="X1461" s="46"/>
    </row>
    <row r="1462" spans="1:24" ht="12.75" x14ac:dyDescent="0.2">
      <c r="A1462" s="45"/>
      <c r="B1462" s="46"/>
      <c r="C1462" s="46"/>
      <c r="D1462" s="46"/>
      <c r="E1462" s="46"/>
      <c r="F1462" s="46"/>
      <c r="G1462" s="46"/>
      <c r="H1462" s="46"/>
      <c r="I1462" s="46"/>
      <c r="J1462" s="46"/>
      <c r="K1462" s="46"/>
      <c r="L1462" s="46"/>
      <c r="M1462" s="46"/>
      <c r="N1462" s="46"/>
      <c r="O1462" s="46"/>
      <c r="P1462" s="46"/>
      <c r="Q1462" s="46"/>
      <c r="R1462" s="46"/>
      <c r="S1462" s="46"/>
      <c r="T1462" s="46"/>
      <c r="U1462" s="46"/>
      <c r="V1462" s="46"/>
      <c r="W1462" s="46"/>
      <c r="X1462" s="46"/>
    </row>
    <row r="1463" spans="1:24" ht="12.75" x14ac:dyDescent="0.2">
      <c r="A1463" s="45"/>
      <c r="B1463" s="46"/>
      <c r="C1463" s="46"/>
      <c r="D1463" s="46"/>
      <c r="E1463" s="46"/>
      <c r="F1463" s="46"/>
      <c r="G1463" s="46"/>
      <c r="H1463" s="46"/>
      <c r="I1463" s="46"/>
      <c r="J1463" s="46"/>
      <c r="K1463" s="46"/>
      <c r="L1463" s="46"/>
      <c r="M1463" s="46"/>
      <c r="N1463" s="46"/>
      <c r="O1463" s="46"/>
      <c r="P1463" s="46"/>
      <c r="Q1463" s="46"/>
      <c r="R1463" s="46"/>
      <c r="S1463" s="46"/>
      <c r="T1463" s="46"/>
      <c r="U1463" s="46"/>
      <c r="V1463" s="46"/>
      <c r="W1463" s="46"/>
      <c r="X1463" s="46"/>
    </row>
    <row r="1464" spans="1:24" ht="12.75" x14ac:dyDescent="0.2">
      <c r="A1464" s="45"/>
      <c r="B1464" s="46"/>
      <c r="C1464" s="46"/>
      <c r="D1464" s="46"/>
      <c r="E1464" s="46"/>
      <c r="F1464" s="46"/>
      <c r="G1464" s="46"/>
      <c r="H1464" s="46"/>
      <c r="I1464" s="46"/>
      <c r="J1464" s="46"/>
      <c r="K1464" s="46"/>
      <c r="L1464" s="46"/>
      <c r="M1464" s="46"/>
      <c r="N1464" s="46"/>
      <c r="O1464" s="46"/>
      <c r="P1464" s="46"/>
      <c r="Q1464" s="46"/>
      <c r="R1464" s="46"/>
      <c r="S1464" s="46"/>
      <c r="T1464" s="46"/>
      <c r="U1464" s="46"/>
      <c r="V1464" s="46"/>
      <c r="W1464" s="46"/>
      <c r="X1464" s="46"/>
    </row>
    <row r="1465" spans="1:24" ht="12.75" x14ac:dyDescent="0.2">
      <c r="A1465" s="45"/>
      <c r="B1465" s="46"/>
      <c r="C1465" s="46"/>
      <c r="D1465" s="46"/>
      <c r="E1465" s="46"/>
      <c r="F1465" s="46"/>
      <c r="G1465" s="46"/>
      <c r="H1465" s="46"/>
      <c r="I1465" s="46"/>
      <c r="J1465" s="46"/>
      <c r="K1465" s="46"/>
      <c r="L1465" s="46"/>
      <c r="M1465" s="46"/>
      <c r="N1465" s="46"/>
      <c r="O1465" s="46"/>
      <c r="P1465" s="46"/>
      <c r="Q1465" s="46"/>
      <c r="R1465" s="46"/>
      <c r="S1465" s="46"/>
      <c r="T1465" s="46"/>
      <c r="U1465" s="46"/>
      <c r="V1465" s="46"/>
      <c r="W1465" s="46"/>
      <c r="X1465" s="46"/>
    </row>
    <row r="1466" spans="1:24" ht="12.75" x14ac:dyDescent="0.2">
      <c r="A1466" s="45"/>
      <c r="B1466" s="46"/>
      <c r="C1466" s="46"/>
      <c r="D1466" s="46"/>
      <c r="E1466" s="46"/>
      <c r="F1466" s="46"/>
      <c r="G1466" s="46"/>
      <c r="H1466" s="46"/>
      <c r="I1466" s="46"/>
      <c r="J1466" s="46"/>
      <c r="K1466" s="46"/>
      <c r="L1466" s="46"/>
      <c r="M1466" s="46"/>
      <c r="N1466" s="46"/>
      <c r="O1466" s="46"/>
      <c r="P1466" s="46"/>
      <c r="Q1466" s="46"/>
      <c r="R1466" s="46"/>
      <c r="S1466" s="46"/>
      <c r="T1466" s="46"/>
      <c r="U1466" s="46"/>
      <c r="V1466" s="46"/>
      <c r="W1466" s="46"/>
      <c r="X1466" s="46"/>
    </row>
    <row r="1467" spans="1:24" ht="12.75" x14ac:dyDescent="0.2">
      <c r="A1467" s="45"/>
      <c r="B1467" s="46"/>
      <c r="C1467" s="46"/>
      <c r="D1467" s="46"/>
      <c r="E1467" s="46"/>
      <c r="F1467" s="46"/>
      <c r="G1467" s="46"/>
      <c r="H1467" s="46"/>
      <c r="I1467" s="46"/>
      <c r="J1467" s="46"/>
      <c r="K1467" s="46"/>
      <c r="L1467" s="46"/>
      <c r="M1467" s="46"/>
      <c r="N1467" s="46"/>
      <c r="O1467" s="46"/>
      <c r="P1467" s="46"/>
      <c r="Q1467" s="46"/>
      <c r="R1467" s="46"/>
      <c r="S1467" s="46"/>
      <c r="T1467" s="46"/>
      <c r="U1467" s="46"/>
      <c r="V1467" s="46"/>
      <c r="W1467" s="46"/>
      <c r="X1467" s="46"/>
    </row>
    <row r="1468" spans="1:24" ht="12.75" x14ac:dyDescent="0.2">
      <c r="A1468" s="45"/>
      <c r="B1468" s="46"/>
      <c r="C1468" s="46"/>
      <c r="D1468" s="46"/>
      <c r="E1468" s="46"/>
      <c r="F1468" s="46"/>
      <c r="G1468" s="46"/>
      <c r="H1468" s="46"/>
      <c r="I1468" s="46"/>
      <c r="J1468" s="46"/>
      <c r="K1468" s="46"/>
      <c r="L1468" s="46"/>
      <c r="M1468" s="46"/>
      <c r="N1468" s="46"/>
      <c r="O1468" s="46"/>
      <c r="P1468" s="46"/>
      <c r="Q1468" s="46"/>
      <c r="R1468" s="46"/>
      <c r="S1468" s="46"/>
      <c r="T1468" s="46"/>
      <c r="U1468" s="46"/>
      <c r="V1468" s="46"/>
      <c r="W1468" s="46"/>
      <c r="X1468" s="46"/>
    </row>
    <row r="1469" spans="1:24" ht="12.75" x14ac:dyDescent="0.2">
      <c r="A1469" s="45"/>
      <c r="B1469" s="46"/>
      <c r="C1469" s="46"/>
      <c r="D1469" s="46"/>
      <c r="E1469" s="46"/>
      <c r="F1469" s="46"/>
      <c r="G1469" s="46"/>
      <c r="H1469" s="46"/>
      <c r="I1469" s="46"/>
      <c r="J1469" s="46"/>
      <c r="K1469" s="46"/>
      <c r="L1469" s="46"/>
      <c r="M1469" s="46"/>
      <c r="N1469" s="46"/>
      <c r="O1469" s="46"/>
      <c r="P1469" s="46"/>
      <c r="Q1469" s="46"/>
      <c r="R1469" s="46"/>
      <c r="S1469" s="46"/>
      <c r="T1469" s="46"/>
      <c r="U1469" s="46"/>
      <c r="V1469" s="46"/>
      <c r="W1469" s="46"/>
      <c r="X1469" s="46"/>
    </row>
    <row r="1470" spans="1:24" ht="12.75" x14ac:dyDescent="0.2">
      <c r="A1470" s="45"/>
      <c r="B1470" s="46"/>
      <c r="C1470" s="46"/>
      <c r="D1470" s="46"/>
      <c r="E1470" s="46"/>
      <c r="F1470" s="46"/>
      <c r="G1470" s="46"/>
      <c r="H1470" s="46"/>
      <c r="I1470" s="46"/>
      <c r="J1470" s="46"/>
      <c r="K1470" s="46"/>
      <c r="L1470" s="46"/>
      <c r="M1470" s="46"/>
      <c r="N1470" s="46"/>
      <c r="O1470" s="46"/>
      <c r="P1470" s="46"/>
      <c r="Q1470" s="46"/>
      <c r="R1470" s="46"/>
      <c r="S1470" s="46"/>
      <c r="T1470" s="46"/>
      <c r="U1470" s="46"/>
      <c r="V1470" s="46"/>
      <c r="W1470" s="46"/>
      <c r="X1470" s="46"/>
    </row>
    <row r="1471" spans="1:24" ht="12.75" x14ac:dyDescent="0.2">
      <c r="A1471" s="45"/>
      <c r="B1471" s="46"/>
      <c r="C1471" s="46"/>
      <c r="D1471" s="46"/>
      <c r="E1471" s="46"/>
      <c r="F1471" s="46"/>
      <c r="G1471" s="46"/>
      <c r="H1471" s="46"/>
      <c r="I1471" s="46"/>
      <c r="J1471" s="46"/>
      <c r="K1471" s="46"/>
      <c r="L1471" s="46"/>
      <c r="M1471" s="46"/>
      <c r="N1471" s="46"/>
      <c r="O1471" s="46"/>
      <c r="P1471" s="46"/>
      <c r="Q1471" s="46"/>
      <c r="R1471" s="46"/>
      <c r="S1471" s="46"/>
      <c r="T1471" s="46"/>
      <c r="U1471" s="46"/>
      <c r="V1471" s="46"/>
      <c r="W1471" s="46"/>
      <c r="X1471" s="46"/>
    </row>
    <row r="1472" spans="1:24" ht="12.75" x14ac:dyDescent="0.2">
      <c r="A1472" s="45"/>
      <c r="B1472" s="46"/>
      <c r="C1472" s="46"/>
      <c r="D1472" s="46"/>
      <c r="E1472" s="46"/>
      <c r="F1472" s="46"/>
      <c r="G1472" s="46"/>
      <c r="H1472" s="46"/>
      <c r="I1472" s="46"/>
      <c r="J1472" s="46"/>
      <c r="K1472" s="46"/>
      <c r="L1472" s="46"/>
      <c r="M1472" s="46"/>
      <c r="N1472" s="46"/>
      <c r="O1472" s="46"/>
      <c r="P1472" s="46"/>
      <c r="Q1472" s="46"/>
      <c r="R1472" s="46"/>
      <c r="S1472" s="46"/>
      <c r="T1472" s="46"/>
      <c r="U1472" s="46"/>
      <c r="V1472" s="46"/>
      <c r="W1472" s="46"/>
      <c r="X1472" s="46"/>
    </row>
    <row r="1473" spans="1:24" ht="12.75" x14ac:dyDescent="0.2">
      <c r="A1473" s="45"/>
      <c r="B1473" s="46"/>
      <c r="C1473" s="46"/>
      <c r="D1473" s="46"/>
      <c r="E1473" s="46"/>
      <c r="F1473" s="46"/>
      <c r="G1473" s="46"/>
      <c r="H1473" s="46"/>
      <c r="I1473" s="46"/>
      <c r="J1473" s="46"/>
      <c r="K1473" s="46"/>
      <c r="L1473" s="46"/>
      <c r="M1473" s="46"/>
      <c r="N1473" s="46"/>
      <c r="O1473" s="46"/>
      <c r="P1473" s="46"/>
      <c r="Q1473" s="46"/>
      <c r="R1473" s="46"/>
      <c r="S1473" s="46"/>
      <c r="T1473" s="46"/>
      <c r="U1473" s="46"/>
      <c r="V1473" s="46"/>
      <c r="W1473" s="46"/>
      <c r="X1473" s="46"/>
    </row>
    <row r="1474" spans="1:24" ht="12.75" x14ac:dyDescent="0.2">
      <c r="A1474" s="45"/>
      <c r="B1474" s="46"/>
      <c r="C1474" s="46"/>
      <c r="D1474" s="46"/>
      <c r="E1474" s="46"/>
      <c r="F1474" s="46"/>
      <c r="G1474" s="46"/>
      <c r="H1474" s="46"/>
      <c r="I1474" s="46"/>
      <c r="J1474" s="46"/>
      <c r="K1474" s="46"/>
      <c r="L1474" s="46"/>
      <c r="M1474" s="46"/>
      <c r="N1474" s="46"/>
      <c r="O1474" s="46"/>
      <c r="P1474" s="46"/>
      <c r="Q1474" s="46"/>
      <c r="R1474" s="46"/>
      <c r="S1474" s="46"/>
      <c r="T1474" s="46"/>
      <c r="U1474" s="46"/>
      <c r="V1474" s="46"/>
      <c r="W1474" s="46"/>
      <c r="X1474" s="46"/>
    </row>
    <row r="1475" spans="1:24" ht="12.75" x14ac:dyDescent="0.2">
      <c r="A1475" s="45"/>
      <c r="B1475" s="46"/>
      <c r="C1475" s="46"/>
      <c r="D1475" s="46"/>
      <c r="E1475" s="46"/>
      <c r="F1475" s="46"/>
      <c r="G1475" s="46"/>
      <c r="H1475" s="46"/>
      <c r="I1475" s="46"/>
      <c r="J1475" s="46"/>
      <c r="K1475" s="46"/>
      <c r="L1475" s="46"/>
      <c r="M1475" s="46"/>
      <c r="N1475" s="46"/>
      <c r="O1475" s="46"/>
      <c r="P1475" s="46"/>
      <c r="Q1475" s="46"/>
      <c r="R1475" s="46"/>
      <c r="S1475" s="46"/>
      <c r="T1475" s="46"/>
      <c r="U1475" s="46"/>
      <c r="V1475" s="46"/>
      <c r="W1475" s="46"/>
      <c r="X1475" s="46"/>
    </row>
    <row r="1476" spans="1:24" ht="12.75" x14ac:dyDescent="0.2">
      <c r="A1476" s="45"/>
      <c r="B1476" s="46"/>
      <c r="C1476" s="46"/>
      <c r="D1476" s="46"/>
      <c r="E1476" s="46"/>
      <c r="F1476" s="46"/>
      <c r="G1476" s="46"/>
      <c r="H1476" s="46"/>
      <c r="I1476" s="46"/>
      <c r="J1476" s="46"/>
      <c r="K1476" s="46"/>
      <c r="L1476" s="46"/>
      <c r="M1476" s="46"/>
      <c r="N1476" s="46"/>
      <c r="O1476" s="46"/>
      <c r="P1476" s="46"/>
      <c r="Q1476" s="46"/>
      <c r="R1476" s="46"/>
      <c r="S1476" s="46"/>
      <c r="T1476" s="46"/>
      <c r="U1476" s="46"/>
      <c r="V1476" s="46"/>
      <c r="W1476" s="46"/>
      <c r="X1476" s="46"/>
    </row>
    <row r="1477" spans="1:24" ht="12.75" x14ac:dyDescent="0.2">
      <c r="A1477" s="45"/>
      <c r="B1477" s="46"/>
      <c r="C1477" s="46"/>
      <c r="D1477" s="46"/>
      <c r="E1477" s="46"/>
      <c r="F1477" s="46"/>
      <c r="G1477" s="46"/>
      <c r="H1477" s="46"/>
      <c r="I1477" s="46"/>
      <c r="J1477" s="46"/>
      <c r="K1477" s="46"/>
      <c r="L1477" s="46"/>
      <c r="M1477" s="46"/>
      <c r="N1477" s="46"/>
      <c r="O1477" s="46"/>
      <c r="P1477" s="46"/>
      <c r="Q1477" s="46"/>
      <c r="R1477" s="46"/>
      <c r="S1477" s="46"/>
      <c r="T1477" s="46"/>
      <c r="U1477" s="46"/>
      <c r="V1477" s="46"/>
      <c r="W1477" s="46"/>
      <c r="X1477" s="46"/>
    </row>
    <row r="1478" spans="1:24" ht="12.75" x14ac:dyDescent="0.2">
      <c r="A1478" s="45"/>
      <c r="B1478" s="46"/>
      <c r="C1478" s="46"/>
      <c r="D1478" s="46"/>
      <c r="E1478" s="46"/>
      <c r="F1478" s="46"/>
      <c r="G1478" s="46"/>
      <c r="H1478" s="46"/>
      <c r="I1478" s="46"/>
      <c r="J1478" s="46"/>
      <c r="K1478" s="46"/>
      <c r="L1478" s="46"/>
      <c r="M1478" s="46"/>
      <c r="N1478" s="46"/>
      <c r="O1478" s="46"/>
      <c r="P1478" s="46"/>
      <c r="Q1478" s="46"/>
      <c r="R1478" s="46"/>
      <c r="S1478" s="46"/>
      <c r="T1478" s="46"/>
      <c r="U1478" s="46"/>
      <c r="V1478" s="46"/>
      <c r="W1478" s="46"/>
      <c r="X1478" s="46"/>
    </row>
    <row r="1479" spans="1:24" ht="12.75" x14ac:dyDescent="0.2">
      <c r="A1479" s="45"/>
      <c r="B1479" s="46"/>
      <c r="C1479" s="46"/>
      <c r="D1479" s="46"/>
      <c r="E1479" s="46"/>
      <c r="F1479" s="46"/>
      <c r="G1479" s="46"/>
      <c r="H1479" s="46"/>
      <c r="I1479" s="46"/>
      <c r="J1479" s="46"/>
      <c r="K1479" s="46"/>
      <c r="L1479" s="46"/>
      <c r="M1479" s="46"/>
      <c r="N1479" s="46"/>
      <c r="O1479" s="46"/>
      <c r="P1479" s="46"/>
      <c r="Q1479" s="46"/>
      <c r="R1479" s="46"/>
      <c r="S1479" s="46"/>
      <c r="T1479" s="46"/>
      <c r="U1479" s="46"/>
      <c r="V1479" s="46"/>
      <c r="W1479" s="46"/>
      <c r="X1479" s="46"/>
    </row>
    <row r="1480" spans="1:24" ht="12.75" x14ac:dyDescent="0.2">
      <c r="A1480" s="45"/>
      <c r="B1480" s="46"/>
      <c r="C1480" s="46"/>
      <c r="D1480" s="46"/>
      <c r="E1480" s="46"/>
      <c r="F1480" s="46"/>
      <c r="G1480" s="46"/>
      <c r="H1480" s="46"/>
      <c r="I1480" s="46"/>
      <c r="J1480" s="46"/>
      <c r="K1480" s="46"/>
      <c r="L1480" s="46"/>
      <c r="M1480" s="46"/>
      <c r="N1480" s="46"/>
      <c r="O1480" s="46"/>
      <c r="P1480" s="46"/>
      <c r="Q1480" s="46"/>
      <c r="R1480" s="46"/>
      <c r="S1480" s="46"/>
      <c r="T1480" s="46"/>
      <c r="U1480" s="46"/>
      <c r="V1480" s="46"/>
      <c r="W1480" s="46"/>
      <c r="X1480" s="46"/>
    </row>
    <row r="1481" spans="1:24" ht="12.75" x14ac:dyDescent="0.2">
      <c r="A1481" s="45"/>
      <c r="B1481" s="46"/>
      <c r="C1481" s="46"/>
      <c r="D1481" s="46"/>
      <c r="E1481" s="46"/>
      <c r="F1481" s="46"/>
      <c r="G1481" s="46"/>
      <c r="H1481" s="46"/>
      <c r="I1481" s="46"/>
      <c r="J1481" s="46"/>
      <c r="K1481" s="46"/>
      <c r="L1481" s="46"/>
      <c r="M1481" s="46"/>
      <c r="N1481" s="46"/>
      <c r="O1481" s="46"/>
      <c r="P1481" s="46"/>
      <c r="Q1481" s="46"/>
      <c r="R1481" s="46"/>
      <c r="S1481" s="46"/>
      <c r="T1481" s="46"/>
      <c r="U1481" s="46"/>
      <c r="V1481" s="46"/>
      <c r="W1481" s="46"/>
      <c r="X1481" s="46"/>
    </row>
    <row r="1482" spans="1:24" ht="12.75" x14ac:dyDescent="0.2">
      <c r="A1482" s="45"/>
      <c r="B1482" s="46"/>
      <c r="C1482" s="46"/>
      <c r="D1482" s="46"/>
      <c r="E1482" s="46"/>
      <c r="F1482" s="46"/>
      <c r="G1482" s="46"/>
      <c r="H1482" s="46"/>
      <c r="I1482" s="46"/>
      <c r="J1482" s="46"/>
      <c r="K1482" s="46"/>
      <c r="L1482" s="46"/>
      <c r="M1482" s="46"/>
      <c r="N1482" s="46"/>
      <c r="O1482" s="46"/>
      <c r="P1482" s="46"/>
      <c r="Q1482" s="46"/>
      <c r="R1482" s="46"/>
      <c r="S1482" s="46"/>
      <c r="T1482" s="46"/>
      <c r="U1482" s="46"/>
      <c r="V1482" s="46"/>
      <c r="W1482" s="46"/>
      <c r="X1482" s="46"/>
    </row>
    <row r="1483" spans="1:24" ht="12.75" x14ac:dyDescent="0.2">
      <c r="A1483" s="45"/>
      <c r="B1483" s="46"/>
      <c r="C1483" s="46"/>
      <c r="D1483" s="46"/>
      <c r="E1483" s="46"/>
      <c r="F1483" s="46"/>
      <c r="G1483" s="46"/>
      <c r="H1483" s="46"/>
      <c r="I1483" s="46"/>
      <c r="J1483" s="46"/>
      <c r="K1483" s="46"/>
      <c r="L1483" s="46"/>
      <c r="M1483" s="46"/>
      <c r="N1483" s="46"/>
      <c r="O1483" s="46"/>
      <c r="P1483" s="46"/>
      <c r="Q1483" s="46"/>
      <c r="R1483" s="46"/>
      <c r="S1483" s="46"/>
      <c r="T1483" s="46"/>
      <c r="U1483" s="46"/>
      <c r="V1483" s="46"/>
      <c r="W1483" s="46"/>
      <c r="X1483" s="46"/>
    </row>
    <row r="1484" spans="1:24" ht="12.75" x14ac:dyDescent="0.2">
      <c r="A1484" s="45"/>
      <c r="B1484" s="46"/>
      <c r="C1484" s="46"/>
      <c r="D1484" s="46"/>
      <c r="E1484" s="46"/>
      <c r="F1484" s="46"/>
      <c r="G1484" s="46"/>
      <c r="H1484" s="46"/>
      <c r="I1484" s="46"/>
      <c r="J1484" s="46"/>
      <c r="K1484" s="46"/>
      <c r="L1484" s="46"/>
      <c r="M1484" s="46"/>
      <c r="N1484" s="46"/>
      <c r="O1484" s="46"/>
      <c r="P1484" s="46"/>
      <c r="Q1484" s="46"/>
      <c r="R1484" s="46"/>
      <c r="S1484" s="46"/>
      <c r="T1484" s="46"/>
      <c r="U1484" s="46"/>
      <c r="V1484" s="46"/>
      <c r="W1484" s="46"/>
      <c r="X1484" s="46"/>
    </row>
    <row r="1485" spans="1:24" ht="12.75" x14ac:dyDescent="0.2">
      <c r="A1485" s="45"/>
      <c r="B1485" s="46"/>
      <c r="C1485" s="46"/>
      <c r="D1485" s="46"/>
      <c r="E1485" s="46"/>
      <c r="F1485" s="46"/>
      <c r="G1485" s="46"/>
      <c r="H1485" s="46"/>
      <c r="I1485" s="46"/>
      <c r="J1485" s="46"/>
      <c r="K1485" s="46"/>
      <c r="L1485" s="46"/>
      <c r="M1485" s="46"/>
      <c r="N1485" s="46"/>
      <c r="O1485" s="46"/>
      <c r="P1485" s="46"/>
      <c r="Q1485" s="46"/>
      <c r="R1485" s="46"/>
      <c r="S1485" s="46"/>
      <c r="T1485" s="46"/>
      <c r="U1485" s="46"/>
      <c r="V1485" s="46"/>
      <c r="W1485" s="46"/>
      <c r="X1485" s="46"/>
    </row>
    <row r="1486" spans="1:24" ht="12.75" x14ac:dyDescent="0.2">
      <c r="A1486" s="45"/>
      <c r="B1486" s="46"/>
      <c r="C1486" s="46"/>
      <c r="D1486" s="46"/>
      <c r="E1486" s="46"/>
      <c r="F1486" s="46"/>
      <c r="G1486" s="46"/>
      <c r="H1486" s="46"/>
      <c r="I1486" s="46"/>
      <c r="J1486" s="46"/>
      <c r="K1486" s="46"/>
      <c r="L1486" s="46"/>
      <c r="M1486" s="46"/>
      <c r="N1486" s="46"/>
      <c r="O1486" s="46"/>
      <c r="P1486" s="46"/>
      <c r="Q1486" s="46"/>
      <c r="R1486" s="46"/>
      <c r="S1486" s="46"/>
      <c r="T1486" s="46"/>
      <c r="U1486" s="46"/>
      <c r="V1486" s="46"/>
      <c r="W1486" s="46"/>
      <c r="X1486" s="46"/>
    </row>
    <row r="1487" spans="1:24" ht="12.75" x14ac:dyDescent="0.2">
      <c r="A1487" s="45"/>
      <c r="B1487" s="46"/>
      <c r="C1487" s="46"/>
      <c r="D1487" s="46"/>
      <c r="E1487" s="46"/>
      <c r="F1487" s="46"/>
      <c r="G1487" s="46"/>
      <c r="H1487" s="46"/>
      <c r="I1487" s="46"/>
      <c r="J1487" s="46"/>
      <c r="K1487" s="46"/>
      <c r="L1487" s="46"/>
      <c r="M1487" s="46"/>
      <c r="N1487" s="46"/>
      <c r="O1487" s="46"/>
      <c r="P1487" s="46"/>
      <c r="Q1487" s="46"/>
      <c r="R1487" s="46"/>
      <c r="S1487" s="46"/>
      <c r="T1487" s="46"/>
      <c r="U1487" s="46"/>
      <c r="V1487" s="46"/>
      <c r="W1487" s="46"/>
      <c r="X1487" s="46"/>
    </row>
    <row r="1488" spans="1:24" ht="12.75" x14ac:dyDescent="0.2">
      <c r="A1488" s="45"/>
      <c r="B1488" s="46"/>
      <c r="C1488" s="46"/>
      <c r="D1488" s="46"/>
      <c r="E1488" s="46"/>
      <c r="F1488" s="46"/>
      <c r="G1488" s="46"/>
      <c r="H1488" s="46"/>
      <c r="I1488" s="46"/>
      <c r="J1488" s="46"/>
      <c r="K1488" s="46"/>
      <c r="L1488" s="46"/>
      <c r="M1488" s="46"/>
      <c r="N1488" s="46"/>
      <c r="O1488" s="46"/>
      <c r="P1488" s="46"/>
      <c r="Q1488" s="46"/>
      <c r="R1488" s="46"/>
      <c r="S1488" s="46"/>
      <c r="T1488" s="46"/>
      <c r="U1488" s="46"/>
      <c r="V1488" s="46"/>
      <c r="W1488" s="46"/>
      <c r="X1488" s="46"/>
    </row>
    <row r="1489" spans="1:24" ht="12.75" x14ac:dyDescent="0.2">
      <c r="A1489" s="45"/>
      <c r="B1489" s="46"/>
      <c r="C1489" s="46"/>
      <c r="D1489" s="46"/>
      <c r="E1489" s="46"/>
      <c r="F1489" s="46"/>
      <c r="G1489" s="46"/>
      <c r="H1489" s="46"/>
      <c r="I1489" s="46"/>
      <c r="J1489" s="46"/>
      <c r="K1489" s="46"/>
      <c r="L1489" s="46"/>
      <c r="M1489" s="46"/>
      <c r="N1489" s="46"/>
      <c r="O1489" s="46"/>
      <c r="P1489" s="46"/>
      <c r="Q1489" s="46"/>
      <c r="R1489" s="46"/>
      <c r="S1489" s="46"/>
      <c r="T1489" s="46"/>
      <c r="U1489" s="46"/>
      <c r="V1489" s="46"/>
      <c r="W1489" s="46"/>
      <c r="X1489" s="46"/>
    </row>
    <row r="1490" spans="1:24" ht="12.75" x14ac:dyDescent="0.2">
      <c r="A1490" s="45"/>
      <c r="B1490" s="46"/>
      <c r="C1490" s="46"/>
      <c r="D1490" s="46"/>
      <c r="E1490" s="46"/>
      <c r="F1490" s="46"/>
      <c r="G1490" s="46"/>
      <c r="H1490" s="46"/>
      <c r="I1490" s="46"/>
      <c r="J1490" s="46"/>
      <c r="K1490" s="46"/>
      <c r="L1490" s="46"/>
      <c r="M1490" s="46"/>
      <c r="N1490" s="46"/>
      <c r="O1490" s="46"/>
      <c r="P1490" s="46"/>
      <c r="Q1490" s="46"/>
      <c r="R1490" s="46"/>
      <c r="S1490" s="46"/>
      <c r="T1490" s="46"/>
      <c r="U1490" s="46"/>
      <c r="V1490" s="46"/>
      <c r="W1490" s="46"/>
      <c r="X1490" s="46"/>
    </row>
    <row r="1491" spans="1:24" ht="12.75" x14ac:dyDescent="0.2">
      <c r="A1491" s="45"/>
      <c r="B1491" s="46"/>
      <c r="C1491" s="46"/>
      <c r="D1491" s="46"/>
      <c r="E1491" s="46"/>
      <c r="F1491" s="46"/>
      <c r="G1491" s="46"/>
      <c r="H1491" s="46"/>
      <c r="I1491" s="46"/>
      <c r="J1491" s="46"/>
      <c r="K1491" s="46"/>
      <c r="L1491" s="46"/>
      <c r="M1491" s="46"/>
      <c r="N1491" s="46"/>
      <c r="O1491" s="46"/>
      <c r="P1491" s="46"/>
      <c r="Q1491" s="46"/>
      <c r="R1491" s="46"/>
      <c r="S1491" s="46"/>
      <c r="T1491" s="46"/>
      <c r="U1491" s="46"/>
      <c r="V1491" s="46"/>
      <c r="W1491" s="46"/>
      <c r="X1491" s="46"/>
    </row>
    <row r="1492" spans="1:24" ht="12.75" x14ac:dyDescent="0.2">
      <c r="A1492" s="45"/>
      <c r="B1492" s="46"/>
      <c r="C1492" s="46"/>
      <c r="D1492" s="46"/>
      <c r="E1492" s="46"/>
      <c r="F1492" s="46"/>
      <c r="G1492" s="46"/>
      <c r="H1492" s="46"/>
      <c r="I1492" s="46"/>
      <c r="J1492" s="46"/>
      <c r="K1492" s="46"/>
      <c r="L1492" s="46"/>
      <c r="M1492" s="46"/>
      <c r="N1492" s="46"/>
      <c r="O1492" s="46"/>
      <c r="P1492" s="46"/>
      <c r="Q1492" s="46"/>
      <c r="R1492" s="46"/>
      <c r="S1492" s="46"/>
      <c r="T1492" s="46"/>
      <c r="U1492" s="46"/>
      <c r="V1492" s="46"/>
      <c r="W1492" s="46"/>
      <c r="X1492" s="46"/>
    </row>
    <row r="1493" spans="1:24" ht="12.75" x14ac:dyDescent="0.2">
      <c r="A1493" s="45"/>
      <c r="B1493" s="46"/>
      <c r="C1493" s="46"/>
      <c r="D1493" s="46"/>
      <c r="E1493" s="46"/>
      <c r="F1493" s="46"/>
      <c r="G1493" s="46"/>
      <c r="H1493" s="46"/>
      <c r="I1493" s="46"/>
      <c r="J1493" s="46"/>
      <c r="K1493" s="46"/>
      <c r="L1493" s="46"/>
      <c r="M1493" s="46"/>
      <c r="N1493" s="46"/>
      <c r="O1493" s="46"/>
      <c r="P1493" s="46"/>
      <c r="Q1493" s="46"/>
      <c r="R1493" s="46"/>
      <c r="S1493" s="46"/>
      <c r="T1493" s="46"/>
      <c r="U1493" s="46"/>
      <c r="V1493" s="46"/>
      <c r="W1493" s="46"/>
      <c r="X1493" s="46"/>
    </row>
    <row r="1494" spans="1:24" ht="12.75" x14ac:dyDescent="0.2">
      <c r="A1494" s="45"/>
      <c r="B1494" s="46"/>
      <c r="C1494" s="46"/>
      <c r="D1494" s="46"/>
      <c r="E1494" s="46"/>
      <c r="F1494" s="46"/>
      <c r="G1494" s="46"/>
      <c r="H1494" s="46"/>
      <c r="I1494" s="46"/>
      <c r="J1494" s="46"/>
      <c r="K1494" s="46"/>
      <c r="L1494" s="46"/>
      <c r="M1494" s="46"/>
      <c r="N1494" s="46"/>
      <c r="O1494" s="46"/>
      <c r="P1494" s="46"/>
      <c r="Q1494" s="46"/>
      <c r="R1494" s="46"/>
      <c r="S1494" s="46"/>
      <c r="T1494" s="46"/>
      <c r="U1494" s="46"/>
      <c r="V1494" s="46"/>
      <c r="W1494" s="46"/>
      <c r="X1494" s="46"/>
    </row>
    <row r="1495" spans="1:24" ht="12.75" x14ac:dyDescent="0.2">
      <c r="A1495" s="45"/>
      <c r="B1495" s="46"/>
      <c r="C1495" s="46"/>
      <c r="D1495" s="46"/>
      <c r="E1495" s="46"/>
      <c r="F1495" s="46"/>
      <c r="G1495" s="46"/>
      <c r="H1495" s="46"/>
      <c r="I1495" s="46"/>
      <c r="J1495" s="46"/>
      <c r="K1495" s="46"/>
      <c r="L1495" s="46"/>
      <c r="M1495" s="46"/>
      <c r="N1495" s="46"/>
      <c r="O1495" s="46"/>
      <c r="P1495" s="46"/>
      <c r="Q1495" s="46"/>
      <c r="R1495" s="46"/>
      <c r="S1495" s="46"/>
      <c r="T1495" s="46"/>
      <c r="U1495" s="46"/>
      <c r="V1495" s="46"/>
      <c r="W1495" s="46"/>
      <c r="X1495" s="46"/>
    </row>
    <row r="1496" spans="1:24" ht="12.75" x14ac:dyDescent="0.2">
      <c r="A1496" s="45"/>
      <c r="B1496" s="46"/>
      <c r="C1496" s="46"/>
      <c r="D1496" s="46"/>
      <c r="E1496" s="46"/>
      <c r="F1496" s="46"/>
      <c r="G1496" s="46"/>
      <c r="H1496" s="46"/>
      <c r="I1496" s="46"/>
      <c r="J1496" s="46"/>
      <c r="K1496" s="46"/>
      <c r="L1496" s="46"/>
      <c r="M1496" s="46"/>
      <c r="N1496" s="46"/>
      <c r="O1496" s="46"/>
      <c r="P1496" s="46"/>
      <c r="Q1496" s="46"/>
      <c r="R1496" s="46"/>
      <c r="S1496" s="46"/>
      <c r="T1496" s="46"/>
      <c r="U1496" s="46"/>
      <c r="V1496" s="46"/>
      <c r="W1496" s="46"/>
      <c r="X1496" s="46"/>
    </row>
    <row r="1497" spans="1:24" ht="12.75" x14ac:dyDescent="0.2">
      <c r="A1497" s="45"/>
      <c r="B1497" s="46"/>
      <c r="C1497" s="46"/>
      <c r="D1497" s="46"/>
      <c r="E1497" s="46"/>
      <c r="F1497" s="46"/>
      <c r="G1497" s="46"/>
      <c r="H1497" s="46"/>
      <c r="I1497" s="46"/>
      <c r="J1497" s="46"/>
      <c r="K1497" s="46"/>
      <c r="L1497" s="46"/>
      <c r="M1497" s="46"/>
      <c r="N1497" s="46"/>
      <c r="O1497" s="46"/>
      <c r="P1497" s="46"/>
      <c r="Q1497" s="46"/>
      <c r="R1497" s="46"/>
      <c r="S1497" s="46"/>
      <c r="T1497" s="46"/>
      <c r="U1497" s="46"/>
      <c r="V1497" s="46"/>
      <c r="W1497" s="46"/>
      <c r="X1497" s="46"/>
    </row>
    <row r="1498" spans="1:24" ht="12.75" x14ac:dyDescent="0.2">
      <c r="A1498" s="45"/>
      <c r="B1498" s="46"/>
      <c r="C1498" s="46"/>
      <c r="D1498" s="46"/>
      <c r="E1498" s="46"/>
      <c r="F1498" s="46"/>
      <c r="G1498" s="46"/>
      <c r="H1498" s="46"/>
      <c r="I1498" s="46"/>
      <c r="J1498" s="46"/>
      <c r="K1498" s="46"/>
      <c r="L1498" s="46"/>
      <c r="M1498" s="46"/>
      <c r="N1498" s="46"/>
      <c r="O1498" s="46"/>
      <c r="P1498" s="46"/>
      <c r="Q1498" s="46"/>
      <c r="R1498" s="46"/>
      <c r="S1498" s="46"/>
      <c r="T1498" s="46"/>
      <c r="U1498" s="46"/>
      <c r="V1498" s="46"/>
      <c r="W1498" s="46"/>
      <c r="X1498" s="46"/>
    </row>
    <row r="1499" spans="1:24" ht="12.75" x14ac:dyDescent="0.2">
      <c r="A1499" s="45"/>
      <c r="B1499" s="46"/>
      <c r="C1499" s="46"/>
      <c r="D1499" s="46"/>
      <c r="E1499" s="46"/>
      <c r="F1499" s="46"/>
      <c r="G1499" s="46"/>
      <c r="H1499" s="46"/>
      <c r="I1499" s="46"/>
      <c r="J1499" s="46"/>
      <c r="K1499" s="46"/>
      <c r="L1499" s="46"/>
      <c r="M1499" s="46"/>
      <c r="N1499" s="46"/>
      <c r="O1499" s="46"/>
      <c r="P1499" s="46"/>
      <c r="Q1499" s="46"/>
      <c r="R1499" s="46"/>
      <c r="S1499" s="46"/>
      <c r="T1499" s="46"/>
      <c r="U1499" s="46"/>
      <c r="V1499" s="46"/>
      <c r="W1499" s="46"/>
      <c r="X1499" s="46"/>
    </row>
    <row r="1500" spans="1:24" ht="12.75" x14ac:dyDescent="0.2">
      <c r="A1500" s="45"/>
      <c r="B1500" s="46"/>
      <c r="C1500" s="46"/>
      <c r="D1500" s="46"/>
      <c r="E1500" s="46"/>
      <c r="F1500" s="46"/>
      <c r="G1500" s="46"/>
      <c r="H1500" s="46"/>
      <c r="I1500" s="46"/>
      <c r="J1500" s="46"/>
      <c r="K1500" s="46"/>
      <c r="L1500" s="46"/>
      <c r="M1500" s="46"/>
      <c r="N1500" s="46"/>
      <c r="O1500" s="46"/>
      <c r="P1500" s="46"/>
      <c r="Q1500" s="46"/>
      <c r="R1500" s="46"/>
      <c r="S1500" s="46"/>
      <c r="T1500" s="46"/>
      <c r="U1500" s="46"/>
      <c r="V1500" s="46"/>
      <c r="W1500" s="46"/>
      <c r="X1500" s="46"/>
    </row>
    <row r="1501" spans="1:24" ht="12.75" x14ac:dyDescent="0.2">
      <c r="A1501" s="45"/>
      <c r="B1501" s="46"/>
      <c r="C1501" s="46"/>
      <c r="D1501" s="46"/>
      <c r="E1501" s="46"/>
      <c r="F1501" s="46"/>
      <c r="G1501" s="46"/>
      <c r="H1501" s="46"/>
      <c r="I1501" s="46"/>
      <c r="J1501" s="46"/>
      <c r="K1501" s="46"/>
      <c r="L1501" s="46"/>
      <c r="M1501" s="46"/>
      <c r="N1501" s="46"/>
      <c r="O1501" s="46"/>
      <c r="P1501" s="46"/>
      <c r="Q1501" s="46"/>
      <c r="R1501" s="46"/>
      <c r="S1501" s="46"/>
      <c r="T1501" s="46"/>
      <c r="U1501" s="46"/>
      <c r="V1501" s="46"/>
      <c r="W1501" s="46"/>
      <c r="X1501" s="46"/>
    </row>
    <row r="1502" spans="1:24" ht="12.75" x14ac:dyDescent="0.2">
      <c r="A1502" s="45"/>
      <c r="B1502" s="46"/>
      <c r="C1502" s="46"/>
      <c r="D1502" s="46"/>
      <c r="E1502" s="46"/>
      <c r="F1502" s="46"/>
      <c r="G1502" s="46"/>
      <c r="H1502" s="46"/>
      <c r="I1502" s="46"/>
      <c r="J1502" s="46"/>
      <c r="K1502" s="46"/>
      <c r="L1502" s="46"/>
      <c r="M1502" s="46"/>
      <c r="N1502" s="46"/>
      <c r="O1502" s="46"/>
      <c r="P1502" s="46"/>
      <c r="Q1502" s="46"/>
      <c r="R1502" s="46"/>
      <c r="S1502" s="46"/>
      <c r="T1502" s="46"/>
      <c r="U1502" s="46"/>
      <c r="V1502" s="46"/>
      <c r="W1502" s="46"/>
      <c r="X1502" s="46"/>
    </row>
    <row r="1503" spans="1:24" ht="12.75" x14ac:dyDescent="0.2">
      <c r="A1503" s="45"/>
      <c r="B1503" s="46"/>
      <c r="C1503" s="46"/>
      <c r="D1503" s="46"/>
      <c r="E1503" s="46"/>
      <c r="F1503" s="46"/>
      <c r="G1503" s="46"/>
      <c r="H1503" s="46"/>
      <c r="I1503" s="46"/>
      <c r="J1503" s="46"/>
      <c r="K1503" s="46"/>
      <c r="L1503" s="46"/>
      <c r="M1503" s="46"/>
      <c r="N1503" s="46"/>
      <c r="O1503" s="46"/>
      <c r="P1503" s="46"/>
      <c r="Q1503" s="46"/>
      <c r="R1503" s="46"/>
      <c r="S1503" s="46"/>
      <c r="T1503" s="46"/>
      <c r="U1503" s="46"/>
      <c r="V1503" s="46"/>
      <c r="W1503" s="46"/>
      <c r="X1503" s="46"/>
    </row>
    <row r="1504" spans="1:24" ht="12.75" x14ac:dyDescent="0.2">
      <c r="A1504" s="45"/>
      <c r="B1504" s="46"/>
      <c r="C1504" s="46"/>
      <c r="D1504" s="46"/>
      <c r="E1504" s="46"/>
      <c r="F1504" s="46"/>
      <c r="G1504" s="46"/>
      <c r="H1504" s="46"/>
      <c r="I1504" s="46"/>
      <c r="J1504" s="46"/>
      <c r="K1504" s="46"/>
      <c r="L1504" s="46"/>
      <c r="M1504" s="46"/>
      <c r="N1504" s="46"/>
      <c r="O1504" s="46"/>
      <c r="P1504" s="46"/>
      <c r="Q1504" s="46"/>
      <c r="R1504" s="46"/>
      <c r="S1504" s="46"/>
      <c r="T1504" s="46"/>
      <c r="U1504" s="46"/>
      <c r="V1504" s="46"/>
      <c r="W1504" s="46"/>
      <c r="X1504" s="46"/>
    </row>
    <row r="1505" spans="1:24" ht="12.75" x14ac:dyDescent="0.2">
      <c r="A1505" s="45"/>
      <c r="B1505" s="46"/>
      <c r="C1505" s="46"/>
      <c r="D1505" s="46"/>
      <c r="E1505" s="46"/>
      <c r="F1505" s="46"/>
      <c r="G1505" s="46"/>
      <c r="H1505" s="46"/>
      <c r="I1505" s="46"/>
      <c r="J1505" s="46"/>
      <c r="K1505" s="46"/>
      <c r="L1505" s="46"/>
      <c r="M1505" s="46"/>
      <c r="N1505" s="46"/>
      <c r="O1505" s="46"/>
      <c r="P1505" s="46"/>
      <c r="Q1505" s="46"/>
      <c r="R1505" s="46"/>
      <c r="S1505" s="46"/>
      <c r="T1505" s="46"/>
      <c r="U1505" s="46"/>
      <c r="V1505" s="46"/>
      <c r="W1505" s="46"/>
      <c r="X1505" s="46"/>
    </row>
    <row r="1506" spans="1:24" ht="12.75" x14ac:dyDescent="0.2">
      <c r="A1506" s="45"/>
      <c r="B1506" s="46"/>
      <c r="C1506" s="46"/>
      <c r="D1506" s="46"/>
      <c r="E1506" s="46"/>
      <c r="F1506" s="46"/>
      <c r="G1506" s="46"/>
      <c r="H1506" s="46"/>
      <c r="I1506" s="46"/>
      <c r="J1506" s="46"/>
      <c r="K1506" s="46"/>
      <c r="L1506" s="46"/>
      <c r="M1506" s="46"/>
      <c r="N1506" s="46"/>
      <c r="O1506" s="46"/>
      <c r="P1506" s="46"/>
      <c r="Q1506" s="46"/>
      <c r="R1506" s="46"/>
      <c r="S1506" s="46"/>
      <c r="T1506" s="46"/>
      <c r="U1506" s="46"/>
      <c r="V1506" s="46"/>
      <c r="W1506" s="46"/>
      <c r="X1506" s="46"/>
    </row>
    <row r="1507" spans="1:24" ht="12.75" x14ac:dyDescent="0.2">
      <c r="A1507" s="45"/>
      <c r="B1507" s="46"/>
      <c r="C1507" s="46"/>
      <c r="D1507" s="46"/>
      <c r="E1507" s="46"/>
      <c r="F1507" s="46"/>
      <c r="G1507" s="46"/>
      <c r="H1507" s="46"/>
      <c r="I1507" s="46"/>
      <c r="J1507" s="46"/>
      <c r="K1507" s="46"/>
      <c r="L1507" s="46"/>
      <c r="M1507" s="46"/>
      <c r="N1507" s="46"/>
      <c r="O1507" s="46"/>
      <c r="P1507" s="46"/>
      <c r="Q1507" s="46"/>
      <c r="R1507" s="46"/>
      <c r="S1507" s="46"/>
      <c r="T1507" s="46"/>
      <c r="U1507" s="46"/>
      <c r="V1507" s="46"/>
      <c r="W1507" s="46"/>
      <c r="X1507" s="46"/>
    </row>
    <row r="1508" spans="1:24" ht="12.75" x14ac:dyDescent="0.2">
      <c r="A1508" s="45"/>
      <c r="B1508" s="46"/>
      <c r="C1508" s="46"/>
      <c r="D1508" s="46"/>
      <c r="E1508" s="46"/>
      <c r="F1508" s="46"/>
      <c r="G1508" s="46"/>
      <c r="H1508" s="46"/>
      <c r="I1508" s="46"/>
      <c r="J1508" s="46"/>
      <c r="K1508" s="46"/>
      <c r="L1508" s="46"/>
      <c r="M1508" s="46"/>
      <c r="N1508" s="46"/>
      <c r="O1508" s="46"/>
      <c r="P1508" s="46"/>
      <c r="Q1508" s="46"/>
      <c r="R1508" s="46"/>
      <c r="S1508" s="46"/>
      <c r="T1508" s="46"/>
      <c r="U1508" s="46"/>
      <c r="V1508" s="46"/>
      <c r="W1508" s="46"/>
      <c r="X1508" s="46"/>
    </row>
    <row r="1509" spans="1:24" ht="12.75" x14ac:dyDescent="0.2">
      <c r="A1509" s="45"/>
      <c r="B1509" s="46"/>
      <c r="C1509" s="46"/>
      <c r="D1509" s="46"/>
      <c r="E1509" s="46"/>
      <c r="F1509" s="46"/>
      <c r="G1509" s="46"/>
      <c r="H1509" s="46"/>
      <c r="I1509" s="46"/>
      <c r="J1509" s="46"/>
      <c r="K1509" s="46"/>
      <c r="L1509" s="46"/>
      <c r="M1509" s="46"/>
      <c r="N1509" s="46"/>
      <c r="O1509" s="46"/>
      <c r="P1509" s="46"/>
      <c r="Q1509" s="46"/>
      <c r="R1509" s="46"/>
      <c r="S1509" s="46"/>
      <c r="T1509" s="46"/>
      <c r="U1509" s="46"/>
      <c r="V1509" s="46"/>
      <c r="W1509" s="46"/>
      <c r="X1509" s="46"/>
    </row>
    <row r="1510" spans="1:24" ht="12.75" x14ac:dyDescent="0.2">
      <c r="A1510" s="45"/>
      <c r="B1510" s="46"/>
      <c r="C1510" s="46"/>
      <c r="D1510" s="46"/>
      <c r="E1510" s="46"/>
      <c r="F1510" s="46"/>
      <c r="G1510" s="46"/>
      <c r="H1510" s="46"/>
      <c r="I1510" s="46"/>
      <c r="J1510" s="46"/>
      <c r="K1510" s="46"/>
      <c r="L1510" s="46"/>
      <c r="M1510" s="46"/>
      <c r="N1510" s="46"/>
      <c r="O1510" s="46"/>
      <c r="P1510" s="46"/>
      <c r="Q1510" s="46"/>
      <c r="R1510" s="46"/>
      <c r="S1510" s="46"/>
      <c r="T1510" s="46"/>
      <c r="U1510" s="46"/>
      <c r="V1510" s="46"/>
      <c r="W1510" s="46"/>
      <c r="X1510" s="46"/>
    </row>
    <row r="1511" spans="1:24" ht="12.75" x14ac:dyDescent="0.2">
      <c r="A1511" s="45"/>
      <c r="B1511" s="46"/>
      <c r="C1511" s="46"/>
      <c r="D1511" s="46"/>
      <c r="E1511" s="46"/>
      <c r="F1511" s="46"/>
      <c r="G1511" s="46"/>
      <c r="H1511" s="46"/>
      <c r="I1511" s="46"/>
      <c r="J1511" s="46"/>
      <c r="K1511" s="46"/>
      <c r="L1511" s="46"/>
      <c r="M1511" s="46"/>
      <c r="N1511" s="46"/>
      <c r="O1511" s="46"/>
      <c r="P1511" s="46"/>
      <c r="Q1511" s="46"/>
      <c r="R1511" s="46"/>
      <c r="S1511" s="46"/>
      <c r="T1511" s="46"/>
      <c r="U1511" s="46"/>
      <c r="V1511" s="46"/>
      <c r="W1511" s="46"/>
      <c r="X1511" s="46"/>
    </row>
    <row r="1512" spans="1:24" ht="12.75" x14ac:dyDescent="0.2">
      <c r="A1512" s="45"/>
      <c r="B1512" s="46"/>
      <c r="C1512" s="46"/>
      <c r="D1512" s="46"/>
      <c r="E1512" s="46"/>
      <c r="F1512" s="46"/>
      <c r="G1512" s="46"/>
      <c r="H1512" s="46"/>
      <c r="I1512" s="46"/>
      <c r="J1512" s="46"/>
      <c r="K1512" s="46"/>
      <c r="L1512" s="46"/>
      <c r="M1512" s="46"/>
      <c r="N1512" s="46"/>
      <c r="O1512" s="46"/>
      <c r="P1512" s="46"/>
      <c r="Q1512" s="46"/>
      <c r="R1512" s="46"/>
      <c r="S1512" s="46"/>
      <c r="T1512" s="46"/>
      <c r="U1512" s="46"/>
      <c r="V1512" s="46"/>
      <c r="W1512" s="46"/>
      <c r="X1512" s="46"/>
    </row>
    <row r="1513" spans="1:24" ht="12.75" x14ac:dyDescent="0.2">
      <c r="A1513" s="45"/>
      <c r="B1513" s="46"/>
      <c r="C1513" s="46"/>
      <c r="D1513" s="46"/>
      <c r="E1513" s="46"/>
      <c r="F1513" s="46"/>
      <c r="G1513" s="46"/>
      <c r="H1513" s="46"/>
      <c r="I1513" s="46"/>
      <c r="J1513" s="46"/>
      <c r="K1513" s="46"/>
      <c r="L1513" s="46"/>
      <c r="M1513" s="46"/>
      <c r="N1513" s="46"/>
      <c r="O1513" s="46"/>
      <c r="P1513" s="46"/>
      <c r="Q1513" s="46"/>
      <c r="R1513" s="46"/>
      <c r="S1513" s="46"/>
      <c r="T1513" s="46"/>
      <c r="U1513" s="46"/>
      <c r="V1513" s="46"/>
      <c r="W1513" s="46"/>
      <c r="X1513" s="46"/>
    </row>
    <row r="1514" spans="1:24" ht="12.75" x14ac:dyDescent="0.2">
      <c r="A1514" s="45"/>
      <c r="B1514" s="46"/>
      <c r="C1514" s="46"/>
      <c r="D1514" s="46"/>
      <c r="E1514" s="46"/>
      <c r="F1514" s="46"/>
      <c r="G1514" s="46"/>
      <c r="H1514" s="46"/>
      <c r="I1514" s="46"/>
      <c r="J1514" s="46"/>
      <c r="K1514" s="46"/>
      <c r="L1514" s="46"/>
      <c r="M1514" s="46"/>
      <c r="N1514" s="46"/>
      <c r="O1514" s="46"/>
      <c r="P1514" s="46"/>
      <c r="Q1514" s="46"/>
      <c r="R1514" s="46"/>
      <c r="S1514" s="46"/>
      <c r="T1514" s="46"/>
      <c r="U1514" s="46"/>
      <c r="V1514" s="46"/>
      <c r="W1514" s="46"/>
      <c r="X1514" s="46"/>
    </row>
    <row r="1515" spans="1:24" ht="12.75" x14ac:dyDescent="0.2">
      <c r="A1515" s="45"/>
      <c r="B1515" s="46"/>
      <c r="C1515" s="46"/>
      <c r="D1515" s="46"/>
      <c r="E1515" s="46"/>
      <c r="F1515" s="46"/>
      <c r="G1515" s="46"/>
      <c r="H1515" s="46"/>
      <c r="I1515" s="46"/>
      <c r="J1515" s="46"/>
      <c r="K1515" s="46"/>
      <c r="L1515" s="46"/>
      <c r="M1515" s="46"/>
      <c r="N1515" s="46"/>
      <c r="O1515" s="46"/>
      <c r="P1515" s="46"/>
      <c r="Q1515" s="46"/>
      <c r="R1515" s="46"/>
      <c r="S1515" s="46"/>
      <c r="T1515" s="46"/>
      <c r="U1515" s="46"/>
      <c r="V1515" s="46"/>
      <c r="W1515" s="46"/>
      <c r="X1515" s="46"/>
    </row>
    <row r="1516" spans="1:24" ht="12.75" x14ac:dyDescent="0.2">
      <c r="A1516" s="45"/>
      <c r="B1516" s="46"/>
      <c r="C1516" s="46"/>
      <c r="D1516" s="46"/>
      <c r="E1516" s="46"/>
      <c r="F1516" s="46"/>
      <c r="G1516" s="46"/>
      <c r="H1516" s="46"/>
      <c r="I1516" s="46"/>
      <c r="J1516" s="46"/>
      <c r="K1516" s="46"/>
      <c r="L1516" s="46"/>
      <c r="M1516" s="46"/>
      <c r="N1516" s="46"/>
      <c r="O1516" s="46"/>
      <c r="P1516" s="46"/>
      <c r="Q1516" s="46"/>
      <c r="R1516" s="46"/>
      <c r="S1516" s="46"/>
      <c r="T1516" s="46"/>
      <c r="U1516" s="46"/>
      <c r="V1516" s="46"/>
      <c r="W1516" s="46"/>
      <c r="X1516" s="46"/>
    </row>
    <row r="1517" spans="1:24" ht="12.75" x14ac:dyDescent="0.2">
      <c r="A1517" s="45"/>
      <c r="B1517" s="46"/>
      <c r="C1517" s="46"/>
      <c r="D1517" s="46"/>
      <c r="E1517" s="46"/>
      <c r="F1517" s="46"/>
      <c r="G1517" s="46"/>
      <c r="H1517" s="46"/>
      <c r="I1517" s="46"/>
      <c r="J1517" s="46"/>
      <c r="K1517" s="46"/>
      <c r="L1517" s="46"/>
      <c r="M1517" s="46"/>
      <c r="N1517" s="46"/>
      <c r="O1517" s="46"/>
      <c r="P1517" s="46"/>
      <c r="Q1517" s="46"/>
      <c r="R1517" s="46"/>
      <c r="S1517" s="46"/>
      <c r="T1517" s="46"/>
      <c r="U1517" s="46"/>
      <c r="V1517" s="46"/>
      <c r="W1517" s="46"/>
      <c r="X1517" s="46"/>
    </row>
    <row r="1518" spans="1:24" ht="12.75" x14ac:dyDescent="0.2">
      <c r="A1518" s="45"/>
      <c r="B1518" s="46"/>
      <c r="C1518" s="46"/>
      <c r="D1518" s="46"/>
      <c r="E1518" s="46"/>
      <c r="F1518" s="46"/>
      <c r="G1518" s="46"/>
      <c r="H1518" s="46"/>
      <c r="I1518" s="46"/>
      <c r="J1518" s="46"/>
      <c r="K1518" s="46"/>
      <c r="L1518" s="46"/>
      <c r="M1518" s="46"/>
      <c r="N1518" s="46"/>
      <c r="O1518" s="46"/>
      <c r="P1518" s="46"/>
      <c r="Q1518" s="46"/>
      <c r="R1518" s="46"/>
      <c r="S1518" s="46"/>
      <c r="T1518" s="46"/>
      <c r="U1518" s="46"/>
      <c r="V1518" s="46"/>
      <c r="W1518" s="46"/>
      <c r="X1518" s="46"/>
    </row>
    <row r="1519" spans="1:24" ht="12.75" x14ac:dyDescent="0.2">
      <c r="A1519" s="45"/>
      <c r="B1519" s="46"/>
      <c r="C1519" s="46"/>
      <c r="D1519" s="46"/>
      <c r="E1519" s="46"/>
      <c r="F1519" s="46"/>
      <c r="G1519" s="46"/>
      <c r="H1519" s="46"/>
      <c r="I1519" s="46"/>
      <c r="J1519" s="46"/>
      <c r="K1519" s="46"/>
      <c r="L1519" s="46"/>
      <c r="M1519" s="46"/>
      <c r="N1519" s="46"/>
      <c r="O1519" s="46"/>
      <c r="P1519" s="46"/>
      <c r="Q1519" s="46"/>
      <c r="R1519" s="46"/>
      <c r="S1519" s="46"/>
      <c r="T1519" s="46"/>
      <c r="U1519" s="46"/>
      <c r="V1519" s="46"/>
      <c r="W1519" s="46"/>
      <c r="X1519" s="46"/>
    </row>
    <row r="1520" spans="1:24" ht="12.75" x14ac:dyDescent="0.2">
      <c r="A1520" s="45"/>
      <c r="B1520" s="46"/>
      <c r="C1520" s="46"/>
      <c r="D1520" s="46"/>
      <c r="E1520" s="46"/>
      <c r="F1520" s="46"/>
      <c r="G1520" s="46"/>
      <c r="H1520" s="46"/>
      <c r="I1520" s="46"/>
      <c r="J1520" s="46"/>
      <c r="K1520" s="46"/>
      <c r="L1520" s="46"/>
      <c r="M1520" s="46"/>
      <c r="N1520" s="46"/>
      <c r="O1520" s="46"/>
      <c r="P1520" s="46"/>
      <c r="Q1520" s="46"/>
      <c r="R1520" s="46"/>
      <c r="S1520" s="46"/>
      <c r="T1520" s="46"/>
      <c r="U1520" s="46"/>
      <c r="V1520" s="46"/>
      <c r="W1520" s="46"/>
      <c r="X1520" s="46"/>
    </row>
    <row r="1521" spans="1:24" ht="12.75" x14ac:dyDescent="0.2">
      <c r="A1521" s="45"/>
      <c r="B1521" s="46"/>
      <c r="C1521" s="46"/>
      <c r="D1521" s="46"/>
      <c r="E1521" s="46"/>
      <c r="F1521" s="46"/>
      <c r="G1521" s="46"/>
      <c r="H1521" s="46"/>
      <c r="I1521" s="46"/>
      <c r="J1521" s="46"/>
      <c r="K1521" s="46"/>
      <c r="L1521" s="46"/>
      <c r="M1521" s="46"/>
      <c r="N1521" s="46"/>
      <c r="O1521" s="46"/>
      <c r="P1521" s="46"/>
      <c r="Q1521" s="46"/>
      <c r="R1521" s="46"/>
      <c r="S1521" s="46"/>
      <c r="T1521" s="46"/>
      <c r="U1521" s="46"/>
      <c r="V1521" s="46"/>
      <c r="W1521" s="46"/>
      <c r="X1521" s="46"/>
    </row>
    <row r="1522" spans="1:24" ht="12.75" x14ac:dyDescent="0.2">
      <c r="A1522" s="45"/>
      <c r="B1522" s="46"/>
      <c r="C1522" s="46"/>
      <c r="D1522" s="46"/>
      <c r="E1522" s="46"/>
      <c r="F1522" s="46"/>
      <c r="G1522" s="46"/>
      <c r="H1522" s="46"/>
      <c r="I1522" s="46"/>
      <c r="J1522" s="46"/>
      <c r="K1522" s="46"/>
      <c r="L1522" s="46"/>
      <c r="M1522" s="46"/>
      <c r="N1522" s="46"/>
      <c r="O1522" s="46"/>
      <c r="P1522" s="46"/>
      <c r="Q1522" s="46"/>
      <c r="R1522" s="46"/>
      <c r="S1522" s="46"/>
      <c r="T1522" s="46"/>
      <c r="U1522" s="46"/>
      <c r="V1522" s="46"/>
      <c r="W1522" s="46"/>
      <c r="X1522" s="46"/>
    </row>
    <row r="1523" spans="1:24" ht="12.75" x14ac:dyDescent="0.2">
      <c r="A1523" s="45"/>
      <c r="B1523" s="46"/>
      <c r="C1523" s="46"/>
      <c r="D1523" s="46"/>
      <c r="E1523" s="46"/>
      <c r="F1523" s="46"/>
      <c r="G1523" s="46"/>
      <c r="H1523" s="46"/>
      <c r="I1523" s="46"/>
      <c r="J1523" s="46"/>
      <c r="K1523" s="46"/>
      <c r="L1523" s="46"/>
      <c r="M1523" s="46"/>
      <c r="N1523" s="46"/>
      <c r="O1523" s="46"/>
      <c r="P1523" s="46"/>
      <c r="Q1523" s="46"/>
      <c r="R1523" s="46"/>
      <c r="S1523" s="46"/>
      <c r="T1523" s="46"/>
      <c r="U1523" s="46"/>
      <c r="V1523" s="46"/>
      <c r="W1523" s="46"/>
      <c r="X1523" s="46"/>
    </row>
    <row r="1524" spans="1:24" ht="12.75" x14ac:dyDescent="0.2">
      <c r="A1524" s="45"/>
      <c r="B1524" s="46"/>
      <c r="C1524" s="46"/>
      <c r="D1524" s="46"/>
      <c r="E1524" s="46"/>
      <c r="F1524" s="46"/>
      <c r="G1524" s="46"/>
      <c r="H1524" s="46"/>
      <c r="I1524" s="46"/>
      <c r="J1524" s="46"/>
      <c r="K1524" s="46"/>
      <c r="L1524" s="46"/>
      <c r="M1524" s="46"/>
      <c r="N1524" s="46"/>
      <c r="O1524" s="46"/>
      <c r="P1524" s="46"/>
      <c r="Q1524" s="46"/>
      <c r="R1524" s="46"/>
      <c r="S1524" s="46"/>
      <c r="T1524" s="46"/>
      <c r="U1524" s="46"/>
      <c r="V1524" s="46"/>
      <c r="W1524" s="46"/>
      <c r="X1524" s="46"/>
    </row>
    <row r="1525" spans="1:24" ht="12.75" x14ac:dyDescent="0.2">
      <c r="A1525" s="45"/>
      <c r="B1525" s="46"/>
      <c r="C1525" s="46"/>
      <c r="D1525" s="46"/>
      <c r="E1525" s="46"/>
      <c r="F1525" s="46"/>
      <c r="G1525" s="46"/>
      <c r="H1525" s="46"/>
      <c r="I1525" s="46"/>
      <c r="J1525" s="46"/>
      <c r="K1525" s="46"/>
      <c r="L1525" s="46"/>
      <c r="M1525" s="46"/>
      <c r="N1525" s="46"/>
      <c r="O1525" s="46"/>
      <c r="P1525" s="46"/>
      <c r="Q1525" s="46"/>
      <c r="R1525" s="46"/>
      <c r="S1525" s="46"/>
      <c r="T1525" s="46"/>
      <c r="U1525" s="46"/>
      <c r="V1525" s="46"/>
      <c r="W1525" s="46"/>
      <c r="X1525" s="46"/>
    </row>
    <row r="1526" spans="1:24" ht="12.75" x14ac:dyDescent="0.2">
      <c r="A1526" s="45"/>
      <c r="B1526" s="46"/>
      <c r="C1526" s="46"/>
      <c r="D1526" s="46"/>
      <c r="E1526" s="46"/>
      <c r="F1526" s="46"/>
      <c r="G1526" s="46"/>
      <c r="H1526" s="46"/>
      <c r="I1526" s="46"/>
      <c r="J1526" s="46"/>
      <c r="K1526" s="46"/>
      <c r="L1526" s="46"/>
      <c r="M1526" s="46"/>
      <c r="N1526" s="46"/>
      <c r="O1526" s="46"/>
      <c r="P1526" s="46"/>
      <c r="Q1526" s="46"/>
      <c r="R1526" s="46"/>
      <c r="S1526" s="46"/>
      <c r="T1526" s="46"/>
      <c r="U1526" s="46"/>
      <c r="V1526" s="46"/>
      <c r="W1526" s="46"/>
      <c r="X1526" s="46"/>
    </row>
    <row r="1527" spans="1:24" ht="12.75" x14ac:dyDescent="0.2">
      <c r="A1527" s="45"/>
      <c r="B1527" s="46"/>
      <c r="C1527" s="46"/>
      <c r="D1527" s="46"/>
      <c r="E1527" s="46"/>
      <c r="F1527" s="46"/>
      <c r="G1527" s="46"/>
      <c r="H1527" s="46"/>
      <c r="I1527" s="46"/>
      <c r="J1527" s="46"/>
      <c r="K1527" s="46"/>
      <c r="L1527" s="46"/>
      <c r="M1527" s="46"/>
      <c r="N1527" s="46"/>
      <c r="O1527" s="46"/>
      <c r="P1527" s="46"/>
      <c r="Q1527" s="46"/>
      <c r="R1527" s="46"/>
      <c r="S1527" s="46"/>
      <c r="T1527" s="46"/>
      <c r="U1527" s="46"/>
      <c r="V1527" s="46"/>
      <c r="W1527" s="46"/>
      <c r="X1527" s="46"/>
    </row>
    <row r="1528" spans="1:24" ht="12.75" x14ac:dyDescent="0.2">
      <c r="A1528" s="45"/>
      <c r="B1528" s="46"/>
      <c r="C1528" s="46"/>
      <c r="D1528" s="46"/>
      <c r="E1528" s="46"/>
      <c r="F1528" s="46"/>
      <c r="G1528" s="46"/>
      <c r="H1528" s="46"/>
      <c r="I1528" s="46"/>
      <c r="J1528" s="46"/>
      <c r="K1528" s="46"/>
      <c r="L1528" s="46"/>
      <c r="M1528" s="46"/>
      <c r="N1528" s="46"/>
      <c r="O1528" s="46"/>
      <c r="P1528" s="46"/>
      <c r="Q1528" s="46"/>
      <c r="R1528" s="46"/>
      <c r="S1528" s="46"/>
      <c r="T1528" s="46"/>
      <c r="U1528" s="46"/>
      <c r="V1528" s="46"/>
      <c r="W1528" s="46"/>
      <c r="X1528" s="46"/>
    </row>
    <row r="1529" spans="1:24" ht="12.75" x14ac:dyDescent="0.2">
      <c r="A1529" s="45"/>
      <c r="B1529" s="46"/>
      <c r="C1529" s="46"/>
      <c r="D1529" s="46"/>
      <c r="E1529" s="46"/>
      <c r="F1529" s="46"/>
      <c r="G1529" s="46"/>
      <c r="H1529" s="46"/>
      <c r="I1529" s="46"/>
      <c r="J1529" s="46"/>
      <c r="K1529" s="46"/>
      <c r="L1529" s="46"/>
      <c r="M1529" s="46"/>
      <c r="N1529" s="46"/>
      <c r="O1529" s="46"/>
      <c r="P1529" s="46"/>
      <c r="Q1529" s="46"/>
      <c r="R1529" s="46"/>
      <c r="S1529" s="46"/>
      <c r="T1529" s="46"/>
      <c r="U1529" s="46"/>
      <c r="V1529" s="46"/>
      <c r="W1529" s="46"/>
      <c r="X1529" s="46"/>
    </row>
    <row r="1530" spans="1:24" ht="12.75" x14ac:dyDescent="0.2">
      <c r="A1530" s="45"/>
      <c r="B1530" s="46"/>
      <c r="C1530" s="46"/>
      <c r="D1530" s="46"/>
      <c r="E1530" s="46"/>
      <c r="F1530" s="46"/>
      <c r="G1530" s="46"/>
      <c r="H1530" s="46"/>
      <c r="I1530" s="46"/>
      <c r="J1530" s="46"/>
      <c r="K1530" s="46"/>
      <c r="L1530" s="46"/>
      <c r="M1530" s="46"/>
      <c r="N1530" s="46"/>
      <c r="O1530" s="46"/>
      <c r="P1530" s="46"/>
      <c r="Q1530" s="46"/>
      <c r="R1530" s="46"/>
      <c r="S1530" s="46"/>
      <c r="T1530" s="46"/>
      <c r="U1530" s="46"/>
      <c r="V1530" s="46"/>
      <c r="W1530" s="46"/>
      <c r="X1530" s="46"/>
    </row>
    <row r="1531" spans="1:24" ht="12.75" x14ac:dyDescent="0.2">
      <c r="A1531" s="45"/>
      <c r="B1531" s="46"/>
      <c r="C1531" s="46"/>
      <c r="D1531" s="46"/>
      <c r="E1531" s="46"/>
      <c r="F1531" s="46"/>
      <c r="G1531" s="46"/>
      <c r="H1531" s="46"/>
      <c r="I1531" s="46"/>
      <c r="J1531" s="46"/>
      <c r="K1531" s="46"/>
      <c r="L1531" s="46"/>
      <c r="M1531" s="46"/>
      <c r="N1531" s="46"/>
      <c r="O1531" s="46"/>
      <c r="P1531" s="46"/>
      <c r="Q1531" s="46"/>
      <c r="R1531" s="46"/>
      <c r="S1531" s="46"/>
      <c r="T1531" s="46"/>
      <c r="U1531" s="46"/>
      <c r="V1531" s="46"/>
      <c r="W1531" s="46"/>
      <c r="X1531" s="46"/>
    </row>
    <row r="1532" spans="1:24" ht="12.75" x14ac:dyDescent="0.2">
      <c r="A1532" s="45"/>
      <c r="B1532" s="46"/>
      <c r="C1532" s="46"/>
      <c r="D1532" s="46"/>
      <c r="E1532" s="46"/>
      <c r="F1532" s="46"/>
      <c r="G1532" s="46"/>
      <c r="H1532" s="46"/>
      <c r="I1532" s="46"/>
      <c r="J1532" s="46"/>
      <c r="K1532" s="46"/>
      <c r="L1532" s="46"/>
      <c r="M1532" s="46"/>
      <c r="N1532" s="46"/>
      <c r="O1532" s="46"/>
      <c r="P1532" s="46"/>
      <c r="Q1532" s="46"/>
      <c r="R1532" s="46"/>
      <c r="S1532" s="46"/>
      <c r="T1532" s="46"/>
      <c r="U1532" s="46"/>
      <c r="V1532" s="46"/>
      <c r="W1532" s="46"/>
      <c r="X1532" s="46"/>
    </row>
    <row r="1533" spans="1:24" ht="12.75" x14ac:dyDescent="0.2">
      <c r="A1533" s="45"/>
      <c r="B1533" s="46"/>
      <c r="C1533" s="46"/>
      <c r="D1533" s="46"/>
      <c r="E1533" s="46"/>
      <c r="F1533" s="46"/>
      <c r="G1533" s="46"/>
      <c r="H1533" s="46"/>
      <c r="I1533" s="46"/>
      <c r="J1533" s="46"/>
      <c r="K1533" s="46"/>
      <c r="L1533" s="46"/>
      <c r="M1533" s="46"/>
      <c r="N1533" s="46"/>
      <c r="O1533" s="46"/>
      <c r="P1533" s="46"/>
      <c r="Q1533" s="46"/>
      <c r="R1533" s="46"/>
      <c r="S1533" s="46"/>
      <c r="T1533" s="46"/>
      <c r="U1533" s="46"/>
      <c r="V1533" s="46"/>
      <c r="W1533" s="46"/>
      <c r="X1533" s="46"/>
    </row>
    <row r="1534" spans="1:24" ht="12.75" x14ac:dyDescent="0.2">
      <c r="A1534" s="45"/>
      <c r="B1534" s="46"/>
      <c r="C1534" s="46"/>
      <c r="D1534" s="46"/>
      <c r="E1534" s="46"/>
      <c r="F1534" s="46"/>
      <c r="G1534" s="46"/>
      <c r="H1534" s="46"/>
      <c r="I1534" s="46"/>
      <c r="J1534" s="46"/>
      <c r="K1534" s="46"/>
      <c r="L1534" s="46"/>
      <c r="M1534" s="46"/>
      <c r="N1534" s="46"/>
      <c r="O1534" s="46"/>
      <c r="P1534" s="46"/>
      <c r="Q1534" s="46"/>
      <c r="R1534" s="46"/>
      <c r="S1534" s="46"/>
      <c r="T1534" s="46"/>
      <c r="U1534" s="46"/>
      <c r="V1534" s="46"/>
      <c r="W1534" s="46"/>
      <c r="X1534" s="46"/>
    </row>
    <row r="1535" spans="1:24" ht="12.75" x14ac:dyDescent="0.2">
      <c r="A1535" s="45"/>
      <c r="B1535" s="46"/>
      <c r="C1535" s="46"/>
      <c r="D1535" s="46"/>
      <c r="E1535" s="46"/>
      <c r="F1535" s="46"/>
      <c r="G1535" s="46"/>
      <c r="H1535" s="46"/>
      <c r="I1535" s="46"/>
      <c r="J1535" s="46"/>
      <c r="K1535" s="46"/>
      <c r="L1535" s="46"/>
      <c r="M1535" s="46"/>
      <c r="N1535" s="46"/>
      <c r="O1535" s="46"/>
      <c r="P1535" s="46"/>
      <c r="Q1535" s="46"/>
      <c r="R1535" s="46"/>
      <c r="S1535" s="46"/>
      <c r="T1535" s="46"/>
      <c r="U1535" s="46"/>
      <c r="V1535" s="46"/>
      <c r="W1535" s="46"/>
      <c r="X1535" s="46"/>
    </row>
    <row r="1536" spans="1:24" ht="12.75" x14ac:dyDescent="0.2">
      <c r="A1536" s="45"/>
      <c r="B1536" s="46"/>
      <c r="C1536" s="46"/>
      <c r="D1536" s="46"/>
      <c r="E1536" s="46"/>
      <c r="F1536" s="46"/>
      <c r="G1536" s="46"/>
      <c r="H1536" s="46"/>
      <c r="I1536" s="46"/>
      <c r="J1536" s="46"/>
      <c r="K1536" s="46"/>
      <c r="L1536" s="46"/>
      <c r="M1536" s="46"/>
      <c r="N1536" s="46"/>
      <c r="O1536" s="46"/>
      <c r="P1536" s="46"/>
      <c r="Q1536" s="46"/>
      <c r="R1536" s="46"/>
      <c r="S1536" s="46"/>
      <c r="T1536" s="46"/>
      <c r="U1536" s="46"/>
      <c r="V1536" s="46"/>
      <c r="W1536" s="46"/>
      <c r="X1536" s="46"/>
    </row>
    <row r="1537" spans="1:24" ht="12.75" x14ac:dyDescent="0.2">
      <c r="A1537" s="45"/>
      <c r="B1537" s="46"/>
      <c r="C1537" s="46"/>
      <c r="D1537" s="46"/>
      <c r="E1537" s="46"/>
      <c r="F1537" s="46"/>
      <c r="G1537" s="46"/>
      <c r="H1537" s="46"/>
      <c r="I1537" s="46"/>
      <c r="J1537" s="46"/>
      <c r="K1537" s="46"/>
      <c r="L1537" s="46"/>
      <c r="M1537" s="46"/>
      <c r="N1537" s="46"/>
      <c r="O1537" s="46"/>
      <c r="P1537" s="46"/>
      <c r="Q1537" s="46"/>
      <c r="R1537" s="46"/>
      <c r="S1537" s="46"/>
      <c r="T1537" s="46"/>
      <c r="U1537" s="46"/>
      <c r="V1537" s="46"/>
      <c r="W1537" s="46"/>
      <c r="X1537" s="46"/>
    </row>
    <row r="1538" spans="1:24" ht="12.75" x14ac:dyDescent="0.2">
      <c r="A1538" s="45"/>
      <c r="B1538" s="46"/>
      <c r="C1538" s="46"/>
      <c r="D1538" s="46"/>
      <c r="E1538" s="46"/>
      <c r="F1538" s="46"/>
      <c r="G1538" s="46"/>
      <c r="H1538" s="46"/>
      <c r="I1538" s="46"/>
      <c r="J1538" s="46"/>
      <c r="K1538" s="46"/>
      <c r="L1538" s="46"/>
      <c r="M1538" s="46"/>
      <c r="N1538" s="46"/>
      <c r="O1538" s="46"/>
      <c r="P1538" s="46"/>
      <c r="Q1538" s="46"/>
      <c r="R1538" s="46"/>
      <c r="S1538" s="46"/>
      <c r="T1538" s="46"/>
      <c r="U1538" s="46"/>
      <c r="V1538" s="46"/>
      <c r="W1538" s="46"/>
      <c r="X1538" s="46"/>
    </row>
    <row r="1539" spans="1:24" ht="12.75" x14ac:dyDescent="0.2">
      <c r="A1539" s="45"/>
      <c r="B1539" s="46"/>
      <c r="C1539" s="46"/>
      <c r="D1539" s="46"/>
      <c r="E1539" s="46"/>
      <c r="F1539" s="46"/>
      <c r="G1539" s="46"/>
      <c r="H1539" s="46"/>
      <c r="I1539" s="46"/>
      <c r="J1539" s="46"/>
      <c r="K1539" s="46"/>
      <c r="L1539" s="46"/>
      <c r="M1539" s="46"/>
      <c r="N1539" s="46"/>
      <c r="O1539" s="46"/>
      <c r="P1539" s="46"/>
      <c r="Q1539" s="46"/>
      <c r="R1539" s="46"/>
      <c r="S1539" s="46"/>
      <c r="T1539" s="46"/>
      <c r="U1539" s="46"/>
      <c r="V1539" s="46"/>
      <c r="W1539" s="46"/>
      <c r="X1539" s="46"/>
    </row>
    <row r="1540" spans="1:24" ht="12.75" x14ac:dyDescent="0.2">
      <c r="A1540" s="45"/>
      <c r="B1540" s="46"/>
      <c r="C1540" s="46"/>
      <c r="D1540" s="46"/>
      <c r="E1540" s="46"/>
      <c r="F1540" s="46"/>
      <c r="G1540" s="46"/>
      <c r="H1540" s="46"/>
      <c r="I1540" s="46"/>
      <c r="J1540" s="46"/>
      <c r="K1540" s="46"/>
      <c r="L1540" s="46"/>
      <c r="M1540" s="46"/>
      <c r="N1540" s="46"/>
      <c r="O1540" s="46"/>
      <c r="P1540" s="46"/>
      <c r="Q1540" s="46"/>
      <c r="R1540" s="46"/>
      <c r="S1540" s="46"/>
      <c r="T1540" s="46"/>
      <c r="U1540" s="46"/>
      <c r="V1540" s="46"/>
      <c r="W1540" s="46"/>
      <c r="X1540" s="46"/>
    </row>
    <row r="1541" spans="1:24" ht="12.75" x14ac:dyDescent="0.2">
      <c r="A1541" s="45"/>
      <c r="B1541" s="46"/>
      <c r="C1541" s="46"/>
      <c r="D1541" s="46"/>
      <c r="E1541" s="46"/>
      <c r="F1541" s="46"/>
      <c r="G1541" s="46"/>
      <c r="H1541" s="46"/>
      <c r="I1541" s="46"/>
      <c r="J1541" s="46"/>
      <c r="K1541" s="46"/>
      <c r="L1541" s="46"/>
      <c r="M1541" s="46"/>
      <c r="N1541" s="46"/>
      <c r="O1541" s="46"/>
      <c r="P1541" s="46"/>
      <c r="Q1541" s="46"/>
      <c r="R1541" s="46"/>
      <c r="S1541" s="46"/>
      <c r="T1541" s="46"/>
      <c r="U1541" s="46"/>
      <c r="V1541" s="46"/>
      <c r="W1541" s="46"/>
      <c r="X1541" s="46"/>
    </row>
    <row r="1542" spans="1:24" ht="12.75" x14ac:dyDescent="0.2">
      <c r="A1542" s="45"/>
      <c r="B1542" s="46"/>
      <c r="C1542" s="46"/>
      <c r="D1542" s="46"/>
      <c r="E1542" s="46"/>
      <c r="F1542" s="46"/>
      <c r="G1542" s="46"/>
      <c r="H1542" s="46"/>
      <c r="I1542" s="46"/>
      <c r="J1542" s="46"/>
      <c r="K1542" s="46"/>
      <c r="L1542" s="46"/>
      <c r="M1542" s="46"/>
      <c r="N1542" s="46"/>
      <c r="O1542" s="46"/>
      <c r="P1542" s="46"/>
      <c r="Q1542" s="46"/>
      <c r="R1542" s="46"/>
      <c r="S1542" s="46"/>
      <c r="T1542" s="46"/>
      <c r="U1542" s="46"/>
      <c r="V1542" s="46"/>
      <c r="W1542" s="46"/>
      <c r="X1542" s="46"/>
    </row>
    <row r="1543" spans="1:24" ht="12.75" x14ac:dyDescent="0.2">
      <c r="A1543" s="45"/>
      <c r="B1543" s="46"/>
      <c r="C1543" s="46"/>
      <c r="D1543" s="46"/>
      <c r="E1543" s="46"/>
      <c r="F1543" s="46"/>
      <c r="G1543" s="46"/>
      <c r="H1543" s="46"/>
      <c r="I1543" s="46"/>
      <c r="J1543" s="46"/>
      <c r="K1543" s="46"/>
      <c r="L1543" s="46"/>
      <c r="M1543" s="46"/>
      <c r="N1543" s="46"/>
      <c r="O1543" s="46"/>
      <c r="P1543" s="46"/>
      <c r="Q1543" s="46"/>
      <c r="R1543" s="46"/>
      <c r="S1543" s="46"/>
      <c r="T1543" s="46"/>
      <c r="U1543" s="46"/>
      <c r="V1543" s="46"/>
      <c r="W1543" s="46"/>
      <c r="X1543" s="46"/>
    </row>
    <row r="1544" spans="1:24" ht="12.75" x14ac:dyDescent="0.2">
      <c r="A1544" s="45"/>
      <c r="B1544" s="46"/>
      <c r="C1544" s="46"/>
      <c r="D1544" s="46"/>
      <c r="E1544" s="46"/>
      <c r="F1544" s="46"/>
      <c r="G1544" s="46"/>
      <c r="H1544" s="46"/>
      <c r="I1544" s="46"/>
      <c r="J1544" s="46"/>
      <c r="K1544" s="46"/>
      <c r="L1544" s="46"/>
      <c r="M1544" s="46"/>
      <c r="N1544" s="46"/>
      <c r="O1544" s="46"/>
      <c r="P1544" s="46"/>
      <c r="Q1544" s="46"/>
      <c r="R1544" s="46"/>
      <c r="S1544" s="46"/>
      <c r="T1544" s="46"/>
      <c r="U1544" s="46"/>
      <c r="V1544" s="46"/>
      <c r="W1544" s="46"/>
      <c r="X1544" s="46"/>
    </row>
    <row r="1545" spans="1:24" ht="12.75" x14ac:dyDescent="0.2">
      <c r="A1545" s="45"/>
      <c r="B1545" s="46"/>
      <c r="C1545" s="46"/>
      <c r="D1545" s="46"/>
      <c r="E1545" s="46"/>
      <c r="F1545" s="46"/>
      <c r="G1545" s="46"/>
      <c r="H1545" s="46"/>
      <c r="I1545" s="46"/>
      <c r="J1545" s="46"/>
      <c r="K1545" s="46"/>
      <c r="L1545" s="46"/>
      <c r="M1545" s="46"/>
      <c r="N1545" s="46"/>
      <c r="O1545" s="46"/>
      <c r="P1545" s="46"/>
      <c r="Q1545" s="46"/>
      <c r="R1545" s="46"/>
      <c r="S1545" s="46"/>
      <c r="T1545" s="46"/>
      <c r="U1545" s="46"/>
      <c r="V1545" s="46"/>
      <c r="W1545" s="46"/>
      <c r="X1545" s="46"/>
    </row>
    <row r="1546" spans="1:24" ht="12.75" x14ac:dyDescent="0.2">
      <c r="A1546" s="45"/>
      <c r="B1546" s="46"/>
      <c r="C1546" s="46"/>
      <c r="D1546" s="46"/>
      <c r="E1546" s="46"/>
      <c r="F1546" s="46"/>
      <c r="G1546" s="46"/>
      <c r="H1546" s="46"/>
      <c r="I1546" s="46"/>
      <c r="J1546" s="46"/>
      <c r="K1546" s="46"/>
      <c r="L1546" s="46"/>
      <c r="M1546" s="46"/>
      <c r="N1546" s="46"/>
      <c r="O1546" s="46"/>
      <c r="P1546" s="46"/>
      <c r="Q1546" s="46"/>
      <c r="R1546" s="46"/>
      <c r="S1546" s="46"/>
      <c r="T1546" s="46"/>
      <c r="U1546" s="46"/>
      <c r="V1546" s="46"/>
      <c r="W1546" s="46"/>
      <c r="X1546" s="46"/>
    </row>
    <row r="1547" spans="1:24" ht="12.75" x14ac:dyDescent="0.2">
      <c r="A1547" s="45"/>
      <c r="B1547" s="46"/>
      <c r="C1547" s="46"/>
      <c r="D1547" s="46"/>
      <c r="E1547" s="46"/>
      <c r="F1547" s="46"/>
      <c r="G1547" s="46"/>
      <c r="H1547" s="46"/>
      <c r="I1547" s="46"/>
      <c r="J1547" s="46"/>
      <c r="K1547" s="46"/>
      <c r="L1547" s="46"/>
      <c r="M1547" s="46"/>
      <c r="N1547" s="46"/>
      <c r="O1547" s="46"/>
      <c r="P1547" s="46"/>
      <c r="Q1547" s="46"/>
      <c r="R1547" s="46"/>
      <c r="S1547" s="46"/>
      <c r="T1547" s="46"/>
      <c r="U1547" s="46"/>
      <c r="V1547" s="46"/>
      <c r="W1547" s="46"/>
      <c r="X1547" s="46"/>
    </row>
    <row r="1548" spans="1:24" ht="12.75" x14ac:dyDescent="0.2">
      <c r="A1548" s="45"/>
      <c r="B1548" s="46"/>
      <c r="C1548" s="46"/>
      <c r="D1548" s="46"/>
      <c r="E1548" s="46"/>
      <c r="F1548" s="46"/>
      <c r="G1548" s="46"/>
      <c r="H1548" s="46"/>
      <c r="I1548" s="46"/>
      <c r="J1548" s="46"/>
      <c r="K1548" s="46"/>
      <c r="L1548" s="46"/>
      <c r="M1548" s="46"/>
      <c r="N1548" s="46"/>
      <c r="O1548" s="46"/>
      <c r="P1548" s="46"/>
      <c r="Q1548" s="46"/>
      <c r="R1548" s="46"/>
      <c r="S1548" s="46"/>
      <c r="T1548" s="46"/>
      <c r="U1548" s="46"/>
      <c r="V1548" s="46"/>
      <c r="W1548" s="46"/>
      <c r="X1548" s="46"/>
    </row>
    <row r="1549" spans="1:24" ht="12.75" x14ac:dyDescent="0.2">
      <c r="A1549" s="45"/>
      <c r="B1549" s="46"/>
      <c r="C1549" s="46"/>
      <c r="D1549" s="46"/>
      <c r="E1549" s="46"/>
      <c r="F1549" s="46"/>
      <c r="G1549" s="46"/>
      <c r="H1549" s="46"/>
      <c r="I1549" s="46"/>
      <c r="J1549" s="46"/>
      <c r="K1549" s="46"/>
      <c r="L1549" s="46"/>
      <c r="M1549" s="46"/>
      <c r="N1549" s="46"/>
      <c r="O1549" s="46"/>
      <c r="P1549" s="46"/>
      <c r="Q1549" s="46"/>
      <c r="R1549" s="46"/>
      <c r="S1549" s="46"/>
      <c r="T1549" s="46"/>
      <c r="U1549" s="46"/>
      <c r="V1549" s="46"/>
      <c r="W1549" s="46"/>
      <c r="X1549" s="46"/>
    </row>
    <row r="1550" spans="1:24" ht="12.75" x14ac:dyDescent="0.2">
      <c r="A1550" s="45"/>
      <c r="B1550" s="46"/>
      <c r="C1550" s="46"/>
      <c r="D1550" s="46"/>
      <c r="E1550" s="46"/>
      <c r="F1550" s="46"/>
      <c r="G1550" s="46"/>
      <c r="H1550" s="46"/>
      <c r="I1550" s="46"/>
      <c r="J1550" s="46"/>
      <c r="K1550" s="46"/>
      <c r="L1550" s="46"/>
      <c r="M1550" s="46"/>
      <c r="N1550" s="46"/>
      <c r="O1550" s="46"/>
      <c r="P1550" s="46"/>
      <c r="Q1550" s="46"/>
      <c r="R1550" s="46"/>
      <c r="S1550" s="46"/>
      <c r="T1550" s="46"/>
      <c r="U1550" s="46"/>
      <c r="V1550" s="46"/>
      <c r="W1550" s="46"/>
      <c r="X1550" s="46"/>
    </row>
    <row r="1551" spans="1:24" ht="12.75" x14ac:dyDescent="0.2">
      <c r="A1551" s="45"/>
      <c r="B1551" s="46"/>
      <c r="C1551" s="46"/>
      <c r="D1551" s="46"/>
      <c r="E1551" s="46"/>
      <c r="F1551" s="46"/>
      <c r="G1551" s="46"/>
      <c r="H1551" s="46"/>
      <c r="I1551" s="46"/>
      <c r="J1551" s="46"/>
      <c r="K1551" s="46"/>
      <c r="L1551" s="46"/>
      <c r="M1551" s="46"/>
      <c r="N1551" s="46"/>
      <c r="O1551" s="46"/>
      <c r="P1551" s="46"/>
      <c r="Q1551" s="46"/>
      <c r="R1551" s="46"/>
      <c r="S1551" s="46"/>
      <c r="T1551" s="46"/>
      <c r="U1551" s="46"/>
      <c r="V1551" s="46"/>
      <c r="W1551" s="46"/>
      <c r="X1551" s="46"/>
    </row>
    <row r="1552" spans="1:24" ht="12.75" x14ac:dyDescent="0.2">
      <c r="A1552" s="45"/>
      <c r="B1552" s="46"/>
      <c r="C1552" s="46"/>
      <c r="D1552" s="46"/>
      <c r="E1552" s="46"/>
      <c r="F1552" s="46"/>
      <c r="G1552" s="46"/>
      <c r="H1552" s="46"/>
      <c r="I1552" s="46"/>
      <c r="J1552" s="46"/>
      <c r="K1552" s="46"/>
      <c r="L1552" s="46"/>
      <c r="M1552" s="46"/>
      <c r="N1552" s="46"/>
      <c r="O1552" s="46"/>
      <c r="P1552" s="46"/>
      <c r="Q1552" s="46"/>
      <c r="R1552" s="46"/>
      <c r="S1552" s="46"/>
      <c r="T1552" s="46"/>
      <c r="U1552" s="46"/>
      <c r="V1552" s="46"/>
      <c r="W1552" s="46"/>
      <c r="X1552" s="46"/>
    </row>
    <row r="1553" spans="1:24" ht="12.75" x14ac:dyDescent="0.2">
      <c r="A1553" s="45"/>
      <c r="B1553" s="46"/>
      <c r="C1553" s="46"/>
      <c r="D1553" s="46"/>
      <c r="E1553" s="46"/>
      <c r="F1553" s="46"/>
      <c r="G1553" s="46"/>
      <c r="H1553" s="46"/>
      <c r="I1553" s="46"/>
      <c r="J1553" s="46"/>
      <c r="K1553" s="46"/>
      <c r="L1553" s="46"/>
      <c r="M1553" s="46"/>
      <c r="N1553" s="46"/>
      <c r="O1553" s="46"/>
      <c r="P1553" s="46"/>
      <c r="Q1553" s="46"/>
      <c r="R1553" s="46"/>
      <c r="S1553" s="46"/>
      <c r="T1553" s="46"/>
      <c r="U1553" s="46"/>
      <c r="V1553" s="46"/>
      <c r="W1553" s="46"/>
      <c r="X1553" s="46"/>
    </row>
    <row r="1554" spans="1:24" ht="12.75" x14ac:dyDescent="0.2">
      <c r="A1554" s="45"/>
      <c r="B1554" s="46"/>
      <c r="C1554" s="46"/>
      <c r="D1554" s="46"/>
      <c r="E1554" s="46"/>
      <c r="F1554" s="46"/>
      <c r="G1554" s="46"/>
      <c r="H1554" s="46"/>
      <c r="I1554" s="46"/>
      <c r="J1554" s="46"/>
      <c r="K1554" s="46"/>
      <c r="L1554" s="46"/>
      <c r="M1554" s="46"/>
      <c r="N1554" s="46"/>
      <c r="O1554" s="46"/>
      <c r="P1554" s="46"/>
      <c r="Q1554" s="46"/>
      <c r="R1554" s="46"/>
      <c r="S1554" s="46"/>
      <c r="T1554" s="46"/>
      <c r="U1554" s="46"/>
      <c r="V1554" s="46"/>
      <c r="W1554" s="46"/>
      <c r="X1554" s="46"/>
    </row>
    <row r="1555" spans="1:24" ht="12.75" x14ac:dyDescent="0.2">
      <c r="A1555" s="45"/>
      <c r="B1555" s="46"/>
      <c r="C1555" s="46"/>
      <c r="D1555" s="46"/>
      <c r="E1555" s="46"/>
      <c r="F1555" s="46"/>
      <c r="G1555" s="46"/>
      <c r="H1555" s="46"/>
      <c r="I1555" s="46"/>
      <c r="J1555" s="46"/>
      <c r="K1555" s="46"/>
      <c r="L1555" s="46"/>
      <c r="M1555" s="46"/>
      <c r="N1555" s="46"/>
      <c r="O1555" s="46"/>
      <c r="P1555" s="46"/>
      <c r="Q1555" s="46"/>
      <c r="R1555" s="46"/>
      <c r="S1555" s="46"/>
      <c r="T1555" s="46"/>
      <c r="U1555" s="46"/>
      <c r="V1555" s="46"/>
      <c r="W1555" s="46"/>
      <c r="X1555" s="46"/>
    </row>
    <row r="1556" spans="1:24" ht="12.75" x14ac:dyDescent="0.2">
      <c r="A1556" s="45"/>
      <c r="B1556" s="46"/>
      <c r="C1556" s="46"/>
      <c r="D1556" s="46"/>
      <c r="E1556" s="46"/>
      <c r="F1556" s="46"/>
      <c r="G1556" s="46"/>
      <c r="H1556" s="46"/>
      <c r="I1556" s="46"/>
      <c r="J1556" s="46"/>
      <c r="K1556" s="46"/>
      <c r="L1556" s="46"/>
      <c r="M1556" s="46"/>
      <c r="N1556" s="46"/>
      <c r="O1556" s="46"/>
      <c r="P1556" s="46"/>
      <c r="Q1556" s="46"/>
      <c r="R1556" s="46"/>
      <c r="S1556" s="46"/>
      <c r="T1556" s="46"/>
      <c r="U1556" s="46"/>
      <c r="V1556" s="46"/>
      <c r="W1556" s="46"/>
      <c r="X1556" s="46"/>
    </row>
    <row r="1557" spans="1:24" ht="12.75" x14ac:dyDescent="0.2">
      <c r="A1557" s="45"/>
      <c r="B1557" s="46"/>
      <c r="C1557" s="46"/>
      <c r="D1557" s="46"/>
      <c r="E1557" s="46"/>
      <c r="F1557" s="46"/>
      <c r="G1557" s="46"/>
      <c r="H1557" s="46"/>
      <c r="I1557" s="46"/>
      <c r="J1557" s="46"/>
      <c r="K1557" s="46"/>
      <c r="L1557" s="46"/>
      <c r="M1557" s="46"/>
      <c r="N1557" s="46"/>
      <c r="O1557" s="46"/>
      <c r="P1557" s="46"/>
      <c r="Q1557" s="46"/>
      <c r="R1557" s="46"/>
      <c r="S1557" s="46"/>
      <c r="T1557" s="46"/>
      <c r="U1557" s="46"/>
      <c r="V1557" s="46"/>
      <c r="W1557" s="46"/>
      <c r="X1557" s="46"/>
    </row>
    <row r="1558" spans="1:24" ht="12.75" x14ac:dyDescent="0.2">
      <c r="A1558" s="45"/>
      <c r="B1558" s="46"/>
      <c r="C1558" s="46"/>
      <c r="D1558" s="46"/>
      <c r="E1558" s="46"/>
      <c r="F1558" s="46"/>
      <c r="G1558" s="46"/>
      <c r="H1558" s="46"/>
      <c r="I1558" s="46"/>
      <c r="J1558" s="46"/>
      <c r="K1558" s="46"/>
      <c r="L1558" s="46"/>
      <c r="M1558" s="46"/>
      <c r="N1558" s="46"/>
      <c r="O1558" s="46"/>
      <c r="P1558" s="46"/>
      <c r="Q1558" s="46"/>
      <c r="R1558" s="46"/>
      <c r="S1558" s="46"/>
      <c r="T1558" s="46"/>
      <c r="U1558" s="46"/>
      <c r="V1558" s="46"/>
      <c r="W1558" s="46"/>
      <c r="X1558" s="46"/>
    </row>
    <row r="1559" spans="1:24" ht="12.75" x14ac:dyDescent="0.2">
      <c r="A1559" s="45"/>
      <c r="B1559" s="46"/>
      <c r="C1559" s="46"/>
      <c r="D1559" s="46"/>
      <c r="E1559" s="46"/>
      <c r="F1559" s="46"/>
      <c r="G1559" s="46"/>
      <c r="H1559" s="46"/>
      <c r="I1559" s="46"/>
      <c r="J1559" s="46"/>
      <c r="K1559" s="46"/>
      <c r="L1559" s="46"/>
      <c r="M1559" s="46"/>
      <c r="N1559" s="46"/>
      <c r="O1559" s="46"/>
      <c r="P1559" s="46"/>
      <c r="Q1559" s="46"/>
      <c r="R1559" s="46"/>
      <c r="S1559" s="46"/>
      <c r="T1559" s="46"/>
      <c r="U1559" s="46"/>
      <c r="V1559" s="46"/>
      <c r="W1559" s="46"/>
      <c r="X1559" s="46"/>
    </row>
    <row r="1560" spans="1:24" ht="12.75" x14ac:dyDescent="0.2">
      <c r="A1560" s="45"/>
      <c r="B1560" s="46"/>
      <c r="C1560" s="46"/>
      <c r="D1560" s="46"/>
      <c r="E1560" s="46"/>
      <c r="F1560" s="46"/>
      <c r="G1560" s="46"/>
      <c r="H1560" s="46"/>
      <c r="I1560" s="46"/>
      <c r="J1560" s="46"/>
      <c r="K1560" s="46"/>
      <c r="L1560" s="46"/>
      <c r="M1560" s="46"/>
      <c r="N1560" s="46"/>
      <c r="O1560" s="46"/>
      <c r="P1560" s="46"/>
      <c r="Q1560" s="46"/>
      <c r="R1560" s="46"/>
      <c r="S1560" s="46"/>
      <c r="T1560" s="46"/>
      <c r="U1560" s="46"/>
      <c r="V1560" s="46"/>
      <c r="W1560" s="46"/>
      <c r="X1560" s="46"/>
    </row>
    <row r="1561" spans="1:24" ht="12.75" x14ac:dyDescent="0.2">
      <c r="A1561" s="45"/>
      <c r="B1561" s="46"/>
      <c r="C1561" s="46"/>
      <c r="D1561" s="46"/>
      <c r="E1561" s="46"/>
      <c r="F1561" s="46"/>
      <c r="G1561" s="46"/>
      <c r="H1561" s="46"/>
      <c r="I1561" s="46"/>
      <c r="J1561" s="46"/>
      <c r="K1561" s="46"/>
      <c r="L1561" s="46"/>
      <c r="M1561" s="46"/>
      <c r="N1561" s="46"/>
      <c r="O1561" s="46"/>
      <c r="P1561" s="46"/>
      <c r="Q1561" s="46"/>
      <c r="R1561" s="46"/>
      <c r="S1561" s="46"/>
      <c r="T1561" s="46"/>
      <c r="U1561" s="46"/>
      <c r="V1561" s="46"/>
      <c r="W1561" s="46"/>
      <c r="X1561" s="46"/>
    </row>
    <row r="1562" spans="1:24" ht="12.75" x14ac:dyDescent="0.2">
      <c r="A1562" s="45"/>
      <c r="B1562" s="46"/>
      <c r="C1562" s="46"/>
      <c r="D1562" s="46"/>
      <c r="E1562" s="46"/>
      <c r="F1562" s="46"/>
      <c r="G1562" s="46"/>
      <c r="H1562" s="46"/>
      <c r="I1562" s="46"/>
      <c r="J1562" s="46"/>
      <c r="K1562" s="46"/>
      <c r="L1562" s="46"/>
      <c r="M1562" s="46"/>
      <c r="N1562" s="46"/>
      <c r="O1562" s="46"/>
      <c r="P1562" s="46"/>
      <c r="Q1562" s="46"/>
      <c r="R1562" s="46"/>
      <c r="S1562" s="46"/>
      <c r="T1562" s="46"/>
      <c r="U1562" s="46"/>
      <c r="V1562" s="46"/>
      <c r="W1562" s="46"/>
      <c r="X1562" s="46"/>
    </row>
    <row r="1563" spans="1:24" ht="12.75" x14ac:dyDescent="0.2">
      <c r="A1563" s="45"/>
      <c r="B1563" s="46"/>
      <c r="C1563" s="46"/>
      <c r="D1563" s="46"/>
      <c r="E1563" s="46"/>
      <c r="F1563" s="46"/>
      <c r="G1563" s="46"/>
      <c r="H1563" s="46"/>
      <c r="I1563" s="46"/>
      <c r="J1563" s="46"/>
      <c r="K1563" s="46"/>
      <c r="L1563" s="46"/>
      <c r="M1563" s="46"/>
      <c r="N1563" s="46"/>
      <c r="O1563" s="46"/>
      <c r="P1563" s="46"/>
      <c r="Q1563" s="46"/>
      <c r="R1563" s="46"/>
      <c r="S1563" s="46"/>
      <c r="T1563" s="46"/>
      <c r="U1563" s="46"/>
      <c r="V1563" s="46"/>
      <c r="W1563" s="46"/>
      <c r="X1563" s="46"/>
    </row>
    <row r="1564" spans="1:24" ht="12.75" x14ac:dyDescent="0.2">
      <c r="A1564" s="45"/>
      <c r="B1564" s="46"/>
      <c r="C1564" s="46"/>
      <c r="D1564" s="46"/>
      <c r="E1564" s="46"/>
      <c r="F1564" s="46"/>
      <c r="G1564" s="46"/>
      <c r="H1564" s="46"/>
      <c r="I1564" s="46"/>
      <c r="J1564" s="46"/>
      <c r="K1564" s="46"/>
      <c r="L1564" s="46"/>
      <c r="M1564" s="46"/>
      <c r="N1564" s="46"/>
      <c r="O1564" s="46"/>
      <c r="P1564" s="46"/>
      <c r="Q1564" s="46"/>
      <c r="R1564" s="46"/>
      <c r="S1564" s="46"/>
      <c r="T1564" s="46"/>
      <c r="U1564" s="46"/>
      <c r="V1564" s="46"/>
      <c r="W1564" s="46"/>
      <c r="X1564" s="46"/>
    </row>
    <row r="1565" spans="1:24" ht="12.75" x14ac:dyDescent="0.2">
      <c r="A1565" s="45"/>
      <c r="B1565" s="46"/>
      <c r="C1565" s="46"/>
      <c r="D1565" s="46"/>
      <c r="E1565" s="46"/>
      <c r="F1565" s="46"/>
      <c r="G1565" s="46"/>
      <c r="H1565" s="46"/>
      <c r="I1565" s="46"/>
      <c r="J1565" s="46"/>
      <c r="K1565" s="46"/>
      <c r="L1565" s="46"/>
      <c r="M1565" s="46"/>
      <c r="N1565" s="46"/>
      <c r="O1565" s="46"/>
      <c r="P1565" s="46"/>
      <c r="Q1565" s="46"/>
      <c r="R1565" s="46"/>
      <c r="S1565" s="46"/>
      <c r="T1565" s="46"/>
      <c r="U1565" s="46"/>
      <c r="V1565" s="46"/>
      <c r="W1565" s="46"/>
      <c r="X1565" s="46"/>
    </row>
    <row r="1566" spans="1:24" ht="12.75" x14ac:dyDescent="0.2">
      <c r="A1566" s="45"/>
      <c r="B1566" s="46"/>
      <c r="C1566" s="46"/>
      <c r="D1566" s="46"/>
      <c r="E1566" s="46"/>
      <c r="F1566" s="46"/>
      <c r="G1566" s="46"/>
      <c r="H1566" s="46"/>
      <c r="I1566" s="46"/>
      <c r="J1566" s="46"/>
      <c r="K1566" s="46"/>
      <c r="L1566" s="46"/>
      <c r="M1566" s="46"/>
      <c r="N1566" s="46"/>
      <c r="O1566" s="46"/>
      <c r="P1566" s="46"/>
      <c r="Q1566" s="46"/>
      <c r="R1566" s="46"/>
      <c r="S1566" s="46"/>
      <c r="T1566" s="46"/>
      <c r="U1566" s="46"/>
      <c r="V1566" s="46"/>
      <c r="W1566" s="46"/>
      <c r="X1566" s="46"/>
    </row>
    <row r="1567" spans="1:24" ht="12.75" x14ac:dyDescent="0.2">
      <c r="A1567" s="45"/>
      <c r="B1567" s="46"/>
      <c r="C1567" s="46"/>
      <c r="D1567" s="46"/>
      <c r="E1567" s="46"/>
      <c r="F1567" s="46"/>
      <c r="G1567" s="46"/>
      <c r="H1567" s="46"/>
      <c r="I1567" s="46"/>
      <c r="J1567" s="46"/>
      <c r="K1567" s="46"/>
      <c r="L1567" s="46"/>
      <c r="M1567" s="46"/>
      <c r="N1567" s="46"/>
      <c r="O1567" s="46"/>
      <c r="P1567" s="46"/>
      <c r="Q1567" s="46"/>
      <c r="R1567" s="46"/>
      <c r="S1567" s="46"/>
      <c r="T1567" s="46"/>
      <c r="U1567" s="46"/>
      <c r="V1567" s="46"/>
      <c r="W1567" s="46"/>
      <c r="X1567" s="46"/>
    </row>
    <row r="1568" spans="1:24" ht="12.75" x14ac:dyDescent="0.2">
      <c r="A1568" s="45"/>
      <c r="B1568" s="46"/>
      <c r="C1568" s="46"/>
      <c r="D1568" s="46"/>
      <c r="E1568" s="46"/>
      <c r="F1568" s="46"/>
      <c r="G1568" s="46"/>
      <c r="H1568" s="46"/>
      <c r="I1568" s="46"/>
      <c r="J1568" s="46"/>
      <c r="K1568" s="46"/>
      <c r="L1568" s="46"/>
      <c r="M1568" s="46"/>
      <c r="N1568" s="46"/>
      <c r="O1568" s="46"/>
      <c r="P1568" s="46"/>
      <c r="Q1568" s="46"/>
      <c r="R1568" s="46"/>
      <c r="S1568" s="46"/>
      <c r="T1568" s="46"/>
      <c r="U1568" s="46"/>
      <c r="V1568" s="46"/>
      <c r="W1568" s="46"/>
      <c r="X1568" s="46"/>
    </row>
    <row r="1569" spans="1:24" ht="12.75" x14ac:dyDescent="0.2">
      <c r="A1569" s="45"/>
      <c r="B1569" s="46"/>
      <c r="C1569" s="46"/>
      <c r="D1569" s="46"/>
      <c r="E1569" s="46"/>
      <c r="F1569" s="46"/>
      <c r="G1569" s="46"/>
      <c r="H1569" s="46"/>
      <c r="I1569" s="46"/>
      <c r="J1569" s="46"/>
      <c r="K1569" s="46"/>
      <c r="L1569" s="46"/>
      <c r="M1569" s="46"/>
      <c r="N1569" s="46"/>
      <c r="O1569" s="46"/>
      <c r="P1569" s="46"/>
      <c r="Q1569" s="46"/>
      <c r="R1569" s="46"/>
      <c r="S1569" s="46"/>
      <c r="T1569" s="46"/>
      <c r="U1569" s="46"/>
      <c r="V1569" s="46"/>
      <c r="W1569" s="46"/>
      <c r="X1569" s="46"/>
    </row>
    <row r="1570" spans="1:24" ht="12.75" x14ac:dyDescent="0.2">
      <c r="A1570" s="45"/>
      <c r="B1570" s="46"/>
      <c r="C1570" s="46"/>
      <c r="D1570" s="46"/>
      <c r="E1570" s="46"/>
      <c r="F1570" s="46"/>
      <c r="G1570" s="46"/>
      <c r="H1570" s="46"/>
      <c r="I1570" s="46"/>
      <c r="J1570" s="46"/>
      <c r="K1570" s="46"/>
      <c r="L1570" s="46"/>
      <c r="M1570" s="46"/>
      <c r="N1570" s="46"/>
      <c r="O1570" s="46"/>
      <c r="P1570" s="46"/>
      <c r="Q1570" s="46"/>
      <c r="R1570" s="46"/>
      <c r="S1570" s="46"/>
      <c r="T1570" s="46"/>
      <c r="U1570" s="46"/>
      <c r="V1570" s="46"/>
      <c r="W1570" s="46"/>
      <c r="X1570" s="46"/>
    </row>
    <row r="1571" spans="1:24" ht="12.75" x14ac:dyDescent="0.2">
      <c r="A1571" s="45"/>
      <c r="B1571" s="46"/>
      <c r="C1571" s="46"/>
      <c r="D1571" s="46"/>
      <c r="E1571" s="46"/>
      <c r="F1571" s="46"/>
      <c r="G1571" s="46"/>
      <c r="H1571" s="46"/>
      <c r="I1571" s="46"/>
      <c r="J1571" s="46"/>
      <c r="K1571" s="46"/>
      <c r="L1571" s="46"/>
      <c r="M1571" s="46"/>
      <c r="N1571" s="46"/>
      <c r="O1571" s="46"/>
      <c r="P1571" s="46"/>
      <c r="Q1571" s="46"/>
      <c r="R1571" s="46"/>
      <c r="S1571" s="46"/>
      <c r="T1571" s="46"/>
      <c r="U1571" s="46"/>
      <c r="V1571" s="46"/>
      <c r="W1571" s="46"/>
      <c r="X1571" s="46"/>
    </row>
    <row r="1572" spans="1:24" ht="12.75" x14ac:dyDescent="0.2">
      <c r="A1572" s="45"/>
      <c r="B1572" s="46"/>
      <c r="C1572" s="46"/>
      <c r="D1572" s="46"/>
      <c r="E1572" s="46"/>
      <c r="F1572" s="46"/>
      <c r="G1572" s="46"/>
      <c r="H1572" s="46"/>
      <c r="I1572" s="46"/>
      <c r="J1572" s="46"/>
      <c r="K1572" s="46"/>
      <c r="L1572" s="46"/>
      <c r="M1572" s="46"/>
      <c r="N1572" s="46"/>
      <c r="O1572" s="46"/>
      <c r="P1572" s="46"/>
      <c r="Q1572" s="46"/>
      <c r="R1572" s="46"/>
      <c r="S1572" s="46"/>
      <c r="T1572" s="46"/>
      <c r="U1572" s="46"/>
      <c r="V1572" s="46"/>
      <c r="W1572" s="46"/>
      <c r="X1572" s="46"/>
    </row>
    <row r="1573" spans="1:24" ht="12.75" x14ac:dyDescent="0.2">
      <c r="A1573" s="45"/>
      <c r="B1573" s="46"/>
      <c r="C1573" s="46"/>
      <c r="D1573" s="46"/>
      <c r="E1573" s="46"/>
      <c r="F1573" s="46"/>
      <c r="G1573" s="46"/>
      <c r="H1573" s="46"/>
      <c r="I1573" s="46"/>
      <c r="J1573" s="46"/>
      <c r="K1573" s="46"/>
      <c r="L1573" s="46"/>
      <c r="M1573" s="46"/>
      <c r="N1573" s="46"/>
      <c r="O1573" s="46"/>
      <c r="P1573" s="46"/>
      <c r="Q1573" s="46"/>
      <c r="R1573" s="46"/>
      <c r="S1573" s="46"/>
      <c r="T1573" s="46"/>
      <c r="U1573" s="46"/>
      <c r="V1573" s="46"/>
      <c r="W1573" s="46"/>
      <c r="X1573" s="46"/>
    </row>
    <row r="1574" spans="1:24" ht="12.75" x14ac:dyDescent="0.2">
      <c r="A1574" s="45"/>
      <c r="B1574" s="46"/>
      <c r="C1574" s="46"/>
      <c r="D1574" s="46"/>
      <c r="E1574" s="46"/>
      <c r="F1574" s="46"/>
      <c r="G1574" s="46"/>
      <c r="H1574" s="46"/>
      <c r="I1574" s="46"/>
      <c r="J1574" s="46"/>
      <c r="K1574" s="46"/>
      <c r="L1574" s="46"/>
      <c r="M1574" s="46"/>
      <c r="N1574" s="46"/>
      <c r="O1574" s="46"/>
      <c r="P1574" s="46"/>
      <c r="Q1574" s="46"/>
      <c r="R1574" s="46"/>
      <c r="S1574" s="46"/>
      <c r="T1574" s="46"/>
      <c r="U1574" s="46"/>
      <c r="V1574" s="46"/>
      <c r="W1574" s="46"/>
      <c r="X1574" s="46"/>
    </row>
    <row r="1575" spans="1:24" ht="12.75" x14ac:dyDescent="0.2">
      <c r="A1575" s="45"/>
      <c r="B1575" s="46"/>
      <c r="C1575" s="46"/>
      <c r="D1575" s="46"/>
      <c r="E1575" s="46"/>
      <c r="F1575" s="46"/>
      <c r="G1575" s="46"/>
      <c r="H1575" s="46"/>
      <c r="I1575" s="46"/>
      <c r="J1575" s="46"/>
      <c r="K1575" s="46"/>
      <c r="L1575" s="46"/>
      <c r="M1575" s="46"/>
      <c r="N1575" s="46"/>
      <c r="O1575" s="46"/>
      <c r="P1575" s="46"/>
      <c r="Q1575" s="46"/>
      <c r="R1575" s="46"/>
      <c r="S1575" s="46"/>
      <c r="T1575" s="46"/>
      <c r="U1575" s="46"/>
      <c r="V1575" s="46"/>
      <c r="W1575" s="46"/>
      <c r="X1575" s="46"/>
    </row>
    <row r="1576" spans="1:24" ht="12.75" x14ac:dyDescent="0.2">
      <c r="A1576" s="45"/>
      <c r="B1576" s="46"/>
      <c r="C1576" s="46"/>
      <c r="D1576" s="46"/>
      <c r="E1576" s="46"/>
      <c r="F1576" s="46"/>
      <c r="G1576" s="46"/>
      <c r="H1576" s="46"/>
      <c r="I1576" s="46"/>
      <c r="J1576" s="46"/>
      <c r="K1576" s="46"/>
      <c r="L1576" s="46"/>
      <c r="M1576" s="46"/>
      <c r="N1576" s="46"/>
      <c r="O1576" s="46"/>
      <c r="P1576" s="46"/>
      <c r="Q1576" s="46"/>
      <c r="R1576" s="46"/>
      <c r="S1576" s="46"/>
      <c r="T1576" s="46"/>
      <c r="U1576" s="46"/>
      <c r="V1576" s="46"/>
      <c r="W1576" s="46"/>
      <c r="X1576" s="46"/>
    </row>
    <row r="1577" spans="1:24" ht="12.75" x14ac:dyDescent="0.2">
      <c r="A1577" s="45"/>
      <c r="B1577" s="46"/>
      <c r="C1577" s="46"/>
      <c r="D1577" s="46"/>
      <c r="E1577" s="46"/>
      <c r="F1577" s="46"/>
      <c r="G1577" s="46"/>
      <c r="H1577" s="46"/>
      <c r="I1577" s="46"/>
      <c r="J1577" s="46"/>
      <c r="K1577" s="46"/>
      <c r="L1577" s="46"/>
      <c r="M1577" s="46"/>
      <c r="N1577" s="46"/>
      <c r="O1577" s="46"/>
      <c r="P1577" s="46"/>
      <c r="Q1577" s="46"/>
      <c r="R1577" s="46"/>
      <c r="S1577" s="46"/>
      <c r="T1577" s="46"/>
      <c r="U1577" s="46"/>
      <c r="V1577" s="46"/>
      <c r="W1577" s="46"/>
      <c r="X1577" s="46"/>
    </row>
    <row r="1578" spans="1:24" ht="12.75" x14ac:dyDescent="0.2">
      <c r="A1578" s="45"/>
      <c r="B1578" s="46"/>
      <c r="C1578" s="46"/>
      <c r="D1578" s="46"/>
      <c r="E1578" s="46"/>
      <c r="F1578" s="46"/>
      <c r="G1578" s="46"/>
      <c r="H1578" s="46"/>
      <c r="I1578" s="46"/>
      <c r="J1578" s="46"/>
      <c r="K1578" s="46"/>
      <c r="L1578" s="46"/>
      <c r="M1578" s="46"/>
      <c r="N1578" s="46"/>
      <c r="O1578" s="46"/>
      <c r="P1578" s="46"/>
      <c r="Q1578" s="46"/>
      <c r="R1578" s="46"/>
      <c r="S1578" s="46"/>
      <c r="T1578" s="46"/>
      <c r="U1578" s="46"/>
      <c r="V1578" s="46"/>
      <c r="W1578" s="46"/>
      <c r="X1578" s="46"/>
    </row>
    <row r="1579" spans="1:24" ht="12.75" x14ac:dyDescent="0.2">
      <c r="A1579" s="45"/>
      <c r="B1579" s="46"/>
      <c r="C1579" s="46"/>
      <c r="D1579" s="46"/>
      <c r="E1579" s="46"/>
      <c r="F1579" s="46"/>
      <c r="G1579" s="46"/>
      <c r="H1579" s="46"/>
      <c r="I1579" s="46"/>
      <c r="J1579" s="46"/>
      <c r="K1579" s="46"/>
      <c r="L1579" s="46"/>
      <c r="M1579" s="46"/>
      <c r="N1579" s="46"/>
      <c r="O1579" s="46"/>
      <c r="P1579" s="46"/>
      <c r="Q1579" s="46"/>
      <c r="R1579" s="46"/>
      <c r="S1579" s="46"/>
      <c r="T1579" s="46"/>
      <c r="U1579" s="46"/>
      <c r="V1579" s="46"/>
      <c r="W1579" s="46"/>
      <c r="X1579" s="46"/>
    </row>
    <row r="1580" spans="1:24" ht="12.75" x14ac:dyDescent="0.2">
      <c r="A1580" s="45"/>
      <c r="B1580" s="46"/>
      <c r="C1580" s="46"/>
      <c r="D1580" s="46"/>
      <c r="E1580" s="46"/>
      <c r="F1580" s="46"/>
      <c r="G1580" s="46"/>
      <c r="H1580" s="46"/>
      <c r="I1580" s="46"/>
      <c r="J1580" s="46"/>
      <c r="K1580" s="46"/>
      <c r="L1580" s="46"/>
      <c r="M1580" s="46"/>
      <c r="N1580" s="46"/>
      <c r="O1580" s="46"/>
      <c r="P1580" s="46"/>
      <c r="Q1580" s="46"/>
      <c r="R1580" s="46"/>
      <c r="S1580" s="46"/>
      <c r="T1580" s="46"/>
      <c r="U1580" s="46"/>
      <c r="V1580" s="46"/>
      <c r="W1580" s="46"/>
      <c r="X1580" s="46"/>
    </row>
    <row r="1581" spans="1:24" ht="12.75" x14ac:dyDescent="0.2">
      <c r="A1581" s="45"/>
      <c r="B1581" s="46"/>
      <c r="C1581" s="46"/>
      <c r="D1581" s="46"/>
      <c r="E1581" s="46"/>
      <c r="F1581" s="46"/>
      <c r="G1581" s="46"/>
      <c r="H1581" s="46"/>
      <c r="I1581" s="46"/>
      <c r="J1581" s="46"/>
      <c r="K1581" s="46"/>
      <c r="L1581" s="46"/>
      <c r="M1581" s="46"/>
      <c r="N1581" s="46"/>
      <c r="O1581" s="46"/>
      <c r="P1581" s="46"/>
      <c r="Q1581" s="46"/>
      <c r="R1581" s="46"/>
      <c r="S1581" s="46"/>
      <c r="T1581" s="46"/>
      <c r="U1581" s="46"/>
      <c r="V1581" s="46"/>
      <c r="W1581" s="46"/>
      <c r="X1581" s="46"/>
    </row>
    <row r="1582" spans="1:24" ht="12.75" x14ac:dyDescent="0.2">
      <c r="A1582" s="45"/>
      <c r="B1582" s="46"/>
      <c r="C1582" s="46"/>
      <c r="D1582" s="46"/>
      <c r="E1582" s="46"/>
      <c r="F1582" s="46"/>
      <c r="G1582" s="46"/>
      <c r="H1582" s="46"/>
      <c r="I1582" s="46"/>
      <c r="J1582" s="46"/>
      <c r="K1582" s="46"/>
      <c r="L1582" s="46"/>
      <c r="M1582" s="46"/>
      <c r="N1582" s="46"/>
      <c r="O1582" s="46"/>
      <c r="P1582" s="46"/>
      <c r="Q1582" s="46"/>
      <c r="R1582" s="46"/>
      <c r="S1582" s="46"/>
      <c r="T1582" s="46"/>
      <c r="U1582" s="46"/>
      <c r="V1582" s="46"/>
      <c r="W1582" s="46"/>
      <c r="X1582" s="46"/>
    </row>
    <row r="1583" spans="1:24" ht="12.75" x14ac:dyDescent="0.2">
      <c r="A1583" s="45"/>
      <c r="B1583" s="46"/>
      <c r="C1583" s="46"/>
      <c r="D1583" s="46"/>
      <c r="E1583" s="46"/>
      <c r="F1583" s="46"/>
      <c r="G1583" s="46"/>
      <c r="H1583" s="46"/>
      <c r="I1583" s="46"/>
      <c r="J1583" s="46"/>
      <c r="K1583" s="46"/>
      <c r="L1583" s="46"/>
      <c r="M1583" s="46"/>
      <c r="N1583" s="46"/>
      <c r="O1583" s="46"/>
      <c r="P1583" s="46"/>
      <c r="Q1583" s="46"/>
      <c r="R1583" s="46"/>
      <c r="S1583" s="46"/>
      <c r="T1583" s="46"/>
      <c r="U1583" s="46"/>
      <c r="V1583" s="46"/>
      <c r="W1583" s="46"/>
      <c r="X1583" s="46"/>
    </row>
    <row r="1584" spans="1:24" ht="12.75" x14ac:dyDescent="0.2">
      <c r="A1584" s="45"/>
      <c r="B1584" s="46"/>
      <c r="C1584" s="46"/>
      <c r="D1584" s="46"/>
      <c r="E1584" s="46"/>
      <c r="F1584" s="46"/>
      <c r="G1584" s="46"/>
      <c r="H1584" s="46"/>
      <c r="I1584" s="46"/>
      <c r="J1584" s="46"/>
      <c r="K1584" s="46"/>
      <c r="L1584" s="46"/>
      <c r="M1584" s="46"/>
      <c r="N1584" s="46"/>
      <c r="O1584" s="46"/>
      <c r="P1584" s="46"/>
      <c r="Q1584" s="46"/>
      <c r="R1584" s="46"/>
      <c r="S1584" s="46"/>
      <c r="T1584" s="46"/>
      <c r="U1584" s="46"/>
      <c r="V1584" s="46"/>
      <c r="W1584" s="46"/>
      <c r="X1584" s="46"/>
    </row>
    <row r="1585" spans="1:24" ht="12.75" x14ac:dyDescent="0.2">
      <c r="A1585" s="45"/>
      <c r="B1585" s="46"/>
      <c r="C1585" s="46"/>
      <c r="D1585" s="46"/>
      <c r="E1585" s="46"/>
      <c r="F1585" s="46"/>
      <c r="G1585" s="46"/>
      <c r="H1585" s="46"/>
      <c r="I1585" s="46"/>
      <c r="J1585" s="46"/>
      <c r="K1585" s="46"/>
      <c r="L1585" s="46"/>
      <c r="M1585" s="46"/>
      <c r="N1585" s="46"/>
      <c r="O1585" s="46"/>
      <c r="P1585" s="46"/>
      <c r="Q1585" s="46"/>
      <c r="R1585" s="46"/>
      <c r="S1585" s="46"/>
      <c r="T1585" s="46"/>
      <c r="U1585" s="46"/>
      <c r="V1585" s="46"/>
      <c r="W1585" s="46"/>
      <c r="X1585" s="46"/>
    </row>
    <row r="1586" spans="1:24" ht="12.75" x14ac:dyDescent="0.2">
      <c r="A1586" s="45"/>
      <c r="B1586" s="46"/>
      <c r="C1586" s="46"/>
      <c r="D1586" s="46"/>
      <c r="E1586" s="46"/>
      <c r="F1586" s="46"/>
      <c r="G1586" s="46"/>
      <c r="H1586" s="46"/>
      <c r="I1586" s="46"/>
      <c r="J1586" s="46"/>
      <c r="K1586" s="46"/>
      <c r="L1586" s="46"/>
      <c r="M1586" s="46"/>
      <c r="N1586" s="46"/>
      <c r="O1586" s="46"/>
      <c r="P1586" s="46"/>
      <c r="Q1586" s="46"/>
      <c r="R1586" s="46"/>
      <c r="S1586" s="46"/>
      <c r="T1586" s="46"/>
      <c r="U1586" s="46"/>
      <c r="V1586" s="46"/>
      <c r="W1586" s="46"/>
      <c r="X1586" s="46"/>
    </row>
    <row r="1587" spans="1:24" ht="12.75" x14ac:dyDescent="0.2">
      <c r="A1587" s="45"/>
      <c r="B1587" s="46"/>
      <c r="C1587" s="46"/>
      <c r="D1587" s="46"/>
      <c r="E1587" s="46"/>
      <c r="F1587" s="46"/>
      <c r="G1587" s="46"/>
      <c r="H1587" s="46"/>
      <c r="I1587" s="46"/>
      <c r="J1587" s="46"/>
      <c r="K1587" s="46"/>
      <c r="L1587" s="46"/>
      <c r="M1587" s="46"/>
      <c r="N1587" s="46"/>
      <c r="O1587" s="46"/>
      <c r="P1587" s="46"/>
      <c r="Q1587" s="46"/>
      <c r="R1587" s="46"/>
      <c r="S1587" s="46"/>
      <c r="T1587" s="46"/>
      <c r="U1587" s="46"/>
      <c r="V1587" s="46"/>
      <c r="W1587" s="46"/>
      <c r="X1587" s="46"/>
    </row>
    <row r="1588" spans="1:24" ht="12.75" x14ac:dyDescent="0.2">
      <c r="A1588" s="45"/>
      <c r="B1588" s="46"/>
      <c r="C1588" s="46"/>
      <c r="D1588" s="46"/>
      <c r="E1588" s="46"/>
      <c r="F1588" s="46"/>
      <c r="G1588" s="46"/>
      <c r="H1588" s="46"/>
      <c r="I1588" s="46"/>
      <c r="J1588" s="46"/>
      <c r="K1588" s="46"/>
      <c r="L1588" s="46"/>
      <c r="M1588" s="46"/>
      <c r="N1588" s="46"/>
      <c r="O1588" s="46"/>
      <c r="P1588" s="46"/>
      <c r="Q1588" s="46"/>
      <c r="R1588" s="46"/>
      <c r="S1588" s="46"/>
      <c r="T1588" s="46"/>
      <c r="U1588" s="46"/>
      <c r="V1588" s="46"/>
      <c r="W1588" s="46"/>
      <c r="X1588" s="46"/>
    </row>
    <row r="1589" spans="1:24" ht="12.75" x14ac:dyDescent="0.2">
      <c r="A1589" s="45"/>
      <c r="B1589" s="46"/>
      <c r="C1589" s="46"/>
      <c r="D1589" s="46"/>
      <c r="E1589" s="46"/>
      <c r="F1589" s="46"/>
      <c r="G1589" s="46"/>
      <c r="H1589" s="46"/>
      <c r="I1589" s="46"/>
      <c r="J1589" s="46"/>
      <c r="K1589" s="46"/>
      <c r="L1589" s="46"/>
      <c r="M1589" s="46"/>
      <c r="N1589" s="46"/>
      <c r="O1589" s="46"/>
      <c r="P1589" s="46"/>
      <c r="Q1589" s="46"/>
      <c r="R1589" s="46"/>
      <c r="S1589" s="46"/>
      <c r="T1589" s="46"/>
      <c r="U1589" s="46"/>
      <c r="V1589" s="46"/>
      <c r="W1589" s="46"/>
      <c r="X1589" s="46"/>
    </row>
    <row r="1590" spans="1:24" ht="12.75" x14ac:dyDescent="0.2">
      <c r="A1590" s="45"/>
      <c r="B1590" s="46"/>
      <c r="C1590" s="46"/>
      <c r="D1590" s="46"/>
      <c r="E1590" s="46"/>
      <c r="F1590" s="46"/>
      <c r="G1590" s="46"/>
      <c r="H1590" s="46"/>
      <c r="I1590" s="46"/>
      <c r="J1590" s="46"/>
      <c r="K1590" s="46"/>
      <c r="L1590" s="46"/>
      <c r="M1590" s="46"/>
      <c r="N1590" s="46"/>
      <c r="O1590" s="46"/>
      <c r="P1590" s="46"/>
      <c r="Q1590" s="46"/>
      <c r="R1590" s="46"/>
      <c r="S1590" s="46"/>
      <c r="T1590" s="46"/>
      <c r="U1590" s="46"/>
      <c r="V1590" s="46"/>
      <c r="W1590" s="46"/>
      <c r="X1590" s="46"/>
    </row>
    <row r="1591" spans="1:24" ht="12.75" x14ac:dyDescent="0.2">
      <c r="A1591" s="45"/>
      <c r="B1591" s="46"/>
      <c r="C1591" s="46"/>
      <c r="D1591" s="46"/>
      <c r="E1591" s="46"/>
      <c r="F1591" s="46"/>
      <c r="G1591" s="46"/>
      <c r="H1591" s="46"/>
      <c r="I1591" s="46"/>
      <c r="J1591" s="46"/>
      <c r="K1591" s="46"/>
      <c r="L1591" s="46"/>
      <c r="M1591" s="46"/>
      <c r="N1591" s="46"/>
      <c r="O1591" s="46"/>
      <c r="P1591" s="46"/>
      <c r="Q1591" s="46"/>
      <c r="R1591" s="46"/>
      <c r="S1591" s="46"/>
      <c r="T1591" s="46"/>
      <c r="U1591" s="46"/>
      <c r="V1591" s="46"/>
      <c r="W1591" s="46"/>
      <c r="X1591" s="46"/>
    </row>
    <row r="1592" spans="1:24" ht="12.75" x14ac:dyDescent="0.2">
      <c r="A1592" s="45"/>
      <c r="B1592" s="46"/>
      <c r="C1592" s="46"/>
      <c r="D1592" s="46"/>
      <c r="E1592" s="46"/>
      <c r="F1592" s="46"/>
      <c r="G1592" s="46"/>
      <c r="H1592" s="46"/>
      <c r="I1592" s="46"/>
      <c r="J1592" s="46"/>
      <c r="K1592" s="46"/>
      <c r="L1592" s="46"/>
      <c r="M1592" s="46"/>
      <c r="N1592" s="46"/>
      <c r="O1592" s="46"/>
      <c r="P1592" s="46"/>
      <c r="Q1592" s="46"/>
      <c r="R1592" s="46"/>
      <c r="S1592" s="46"/>
      <c r="T1592" s="46"/>
      <c r="U1592" s="46"/>
      <c r="V1592" s="46"/>
      <c r="W1592" s="46"/>
      <c r="X1592" s="46"/>
    </row>
    <row r="1593" spans="1:24" ht="12.75" x14ac:dyDescent="0.2">
      <c r="A1593" s="45"/>
      <c r="B1593" s="46"/>
      <c r="C1593" s="46"/>
      <c r="D1593" s="46"/>
      <c r="E1593" s="46"/>
      <c r="F1593" s="46"/>
      <c r="G1593" s="46"/>
      <c r="H1593" s="46"/>
      <c r="I1593" s="46"/>
      <c r="J1593" s="46"/>
      <c r="K1593" s="46"/>
      <c r="L1593" s="46"/>
      <c r="M1593" s="46"/>
      <c r="N1593" s="46"/>
      <c r="O1593" s="46"/>
      <c r="P1593" s="46"/>
      <c r="Q1593" s="46"/>
      <c r="R1593" s="46"/>
      <c r="S1593" s="46"/>
      <c r="T1593" s="46"/>
      <c r="U1593" s="46"/>
      <c r="V1593" s="46"/>
      <c r="W1593" s="46"/>
      <c r="X1593" s="46"/>
    </row>
    <row r="1594" spans="1:24" ht="12.75" x14ac:dyDescent="0.2">
      <c r="A1594" s="45"/>
      <c r="B1594" s="46"/>
      <c r="C1594" s="46"/>
      <c r="D1594" s="46"/>
      <c r="E1594" s="46"/>
      <c r="F1594" s="46"/>
      <c r="G1594" s="46"/>
      <c r="H1594" s="46"/>
      <c r="I1594" s="46"/>
      <c r="J1594" s="46"/>
      <c r="K1594" s="46"/>
      <c r="L1594" s="46"/>
      <c r="M1594" s="46"/>
      <c r="N1594" s="46"/>
      <c r="O1594" s="46"/>
      <c r="P1594" s="46"/>
      <c r="Q1594" s="46"/>
      <c r="R1594" s="46"/>
      <c r="S1594" s="46"/>
      <c r="T1594" s="46"/>
      <c r="U1594" s="46"/>
      <c r="V1594" s="46"/>
      <c r="W1594" s="46"/>
      <c r="X1594" s="46"/>
    </row>
    <row r="1595" spans="1:24" ht="12.75" x14ac:dyDescent="0.2">
      <c r="A1595" s="45"/>
      <c r="B1595" s="46"/>
      <c r="C1595" s="46"/>
      <c r="D1595" s="46"/>
      <c r="E1595" s="46"/>
      <c r="F1595" s="46"/>
      <c r="G1595" s="46"/>
      <c r="H1595" s="46"/>
      <c r="I1595" s="46"/>
      <c r="J1595" s="46"/>
      <c r="K1595" s="46"/>
      <c r="L1595" s="46"/>
      <c r="M1595" s="46"/>
      <c r="N1595" s="46"/>
      <c r="O1595" s="46"/>
      <c r="P1595" s="46"/>
      <c r="Q1595" s="46"/>
      <c r="R1595" s="46"/>
      <c r="S1595" s="46"/>
      <c r="T1595" s="46"/>
      <c r="U1595" s="46"/>
      <c r="V1595" s="46"/>
      <c r="W1595" s="46"/>
      <c r="X1595" s="46"/>
    </row>
    <row r="1596" spans="1:24" ht="12.75" x14ac:dyDescent="0.2">
      <c r="A1596" s="45"/>
      <c r="B1596" s="46"/>
      <c r="C1596" s="46"/>
      <c r="D1596" s="46"/>
      <c r="E1596" s="46"/>
      <c r="F1596" s="46"/>
      <c r="G1596" s="46"/>
      <c r="H1596" s="46"/>
      <c r="I1596" s="46"/>
      <c r="J1596" s="46"/>
      <c r="K1596" s="46"/>
      <c r="L1596" s="46"/>
      <c r="M1596" s="46"/>
      <c r="N1596" s="46"/>
      <c r="O1596" s="46"/>
      <c r="P1596" s="46"/>
      <c r="Q1596" s="46"/>
      <c r="R1596" s="46"/>
      <c r="S1596" s="46"/>
      <c r="T1596" s="46"/>
      <c r="U1596" s="46"/>
      <c r="V1596" s="46"/>
      <c r="W1596" s="46"/>
      <c r="X1596" s="46"/>
    </row>
    <row r="1597" spans="1:24" ht="12.75" x14ac:dyDescent="0.2">
      <c r="A1597" s="45"/>
      <c r="B1597" s="46"/>
      <c r="C1597" s="46"/>
      <c r="D1597" s="46"/>
      <c r="E1597" s="46"/>
      <c r="F1597" s="46"/>
      <c r="G1597" s="46"/>
      <c r="H1597" s="46"/>
      <c r="I1597" s="46"/>
      <c r="J1597" s="46"/>
      <c r="K1597" s="46"/>
      <c r="L1597" s="46"/>
      <c r="M1597" s="46"/>
      <c r="N1597" s="46"/>
      <c r="O1597" s="46"/>
      <c r="P1597" s="46"/>
      <c r="Q1597" s="46"/>
      <c r="R1597" s="46"/>
      <c r="S1597" s="46"/>
      <c r="T1597" s="46"/>
      <c r="U1597" s="46"/>
      <c r="V1597" s="46"/>
      <c r="W1597" s="46"/>
      <c r="X1597" s="46"/>
    </row>
    <row r="1598" spans="1:24" ht="12.75" x14ac:dyDescent="0.2">
      <c r="A1598" s="45"/>
      <c r="B1598" s="46"/>
      <c r="C1598" s="46"/>
      <c r="D1598" s="46"/>
      <c r="E1598" s="46"/>
      <c r="F1598" s="46"/>
      <c r="G1598" s="46"/>
      <c r="H1598" s="46"/>
      <c r="I1598" s="46"/>
      <c r="J1598" s="46"/>
      <c r="K1598" s="46"/>
      <c r="L1598" s="46"/>
      <c r="M1598" s="46"/>
      <c r="N1598" s="46"/>
      <c r="O1598" s="46"/>
      <c r="P1598" s="46"/>
      <c r="Q1598" s="46"/>
      <c r="R1598" s="46"/>
      <c r="S1598" s="46"/>
      <c r="T1598" s="46"/>
      <c r="U1598" s="46"/>
      <c r="V1598" s="46"/>
      <c r="W1598" s="46"/>
      <c r="X1598" s="46"/>
    </row>
    <row r="1599" spans="1:24" ht="12.75" x14ac:dyDescent="0.2">
      <c r="A1599" s="45"/>
      <c r="B1599" s="46"/>
      <c r="C1599" s="46"/>
      <c r="D1599" s="46"/>
      <c r="E1599" s="46"/>
      <c r="F1599" s="46"/>
      <c r="G1599" s="46"/>
      <c r="H1599" s="46"/>
      <c r="I1599" s="46"/>
      <c r="J1599" s="46"/>
      <c r="K1599" s="46"/>
      <c r="L1599" s="46"/>
      <c r="M1599" s="46"/>
      <c r="N1599" s="46"/>
      <c r="O1599" s="46"/>
      <c r="P1599" s="46"/>
      <c r="Q1599" s="46"/>
      <c r="R1599" s="46"/>
      <c r="S1599" s="46"/>
      <c r="T1599" s="46"/>
      <c r="U1599" s="46"/>
      <c r="V1599" s="46"/>
      <c r="W1599" s="46"/>
      <c r="X1599" s="46"/>
    </row>
    <row r="1600" spans="1:24" ht="12.75" x14ac:dyDescent="0.2">
      <c r="A1600" s="45"/>
      <c r="B1600" s="46"/>
      <c r="C1600" s="46"/>
      <c r="D1600" s="46"/>
      <c r="E1600" s="46"/>
      <c r="F1600" s="46"/>
      <c r="G1600" s="46"/>
      <c r="H1600" s="46"/>
      <c r="I1600" s="46"/>
      <c r="J1600" s="46"/>
      <c r="K1600" s="46"/>
      <c r="L1600" s="46"/>
      <c r="M1600" s="46"/>
      <c r="N1600" s="46"/>
      <c r="O1600" s="46"/>
      <c r="P1600" s="46"/>
      <c r="Q1600" s="46"/>
      <c r="R1600" s="46"/>
      <c r="S1600" s="46"/>
      <c r="T1600" s="46"/>
      <c r="U1600" s="46"/>
      <c r="V1600" s="46"/>
      <c r="W1600" s="46"/>
      <c r="X1600" s="46"/>
    </row>
    <row r="1601" spans="1:24" ht="12.75" x14ac:dyDescent="0.2">
      <c r="A1601" s="45"/>
      <c r="B1601" s="46"/>
      <c r="C1601" s="46"/>
      <c r="D1601" s="46"/>
      <c r="E1601" s="46"/>
      <c r="F1601" s="46"/>
      <c r="G1601" s="46"/>
      <c r="H1601" s="46"/>
      <c r="I1601" s="46"/>
      <c r="J1601" s="46"/>
      <c r="K1601" s="46"/>
      <c r="L1601" s="46"/>
      <c r="M1601" s="46"/>
      <c r="N1601" s="46"/>
      <c r="O1601" s="46"/>
      <c r="P1601" s="46"/>
      <c r="Q1601" s="46"/>
      <c r="R1601" s="46"/>
      <c r="S1601" s="46"/>
      <c r="T1601" s="46"/>
      <c r="U1601" s="46"/>
      <c r="V1601" s="46"/>
      <c r="W1601" s="46"/>
      <c r="X1601" s="46"/>
    </row>
    <row r="1602" spans="1:24" ht="12.75" x14ac:dyDescent="0.2">
      <c r="A1602" s="45"/>
      <c r="B1602" s="46"/>
      <c r="C1602" s="46"/>
      <c r="D1602" s="46"/>
      <c r="E1602" s="46"/>
      <c r="F1602" s="46"/>
      <c r="G1602" s="46"/>
      <c r="H1602" s="46"/>
      <c r="I1602" s="46"/>
      <c r="J1602" s="46"/>
      <c r="K1602" s="46"/>
      <c r="L1602" s="46"/>
      <c r="M1602" s="46"/>
      <c r="N1602" s="46"/>
      <c r="O1602" s="46"/>
      <c r="P1602" s="46"/>
      <c r="Q1602" s="46"/>
      <c r="R1602" s="46"/>
      <c r="S1602" s="46"/>
      <c r="T1602" s="46"/>
      <c r="U1602" s="46"/>
      <c r="V1602" s="46"/>
      <c r="W1602" s="46"/>
      <c r="X1602" s="46"/>
    </row>
    <row r="1603" spans="1:24" ht="12.75" x14ac:dyDescent="0.2">
      <c r="A1603" s="45"/>
      <c r="B1603" s="46"/>
      <c r="C1603" s="46"/>
      <c r="D1603" s="46"/>
      <c r="E1603" s="46"/>
      <c r="F1603" s="46"/>
      <c r="G1603" s="46"/>
      <c r="H1603" s="46"/>
      <c r="I1603" s="46"/>
      <c r="J1603" s="46"/>
      <c r="K1603" s="46"/>
      <c r="L1603" s="46"/>
      <c r="M1603" s="46"/>
      <c r="N1603" s="46"/>
      <c r="O1603" s="46"/>
      <c r="P1603" s="46"/>
      <c r="Q1603" s="46"/>
      <c r="R1603" s="46"/>
      <c r="S1603" s="46"/>
      <c r="T1603" s="46"/>
      <c r="U1603" s="46"/>
      <c r="V1603" s="46"/>
      <c r="W1603" s="46"/>
      <c r="X1603" s="46"/>
    </row>
    <row r="1604" spans="1:24" ht="12.75" x14ac:dyDescent="0.2">
      <c r="A1604" s="45"/>
      <c r="B1604" s="46"/>
      <c r="C1604" s="46"/>
      <c r="D1604" s="46"/>
      <c r="E1604" s="46"/>
      <c r="F1604" s="46"/>
      <c r="G1604" s="46"/>
      <c r="H1604" s="46"/>
      <c r="I1604" s="46"/>
      <c r="J1604" s="46"/>
      <c r="K1604" s="46"/>
      <c r="L1604" s="46"/>
      <c r="M1604" s="46"/>
      <c r="N1604" s="46"/>
      <c r="O1604" s="46"/>
      <c r="P1604" s="46"/>
      <c r="Q1604" s="46"/>
      <c r="R1604" s="46"/>
      <c r="S1604" s="46"/>
      <c r="T1604" s="46"/>
      <c r="U1604" s="46"/>
      <c r="V1604" s="46"/>
      <c r="W1604" s="46"/>
      <c r="X1604" s="46"/>
    </row>
    <row r="1605" spans="1:24" ht="12.75" x14ac:dyDescent="0.2">
      <c r="A1605" s="45"/>
      <c r="B1605" s="46"/>
      <c r="C1605" s="46"/>
      <c r="D1605" s="46"/>
      <c r="E1605" s="46"/>
      <c r="F1605" s="46"/>
      <c r="G1605" s="46"/>
      <c r="H1605" s="46"/>
      <c r="I1605" s="46"/>
      <c r="J1605" s="46"/>
      <c r="K1605" s="46"/>
      <c r="L1605" s="46"/>
      <c r="M1605" s="46"/>
      <c r="N1605" s="46"/>
      <c r="O1605" s="46"/>
      <c r="P1605" s="46"/>
      <c r="Q1605" s="46"/>
      <c r="R1605" s="46"/>
      <c r="S1605" s="46"/>
      <c r="T1605" s="46"/>
      <c r="U1605" s="46"/>
      <c r="V1605" s="46"/>
      <c r="W1605" s="46"/>
      <c r="X1605" s="46"/>
    </row>
    <row r="1606" spans="1:24" ht="12.75" x14ac:dyDescent="0.2">
      <c r="A1606" s="45"/>
      <c r="B1606" s="46"/>
      <c r="C1606" s="46"/>
      <c r="D1606" s="46"/>
      <c r="E1606" s="46"/>
      <c r="F1606" s="46"/>
      <c r="G1606" s="46"/>
      <c r="H1606" s="46"/>
      <c r="I1606" s="46"/>
      <c r="J1606" s="46"/>
      <c r="K1606" s="46"/>
      <c r="L1606" s="46"/>
      <c r="M1606" s="46"/>
      <c r="N1606" s="46"/>
      <c r="O1606" s="46"/>
      <c r="P1606" s="46"/>
      <c r="Q1606" s="46"/>
      <c r="R1606" s="46"/>
      <c r="S1606" s="46"/>
      <c r="T1606" s="46"/>
      <c r="U1606" s="46"/>
      <c r="V1606" s="46"/>
      <c r="W1606" s="46"/>
      <c r="X1606" s="46"/>
    </row>
    <row r="1607" spans="1:24" ht="12.75" x14ac:dyDescent="0.2">
      <c r="A1607" s="45"/>
      <c r="B1607" s="46"/>
      <c r="C1607" s="46"/>
      <c r="D1607" s="46"/>
      <c r="E1607" s="46"/>
      <c r="F1607" s="46"/>
      <c r="G1607" s="46"/>
      <c r="H1607" s="46"/>
      <c r="I1607" s="46"/>
      <c r="J1607" s="46"/>
      <c r="K1607" s="46"/>
      <c r="L1607" s="46"/>
      <c r="M1607" s="46"/>
      <c r="N1607" s="46"/>
      <c r="O1607" s="46"/>
      <c r="P1607" s="46"/>
      <c r="Q1607" s="46"/>
      <c r="R1607" s="46"/>
      <c r="S1607" s="46"/>
      <c r="T1607" s="46"/>
      <c r="U1607" s="46"/>
      <c r="V1607" s="46"/>
      <c r="W1607" s="46"/>
      <c r="X1607" s="46"/>
    </row>
    <row r="1608" spans="1:24" ht="12.75" x14ac:dyDescent="0.2">
      <c r="A1608" s="45"/>
      <c r="B1608" s="46"/>
      <c r="C1608" s="46"/>
      <c r="D1608" s="46"/>
      <c r="E1608" s="46"/>
      <c r="F1608" s="46"/>
      <c r="G1608" s="46"/>
      <c r="H1608" s="46"/>
      <c r="I1608" s="46"/>
      <c r="J1608" s="46"/>
      <c r="K1608" s="46"/>
      <c r="L1608" s="46"/>
      <c r="M1608" s="46"/>
      <c r="N1608" s="46"/>
      <c r="O1608" s="46"/>
      <c r="P1608" s="46"/>
      <c r="Q1608" s="46"/>
      <c r="R1608" s="46"/>
      <c r="S1608" s="46"/>
      <c r="T1608" s="46"/>
      <c r="U1608" s="46"/>
      <c r="V1608" s="46"/>
      <c r="W1608" s="46"/>
      <c r="X1608" s="46"/>
    </row>
    <row r="1609" spans="1:24" ht="12.75" x14ac:dyDescent="0.2">
      <c r="A1609" s="45"/>
      <c r="B1609" s="46"/>
      <c r="C1609" s="46"/>
      <c r="D1609" s="46"/>
      <c r="E1609" s="46"/>
      <c r="F1609" s="46"/>
      <c r="G1609" s="46"/>
      <c r="H1609" s="46"/>
      <c r="I1609" s="46"/>
      <c r="J1609" s="46"/>
      <c r="K1609" s="46"/>
      <c r="L1609" s="46"/>
      <c r="M1609" s="46"/>
      <c r="N1609" s="46"/>
      <c r="O1609" s="46"/>
      <c r="P1609" s="46"/>
      <c r="Q1609" s="46"/>
      <c r="R1609" s="46"/>
      <c r="S1609" s="46"/>
      <c r="T1609" s="46"/>
      <c r="U1609" s="46"/>
      <c r="V1609" s="46"/>
      <c r="W1609" s="46"/>
      <c r="X1609" s="46"/>
    </row>
    <row r="1610" spans="1:24" ht="12.75" x14ac:dyDescent="0.2">
      <c r="A1610" s="45"/>
      <c r="B1610" s="46"/>
      <c r="C1610" s="46"/>
      <c r="D1610" s="46"/>
      <c r="E1610" s="46"/>
      <c r="F1610" s="46"/>
      <c r="G1610" s="46"/>
      <c r="H1610" s="46"/>
      <c r="I1610" s="46"/>
      <c r="J1610" s="46"/>
      <c r="K1610" s="46"/>
      <c r="L1610" s="46"/>
      <c r="M1610" s="46"/>
      <c r="N1610" s="46"/>
      <c r="O1610" s="46"/>
      <c r="P1610" s="46"/>
      <c r="Q1610" s="46"/>
      <c r="R1610" s="46"/>
      <c r="S1610" s="46"/>
      <c r="T1610" s="46"/>
      <c r="U1610" s="46"/>
      <c r="V1610" s="46"/>
      <c r="W1610" s="46"/>
      <c r="X1610" s="46"/>
    </row>
    <row r="1611" spans="1:24" ht="12.75" x14ac:dyDescent="0.2">
      <c r="A1611" s="45"/>
      <c r="B1611" s="46"/>
      <c r="C1611" s="46"/>
      <c r="D1611" s="46"/>
      <c r="E1611" s="46"/>
      <c r="F1611" s="46"/>
      <c r="G1611" s="46"/>
      <c r="H1611" s="46"/>
      <c r="I1611" s="46"/>
      <c r="J1611" s="46"/>
      <c r="K1611" s="46"/>
      <c r="L1611" s="46"/>
      <c r="M1611" s="46"/>
      <c r="N1611" s="46"/>
      <c r="O1611" s="46"/>
      <c r="P1611" s="46"/>
      <c r="Q1611" s="46"/>
      <c r="R1611" s="46"/>
      <c r="S1611" s="46"/>
      <c r="T1611" s="46"/>
      <c r="U1611" s="46"/>
      <c r="V1611" s="46"/>
      <c r="W1611" s="46"/>
      <c r="X1611" s="46"/>
    </row>
    <row r="1612" spans="1:24" ht="12.75" x14ac:dyDescent="0.2">
      <c r="A1612" s="45"/>
      <c r="B1612" s="46"/>
      <c r="C1612" s="46"/>
      <c r="D1612" s="46"/>
      <c r="E1612" s="46"/>
      <c r="F1612" s="46"/>
      <c r="G1612" s="46"/>
      <c r="H1612" s="46"/>
      <c r="I1612" s="46"/>
      <c r="J1612" s="46"/>
      <c r="K1612" s="46"/>
      <c r="L1612" s="46"/>
      <c r="M1612" s="46"/>
      <c r="N1612" s="46"/>
      <c r="O1612" s="46"/>
      <c r="P1612" s="46"/>
      <c r="Q1612" s="46"/>
      <c r="R1612" s="46"/>
      <c r="S1612" s="46"/>
      <c r="T1612" s="46"/>
      <c r="U1612" s="46"/>
      <c r="V1612" s="46"/>
      <c r="W1612" s="46"/>
      <c r="X1612" s="46"/>
    </row>
    <row r="1613" spans="1:24" ht="12.75" x14ac:dyDescent="0.2">
      <c r="A1613" s="45"/>
      <c r="B1613" s="46"/>
      <c r="C1613" s="46"/>
      <c r="D1613" s="46"/>
      <c r="E1613" s="46"/>
      <c r="F1613" s="46"/>
      <c r="G1613" s="46"/>
      <c r="H1613" s="46"/>
      <c r="I1613" s="46"/>
      <c r="J1613" s="46"/>
      <c r="K1613" s="46"/>
      <c r="L1613" s="46"/>
      <c r="M1613" s="46"/>
      <c r="N1613" s="46"/>
      <c r="O1613" s="46"/>
      <c r="P1613" s="46"/>
      <c r="Q1613" s="46"/>
      <c r="R1613" s="46"/>
      <c r="S1613" s="46"/>
      <c r="T1613" s="46"/>
      <c r="U1613" s="46"/>
      <c r="V1613" s="46"/>
      <c r="W1613" s="46"/>
      <c r="X1613" s="46"/>
    </row>
    <row r="1614" spans="1:24" ht="12.75" x14ac:dyDescent="0.2">
      <c r="A1614" s="45"/>
      <c r="B1614" s="46"/>
      <c r="C1614" s="46"/>
      <c r="D1614" s="46"/>
      <c r="E1614" s="46"/>
      <c r="F1614" s="46"/>
      <c r="G1614" s="46"/>
      <c r="H1614" s="46"/>
      <c r="I1614" s="46"/>
      <c r="J1614" s="46"/>
      <c r="K1614" s="46"/>
      <c r="L1614" s="46"/>
      <c r="M1614" s="46"/>
      <c r="N1614" s="46"/>
      <c r="O1614" s="46"/>
      <c r="P1614" s="46"/>
      <c r="Q1614" s="46"/>
      <c r="R1614" s="46"/>
      <c r="S1614" s="46"/>
      <c r="T1614" s="46"/>
      <c r="U1614" s="46"/>
      <c r="V1614" s="46"/>
      <c r="W1614" s="46"/>
      <c r="X1614" s="46"/>
    </row>
    <row r="1615" spans="1:24" ht="12.75" x14ac:dyDescent="0.2">
      <c r="A1615" s="45"/>
      <c r="B1615" s="46"/>
      <c r="C1615" s="46"/>
      <c r="D1615" s="46"/>
      <c r="E1615" s="46"/>
      <c r="F1615" s="46"/>
      <c r="G1615" s="46"/>
      <c r="H1615" s="46"/>
      <c r="I1615" s="46"/>
      <c r="J1615" s="46"/>
      <c r="K1615" s="46"/>
      <c r="L1615" s="46"/>
      <c r="M1615" s="46"/>
      <c r="N1615" s="46"/>
      <c r="O1615" s="46"/>
      <c r="P1615" s="46"/>
      <c r="Q1615" s="46"/>
      <c r="R1615" s="46"/>
      <c r="S1615" s="46"/>
      <c r="T1615" s="46"/>
      <c r="U1615" s="46"/>
      <c r="V1615" s="46"/>
      <c r="W1615" s="46"/>
      <c r="X1615" s="46"/>
    </row>
    <row r="1616" spans="1:24" ht="12.75" x14ac:dyDescent="0.2">
      <c r="A1616" s="45"/>
      <c r="B1616" s="46"/>
      <c r="C1616" s="46"/>
      <c r="D1616" s="46"/>
      <c r="E1616" s="46"/>
      <c r="F1616" s="46"/>
      <c r="G1616" s="46"/>
      <c r="H1616" s="46"/>
      <c r="I1616" s="46"/>
      <c r="J1616" s="46"/>
      <c r="K1616" s="46"/>
      <c r="L1616" s="46"/>
      <c r="M1616" s="46"/>
      <c r="N1616" s="46"/>
      <c r="O1616" s="46"/>
      <c r="P1616" s="46"/>
      <c r="Q1616" s="46"/>
      <c r="R1616" s="46"/>
      <c r="S1616" s="46"/>
      <c r="T1616" s="46"/>
      <c r="U1616" s="46"/>
      <c r="V1616" s="46"/>
      <c r="W1616" s="46"/>
      <c r="X1616" s="46"/>
    </row>
    <row r="1617" spans="1:24" ht="12.75" x14ac:dyDescent="0.2">
      <c r="A1617" s="45"/>
      <c r="B1617" s="46"/>
      <c r="C1617" s="46"/>
      <c r="D1617" s="46"/>
      <c r="E1617" s="46"/>
      <c r="F1617" s="46"/>
      <c r="G1617" s="46"/>
      <c r="H1617" s="46"/>
      <c r="I1617" s="46"/>
      <c r="J1617" s="46"/>
      <c r="K1617" s="46"/>
      <c r="L1617" s="46"/>
      <c r="M1617" s="46"/>
      <c r="N1617" s="46"/>
      <c r="O1617" s="46"/>
      <c r="P1617" s="46"/>
      <c r="Q1617" s="46"/>
      <c r="R1617" s="46"/>
      <c r="S1617" s="46"/>
      <c r="T1617" s="46"/>
      <c r="U1617" s="46"/>
      <c r="V1617" s="46"/>
      <c r="W1617" s="46"/>
      <c r="X1617" s="46"/>
    </row>
    <row r="1618" spans="1:24" ht="12.75" x14ac:dyDescent="0.2">
      <c r="A1618" s="45"/>
      <c r="B1618" s="46"/>
      <c r="C1618" s="46"/>
      <c r="D1618" s="46"/>
      <c r="E1618" s="46"/>
      <c r="F1618" s="46"/>
      <c r="G1618" s="46"/>
      <c r="H1618" s="46"/>
      <c r="I1618" s="46"/>
      <c r="J1618" s="46"/>
      <c r="K1618" s="46"/>
      <c r="L1618" s="46"/>
      <c r="M1618" s="46"/>
      <c r="N1618" s="46"/>
      <c r="O1618" s="46"/>
      <c r="P1618" s="46"/>
      <c r="Q1618" s="46"/>
      <c r="R1618" s="46"/>
      <c r="S1618" s="46"/>
      <c r="T1618" s="46"/>
      <c r="U1618" s="46"/>
      <c r="V1618" s="46"/>
      <c r="W1618" s="46"/>
      <c r="X1618" s="46"/>
    </row>
    <row r="1619" spans="1:24" ht="12.75" x14ac:dyDescent="0.2">
      <c r="A1619" s="45"/>
      <c r="B1619" s="46"/>
      <c r="C1619" s="46"/>
      <c r="D1619" s="46"/>
      <c r="E1619" s="46"/>
      <c r="F1619" s="46"/>
      <c r="G1619" s="46"/>
      <c r="H1619" s="46"/>
      <c r="I1619" s="46"/>
      <c r="J1619" s="46"/>
      <c r="K1619" s="46"/>
      <c r="L1619" s="46"/>
      <c r="M1619" s="46"/>
      <c r="N1619" s="46"/>
      <c r="O1619" s="46"/>
      <c r="P1619" s="46"/>
      <c r="Q1619" s="46"/>
      <c r="R1619" s="46"/>
      <c r="S1619" s="46"/>
      <c r="T1619" s="46"/>
      <c r="U1619" s="46"/>
      <c r="V1619" s="46"/>
      <c r="W1619" s="46"/>
      <c r="X1619" s="46"/>
    </row>
    <row r="1620" spans="1:24" ht="12.75" x14ac:dyDescent="0.2">
      <c r="A1620" s="45"/>
      <c r="B1620" s="46"/>
      <c r="C1620" s="46"/>
      <c r="D1620" s="46"/>
      <c r="E1620" s="46"/>
      <c r="F1620" s="46"/>
      <c r="G1620" s="46"/>
      <c r="H1620" s="46"/>
      <c r="I1620" s="46"/>
      <c r="J1620" s="46"/>
      <c r="K1620" s="46"/>
      <c r="L1620" s="46"/>
      <c r="M1620" s="46"/>
      <c r="N1620" s="46"/>
      <c r="O1620" s="46"/>
      <c r="P1620" s="46"/>
      <c r="Q1620" s="46"/>
      <c r="R1620" s="46"/>
      <c r="S1620" s="46"/>
      <c r="T1620" s="46"/>
      <c r="U1620" s="46"/>
      <c r="V1620" s="46"/>
      <c r="W1620" s="46"/>
      <c r="X1620" s="46"/>
    </row>
    <row r="1621" spans="1:24" ht="12.75" x14ac:dyDescent="0.2">
      <c r="A1621" s="45"/>
      <c r="B1621" s="46"/>
      <c r="C1621" s="46"/>
      <c r="D1621" s="46"/>
      <c r="E1621" s="46"/>
      <c r="F1621" s="46"/>
      <c r="G1621" s="46"/>
      <c r="H1621" s="46"/>
      <c r="I1621" s="46"/>
      <c r="J1621" s="46"/>
      <c r="K1621" s="46"/>
      <c r="L1621" s="46"/>
      <c r="M1621" s="46"/>
      <c r="N1621" s="46"/>
      <c r="O1621" s="46"/>
      <c r="P1621" s="46"/>
      <c r="Q1621" s="46"/>
      <c r="R1621" s="46"/>
      <c r="S1621" s="46"/>
      <c r="T1621" s="46"/>
      <c r="U1621" s="46"/>
      <c r="V1621" s="46"/>
      <c r="W1621" s="46"/>
      <c r="X1621" s="46"/>
    </row>
    <row r="1622" spans="1:24" ht="12.75" x14ac:dyDescent="0.2">
      <c r="A1622" s="45"/>
      <c r="B1622" s="46"/>
      <c r="C1622" s="46"/>
      <c r="D1622" s="46"/>
      <c r="E1622" s="46"/>
      <c r="F1622" s="46"/>
      <c r="G1622" s="46"/>
      <c r="H1622" s="46"/>
      <c r="I1622" s="46"/>
      <c r="J1622" s="46"/>
      <c r="K1622" s="46"/>
      <c r="L1622" s="46"/>
      <c r="M1622" s="46"/>
      <c r="N1622" s="46"/>
      <c r="O1622" s="46"/>
      <c r="P1622" s="46"/>
      <c r="Q1622" s="46"/>
      <c r="R1622" s="46"/>
      <c r="S1622" s="46"/>
      <c r="T1622" s="46"/>
      <c r="U1622" s="46"/>
      <c r="V1622" s="46"/>
      <c r="W1622" s="46"/>
      <c r="X1622" s="46"/>
    </row>
    <row r="1623" spans="1:24" ht="12.75" x14ac:dyDescent="0.2">
      <c r="A1623" s="45"/>
      <c r="B1623" s="46"/>
      <c r="C1623" s="46"/>
      <c r="D1623" s="46"/>
      <c r="E1623" s="46"/>
      <c r="F1623" s="46"/>
      <c r="G1623" s="46"/>
      <c r="H1623" s="46"/>
      <c r="I1623" s="46"/>
      <c r="J1623" s="46"/>
      <c r="K1623" s="46"/>
      <c r="L1623" s="46"/>
      <c r="M1623" s="46"/>
      <c r="N1623" s="46"/>
      <c r="O1623" s="46"/>
      <c r="P1623" s="46"/>
      <c r="Q1623" s="46"/>
      <c r="R1623" s="46"/>
      <c r="S1623" s="46"/>
      <c r="T1623" s="46"/>
      <c r="U1623" s="46"/>
      <c r="V1623" s="46"/>
      <c r="W1623" s="46"/>
      <c r="X1623" s="46"/>
    </row>
    <row r="1624" spans="1:24" ht="12.75" x14ac:dyDescent="0.2">
      <c r="A1624" s="45"/>
      <c r="B1624" s="46"/>
      <c r="C1624" s="46"/>
      <c r="D1624" s="46"/>
      <c r="E1624" s="46"/>
      <c r="F1624" s="46"/>
      <c r="G1624" s="46"/>
      <c r="H1624" s="46"/>
      <c r="I1624" s="46"/>
      <c r="J1624" s="46"/>
      <c r="K1624" s="46"/>
      <c r="L1624" s="46"/>
      <c r="M1624" s="46"/>
      <c r="N1624" s="46"/>
      <c r="O1624" s="46"/>
      <c r="P1624" s="46"/>
      <c r="Q1624" s="46"/>
      <c r="R1624" s="46"/>
      <c r="S1624" s="46"/>
      <c r="T1624" s="46"/>
      <c r="U1624" s="46"/>
      <c r="V1624" s="46"/>
      <c r="W1624" s="46"/>
      <c r="X1624" s="46"/>
    </row>
    <row r="1625" spans="1:24" ht="12.75" x14ac:dyDescent="0.2">
      <c r="A1625" s="45"/>
      <c r="B1625" s="46"/>
      <c r="C1625" s="46"/>
      <c r="D1625" s="46"/>
      <c r="E1625" s="46"/>
      <c r="F1625" s="46"/>
      <c r="G1625" s="46"/>
      <c r="H1625" s="46"/>
      <c r="I1625" s="46"/>
      <c r="J1625" s="46"/>
      <c r="K1625" s="46"/>
      <c r="L1625" s="46"/>
      <c r="M1625" s="46"/>
      <c r="N1625" s="46"/>
      <c r="O1625" s="46"/>
      <c r="P1625" s="46"/>
      <c r="Q1625" s="46"/>
      <c r="R1625" s="46"/>
      <c r="S1625" s="46"/>
      <c r="T1625" s="46"/>
      <c r="U1625" s="46"/>
      <c r="V1625" s="46"/>
      <c r="W1625" s="46"/>
      <c r="X1625" s="46"/>
    </row>
    <row r="1626" spans="1:24" ht="12.75" x14ac:dyDescent="0.2">
      <c r="A1626" s="45"/>
      <c r="B1626" s="46"/>
      <c r="C1626" s="46"/>
      <c r="D1626" s="46"/>
      <c r="E1626" s="46"/>
      <c r="F1626" s="46"/>
      <c r="G1626" s="46"/>
      <c r="H1626" s="46"/>
      <c r="I1626" s="46"/>
      <c r="J1626" s="46"/>
      <c r="K1626" s="46"/>
      <c r="L1626" s="46"/>
      <c r="M1626" s="46"/>
      <c r="N1626" s="46"/>
      <c r="O1626" s="46"/>
      <c r="P1626" s="46"/>
      <c r="Q1626" s="46"/>
      <c r="R1626" s="46"/>
      <c r="S1626" s="46"/>
      <c r="T1626" s="46"/>
      <c r="U1626" s="46"/>
      <c r="V1626" s="46"/>
      <c r="W1626" s="46"/>
      <c r="X1626" s="46"/>
    </row>
    <row r="1627" spans="1:24" ht="12.75" x14ac:dyDescent="0.2">
      <c r="A1627" s="45"/>
      <c r="B1627" s="46"/>
      <c r="C1627" s="46"/>
      <c r="D1627" s="46"/>
      <c r="E1627" s="46"/>
      <c r="F1627" s="46"/>
      <c r="G1627" s="46"/>
      <c r="H1627" s="46"/>
      <c r="I1627" s="46"/>
      <c r="J1627" s="46"/>
      <c r="K1627" s="46"/>
      <c r="L1627" s="46"/>
      <c r="M1627" s="46"/>
      <c r="N1627" s="46"/>
      <c r="O1627" s="46"/>
      <c r="P1627" s="46"/>
      <c r="Q1627" s="46"/>
      <c r="R1627" s="46"/>
      <c r="S1627" s="46"/>
      <c r="T1627" s="46"/>
      <c r="U1627" s="46"/>
      <c r="V1627" s="46"/>
      <c r="W1627" s="46"/>
      <c r="X1627" s="46"/>
    </row>
    <row r="1628" spans="1:24" ht="12.75" x14ac:dyDescent="0.2">
      <c r="A1628" s="45"/>
      <c r="B1628" s="46"/>
      <c r="C1628" s="46"/>
      <c r="D1628" s="46"/>
      <c r="E1628" s="46"/>
      <c r="F1628" s="46"/>
      <c r="G1628" s="46"/>
      <c r="H1628" s="46"/>
      <c r="I1628" s="46"/>
      <c r="J1628" s="46"/>
      <c r="K1628" s="46"/>
      <c r="L1628" s="46"/>
      <c r="M1628" s="46"/>
      <c r="N1628" s="46"/>
      <c r="O1628" s="46"/>
      <c r="P1628" s="46"/>
      <c r="Q1628" s="46"/>
      <c r="R1628" s="46"/>
      <c r="S1628" s="46"/>
      <c r="T1628" s="46"/>
      <c r="U1628" s="46"/>
      <c r="V1628" s="46"/>
      <c r="W1628" s="46"/>
      <c r="X1628" s="46"/>
    </row>
    <row r="1629" spans="1:24" ht="12.75" x14ac:dyDescent="0.2">
      <c r="A1629" s="45"/>
      <c r="B1629" s="46"/>
      <c r="C1629" s="46"/>
      <c r="D1629" s="46"/>
      <c r="E1629" s="46"/>
      <c r="F1629" s="46"/>
      <c r="G1629" s="46"/>
      <c r="H1629" s="46"/>
      <c r="I1629" s="46"/>
      <c r="J1629" s="46"/>
      <c r="K1629" s="46"/>
      <c r="L1629" s="46"/>
      <c r="M1629" s="46"/>
      <c r="N1629" s="46"/>
      <c r="O1629" s="46"/>
      <c r="P1629" s="46"/>
      <c r="Q1629" s="46"/>
      <c r="R1629" s="46"/>
      <c r="S1629" s="46"/>
      <c r="T1629" s="46"/>
      <c r="U1629" s="46"/>
      <c r="V1629" s="46"/>
      <c r="W1629" s="46"/>
      <c r="X1629" s="46"/>
    </row>
    <row r="1630" spans="1:24" ht="12.75" x14ac:dyDescent="0.2">
      <c r="A1630" s="45"/>
      <c r="B1630" s="46"/>
      <c r="C1630" s="46"/>
      <c r="D1630" s="46"/>
      <c r="E1630" s="46"/>
      <c r="F1630" s="46"/>
      <c r="G1630" s="46"/>
      <c r="H1630" s="46"/>
      <c r="I1630" s="46"/>
      <c r="J1630" s="46"/>
      <c r="K1630" s="46"/>
      <c r="L1630" s="46"/>
      <c r="M1630" s="46"/>
      <c r="N1630" s="46"/>
      <c r="O1630" s="46"/>
      <c r="P1630" s="46"/>
      <c r="Q1630" s="46"/>
      <c r="R1630" s="46"/>
      <c r="S1630" s="46"/>
      <c r="T1630" s="46"/>
      <c r="U1630" s="46"/>
      <c r="V1630" s="46"/>
      <c r="W1630" s="46"/>
      <c r="X1630" s="46"/>
    </row>
    <row r="1631" spans="1:24" ht="12.75" x14ac:dyDescent="0.2">
      <c r="A1631" s="45"/>
      <c r="B1631" s="46"/>
      <c r="C1631" s="46"/>
      <c r="D1631" s="46"/>
      <c r="E1631" s="46"/>
      <c r="F1631" s="46"/>
      <c r="G1631" s="46"/>
      <c r="H1631" s="46"/>
      <c r="I1631" s="46"/>
      <c r="J1631" s="46"/>
      <c r="K1631" s="46"/>
      <c r="L1631" s="46"/>
      <c r="M1631" s="46"/>
      <c r="N1631" s="46"/>
      <c r="O1631" s="46"/>
      <c r="P1631" s="46"/>
      <c r="Q1631" s="46"/>
      <c r="R1631" s="46"/>
      <c r="S1631" s="46"/>
      <c r="T1631" s="46"/>
      <c r="U1631" s="46"/>
      <c r="V1631" s="46"/>
      <c r="W1631" s="46"/>
      <c r="X1631" s="46"/>
    </row>
    <row r="1632" spans="1:24" ht="12.75" x14ac:dyDescent="0.2">
      <c r="A1632" s="45"/>
      <c r="B1632" s="46"/>
      <c r="C1632" s="46"/>
      <c r="D1632" s="46"/>
      <c r="E1632" s="46"/>
      <c r="F1632" s="46"/>
      <c r="G1632" s="46"/>
      <c r="H1632" s="46"/>
      <c r="I1632" s="46"/>
      <c r="J1632" s="46"/>
      <c r="K1632" s="46"/>
      <c r="L1632" s="46"/>
      <c r="M1632" s="46"/>
      <c r="N1632" s="46"/>
      <c r="O1632" s="46"/>
      <c r="P1632" s="46"/>
      <c r="Q1632" s="46"/>
      <c r="R1632" s="46"/>
      <c r="S1632" s="46"/>
      <c r="T1632" s="46"/>
      <c r="U1632" s="46"/>
      <c r="V1632" s="46"/>
      <c r="W1632" s="46"/>
      <c r="X1632" s="46"/>
    </row>
    <row r="1633" spans="1:24" ht="12.75" x14ac:dyDescent="0.2">
      <c r="A1633" s="45"/>
      <c r="B1633" s="46"/>
      <c r="C1633" s="46"/>
      <c r="D1633" s="46"/>
      <c r="E1633" s="46"/>
      <c r="F1633" s="46"/>
      <c r="G1633" s="46"/>
      <c r="H1633" s="46"/>
      <c r="I1633" s="46"/>
      <c r="J1633" s="46"/>
      <c r="K1633" s="46"/>
      <c r="L1633" s="46"/>
      <c r="M1633" s="46"/>
      <c r="N1633" s="46"/>
      <c r="O1633" s="46"/>
      <c r="P1633" s="46"/>
      <c r="Q1633" s="46"/>
      <c r="R1633" s="46"/>
      <c r="S1633" s="46"/>
      <c r="T1633" s="46"/>
      <c r="U1633" s="46"/>
      <c r="V1633" s="46"/>
      <c r="W1633" s="46"/>
      <c r="X1633" s="46"/>
    </row>
    <row r="1634" spans="1:24" ht="12.75" x14ac:dyDescent="0.2">
      <c r="A1634" s="45"/>
      <c r="B1634" s="46"/>
      <c r="C1634" s="46"/>
      <c r="D1634" s="46"/>
      <c r="E1634" s="46"/>
      <c r="F1634" s="46"/>
      <c r="G1634" s="46"/>
      <c r="H1634" s="46"/>
      <c r="I1634" s="46"/>
      <c r="J1634" s="46"/>
      <c r="K1634" s="46"/>
      <c r="L1634" s="46"/>
      <c r="M1634" s="46"/>
      <c r="N1634" s="46"/>
      <c r="O1634" s="46"/>
      <c r="P1634" s="46"/>
      <c r="Q1634" s="46"/>
      <c r="R1634" s="46"/>
      <c r="S1634" s="46"/>
      <c r="T1634" s="46"/>
      <c r="U1634" s="46"/>
      <c r="V1634" s="46"/>
      <c r="W1634" s="46"/>
      <c r="X1634" s="46"/>
    </row>
    <row r="1635" spans="1:24" ht="12.75" x14ac:dyDescent="0.2">
      <c r="A1635" s="45"/>
      <c r="B1635" s="46"/>
      <c r="C1635" s="46"/>
      <c r="D1635" s="46"/>
      <c r="E1635" s="46"/>
      <c r="F1635" s="46"/>
      <c r="G1635" s="46"/>
      <c r="H1635" s="46"/>
      <c r="I1635" s="46"/>
      <c r="J1635" s="46"/>
      <c r="K1635" s="46"/>
      <c r="L1635" s="46"/>
      <c r="M1635" s="46"/>
      <c r="N1635" s="46"/>
      <c r="O1635" s="46"/>
      <c r="P1635" s="46"/>
      <c r="Q1635" s="46"/>
      <c r="R1635" s="46"/>
      <c r="S1635" s="46"/>
      <c r="T1635" s="46"/>
      <c r="U1635" s="46"/>
      <c r="V1635" s="46"/>
      <c r="W1635" s="46"/>
      <c r="X1635" s="46"/>
    </row>
    <row r="1636" spans="1:24" ht="12.75" x14ac:dyDescent="0.2">
      <c r="A1636" s="45"/>
      <c r="B1636" s="46"/>
      <c r="C1636" s="46"/>
      <c r="D1636" s="46"/>
      <c r="E1636" s="46"/>
      <c r="F1636" s="46"/>
      <c r="G1636" s="46"/>
      <c r="H1636" s="46"/>
      <c r="I1636" s="46"/>
      <c r="J1636" s="46"/>
      <c r="K1636" s="46"/>
      <c r="L1636" s="46"/>
      <c r="M1636" s="46"/>
      <c r="N1636" s="46"/>
      <c r="O1636" s="46"/>
      <c r="P1636" s="46"/>
      <c r="Q1636" s="46"/>
      <c r="R1636" s="46"/>
      <c r="S1636" s="46"/>
      <c r="T1636" s="46"/>
      <c r="U1636" s="46"/>
      <c r="V1636" s="46"/>
      <c r="W1636" s="46"/>
      <c r="X1636" s="46"/>
    </row>
    <row r="1637" spans="1:24" ht="12.75" x14ac:dyDescent="0.2">
      <c r="A1637" s="45"/>
      <c r="B1637" s="46"/>
      <c r="C1637" s="46"/>
      <c r="D1637" s="46"/>
      <c r="E1637" s="46"/>
      <c r="F1637" s="46"/>
      <c r="G1637" s="46"/>
      <c r="H1637" s="46"/>
      <c r="I1637" s="46"/>
      <c r="J1637" s="46"/>
      <c r="K1637" s="46"/>
      <c r="L1637" s="46"/>
      <c r="M1637" s="46"/>
      <c r="N1637" s="46"/>
      <c r="O1637" s="46"/>
      <c r="P1637" s="46"/>
      <c r="Q1637" s="46"/>
      <c r="R1637" s="46"/>
      <c r="S1637" s="46"/>
      <c r="T1637" s="46"/>
      <c r="U1637" s="46"/>
      <c r="V1637" s="46"/>
      <c r="W1637" s="46"/>
      <c r="X1637" s="46"/>
    </row>
    <row r="1638" spans="1:24" ht="12.75" x14ac:dyDescent="0.2">
      <c r="A1638" s="45"/>
      <c r="B1638" s="46"/>
      <c r="C1638" s="46"/>
      <c r="D1638" s="46"/>
      <c r="E1638" s="46"/>
      <c r="F1638" s="46"/>
      <c r="G1638" s="46"/>
      <c r="H1638" s="46"/>
      <c r="I1638" s="46"/>
      <c r="J1638" s="46"/>
      <c r="K1638" s="46"/>
      <c r="L1638" s="46"/>
      <c r="M1638" s="46"/>
      <c r="N1638" s="46"/>
      <c r="O1638" s="46"/>
      <c r="P1638" s="46"/>
      <c r="Q1638" s="46"/>
      <c r="R1638" s="46"/>
      <c r="S1638" s="46"/>
      <c r="T1638" s="46"/>
      <c r="U1638" s="46"/>
      <c r="V1638" s="46"/>
      <c r="W1638" s="46"/>
      <c r="X1638" s="46"/>
    </row>
    <row r="1639" spans="1:24" ht="12.75" x14ac:dyDescent="0.2">
      <c r="A1639" s="45"/>
      <c r="B1639" s="46"/>
      <c r="C1639" s="46"/>
      <c r="D1639" s="46"/>
      <c r="E1639" s="46"/>
      <c r="F1639" s="46"/>
      <c r="G1639" s="46"/>
      <c r="H1639" s="46"/>
      <c r="I1639" s="46"/>
      <c r="J1639" s="46"/>
      <c r="K1639" s="46"/>
      <c r="L1639" s="46"/>
      <c r="M1639" s="46"/>
      <c r="N1639" s="46"/>
      <c r="O1639" s="46"/>
      <c r="P1639" s="46"/>
      <c r="Q1639" s="46"/>
      <c r="R1639" s="46"/>
      <c r="S1639" s="46"/>
      <c r="T1639" s="46"/>
      <c r="U1639" s="46"/>
      <c r="V1639" s="46"/>
      <c r="W1639" s="46"/>
      <c r="X1639" s="46"/>
    </row>
    <row r="1640" spans="1:24" ht="12.75" x14ac:dyDescent="0.2">
      <c r="A1640" s="45"/>
      <c r="B1640" s="46"/>
      <c r="C1640" s="46"/>
      <c r="D1640" s="46"/>
      <c r="E1640" s="46"/>
      <c r="F1640" s="46"/>
      <c r="G1640" s="46"/>
      <c r="H1640" s="46"/>
      <c r="I1640" s="46"/>
      <c r="J1640" s="46"/>
      <c r="K1640" s="46"/>
      <c r="L1640" s="46"/>
      <c r="M1640" s="46"/>
      <c r="N1640" s="46"/>
      <c r="O1640" s="46"/>
      <c r="P1640" s="46"/>
      <c r="Q1640" s="46"/>
      <c r="R1640" s="46"/>
      <c r="S1640" s="46"/>
      <c r="T1640" s="46"/>
      <c r="U1640" s="46"/>
      <c r="V1640" s="46"/>
      <c r="W1640" s="46"/>
      <c r="X1640" s="46"/>
    </row>
    <row r="1641" spans="1:24" ht="12.75" x14ac:dyDescent="0.2">
      <c r="A1641" s="45"/>
      <c r="B1641" s="46"/>
      <c r="C1641" s="46"/>
      <c r="D1641" s="46"/>
      <c r="E1641" s="46"/>
      <c r="F1641" s="46"/>
      <c r="G1641" s="46"/>
      <c r="H1641" s="46"/>
      <c r="I1641" s="46"/>
      <c r="J1641" s="46"/>
      <c r="K1641" s="46"/>
      <c r="L1641" s="46"/>
      <c r="M1641" s="46"/>
      <c r="N1641" s="46"/>
      <c r="O1641" s="46"/>
      <c r="P1641" s="46"/>
      <c r="Q1641" s="46"/>
      <c r="R1641" s="46"/>
      <c r="S1641" s="46"/>
      <c r="T1641" s="46"/>
      <c r="U1641" s="46"/>
      <c r="V1641" s="46"/>
      <c r="W1641" s="46"/>
      <c r="X1641" s="46"/>
    </row>
    <row r="1642" spans="1:24" ht="12.75" x14ac:dyDescent="0.2">
      <c r="A1642" s="45"/>
      <c r="B1642" s="46"/>
      <c r="C1642" s="46"/>
      <c r="D1642" s="46"/>
      <c r="E1642" s="46"/>
      <c r="F1642" s="46"/>
      <c r="G1642" s="46"/>
      <c r="H1642" s="46"/>
      <c r="I1642" s="46"/>
      <c r="J1642" s="46"/>
      <c r="K1642" s="46"/>
      <c r="L1642" s="46"/>
      <c r="M1642" s="46"/>
      <c r="N1642" s="46"/>
      <c r="O1642" s="46"/>
      <c r="P1642" s="46"/>
      <c r="Q1642" s="46"/>
      <c r="R1642" s="46"/>
      <c r="S1642" s="46"/>
      <c r="T1642" s="46"/>
      <c r="U1642" s="46"/>
      <c r="V1642" s="46"/>
      <c r="W1642" s="46"/>
      <c r="X1642" s="46"/>
    </row>
    <row r="1643" spans="1:24" ht="12.75" x14ac:dyDescent="0.2">
      <c r="A1643" s="45"/>
      <c r="B1643" s="46"/>
      <c r="C1643" s="46"/>
      <c r="D1643" s="46"/>
      <c r="E1643" s="46"/>
      <c r="F1643" s="46"/>
      <c r="G1643" s="46"/>
      <c r="H1643" s="46"/>
      <c r="I1643" s="46"/>
      <c r="J1643" s="46"/>
      <c r="K1643" s="46"/>
      <c r="L1643" s="46"/>
      <c r="M1643" s="46"/>
      <c r="N1643" s="46"/>
      <c r="O1643" s="46"/>
      <c r="P1643" s="46"/>
      <c r="Q1643" s="46"/>
      <c r="R1643" s="46"/>
      <c r="S1643" s="46"/>
      <c r="T1643" s="46"/>
      <c r="U1643" s="46"/>
      <c r="V1643" s="46"/>
      <c r="W1643" s="46"/>
      <c r="X1643" s="46"/>
    </row>
    <row r="1644" spans="1:24" ht="12.75" x14ac:dyDescent="0.2">
      <c r="A1644" s="45"/>
      <c r="B1644" s="46"/>
      <c r="C1644" s="46"/>
      <c r="D1644" s="46"/>
      <c r="E1644" s="46"/>
      <c r="F1644" s="46"/>
      <c r="G1644" s="46"/>
      <c r="H1644" s="46"/>
      <c r="I1644" s="46"/>
      <c r="J1644" s="46"/>
      <c r="K1644" s="46"/>
      <c r="L1644" s="46"/>
      <c r="M1644" s="46"/>
      <c r="N1644" s="46"/>
      <c r="O1644" s="46"/>
      <c r="P1644" s="46"/>
      <c r="Q1644" s="46"/>
      <c r="R1644" s="46"/>
      <c r="S1644" s="46"/>
      <c r="T1644" s="46"/>
      <c r="U1644" s="46"/>
      <c r="V1644" s="46"/>
      <c r="W1644" s="46"/>
      <c r="X1644" s="46"/>
    </row>
    <row r="1645" spans="1:24" ht="12.75" x14ac:dyDescent="0.2">
      <c r="A1645" s="45"/>
      <c r="B1645" s="46"/>
      <c r="C1645" s="46"/>
      <c r="D1645" s="46"/>
      <c r="E1645" s="46"/>
      <c r="F1645" s="46"/>
      <c r="G1645" s="46"/>
      <c r="H1645" s="46"/>
      <c r="I1645" s="46"/>
      <c r="J1645" s="46"/>
      <c r="K1645" s="46"/>
      <c r="L1645" s="46"/>
      <c r="M1645" s="46"/>
      <c r="N1645" s="46"/>
      <c r="O1645" s="46"/>
      <c r="P1645" s="46"/>
      <c r="Q1645" s="46"/>
      <c r="R1645" s="46"/>
      <c r="S1645" s="46"/>
      <c r="T1645" s="46"/>
      <c r="U1645" s="46"/>
      <c r="V1645" s="46"/>
      <c r="W1645" s="46"/>
      <c r="X1645" s="46"/>
    </row>
    <row r="1646" spans="1:24" ht="12.75" x14ac:dyDescent="0.2">
      <c r="A1646" s="45"/>
      <c r="B1646" s="46"/>
      <c r="C1646" s="46"/>
      <c r="D1646" s="46"/>
      <c r="E1646" s="46"/>
      <c r="F1646" s="46"/>
      <c r="G1646" s="46"/>
      <c r="H1646" s="46"/>
      <c r="I1646" s="46"/>
      <c r="J1646" s="46"/>
      <c r="K1646" s="46"/>
      <c r="L1646" s="46"/>
      <c r="M1646" s="46"/>
      <c r="N1646" s="46"/>
      <c r="O1646" s="46"/>
      <c r="P1646" s="46"/>
      <c r="Q1646" s="46"/>
      <c r="R1646" s="46"/>
      <c r="S1646" s="46"/>
      <c r="T1646" s="46"/>
      <c r="U1646" s="46"/>
      <c r="V1646" s="46"/>
      <c r="W1646" s="46"/>
      <c r="X1646" s="46"/>
    </row>
    <row r="1647" spans="1:24" ht="12.75" x14ac:dyDescent="0.2">
      <c r="A1647" s="45"/>
      <c r="B1647" s="46"/>
      <c r="C1647" s="46"/>
      <c r="D1647" s="46"/>
      <c r="E1647" s="46"/>
      <c r="F1647" s="46"/>
      <c r="G1647" s="46"/>
      <c r="H1647" s="46"/>
      <c r="I1647" s="46"/>
      <c r="J1647" s="46"/>
      <c r="K1647" s="46"/>
      <c r="L1647" s="46"/>
      <c r="M1647" s="46"/>
      <c r="N1647" s="46"/>
      <c r="O1647" s="46"/>
      <c r="P1647" s="46"/>
      <c r="Q1647" s="46"/>
      <c r="R1647" s="46"/>
      <c r="S1647" s="46"/>
      <c r="T1647" s="46"/>
      <c r="U1647" s="46"/>
      <c r="V1647" s="46"/>
      <c r="W1647" s="46"/>
      <c r="X1647" s="46"/>
    </row>
    <row r="1648" spans="1:24" ht="12.75" x14ac:dyDescent="0.2">
      <c r="A1648" s="45"/>
      <c r="B1648" s="46"/>
      <c r="C1648" s="46"/>
      <c r="D1648" s="46"/>
      <c r="E1648" s="46"/>
      <c r="F1648" s="46"/>
      <c r="G1648" s="46"/>
      <c r="H1648" s="46"/>
      <c r="I1648" s="46"/>
      <c r="J1648" s="46"/>
      <c r="K1648" s="46"/>
      <c r="L1648" s="46"/>
      <c r="M1648" s="46"/>
      <c r="N1648" s="46"/>
      <c r="O1648" s="46"/>
      <c r="P1648" s="46"/>
      <c r="Q1648" s="46"/>
      <c r="R1648" s="46"/>
      <c r="S1648" s="46"/>
      <c r="T1648" s="46"/>
      <c r="U1648" s="46"/>
      <c r="V1648" s="46"/>
      <c r="W1648" s="46"/>
      <c r="X1648" s="46"/>
    </row>
    <row r="1649" spans="1:24" ht="12.75" x14ac:dyDescent="0.2">
      <c r="A1649" s="45"/>
      <c r="B1649" s="46"/>
      <c r="C1649" s="46"/>
      <c r="D1649" s="46"/>
      <c r="E1649" s="46"/>
      <c r="F1649" s="46"/>
      <c r="G1649" s="46"/>
      <c r="H1649" s="46"/>
      <c r="I1649" s="46"/>
      <c r="J1649" s="46"/>
      <c r="K1649" s="46"/>
      <c r="L1649" s="46"/>
      <c r="M1649" s="46"/>
      <c r="N1649" s="46"/>
      <c r="O1649" s="46"/>
      <c r="P1649" s="46"/>
      <c r="Q1649" s="46"/>
      <c r="R1649" s="46"/>
      <c r="S1649" s="46"/>
      <c r="T1649" s="46"/>
      <c r="U1649" s="46"/>
      <c r="V1649" s="46"/>
      <c r="W1649" s="46"/>
      <c r="X1649" s="46"/>
    </row>
    <row r="1650" spans="1:24" ht="12.75" x14ac:dyDescent="0.2">
      <c r="A1650" s="45"/>
      <c r="B1650" s="46"/>
      <c r="C1650" s="46"/>
      <c r="D1650" s="46"/>
      <c r="E1650" s="46"/>
      <c r="F1650" s="46"/>
      <c r="G1650" s="46"/>
      <c r="H1650" s="46"/>
      <c r="I1650" s="46"/>
      <c r="J1650" s="46"/>
      <c r="K1650" s="46"/>
      <c r="L1650" s="46"/>
      <c r="M1650" s="46"/>
      <c r="N1650" s="46"/>
      <c r="O1650" s="46"/>
      <c r="P1650" s="46"/>
      <c r="Q1650" s="46"/>
      <c r="R1650" s="46"/>
      <c r="S1650" s="46"/>
      <c r="T1650" s="46"/>
      <c r="U1650" s="46"/>
      <c r="V1650" s="46"/>
      <c r="W1650" s="46"/>
      <c r="X1650" s="46"/>
    </row>
    <row r="1651" spans="1:24" ht="12.75" x14ac:dyDescent="0.2">
      <c r="A1651" s="45"/>
      <c r="B1651" s="46"/>
      <c r="C1651" s="46"/>
      <c r="D1651" s="46"/>
      <c r="E1651" s="46"/>
      <c r="F1651" s="46"/>
      <c r="G1651" s="46"/>
      <c r="H1651" s="46"/>
      <c r="I1651" s="46"/>
      <c r="J1651" s="46"/>
      <c r="K1651" s="46"/>
      <c r="L1651" s="46"/>
      <c r="M1651" s="46"/>
      <c r="N1651" s="46"/>
      <c r="O1651" s="46"/>
      <c r="P1651" s="46"/>
      <c r="Q1651" s="46"/>
      <c r="R1651" s="46"/>
      <c r="S1651" s="46"/>
      <c r="T1651" s="46"/>
      <c r="U1651" s="46"/>
      <c r="V1651" s="46"/>
      <c r="W1651" s="46"/>
      <c r="X1651" s="46"/>
    </row>
    <row r="1652" spans="1:24" ht="12.75" x14ac:dyDescent="0.2">
      <c r="A1652" s="45"/>
      <c r="B1652" s="46"/>
      <c r="C1652" s="46"/>
      <c r="D1652" s="46"/>
      <c r="E1652" s="46"/>
      <c r="F1652" s="46"/>
      <c r="G1652" s="46"/>
      <c r="H1652" s="46"/>
      <c r="I1652" s="46"/>
      <c r="J1652" s="46"/>
      <c r="K1652" s="46"/>
      <c r="L1652" s="46"/>
      <c r="M1652" s="46"/>
      <c r="N1652" s="46"/>
      <c r="O1652" s="46"/>
      <c r="P1652" s="46"/>
      <c r="Q1652" s="46"/>
      <c r="R1652" s="46"/>
      <c r="S1652" s="46"/>
      <c r="T1652" s="46"/>
      <c r="U1652" s="46"/>
      <c r="V1652" s="46"/>
      <c r="W1652" s="46"/>
      <c r="X1652" s="46"/>
    </row>
    <row r="1653" spans="1:24" ht="12.75" x14ac:dyDescent="0.2">
      <c r="A1653" s="45"/>
      <c r="B1653" s="46"/>
      <c r="C1653" s="46"/>
      <c r="D1653" s="46"/>
      <c r="E1653" s="46"/>
      <c r="F1653" s="46"/>
      <c r="G1653" s="46"/>
      <c r="H1653" s="46"/>
      <c r="I1653" s="46"/>
      <c r="J1653" s="46"/>
      <c r="K1653" s="46"/>
      <c r="L1653" s="46"/>
      <c r="M1653" s="46"/>
      <c r="N1653" s="46"/>
      <c r="O1653" s="46"/>
      <c r="P1653" s="46"/>
      <c r="Q1653" s="46"/>
      <c r="R1653" s="46"/>
      <c r="S1653" s="46"/>
      <c r="T1653" s="46"/>
      <c r="U1653" s="46"/>
      <c r="V1653" s="46"/>
      <c r="W1653" s="46"/>
      <c r="X1653" s="46"/>
    </row>
    <row r="1654" spans="1:24" ht="12.75" x14ac:dyDescent="0.2">
      <c r="A1654" s="45"/>
      <c r="B1654" s="46"/>
      <c r="C1654" s="46"/>
      <c r="D1654" s="46"/>
      <c r="E1654" s="46"/>
      <c r="F1654" s="46"/>
      <c r="G1654" s="46"/>
      <c r="H1654" s="46"/>
      <c r="I1654" s="46"/>
      <c r="J1654" s="46"/>
      <c r="K1654" s="46"/>
      <c r="L1654" s="46"/>
      <c r="M1654" s="46"/>
      <c r="N1654" s="46"/>
      <c r="O1654" s="46"/>
      <c r="P1654" s="46"/>
      <c r="Q1654" s="46"/>
      <c r="R1654" s="46"/>
      <c r="S1654" s="46"/>
      <c r="T1654" s="46"/>
      <c r="U1654" s="46"/>
      <c r="V1654" s="46"/>
      <c r="W1654" s="46"/>
      <c r="X1654" s="46"/>
    </row>
    <row r="1655" spans="1:24" ht="12.75" x14ac:dyDescent="0.2">
      <c r="A1655" s="45"/>
      <c r="B1655" s="46"/>
      <c r="C1655" s="46"/>
      <c r="D1655" s="46"/>
      <c r="E1655" s="46"/>
      <c r="F1655" s="46"/>
      <c r="G1655" s="46"/>
      <c r="H1655" s="46"/>
      <c r="I1655" s="46"/>
      <c r="J1655" s="46"/>
      <c r="K1655" s="46"/>
      <c r="L1655" s="46"/>
      <c r="M1655" s="46"/>
      <c r="N1655" s="46"/>
      <c r="O1655" s="46"/>
      <c r="P1655" s="46"/>
      <c r="Q1655" s="46"/>
      <c r="R1655" s="46"/>
      <c r="S1655" s="46"/>
      <c r="T1655" s="46"/>
      <c r="U1655" s="46"/>
      <c r="V1655" s="46"/>
      <c r="W1655" s="46"/>
      <c r="X1655" s="46"/>
    </row>
    <row r="1656" spans="1:24" ht="12.75" x14ac:dyDescent="0.2">
      <c r="A1656" s="45"/>
      <c r="B1656" s="46"/>
      <c r="C1656" s="46"/>
      <c r="D1656" s="46"/>
      <c r="E1656" s="46"/>
      <c r="F1656" s="46"/>
      <c r="G1656" s="46"/>
      <c r="H1656" s="46"/>
      <c r="I1656" s="46"/>
      <c r="J1656" s="46"/>
      <c r="K1656" s="46"/>
      <c r="L1656" s="46"/>
      <c r="M1656" s="46"/>
      <c r="N1656" s="46"/>
      <c r="O1656" s="46"/>
      <c r="P1656" s="46"/>
      <c r="Q1656" s="46"/>
      <c r="R1656" s="46"/>
      <c r="S1656" s="46"/>
      <c r="T1656" s="46"/>
      <c r="U1656" s="46"/>
      <c r="V1656" s="46"/>
      <c r="W1656" s="46"/>
      <c r="X1656" s="46"/>
    </row>
    <row r="1657" spans="1:24" ht="12.75" x14ac:dyDescent="0.2">
      <c r="A1657" s="45"/>
      <c r="B1657" s="46"/>
      <c r="C1657" s="46"/>
      <c r="D1657" s="46"/>
      <c r="E1657" s="46"/>
      <c r="F1657" s="46"/>
      <c r="G1657" s="46"/>
      <c r="H1657" s="46"/>
      <c r="I1657" s="46"/>
      <c r="J1657" s="46"/>
      <c r="K1657" s="46"/>
      <c r="L1657" s="46"/>
      <c r="M1657" s="46"/>
      <c r="N1657" s="46"/>
      <c r="O1657" s="46"/>
      <c r="P1657" s="46"/>
      <c r="Q1657" s="46"/>
      <c r="R1657" s="46"/>
      <c r="S1657" s="46"/>
      <c r="T1657" s="46"/>
      <c r="U1657" s="46"/>
      <c r="V1657" s="46"/>
      <c r="W1657" s="46"/>
      <c r="X1657" s="46"/>
    </row>
    <row r="1658" spans="1:24" ht="12.75" x14ac:dyDescent="0.2">
      <c r="A1658" s="45"/>
      <c r="B1658" s="46"/>
      <c r="C1658" s="46"/>
      <c r="D1658" s="46"/>
      <c r="E1658" s="46"/>
      <c r="F1658" s="46"/>
      <c r="G1658" s="46"/>
      <c r="H1658" s="46"/>
      <c r="I1658" s="46"/>
      <c r="J1658" s="46"/>
      <c r="K1658" s="46"/>
      <c r="L1658" s="46"/>
      <c r="M1658" s="46"/>
      <c r="N1658" s="46"/>
      <c r="O1658" s="46"/>
      <c r="P1658" s="46"/>
      <c r="Q1658" s="46"/>
      <c r="R1658" s="46"/>
      <c r="S1658" s="46"/>
      <c r="T1658" s="46"/>
      <c r="U1658" s="46"/>
      <c r="V1658" s="46"/>
      <c r="W1658" s="46"/>
      <c r="X1658" s="46"/>
    </row>
    <row r="1659" spans="1:24" ht="12.75" x14ac:dyDescent="0.2">
      <c r="A1659" s="45"/>
      <c r="B1659" s="46"/>
      <c r="C1659" s="46"/>
      <c r="D1659" s="46"/>
      <c r="E1659" s="46"/>
      <c r="F1659" s="46"/>
      <c r="G1659" s="46"/>
      <c r="H1659" s="46"/>
      <c r="I1659" s="46"/>
      <c r="J1659" s="46"/>
      <c r="K1659" s="46"/>
      <c r="L1659" s="46"/>
      <c r="M1659" s="46"/>
      <c r="N1659" s="46"/>
      <c r="O1659" s="46"/>
      <c r="P1659" s="46"/>
      <c r="Q1659" s="46"/>
      <c r="R1659" s="46"/>
      <c r="S1659" s="46"/>
      <c r="T1659" s="46"/>
      <c r="U1659" s="46"/>
      <c r="V1659" s="46"/>
      <c r="W1659" s="46"/>
      <c r="X1659" s="46"/>
    </row>
    <row r="1660" spans="1:24" ht="12.75" x14ac:dyDescent="0.2">
      <c r="A1660" s="45"/>
      <c r="B1660" s="46"/>
      <c r="C1660" s="46"/>
      <c r="D1660" s="46"/>
      <c r="E1660" s="46"/>
      <c r="F1660" s="46"/>
      <c r="G1660" s="46"/>
      <c r="H1660" s="46"/>
      <c r="I1660" s="46"/>
      <c r="J1660" s="46"/>
      <c r="K1660" s="46"/>
      <c r="L1660" s="46"/>
      <c r="M1660" s="46"/>
      <c r="N1660" s="46"/>
      <c r="O1660" s="46"/>
      <c r="P1660" s="46"/>
      <c r="Q1660" s="46"/>
      <c r="R1660" s="46"/>
      <c r="S1660" s="46"/>
      <c r="T1660" s="46"/>
      <c r="U1660" s="46"/>
      <c r="V1660" s="46"/>
      <c r="W1660" s="46"/>
      <c r="X1660" s="46"/>
    </row>
    <row r="1661" spans="1:24" ht="12.75" x14ac:dyDescent="0.2">
      <c r="A1661" s="45"/>
      <c r="B1661" s="46"/>
      <c r="C1661" s="46"/>
      <c r="D1661" s="46"/>
      <c r="E1661" s="46"/>
      <c r="F1661" s="46"/>
      <c r="G1661" s="46"/>
      <c r="H1661" s="46"/>
      <c r="I1661" s="46"/>
      <c r="J1661" s="46"/>
      <c r="K1661" s="46"/>
      <c r="L1661" s="46"/>
      <c r="M1661" s="46"/>
      <c r="N1661" s="46"/>
      <c r="O1661" s="46"/>
      <c r="P1661" s="46"/>
      <c r="Q1661" s="46"/>
      <c r="R1661" s="46"/>
      <c r="S1661" s="46"/>
      <c r="T1661" s="46"/>
      <c r="U1661" s="46"/>
      <c r="V1661" s="46"/>
      <c r="W1661" s="46"/>
      <c r="X1661" s="46"/>
    </row>
    <row r="1662" spans="1:24" ht="12.75" x14ac:dyDescent="0.2">
      <c r="A1662" s="45"/>
      <c r="B1662" s="46"/>
      <c r="C1662" s="46"/>
      <c r="D1662" s="46"/>
      <c r="E1662" s="46"/>
      <c r="F1662" s="46"/>
      <c r="G1662" s="46"/>
      <c r="H1662" s="46"/>
      <c r="I1662" s="46"/>
      <c r="J1662" s="46"/>
      <c r="K1662" s="46"/>
      <c r="L1662" s="46"/>
      <c r="M1662" s="46"/>
      <c r="N1662" s="46"/>
      <c r="O1662" s="46"/>
      <c r="P1662" s="46"/>
      <c r="Q1662" s="46"/>
      <c r="R1662" s="46"/>
      <c r="S1662" s="46"/>
      <c r="T1662" s="46"/>
      <c r="U1662" s="46"/>
      <c r="V1662" s="46"/>
      <c r="W1662" s="46"/>
      <c r="X1662" s="46"/>
    </row>
    <row r="1663" spans="1:24" ht="12.75" x14ac:dyDescent="0.2">
      <c r="A1663" s="45"/>
      <c r="B1663" s="46"/>
      <c r="C1663" s="46"/>
      <c r="D1663" s="46"/>
      <c r="E1663" s="46"/>
      <c r="F1663" s="46"/>
      <c r="G1663" s="46"/>
      <c r="H1663" s="46"/>
      <c r="I1663" s="46"/>
      <c r="J1663" s="46"/>
      <c r="K1663" s="46"/>
      <c r="L1663" s="46"/>
      <c r="M1663" s="46"/>
      <c r="N1663" s="46"/>
      <c r="O1663" s="46"/>
      <c r="P1663" s="46"/>
      <c r="Q1663" s="46"/>
      <c r="R1663" s="46"/>
      <c r="S1663" s="46"/>
      <c r="T1663" s="46"/>
      <c r="U1663" s="46"/>
      <c r="V1663" s="46"/>
      <c r="W1663" s="46"/>
      <c r="X1663" s="46"/>
    </row>
    <row r="1664" spans="1:24" ht="12.75" x14ac:dyDescent="0.2">
      <c r="A1664" s="45"/>
      <c r="B1664" s="46"/>
      <c r="C1664" s="46"/>
      <c r="D1664" s="46"/>
      <c r="E1664" s="46"/>
      <c r="F1664" s="46"/>
      <c r="G1664" s="46"/>
      <c r="H1664" s="46"/>
      <c r="I1664" s="46"/>
      <c r="J1664" s="46"/>
      <c r="K1664" s="46"/>
      <c r="L1664" s="46"/>
      <c r="M1664" s="46"/>
      <c r="N1664" s="46"/>
      <c r="O1664" s="46"/>
      <c r="P1664" s="46"/>
      <c r="Q1664" s="46"/>
      <c r="R1664" s="46"/>
      <c r="S1664" s="46"/>
      <c r="T1664" s="46"/>
      <c r="U1664" s="46"/>
      <c r="V1664" s="46"/>
      <c r="W1664" s="46"/>
      <c r="X1664" s="46"/>
    </row>
    <row r="1665" spans="1:24" ht="12.75" x14ac:dyDescent="0.2">
      <c r="A1665" s="45"/>
      <c r="B1665" s="46"/>
      <c r="C1665" s="46"/>
      <c r="D1665" s="46"/>
      <c r="E1665" s="46"/>
      <c r="F1665" s="46"/>
      <c r="G1665" s="46"/>
      <c r="H1665" s="46"/>
      <c r="I1665" s="46"/>
      <c r="J1665" s="46"/>
      <c r="K1665" s="46"/>
      <c r="L1665" s="46"/>
      <c r="M1665" s="46"/>
      <c r="N1665" s="46"/>
      <c r="O1665" s="46"/>
      <c r="P1665" s="46"/>
      <c r="Q1665" s="46"/>
      <c r="R1665" s="46"/>
      <c r="S1665" s="46"/>
      <c r="T1665" s="46"/>
      <c r="U1665" s="46"/>
      <c r="V1665" s="46"/>
      <c r="W1665" s="46"/>
      <c r="X1665" s="46"/>
    </row>
    <row r="1666" spans="1:24" ht="12.75" x14ac:dyDescent="0.2">
      <c r="A1666" s="45"/>
      <c r="B1666" s="46"/>
      <c r="C1666" s="46"/>
      <c r="D1666" s="46"/>
      <c r="E1666" s="46"/>
      <c r="F1666" s="46"/>
      <c r="G1666" s="46"/>
      <c r="H1666" s="46"/>
      <c r="I1666" s="46"/>
      <c r="J1666" s="46"/>
      <c r="K1666" s="46"/>
      <c r="L1666" s="46"/>
      <c r="M1666" s="46"/>
      <c r="N1666" s="46"/>
      <c r="O1666" s="46"/>
      <c r="P1666" s="46"/>
      <c r="Q1666" s="46"/>
      <c r="R1666" s="46"/>
      <c r="S1666" s="46"/>
      <c r="T1666" s="46"/>
      <c r="U1666" s="46"/>
      <c r="V1666" s="46"/>
      <c r="W1666" s="46"/>
      <c r="X1666" s="46"/>
    </row>
    <row r="1667" spans="1:24" ht="12.75" x14ac:dyDescent="0.2">
      <c r="A1667" s="45"/>
      <c r="B1667" s="46"/>
      <c r="C1667" s="46"/>
      <c r="D1667" s="46"/>
      <c r="E1667" s="46"/>
      <c r="F1667" s="46"/>
      <c r="G1667" s="46"/>
      <c r="H1667" s="46"/>
      <c r="I1667" s="46"/>
      <c r="J1667" s="46"/>
      <c r="K1667" s="46"/>
      <c r="L1667" s="46"/>
      <c r="M1667" s="46"/>
      <c r="N1667" s="46"/>
      <c r="O1667" s="46"/>
      <c r="P1667" s="46"/>
      <c r="Q1667" s="46"/>
      <c r="R1667" s="46"/>
      <c r="S1667" s="46"/>
      <c r="T1667" s="46"/>
      <c r="U1667" s="46"/>
      <c r="V1667" s="46"/>
      <c r="W1667" s="46"/>
      <c r="X1667" s="46"/>
    </row>
    <row r="1668" spans="1:24" ht="12.75" x14ac:dyDescent="0.2">
      <c r="A1668" s="45"/>
      <c r="B1668" s="46"/>
      <c r="C1668" s="46"/>
      <c r="D1668" s="46"/>
      <c r="E1668" s="46"/>
      <c r="F1668" s="46"/>
      <c r="G1668" s="46"/>
      <c r="H1668" s="46"/>
      <c r="I1668" s="46"/>
      <c r="J1668" s="46"/>
      <c r="K1668" s="46"/>
      <c r="L1668" s="46"/>
      <c r="M1668" s="46"/>
      <c r="N1668" s="46"/>
      <c r="O1668" s="46"/>
      <c r="P1668" s="46"/>
      <c r="Q1668" s="46"/>
      <c r="R1668" s="46"/>
      <c r="S1668" s="46"/>
      <c r="T1668" s="46"/>
      <c r="U1668" s="46"/>
      <c r="V1668" s="46"/>
      <c r="W1668" s="46"/>
      <c r="X1668" s="46"/>
    </row>
    <row r="1669" spans="1:24" ht="12.75" x14ac:dyDescent="0.2">
      <c r="A1669" s="45"/>
      <c r="B1669" s="46"/>
      <c r="C1669" s="46"/>
      <c r="D1669" s="46"/>
      <c r="E1669" s="46"/>
      <c r="F1669" s="46"/>
      <c r="G1669" s="46"/>
      <c r="H1669" s="46"/>
      <c r="I1669" s="46"/>
      <c r="J1669" s="46"/>
      <c r="K1669" s="46"/>
      <c r="L1669" s="46"/>
      <c r="M1669" s="46"/>
      <c r="N1669" s="46"/>
      <c r="O1669" s="46"/>
      <c r="P1669" s="46"/>
      <c r="Q1669" s="46"/>
      <c r="R1669" s="46"/>
      <c r="S1669" s="46"/>
      <c r="T1669" s="46"/>
      <c r="U1669" s="46"/>
      <c r="V1669" s="46"/>
      <c r="W1669" s="46"/>
      <c r="X1669" s="46"/>
    </row>
    <row r="1670" spans="1:24" ht="12.75" x14ac:dyDescent="0.2">
      <c r="A1670" s="45"/>
      <c r="B1670" s="46"/>
      <c r="C1670" s="46"/>
      <c r="D1670" s="46"/>
      <c r="E1670" s="46"/>
      <c r="F1670" s="46"/>
      <c r="G1670" s="46"/>
      <c r="H1670" s="46"/>
      <c r="I1670" s="46"/>
      <c r="J1670" s="46"/>
      <c r="K1670" s="46"/>
      <c r="L1670" s="46"/>
      <c r="M1670" s="46"/>
      <c r="N1670" s="46"/>
      <c r="O1670" s="46"/>
      <c r="P1670" s="46"/>
      <c r="Q1670" s="46"/>
      <c r="R1670" s="46"/>
      <c r="S1670" s="46"/>
      <c r="T1670" s="46"/>
      <c r="U1670" s="46"/>
      <c r="V1670" s="46"/>
      <c r="W1670" s="46"/>
      <c r="X1670" s="46"/>
    </row>
    <row r="1671" spans="1:24" ht="12.75" x14ac:dyDescent="0.2">
      <c r="A1671" s="45"/>
      <c r="B1671" s="46"/>
      <c r="C1671" s="46"/>
      <c r="D1671" s="46"/>
      <c r="E1671" s="46"/>
      <c r="F1671" s="46"/>
      <c r="G1671" s="46"/>
      <c r="H1671" s="46"/>
      <c r="I1671" s="46"/>
      <c r="J1671" s="46"/>
      <c r="K1671" s="46"/>
      <c r="L1671" s="46"/>
      <c r="M1671" s="46"/>
      <c r="N1671" s="46"/>
      <c r="O1671" s="46"/>
      <c r="P1671" s="46"/>
      <c r="Q1671" s="46"/>
      <c r="R1671" s="46"/>
      <c r="S1671" s="46"/>
      <c r="T1671" s="46"/>
      <c r="U1671" s="46"/>
      <c r="V1671" s="46"/>
      <c r="W1671" s="46"/>
      <c r="X1671" s="46"/>
    </row>
    <row r="1672" spans="1:24" ht="12.75" x14ac:dyDescent="0.2">
      <c r="A1672" s="45"/>
      <c r="B1672" s="46"/>
      <c r="C1672" s="46"/>
      <c r="D1672" s="46"/>
      <c r="E1672" s="46"/>
      <c r="F1672" s="46"/>
      <c r="G1672" s="46"/>
      <c r="H1672" s="46"/>
      <c r="I1672" s="46"/>
      <c r="J1672" s="46"/>
      <c r="K1672" s="46"/>
      <c r="L1672" s="46"/>
      <c r="M1672" s="46"/>
      <c r="N1672" s="46"/>
      <c r="O1672" s="46"/>
      <c r="P1672" s="46"/>
      <c r="Q1672" s="46"/>
      <c r="R1672" s="46"/>
      <c r="S1672" s="46"/>
      <c r="T1672" s="46"/>
      <c r="U1672" s="46"/>
      <c r="V1672" s="46"/>
      <c r="W1672" s="46"/>
      <c r="X1672" s="46"/>
    </row>
    <row r="1673" spans="1:24" ht="12.75" x14ac:dyDescent="0.2">
      <c r="A1673" s="45"/>
      <c r="B1673" s="46"/>
      <c r="C1673" s="46"/>
      <c r="D1673" s="46"/>
      <c r="E1673" s="46"/>
      <c r="F1673" s="46"/>
      <c r="G1673" s="46"/>
      <c r="H1673" s="46"/>
      <c r="I1673" s="46"/>
      <c r="J1673" s="46"/>
      <c r="K1673" s="46"/>
      <c r="L1673" s="46"/>
      <c r="M1673" s="46"/>
      <c r="N1673" s="46"/>
      <c r="O1673" s="46"/>
      <c r="P1673" s="46"/>
      <c r="Q1673" s="46"/>
      <c r="R1673" s="46"/>
      <c r="S1673" s="46"/>
      <c r="T1673" s="46"/>
      <c r="U1673" s="46"/>
      <c r="V1673" s="46"/>
      <c r="W1673" s="46"/>
      <c r="X1673" s="46"/>
    </row>
    <row r="1674" spans="1:24" ht="12.75" x14ac:dyDescent="0.2">
      <c r="A1674" s="45"/>
      <c r="B1674" s="46"/>
      <c r="C1674" s="46"/>
      <c r="D1674" s="46"/>
      <c r="E1674" s="46"/>
      <c r="F1674" s="46"/>
      <c r="G1674" s="46"/>
      <c r="H1674" s="46"/>
      <c r="I1674" s="46"/>
      <c r="J1674" s="46"/>
      <c r="K1674" s="46"/>
      <c r="L1674" s="46"/>
      <c r="M1674" s="46"/>
      <c r="N1674" s="46"/>
      <c r="O1674" s="46"/>
      <c r="P1674" s="46"/>
      <c r="Q1674" s="46"/>
      <c r="R1674" s="46"/>
      <c r="S1674" s="46"/>
      <c r="T1674" s="46"/>
      <c r="U1674" s="46"/>
      <c r="V1674" s="46"/>
      <c r="W1674" s="46"/>
      <c r="X1674" s="46"/>
    </row>
    <row r="1675" spans="1:24" ht="12.75" x14ac:dyDescent="0.2">
      <c r="A1675" s="45"/>
      <c r="B1675" s="46"/>
      <c r="C1675" s="46"/>
      <c r="D1675" s="46"/>
      <c r="E1675" s="46"/>
      <c r="F1675" s="46"/>
      <c r="G1675" s="46"/>
      <c r="H1675" s="46"/>
      <c r="I1675" s="46"/>
      <c r="J1675" s="46"/>
      <c r="K1675" s="46"/>
      <c r="L1675" s="46"/>
      <c r="M1675" s="46"/>
      <c r="N1675" s="46"/>
      <c r="O1675" s="46"/>
      <c r="P1675" s="46"/>
      <c r="Q1675" s="46"/>
      <c r="R1675" s="46"/>
      <c r="S1675" s="46"/>
      <c r="T1675" s="46"/>
      <c r="U1675" s="46"/>
      <c r="V1675" s="46"/>
      <c r="W1675" s="46"/>
      <c r="X1675" s="46"/>
    </row>
    <row r="1676" spans="1:24" ht="12.75" x14ac:dyDescent="0.2">
      <c r="A1676" s="45"/>
      <c r="B1676" s="46"/>
      <c r="C1676" s="46"/>
      <c r="D1676" s="46"/>
      <c r="E1676" s="46"/>
      <c r="F1676" s="46"/>
      <c r="G1676" s="46"/>
      <c r="H1676" s="46"/>
      <c r="I1676" s="46"/>
      <c r="J1676" s="46"/>
      <c r="K1676" s="46"/>
      <c r="L1676" s="46"/>
      <c r="M1676" s="46"/>
      <c r="N1676" s="46"/>
      <c r="O1676" s="46"/>
      <c r="P1676" s="46"/>
      <c r="Q1676" s="46"/>
      <c r="R1676" s="46"/>
      <c r="S1676" s="46"/>
      <c r="T1676" s="46"/>
      <c r="U1676" s="46"/>
      <c r="V1676" s="46"/>
      <c r="W1676" s="46"/>
      <c r="X1676" s="46"/>
    </row>
    <row r="1677" spans="1:24" ht="12.75" x14ac:dyDescent="0.2">
      <c r="A1677" s="45"/>
      <c r="B1677" s="46"/>
      <c r="C1677" s="46"/>
      <c r="D1677" s="46"/>
      <c r="E1677" s="46"/>
      <c r="F1677" s="46"/>
      <c r="G1677" s="46"/>
      <c r="H1677" s="46"/>
      <c r="I1677" s="46"/>
      <c r="J1677" s="46"/>
      <c r="K1677" s="46"/>
      <c r="L1677" s="46"/>
      <c r="M1677" s="46"/>
      <c r="N1677" s="46"/>
      <c r="O1677" s="46"/>
      <c r="P1677" s="46"/>
      <c r="Q1677" s="46"/>
      <c r="R1677" s="46"/>
      <c r="S1677" s="46"/>
      <c r="T1677" s="46"/>
      <c r="U1677" s="46"/>
      <c r="V1677" s="46"/>
      <c r="W1677" s="46"/>
      <c r="X1677" s="46"/>
    </row>
    <row r="1678" spans="1:24" ht="12.75" x14ac:dyDescent="0.2">
      <c r="A1678" s="45"/>
      <c r="B1678" s="46"/>
      <c r="C1678" s="46"/>
      <c r="D1678" s="46"/>
      <c r="E1678" s="46"/>
      <c r="F1678" s="46"/>
      <c r="G1678" s="46"/>
      <c r="H1678" s="46"/>
      <c r="I1678" s="46"/>
      <c r="J1678" s="46"/>
      <c r="K1678" s="46"/>
      <c r="L1678" s="46"/>
      <c r="M1678" s="46"/>
      <c r="N1678" s="46"/>
      <c r="O1678" s="46"/>
      <c r="P1678" s="46"/>
      <c r="Q1678" s="46"/>
      <c r="R1678" s="46"/>
      <c r="S1678" s="46"/>
      <c r="T1678" s="46"/>
      <c r="U1678" s="46"/>
      <c r="V1678" s="46"/>
      <c r="W1678" s="46"/>
      <c r="X1678" s="46"/>
    </row>
    <row r="1679" spans="1:24" ht="12.75" x14ac:dyDescent="0.2">
      <c r="A1679" s="45"/>
      <c r="B1679" s="46"/>
      <c r="C1679" s="46"/>
      <c r="D1679" s="46"/>
      <c r="E1679" s="46"/>
      <c r="F1679" s="46"/>
      <c r="G1679" s="46"/>
      <c r="H1679" s="46"/>
      <c r="I1679" s="46"/>
      <c r="J1679" s="46"/>
      <c r="K1679" s="46"/>
      <c r="L1679" s="46"/>
      <c r="M1679" s="46"/>
      <c r="N1679" s="46"/>
      <c r="O1679" s="46"/>
      <c r="P1679" s="46"/>
      <c r="Q1679" s="46"/>
      <c r="R1679" s="46"/>
      <c r="S1679" s="46"/>
      <c r="T1679" s="46"/>
      <c r="U1679" s="46"/>
      <c r="V1679" s="46"/>
      <c r="W1679" s="46"/>
      <c r="X1679" s="46"/>
    </row>
    <row r="1680" spans="1:24" ht="12.75" x14ac:dyDescent="0.2">
      <c r="A1680" s="45"/>
      <c r="B1680" s="46"/>
      <c r="C1680" s="46"/>
      <c r="D1680" s="46"/>
      <c r="E1680" s="46"/>
      <c r="F1680" s="46"/>
      <c r="G1680" s="46"/>
      <c r="H1680" s="46"/>
      <c r="I1680" s="46"/>
      <c r="J1680" s="46"/>
      <c r="K1680" s="46"/>
      <c r="L1680" s="46"/>
      <c r="M1680" s="46"/>
      <c r="N1680" s="46"/>
      <c r="O1680" s="46"/>
      <c r="P1680" s="46"/>
      <c r="Q1680" s="46"/>
      <c r="R1680" s="46"/>
      <c r="S1680" s="46"/>
      <c r="T1680" s="46"/>
      <c r="U1680" s="46"/>
      <c r="V1680" s="46"/>
      <c r="W1680" s="46"/>
      <c r="X1680" s="46"/>
    </row>
    <row r="1681" spans="1:24" ht="12.75" x14ac:dyDescent="0.2">
      <c r="A1681" s="45"/>
      <c r="B1681" s="46"/>
      <c r="C1681" s="46"/>
      <c r="D1681" s="46"/>
      <c r="E1681" s="46"/>
      <c r="F1681" s="46"/>
      <c r="G1681" s="46"/>
      <c r="H1681" s="46"/>
      <c r="I1681" s="46"/>
      <c r="J1681" s="46"/>
      <c r="K1681" s="46"/>
      <c r="L1681" s="46"/>
      <c r="M1681" s="46"/>
      <c r="N1681" s="46"/>
      <c r="O1681" s="46"/>
      <c r="P1681" s="46"/>
      <c r="Q1681" s="46"/>
      <c r="R1681" s="46"/>
      <c r="S1681" s="46"/>
      <c r="T1681" s="46"/>
      <c r="U1681" s="46"/>
      <c r="V1681" s="46"/>
      <c r="W1681" s="46"/>
      <c r="X1681" s="46"/>
    </row>
    <row r="1682" spans="1:24" ht="12.75" x14ac:dyDescent="0.2">
      <c r="A1682" s="45"/>
      <c r="B1682" s="46"/>
      <c r="C1682" s="46"/>
      <c r="D1682" s="46"/>
      <c r="E1682" s="46"/>
      <c r="F1682" s="46"/>
      <c r="G1682" s="46"/>
      <c r="H1682" s="46"/>
      <c r="I1682" s="46"/>
      <c r="J1682" s="46"/>
      <c r="K1682" s="46"/>
      <c r="L1682" s="46"/>
      <c r="M1682" s="46"/>
      <c r="N1682" s="46"/>
      <c r="O1682" s="46"/>
      <c r="P1682" s="46"/>
      <c r="Q1682" s="46"/>
      <c r="R1682" s="46"/>
      <c r="S1682" s="46"/>
      <c r="T1682" s="46"/>
      <c r="U1682" s="46"/>
      <c r="V1682" s="46"/>
      <c r="W1682" s="46"/>
      <c r="X1682" s="46"/>
    </row>
    <row r="1683" spans="1:24" ht="12.75" x14ac:dyDescent="0.2">
      <c r="A1683" s="45"/>
      <c r="B1683" s="46"/>
      <c r="C1683" s="46"/>
      <c r="D1683" s="46"/>
      <c r="E1683" s="46"/>
      <c r="F1683" s="46"/>
      <c r="G1683" s="46"/>
      <c r="H1683" s="46"/>
      <c r="I1683" s="46"/>
      <c r="J1683" s="46"/>
      <c r="K1683" s="46"/>
      <c r="L1683" s="46"/>
      <c r="M1683" s="46"/>
      <c r="N1683" s="46"/>
      <c r="O1683" s="46"/>
      <c r="P1683" s="46"/>
      <c r="Q1683" s="46"/>
      <c r="R1683" s="46"/>
      <c r="S1683" s="46"/>
      <c r="T1683" s="46"/>
      <c r="U1683" s="46"/>
      <c r="V1683" s="46"/>
      <c r="W1683" s="46"/>
      <c r="X1683" s="46"/>
    </row>
    <row r="1684" spans="1:24" ht="12.75" x14ac:dyDescent="0.2">
      <c r="A1684" s="45"/>
      <c r="B1684" s="46"/>
      <c r="C1684" s="46"/>
      <c r="D1684" s="46"/>
      <c r="E1684" s="46"/>
      <c r="F1684" s="46"/>
      <c r="G1684" s="46"/>
      <c r="H1684" s="46"/>
      <c r="I1684" s="46"/>
      <c r="J1684" s="46"/>
      <c r="K1684" s="46"/>
      <c r="L1684" s="46"/>
      <c r="M1684" s="46"/>
      <c r="N1684" s="46"/>
      <c r="O1684" s="46"/>
      <c r="P1684" s="46"/>
      <c r="Q1684" s="46"/>
      <c r="R1684" s="46"/>
      <c r="S1684" s="46"/>
      <c r="T1684" s="46"/>
      <c r="U1684" s="46"/>
      <c r="V1684" s="46"/>
      <c r="W1684" s="46"/>
      <c r="X1684" s="46"/>
    </row>
    <row r="1685" spans="1:24" ht="12.75" x14ac:dyDescent="0.2">
      <c r="A1685" s="45"/>
      <c r="B1685" s="46"/>
      <c r="C1685" s="46"/>
      <c r="D1685" s="46"/>
      <c r="E1685" s="46"/>
      <c r="F1685" s="46"/>
      <c r="G1685" s="46"/>
      <c r="H1685" s="46"/>
      <c r="I1685" s="46"/>
      <c r="J1685" s="46"/>
      <c r="K1685" s="46"/>
      <c r="L1685" s="46"/>
      <c r="M1685" s="46"/>
      <c r="N1685" s="46"/>
      <c r="O1685" s="46"/>
      <c r="P1685" s="46"/>
      <c r="Q1685" s="46"/>
      <c r="R1685" s="46"/>
      <c r="S1685" s="46"/>
      <c r="T1685" s="46"/>
      <c r="U1685" s="46"/>
      <c r="V1685" s="46"/>
      <c r="W1685" s="46"/>
      <c r="X1685" s="46"/>
    </row>
    <row r="1686" spans="1:24" ht="12.75" x14ac:dyDescent="0.2">
      <c r="A1686" s="45"/>
      <c r="B1686" s="46"/>
      <c r="C1686" s="46"/>
      <c r="D1686" s="46"/>
      <c r="E1686" s="46"/>
      <c r="F1686" s="46"/>
      <c r="G1686" s="46"/>
      <c r="H1686" s="46"/>
      <c r="I1686" s="46"/>
      <c r="J1686" s="46"/>
      <c r="K1686" s="46"/>
      <c r="L1686" s="46"/>
      <c r="M1686" s="46"/>
      <c r="N1686" s="46"/>
      <c r="O1686" s="46"/>
      <c r="P1686" s="46"/>
      <c r="Q1686" s="46"/>
      <c r="R1686" s="46"/>
      <c r="S1686" s="46"/>
      <c r="T1686" s="46"/>
      <c r="U1686" s="46"/>
      <c r="V1686" s="46"/>
      <c r="W1686" s="46"/>
      <c r="X1686" s="46"/>
    </row>
    <row r="1687" spans="1:24" ht="12.75" x14ac:dyDescent="0.2">
      <c r="A1687" s="45"/>
      <c r="B1687" s="46"/>
      <c r="C1687" s="46"/>
      <c r="D1687" s="46"/>
      <c r="E1687" s="46"/>
      <c r="F1687" s="46"/>
      <c r="G1687" s="46"/>
      <c r="H1687" s="46"/>
      <c r="I1687" s="46"/>
      <c r="J1687" s="46"/>
      <c r="K1687" s="46"/>
      <c r="L1687" s="46"/>
      <c r="M1687" s="46"/>
      <c r="N1687" s="46"/>
      <c r="O1687" s="46"/>
      <c r="P1687" s="46"/>
      <c r="Q1687" s="46"/>
      <c r="R1687" s="46"/>
      <c r="S1687" s="46"/>
      <c r="T1687" s="46"/>
      <c r="U1687" s="46"/>
      <c r="V1687" s="46"/>
      <c r="W1687" s="46"/>
      <c r="X1687" s="46"/>
    </row>
    <row r="1688" spans="1:24" ht="12.75" x14ac:dyDescent="0.2">
      <c r="A1688" s="45"/>
      <c r="B1688" s="46"/>
      <c r="C1688" s="46"/>
      <c r="D1688" s="46"/>
      <c r="E1688" s="46"/>
      <c r="F1688" s="46"/>
      <c r="G1688" s="46"/>
      <c r="H1688" s="46"/>
      <c r="I1688" s="46"/>
      <c r="J1688" s="46"/>
      <c r="K1688" s="46"/>
      <c r="L1688" s="46"/>
      <c r="M1688" s="46"/>
      <c r="N1688" s="46"/>
      <c r="O1688" s="46"/>
      <c r="P1688" s="46"/>
      <c r="Q1688" s="46"/>
      <c r="R1688" s="46"/>
      <c r="S1688" s="46"/>
      <c r="T1688" s="46"/>
      <c r="U1688" s="46"/>
      <c r="V1688" s="46"/>
      <c r="W1688" s="46"/>
      <c r="X1688" s="46"/>
    </row>
    <row r="1689" spans="1:24" ht="12.75" x14ac:dyDescent="0.2">
      <c r="A1689" s="45"/>
      <c r="B1689" s="46"/>
      <c r="C1689" s="46"/>
      <c r="D1689" s="46"/>
      <c r="E1689" s="46"/>
      <c r="F1689" s="46"/>
      <c r="G1689" s="46"/>
      <c r="H1689" s="46"/>
      <c r="I1689" s="46"/>
      <c r="J1689" s="46"/>
      <c r="K1689" s="46"/>
      <c r="L1689" s="46"/>
      <c r="M1689" s="46"/>
      <c r="N1689" s="46"/>
      <c r="O1689" s="46"/>
      <c r="P1689" s="46"/>
      <c r="Q1689" s="46"/>
      <c r="R1689" s="46"/>
      <c r="S1689" s="46"/>
      <c r="T1689" s="46"/>
      <c r="U1689" s="46"/>
      <c r="V1689" s="46"/>
      <c r="W1689" s="46"/>
      <c r="X1689" s="46"/>
    </row>
    <row r="1690" spans="1:24" ht="12.75" x14ac:dyDescent="0.2">
      <c r="A1690" s="45"/>
      <c r="B1690" s="46"/>
      <c r="C1690" s="46"/>
      <c r="D1690" s="46"/>
      <c r="E1690" s="46"/>
      <c r="F1690" s="46"/>
      <c r="G1690" s="46"/>
      <c r="H1690" s="46"/>
      <c r="I1690" s="46"/>
      <c r="J1690" s="46"/>
      <c r="K1690" s="46"/>
      <c r="L1690" s="46"/>
      <c r="M1690" s="46"/>
      <c r="N1690" s="46"/>
      <c r="O1690" s="46"/>
      <c r="P1690" s="46"/>
      <c r="Q1690" s="46"/>
      <c r="R1690" s="46"/>
      <c r="S1690" s="46"/>
      <c r="T1690" s="46"/>
      <c r="U1690" s="46"/>
      <c r="V1690" s="46"/>
      <c r="W1690" s="46"/>
      <c r="X1690" s="46"/>
    </row>
    <row r="1691" spans="1:24" ht="12.75" x14ac:dyDescent="0.2">
      <c r="A1691" s="45"/>
      <c r="B1691" s="46"/>
      <c r="C1691" s="46"/>
      <c r="D1691" s="46"/>
      <c r="E1691" s="46"/>
      <c r="F1691" s="46"/>
      <c r="G1691" s="46"/>
      <c r="H1691" s="46"/>
      <c r="I1691" s="46"/>
      <c r="J1691" s="46"/>
      <c r="K1691" s="46"/>
      <c r="L1691" s="46"/>
      <c r="M1691" s="46"/>
      <c r="N1691" s="46"/>
      <c r="O1691" s="46"/>
      <c r="P1691" s="46"/>
      <c r="Q1691" s="46"/>
      <c r="R1691" s="46"/>
      <c r="S1691" s="46"/>
      <c r="T1691" s="46"/>
      <c r="U1691" s="46"/>
      <c r="V1691" s="46"/>
      <c r="W1691" s="46"/>
      <c r="X1691" s="46"/>
    </row>
    <row r="1692" spans="1:24" ht="12.75" x14ac:dyDescent="0.2">
      <c r="A1692" s="45"/>
      <c r="B1692" s="46"/>
      <c r="C1692" s="46"/>
      <c r="D1692" s="46"/>
      <c r="E1692" s="46"/>
      <c r="F1692" s="46"/>
      <c r="G1692" s="46"/>
      <c r="H1692" s="46"/>
      <c r="I1692" s="46"/>
      <c r="J1692" s="46"/>
      <c r="K1692" s="46"/>
      <c r="L1692" s="46"/>
      <c r="M1692" s="46"/>
      <c r="N1692" s="46"/>
      <c r="O1692" s="46"/>
      <c r="P1692" s="46"/>
      <c r="Q1692" s="46"/>
      <c r="R1692" s="46"/>
      <c r="S1692" s="46"/>
      <c r="T1692" s="46"/>
      <c r="U1692" s="46"/>
      <c r="V1692" s="46"/>
      <c r="W1692" s="46"/>
      <c r="X1692" s="46"/>
    </row>
    <row r="1693" spans="1:24" ht="12.75" x14ac:dyDescent="0.2">
      <c r="A1693" s="45"/>
      <c r="B1693" s="46"/>
      <c r="C1693" s="46"/>
      <c r="D1693" s="46"/>
      <c r="E1693" s="46"/>
      <c r="F1693" s="46"/>
      <c r="G1693" s="46"/>
      <c r="H1693" s="46"/>
      <c r="I1693" s="46"/>
      <c r="J1693" s="46"/>
      <c r="K1693" s="46"/>
      <c r="L1693" s="46"/>
      <c r="M1693" s="46"/>
      <c r="N1693" s="46"/>
      <c r="O1693" s="46"/>
      <c r="P1693" s="46"/>
      <c r="Q1693" s="46"/>
      <c r="R1693" s="46"/>
      <c r="S1693" s="46"/>
      <c r="T1693" s="46"/>
      <c r="U1693" s="46"/>
      <c r="V1693" s="46"/>
      <c r="W1693" s="46"/>
      <c r="X1693" s="46"/>
    </row>
    <row r="1694" spans="1:24" ht="12.75" x14ac:dyDescent="0.2">
      <c r="A1694" s="45"/>
      <c r="B1694" s="46"/>
      <c r="C1694" s="46"/>
      <c r="D1694" s="46"/>
      <c r="E1694" s="46"/>
      <c r="F1694" s="46"/>
      <c r="G1694" s="46"/>
      <c r="H1694" s="46"/>
      <c r="I1694" s="46"/>
      <c r="J1694" s="46"/>
      <c r="K1694" s="46"/>
      <c r="L1694" s="46"/>
      <c r="M1694" s="46"/>
      <c r="N1694" s="46"/>
      <c r="O1694" s="46"/>
      <c r="P1694" s="46"/>
      <c r="Q1694" s="46"/>
      <c r="R1694" s="46"/>
      <c r="S1694" s="46"/>
      <c r="T1694" s="46"/>
      <c r="U1694" s="46"/>
      <c r="V1694" s="46"/>
      <c r="W1694" s="46"/>
      <c r="X1694" s="46"/>
    </row>
    <row r="1695" spans="1:24" ht="12.75" x14ac:dyDescent="0.2">
      <c r="A1695" s="45"/>
      <c r="B1695" s="46"/>
      <c r="C1695" s="46"/>
      <c r="D1695" s="46"/>
      <c r="E1695" s="46"/>
      <c r="F1695" s="46"/>
      <c r="G1695" s="46"/>
      <c r="H1695" s="46"/>
      <c r="I1695" s="46"/>
      <c r="J1695" s="46"/>
      <c r="K1695" s="46"/>
      <c r="L1695" s="46"/>
      <c r="M1695" s="46"/>
      <c r="N1695" s="46"/>
      <c r="O1695" s="46"/>
      <c r="P1695" s="46"/>
      <c r="Q1695" s="46"/>
      <c r="R1695" s="46"/>
      <c r="S1695" s="46"/>
      <c r="T1695" s="46"/>
      <c r="U1695" s="46"/>
      <c r="V1695" s="46"/>
      <c r="W1695" s="46"/>
      <c r="X1695" s="46"/>
    </row>
    <row r="1696" spans="1:24" ht="12.75" x14ac:dyDescent="0.2">
      <c r="A1696" s="45"/>
      <c r="B1696" s="46"/>
      <c r="C1696" s="46"/>
      <c r="D1696" s="46"/>
      <c r="E1696" s="46"/>
      <c r="F1696" s="46"/>
      <c r="G1696" s="46"/>
      <c r="H1696" s="46"/>
      <c r="I1696" s="46"/>
      <c r="J1696" s="46"/>
      <c r="K1696" s="46"/>
      <c r="L1696" s="46"/>
      <c r="M1696" s="46"/>
      <c r="N1696" s="46"/>
      <c r="O1696" s="46"/>
      <c r="P1696" s="46"/>
      <c r="Q1696" s="46"/>
      <c r="R1696" s="46"/>
      <c r="S1696" s="46"/>
      <c r="T1696" s="46"/>
      <c r="U1696" s="46"/>
      <c r="V1696" s="46"/>
      <c r="W1696" s="46"/>
      <c r="X1696" s="46"/>
    </row>
    <row r="1697" spans="1:24" ht="12.75" x14ac:dyDescent="0.2">
      <c r="A1697" s="45"/>
      <c r="B1697" s="46"/>
      <c r="C1697" s="46"/>
      <c r="D1697" s="46"/>
      <c r="E1697" s="46"/>
      <c r="F1697" s="46"/>
      <c r="G1697" s="46"/>
      <c r="H1697" s="46"/>
      <c r="I1697" s="46"/>
      <c r="J1697" s="46"/>
      <c r="K1697" s="46"/>
      <c r="L1697" s="46"/>
      <c r="M1697" s="46"/>
      <c r="N1697" s="46"/>
      <c r="O1697" s="46"/>
      <c r="P1697" s="46"/>
      <c r="Q1697" s="46"/>
      <c r="R1697" s="46"/>
      <c r="S1697" s="46"/>
      <c r="T1697" s="46"/>
      <c r="U1697" s="46"/>
      <c r="V1697" s="46"/>
      <c r="W1697" s="46"/>
      <c r="X1697" s="46"/>
    </row>
    <row r="1698" spans="1:24" ht="12.75" x14ac:dyDescent="0.2">
      <c r="A1698" s="45"/>
      <c r="B1698" s="46"/>
      <c r="C1698" s="46"/>
      <c r="D1698" s="46"/>
      <c r="E1698" s="46"/>
      <c r="F1698" s="46"/>
      <c r="G1698" s="46"/>
      <c r="H1698" s="46"/>
      <c r="I1698" s="46"/>
      <c r="J1698" s="46"/>
      <c r="K1698" s="46"/>
      <c r="L1698" s="46"/>
      <c r="M1698" s="46"/>
      <c r="N1698" s="46"/>
      <c r="O1698" s="46"/>
      <c r="P1698" s="46"/>
      <c r="Q1698" s="46"/>
      <c r="R1698" s="46"/>
      <c r="S1698" s="46"/>
      <c r="T1698" s="46"/>
      <c r="U1698" s="46"/>
      <c r="V1698" s="46"/>
      <c r="W1698" s="46"/>
      <c r="X1698" s="46"/>
    </row>
    <row r="1699" spans="1:24" ht="12.75" x14ac:dyDescent="0.2">
      <c r="A1699" s="45"/>
      <c r="B1699" s="46"/>
      <c r="C1699" s="46"/>
      <c r="D1699" s="46"/>
      <c r="E1699" s="46"/>
      <c r="F1699" s="46"/>
      <c r="G1699" s="46"/>
      <c r="H1699" s="46"/>
      <c r="I1699" s="46"/>
      <c r="J1699" s="46"/>
      <c r="K1699" s="46"/>
      <c r="L1699" s="46"/>
      <c r="M1699" s="46"/>
      <c r="N1699" s="46"/>
      <c r="O1699" s="46"/>
      <c r="P1699" s="46"/>
      <c r="Q1699" s="46"/>
      <c r="R1699" s="46"/>
      <c r="S1699" s="46"/>
      <c r="T1699" s="46"/>
      <c r="U1699" s="46"/>
      <c r="V1699" s="46"/>
      <c r="W1699" s="46"/>
      <c r="X1699" s="46"/>
    </row>
    <row r="1700" spans="1:24" ht="12.75" x14ac:dyDescent="0.2">
      <c r="A1700" s="45"/>
      <c r="B1700" s="46"/>
      <c r="C1700" s="46"/>
      <c r="D1700" s="46"/>
      <c r="E1700" s="46"/>
      <c r="F1700" s="46"/>
      <c r="G1700" s="46"/>
      <c r="H1700" s="46"/>
      <c r="I1700" s="46"/>
      <c r="J1700" s="46"/>
      <c r="K1700" s="46"/>
      <c r="L1700" s="46"/>
      <c r="M1700" s="46"/>
      <c r="N1700" s="46"/>
      <c r="O1700" s="46"/>
      <c r="P1700" s="46"/>
      <c r="Q1700" s="46"/>
      <c r="R1700" s="46"/>
      <c r="S1700" s="46"/>
      <c r="T1700" s="46"/>
      <c r="U1700" s="46"/>
      <c r="V1700" s="46"/>
      <c r="W1700" s="46"/>
      <c r="X1700" s="46"/>
    </row>
    <row r="1701" spans="1:24" ht="12.75" x14ac:dyDescent="0.2">
      <c r="A1701" s="45"/>
      <c r="B1701" s="46"/>
      <c r="C1701" s="46"/>
      <c r="D1701" s="46"/>
      <c r="E1701" s="46"/>
      <c r="F1701" s="46"/>
      <c r="G1701" s="46"/>
      <c r="H1701" s="46"/>
      <c r="I1701" s="46"/>
      <c r="J1701" s="46"/>
      <c r="K1701" s="46"/>
      <c r="L1701" s="46"/>
      <c r="M1701" s="46"/>
      <c r="N1701" s="46"/>
      <c r="O1701" s="46"/>
      <c r="P1701" s="46"/>
      <c r="Q1701" s="46"/>
      <c r="R1701" s="46"/>
      <c r="S1701" s="46"/>
      <c r="T1701" s="46"/>
      <c r="U1701" s="46"/>
      <c r="V1701" s="46"/>
      <c r="W1701" s="46"/>
      <c r="X1701" s="46"/>
    </row>
    <row r="1702" spans="1:24" ht="12.75" x14ac:dyDescent="0.2">
      <c r="A1702" s="45"/>
      <c r="B1702" s="46"/>
      <c r="C1702" s="46"/>
      <c r="D1702" s="46"/>
      <c r="E1702" s="46"/>
      <c r="F1702" s="46"/>
      <c r="G1702" s="46"/>
      <c r="H1702" s="46"/>
      <c r="I1702" s="46"/>
      <c r="J1702" s="46"/>
      <c r="K1702" s="46"/>
      <c r="L1702" s="46"/>
      <c r="M1702" s="46"/>
      <c r="N1702" s="46"/>
      <c r="O1702" s="46"/>
      <c r="P1702" s="46"/>
      <c r="Q1702" s="46"/>
      <c r="R1702" s="46"/>
      <c r="S1702" s="46"/>
      <c r="T1702" s="46"/>
      <c r="U1702" s="46"/>
      <c r="V1702" s="46"/>
      <c r="W1702" s="46"/>
      <c r="X1702" s="46"/>
    </row>
    <row r="1703" spans="1:24" ht="12.75" x14ac:dyDescent="0.2">
      <c r="A1703" s="45"/>
      <c r="B1703" s="46"/>
      <c r="C1703" s="46"/>
      <c r="D1703" s="46"/>
      <c r="E1703" s="46"/>
      <c r="F1703" s="46"/>
      <c r="G1703" s="46"/>
      <c r="H1703" s="46"/>
      <c r="I1703" s="46"/>
      <c r="J1703" s="46"/>
      <c r="K1703" s="46"/>
      <c r="L1703" s="46"/>
      <c r="M1703" s="46"/>
      <c r="N1703" s="46"/>
      <c r="O1703" s="46"/>
      <c r="P1703" s="46"/>
      <c r="Q1703" s="46"/>
      <c r="R1703" s="46"/>
      <c r="S1703" s="46"/>
      <c r="T1703" s="46"/>
      <c r="U1703" s="46"/>
      <c r="V1703" s="46"/>
      <c r="W1703" s="46"/>
      <c r="X1703" s="46"/>
    </row>
    <row r="1704" spans="1:24" ht="12.75" x14ac:dyDescent="0.2">
      <c r="A1704" s="45"/>
      <c r="B1704" s="46"/>
      <c r="C1704" s="46"/>
      <c r="D1704" s="46"/>
      <c r="E1704" s="46"/>
      <c r="F1704" s="46"/>
      <c r="G1704" s="46"/>
      <c r="H1704" s="46"/>
      <c r="I1704" s="46"/>
      <c r="J1704" s="46"/>
      <c r="K1704" s="46"/>
      <c r="L1704" s="46"/>
      <c r="M1704" s="46"/>
      <c r="N1704" s="46"/>
      <c r="O1704" s="46"/>
      <c r="P1704" s="46"/>
      <c r="Q1704" s="46"/>
      <c r="R1704" s="46"/>
      <c r="S1704" s="46"/>
      <c r="T1704" s="46"/>
      <c r="U1704" s="46"/>
      <c r="V1704" s="46"/>
      <c r="W1704" s="46"/>
      <c r="X1704" s="46"/>
    </row>
    <row r="1705" spans="1:24" ht="12.75" x14ac:dyDescent="0.2">
      <c r="A1705" s="45"/>
      <c r="B1705" s="46"/>
      <c r="C1705" s="46"/>
      <c r="D1705" s="46"/>
      <c r="E1705" s="46"/>
      <c r="F1705" s="46"/>
      <c r="G1705" s="46"/>
      <c r="H1705" s="46"/>
      <c r="I1705" s="46"/>
      <c r="J1705" s="46"/>
      <c r="K1705" s="46"/>
      <c r="L1705" s="46"/>
      <c r="M1705" s="46"/>
      <c r="N1705" s="46"/>
      <c r="O1705" s="46"/>
      <c r="P1705" s="46"/>
      <c r="Q1705" s="46"/>
      <c r="R1705" s="46"/>
      <c r="S1705" s="46"/>
      <c r="T1705" s="46"/>
      <c r="U1705" s="46"/>
      <c r="V1705" s="46"/>
      <c r="W1705" s="46"/>
      <c r="X1705" s="46"/>
    </row>
    <row r="1706" spans="1:24" ht="12.75" x14ac:dyDescent="0.2">
      <c r="A1706" s="45"/>
      <c r="B1706" s="46"/>
      <c r="C1706" s="46"/>
      <c r="D1706" s="46"/>
      <c r="E1706" s="46"/>
      <c r="F1706" s="46"/>
      <c r="G1706" s="46"/>
      <c r="H1706" s="46"/>
      <c r="I1706" s="46"/>
      <c r="J1706" s="46"/>
      <c r="K1706" s="46"/>
      <c r="L1706" s="46"/>
      <c r="M1706" s="46"/>
      <c r="N1706" s="46"/>
      <c r="O1706" s="46"/>
      <c r="P1706" s="46"/>
      <c r="Q1706" s="46"/>
      <c r="R1706" s="46"/>
      <c r="S1706" s="46"/>
      <c r="T1706" s="46"/>
      <c r="U1706" s="46"/>
      <c r="V1706" s="46"/>
      <c r="W1706" s="46"/>
      <c r="X1706" s="46"/>
    </row>
    <row r="1707" spans="1:24" ht="12.75" x14ac:dyDescent="0.2">
      <c r="A1707" s="45"/>
      <c r="B1707" s="46"/>
      <c r="C1707" s="46"/>
      <c r="D1707" s="46"/>
      <c r="E1707" s="46"/>
      <c r="F1707" s="46"/>
      <c r="G1707" s="46"/>
      <c r="H1707" s="46"/>
      <c r="I1707" s="46"/>
      <c r="J1707" s="46"/>
      <c r="K1707" s="46"/>
      <c r="L1707" s="46"/>
      <c r="M1707" s="46"/>
      <c r="N1707" s="46"/>
      <c r="O1707" s="46"/>
      <c r="P1707" s="46"/>
      <c r="Q1707" s="46"/>
      <c r="R1707" s="46"/>
      <c r="S1707" s="46"/>
      <c r="T1707" s="46"/>
      <c r="U1707" s="46"/>
      <c r="V1707" s="46"/>
      <c r="W1707" s="46"/>
      <c r="X1707" s="46"/>
    </row>
    <row r="1708" spans="1:24" ht="12.75" x14ac:dyDescent="0.2">
      <c r="A1708" s="45"/>
      <c r="B1708" s="46"/>
      <c r="C1708" s="46"/>
      <c r="D1708" s="46"/>
      <c r="E1708" s="46"/>
      <c r="F1708" s="46"/>
      <c r="G1708" s="46"/>
      <c r="H1708" s="46"/>
      <c r="I1708" s="46"/>
      <c r="J1708" s="46"/>
      <c r="K1708" s="46"/>
      <c r="L1708" s="46"/>
      <c r="M1708" s="46"/>
      <c r="N1708" s="46"/>
      <c r="O1708" s="46"/>
      <c r="P1708" s="46"/>
      <c r="Q1708" s="46"/>
      <c r="R1708" s="46"/>
      <c r="S1708" s="46"/>
      <c r="T1708" s="46"/>
      <c r="U1708" s="46"/>
      <c r="V1708" s="46"/>
      <c r="W1708" s="46"/>
      <c r="X1708" s="46"/>
    </row>
    <row r="1709" spans="1:24" ht="12.75" x14ac:dyDescent="0.2">
      <c r="A1709" s="45"/>
      <c r="B1709" s="46"/>
      <c r="C1709" s="46"/>
      <c r="D1709" s="46"/>
      <c r="E1709" s="46"/>
      <c r="F1709" s="46"/>
      <c r="G1709" s="46"/>
      <c r="H1709" s="46"/>
      <c r="I1709" s="46"/>
      <c r="J1709" s="46"/>
      <c r="K1709" s="46"/>
      <c r="L1709" s="46"/>
      <c r="M1709" s="46"/>
      <c r="N1709" s="46"/>
      <c r="O1709" s="46"/>
      <c r="P1709" s="46"/>
      <c r="Q1709" s="46"/>
      <c r="R1709" s="46"/>
      <c r="S1709" s="46"/>
      <c r="T1709" s="46"/>
      <c r="U1709" s="46"/>
      <c r="V1709" s="46"/>
      <c r="W1709" s="46"/>
      <c r="X1709" s="46"/>
    </row>
    <row r="1710" spans="1:24" ht="12.75" x14ac:dyDescent="0.2">
      <c r="A1710" s="45"/>
      <c r="B1710" s="46"/>
      <c r="C1710" s="46"/>
      <c r="D1710" s="46"/>
      <c r="E1710" s="46"/>
      <c r="F1710" s="46"/>
      <c r="G1710" s="46"/>
      <c r="H1710" s="46"/>
      <c r="I1710" s="46"/>
      <c r="J1710" s="46"/>
      <c r="K1710" s="46"/>
      <c r="L1710" s="46"/>
      <c r="M1710" s="46"/>
      <c r="N1710" s="46"/>
      <c r="O1710" s="46"/>
      <c r="P1710" s="46"/>
      <c r="Q1710" s="46"/>
      <c r="R1710" s="46"/>
      <c r="S1710" s="46"/>
      <c r="T1710" s="46"/>
      <c r="U1710" s="46"/>
      <c r="V1710" s="46"/>
      <c r="W1710" s="46"/>
      <c r="X1710" s="46"/>
    </row>
    <row r="1711" spans="1:24" ht="12.75" x14ac:dyDescent="0.2">
      <c r="A1711" s="45"/>
      <c r="B1711" s="46"/>
      <c r="C1711" s="46"/>
      <c r="D1711" s="46"/>
      <c r="E1711" s="46"/>
      <c r="F1711" s="46"/>
      <c r="G1711" s="46"/>
      <c r="H1711" s="46"/>
      <c r="I1711" s="46"/>
      <c r="J1711" s="46"/>
      <c r="K1711" s="46"/>
      <c r="L1711" s="46"/>
      <c r="M1711" s="46"/>
      <c r="N1711" s="46"/>
      <c r="O1711" s="46"/>
      <c r="P1711" s="46"/>
      <c r="Q1711" s="46"/>
      <c r="R1711" s="46"/>
      <c r="S1711" s="46"/>
      <c r="T1711" s="46"/>
      <c r="U1711" s="46"/>
      <c r="V1711" s="46"/>
      <c r="W1711" s="46"/>
      <c r="X1711" s="46"/>
    </row>
    <row r="1712" spans="1:24" ht="12.75" x14ac:dyDescent="0.2">
      <c r="A1712" s="45"/>
      <c r="B1712" s="46"/>
      <c r="C1712" s="46"/>
      <c r="D1712" s="46"/>
      <c r="E1712" s="46"/>
      <c r="F1712" s="46"/>
      <c r="G1712" s="46"/>
      <c r="H1712" s="46"/>
      <c r="I1712" s="46"/>
      <c r="J1712" s="46"/>
      <c r="K1712" s="46"/>
      <c r="L1712" s="46"/>
      <c r="M1712" s="46"/>
      <c r="N1712" s="46"/>
      <c r="O1712" s="46"/>
      <c r="P1712" s="46"/>
      <c r="Q1712" s="46"/>
      <c r="R1712" s="46"/>
      <c r="S1712" s="46"/>
      <c r="T1712" s="46"/>
      <c r="U1712" s="46"/>
      <c r="V1712" s="46"/>
      <c r="W1712" s="46"/>
      <c r="X1712" s="46"/>
    </row>
    <row r="1713" spans="1:24" ht="12.75" x14ac:dyDescent="0.2">
      <c r="A1713" s="45"/>
      <c r="B1713" s="46"/>
      <c r="C1713" s="46"/>
      <c r="D1713" s="46"/>
      <c r="E1713" s="46"/>
      <c r="F1713" s="46"/>
      <c r="G1713" s="46"/>
      <c r="H1713" s="46"/>
      <c r="I1713" s="46"/>
      <c r="J1713" s="46"/>
      <c r="K1713" s="46"/>
      <c r="L1713" s="46"/>
      <c r="M1713" s="46"/>
      <c r="N1713" s="46"/>
      <c r="O1713" s="46"/>
      <c r="P1713" s="46"/>
      <c r="Q1713" s="46"/>
      <c r="R1713" s="46"/>
      <c r="S1713" s="46"/>
      <c r="T1713" s="46"/>
      <c r="U1713" s="46"/>
      <c r="V1713" s="46"/>
      <c r="W1713" s="46"/>
      <c r="X1713" s="46"/>
    </row>
    <row r="1714" spans="1:24" ht="12.75" x14ac:dyDescent="0.2">
      <c r="A1714" s="45"/>
      <c r="B1714" s="46"/>
      <c r="C1714" s="46"/>
      <c r="D1714" s="46"/>
      <c r="E1714" s="46"/>
      <c r="F1714" s="46"/>
      <c r="G1714" s="46"/>
      <c r="H1714" s="46"/>
      <c r="I1714" s="46"/>
      <c r="J1714" s="46"/>
      <c r="K1714" s="46"/>
      <c r="L1714" s="46"/>
      <c r="M1714" s="46"/>
      <c r="N1714" s="46"/>
      <c r="O1714" s="46"/>
      <c r="P1714" s="46"/>
      <c r="Q1714" s="46"/>
      <c r="R1714" s="46"/>
      <c r="S1714" s="46"/>
      <c r="T1714" s="46"/>
      <c r="U1714" s="46"/>
      <c r="V1714" s="46"/>
      <c r="W1714" s="46"/>
      <c r="X1714" s="46"/>
    </row>
    <row r="1715" spans="1:24" ht="12.75" x14ac:dyDescent="0.2">
      <c r="A1715" s="45"/>
      <c r="B1715" s="46"/>
      <c r="C1715" s="46"/>
      <c r="D1715" s="46"/>
      <c r="E1715" s="46"/>
      <c r="F1715" s="46"/>
      <c r="G1715" s="46"/>
      <c r="H1715" s="46"/>
      <c r="I1715" s="46"/>
      <c r="J1715" s="46"/>
      <c r="K1715" s="46"/>
      <c r="L1715" s="46"/>
      <c r="M1715" s="46"/>
      <c r="N1715" s="46"/>
      <c r="O1715" s="46"/>
      <c r="P1715" s="46"/>
      <c r="Q1715" s="46"/>
      <c r="R1715" s="46"/>
      <c r="S1715" s="46"/>
      <c r="T1715" s="46"/>
      <c r="U1715" s="46"/>
      <c r="V1715" s="46"/>
      <c r="W1715" s="46"/>
      <c r="X1715" s="46"/>
    </row>
    <row r="1716" spans="1:24" ht="12.75" x14ac:dyDescent="0.2">
      <c r="A1716" s="45"/>
      <c r="B1716" s="46"/>
      <c r="C1716" s="46"/>
      <c r="D1716" s="46"/>
      <c r="E1716" s="46"/>
      <c r="F1716" s="46"/>
      <c r="G1716" s="46"/>
      <c r="H1716" s="46"/>
      <c r="I1716" s="46"/>
      <c r="J1716" s="46"/>
      <c r="K1716" s="46"/>
      <c r="L1716" s="46"/>
      <c r="M1716" s="46"/>
      <c r="N1716" s="46"/>
      <c r="O1716" s="46"/>
      <c r="P1716" s="46"/>
      <c r="Q1716" s="46"/>
      <c r="R1716" s="46"/>
      <c r="S1716" s="46"/>
      <c r="T1716" s="46"/>
      <c r="U1716" s="46"/>
      <c r="V1716" s="46"/>
      <c r="W1716" s="46"/>
      <c r="X1716" s="46"/>
    </row>
    <row r="1717" spans="1:24" ht="12.75" x14ac:dyDescent="0.2">
      <c r="A1717" s="45"/>
      <c r="B1717" s="46"/>
      <c r="C1717" s="46"/>
      <c r="D1717" s="46"/>
      <c r="E1717" s="46"/>
      <c r="F1717" s="46"/>
      <c r="G1717" s="46"/>
      <c r="H1717" s="46"/>
      <c r="I1717" s="46"/>
      <c r="J1717" s="46"/>
      <c r="K1717" s="46"/>
      <c r="L1717" s="46"/>
      <c r="M1717" s="46"/>
      <c r="N1717" s="46"/>
      <c r="O1717" s="46"/>
      <c r="P1717" s="46"/>
      <c r="Q1717" s="46"/>
      <c r="R1717" s="46"/>
      <c r="S1717" s="46"/>
      <c r="T1717" s="46"/>
      <c r="U1717" s="46"/>
      <c r="V1717" s="46"/>
      <c r="W1717" s="46"/>
      <c r="X1717" s="46"/>
    </row>
    <row r="1718" spans="1:24" ht="12.75" x14ac:dyDescent="0.2">
      <c r="A1718" s="45"/>
      <c r="B1718" s="46"/>
      <c r="C1718" s="46"/>
      <c r="D1718" s="46"/>
      <c r="E1718" s="46"/>
      <c r="F1718" s="46"/>
      <c r="G1718" s="46"/>
      <c r="H1718" s="46"/>
      <c r="I1718" s="46"/>
      <c r="J1718" s="46"/>
      <c r="K1718" s="46"/>
      <c r="L1718" s="46"/>
      <c r="M1718" s="46"/>
      <c r="N1718" s="46"/>
      <c r="O1718" s="46"/>
      <c r="P1718" s="46"/>
      <c r="Q1718" s="46"/>
      <c r="R1718" s="46"/>
      <c r="S1718" s="46"/>
      <c r="T1718" s="46"/>
      <c r="U1718" s="46"/>
      <c r="V1718" s="46"/>
      <c r="W1718" s="46"/>
      <c r="X1718" s="46"/>
    </row>
    <row r="1719" spans="1:24" ht="12.75" x14ac:dyDescent="0.2">
      <c r="A1719" s="45"/>
      <c r="B1719" s="46"/>
      <c r="C1719" s="46"/>
      <c r="D1719" s="46"/>
      <c r="E1719" s="46"/>
      <c r="F1719" s="46"/>
      <c r="G1719" s="46"/>
      <c r="H1719" s="46"/>
      <c r="I1719" s="46"/>
      <c r="J1719" s="46"/>
      <c r="K1719" s="46"/>
      <c r="L1719" s="46"/>
      <c r="M1719" s="46"/>
      <c r="N1719" s="46"/>
      <c r="O1719" s="46"/>
      <c r="P1719" s="46"/>
      <c r="Q1719" s="46"/>
      <c r="R1719" s="46"/>
      <c r="S1719" s="46"/>
      <c r="T1719" s="46"/>
      <c r="U1719" s="46"/>
      <c r="V1719" s="46"/>
      <c r="W1719" s="46"/>
      <c r="X1719" s="46"/>
    </row>
    <row r="1720" spans="1:24" ht="12.75" x14ac:dyDescent="0.2">
      <c r="A1720" s="45"/>
      <c r="B1720" s="46"/>
      <c r="C1720" s="46"/>
      <c r="D1720" s="46"/>
      <c r="E1720" s="46"/>
      <c r="F1720" s="46"/>
      <c r="G1720" s="46"/>
      <c r="H1720" s="46"/>
      <c r="I1720" s="46"/>
      <c r="J1720" s="46"/>
      <c r="K1720" s="46"/>
      <c r="L1720" s="46"/>
      <c r="M1720" s="46"/>
      <c r="N1720" s="46"/>
      <c r="O1720" s="46"/>
      <c r="P1720" s="46"/>
      <c r="Q1720" s="46"/>
      <c r="R1720" s="46"/>
      <c r="S1720" s="46"/>
      <c r="T1720" s="46"/>
      <c r="U1720" s="46"/>
      <c r="V1720" s="46"/>
      <c r="W1720" s="46"/>
      <c r="X1720" s="46"/>
    </row>
    <row r="1721" spans="1:24" ht="12.75" x14ac:dyDescent="0.2">
      <c r="A1721" s="45"/>
      <c r="B1721" s="46"/>
      <c r="C1721" s="46"/>
      <c r="D1721" s="46"/>
      <c r="E1721" s="46"/>
      <c r="F1721" s="46"/>
      <c r="G1721" s="46"/>
      <c r="H1721" s="46"/>
      <c r="I1721" s="46"/>
      <c r="J1721" s="46"/>
      <c r="K1721" s="46"/>
      <c r="L1721" s="46"/>
      <c r="M1721" s="46"/>
      <c r="N1721" s="46"/>
      <c r="O1721" s="46"/>
      <c r="P1721" s="46"/>
      <c r="Q1721" s="46"/>
      <c r="R1721" s="46"/>
      <c r="S1721" s="46"/>
      <c r="T1721" s="46"/>
      <c r="U1721" s="46"/>
      <c r="V1721" s="46"/>
      <c r="W1721" s="46"/>
      <c r="X1721" s="46"/>
    </row>
    <row r="1722" spans="1:24" ht="12.75" x14ac:dyDescent="0.2">
      <c r="A1722" s="45"/>
      <c r="B1722" s="46"/>
      <c r="C1722" s="46"/>
      <c r="D1722" s="46"/>
      <c r="E1722" s="46"/>
      <c r="F1722" s="46"/>
      <c r="G1722" s="46"/>
      <c r="H1722" s="46"/>
      <c r="I1722" s="46"/>
      <c r="J1722" s="46"/>
      <c r="K1722" s="46"/>
      <c r="L1722" s="46"/>
      <c r="M1722" s="46"/>
      <c r="N1722" s="46"/>
      <c r="O1722" s="46"/>
      <c r="P1722" s="46"/>
      <c r="Q1722" s="46"/>
      <c r="R1722" s="46"/>
      <c r="S1722" s="46"/>
      <c r="T1722" s="46"/>
      <c r="U1722" s="46"/>
      <c r="V1722" s="46"/>
      <c r="W1722" s="46"/>
      <c r="X1722" s="46"/>
    </row>
    <row r="1723" spans="1:24" ht="12.75" x14ac:dyDescent="0.2">
      <c r="A1723" s="45"/>
      <c r="B1723" s="46"/>
      <c r="C1723" s="46"/>
      <c r="D1723" s="46"/>
      <c r="E1723" s="46"/>
      <c r="F1723" s="46"/>
      <c r="G1723" s="46"/>
      <c r="H1723" s="46"/>
      <c r="I1723" s="46"/>
      <c r="J1723" s="46"/>
      <c r="K1723" s="46"/>
      <c r="L1723" s="46"/>
      <c r="M1723" s="46"/>
      <c r="N1723" s="46"/>
      <c r="O1723" s="46"/>
      <c r="P1723" s="46"/>
      <c r="Q1723" s="46"/>
      <c r="R1723" s="46"/>
      <c r="S1723" s="46"/>
      <c r="T1723" s="46"/>
      <c r="U1723" s="46"/>
      <c r="V1723" s="46"/>
      <c r="W1723" s="46"/>
      <c r="X1723" s="46"/>
    </row>
    <row r="1724" spans="1:24" ht="12.75" x14ac:dyDescent="0.2">
      <c r="A1724" s="45"/>
      <c r="B1724" s="46"/>
      <c r="C1724" s="46"/>
      <c r="D1724" s="46"/>
      <c r="E1724" s="46"/>
      <c r="F1724" s="46"/>
      <c r="G1724" s="46"/>
      <c r="H1724" s="46"/>
      <c r="I1724" s="46"/>
      <c r="J1724" s="46"/>
      <c r="K1724" s="46"/>
      <c r="L1724" s="46"/>
      <c r="M1724" s="46"/>
      <c r="N1724" s="46"/>
      <c r="O1724" s="46"/>
      <c r="P1724" s="46"/>
      <c r="Q1724" s="46"/>
      <c r="R1724" s="46"/>
      <c r="S1724" s="46"/>
      <c r="T1724" s="46"/>
      <c r="U1724" s="46"/>
      <c r="V1724" s="46"/>
      <c r="W1724" s="46"/>
      <c r="X1724" s="46"/>
    </row>
    <row r="1725" spans="1:24" ht="12.75" x14ac:dyDescent="0.2">
      <c r="A1725" s="45"/>
      <c r="B1725" s="46"/>
      <c r="C1725" s="46"/>
      <c r="D1725" s="46"/>
      <c r="E1725" s="46"/>
      <c r="F1725" s="46"/>
      <c r="G1725" s="46"/>
      <c r="H1725" s="46"/>
      <c r="I1725" s="46"/>
      <c r="J1725" s="46"/>
      <c r="K1725" s="46"/>
      <c r="L1725" s="46"/>
      <c r="M1725" s="46"/>
      <c r="N1725" s="46"/>
      <c r="O1725" s="46"/>
      <c r="P1725" s="46"/>
      <c r="Q1725" s="46"/>
      <c r="R1725" s="46"/>
      <c r="S1725" s="46"/>
      <c r="T1725" s="46"/>
      <c r="U1725" s="46"/>
      <c r="V1725" s="46"/>
      <c r="W1725" s="46"/>
      <c r="X1725" s="46"/>
    </row>
    <row r="1726" spans="1:24" ht="12.75" x14ac:dyDescent="0.2">
      <c r="A1726" s="45"/>
      <c r="B1726" s="46"/>
      <c r="C1726" s="46"/>
      <c r="D1726" s="46"/>
      <c r="E1726" s="46"/>
      <c r="F1726" s="46"/>
      <c r="G1726" s="46"/>
      <c r="H1726" s="46"/>
      <c r="I1726" s="46"/>
      <c r="J1726" s="46"/>
      <c r="K1726" s="46"/>
      <c r="L1726" s="46"/>
      <c r="M1726" s="46"/>
      <c r="N1726" s="46"/>
      <c r="O1726" s="46"/>
      <c r="P1726" s="46"/>
      <c r="Q1726" s="46"/>
      <c r="R1726" s="46"/>
      <c r="S1726" s="46"/>
      <c r="T1726" s="46"/>
      <c r="U1726" s="46"/>
      <c r="V1726" s="46"/>
      <c r="W1726" s="46"/>
      <c r="X1726" s="46"/>
    </row>
    <row r="1727" spans="1:24" ht="12.75" x14ac:dyDescent="0.2">
      <c r="A1727" s="45"/>
      <c r="B1727" s="46"/>
      <c r="C1727" s="46"/>
      <c r="D1727" s="46"/>
      <c r="E1727" s="46"/>
      <c r="F1727" s="46"/>
      <c r="G1727" s="46"/>
      <c r="H1727" s="46"/>
      <c r="I1727" s="46"/>
      <c r="J1727" s="46"/>
      <c r="K1727" s="46"/>
      <c r="L1727" s="46"/>
      <c r="M1727" s="46"/>
      <c r="N1727" s="46"/>
      <c r="O1727" s="46"/>
      <c r="P1727" s="46"/>
      <c r="Q1727" s="46"/>
      <c r="R1727" s="46"/>
      <c r="S1727" s="46"/>
      <c r="T1727" s="46"/>
      <c r="U1727" s="46"/>
      <c r="V1727" s="46"/>
      <c r="W1727" s="46"/>
      <c r="X1727" s="46"/>
    </row>
    <row r="1728" spans="1:24" ht="12.75" x14ac:dyDescent="0.2">
      <c r="A1728" s="45"/>
      <c r="B1728" s="46"/>
      <c r="C1728" s="46"/>
      <c r="D1728" s="46"/>
      <c r="E1728" s="46"/>
      <c r="F1728" s="46"/>
      <c r="G1728" s="46"/>
      <c r="H1728" s="46"/>
      <c r="I1728" s="46"/>
      <c r="J1728" s="46"/>
      <c r="K1728" s="46"/>
      <c r="L1728" s="46"/>
      <c r="M1728" s="46"/>
      <c r="N1728" s="46"/>
      <c r="O1728" s="46"/>
      <c r="P1728" s="46"/>
      <c r="Q1728" s="46"/>
      <c r="R1728" s="46"/>
      <c r="S1728" s="46"/>
      <c r="T1728" s="46"/>
      <c r="U1728" s="46"/>
      <c r="V1728" s="46"/>
      <c r="W1728" s="46"/>
      <c r="X1728" s="46"/>
    </row>
    <row r="1729" spans="1:24" ht="12.75" x14ac:dyDescent="0.2">
      <c r="A1729" s="45"/>
      <c r="B1729" s="46"/>
      <c r="C1729" s="46"/>
      <c r="D1729" s="46"/>
      <c r="E1729" s="46"/>
      <c r="F1729" s="46"/>
      <c r="G1729" s="46"/>
      <c r="H1729" s="46"/>
      <c r="I1729" s="46"/>
      <c r="J1729" s="46"/>
      <c r="K1729" s="46"/>
      <c r="L1729" s="46"/>
      <c r="M1729" s="46"/>
      <c r="N1729" s="46"/>
      <c r="O1729" s="46"/>
      <c r="P1729" s="46"/>
      <c r="Q1729" s="46"/>
      <c r="R1729" s="46"/>
      <c r="S1729" s="46"/>
      <c r="T1729" s="46"/>
      <c r="U1729" s="46"/>
      <c r="V1729" s="46"/>
      <c r="W1729" s="46"/>
      <c r="X1729" s="46"/>
    </row>
    <row r="1730" spans="1:24" ht="12.75" x14ac:dyDescent="0.2">
      <c r="A1730" s="45"/>
      <c r="B1730" s="46"/>
      <c r="C1730" s="46"/>
      <c r="D1730" s="46"/>
      <c r="E1730" s="46"/>
      <c r="F1730" s="46"/>
      <c r="G1730" s="46"/>
      <c r="H1730" s="46"/>
      <c r="I1730" s="46"/>
      <c r="J1730" s="46"/>
      <c r="K1730" s="46"/>
      <c r="L1730" s="46"/>
      <c r="M1730" s="46"/>
      <c r="N1730" s="46"/>
      <c r="O1730" s="46"/>
      <c r="P1730" s="46"/>
      <c r="Q1730" s="46"/>
      <c r="R1730" s="46"/>
      <c r="S1730" s="46"/>
      <c r="T1730" s="46"/>
      <c r="U1730" s="46"/>
      <c r="V1730" s="46"/>
      <c r="W1730" s="46"/>
      <c r="X1730" s="46"/>
    </row>
    <row r="1731" spans="1:24" ht="12.75" x14ac:dyDescent="0.2">
      <c r="A1731" s="45"/>
      <c r="B1731" s="46"/>
      <c r="C1731" s="46"/>
      <c r="D1731" s="46"/>
      <c r="E1731" s="46"/>
      <c r="F1731" s="46"/>
      <c r="G1731" s="46"/>
      <c r="H1731" s="46"/>
      <c r="I1731" s="46"/>
      <c r="J1731" s="46"/>
      <c r="K1731" s="46"/>
      <c r="L1731" s="46"/>
      <c r="M1731" s="46"/>
      <c r="N1731" s="46"/>
      <c r="O1731" s="46"/>
      <c r="P1731" s="46"/>
      <c r="Q1731" s="46"/>
      <c r="R1731" s="46"/>
      <c r="S1731" s="46"/>
      <c r="T1731" s="46"/>
      <c r="U1731" s="46"/>
      <c r="V1731" s="46"/>
      <c r="W1731" s="46"/>
      <c r="X1731" s="46"/>
    </row>
    <row r="1732" spans="1:24" ht="12.75" x14ac:dyDescent="0.2">
      <c r="A1732" s="45"/>
      <c r="B1732" s="46"/>
      <c r="C1732" s="46"/>
      <c r="D1732" s="46"/>
      <c r="E1732" s="46"/>
      <c r="F1732" s="46"/>
      <c r="G1732" s="46"/>
      <c r="H1732" s="46"/>
      <c r="I1732" s="46"/>
      <c r="J1732" s="46"/>
      <c r="K1732" s="46"/>
      <c r="L1732" s="46"/>
      <c r="M1732" s="46"/>
      <c r="N1732" s="46"/>
      <c r="O1732" s="46"/>
      <c r="P1732" s="46"/>
      <c r="Q1732" s="46"/>
      <c r="R1732" s="46"/>
      <c r="S1732" s="46"/>
      <c r="T1732" s="46"/>
      <c r="U1732" s="46"/>
      <c r="V1732" s="46"/>
      <c r="W1732" s="46"/>
      <c r="X1732" s="46"/>
    </row>
    <row r="1733" spans="1:24" ht="12.75" x14ac:dyDescent="0.2">
      <c r="A1733" s="45"/>
      <c r="B1733" s="46"/>
      <c r="C1733" s="46"/>
      <c r="D1733" s="46"/>
      <c r="E1733" s="46"/>
      <c r="F1733" s="46"/>
      <c r="G1733" s="46"/>
      <c r="H1733" s="46"/>
      <c r="I1733" s="46"/>
      <c r="J1733" s="46"/>
      <c r="K1733" s="46"/>
      <c r="L1733" s="46"/>
      <c r="M1733" s="46"/>
      <c r="N1733" s="46"/>
      <c r="O1733" s="46"/>
      <c r="P1733" s="46"/>
      <c r="Q1733" s="46"/>
      <c r="R1733" s="46"/>
      <c r="S1733" s="46"/>
      <c r="T1733" s="46"/>
      <c r="U1733" s="46"/>
      <c r="V1733" s="46"/>
      <c r="W1733" s="46"/>
      <c r="X1733" s="46"/>
    </row>
    <row r="1734" spans="1:24" ht="12.75" x14ac:dyDescent="0.2">
      <c r="A1734" s="45"/>
      <c r="B1734" s="46"/>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46"/>
    </row>
    <row r="1735" spans="1:24" ht="12.75" x14ac:dyDescent="0.2">
      <c r="A1735" s="45"/>
      <c r="B1735" s="46"/>
      <c r="C1735" s="46"/>
      <c r="D1735" s="46"/>
      <c r="E1735" s="46"/>
      <c r="F1735" s="46"/>
      <c r="G1735" s="46"/>
      <c r="H1735" s="46"/>
      <c r="I1735" s="46"/>
      <c r="J1735" s="46"/>
      <c r="K1735" s="46"/>
      <c r="L1735" s="46"/>
      <c r="M1735" s="46"/>
      <c r="N1735" s="46"/>
      <c r="O1735" s="46"/>
      <c r="P1735" s="46"/>
      <c r="Q1735" s="46"/>
      <c r="R1735" s="46"/>
      <c r="S1735" s="46"/>
      <c r="T1735" s="46"/>
      <c r="U1735" s="46"/>
      <c r="V1735" s="46"/>
      <c r="W1735" s="46"/>
      <c r="X1735" s="46"/>
    </row>
    <row r="1736" spans="1:24" ht="12.75" x14ac:dyDescent="0.2">
      <c r="A1736" s="45"/>
      <c r="B1736" s="46"/>
      <c r="C1736" s="46"/>
      <c r="D1736" s="46"/>
      <c r="E1736" s="46"/>
      <c r="F1736" s="46"/>
      <c r="G1736" s="46"/>
      <c r="H1736" s="46"/>
      <c r="I1736" s="46"/>
      <c r="J1736" s="46"/>
      <c r="K1736" s="46"/>
      <c r="L1736" s="46"/>
      <c r="M1736" s="46"/>
      <c r="N1736" s="46"/>
      <c r="O1736" s="46"/>
      <c r="P1736" s="46"/>
      <c r="Q1736" s="46"/>
      <c r="R1736" s="46"/>
      <c r="S1736" s="46"/>
      <c r="T1736" s="46"/>
      <c r="U1736" s="46"/>
      <c r="V1736" s="46"/>
      <c r="W1736" s="46"/>
      <c r="X1736" s="46"/>
    </row>
    <row r="1737" spans="1:24" ht="12.75" x14ac:dyDescent="0.2">
      <c r="A1737" s="45"/>
      <c r="B1737" s="46"/>
      <c r="C1737" s="46"/>
      <c r="D1737" s="46"/>
      <c r="E1737" s="46"/>
      <c r="F1737" s="46"/>
      <c r="G1737" s="46"/>
      <c r="H1737" s="46"/>
      <c r="I1737" s="46"/>
      <c r="J1737" s="46"/>
      <c r="K1737" s="46"/>
      <c r="L1737" s="46"/>
      <c r="M1737" s="46"/>
      <c r="N1737" s="46"/>
      <c r="O1737" s="46"/>
      <c r="P1737" s="46"/>
      <c r="Q1737" s="46"/>
      <c r="R1737" s="46"/>
      <c r="S1737" s="46"/>
      <c r="T1737" s="46"/>
      <c r="U1737" s="46"/>
      <c r="V1737" s="46"/>
      <c r="W1737" s="46"/>
      <c r="X1737" s="46"/>
    </row>
    <row r="1738" spans="1:24" ht="12.75" x14ac:dyDescent="0.2">
      <c r="A1738" s="45"/>
      <c r="B1738" s="46"/>
      <c r="C1738" s="46"/>
      <c r="D1738" s="46"/>
      <c r="E1738" s="46"/>
      <c r="F1738" s="46"/>
      <c r="G1738" s="46"/>
      <c r="H1738" s="46"/>
      <c r="I1738" s="46"/>
      <c r="J1738" s="46"/>
      <c r="K1738" s="46"/>
      <c r="L1738" s="46"/>
      <c r="M1738" s="46"/>
      <c r="N1738" s="46"/>
      <c r="O1738" s="46"/>
      <c r="P1738" s="46"/>
      <c r="Q1738" s="46"/>
      <c r="R1738" s="46"/>
      <c r="S1738" s="46"/>
      <c r="T1738" s="46"/>
      <c r="U1738" s="46"/>
      <c r="V1738" s="46"/>
      <c r="W1738" s="46"/>
      <c r="X1738" s="46"/>
    </row>
    <row r="1739" spans="1:24" ht="12.75" x14ac:dyDescent="0.2">
      <c r="A1739" s="45"/>
      <c r="B1739" s="46"/>
      <c r="C1739" s="46"/>
      <c r="D1739" s="46"/>
      <c r="E1739" s="46"/>
      <c r="F1739" s="46"/>
      <c r="G1739" s="46"/>
      <c r="H1739" s="46"/>
      <c r="I1739" s="46"/>
      <c r="J1739" s="46"/>
      <c r="K1739" s="46"/>
      <c r="L1739" s="46"/>
      <c r="M1739" s="46"/>
      <c r="N1739" s="46"/>
      <c r="O1739" s="46"/>
      <c r="P1739" s="46"/>
      <c r="Q1739" s="46"/>
      <c r="R1739" s="46"/>
      <c r="S1739" s="46"/>
      <c r="T1739" s="46"/>
      <c r="U1739" s="46"/>
      <c r="V1739" s="46"/>
      <c r="W1739" s="46"/>
      <c r="X1739" s="46"/>
    </row>
    <row r="1740" spans="1:24" ht="12.75" x14ac:dyDescent="0.2">
      <c r="A1740" s="45"/>
      <c r="B1740" s="46"/>
      <c r="C1740" s="46"/>
      <c r="D1740" s="46"/>
      <c r="E1740" s="46"/>
      <c r="F1740" s="46"/>
      <c r="G1740" s="46"/>
      <c r="H1740" s="46"/>
      <c r="I1740" s="46"/>
      <c r="J1740" s="46"/>
      <c r="K1740" s="46"/>
      <c r="L1740" s="46"/>
      <c r="M1740" s="46"/>
      <c r="N1740" s="46"/>
      <c r="O1740" s="46"/>
      <c r="P1740" s="46"/>
      <c r="Q1740" s="46"/>
      <c r="R1740" s="46"/>
      <c r="S1740" s="46"/>
      <c r="T1740" s="46"/>
      <c r="U1740" s="46"/>
      <c r="V1740" s="46"/>
      <c r="W1740" s="46"/>
      <c r="X1740" s="46"/>
    </row>
    <row r="1741" spans="1:24" ht="12.75" x14ac:dyDescent="0.2">
      <c r="A1741" s="45"/>
      <c r="B1741" s="46"/>
      <c r="C1741" s="46"/>
      <c r="D1741" s="46"/>
      <c r="E1741" s="46"/>
      <c r="F1741" s="46"/>
      <c r="G1741" s="46"/>
      <c r="H1741" s="46"/>
      <c r="I1741" s="46"/>
      <c r="J1741" s="46"/>
      <c r="K1741" s="46"/>
      <c r="L1741" s="46"/>
      <c r="M1741" s="46"/>
      <c r="N1741" s="46"/>
      <c r="O1741" s="46"/>
      <c r="P1741" s="46"/>
      <c r="Q1741" s="46"/>
      <c r="R1741" s="46"/>
      <c r="S1741" s="46"/>
      <c r="T1741" s="46"/>
      <c r="U1741" s="46"/>
      <c r="V1741" s="46"/>
      <c r="W1741" s="46"/>
      <c r="X1741" s="46"/>
    </row>
    <row r="1742" spans="1:24" ht="12.75" x14ac:dyDescent="0.2">
      <c r="A1742" s="45"/>
      <c r="B1742" s="46"/>
      <c r="C1742" s="46"/>
      <c r="D1742" s="46"/>
      <c r="E1742" s="46"/>
      <c r="F1742" s="46"/>
      <c r="G1742" s="46"/>
      <c r="H1742" s="46"/>
      <c r="I1742" s="46"/>
      <c r="J1742" s="46"/>
      <c r="K1742" s="46"/>
      <c r="L1742" s="46"/>
      <c r="M1742" s="46"/>
      <c r="N1742" s="46"/>
      <c r="O1742" s="46"/>
      <c r="P1742" s="46"/>
      <c r="Q1742" s="46"/>
      <c r="R1742" s="46"/>
      <c r="S1742" s="46"/>
      <c r="T1742" s="46"/>
      <c r="U1742" s="46"/>
      <c r="V1742" s="46"/>
      <c r="W1742" s="46"/>
      <c r="X1742" s="46"/>
    </row>
    <row r="1743" spans="1:24" ht="12.75" x14ac:dyDescent="0.2">
      <c r="A1743" s="45"/>
      <c r="B1743" s="46"/>
      <c r="C1743" s="46"/>
      <c r="D1743" s="46"/>
      <c r="E1743" s="46"/>
      <c r="F1743" s="46"/>
      <c r="G1743" s="46"/>
      <c r="H1743" s="46"/>
      <c r="I1743" s="46"/>
      <c r="J1743" s="46"/>
      <c r="K1743" s="46"/>
      <c r="L1743" s="46"/>
      <c r="M1743" s="46"/>
      <c r="N1743" s="46"/>
      <c r="O1743" s="46"/>
      <c r="P1743" s="46"/>
      <c r="Q1743" s="46"/>
      <c r="R1743" s="46"/>
      <c r="S1743" s="46"/>
      <c r="T1743" s="46"/>
      <c r="U1743" s="46"/>
      <c r="V1743" s="46"/>
      <c r="W1743" s="46"/>
      <c r="X1743" s="46"/>
    </row>
    <row r="1744" spans="1:24" ht="12.75" x14ac:dyDescent="0.2">
      <c r="A1744" s="45"/>
      <c r="B1744" s="46"/>
      <c r="C1744" s="46"/>
      <c r="D1744" s="46"/>
      <c r="E1744" s="46"/>
      <c r="F1744" s="46"/>
      <c r="G1744" s="46"/>
      <c r="H1744" s="46"/>
      <c r="I1744" s="46"/>
      <c r="J1744" s="46"/>
      <c r="K1744" s="46"/>
      <c r="L1744" s="46"/>
      <c r="M1744" s="46"/>
      <c r="N1744" s="46"/>
      <c r="O1744" s="46"/>
      <c r="P1744" s="46"/>
      <c r="Q1744" s="46"/>
      <c r="R1744" s="46"/>
      <c r="S1744" s="46"/>
      <c r="T1744" s="46"/>
      <c r="U1744" s="46"/>
      <c r="V1744" s="46"/>
      <c r="W1744" s="46"/>
      <c r="X1744" s="46"/>
    </row>
    <row r="1745" spans="1:24" ht="12.75" x14ac:dyDescent="0.2">
      <c r="A1745" s="45"/>
      <c r="B1745" s="46"/>
      <c r="C1745" s="46"/>
      <c r="D1745" s="46"/>
      <c r="E1745" s="46"/>
      <c r="F1745" s="46"/>
      <c r="G1745" s="46"/>
      <c r="H1745" s="46"/>
      <c r="I1745" s="46"/>
      <c r="J1745" s="46"/>
      <c r="K1745" s="46"/>
      <c r="L1745" s="46"/>
      <c r="M1745" s="46"/>
      <c r="N1745" s="46"/>
      <c r="O1745" s="46"/>
      <c r="P1745" s="46"/>
      <c r="Q1745" s="46"/>
      <c r="R1745" s="46"/>
      <c r="S1745" s="46"/>
      <c r="T1745" s="46"/>
      <c r="U1745" s="46"/>
      <c r="V1745" s="46"/>
      <c r="W1745" s="46"/>
      <c r="X1745" s="46"/>
    </row>
    <row r="1746" spans="1:24" ht="12.75" x14ac:dyDescent="0.2">
      <c r="A1746" s="45"/>
      <c r="B1746" s="46"/>
      <c r="C1746" s="46"/>
      <c r="D1746" s="46"/>
      <c r="E1746" s="46"/>
      <c r="F1746" s="46"/>
      <c r="G1746" s="46"/>
      <c r="H1746" s="46"/>
      <c r="I1746" s="46"/>
      <c r="J1746" s="46"/>
      <c r="K1746" s="46"/>
      <c r="L1746" s="46"/>
      <c r="M1746" s="46"/>
      <c r="N1746" s="46"/>
      <c r="O1746" s="46"/>
      <c r="P1746" s="46"/>
      <c r="Q1746" s="46"/>
      <c r="R1746" s="46"/>
      <c r="S1746" s="46"/>
      <c r="T1746" s="46"/>
      <c r="U1746" s="46"/>
      <c r="V1746" s="46"/>
      <c r="W1746" s="46"/>
      <c r="X1746" s="46"/>
    </row>
    <row r="1747" spans="1:24" ht="12.75" x14ac:dyDescent="0.2">
      <c r="A1747" s="45"/>
      <c r="B1747" s="46"/>
      <c r="C1747" s="46"/>
      <c r="D1747" s="46"/>
      <c r="E1747" s="46"/>
      <c r="F1747" s="46"/>
      <c r="G1747" s="46"/>
      <c r="H1747" s="46"/>
      <c r="I1747" s="46"/>
      <c r="J1747" s="46"/>
      <c r="K1747" s="46"/>
      <c r="L1747" s="46"/>
      <c r="M1747" s="46"/>
      <c r="N1747" s="46"/>
      <c r="O1747" s="46"/>
      <c r="P1747" s="46"/>
      <c r="Q1747" s="46"/>
      <c r="R1747" s="46"/>
      <c r="S1747" s="46"/>
      <c r="T1747" s="46"/>
      <c r="U1747" s="46"/>
      <c r="V1747" s="46"/>
      <c r="W1747" s="46"/>
      <c r="X1747" s="46"/>
    </row>
    <row r="1748" spans="1:24" ht="12.75" x14ac:dyDescent="0.2">
      <c r="A1748" s="45"/>
      <c r="B1748" s="46"/>
      <c r="C1748" s="46"/>
      <c r="D1748" s="46"/>
      <c r="E1748" s="46"/>
      <c r="F1748" s="46"/>
      <c r="G1748" s="46"/>
      <c r="H1748" s="46"/>
      <c r="I1748" s="46"/>
      <c r="J1748" s="46"/>
      <c r="K1748" s="46"/>
      <c r="L1748" s="46"/>
      <c r="M1748" s="46"/>
      <c r="N1748" s="46"/>
      <c r="O1748" s="46"/>
      <c r="P1748" s="46"/>
      <c r="Q1748" s="46"/>
      <c r="R1748" s="46"/>
      <c r="S1748" s="46"/>
      <c r="T1748" s="46"/>
      <c r="U1748" s="46"/>
      <c r="V1748" s="46"/>
      <c r="W1748" s="46"/>
      <c r="X1748" s="46"/>
    </row>
    <row r="1749" spans="1:24" ht="12.75" x14ac:dyDescent="0.2">
      <c r="A1749" s="45"/>
      <c r="B1749" s="46"/>
      <c r="C1749" s="46"/>
      <c r="D1749" s="46"/>
      <c r="E1749" s="46"/>
      <c r="F1749" s="46"/>
      <c r="G1749" s="46"/>
      <c r="H1749" s="46"/>
      <c r="I1749" s="46"/>
      <c r="J1749" s="46"/>
      <c r="K1749" s="46"/>
      <c r="L1749" s="46"/>
      <c r="M1749" s="46"/>
      <c r="N1749" s="46"/>
      <c r="O1749" s="46"/>
      <c r="P1749" s="46"/>
      <c r="Q1749" s="46"/>
      <c r="R1749" s="46"/>
      <c r="S1749" s="46"/>
      <c r="T1749" s="46"/>
      <c r="U1749" s="46"/>
      <c r="V1749" s="46"/>
      <c r="W1749" s="46"/>
      <c r="X1749" s="46"/>
    </row>
    <row r="1750" spans="1:24" ht="12.75" x14ac:dyDescent="0.2">
      <c r="A1750" s="45"/>
      <c r="B1750" s="46"/>
      <c r="C1750" s="46"/>
      <c r="D1750" s="46"/>
      <c r="E1750" s="46"/>
      <c r="F1750" s="46"/>
      <c r="G1750" s="46"/>
      <c r="H1750" s="46"/>
      <c r="I1750" s="46"/>
      <c r="J1750" s="46"/>
      <c r="K1750" s="46"/>
      <c r="L1750" s="46"/>
      <c r="M1750" s="46"/>
      <c r="N1750" s="46"/>
      <c r="O1750" s="46"/>
      <c r="P1750" s="46"/>
      <c r="Q1750" s="46"/>
      <c r="R1750" s="46"/>
      <c r="S1750" s="46"/>
      <c r="T1750" s="46"/>
      <c r="U1750" s="46"/>
      <c r="V1750" s="46"/>
      <c r="W1750" s="46"/>
      <c r="X1750" s="46"/>
    </row>
    <row r="1751" spans="1:24" ht="12.75" x14ac:dyDescent="0.2">
      <c r="A1751" s="45"/>
      <c r="B1751" s="46"/>
      <c r="C1751" s="46"/>
      <c r="D1751" s="46"/>
      <c r="E1751" s="46"/>
      <c r="F1751" s="46"/>
      <c r="G1751" s="46"/>
      <c r="H1751" s="46"/>
      <c r="I1751" s="46"/>
      <c r="J1751" s="46"/>
      <c r="K1751" s="46"/>
      <c r="L1751" s="46"/>
      <c r="M1751" s="46"/>
      <c r="N1751" s="46"/>
      <c r="O1751" s="46"/>
      <c r="P1751" s="46"/>
      <c r="Q1751" s="46"/>
      <c r="R1751" s="46"/>
      <c r="S1751" s="46"/>
      <c r="T1751" s="46"/>
      <c r="U1751" s="46"/>
      <c r="V1751" s="46"/>
      <c r="W1751" s="46"/>
      <c r="X1751" s="46"/>
    </row>
    <row r="1752" spans="1:24" ht="12.75" x14ac:dyDescent="0.2">
      <c r="A1752" s="45"/>
      <c r="B1752" s="46"/>
      <c r="C1752" s="46"/>
      <c r="D1752" s="46"/>
      <c r="E1752" s="46"/>
      <c r="F1752" s="46"/>
      <c r="G1752" s="46"/>
      <c r="H1752" s="46"/>
      <c r="I1752" s="46"/>
      <c r="J1752" s="46"/>
      <c r="K1752" s="46"/>
      <c r="L1752" s="46"/>
      <c r="M1752" s="46"/>
      <c r="N1752" s="46"/>
      <c r="O1752" s="46"/>
      <c r="P1752" s="46"/>
      <c r="Q1752" s="46"/>
      <c r="R1752" s="46"/>
      <c r="S1752" s="46"/>
      <c r="T1752" s="46"/>
      <c r="U1752" s="46"/>
      <c r="V1752" s="46"/>
      <c r="W1752" s="46"/>
      <c r="X1752" s="46"/>
    </row>
    <row r="1753" spans="1:24" ht="12.75" x14ac:dyDescent="0.2">
      <c r="A1753" s="45"/>
      <c r="B1753" s="46"/>
      <c r="C1753" s="46"/>
      <c r="D1753" s="46"/>
      <c r="E1753" s="46"/>
      <c r="F1753" s="46"/>
      <c r="G1753" s="46"/>
      <c r="H1753" s="46"/>
      <c r="I1753" s="46"/>
      <c r="J1753" s="46"/>
      <c r="K1753" s="46"/>
      <c r="L1753" s="46"/>
      <c r="M1753" s="46"/>
      <c r="N1753" s="46"/>
      <c r="O1753" s="46"/>
      <c r="P1753" s="46"/>
      <c r="Q1753" s="46"/>
      <c r="R1753" s="46"/>
      <c r="S1753" s="46"/>
      <c r="T1753" s="46"/>
      <c r="U1753" s="46"/>
      <c r="V1753" s="46"/>
      <c r="W1753" s="46"/>
      <c r="X1753" s="46"/>
    </row>
    <row r="1754" spans="1:24" ht="12.75" x14ac:dyDescent="0.2">
      <c r="A1754" s="45"/>
      <c r="B1754" s="46"/>
      <c r="C1754" s="46"/>
      <c r="D1754" s="46"/>
      <c r="E1754" s="46"/>
      <c r="F1754" s="46"/>
      <c r="G1754" s="46"/>
      <c r="H1754" s="46"/>
      <c r="I1754" s="46"/>
      <c r="J1754" s="46"/>
      <c r="K1754" s="46"/>
      <c r="L1754" s="46"/>
      <c r="M1754" s="46"/>
      <c r="N1754" s="46"/>
      <c r="O1754" s="46"/>
      <c r="P1754" s="46"/>
      <c r="Q1754" s="46"/>
      <c r="R1754" s="46"/>
      <c r="S1754" s="46"/>
      <c r="T1754" s="46"/>
      <c r="U1754" s="46"/>
      <c r="V1754" s="46"/>
      <c r="W1754" s="46"/>
      <c r="X1754" s="46"/>
    </row>
    <row r="1755" spans="1:24" ht="12.75" x14ac:dyDescent="0.2">
      <c r="A1755" s="45"/>
      <c r="B1755" s="46"/>
      <c r="C1755" s="46"/>
      <c r="D1755" s="46"/>
      <c r="E1755" s="46"/>
      <c r="F1755" s="46"/>
      <c r="G1755" s="46"/>
      <c r="H1755" s="46"/>
      <c r="I1755" s="46"/>
      <c r="J1755" s="46"/>
      <c r="K1755" s="46"/>
      <c r="L1755" s="46"/>
      <c r="M1755" s="46"/>
      <c r="N1755" s="46"/>
      <c r="O1755" s="46"/>
      <c r="P1755" s="46"/>
      <c r="Q1755" s="46"/>
      <c r="R1755" s="46"/>
      <c r="S1755" s="46"/>
      <c r="T1755" s="46"/>
      <c r="U1755" s="46"/>
      <c r="V1755" s="46"/>
      <c r="W1755" s="46"/>
      <c r="X1755" s="46"/>
    </row>
    <row r="1756" spans="1:24" ht="12.75" x14ac:dyDescent="0.2">
      <c r="A1756" s="45"/>
      <c r="B1756" s="46"/>
      <c r="C1756" s="46"/>
      <c r="D1756" s="46"/>
      <c r="E1756" s="46"/>
      <c r="F1756" s="46"/>
      <c r="G1756" s="46"/>
      <c r="H1756" s="46"/>
      <c r="I1756" s="46"/>
      <c r="J1756" s="46"/>
      <c r="K1756" s="46"/>
      <c r="L1756" s="46"/>
      <c r="M1756" s="46"/>
      <c r="N1756" s="46"/>
      <c r="O1756" s="46"/>
      <c r="P1756" s="46"/>
      <c r="Q1756" s="46"/>
      <c r="R1756" s="46"/>
      <c r="S1756" s="46"/>
      <c r="T1756" s="46"/>
      <c r="U1756" s="46"/>
      <c r="V1756" s="46"/>
      <c r="W1756" s="46"/>
      <c r="X1756" s="46"/>
    </row>
    <row r="1757" spans="1:24" ht="12.75" x14ac:dyDescent="0.2">
      <c r="A1757" s="45"/>
      <c r="B1757" s="46"/>
      <c r="C1757" s="46"/>
      <c r="D1757" s="46"/>
      <c r="E1757" s="46"/>
      <c r="F1757" s="46"/>
      <c r="G1757" s="46"/>
      <c r="H1757" s="46"/>
      <c r="I1757" s="46"/>
      <c r="J1757" s="46"/>
      <c r="K1757" s="46"/>
      <c r="L1757" s="46"/>
      <c r="M1757" s="46"/>
      <c r="N1757" s="46"/>
      <c r="O1757" s="46"/>
      <c r="P1757" s="46"/>
      <c r="Q1757" s="46"/>
      <c r="R1757" s="46"/>
      <c r="S1757" s="46"/>
      <c r="T1757" s="46"/>
      <c r="U1757" s="46"/>
      <c r="V1757" s="46"/>
      <c r="W1757" s="46"/>
      <c r="X1757" s="46"/>
    </row>
    <row r="1758" spans="1:24" ht="12.75" x14ac:dyDescent="0.2">
      <c r="A1758" s="45"/>
      <c r="B1758" s="46"/>
      <c r="C1758" s="46"/>
      <c r="D1758" s="46"/>
      <c r="E1758" s="46"/>
      <c r="F1758" s="46"/>
      <c r="G1758" s="46"/>
      <c r="H1758" s="46"/>
      <c r="I1758" s="46"/>
      <c r="J1758" s="46"/>
      <c r="K1758" s="46"/>
      <c r="L1758" s="46"/>
      <c r="M1758" s="46"/>
      <c r="N1758" s="46"/>
      <c r="O1758" s="46"/>
      <c r="P1758" s="46"/>
      <c r="Q1758" s="46"/>
      <c r="R1758" s="46"/>
      <c r="S1758" s="46"/>
      <c r="T1758" s="46"/>
      <c r="U1758" s="46"/>
      <c r="V1758" s="46"/>
      <c r="W1758" s="46"/>
      <c r="X1758" s="46"/>
    </row>
    <row r="1759" spans="1:24" ht="12.75" x14ac:dyDescent="0.2">
      <c r="A1759" s="45"/>
      <c r="B1759" s="46"/>
      <c r="C1759" s="46"/>
      <c r="D1759" s="46"/>
      <c r="E1759" s="46"/>
      <c r="F1759" s="46"/>
      <c r="G1759" s="46"/>
      <c r="H1759" s="46"/>
      <c r="I1759" s="46"/>
      <c r="J1759" s="46"/>
      <c r="K1759" s="46"/>
      <c r="L1759" s="46"/>
      <c r="M1759" s="46"/>
      <c r="N1759" s="46"/>
      <c r="O1759" s="46"/>
      <c r="P1759" s="46"/>
      <c r="Q1759" s="46"/>
      <c r="R1759" s="46"/>
      <c r="S1759" s="46"/>
      <c r="T1759" s="46"/>
      <c r="U1759" s="46"/>
      <c r="V1759" s="46"/>
      <c r="W1759" s="46"/>
      <c r="X1759" s="46"/>
    </row>
    <row r="1760" spans="1:24" ht="12.75" x14ac:dyDescent="0.2">
      <c r="A1760" s="45"/>
      <c r="B1760" s="46"/>
      <c r="C1760" s="46"/>
      <c r="D1760" s="46"/>
      <c r="E1760" s="46"/>
      <c r="F1760" s="46"/>
      <c r="G1760" s="46"/>
      <c r="H1760" s="46"/>
      <c r="I1760" s="46"/>
      <c r="J1760" s="46"/>
      <c r="K1760" s="46"/>
      <c r="L1760" s="46"/>
      <c r="M1760" s="46"/>
      <c r="N1760" s="46"/>
      <c r="O1760" s="46"/>
      <c r="P1760" s="46"/>
      <c r="Q1760" s="46"/>
      <c r="R1760" s="46"/>
      <c r="S1760" s="46"/>
      <c r="T1760" s="46"/>
      <c r="U1760" s="46"/>
      <c r="V1760" s="46"/>
      <c r="W1760" s="46"/>
      <c r="X1760" s="46"/>
    </row>
    <row r="1761" spans="1:24" ht="12.75" x14ac:dyDescent="0.2">
      <c r="A1761" s="45"/>
      <c r="B1761" s="46"/>
      <c r="C1761" s="46"/>
      <c r="D1761" s="46"/>
      <c r="E1761" s="46"/>
      <c r="F1761" s="46"/>
      <c r="G1761" s="46"/>
      <c r="H1761" s="46"/>
      <c r="I1761" s="46"/>
      <c r="J1761" s="46"/>
      <c r="K1761" s="46"/>
      <c r="L1761" s="46"/>
      <c r="M1761" s="46"/>
      <c r="N1761" s="46"/>
      <c r="O1761" s="46"/>
      <c r="P1761" s="46"/>
      <c r="Q1761" s="46"/>
      <c r="R1761" s="46"/>
      <c r="S1761" s="46"/>
      <c r="T1761" s="46"/>
      <c r="U1761" s="46"/>
      <c r="V1761" s="46"/>
      <c r="W1761" s="46"/>
      <c r="X1761" s="46"/>
    </row>
    <row r="1762" spans="1:24" ht="12.75" x14ac:dyDescent="0.2">
      <c r="A1762" s="45"/>
      <c r="B1762" s="46"/>
      <c r="C1762" s="46"/>
      <c r="D1762" s="46"/>
      <c r="E1762" s="46"/>
      <c r="F1762" s="46"/>
      <c r="G1762" s="46"/>
      <c r="H1762" s="46"/>
      <c r="I1762" s="46"/>
      <c r="J1762" s="46"/>
      <c r="K1762" s="46"/>
      <c r="L1762" s="46"/>
      <c r="M1762" s="46"/>
      <c r="N1762" s="46"/>
      <c r="O1762" s="46"/>
      <c r="P1762" s="46"/>
      <c r="Q1762" s="46"/>
      <c r="R1762" s="46"/>
      <c r="S1762" s="46"/>
      <c r="T1762" s="46"/>
      <c r="U1762" s="46"/>
      <c r="V1762" s="46"/>
      <c r="W1762" s="46"/>
      <c r="X1762" s="46"/>
    </row>
    <row r="1763" spans="1:24" ht="12.75" x14ac:dyDescent="0.2">
      <c r="A1763" s="45"/>
      <c r="B1763" s="46"/>
      <c r="C1763" s="46"/>
      <c r="D1763" s="46"/>
      <c r="E1763" s="46"/>
      <c r="F1763" s="46"/>
      <c r="G1763" s="46"/>
      <c r="H1763" s="46"/>
      <c r="I1763" s="46"/>
      <c r="J1763" s="46"/>
      <c r="K1763" s="46"/>
      <c r="L1763" s="46"/>
      <c r="M1763" s="46"/>
      <c r="N1763" s="46"/>
      <c r="O1763" s="46"/>
      <c r="P1763" s="46"/>
      <c r="Q1763" s="46"/>
      <c r="R1763" s="46"/>
      <c r="S1763" s="46"/>
      <c r="T1763" s="46"/>
      <c r="U1763" s="46"/>
      <c r="V1763" s="46"/>
      <c r="W1763" s="46"/>
      <c r="X1763" s="46"/>
    </row>
    <row r="1764" spans="1:24" ht="12.75" x14ac:dyDescent="0.2">
      <c r="A1764" s="45"/>
      <c r="B1764" s="46"/>
      <c r="C1764" s="46"/>
      <c r="D1764" s="46"/>
      <c r="E1764" s="46"/>
      <c r="F1764" s="46"/>
      <c r="G1764" s="46"/>
      <c r="H1764" s="46"/>
      <c r="I1764" s="46"/>
      <c r="J1764" s="46"/>
      <c r="K1764" s="46"/>
      <c r="L1764" s="46"/>
      <c r="M1764" s="46"/>
      <c r="N1764" s="46"/>
      <c r="O1764" s="46"/>
      <c r="P1764" s="46"/>
      <c r="Q1764" s="46"/>
      <c r="R1764" s="46"/>
      <c r="S1764" s="46"/>
      <c r="T1764" s="46"/>
      <c r="U1764" s="46"/>
      <c r="V1764" s="46"/>
      <c r="W1764" s="46"/>
      <c r="X1764" s="46"/>
    </row>
    <row r="1765" spans="1:24" ht="12.75" x14ac:dyDescent="0.2">
      <c r="A1765" s="45"/>
      <c r="B1765" s="46"/>
      <c r="C1765" s="46"/>
      <c r="D1765" s="46"/>
      <c r="E1765" s="46"/>
      <c r="F1765" s="46"/>
      <c r="G1765" s="46"/>
      <c r="H1765" s="46"/>
      <c r="I1765" s="46"/>
      <c r="J1765" s="46"/>
      <c r="K1765" s="46"/>
      <c r="L1765" s="46"/>
      <c r="M1765" s="46"/>
      <c r="N1765" s="46"/>
      <c r="O1765" s="46"/>
      <c r="P1765" s="46"/>
      <c r="Q1765" s="46"/>
      <c r="R1765" s="46"/>
      <c r="S1765" s="46"/>
      <c r="T1765" s="46"/>
      <c r="U1765" s="46"/>
      <c r="V1765" s="46"/>
      <c r="W1765" s="46"/>
      <c r="X1765" s="46"/>
    </row>
    <row r="1766" spans="1:24" ht="12.75" x14ac:dyDescent="0.2">
      <c r="A1766" s="45"/>
      <c r="B1766" s="46"/>
      <c r="C1766" s="46"/>
      <c r="D1766" s="46"/>
      <c r="E1766" s="46"/>
      <c r="F1766" s="46"/>
      <c r="G1766" s="46"/>
      <c r="H1766" s="46"/>
      <c r="I1766" s="46"/>
      <c r="J1766" s="46"/>
      <c r="K1766" s="46"/>
      <c r="L1766" s="46"/>
      <c r="M1766" s="46"/>
      <c r="N1766" s="46"/>
      <c r="O1766" s="46"/>
      <c r="P1766" s="46"/>
      <c r="Q1766" s="46"/>
      <c r="R1766" s="46"/>
      <c r="S1766" s="46"/>
      <c r="T1766" s="46"/>
      <c r="U1766" s="46"/>
      <c r="V1766" s="46"/>
      <c r="W1766" s="46"/>
      <c r="X1766" s="46"/>
    </row>
    <row r="1767" spans="1:24" ht="12.75" x14ac:dyDescent="0.2">
      <c r="A1767" s="45"/>
      <c r="B1767" s="46"/>
      <c r="C1767" s="46"/>
      <c r="D1767" s="46"/>
      <c r="E1767" s="46"/>
      <c r="F1767" s="46"/>
      <c r="G1767" s="46"/>
      <c r="H1767" s="46"/>
      <c r="I1767" s="46"/>
      <c r="J1767" s="46"/>
      <c r="K1767" s="46"/>
      <c r="L1767" s="46"/>
      <c r="M1767" s="46"/>
      <c r="N1767" s="46"/>
      <c r="O1767" s="46"/>
      <c r="P1767" s="46"/>
      <c r="Q1767" s="46"/>
      <c r="R1767" s="46"/>
      <c r="S1767" s="46"/>
      <c r="T1767" s="46"/>
      <c r="U1767" s="46"/>
      <c r="V1767" s="46"/>
      <c r="W1767" s="46"/>
      <c r="X1767" s="46"/>
    </row>
    <row r="1768" spans="1:24" ht="12.75" x14ac:dyDescent="0.2">
      <c r="A1768" s="45"/>
      <c r="B1768" s="46"/>
      <c r="C1768" s="46"/>
      <c r="D1768" s="46"/>
      <c r="E1768" s="46"/>
      <c r="F1768" s="46"/>
      <c r="G1768" s="46"/>
      <c r="H1768" s="46"/>
      <c r="I1768" s="46"/>
      <c r="J1768" s="46"/>
      <c r="K1768" s="46"/>
      <c r="L1768" s="46"/>
      <c r="M1768" s="46"/>
      <c r="N1768" s="46"/>
      <c r="O1768" s="46"/>
      <c r="P1768" s="46"/>
      <c r="Q1768" s="46"/>
      <c r="R1768" s="46"/>
      <c r="S1768" s="46"/>
      <c r="T1768" s="46"/>
      <c r="U1768" s="46"/>
      <c r="V1768" s="46"/>
      <c r="W1768" s="46"/>
      <c r="X1768" s="46"/>
    </row>
    <row r="1769" spans="1:24" ht="12.75" x14ac:dyDescent="0.2">
      <c r="A1769" s="45"/>
      <c r="B1769" s="46"/>
      <c r="C1769" s="46"/>
      <c r="D1769" s="46"/>
      <c r="E1769" s="46"/>
      <c r="F1769" s="46"/>
      <c r="G1769" s="46"/>
      <c r="H1769" s="46"/>
      <c r="I1769" s="46"/>
      <c r="J1769" s="46"/>
      <c r="K1769" s="46"/>
      <c r="L1769" s="46"/>
      <c r="M1769" s="46"/>
      <c r="N1769" s="46"/>
      <c r="O1769" s="46"/>
      <c r="P1769" s="46"/>
      <c r="Q1769" s="46"/>
      <c r="R1769" s="46"/>
      <c r="S1769" s="46"/>
      <c r="T1769" s="46"/>
      <c r="U1769" s="46"/>
      <c r="V1769" s="46"/>
      <c r="W1769" s="46"/>
      <c r="X1769" s="46"/>
    </row>
    <row r="1770" spans="1:24" ht="12.75" x14ac:dyDescent="0.2">
      <c r="A1770" s="45"/>
      <c r="B1770" s="46"/>
      <c r="C1770" s="46"/>
      <c r="D1770" s="46"/>
      <c r="E1770" s="46"/>
      <c r="F1770" s="46"/>
      <c r="G1770" s="46"/>
      <c r="H1770" s="46"/>
      <c r="I1770" s="46"/>
      <c r="J1770" s="46"/>
      <c r="K1770" s="46"/>
      <c r="L1770" s="46"/>
      <c r="M1770" s="46"/>
      <c r="N1770" s="46"/>
      <c r="O1770" s="46"/>
      <c r="P1770" s="46"/>
      <c r="Q1770" s="46"/>
      <c r="R1770" s="46"/>
      <c r="S1770" s="46"/>
      <c r="T1770" s="46"/>
      <c r="U1770" s="46"/>
      <c r="V1770" s="46"/>
      <c r="W1770" s="46"/>
      <c r="X1770" s="46"/>
    </row>
    <row r="1771" spans="1:24" ht="12.75" x14ac:dyDescent="0.2">
      <c r="A1771" s="45"/>
      <c r="B1771" s="46"/>
      <c r="C1771" s="46"/>
      <c r="D1771" s="46"/>
      <c r="E1771" s="46"/>
      <c r="F1771" s="46"/>
      <c r="G1771" s="46"/>
      <c r="H1771" s="46"/>
      <c r="I1771" s="46"/>
      <c r="J1771" s="46"/>
      <c r="K1771" s="46"/>
      <c r="L1771" s="46"/>
      <c r="M1771" s="46"/>
      <c r="N1771" s="46"/>
      <c r="O1771" s="46"/>
      <c r="P1771" s="46"/>
      <c r="Q1771" s="46"/>
      <c r="R1771" s="46"/>
      <c r="S1771" s="46"/>
      <c r="T1771" s="46"/>
      <c r="U1771" s="46"/>
      <c r="V1771" s="46"/>
      <c r="W1771" s="46"/>
      <c r="X1771" s="46"/>
    </row>
    <row r="1772" spans="1:24" ht="12.75" x14ac:dyDescent="0.2">
      <c r="A1772" s="45"/>
      <c r="B1772" s="46"/>
      <c r="C1772" s="46"/>
      <c r="D1772" s="46"/>
      <c r="E1772" s="46"/>
      <c r="F1772" s="46"/>
      <c r="G1772" s="46"/>
      <c r="H1772" s="46"/>
      <c r="I1772" s="46"/>
      <c r="J1772" s="46"/>
      <c r="K1772" s="46"/>
      <c r="L1772" s="46"/>
      <c r="M1772" s="46"/>
      <c r="N1772" s="46"/>
      <c r="O1772" s="46"/>
      <c r="P1772" s="46"/>
      <c r="Q1772" s="46"/>
      <c r="R1772" s="46"/>
      <c r="S1772" s="46"/>
      <c r="T1772" s="46"/>
      <c r="U1772" s="46"/>
      <c r="V1772" s="46"/>
      <c r="W1772" s="46"/>
      <c r="X1772" s="46"/>
    </row>
    <row r="1773" spans="1:24" ht="12.75" x14ac:dyDescent="0.2">
      <c r="A1773" s="45"/>
      <c r="B1773" s="46"/>
      <c r="C1773" s="46"/>
      <c r="D1773" s="46"/>
      <c r="E1773" s="46"/>
      <c r="F1773" s="46"/>
      <c r="G1773" s="46"/>
      <c r="H1773" s="46"/>
      <c r="I1773" s="46"/>
      <c r="J1773" s="46"/>
      <c r="K1773" s="46"/>
      <c r="L1773" s="46"/>
      <c r="M1773" s="46"/>
      <c r="N1773" s="46"/>
      <c r="O1773" s="46"/>
      <c r="P1773" s="46"/>
      <c r="Q1773" s="46"/>
      <c r="R1773" s="46"/>
      <c r="S1773" s="46"/>
      <c r="T1773" s="46"/>
      <c r="U1773" s="46"/>
      <c r="V1773" s="46"/>
      <c r="W1773" s="46"/>
      <c r="X1773" s="46"/>
    </row>
    <row r="1774" spans="1:24" ht="12.75" x14ac:dyDescent="0.2">
      <c r="A1774" s="45"/>
      <c r="B1774" s="46"/>
      <c r="C1774" s="46"/>
      <c r="D1774" s="46"/>
      <c r="E1774" s="46"/>
      <c r="F1774" s="46"/>
      <c r="G1774" s="46"/>
      <c r="H1774" s="46"/>
      <c r="I1774" s="46"/>
      <c r="J1774" s="46"/>
      <c r="K1774" s="46"/>
      <c r="L1774" s="46"/>
      <c r="M1774" s="46"/>
      <c r="N1774" s="46"/>
      <c r="O1774" s="46"/>
      <c r="P1774" s="46"/>
      <c r="Q1774" s="46"/>
      <c r="R1774" s="46"/>
      <c r="S1774" s="46"/>
      <c r="T1774" s="46"/>
      <c r="U1774" s="46"/>
      <c r="V1774" s="46"/>
      <c r="W1774" s="46"/>
      <c r="X1774" s="46"/>
    </row>
    <row r="1775" spans="1:24" ht="12.75" x14ac:dyDescent="0.2">
      <c r="A1775" s="45"/>
      <c r="B1775" s="46"/>
      <c r="C1775" s="46"/>
      <c r="D1775" s="46"/>
      <c r="E1775" s="46"/>
      <c r="F1775" s="46"/>
      <c r="G1775" s="46"/>
      <c r="H1775" s="46"/>
      <c r="I1775" s="46"/>
      <c r="J1775" s="46"/>
      <c r="K1775" s="46"/>
      <c r="L1775" s="46"/>
      <c r="M1775" s="46"/>
      <c r="N1775" s="46"/>
      <c r="O1775" s="46"/>
      <c r="P1775" s="46"/>
      <c r="Q1775" s="46"/>
      <c r="R1775" s="46"/>
      <c r="S1775" s="46"/>
      <c r="T1775" s="46"/>
      <c r="U1775" s="46"/>
      <c r="V1775" s="46"/>
      <c r="W1775" s="46"/>
      <c r="X1775" s="46"/>
    </row>
    <row r="1776" spans="1:24" ht="12.75" x14ac:dyDescent="0.2">
      <c r="A1776" s="45"/>
      <c r="B1776" s="46"/>
      <c r="C1776" s="46"/>
      <c r="D1776" s="46"/>
      <c r="E1776" s="46"/>
      <c r="F1776" s="46"/>
      <c r="G1776" s="46"/>
      <c r="H1776" s="46"/>
      <c r="I1776" s="46"/>
      <c r="J1776" s="46"/>
      <c r="K1776" s="46"/>
      <c r="L1776" s="46"/>
      <c r="M1776" s="46"/>
      <c r="N1776" s="46"/>
      <c r="O1776" s="46"/>
      <c r="P1776" s="46"/>
      <c r="Q1776" s="46"/>
      <c r="R1776" s="46"/>
      <c r="S1776" s="46"/>
      <c r="T1776" s="46"/>
      <c r="U1776" s="46"/>
      <c r="V1776" s="46"/>
      <c r="W1776" s="46"/>
      <c r="X1776" s="46"/>
    </row>
    <row r="1777" spans="1:24" ht="12.75" x14ac:dyDescent="0.2">
      <c r="A1777" s="45"/>
      <c r="B1777" s="46"/>
      <c r="C1777" s="46"/>
      <c r="D1777" s="46"/>
      <c r="E1777" s="46"/>
      <c r="F1777" s="46"/>
      <c r="G1777" s="46"/>
      <c r="H1777" s="46"/>
      <c r="I1777" s="46"/>
      <c r="J1777" s="46"/>
      <c r="K1777" s="46"/>
      <c r="L1777" s="46"/>
      <c r="M1777" s="46"/>
      <c r="N1777" s="46"/>
      <c r="O1777" s="46"/>
      <c r="P1777" s="46"/>
      <c r="Q1777" s="46"/>
      <c r="R1777" s="46"/>
      <c r="S1777" s="46"/>
      <c r="T1777" s="46"/>
      <c r="U1777" s="46"/>
      <c r="V1777" s="46"/>
      <c r="W1777" s="46"/>
      <c r="X1777" s="46"/>
    </row>
    <row r="1778" spans="1:24" ht="12.75" x14ac:dyDescent="0.2">
      <c r="A1778" s="45"/>
      <c r="B1778" s="46"/>
      <c r="C1778" s="46"/>
      <c r="D1778" s="46"/>
      <c r="E1778" s="46"/>
      <c r="F1778" s="46"/>
      <c r="G1778" s="46"/>
      <c r="H1778" s="46"/>
      <c r="I1778" s="46"/>
      <c r="J1778" s="46"/>
      <c r="K1778" s="46"/>
      <c r="L1778" s="46"/>
      <c r="M1778" s="46"/>
      <c r="N1778" s="46"/>
      <c r="O1778" s="46"/>
      <c r="P1778" s="46"/>
      <c r="Q1778" s="46"/>
      <c r="R1778" s="46"/>
      <c r="S1778" s="46"/>
      <c r="T1778" s="46"/>
      <c r="U1778" s="46"/>
      <c r="V1778" s="46"/>
      <c r="W1778" s="46"/>
      <c r="X1778" s="46"/>
    </row>
    <row r="1779" spans="1:24" ht="12.75" x14ac:dyDescent="0.2">
      <c r="A1779" s="45"/>
      <c r="B1779" s="46"/>
      <c r="C1779" s="46"/>
      <c r="D1779" s="46"/>
      <c r="E1779" s="46"/>
      <c r="F1779" s="46"/>
      <c r="G1779" s="46"/>
      <c r="H1779" s="46"/>
      <c r="I1779" s="46"/>
      <c r="J1779" s="46"/>
      <c r="K1779" s="46"/>
      <c r="L1779" s="46"/>
      <c r="M1779" s="46"/>
      <c r="N1779" s="46"/>
      <c r="O1779" s="46"/>
      <c r="P1779" s="46"/>
      <c r="Q1779" s="46"/>
      <c r="R1779" s="46"/>
      <c r="S1779" s="46"/>
      <c r="T1779" s="46"/>
      <c r="U1779" s="46"/>
      <c r="V1779" s="46"/>
      <c r="W1779" s="46"/>
      <c r="X1779" s="46"/>
    </row>
    <row r="1780" spans="1:24" ht="12.75" x14ac:dyDescent="0.2">
      <c r="A1780" s="45"/>
      <c r="B1780" s="46"/>
      <c r="C1780" s="46"/>
      <c r="D1780" s="46"/>
      <c r="E1780" s="46"/>
      <c r="F1780" s="46"/>
      <c r="G1780" s="46"/>
      <c r="H1780" s="46"/>
      <c r="I1780" s="46"/>
      <c r="J1780" s="46"/>
      <c r="K1780" s="46"/>
      <c r="L1780" s="46"/>
      <c r="M1780" s="46"/>
      <c r="N1780" s="46"/>
      <c r="O1780" s="46"/>
      <c r="P1780" s="46"/>
      <c r="Q1780" s="46"/>
      <c r="R1780" s="46"/>
      <c r="S1780" s="46"/>
      <c r="T1780" s="46"/>
      <c r="U1780" s="46"/>
      <c r="V1780" s="46"/>
      <c r="W1780" s="46"/>
      <c r="X1780" s="46"/>
    </row>
    <row r="1781" spans="1:24" ht="12.75" x14ac:dyDescent="0.2">
      <c r="A1781" s="45"/>
      <c r="B1781" s="46"/>
      <c r="C1781" s="46"/>
      <c r="D1781" s="46"/>
      <c r="E1781" s="46"/>
      <c r="F1781" s="46"/>
      <c r="G1781" s="46"/>
      <c r="H1781" s="46"/>
      <c r="I1781" s="46"/>
      <c r="J1781" s="46"/>
      <c r="K1781" s="46"/>
      <c r="L1781" s="46"/>
      <c r="M1781" s="46"/>
      <c r="N1781" s="46"/>
      <c r="O1781" s="46"/>
      <c r="P1781" s="46"/>
      <c r="Q1781" s="46"/>
      <c r="R1781" s="46"/>
      <c r="S1781" s="46"/>
      <c r="T1781" s="46"/>
      <c r="U1781" s="46"/>
      <c r="V1781" s="46"/>
      <c r="W1781" s="46"/>
      <c r="X1781" s="46"/>
    </row>
    <row r="1782" spans="1:24" ht="12.75" x14ac:dyDescent="0.2">
      <c r="A1782" s="45"/>
      <c r="B1782" s="46"/>
      <c r="C1782" s="46"/>
      <c r="D1782" s="46"/>
      <c r="E1782" s="46"/>
      <c r="F1782" s="46"/>
      <c r="G1782" s="46"/>
      <c r="H1782" s="46"/>
      <c r="I1782" s="46"/>
      <c r="J1782" s="46"/>
      <c r="K1782" s="46"/>
      <c r="L1782" s="46"/>
      <c r="M1782" s="46"/>
      <c r="N1782" s="46"/>
      <c r="O1782" s="46"/>
      <c r="P1782" s="46"/>
      <c r="Q1782" s="46"/>
      <c r="R1782" s="46"/>
      <c r="S1782" s="46"/>
      <c r="T1782" s="46"/>
      <c r="U1782" s="46"/>
      <c r="V1782" s="46"/>
      <c r="W1782" s="46"/>
      <c r="X1782" s="46"/>
    </row>
    <row r="1783" spans="1:24" ht="12.75" x14ac:dyDescent="0.2">
      <c r="A1783" s="45"/>
      <c r="B1783" s="46"/>
      <c r="C1783" s="46"/>
      <c r="D1783" s="46"/>
      <c r="E1783" s="46"/>
      <c r="F1783" s="46"/>
      <c r="G1783" s="46"/>
      <c r="H1783" s="46"/>
      <c r="I1783" s="46"/>
      <c r="J1783" s="46"/>
      <c r="K1783" s="46"/>
      <c r="L1783" s="46"/>
      <c r="M1783" s="46"/>
      <c r="N1783" s="46"/>
      <c r="O1783" s="46"/>
      <c r="P1783" s="46"/>
      <c r="Q1783" s="46"/>
      <c r="R1783" s="46"/>
      <c r="S1783" s="46"/>
      <c r="T1783" s="46"/>
      <c r="U1783" s="46"/>
      <c r="V1783" s="46"/>
      <c r="W1783" s="46"/>
      <c r="X1783" s="46"/>
    </row>
    <row r="1784" spans="1:24" ht="12.75" x14ac:dyDescent="0.2">
      <c r="A1784" s="45"/>
      <c r="B1784" s="46"/>
      <c r="C1784" s="46"/>
      <c r="D1784" s="46"/>
      <c r="E1784" s="46"/>
      <c r="F1784" s="46"/>
      <c r="G1784" s="46"/>
      <c r="H1784" s="46"/>
      <c r="I1784" s="46"/>
      <c r="J1784" s="46"/>
      <c r="K1784" s="46"/>
      <c r="L1784" s="46"/>
      <c r="M1784" s="46"/>
      <c r="N1784" s="46"/>
      <c r="O1784" s="46"/>
      <c r="P1784" s="46"/>
      <c r="Q1784" s="46"/>
      <c r="R1784" s="46"/>
      <c r="S1784" s="46"/>
      <c r="T1784" s="46"/>
      <c r="U1784" s="46"/>
      <c r="V1784" s="46"/>
      <c r="W1784" s="46"/>
      <c r="X1784" s="46"/>
    </row>
    <row r="1785" spans="1:24" ht="12.75" x14ac:dyDescent="0.2">
      <c r="A1785" s="45"/>
      <c r="B1785" s="46"/>
      <c r="C1785" s="46"/>
      <c r="D1785" s="46"/>
      <c r="E1785" s="46"/>
      <c r="F1785" s="46"/>
      <c r="G1785" s="46"/>
      <c r="H1785" s="46"/>
      <c r="I1785" s="46"/>
      <c r="J1785" s="46"/>
      <c r="K1785" s="46"/>
      <c r="L1785" s="46"/>
      <c r="M1785" s="46"/>
      <c r="N1785" s="46"/>
      <c r="O1785" s="46"/>
      <c r="P1785" s="46"/>
      <c r="Q1785" s="46"/>
      <c r="R1785" s="46"/>
      <c r="S1785" s="46"/>
      <c r="T1785" s="46"/>
      <c r="U1785" s="46"/>
      <c r="V1785" s="46"/>
      <c r="W1785" s="46"/>
      <c r="X1785" s="46"/>
    </row>
    <row r="1786" spans="1:24" ht="12.75" x14ac:dyDescent="0.2">
      <c r="A1786" s="45"/>
      <c r="B1786" s="46"/>
      <c r="C1786" s="46"/>
      <c r="D1786" s="46"/>
      <c r="E1786" s="46"/>
      <c r="F1786" s="46"/>
      <c r="G1786" s="46"/>
      <c r="H1786" s="46"/>
      <c r="I1786" s="46"/>
      <c r="J1786" s="46"/>
      <c r="K1786" s="46"/>
      <c r="L1786" s="46"/>
      <c r="M1786" s="46"/>
      <c r="N1786" s="46"/>
      <c r="O1786" s="46"/>
      <c r="P1786" s="46"/>
      <c r="Q1786" s="46"/>
      <c r="R1786" s="46"/>
      <c r="S1786" s="46"/>
      <c r="T1786" s="46"/>
      <c r="U1786" s="46"/>
      <c r="V1786" s="46"/>
      <c r="W1786" s="46"/>
      <c r="X1786" s="46"/>
    </row>
    <row r="1787" spans="1:24" ht="12.75" x14ac:dyDescent="0.2">
      <c r="A1787" s="45"/>
      <c r="B1787" s="46"/>
      <c r="C1787" s="46"/>
      <c r="D1787" s="46"/>
      <c r="E1787" s="46"/>
      <c r="F1787" s="46"/>
      <c r="G1787" s="46"/>
      <c r="H1787" s="46"/>
      <c r="I1787" s="46"/>
      <c r="J1787" s="46"/>
      <c r="K1787" s="46"/>
      <c r="L1787" s="46"/>
      <c r="M1787" s="46"/>
      <c r="N1787" s="46"/>
      <c r="O1787" s="46"/>
      <c r="P1787" s="46"/>
      <c r="Q1787" s="46"/>
      <c r="R1787" s="46"/>
      <c r="S1787" s="46"/>
      <c r="T1787" s="46"/>
      <c r="U1787" s="46"/>
      <c r="V1787" s="46"/>
      <c r="W1787" s="46"/>
      <c r="X1787" s="46"/>
    </row>
    <row r="1788" spans="1:24" ht="12.75" x14ac:dyDescent="0.2">
      <c r="A1788" s="45"/>
      <c r="B1788" s="46"/>
      <c r="C1788" s="46"/>
      <c r="D1788" s="46"/>
      <c r="E1788" s="46"/>
      <c r="F1788" s="46"/>
      <c r="G1788" s="46"/>
      <c r="H1788" s="46"/>
      <c r="I1788" s="46"/>
      <c r="J1788" s="46"/>
      <c r="K1788" s="46"/>
      <c r="L1788" s="46"/>
      <c r="M1788" s="46"/>
      <c r="N1788" s="46"/>
      <c r="O1788" s="46"/>
      <c r="P1788" s="46"/>
      <c r="Q1788" s="46"/>
      <c r="R1788" s="46"/>
      <c r="S1788" s="46"/>
      <c r="T1788" s="46"/>
      <c r="U1788" s="46"/>
      <c r="V1788" s="46"/>
      <c r="W1788" s="46"/>
      <c r="X1788" s="46"/>
    </row>
    <row r="1789" spans="1:24" ht="12.75" x14ac:dyDescent="0.2">
      <c r="A1789" s="45"/>
      <c r="B1789" s="46"/>
      <c r="C1789" s="46"/>
      <c r="D1789" s="46"/>
      <c r="E1789" s="46"/>
      <c r="F1789" s="46"/>
      <c r="G1789" s="46"/>
      <c r="H1789" s="46"/>
      <c r="I1789" s="46"/>
      <c r="J1789" s="46"/>
      <c r="K1789" s="46"/>
      <c r="L1789" s="46"/>
      <c r="M1789" s="46"/>
      <c r="N1789" s="46"/>
      <c r="O1789" s="46"/>
      <c r="P1789" s="46"/>
      <c r="Q1789" s="46"/>
      <c r="R1789" s="46"/>
      <c r="S1789" s="46"/>
      <c r="T1789" s="46"/>
      <c r="U1789" s="46"/>
      <c r="V1789" s="46"/>
      <c r="W1789" s="46"/>
      <c r="X1789" s="46"/>
    </row>
    <row r="1790" spans="1:24" ht="12.75" x14ac:dyDescent="0.2">
      <c r="A1790" s="45"/>
      <c r="B1790" s="46"/>
      <c r="C1790" s="46"/>
      <c r="D1790" s="46"/>
      <c r="E1790" s="46"/>
      <c r="F1790" s="46"/>
      <c r="G1790" s="46"/>
      <c r="H1790" s="46"/>
      <c r="I1790" s="46"/>
      <c r="J1790" s="46"/>
      <c r="K1790" s="46"/>
      <c r="L1790" s="46"/>
      <c r="M1790" s="46"/>
      <c r="N1790" s="46"/>
      <c r="O1790" s="46"/>
      <c r="P1790" s="46"/>
      <c r="Q1790" s="46"/>
      <c r="R1790" s="46"/>
      <c r="S1790" s="46"/>
      <c r="T1790" s="46"/>
      <c r="U1790" s="46"/>
      <c r="V1790" s="46"/>
      <c r="W1790" s="46"/>
      <c r="X1790" s="46"/>
    </row>
    <row r="1791" spans="1:24" ht="12.75" x14ac:dyDescent="0.2">
      <c r="A1791" s="45"/>
      <c r="B1791" s="46"/>
      <c r="C1791" s="46"/>
      <c r="D1791" s="46"/>
      <c r="E1791" s="46"/>
      <c r="F1791" s="46"/>
      <c r="G1791" s="46"/>
      <c r="H1791" s="46"/>
      <c r="I1791" s="46"/>
      <c r="J1791" s="46"/>
      <c r="K1791" s="46"/>
      <c r="L1791" s="46"/>
      <c r="M1791" s="46"/>
      <c r="N1791" s="46"/>
      <c r="O1791" s="46"/>
      <c r="P1791" s="46"/>
      <c r="Q1791" s="46"/>
      <c r="R1791" s="46"/>
      <c r="S1791" s="46"/>
      <c r="T1791" s="46"/>
      <c r="U1791" s="46"/>
      <c r="V1791" s="46"/>
      <c r="W1791" s="46"/>
      <c r="X1791" s="46"/>
    </row>
    <row r="1792" spans="1:24" ht="12.75" x14ac:dyDescent="0.2">
      <c r="A1792" s="45"/>
      <c r="B1792" s="46"/>
      <c r="C1792" s="46"/>
      <c r="D1792" s="46"/>
      <c r="E1792" s="46"/>
      <c r="F1792" s="46"/>
      <c r="G1792" s="46"/>
      <c r="H1792" s="46"/>
      <c r="I1792" s="46"/>
      <c r="J1792" s="46"/>
      <c r="K1792" s="46"/>
      <c r="L1792" s="46"/>
      <c r="M1792" s="46"/>
      <c r="N1792" s="46"/>
      <c r="O1792" s="46"/>
      <c r="P1792" s="46"/>
      <c r="Q1792" s="46"/>
      <c r="R1792" s="46"/>
      <c r="S1792" s="46"/>
      <c r="T1792" s="46"/>
      <c r="U1792" s="46"/>
      <c r="V1792" s="46"/>
      <c r="W1792" s="46"/>
      <c r="X1792" s="46"/>
    </row>
    <row r="1793" spans="1:24" ht="12.75" x14ac:dyDescent="0.2">
      <c r="A1793" s="45"/>
      <c r="B1793" s="46"/>
      <c r="C1793" s="46"/>
      <c r="D1793" s="46"/>
      <c r="E1793" s="46"/>
      <c r="F1793" s="46"/>
      <c r="G1793" s="46"/>
      <c r="H1793" s="46"/>
      <c r="I1793" s="46"/>
      <c r="J1793" s="46"/>
      <c r="K1793" s="46"/>
      <c r="L1793" s="46"/>
      <c r="M1793" s="46"/>
      <c r="N1793" s="46"/>
      <c r="O1793" s="46"/>
      <c r="P1793" s="46"/>
      <c r="Q1793" s="46"/>
      <c r="R1793" s="46"/>
      <c r="S1793" s="46"/>
      <c r="T1793" s="46"/>
      <c r="U1793" s="46"/>
      <c r="V1793" s="46"/>
      <c r="W1793" s="46"/>
      <c r="X1793" s="46"/>
    </row>
    <row r="1794" spans="1:24" ht="12.75" x14ac:dyDescent="0.2">
      <c r="A1794" s="45"/>
      <c r="B1794" s="46"/>
      <c r="C1794" s="46"/>
      <c r="D1794" s="46"/>
      <c r="E1794" s="46"/>
      <c r="F1794" s="46"/>
      <c r="G1794" s="46"/>
      <c r="H1794" s="46"/>
      <c r="I1794" s="46"/>
      <c r="J1794" s="46"/>
      <c r="K1794" s="46"/>
      <c r="L1794" s="46"/>
      <c r="M1794" s="46"/>
      <c r="N1794" s="46"/>
      <c r="O1794" s="46"/>
      <c r="P1794" s="46"/>
      <c r="Q1794" s="46"/>
      <c r="R1794" s="46"/>
      <c r="S1794" s="46"/>
      <c r="T1794" s="46"/>
      <c r="U1794" s="46"/>
      <c r="V1794" s="46"/>
      <c r="W1794" s="46"/>
      <c r="X1794" s="46"/>
    </row>
    <row r="1795" spans="1:24" ht="12.75" x14ac:dyDescent="0.2">
      <c r="A1795" s="45"/>
      <c r="B1795" s="46"/>
      <c r="C1795" s="46"/>
      <c r="D1795" s="46"/>
      <c r="E1795" s="46"/>
      <c r="F1795" s="46"/>
      <c r="G1795" s="46"/>
      <c r="H1795" s="46"/>
      <c r="I1795" s="46"/>
      <c r="J1795" s="46"/>
      <c r="K1795" s="46"/>
      <c r="L1795" s="46"/>
      <c r="M1795" s="46"/>
      <c r="N1795" s="46"/>
      <c r="O1795" s="46"/>
      <c r="P1795" s="46"/>
      <c r="Q1795" s="46"/>
      <c r="R1795" s="46"/>
      <c r="S1795" s="46"/>
      <c r="T1795" s="46"/>
      <c r="U1795" s="46"/>
      <c r="V1795" s="46"/>
      <c r="W1795" s="46"/>
      <c r="X1795" s="46"/>
    </row>
    <row r="1796" spans="1:24" ht="12.75" x14ac:dyDescent="0.2">
      <c r="A1796" s="45"/>
      <c r="B1796" s="46"/>
      <c r="C1796" s="46"/>
      <c r="D1796" s="46"/>
      <c r="E1796" s="46"/>
      <c r="F1796" s="46"/>
      <c r="G1796" s="46"/>
      <c r="H1796" s="46"/>
      <c r="I1796" s="46"/>
      <c r="J1796" s="46"/>
      <c r="K1796" s="46"/>
      <c r="L1796" s="46"/>
      <c r="M1796" s="46"/>
      <c r="N1796" s="46"/>
      <c r="O1796" s="46"/>
      <c r="P1796" s="46"/>
      <c r="Q1796" s="46"/>
      <c r="R1796" s="46"/>
      <c r="S1796" s="46"/>
      <c r="T1796" s="46"/>
      <c r="U1796" s="46"/>
      <c r="V1796" s="46"/>
      <c r="W1796" s="46"/>
      <c r="X1796" s="46"/>
    </row>
    <row r="1797" spans="1:24" ht="12.75" x14ac:dyDescent="0.2">
      <c r="A1797" s="45"/>
      <c r="B1797" s="46"/>
      <c r="C1797" s="46"/>
      <c r="D1797" s="46"/>
      <c r="E1797" s="46"/>
      <c r="F1797" s="46"/>
      <c r="G1797" s="46"/>
      <c r="H1797" s="46"/>
      <c r="I1797" s="46"/>
      <c r="J1797" s="46"/>
      <c r="K1797" s="46"/>
      <c r="L1797" s="46"/>
      <c r="M1797" s="46"/>
      <c r="N1797" s="46"/>
      <c r="O1797" s="46"/>
      <c r="P1797" s="46"/>
      <c r="Q1797" s="46"/>
      <c r="R1797" s="46"/>
      <c r="S1797" s="46"/>
      <c r="T1797" s="46"/>
      <c r="U1797" s="46"/>
      <c r="V1797" s="46"/>
      <c r="W1797" s="46"/>
      <c r="X1797" s="46"/>
    </row>
    <row r="1798" spans="1:24" ht="12.75" x14ac:dyDescent="0.2">
      <c r="A1798" s="45"/>
      <c r="B1798" s="46"/>
      <c r="C1798" s="46"/>
      <c r="D1798" s="46"/>
      <c r="E1798" s="46"/>
      <c r="F1798" s="46"/>
      <c r="G1798" s="46"/>
      <c r="H1798" s="46"/>
      <c r="I1798" s="46"/>
      <c r="J1798" s="46"/>
      <c r="K1798" s="46"/>
      <c r="L1798" s="46"/>
      <c r="M1798" s="46"/>
      <c r="N1798" s="46"/>
      <c r="O1798" s="46"/>
      <c r="P1798" s="46"/>
      <c r="Q1798" s="46"/>
      <c r="R1798" s="46"/>
      <c r="S1798" s="46"/>
      <c r="T1798" s="46"/>
      <c r="U1798" s="46"/>
      <c r="V1798" s="46"/>
      <c r="W1798" s="46"/>
      <c r="X1798" s="46"/>
    </row>
    <row r="1799" spans="1:24" ht="12.75" x14ac:dyDescent="0.2">
      <c r="A1799" s="45"/>
      <c r="B1799" s="46"/>
      <c r="C1799" s="46"/>
      <c r="D1799" s="46"/>
      <c r="E1799" s="46"/>
      <c r="F1799" s="46"/>
      <c r="G1799" s="46"/>
      <c r="H1799" s="46"/>
      <c r="I1799" s="46"/>
      <c r="J1799" s="46"/>
      <c r="K1799" s="46"/>
      <c r="L1799" s="46"/>
      <c r="M1799" s="46"/>
      <c r="N1799" s="46"/>
      <c r="O1799" s="46"/>
      <c r="P1799" s="46"/>
      <c r="Q1799" s="46"/>
      <c r="R1799" s="46"/>
      <c r="S1799" s="46"/>
      <c r="T1799" s="46"/>
      <c r="U1799" s="46"/>
      <c r="V1799" s="46"/>
      <c r="W1799" s="46"/>
      <c r="X1799" s="46"/>
    </row>
    <row r="1800" spans="1:24" ht="12.75" x14ac:dyDescent="0.2">
      <c r="A1800" s="45"/>
      <c r="B1800" s="46"/>
      <c r="C1800" s="46"/>
      <c r="D1800" s="46"/>
      <c r="E1800" s="46"/>
      <c r="F1800" s="46"/>
      <c r="G1800" s="46"/>
      <c r="H1800" s="46"/>
      <c r="I1800" s="46"/>
      <c r="J1800" s="46"/>
      <c r="K1800" s="46"/>
      <c r="L1800" s="46"/>
      <c r="M1800" s="46"/>
      <c r="N1800" s="46"/>
      <c r="O1800" s="46"/>
      <c r="P1800" s="46"/>
      <c r="Q1800" s="46"/>
      <c r="R1800" s="46"/>
      <c r="S1800" s="46"/>
      <c r="T1800" s="46"/>
      <c r="U1800" s="46"/>
      <c r="V1800" s="46"/>
      <c r="W1800" s="46"/>
      <c r="X1800" s="46"/>
    </row>
    <row r="1801" spans="1:24" ht="12.75" x14ac:dyDescent="0.2">
      <c r="A1801" s="45"/>
      <c r="B1801" s="46"/>
      <c r="C1801" s="46"/>
      <c r="D1801" s="46"/>
      <c r="E1801" s="46"/>
      <c r="F1801" s="46"/>
      <c r="G1801" s="46"/>
      <c r="H1801" s="46"/>
      <c r="I1801" s="46"/>
      <c r="J1801" s="46"/>
      <c r="K1801" s="46"/>
      <c r="L1801" s="46"/>
      <c r="M1801" s="46"/>
      <c r="N1801" s="46"/>
      <c r="O1801" s="46"/>
      <c r="P1801" s="46"/>
      <c r="Q1801" s="46"/>
      <c r="R1801" s="46"/>
      <c r="S1801" s="46"/>
      <c r="T1801" s="46"/>
      <c r="U1801" s="46"/>
      <c r="V1801" s="46"/>
      <c r="W1801" s="46"/>
      <c r="X1801" s="46"/>
    </row>
    <row r="1802" spans="1:24" ht="12.75" x14ac:dyDescent="0.2">
      <c r="A1802" s="45"/>
      <c r="B1802" s="46"/>
      <c r="C1802" s="46"/>
      <c r="D1802" s="46"/>
      <c r="E1802" s="46"/>
      <c r="F1802" s="46"/>
      <c r="G1802" s="46"/>
      <c r="H1802" s="46"/>
      <c r="I1802" s="46"/>
      <c r="J1802" s="46"/>
      <c r="K1802" s="46"/>
      <c r="L1802" s="46"/>
      <c r="M1802" s="46"/>
      <c r="N1802" s="46"/>
      <c r="O1802" s="46"/>
      <c r="P1802" s="46"/>
      <c r="Q1802" s="46"/>
      <c r="R1802" s="46"/>
      <c r="S1802" s="46"/>
      <c r="T1802" s="46"/>
      <c r="U1802" s="46"/>
      <c r="V1802" s="46"/>
      <c r="W1802" s="46"/>
      <c r="X1802" s="46"/>
    </row>
    <row r="1803" spans="1:24" ht="12.75" x14ac:dyDescent="0.2">
      <c r="A1803" s="45"/>
      <c r="B1803" s="46"/>
      <c r="C1803" s="46"/>
      <c r="D1803" s="46"/>
      <c r="E1803" s="46"/>
      <c r="F1803" s="46"/>
      <c r="G1803" s="46"/>
      <c r="H1803" s="46"/>
      <c r="I1803" s="46"/>
      <c r="J1803" s="46"/>
      <c r="K1803" s="46"/>
      <c r="L1803" s="46"/>
      <c r="M1803" s="46"/>
      <c r="N1803" s="46"/>
      <c r="O1803" s="46"/>
      <c r="P1803" s="46"/>
      <c r="Q1803" s="46"/>
      <c r="R1803" s="46"/>
      <c r="S1803" s="46"/>
      <c r="T1803" s="46"/>
      <c r="U1803" s="46"/>
      <c r="V1803" s="46"/>
      <c r="W1803" s="46"/>
      <c r="X1803" s="46"/>
    </row>
    <row r="1804" spans="1:24" ht="12.75" x14ac:dyDescent="0.2">
      <c r="A1804" s="45"/>
      <c r="B1804" s="46"/>
      <c r="C1804" s="46"/>
      <c r="D1804" s="46"/>
      <c r="E1804" s="46"/>
      <c r="F1804" s="46"/>
      <c r="G1804" s="46"/>
      <c r="H1804" s="46"/>
      <c r="I1804" s="46"/>
      <c r="J1804" s="46"/>
      <c r="K1804" s="46"/>
      <c r="L1804" s="46"/>
      <c r="M1804" s="46"/>
      <c r="N1804" s="46"/>
      <c r="O1804" s="46"/>
      <c r="P1804" s="46"/>
      <c r="Q1804" s="46"/>
      <c r="R1804" s="46"/>
      <c r="S1804" s="46"/>
      <c r="T1804" s="46"/>
      <c r="U1804" s="46"/>
      <c r="V1804" s="46"/>
      <c r="W1804" s="46"/>
      <c r="X1804" s="46"/>
    </row>
    <row r="1805" spans="1:24" ht="12.75" x14ac:dyDescent="0.2">
      <c r="A1805" s="45"/>
      <c r="B1805" s="46"/>
      <c r="C1805" s="46"/>
      <c r="D1805" s="46"/>
      <c r="E1805" s="46"/>
      <c r="F1805" s="46"/>
      <c r="G1805" s="46"/>
      <c r="H1805" s="46"/>
      <c r="I1805" s="46"/>
      <c r="J1805" s="46"/>
      <c r="K1805" s="46"/>
      <c r="L1805" s="46"/>
      <c r="M1805" s="46"/>
      <c r="N1805" s="46"/>
      <c r="O1805" s="46"/>
      <c r="P1805" s="46"/>
      <c r="Q1805" s="46"/>
      <c r="R1805" s="46"/>
      <c r="S1805" s="46"/>
      <c r="T1805" s="46"/>
      <c r="U1805" s="46"/>
      <c r="V1805" s="46"/>
      <c r="W1805" s="46"/>
      <c r="X1805" s="46"/>
    </row>
    <row r="1806" spans="1:24" ht="12.75" x14ac:dyDescent="0.2">
      <c r="A1806" s="45"/>
      <c r="B1806" s="46"/>
      <c r="C1806" s="46"/>
      <c r="D1806" s="46"/>
      <c r="E1806" s="46"/>
      <c r="F1806" s="46"/>
      <c r="G1806" s="46"/>
      <c r="H1806" s="46"/>
      <c r="I1806" s="46"/>
      <c r="J1806" s="46"/>
      <c r="K1806" s="46"/>
      <c r="L1806" s="46"/>
      <c r="M1806" s="46"/>
      <c r="N1806" s="46"/>
      <c r="O1806" s="46"/>
      <c r="P1806" s="46"/>
      <c r="Q1806" s="46"/>
      <c r="R1806" s="46"/>
      <c r="S1806" s="46"/>
      <c r="T1806" s="46"/>
      <c r="U1806" s="46"/>
      <c r="V1806" s="46"/>
      <c r="W1806" s="46"/>
      <c r="X1806" s="46"/>
    </row>
    <row r="1807" spans="1:24" ht="12.75" x14ac:dyDescent="0.2">
      <c r="A1807" s="45"/>
      <c r="B1807" s="46"/>
      <c r="C1807" s="46"/>
      <c r="D1807" s="46"/>
      <c r="E1807" s="46"/>
      <c r="F1807" s="46"/>
      <c r="G1807" s="46"/>
      <c r="H1807" s="46"/>
      <c r="I1807" s="46"/>
      <c r="J1807" s="46"/>
      <c r="K1807" s="46"/>
      <c r="L1807" s="46"/>
      <c r="M1807" s="46"/>
      <c r="N1807" s="46"/>
      <c r="O1807" s="46"/>
      <c r="P1807" s="46"/>
      <c r="Q1807" s="46"/>
      <c r="R1807" s="46"/>
      <c r="S1807" s="46"/>
      <c r="T1807" s="46"/>
      <c r="U1807" s="46"/>
      <c r="V1807" s="46"/>
      <c r="W1807" s="46"/>
      <c r="X1807" s="46"/>
    </row>
    <row r="1808" spans="1:24" ht="12.75" x14ac:dyDescent="0.2">
      <c r="A1808" s="45"/>
      <c r="B1808" s="46"/>
      <c r="C1808" s="46"/>
      <c r="D1808" s="46"/>
      <c r="E1808" s="46"/>
      <c r="F1808" s="46"/>
      <c r="G1808" s="46"/>
      <c r="H1808" s="46"/>
      <c r="I1808" s="46"/>
      <c r="J1808" s="46"/>
      <c r="K1808" s="46"/>
      <c r="L1808" s="46"/>
      <c r="M1808" s="46"/>
      <c r="N1808" s="46"/>
      <c r="O1808" s="46"/>
      <c r="P1808" s="46"/>
      <c r="Q1808" s="46"/>
      <c r="R1808" s="46"/>
      <c r="S1808" s="46"/>
      <c r="T1808" s="46"/>
      <c r="U1808" s="46"/>
      <c r="V1808" s="46"/>
      <c r="W1808" s="46"/>
      <c r="X1808" s="46"/>
    </row>
    <row r="1809" spans="1:24" ht="12.75" x14ac:dyDescent="0.2">
      <c r="A1809" s="45"/>
      <c r="B1809" s="46"/>
      <c r="C1809" s="46"/>
      <c r="D1809" s="46"/>
      <c r="E1809" s="46"/>
      <c r="F1809" s="46"/>
      <c r="G1809" s="46"/>
      <c r="H1809" s="46"/>
      <c r="I1809" s="46"/>
      <c r="J1809" s="46"/>
      <c r="K1809" s="46"/>
      <c r="L1809" s="46"/>
      <c r="M1809" s="46"/>
      <c r="N1809" s="46"/>
      <c r="O1809" s="46"/>
      <c r="P1809" s="46"/>
      <c r="Q1809" s="46"/>
      <c r="R1809" s="46"/>
      <c r="S1809" s="46"/>
      <c r="T1809" s="46"/>
      <c r="U1809" s="46"/>
      <c r="V1809" s="46"/>
      <c r="W1809" s="46"/>
      <c r="X1809" s="46"/>
    </row>
    <row r="1810" spans="1:24" ht="12.75" x14ac:dyDescent="0.2">
      <c r="A1810" s="45"/>
      <c r="B1810" s="46"/>
      <c r="C1810" s="46"/>
      <c r="D1810" s="46"/>
      <c r="E1810" s="46"/>
      <c r="F1810" s="46"/>
      <c r="G1810" s="46"/>
      <c r="H1810" s="46"/>
      <c r="I1810" s="46"/>
      <c r="J1810" s="46"/>
      <c r="K1810" s="46"/>
      <c r="L1810" s="46"/>
      <c r="M1810" s="46"/>
      <c r="N1810" s="46"/>
      <c r="O1810" s="46"/>
      <c r="P1810" s="46"/>
      <c r="Q1810" s="46"/>
      <c r="R1810" s="46"/>
      <c r="S1810" s="46"/>
      <c r="T1810" s="46"/>
      <c r="U1810" s="46"/>
      <c r="V1810" s="46"/>
      <c r="W1810" s="46"/>
      <c r="X1810" s="46"/>
    </row>
    <row r="1811" spans="1:24" ht="12.75" x14ac:dyDescent="0.2">
      <c r="A1811" s="45"/>
      <c r="B1811" s="46"/>
      <c r="C1811" s="46"/>
      <c r="D1811" s="46"/>
      <c r="E1811" s="46"/>
      <c r="F1811" s="46"/>
      <c r="G1811" s="46"/>
      <c r="H1811" s="46"/>
      <c r="I1811" s="46"/>
      <c r="J1811" s="46"/>
      <c r="K1811" s="46"/>
      <c r="L1811" s="46"/>
      <c r="M1811" s="46"/>
      <c r="N1811" s="46"/>
      <c r="O1811" s="46"/>
      <c r="P1811" s="46"/>
      <c r="Q1811" s="46"/>
      <c r="R1811" s="46"/>
      <c r="S1811" s="46"/>
      <c r="T1811" s="46"/>
      <c r="U1811" s="46"/>
      <c r="V1811" s="46"/>
      <c r="W1811" s="46"/>
      <c r="X1811" s="46"/>
    </row>
    <row r="1812" spans="1:24" ht="12.75" x14ac:dyDescent="0.2">
      <c r="A1812" s="45"/>
      <c r="B1812" s="46"/>
      <c r="C1812" s="46"/>
      <c r="D1812" s="46"/>
      <c r="E1812" s="46"/>
      <c r="F1812" s="46"/>
      <c r="G1812" s="46"/>
      <c r="H1812" s="46"/>
      <c r="I1812" s="46"/>
      <c r="J1812" s="46"/>
      <c r="K1812" s="46"/>
      <c r="L1812" s="46"/>
      <c r="M1812" s="46"/>
      <c r="N1812" s="46"/>
      <c r="O1812" s="46"/>
      <c r="P1812" s="46"/>
      <c r="Q1812" s="46"/>
      <c r="R1812" s="46"/>
      <c r="S1812" s="46"/>
      <c r="T1812" s="46"/>
      <c r="U1812" s="46"/>
      <c r="V1812" s="46"/>
      <c r="W1812" s="46"/>
      <c r="X1812" s="46"/>
    </row>
    <row r="1813" spans="1:24" ht="12.75" x14ac:dyDescent="0.2">
      <c r="A1813" s="45"/>
      <c r="B1813" s="46"/>
      <c r="C1813" s="46"/>
      <c r="D1813" s="46"/>
      <c r="E1813" s="46"/>
      <c r="F1813" s="46"/>
      <c r="G1813" s="46"/>
      <c r="H1813" s="46"/>
      <c r="I1813" s="46"/>
      <c r="J1813" s="46"/>
      <c r="K1813" s="46"/>
      <c r="L1813" s="46"/>
      <c r="M1813" s="46"/>
      <c r="N1813" s="46"/>
      <c r="O1813" s="46"/>
      <c r="P1813" s="46"/>
      <c r="Q1813" s="46"/>
      <c r="R1813" s="46"/>
      <c r="S1813" s="46"/>
      <c r="T1813" s="46"/>
      <c r="U1813" s="46"/>
      <c r="V1813" s="46"/>
      <c r="W1813" s="46"/>
      <c r="X1813" s="46"/>
    </row>
    <row r="1814" spans="1:24" ht="12.75" x14ac:dyDescent="0.2">
      <c r="A1814" s="45"/>
      <c r="B1814" s="46"/>
      <c r="C1814" s="46"/>
      <c r="D1814" s="46"/>
      <c r="E1814" s="46"/>
      <c r="F1814" s="46"/>
      <c r="G1814" s="46"/>
      <c r="H1814" s="46"/>
      <c r="I1814" s="46"/>
      <c r="J1814" s="46"/>
      <c r="K1814" s="46"/>
      <c r="L1814" s="46"/>
      <c r="M1814" s="46"/>
      <c r="N1814" s="46"/>
      <c r="O1814" s="46"/>
      <c r="P1814" s="46"/>
      <c r="Q1814" s="46"/>
      <c r="R1814" s="46"/>
      <c r="S1814" s="46"/>
      <c r="T1814" s="46"/>
      <c r="U1814" s="46"/>
      <c r="V1814" s="46"/>
      <c r="W1814" s="46"/>
      <c r="X1814" s="46"/>
    </row>
    <row r="1815" spans="1:24" ht="12.75" x14ac:dyDescent="0.2">
      <c r="A1815" s="45"/>
      <c r="B1815" s="46"/>
      <c r="C1815" s="46"/>
      <c r="D1815" s="46"/>
      <c r="E1815" s="46"/>
      <c r="F1815" s="46"/>
      <c r="G1815" s="46"/>
      <c r="H1815" s="46"/>
      <c r="I1815" s="46"/>
      <c r="J1815" s="46"/>
      <c r="K1815" s="46"/>
      <c r="L1815" s="46"/>
      <c r="M1815" s="46"/>
      <c r="N1815" s="46"/>
      <c r="O1815" s="46"/>
      <c r="P1815" s="46"/>
      <c r="Q1815" s="46"/>
      <c r="R1815" s="46"/>
      <c r="S1815" s="46"/>
      <c r="T1815" s="46"/>
      <c r="U1815" s="46"/>
      <c r="V1815" s="46"/>
      <c r="W1815" s="46"/>
      <c r="X1815" s="46"/>
    </row>
    <row r="1816" spans="1:24" ht="12.75" x14ac:dyDescent="0.2">
      <c r="A1816" s="45"/>
      <c r="B1816" s="46"/>
      <c r="C1816" s="46"/>
      <c r="D1816" s="46"/>
      <c r="E1816" s="46"/>
      <c r="F1816" s="46"/>
      <c r="G1816" s="46"/>
      <c r="H1816" s="46"/>
      <c r="I1816" s="46"/>
      <c r="J1816" s="46"/>
      <c r="K1816" s="46"/>
      <c r="L1816" s="46"/>
      <c r="M1816" s="46"/>
      <c r="N1816" s="46"/>
      <c r="O1816" s="46"/>
      <c r="P1816" s="46"/>
      <c r="Q1816" s="46"/>
      <c r="R1816" s="46"/>
      <c r="S1816" s="46"/>
      <c r="T1816" s="46"/>
      <c r="U1816" s="46"/>
      <c r="V1816" s="46"/>
      <c r="W1816" s="46"/>
      <c r="X1816" s="46"/>
    </row>
    <row r="1817" spans="1:24" ht="12.75" x14ac:dyDescent="0.2">
      <c r="A1817" s="45"/>
      <c r="B1817" s="46"/>
      <c r="C1817" s="46"/>
      <c r="D1817" s="46"/>
      <c r="E1817" s="46"/>
      <c r="F1817" s="46"/>
      <c r="G1817" s="46"/>
      <c r="H1817" s="46"/>
      <c r="I1817" s="46"/>
      <c r="J1817" s="46"/>
      <c r="K1817" s="46"/>
      <c r="L1817" s="46"/>
      <c r="M1817" s="46"/>
      <c r="N1817" s="46"/>
      <c r="O1817" s="46"/>
      <c r="P1817" s="46"/>
      <c r="Q1817" s="46"/>
      <c r="R1817" s="46"/>
      <c r="S1817" s="46"/>
      <c r="T1817" s="46"/>
      <c r="U1817" s="46"/>
      <c r="V1817" s="46"/>
      <c r="W1817" s="46"/>
      <c r="X1817" s="46"/>
    </row>
    <row r="1818" spans="1:24" ht="12.75" x14ac:dyDescent="0.2">
      <c r="A1818" s="45"/>
      <c r="B1818" s="46"/>
      <c r="C1818" s="46"/>
      <c r="D1818" s="46"/>
      <c r="E1818" s="46"/>
      <c r="F1818" s="46"/>
      <c r="G1818" s="46"/>
      <c r="H1818" s="46"/>
      <c r="I1818" s="46"/>
      <c r="J1818" s="46"/>
      <c r="K1818" s="46"/>
      <c r="L1818" s="46"/>
      <c r="M1818" s="46"/>
      <c r="N1818" s="46"/>
      <c r="O1818" s="46"/>
      <c r="P1818" s="46"/>
      <c r="Q1818" s="46"/>
      <c r="R1818" s="46"/>
      <c r="S1818" s="46"/>
      <c r="T1818" s="46"/>
      <c r="U1818" s="46"/>
      <c r="V1818" s="46"/>
      <c r="W1818" s="46"/>
      <c r="X1818" s="46"/>
    </row>
    <row r="1819" spans="1:24" ht="12.75" x14ac:dyDescent="0.2">
      <c r="A1819" s="45"/>
      <c r="B1819" s="46"/>
      <c r="C1819" s="46"/>
      <c r="D1819" s="46"/>
      <c r="E1819" s="46"/>
      <c r="F1819" s="46"/>
      <c r="G1819" s="46"/>
      <c r="H1819" s="46"/>
      <c r="I1819" s="46"/>
      <c r="J1819" s="46"/>
      <c r="K1819" s="46"/>
      <c r="L1819" s="46"/>
      <c r="M1819" s="46"/>
      <c r="N1819" s="46"/>
      <c r="O1819" s="46"/>
      <c r="P1819" s="46"/>
      <c r="Q1819" s="46"/>
      <c r="R1819" s="46"/>
      <c r="S1819" s="46"/>
      <c r="T1819" s="46"/>
      <c r="U1819" s="46"/>
      <c r="V1819" s="46"/>
      <c r="W1819" s="46"/>
      <c r="X1819" s="46"/>
    </row>
    <row r="1820" spans="1:24" ht="12.75" x14ac:dyDescent="0.2">
      <c r="A1820" s="45"/>
      <c r="B1820" s="46"/>
      <c r="C1820" s="46"/>
      <c r="D1820" s="46"/>
      <c r="E1820" s="46"/>
      <c r="F1820" s="46"/>
      <c r="G1820" s="46"/>
      <c r="H1820" s="46"/>
      <c r="I1820" s="46"/>
      <c r="J1820" s="46"/>
      <c r="K1820" s="46"/>
      <c r="L1820" s="46"/>
      <c r="M1820" s="46"/>
      <c r="N1820" s="46"/>
      <c r="O1820" s="46"/>
      <c r="P1820" s="46"/>
      <c r="Q1820" s="46"/>
      <c r="R1820" s="46"/>
      <c r="S1820" s="46"/>
      <c r="T1820" s="46"/>
      <c r="U1820" s="46"/>
      <c r="V1820" s="46"/>
      <c r="W1820" s="46"/>
      <c r="X1820" s="46"/>
    </row>
    <row r="1821" spans="1:24" ht="12.75" x14ac:dyDescent="0.2">
      <c r="A1821" s="45"/>
      <c r="B1821" s="46"/>
      <c r="C1821" s="46"/>
      <c r="D1821" s="46"/>
      <c r="E1821" s="46"/>
      <c r="F1821" s="46"/>
      <c r="G1821" s="46"/>
      <c r="H1821" s="46"/>
      <c r="I1821" s="46"/>
      <c r="J1821" s="46"/>
      <c r="K1821" s="46"/>
      <c r="L1821" s="46"/>
      <c r="M1821" s="46"/>
      <c r="N1821" s="46"/>
      <c r="O1821" s="46"/>
      <c r="P1821" s="46"/>
      <c r="Q1821" s="46"/>
      <c r="R1821" s="46"/>
      <c r="S1821" s="46"/>
      <c r="T1821" s="46"/>
      <c r="U1821" s="46"/>
      <c r="V1821" s="46"/>
      <c r="W1821" s="46"/>
      <c r="X1821" s="46"/>
    </row>
    <row r="1822" spans="1:24" ht="12.75" x14ac:dyDescent="0.2">
      <c r="A1822" s="45"/>
      <c r="B1822" s="46"/>
      <c r="C1822" s="46"/>
      <c r="D1822" s="46"/>
      <c r="E1822" s="46"/>
      <c r="F1822" s="46"/>
      <c r="G1822" s="46"/>
      <c r="H1822" s="46"/>
      <c r="I1822" s="46"/>
      <c r="J1822" s="46"/>
      <c r="K1822" s="46"/>
      <c r="L1822" s="46"/>
      <c r="M1822" s="46"/>
      <c r="N1822" s="46"/>
      <c r="O1822" s="46"/>
      <c r="P1822" s="46"/>
      <c r="Q1822" s="46"/>
      <c r="R1822" s="46"/>
      <c r="S1822" s="46"/>
      <c r="T1822" s="46"/>
      <c r="U1822" s="46"/>
      <c r="V1822" s="46"/>
      <c r="W1822" s="46"/>
      <c r="X1822" s="46"/>
    </row>
    <row r="1823" spans="1:24" ht="12.75" x14ac:dyDescent="0.2">
      <c r="A1823" s="45"/>
      <c r="B1823" s="46"/>
      <c r="C1823" s="46"/>
      <c r="D1823" s="46"/>
      <c r="E1823" s="46"/>
      <c r="F1823" s="46"/>
      <c r="G1823" s="46"/>
      <c r="H1823" s="46"/>
      <c r="I1823" s="46"/>
      <c r="J1823" s="46"/>
      <c r="K1823" s="46"/>
      <c r="L1823" s="46"/>
      <c r="M1823" s="46"/>
      <c r="N1823" s="46"/>
      <c r="O1823" s="46"/>
      <c r="P1823" s="46"/>
      <c r="Q1823" s="46"/>
      <c r="R1823" s="46"/>
      <c r="S1823" s="46"/>
      <c r="T1823" s="46"/>
      <c r="U1823" s="46"/>
      <c r="V1823" s="46"/>
      <c r="W1823" s="46"/>
      <c r="X1823" s="46"/>
    </row>
    <row r="1824" spans="1:24" ht="12.75" x14ac:dyDescent="0.2">
      <c r="A1824" s="45"/>
      <c r="B1824" s="46"/>
      <c r="C1824" s="46"/>
      <c r="D1824" s="46"/>
      <c r="E1824" s="46"/>
      <c r="F1824" s="46"/>
      <c r="G1824" s="46"/>
      <c r="H1824" s="46"/>
      <c r="I1824" s="46"/>
      <c r="J1824" s="46"/>
      <c r="K1824" s="46"/>
      <c r="L1824" s="46"/>
      <c r="M1824" s="46"/>
      <c r="N1824" s="46"/>
      <c r="O1824" s="46"/>
      <c r="P1824" s="46"/>
      <c r="Q1824" s="46"/>
      <c r="R1824" s="46"/>
      <c r="S1824" s="46"/>
      <c r="T1824" s="46"/>
      <c r="U1824" s="46"/>
      <c r="V1824" s="46"/>
      <c r="W1824" s="46"/>
      <c r="X1824" s="46"/>
    </row>
    <row r="1825" spans="1:24" ht="12.75" x14ac:dyDescent="0.2">
      <c r="A1825" s="45"/>
      <c r="B1825" s="46"/>
      <c r="C1825" s="46"/>
      <c r="D1825" s="46"/>
      <c r="E1825" s="46"/>
      <c r="F1825" s="46"/>
      <c r="G1825" s="46"/>
      <c r="H1825" s="46"/>
      <c r="I1825" s="46"/>
      <c r="J1825" s="46"/>
      <c r="K1825" s="46"/>
      <c r="L1825" s="46"/>
      <c r="M1825" s="46"/>
      <c r="N1825" s="46"/>
      <c r="O1825" s="46"/>
      <c r="P1825" s="46"/>
      <c r="Q1825" s="46"/>
      <c r="R1825" s="46"/>
      <c r="S1825" s="46"/>
      <c r="T1825" s="46"/>
      <c r="U1825" s="46"/>
      <c r="V1825" s="46"/>
      <c r="W1825" s="46"/>
      <c r="X1825" s="46"/>
    </row>
    <row r="1826" spans="1:24" ht="12.75" x14ac:dyDescent="0.2">
      <c r="A1826" s="45"/>
      <c r="B1826" s="46"/>
      <c r="C1826" s="46"/>
      <c r="D1826" s="46"/>
      <c r="E1826" s="46"/>
      <c r="F1826" s="46"/>
      <c r="G1826" s="46"/>
      <c r="H1826" s="46"/>
      <c r="I1826" s="46"/>
      <c r="J1826" s="46"/>
      <c r="K1826" s="46"/>
      <c r="L1826" s="46"/>
      <c r="M1826" s="46"/>
      <c r="N1826" s="46"/>
      <c r="O1826" s="46"/>
      <c r="P1826" s="46"/>
      <c r="Q1826" s="46"/>
      <c r="R1826" s="46"/>
      <c r="S1826" s="46"/>
      <c r="T1826" s="46"/>
      <c r="U1826" s="46"/>
      <c r="V1826" s="46"/>
      <c r="W1826" s="46"/>
      <c r="X1826" s="46"/>
    </row>
    <row r="1827" spans="1:24" ht="12.75" x14ac:dyDescent="0.2">
      <c r="A1827" s="45"/>
      <c r="B1827" s="46"/>
      <c r="C1827" s="46"/>
      <c r="D1827" s="46"/>
      <c r="E1827" s="46"/>
      <c r="F1827" s="46"/>
      <c r="G1827" s="46"/>
      <c r="H1827" s="46"/>
      <c r="I1827" s="46"/>
      <c r="J1827" s="46"/>
      <c r="K1827" s="46"/>
      <c r="L1827" s="46"/>
      <c r="M1827" s="46"/>
      <c r="N1827" s="46"/>
      <c r="O1827" s="46"/>
      <c r="P1827" s="46"/>
      <c r="Q1827" s="46"/>
      <c r="R1827" s="46"/>
      <c r="S1827" s="46"/>
      <c r="T1827" s="46"/>
      <c r="U1827" s="46"/>
      <c r="V1827" s="46"/>
      <c r="W1827" s="46"/>
      <c r="X1827" s="46"/>
    </row>
    <row r="1828" spans="1:24" ht="12.75" x14ac:dyDescent="0.2">
      <c r="A1828" s="45"/>
      <c r="B1828" s="46"/>
      <c r="C1828" s="46"/>
      <c r="D1828" s="46"/>
      <c r="E1828" s="46"/>
      <c r="F1828" s="46"/>
      <c r="G1828" s="46"/>
      <c r="H1828" s="46"/>
      <c r="I1828" s="46"/>
      <c r="J1828" s="46"/>
      <c r="K1828" s="46"/>
      <c r="L1828" s="46"/>
      <c r="M1828" s="46"/>
      <c r="N1828" s="46"/>
      <c r="O1828" s="46"/>
      <c r="P1828" s="46"/>
      <c r="Q1828" s="46"/>
      <c r="R1828" s="46"/>
      <c r="S1828" s="46"/>
      <c r="T1828" s="46"/>
      <c r="U1828" s="46"/>
      <c r="V1828" s="46"/>
      <c r="W1828" s="46"/>
      <c r="X1828" s="46"/>
    </row>
    <row r="1829" spans="1:24" ht="12.75" x14ac:dyDescent="0.2">
      <c r="A1829" s="45"/>
      <c r="B1829" s="46"/>
      <c r="C1829" s="46"/>
      <c r="D1829" s="46"/>
      <c r="E1829" s="46"/>
      <c r="F1829" s="46"/>
      <c r="G1829" s="46"/>
      <c r="H1829" s="46"/>
      <c r="I1829" s="46"/>
      <c r="J1829" s="46"/>
      <c r="K1829" s="46"/>
      <c r="L1829" s="46"/>
      <c r="M1829" s="46"/>
      <c r="N1829" s="46"/>
      <c r="O1829" s="46"/>
      <c r="P1829" s="46"/>
      <c r="Q1829" s="46"/>
      <c r="R1829" s="46"/>
      <c r="S1829" s="46"/>
      <c r="T1829" s="46"/>
      <c r="U1829" s="46"/>
      <c r="V1829" s="46"/>
      <c r="W1829" s="46"/>
      <c r="X1829" s="46"/>
    </row>
    <row r="1830" spans="1:24" ht="12.75" x14ac:dyDescent="0.2">
      <c r="A1830" s="45"/>
      <c r="B1830" s="46"/>
      <c r="C1830" s="46"/>
      <c r="D1830" s="46"/>
      <c r="E1830" s="46"/>
      <c r="F1830" s="46"/>
      <c r="G1830" s="46"/>
      <c r="H1830" s="46"/>
      <c r="I1830" s="46"/>
      <c r="J1830" s="46"/>
      <c r="K1830" s="46"/>
      <c r="L1830" s="46"/>
      <c r="M1830" s="46"/>
      <c r="N1830" s="46"/>
      <c r="O1830" s="46"/>
      <c r="P1830" s="46"/>
      <c r="Q1830" s="46"/>
      <c r="R1830" s="46"/>
      <c r="S1830" s="46"/>
      <c r="T1830" s="46"/>
      <c r="U1830" s="46"/>
      <c r="V1830" s="46"/>
      <c r="W1830" s="46"/>
      <c r="X1830" s="46"/>
    </row>
    <row r="1831" spans="1:24" ht="12.75" x14ac:dyDescent="0.2">
      <c r="A1831" s="45"/>
      <c r="B1831" s="46"/>
      <c r="C1831" s="46"/>
      <c r="D1831" s="46"/>
      <c r="E1831" s="46"/>
      <c r="F1831" s="46"/>
      <c r="G1831" s="46"/>
      <c r="H1831" s="46"/>
      <c r="I1831" s="46"/>
      <c r="J1831" s="46"/>
      <c r="K1831" s="46"/>
      <c r="L1831" s="46"/>
      <c r="M1831" s="46"/>
      <c r="N1831" s="46"/>
      <c r="O1831" s="46"/>
      <c r="P1831" s="46"/>
      <c r="Q1831" s="46"/>
      <c r="R1831" s="46"/>
      <c r="S1831" s="46"/>
      <c r="T1831" s="46"/>
      <c r="U1831" s="46"/>
      <c r="V1831" s="46"/>
      <c r="W1831" s="46"/>
      <c r="X1831" s="46"/>
    </row>
    <row r="1832" spans="1:24" ht="12.75" x14ac:dyDescent="0.2">
      <c r="A1832" s="45"/>
      <c r="B1832" s="46"/>
      <c r="C1832" s="46"/>
      <c r="D1832" s="46"/>
      <c r="E1832" s="46"/>
      <c r="F1832" s="46"/>
      <c r="G1832" s="46"/>
      <c r="H1832" s="46"/>
      <c r="I1832" s="46"/>
      <c r="J1832" s="46"/>
      <c r="K1832" s="46"/>
      <c r="L1832" s="46"/>
      <c r="M1832" s="46"/>
      <c r="N1832" s="46"/>
      <c r="O1832" s="46"/>
      <c r="P1832" s="46"/>
      <c r="Q1832" s="46"/>
      <c r="R1832" s="46"/>
      <c r="S1832" s="46"/>
      <c r="T1832" s="46"/>
      <c r="U1832" s="46"/>
      <c r="V1832" s="46"/>
      <c r="W1832" s="46"/>
      <c r="X1832" s="46"/>
    </row>
    <row r="1833" spans="1:24" ht="12.75" x14ac:dyDescent="0.2">
      <c r="A1833" s="45"/>
      <c r="B1833" s="46"/>
      <c r="C1833" s="46"/>
      <c r="D1833" s="46"/>
      <c r="E1833" s="46"/>
      <c r="F1833" s="46"/>
      <c r="G1833" s="46"/>
      <c r="H1833" s="46"/>
      <c r="I1833" s="46"/>
      <c r="J1833" s="46"/>
      <c r="K1833" s="46"/>
      <c r="L1833" s="46"/>
      <c r="M1833" s="46"/>
      <c r="N1833" s="46"/>
      <c r="O1833" s="46"/>
      <c r="P1833" s="46"/>
      <c r="Q1833" s="46"/>
      <c r="R1833" s="46"/>
      <c r="S1833" s="46"/>
      <c r="T1833" s="46"/>
      <c r="U1833" s="46"/>
      <c r="V1833" s="46"/>
      <c r="W1833" s="46"/>
      <c r="X1833" s="46"/>
    </row>
    <row r="1834" spans="1:24" ht="12.75" x14ac:dyDescent="0.2">
      <c r="A1834" s="45"/>
      <c r="B1834" s="46"/>
      <c r="C1834" s="46"/>
      <c r="D1834" s="46"/>
      <c r="E1834" s="46"/>
      <c r="F1834" s="46"/>
      <c r="G1834" s="46"/>
      <c r="H1834" s="46"/>
      <c r="I1834" s="46"/>
      <c r="J1834" s="46"/>
      <c r="K1834" s="46"/>
      <c r="L1834" s="46"/>
      <c r="M1834" s="46"/>
      <c r="N1834" s="46"/>
      <c r="O1834" s="46"/>
      <c r="P1834" s="46"/>
      <c r="Q1834" s="46"/>
      <c r="R1834" s="46"/>
      <c r="S1834" s="46"/>
      <c r="T1834" s="46"/>
      <c r="U1834" s="46"/>
      <c r="V1834" s="46"/>
      <c r="W1834" s="46"/>
      <c r="X1834" s="46"/>
    </row>
    <row r="1835" spans="1:24" ht="12.75" x14ac:dyDescent="0.2">
      <c r="A1835" s="45"/>
      <c r="B1835" s="46"/>
      <c r="C1835" s="46"/>
      <c r="D1835" s="46"/>
      <c r="E1835" s="46"/>
      <c r="F1835" s="46"/>
      <c r="G1835" s="46"/>
      <c r="H1835" s="46"/>
      <c r="I1835" s="46"/>
      <c r="J1835" s="46"/>
      <c r="K1835" s="46"/>
      <c r="L1835" s="46"/>
      <c r="M1835" s="46"/>
      <c r="N1835" s="46"/>
      <c r="O1835" s="46"/>
      <c r="P1835" s="46"/>
      <c r="Q1835" s="46"/>
      <c r="R1835" s="46"/>
      <c r="S1835" s="46"/>
      <c r="T1835" s="46"/>
      <c r="U1835" s="46"/>
      <c r="V1835" s="46"/>
      <c r="W1835" s="46"/>
      <c r="X1835" s="46"/>
    </row>
    <row r="1836" spans="1:24" ht="12.75" x14ac:dyDescent="0.2">
      <c r="A1836" s="45"/>
      <c r="B1836" s="46"/>
      <c r="C1836" s="46"/>
      <c r="D1836" s="46"/>
      <c r="E1836" s="46"/>
      <c r="F1836" s="46"/>
      <c r="G1836" s="46"/>
      <c r="H1836" s="46"/>
      <c r="I1836" s="46"/>
      <c r="J1836" s="46"/>
      <c r="K1836" s="46"/>
      <c r="L1836" s="46"/>
      <c r="M1836" s="46"/>
      <c r="N1836" s="46"/>
      <c r="O1836" s="46"/>
      <c r="P1836" s="46"/>
      <c r="Q1836" s="46"/>
      <c r="R1836" s="46"/>
      <c r="S1836" s="46"/>
      <c r="T1836" s="46"/>
      <c r="U1836" s="46"/>
      <c r="V1836" s="46"/>
      <c r="W1836" s="46"/>
      <c r="X1836" s="46"/>
    </row>
    <row r="1837" spans="1:24" ht="12.75" x14ac:dyDescent="0.2">
      <c r="A1837" s="45"/>
      <c r="B1837" s="46"/>
      <c r="C1837" s="46"/>
      <c r="D1837" s="46"/>
      <c r="E1837" s="46"/>
      <c r="F1837" s="46"/>
      <c r="G1837" s="46"/>
      <c r="H1837" s="46"/>
      <c r="I1837" s="46"/>
      <c r="J1837" s="46"/>
      <c r="K1837" s="46"/>
      <c r="L1837" s="46"/>
      <c r="M1837" s="46"/>
      <c r="N1837" s="46"/>
      <c r="O1837" s="46"/>
      <c r="P1837" s="46"/>
      <c r="Q1837" s="46"/>
      <c r="R1837" s="46"/>
      <c r="S1837" s="46"/>
      <c r="T1837" s="46"/>
      <c r="U1837" s="46"/>
      <c r="V1837" s="46"/>
      <c r="W1837" s="46"/>
      <c r="X1837" s="46"/>
    </row>
    <row r="1838" spans="1:24" ht="12.75" x14ac:dyDescent="0.2">
      <c r="A1838" s="45"/>
      <c r="B1838" s="46"/>
      <c r="C1838" s="46"/>
      <c r="D1838" s="46"/>
      <c r="E1838" s="46"/>
      <c r="F1838" s="46"/>
      <c r="G1838" s="46"/>
      <c r="H1838" s="46"/>
      <c r="I1838" s="46"/>
      <c r="J1838" s="46"/>
      <c r="K1838" s="46"/>
      <c r="L1838" s="46"/>
      <c r="M1838" s="46"/>
      <c r="N1838" s="46"/>
      <c r="O1838" s="46"/>
      <c r="P1838" s="46"/>
      <c r="Q1838" s="46"/>
      <c r="R1838" s="46"/>
      <c r="S1838" s="46"/>
      <c r="T1838" s="46"/>
      <c r="U1838" s="46"/>
      <c r="V1838" s="46"/>
      <c r="W1838" s="46"/>
      <c r="X1838" s="46"/>
    </row>
    <row r="1839" spans="1:24" ht="12.75" x14ac:dyDescent="0.2">
      <c r="A1839" s="45"/>
      <c r="B1839" s="46"/>
      <c r="C1839" s="46"/>
      <c r="D1839" s="46"/>
      <c r="E1839" s="46"/>
      <c r="F1839" s="46"/>
      <c r="G1839" s="46"/>
      <c r="H1839" s="46"/>
      <c r="I1839" s="46"/>
      <c r="J1839" s="46"/>
      <c r="K1839" s="46"/>
      <c r="L1839" s="46"/>
      <c r="M1839" s="46"/>
      <c r="N1839" s="46"/>
      <c r="O1839" s="46"/>
      <c r="P1839" s="46"/>
      <c r="Q1839" s="46"/>
      <c r="R1839" s="46"/>
      <c r="S1839" s="46"/>
      <c r="T1839" s="46"/>
      <c r="U1839" s="46"/>
      <c r="V1839" s="46"/>
      <c r="W1839" s="46"/>
      <c r="X1839" s="46"/>
    </row>
    <row r="1840" spans="1:24" ht="12.75" x14ac:dyDescent="0.2">
      <c r="A1840" s="45"/>
      <c r="B1840" s="46"/>
      <c r="C1840" s="46"/>
      <c r="D1840" s="46"/>
      <c r="E1840" s="46"/>
      <c r="F1840" s="46"/>
      <c r="G1840" s="46"/>
      <c r="H1840" s="46"/>
      <c r="I1840" s="46"/>
      <c r="J1840" s="46"/>
      <c r="K1840" s="46"/>
      <c r="L1840" s="46"/>
      <c r="M1840" s="46"/>
      <c r="N1840" s="46"/>
      <c r="O1840" s="46"/>
      <c r="P1840" s="46"/>
      <c r="Q1840" s="46"/>
      <c r="R1840" s="46"/>
      <c r="S1840" s="46"/>
      <c r="T1840" s="46"/>
      <c r="U1840" s="46"/>
      <c r="V1840" s="46"/>
      <c r="W1840" s="46"/>
      <c r="X1840" s="46"/>
    </row>
    <row r="1841" spans="1:24" ht="12.75" x14ac:dyDescent="0.2">
      <c r="A1841" s="45"/>
      <c r="B1841" s="46"/>
      <c r="C1841" s="46"/>
      <c r="D1841" s="46"/>
      <c r="E1841" s="46"/>
      <c r="F1841" s="46"/>
      <c r="G1841" s="46"/>
      <c r="H1841" s="46"/>
      <c r="I1841" s="46"/>
      <c r="J1841" s="46"/>
      <c r="K1841" s="46"/>
      <c r="L1841" s="46"/>
      <c r="M1841" s="46"/>
      <c r="N1841" s="46"/>
      <c r="O1841" s="46"/>
      <c r="P1841" s="46"/>
      <c r="Q1841" s="46"/>
      <c r="R1841" s="46"/>
      <c r="S1841" s="46"/>
      <c r="T1841" s="46"/>
      <c r="U1841" s="46"/>
      <c r="V1841" s="46"/>
      <c r="W1841" s="46"/>
      <c r="X1841" s="46"/>
    </row>
    <row r="1842" spans="1:24" ht="12.75" x14ac:dyDescent="0.2">
      <c r="A1842" s="45"/>
      <c r="B1842" s="46"/>
      <c r="C1842" s="46"/>
      <c r="D1842" s="46"/>
      <c r="E1842" s="46"/>
      <c r="F1842" s="46"/>
      <c r="G1842" s="46"/>
      <c r="H1842" s="46"/>
      <c r="I1842" s="46"/>
      <c r="J1842" s="46"/>
      <c r="K1842" s="46"/>
      <c r="L1842" s="46"/>
      <c r="M1842" s="46"/>
      <c r="N1842" s="46"/>
      <c r="O1842" s="46"/>
      <c r="P1842" s="46"/>
      <c r="Q1842" s="46"/>
      <c r="R1842" s="46"/>
      <c r="S1842" s="46"/>
      <c r="T1842" s="46"/>
      <c r="U1842" s="46"/>
      <c r="V1842" s="46"/>
      <c r="W1842" s="46"/>
      <c r="X1842" s="46"/>
    </row>
    <row r="1843" spans="1:24" ht="12.75" x14ac:dyDescent="0.2">
      <c r="A1843" s="45"/>
      <c r="B1843" s="46"/>
      <c r="C1843" s="46"/>
      <c r="D1843" s="46"/>
      <c r="E1843" s="46"/>
      <c r="F1843" s="46"/>
      <c r="G1843" s="46"/>
      <c r="H1843" s="46"/>
      <c r="I1843" s="46"/>
      <c r="J1843" s="46"/>
      <c r="K1843" s="46"/>
      <c r="L1843" s="46"/>
      <c r="M1843" s="46"/>
      <c r="N1843" s="46"/>
      <c r="O1843" s="46"/>
      <c r="P1843" s="46"/>
      <c r="Q1843" s="46"/>
      <c r="R1843" s="46"/>
      <c r="S1843" s="46"/>
      <c r="T1843" s="46"/>
      <c r="U1843" s="46"/>
      <c r="V1843" s="46"/>
      <c r="W1843" s="46"/>
      <c r="X1843" s="46"/>
    </row>
    <row r="1844" spans="1:24" ht="12.75" x14ac:dyDescent="0.2">
      <c r="A1844" s="45"/>
      <c r="B1844" s="46"/>
      <c r="C1844" s="46"/>
      <c r="D1844" s="46"/>
      <c r="E1844" s="46"/>
      <c r="F1844" s="46"/>
      <c r="G1844" s="46"/>
      <c r="H1844" s="46"/>
      <c r="I1844" s="46"/>
      <c r="J1844" s="46"/>
      <c r="K1844" s="46"/>
      <c r="L1844" s="46"/>
      <c r="M1844" s="46"/>
      <c r="N1844" s="46"/>
      <c r="O1844" s="46"/>
      <c r="P1844" s="46"/>
      <c r="Q1844" s="46"/>
      <c r="R1844" s="46"/>
      <c r="S1844" s="46"/>
      <c r="T1844" s="46"/>
      <c r="U1844" s="46"/>
      <c r="V1844" s="46"/>
      <c r="W1844" s="46"/>
      <c r="X1844" s="46"/>
    </row>
    <row r="1845" spans="1:24" ht="12.75" x14ac:dyDescent="0.2">
      <c r="A1845" s="45"/>
      <c r="B1845" s="46"/>
      <c r="C1845" s="46"/>
      <c r="D1845" s="46"/>
      <c r="E1845" s="46"/>
      <c r="F1845" s="46"/>
      <c r="G1845" s="46"/>
      <c r="H1845" s="46"/>
      <c r="I1845" s="46"/>
      <c r="J1845" s="46"/>
      <c r="K1845" s="46"/>
      <c r="L1845" s="46"/>
      <c r="M1845" s="46"/>
      <c r="N1845" s="46"/>
      <c r="O1845" s="46"/>
      <c r="P1845" s="46"/>
      <c r="Q1845" s="46"/>
      <c r="R1845" s="46"/>
      <c r="S1845" s="46"/>
      <c r="T1845" s="46"/>
      <c r="U1845" s="46"/>
      <c r="V1845" s="46"/>
      <c r="W1845" s="46"/>
      <c r="X1845" s="46"/>
    </row>
    <row r="1846" spans="1:24" ht="12.75" x14ac:dyDescent="0.2">
      <c r="A1846" s="45"/>
      <c r="B1846" s="46"/>
      <c r="C1846" s="46"/>
      <c r="D1846" s="46"/>
      <c r="E1846" s="46"/>
      <c r="F1846" s="46"/>
      <c r="G1846" s="46"/>
      <c r="H1846" s="46"/>
      <c r="I1846" s="46"/>
      <c r="J1846" s="46"/>
      <c r="K1846" s="46"/>
      <c r="L1846" s="46"/>
      <c r="M1846" s="46"/>
      <c r="N1846" s="46"/>
      <c r="O1846" s="46"/>
      <c r="P1846" s="46"/>
      <c r="Q1846" s="46"/>
      <c r="R1846" s="46"/>
      <c r="S1846" s="46"/>
      <c r="T1846" s="46"/>
      <c r="U1846" s="46"/>
      <c r="V1846" s="46"/>
      <c r="W1846" s="46"/>
      <c r="X1846" s="46"/>
    </row>
    <row r="1847" spans="1:24" ht="12.75" x14ac:dyDescent="0.2">
      <c r="A1847" s="45"/>
      <c r="B1847" s="46"/>
      <c r="C1847" s="46"/>
      <c r="D1847" s="46"/>
      <c r="E1847" s="46"/>
      <c r="F1847" s="46"/>
      <c r="G1847" s="46"/>
      <c r="H1847" s="46"/>
      <c r="I1847" s="46"/>
      <c r="J1847" s="46"/>
      <c r="K1847" s="46"/>
      <c r="L1847" s="46"/>
      <c r="M1847" s="46"/>
      <c r="N1847" s="46"/>
      <c r="O1847" s="46"/>
      <c r="P1847" s="46"/>
      <c r="Q1847" s="46"/>
      <c r="R1847" s="46"/>
      <c r="S1847" s="46"/>
      <c r="T1847" s="46"/>
      <c r="U1847" s="46"/>
      <c r="V1847" s="46"/>
      <c r="W1847" s="46"/>
      <c r="X1847" s="46"/>
    </row>
    <row r="1848" spans="1:24" ht="12.75" x14ac:dyDescent="0.2">
      <c r="A1848" s="45"/>
      <c r="B1848" s="46"/>
      <c r="C1848" s="46"/>
      <c r="D1848" s="46"/>
      <c r="E1848" s="46"/>
      <c r="F1848" s="46"/>
      <c r="G1848" s="46"/>
      <c r="H1848" s="46"/>
      <c r="I1848" s="46"/>
      <c r="J1848" s="46"/>
      <c r="K1848" s="46"/>
      <c r="L1848" s="46"/>
      <c r="M1848" s="46"/>
      <c r="N1848" s="46"/>
      <c r="O1848" s="46"/>
      <c r="P1848" s="46"/>
      <c r="Q1848" s="46"/>
      <c r="R1848" s="46"/>
      <c r="S1848" s="46"/>
      <c r="T1848" s="46"/>
      <c r="U1848" s="46"/>
      <c r="V1848" s="46"/>
      <c r="W1848" s="46"/>
      <c r="X1848" s="46"/>
    </row>
    <row r="1849" spans="1:24" ht="12.75" x14ac:dyDescent="0.2">
      <c r="A1849" s="45"/>
      <c r="B1849" s="46"/>
      <c r="C1849" s="46"/>
      <c r="D1849" s="46"/>
      <c r="E1849" s="46"/>
      <c r="F1849" s="46"/>
      <c r="G1849" s="46"/>
      <c r="H1849" s="46"/>
      <c r="I1849" s="46"/>
      <c r="J1849" s="46"/>
      <c r="K1849" s="46"/>
      <c r="L1849" s="46"/>
      <c r="M1849" s="46"/>
      <c r="N1849" s="46"/>
      <c r="O1849" s="46"/>
      <c r="P1849" s="46"/>
      <c r="Q1849" s="46"/>
      <c r="R1849" s="46"/>
      <c r="S1849" s="46"/>
      <c r="T1849" s="46"/>
      <c r="U1849" s="46"/>
      <c r="V1849" s="46"/>
      <c r="W1849" s="46"/>
      <c r="X1849" s="46"/>
    </row>
    <row r="1850" spans="1:24" ht="12.75" x14ac:dyDescent="0.2">
      <c r="A1850" s="45"/>
      <c r="B1850" s="46"/>
      <c r="C1850" s="46"/>
      <c r="D1850" s="46"/>
      <c r="E1850" s="46"/>
      <c r="F1850" s="46"/>
      <c r="G1850" s="46"/>
      <c r="H1850" s="46"/>
      <c r="I1850" s="46"/>
      <c r="J1850" s="46"/>
      <c r="K1850" s="46"/>
      <c r="L1850" s="46"/>
      <c r="M1850" s="46"/>
      <c r="N1850" s="46"/>
      <c r="O1850" s="46"/>
      <c r="P1850" s="46"/>
      <c r="Q1850" s="46"/>
      <c r="R1850" s="46"/>
      <c r="S1850" s="46"/>
      <c r="T1850" s="46"/>
      <c r="U1850" s="46"/>
      <c r="V1850" s="46"/>
      <c r="W1850" s="46"/>
      <c r="X1850" s="46"/>
    </row>
    <row r="1851" spans="1:24" ht="12.75" x14ac:dyDescent="0.2">
      <c r="A1851" s="45"/>
      <c r="B1851" s="46"/>
      <c r="C1851" s="46"/>
      <c r="D1851" s="46"/>
      <c r="E1851" s="46"/>
      <c r="F1851" s="46"/>
      <c r="G1851" s="46"/>
      <c r="H1851" s="46"/>
      <c r="I1851" s="46"/>
      <c r="J1851" s="46"/>
      <c r="K1851" s="46"/>
      <c r="L1851" s="46"/>
      <c r="M1851" s="46"/>
      <c r="N1851" s="46"/>
      <c r="O1851" s="46"/>
      <c r="P1851" s="46"/>
      <c r="Q1851" s="46"/>
      <c r="R1851" s="46"/>
      <c r="S1851" s="46"/>
      <c r="T1851" s="46"/>
      <c r="U1851" s="46"/>
      <c r="V1851" s="46"/>
      <c r="W1851" s="46"/>
      <c r="X1851" s="46"/>
    </row>
    <row r="1852" spans="1:24" ht="12.75" x14ac:dyDescent="0.2">
      <c r="A1852" s="45"/>
      <c r="B1852" s="46"/>
      <c r="C1852" s="46"/>
      <c r="D1852" s="46"/>
      <c r="E1852" s="46"/>
      <c r="F1852" s="46"/>
      <c r="G1852" s="46"/>
      <c r="H1852" s="46"/>
      <c r="I1852" s="46"/>
      <c r="J1852" s="46"/>
      <c r="K1852" s="46"/>
      <c r="L1852" s="46"/>
      <c r="M1852" s="46"/>
      <c r="N1852" s="46"/>
      <c r="O1852" s="46"/>
      <c r="P1852" s="46"/>
      <c r="Q1852" s="46"/>
      <c r="R1852" s="46"/>
      <c r="S1852" s="46"/>
      <c r="T1852" s="46"/>
      <c r="U1852" s="46"/>
      <c r="V1852" s="46"/>
      <c r="W1852" s="46"/>
      <c r="X1852" s="46"/>
    </row>
    <row r="1853" spans="1:24" ht="12.75" x14ac:dyDescent="0.2">
      <c r="A1853" s="45"/>
      <c r="B1853" s="46"/>
      <c r="C1853" s="46"/>
      <c r="D1853" s="46"/>
      <c r="E1853" s="46"/>
      <c r="F1853" s="46"/>
      <c r="G1853" s="46"/>
      <c r="H1853" s="46"/>
      <c r="I1853" s="46"/>
      <c r="J1853" s="46"/>
      <c r="K1853" s="46"/>
      <c r="L1853" s="46"/>
      <c r="M1853" s="46"/>
      <c r="N1853" s="46"/>
      <c r="O1853" s="46"/>
      <c r="P1853" s="46"/>
      <c r="Q1853" s="46"/>
      <c r="R1853" s="46"/>
      <c r="S1853" s="46"/>
      <c r="T1853" s="46"/>
      <c r="U1853" s="46"/>
      <c r="V1853" s="46"/>
      <c r="W1853" s="46"/>
      <c r="X1853" s="46"/>
    </row>
    <row r="1854" spans="1:24" ht="12.75" x14ac:dyDescent="0.2">
      <c r="A1854" s="45"/>
      <c r="B1854" s="46"/>
      <c r="C1854" s="46"/>
      <c r="D1854" s="46"/>
      <c r="E1854" s="46"/>
      <c r="F1854" s="46"/>
      <c r="G1854" s="46"/>
      <c r="H1854" s="46"/>
      <c r="I1854" s="46"/>
      <c r="J1854" s="46"/>
      <c r="K1854" s="46"/>
      <c r="L1854" s="46"/>
      <c r="M1854" s="46"/>
      <c r="N1854" s="46"/>
      <c r="O1854" s="46"/>
      <c r="P1854" s="46"/>
      <c r="Q1854" s="46"/>
      <c r="R1854" s="46"/>
      <c r="S1854" s="46"/>
      <c r="T1854" s="46"/>
      <c r="U1854" s="46"/>
      <c r="V1854" s="46"/>
      <c r="W1854" s="46"/>
      <c r="X1854" s="46"/>
    </row>
    <row r="1855" spans="1:24" ht="12.75" x14ac:dyDescent="0.2">
      <c r="A1855" s="45"/>
      <c r="B1855" s="46"/>
      <c r="C1855" s="46"/>
      <c r="D1855" s="46"/>
      <c r="E1855" s="46"/>
      <c r="F1855" s="46"/>
      <c r="G1855" s="46"/>
      <c r="H1855" s="46"/>
      <c r="I1855" s="46"/>
      <c r="J1855" s="46"/>
      <c r="K1855" s="46"/>
      <c r="L1855" s="46"/>
      <c r="M1855" s="46"/>
      <c r="N1855" s="46"/>
      <c r="O1855" s="46"/>
      <c r="P1855" s="46"/>
      <c r="Q1855" s="46"/>
      <c r="R1855" s="46"/>
      <c r="S1855" s="46"/>
      <c r="T1855" s="46"/>
      <c r="U1855" s="46"/>
      <c r="V1855" s="46"/>
      <c r="W1855" s="46"/>
      <c r="X1855" s="46"/>
    </row>
    <row r="1856" spans="1:24" ht="12.75" x14ac:dyDescent="0.2">
      <c r="A1856" s="45"/>
      <c r="B1856" s="46"/>
      <c r="C1856" s="46"/>
      <c r="D1856" s="46"/>
      <c r="E1856" s="46"/>
      <c r="F1856" s="46"/>
      <c r="G1856" s="46"/>
      <c r="H1856" s="46"/>
      <c r="I1856" s="46"/>
      <c r="J1856" s="46"/>
      <c r="K1856" s="46"/>
      <c r="L1856" s="46"/>
      <c r="M1856" s="46"/>
      <c r="N1856" s="46"/>
      <c r="O1856" s="46"/>
      <c r="P1856" s="46"/>
      <c r="Q1856" s="46"/>
      <c r="R1856" s="46"/>
      <c r="S1856" s="46"/>
      <c r="T1856" s="46"/>
      <c r="U1856" s="46"/>
      <c r="V1856" s="46"/>
      <c r="W1856" s="46"/>
      <c r="X1856" s="46"/>
    </row>
    <row r="1857" spans="1:24" ht="12.75" x14ac:dyDescent="0.2">
      <c r="A1857" s="45"/>
      <c r="B1857" s="46"/>
      <c r="C1857" s="46"/>
      <c r="D1857" s="46"/>
      <c r="E1857" s="46"/>
      <c r="F1857" s="46"/>
      <c r="G1857" s="46"/>
      <c r="H1857" s="46"/>
      <c r="I1857" s="46"/>
      <c r="J1857" s="46"/>
      <c r="K1857" s="46"/>
      <c r="L1857" s="46"/>
      <c r="M1857" s="46"/>
      <c r="N1857" s="46"/>
      <c r="O1857" s="46"/>
      <c r="P1857" s="46"/>
      <c r="Q1857" s="46"/>
      <c r="R1857" s="46"/>
      <c r="S1857" s="46"/>
      <c r="T1857" s="46"/>
      <c r="U1857" s="46"/>
      <c r="V1857" s="46"/>
      <c r="W1857" s="46"/>
      <c r="X1857" s="46"/>
    </row>
    <row r="1858" spans="1:24" ht="12.75" x14ac:dyDescent="0.2">
      <c r="A1858" s="45"/>
      <c r="B1858" s="46"/>
      <c r="C1858" s="46"/>
      <c r="D1858" s="46"/>
      <c r="E1858" s="46"/>
      <c r="F1858" s="46"/>
      <c r="G1858" s="46"/>
      <c r="H1858" s="46"/>
      <c r="I1858" s="46"/>
      <c r="J1858" s="46"/>
      <c r="K1858" s="46"/>
      <c r="L1858" s="46"/>
      <c r="M1858" s="46"/>
      <c r="N1858" s="46"/>
      <c r="O1858" s="46"/>
      <c r="P1858" s="46"/>
      <c r="Q1858" s="46"/>
      <c r="R1858" s="46"/>
      <c r="S1858" s="46"/>
      <c r="T1858" s="46"/>
      <c r="U1858" s="46"/>
      <c r="V1858" s="46"/>
      <c r="W1858" s="46"/>
      <c r="X1858" s="46"/>
    </row>
    <row r="1859" spans="1:24" ht="12.75" x14ac:dyDescent="0.2">
      <c r="A1859" s="45"/>
      <c r="B1859" s="46"/>
      <c r="C1859" s="46"/>
      <c r="D1859" s="46"/>
      <c r="E1859" s="46"/>
      <c r="F1859" s="46"/>
      <c r="G1859" s="46"/>
      <c r="H1859" s="46"/>
      <c r="I1859" s="46"/>
      <c r="J1859" s="46"/>
      <c r="K1859" s="46"/>
      <c r="L1859" s="46"/>
      <c r="M1859" s="46"/>
      <c r="N1859" s="46"/>
      <c r="O1859" s="46"/>
      <c r="P1859" s="46"/>
      <c r="Q1859" s="46"/>
      <c r="R1859" s="46"/>
      <c r="S1859" s="46"/>
      <c r="T1859" s="46"/>
      <c r="U1859" s="46"/>
      <c r="V1859" s="46"/>
      <c r="W1859" s="46"/>
      <c r="X1859" s="46"/>
    </row>
    <row r="1860" spans="1:24" ht="12.75" x14ac:dyDescent="0.2">
      <c r="A1860" s="45"/>
      <c r="B1860" s="46"/>
      <c r="C1860" s="46"/>
      <c r="D1860" s="46"/>
      <c r="E1860" s="46"/>
      <c r="F1860" s="46"/>
      <c r="G1860" s="46"/>
      <c r="H1860" s="46"/>
      <c r="I1860" s="46"/>
      <c r="J1860" s="46"/>
      <c r="K1860" s="46"/>
      <c r="L1860" s="46"/>
      <c r="M1860" s="46"/>
      <c r="N1860" s="46"/>
      <c r="O1860" s="46"/>
      <c r="P1860" s="46"/>
      <c r="Q1860" s="46"/>
      <c r="R1860" s="46"/>
      <c r="S1860" s="46"/>
      <c r="T1860" s="46"/>
      <c r="U1860" s="46"/>
      <c r="V1860" s="46"/>
      <c r="W1860" s="46"/>
      <c r="X1860" s="46"/>
    </row>
    <row r="1861" spans="1:24" ht="12.75" x14ac:dyDescent="0.2">
      <c r="A1861" s="45"/>
      <c r="B1861" s="46"/>
      <c r="C1861" s="46"/>
      <c r="D1861" s="46"/>
      <c r="E1861" s="46"/>
      <c r="F1861" s="46"/>
      <c r="G1861" s="46"/>
      <c r="H1861" s="46"/>
      <c r="I1861" s="46"/>
      <c r="J1861" s="46"/>
      <c r="K1861" s="46"/>
      <c r="L1861" s="46"/>
      <c r="M1861" s="46"/>
      <c r="N1861" s="46"/>
      <c r="O1861" s="46"/>
      <c r="P1861" s="46"/>
      <c r="Q1861" s="46"/>
      <c r="R1861" s="46"/>
      <c r="S1861" s="46"/>
      <c r="T1861" s="46"/>
      <c r="U1861" s="46"/>
      <c r="V1861" s="46"/>
      <c r="W1861" s="46"/>
      <c r="X1861" s="46"/>
    </row>
    <row r="1862" spans="1:24" ht="12.75" x14ac:dyDescent="0.2">
      <c r="A1862" s="45"/>
      <c r="B1862" s="46"/>
      <c r="C1862" s="46"/>
      <c r="D1862" s="46"/>
      <c r="E1862" s="46"/>
      <c r="F1862" s="46"/>
      <c r="G1862" s="46"/>
      <c r="H1862" s="46"/>
      <c r="I1862" s="46"/>
      <c r="J1862" s="46"/>
      <c r="K1862" s="46"/>
      <c r="L1862" s="46"/>
      <c r="M1862" s="46"/>
      <c r="N1862" s="46"/>
      <c r="O1862" s="46"/>
      <c r="P1862" s="46"/>
      <c r="Q1862" s="46"/>
      <c r="R1862" s="46"/>
      <c r="S1862" s="46"/>
      <c r="T1862" s="46"/>
      <c r="U1862" s="46"/>
      <c r="V1862" s="46"/>
      <c r="W1862" s="46"/>
      <c r="X1862" s="46"/>
    </row>
    <row r="1863" spans="1:24" ht="12.75" x14ac:dyDescent="0.2">
      <c r="A1863" s="45"/>
      <c r="B1863" s="46"/>
      <c r="C1863" s="46"/>
      <c r="D1863" s="46"/>
      <c r="E1863" s="46"/>
      <c r="F1863" s="46"/>
      <c r="G1863" s="46"/>
      <c r="H1863" s="46"/>
      <c r="I1863" s="46"/>
      <c r="J1863" s="46"/>
      <c r="K1863" s="46"/>
      <c r="L1863" s="46"/>
      <c r="M1863" s="46"/>
      <c r="N1863" s="46"/>
      <c r="O1863" s="46"/>
      <c r="P1863" s="46"/>
      <c r="Q1863" s="46"/>
      <c r="R1863" s="46"/>
      <c r="S1863" s="46"/>
      <c r="T1863" s="46"/>
      <c r="U1863" s="46"/>
      <c r="V1863" s="46"/>
      <c r="W1863" s="46"/>
      <c r="X1863" s="46"/>
    </row>
    <row r="1864" spans="1:24" ht="12.75" x14ac:dyDescent="0.2">
      <c r="A1864" s="45"/>
      <c r="B1864" s="46"/>
      <c r="C1864" s="46"/>
      <c r="D1864" s="46"/>
      <c r="E1864" s="46"/>
      <c r="F1864" s="46"/>
      <c r="G1864" s="46"/>
      <c r="H1864" s="46"/>
      <c r="I1864" s="46"/>
      <c r="J1864" s="46"/>
      <c r="K1864" s="46"/>
      <c r="L1864" s="46"/>
      <c r="M1864" s="46"/>
      <c r="N1864" s="46"/>
      <c r="O1864" s="46"/>
      <c r="P1864" s="46"/>
      <c r="Q1864" s="46"/>
      <c r="R1864" s="46"/>
      <c r="S1864" s="46"/>
      <c r="T1864" s="46"/>
      <c r="U1864" s="46"/>
      <c r="V1864" s="46"/>
      <c r="W1864" s="46"/>
      <c r="X1864" s="46"/>
    </row>
    <row r="1865" spans="1:24" ht="12.75" x14ac:dyDescent="0.2">
      <c r="A1865" s="45"/>
      <c r="B1865" s="46"/>
      <c r="C1865" s="46"/>
      <c r="D1865" s="46"/>
      <c r="E1865" s="46"/>
      <c r="F1865" s="46"/>
      <c r="G1865" s="46"/>
      <c r="H1865" s="46"/>
      <c r="I1865" s="46"/>
      <c r="J1865" s="46"/>
      <c r="K1865" s="46"/>
      <c r="L1865" s="46"/>
      <c r="M1865" s="46"/>
      <c r="N1865" s="46"/>
      <c r="O1865" s="46"/>
      <c r="P1865" s="46"/>
      <c r="Q1865" s="46"/>
      <c r="R1865" s="46"/>
      <c r="S1865" s="46"/>
      <c r="T1865" s="46"/>
      <c r="U1865" s="46"/>
      <c r="V1865" s="46"/>
      <c r="W1865" s="46"/>
      <c r="X1865" s="46"/>
    </row>
    <row r="1866" spans="1:24" ht="12.75" x14ac:dyDescent="0.2">
      <c r="A1866" s="45"/>
      <c r="B1866" s="46"/>
      <c r="C1866" s="46"/>
      <c r="D1866" s="46"/>
      <c r="E1866" s="46"/>
      <c r="F1866" s="46"/>
      <c r="G1866" s="46"/>
      <c r="H1866" s="46"/>
      <c r="I1866" s="46"/>
      <c r="J1866" s="46"/>
      <c r="K1866" s="46"/>
      <c r="L1866" s="46"/>
      <c r="M1866" s="46"/>
      <c r="N1866" s="46"/>
      <c r="O1866" s="46"/>
      <c r="P1866" s="46"/>
      <c r="Q1866" s="46"/>
      <c r="R1866" s="46"/>
      <c r="S1866" s="46"/>
      <c r="T1866" s="46"/>
      <c r="U1866" s="46"/>
      <c r="V1866" s="46"/>
      <c r="W1866" s="46"/>
      <c r="X1866" s="46"/>
    </row>
    <row r="1867" spans="1:24" ht="12.75" x14ac:dyDescent="0.2">
      <c r="A1867" s="45"/>
      <c r="B1867" s="46"/>
      <c r="C1867" s="46"/>
      <c r="D1867" s="46"/>
      <c r="E1867" s="46"/>
      <c r="F1867" s="46"/>
      <c r="G1867" s="46"/>
      <c r="H1867" s="46"/>
      <c r="I1867" s="46"/>
      <c r="J1867" s="46"/>
      <c r="K1867" s="46"/>
      <c r="L1867" s="46"/>
      <c r="M1867" s="46"/>
      <c r="N1867" s="46"/>
      <c r="O1867" s="46"/>
      <c r="P1867" s="46"/>
      <c r="Q1867" s="46"/>
      <c r="R1867" s="46"/>
      <c r="S1867" s="46"/>
      <c r="T1867" s="46"/>
      <c r="U1867" s="46"/>
      <c r="V1867" s="46"/>
      <c r="W1867" s="46"/>
      <c r="X1867" s="46"/>
    </row>
    <row r="1868" spans="1:24" ht="12.75" x14ac:dyDescent="0.2">
      <c r="A1868" s="45"/>
      <c r="B1868" s="46"/>
      <c r="C1868" s="46"/>
      <c r="D1868" s="46"/>
      <c r="E1868" s="46"/>
      <c r="F1868" s="46"/>
      <c r="G1868" s="46"/>
      <c r="H1868" s="46"/>
      <c r="I1868" s="46"/>
      <c r="J1868" s="46"/>
      <c r="K1868" s="46"/>
      <c r="L1868" s="46"/>
      <c r="M1868" s="46"/>
      <c r="N1868" s="46"/>
      <c r="O1868" s="46"/>
      <c r="P1868" s="46"/>
      <c r="Q1868" s="46"/>
      <c r="R1868" s="46"/>
      <c r="S1868" s="46"/>
      <c r="T1868" s="46"/>
      <c r="U1868" s="46"/>
      <c r="V1868" s="46"/>
      <c r="W1868" s="46"/>
      <c r="X1868" s="46"/>
    </row>
    <row r="1869" spans="1:24" ht="12.75" x14ac:dyDescent="0.2">
      <c r="A1869" s="45"/>
      <c r="B1869" s="46"/>
      <c r="C1869" s="46"/>
      <c r="D1869" s="46"/>
      <c r="E1869" s="46"/>
      <c r="F1869" s="46"/>
      <c r="G1869" s="46"/>
      <c r="H1869" s="46"/>
      <c r="I1869" s="46"/>
      <c r="J1869" s="46"/>
      <c r="K1869" s="46"/>
      <c r="L1869" s="46"/>
      <c r="M1869" s="46"/>
      <c r="N1869" s="46"/>
      <c r="O1869" s="46"/>
      <c r="P1869" s="46"/>
      <c r="Q1869" s="46"/>
      <c r="R1869" s="46"/>
      <c r="S1869" s="46"/>
      <c r="T1869" s="46"/>
      <c r="U1869" s="46"/>
      <c r="V1869" s="46"/>
      <c r="W1869" s="46"/>
      <c r="X1869" s="46"/>
    </row>
    <row r="1870" spans="1:24" ht="12.75" x14ac:dyDescent="0.2">
      <c r="A1870" s="45"/>
      <c r="B1870" s="46"/>
      <c r="C1870" s="46"/>
      <c r="D1870" s="46"/>
      <c r="E1870" s="46"/>
      <c r="F1870" s="46"/>
      <c r="G1870" s="46"/>
      <c r="H1870" s="46"/>
      <c r="I1870" s="46"/>
      <c r="J1870" s="46"/>
      <c r="K1870" s="46"/>
      <c r="L1870" s="46"/>
      <c r="M1870" s="46"/>
      <c r="N1870" s="46"/>
      <c r="O1870" s="46"/>
      <c r="P1870" s="46"/>
      <c r="Q1870" s="46"/>
      <c r="R1870" s="46"/>
      <c r="S1870" s="46"/>
      <c r="T1870" s="46"/>
      <c r="U1870" s="46"/>
      <c r="V1870" s="46"/>
      <c r="W1870" s="46"/>
      <c r="X1870" s="46"/>
    </row>
    <row r="1871" spans="1:24" ht="12.75" x14ac:dyDescent="0.2">
      <c r="A1871" s="45"/>
      <c r="B1871" s="46"/>
      <c r="C1871" s="46"/>
      <c r="D1871" s="46"/>
      <c r="E1871" s="46"/>
      <c r="F1871" s="46"/>
      <c r="G1871" s="46"/>
      <c r="H1871" s="46"/>
      <c r="I1871" s="46"/>
      <c r="J1871" s="46"/>
      <c r="K1871" s="46"/>
      <c r="L1871" s="46"/>
      <c r="M1871" s="46"/>
      <c r="N1871" s="46"/>
      <c r="O1871" s="46"/>
      <c r="P1871" s="46"/>
      <c r="Q1871" s="46"/>
      <c r="R1871" s="46"/>
      <c r="S1871" s="46"/>
      <c r="T1871" s="46"/>
      <c r="U1871" s="46"/>
      <c r="V1871" s="46"/>
      <c r="W1871" s="46"/>
      <c r="X1871" s="46"/>
    </row>
    <row r="1872" spans="1:24" ht="12.75" x14ac:dyDescent="0.2">
      <c r="A1872" s="45"/>
      <c r="B1872" s="46"/>
      <c r="C1872" s="46"/>
      <c r="D1872" s="46"/>
      <c r="E1872" s="46"/>
      <c r="F1872" s="46"/>
      <c r="G1872" s="46"/>
      <c r="H1872" s="46"/>
      <c r="I1872" s="46"/>
      <c r="J1872" s="46"/>
      <c r="K1872" s="46"/>
      <c r="L1872" s="46"/>
      <c r="M1872" s="46"/>
      <c r="N1872" s="46"/>
      <c r="O1872" s="46"/>
      <c r="P1872" s="46"/>
      <c r="Q1872" s="46"/>
      <c r="R1872" s="46"/>
      <c r="S1872" s="46"/>
      <c r="T1872" s="46"/>
      <c r="U1872" s="46"/>
      <c r="V1872" s="46"/>
      <c r="W1872" s="46"/>
      <c r="X1872" s="46"/>
    </row>
    <row r="1873" spans="1:24" ht="12.75" x14ac:dyDescent="0.2">
      <c r="A1873" s="45"/>
      <c r="B1873" s="46"/>
      <c r="C1873" s="46"/>
      <c r="D1873" s="46"/>
      <c r="E1873" s="46"/>
      <c r="F1873" s="46"/>
      <c r="G1873" s="46"/>
      <c r="H1873" s="46"/>
      <c r="I1873" s="46"/>
      <c r="J1873" s="46"/>
      <c r="K1873" s="46"/>
      <c r="L1873" s="46"/>
      <c r="M1873" s="46"/>
      <c r="N1873" s="46"/>
      <c r="O1873" s="46"/>
      <c r="P1873" s="46"/>
      <c r="Q1873" s="46"/>
      <c r="R1873" s="46"/>
      <c r="S1873" s="46"/>
      <c r="T1873" s="46"/>
      <c r="U1873" s="46"/>
      <c r="V1873" s="46"/>
      <c r="W1873" s="46"/>
      <c r="X1873" s="46"/>
    </row>
    <row r="1874" spans="1:24" ht="12.75" x14ac:dyDescent="0.2">
      <c r="A1874" s="45"/>
      <c r="B1874" s="46"/>
      <c r="C1874" s="46"/>
      <c r="D1874" s="46"/>
      <c r="E1874" s="46"/>
      <c r="F1874" s="46"/>
      <c r="G1874" s="46"/>
      <c r="H1874" s="46"/>
      <c r="I1874" s="46"/>
      <c r="J1874" s="46"/>
      <c r="K1874" s="46"/>
      <c r="L1874" s="46"/>
      <c r="M1874" s="46"/>
      <c r="N1874" s="46"/>
      <c r="O1874" s="46"/>
      <c r="P1874" s="46"/>
      <c r="Q1874" s="46"/>
      <c r="R1874" s="46"/>
      <c r="S1874" s="46"/>
      <c r="T1874" s="46"/>
      <c r="U1874" s="46"/>
      <c r="V1874" s="46"/>
      <c r="W1874" s="46"/>
      <c r="X1874" s="46"/>
    </row>
    <row r="1875" spans="1:24" ht="12.75" x14ac:dyDescent="0.2">
      <c r="A1875" s="45"/>
      <c r="B1875" s="46"/>
      <c r="C1875" s="46"/>
      <c r="D1875" s="46"/>
      <c r="E1875" s="46"/>
      <c r="F1875" s="46"/>
      <c r="G1875" s="46"/>
      <c r="H1875" s="46"/>
      <c r="I1875" s="46"/>
      <c r="J1875" s="46"/>
      <c r="K1875" s="46"/>
      <c r="L1875" s="46"/>
      <c r="M1875" s="46"/>
      <c r="N1875" s="46"/>
      <c r="O1875" s="46"/>
      <c r="P1875" s="46"/>
      <c r="Q1875" s="46"/>
      <c r="R1875" s="46"/>
      <c r="S1875" s="46"/>
      <c r="T1875" s="46"/>
      <c r="U1875" s="46"/>
      <c r="V1875" s="46"/>
      <c r="W1875" s="46"/>
      <c r="X1875" s="46"/>
    </row>
    <row r="1876" spans="1:24" ht="12.75" x14ac:dyDescent="0.2">
      <c r="A1876" s="45"/>
      <c r="B1876" s="46"/>
      <c r="C1876" s="46"/>
      <c r="D1876" s="46"/>
      <c r="E1876" s="46"/>
      <c r="F1876" s="46"/>
      <c r="G1876" s="46"/>
      <c r="H1876" s="46"/>
      <c r="I1876" s="46"/>
      <c r="J1876" s="46"/>
      <c r="K1876" s="46"/>
      <c r="L1876" s="46"/>
      <c r="M1876" s="46"/>
      <c r="N1876" s="46"/>
      <c r="O1876" s="46"/>
      <c r="P1876" s="46"/>
      <c r="Q1876" s="46"/>
      <c r="R1876" s="46"/>
      <c r="S1876" s="46"/>
      <c r="T1876" s="46"/>
      <c r="U1876" s="46"/>
      <c r="V1876" s="46"/>
      <c r="W1876" s="46"/>
      <c r="X1876" s="46"/>
    </row>
    <row r="1877" spans="1:24" ht="12.75" x14ac:dyDescent="0.2">
      <c r="A1877" s="45"/>
      <c r="B1877" s="46"/>
      <c r="C1877" s="46"/>
      <c r="D1877" s="46"/>
      <c r="E1877" s="46"/>
      <c r="F1877" s="46"/>
      <c r="G1877" s="46"/>
      <c r="H1877" s="46"/>
      <c r="I1877" s="46"/>
      <c r="J1877" s="46"/>
      <c r="K1877" s="46"/>
      <c r="L1877" s="46"/>
      <c r="M1877" s="46"/>
      <c r="N1877" s="46"/>
      <c r="O1877" s="46"/>
      <c r="P1877" s="46"/>
      <c r="Q1877" s="46"/>
      <c r="R1877" s="46"/>
      <c r="S1877" s="46"/>
      <c r="T1877" s="46"/>
      <c r="U1877" s="46"/>
      <c r="V1877" s="46"/>
      <c r="W1877" s="46"/>
      <c r="X1877" s="46"/>
    </row>
    <row r="1878" spans="1:24" ht="12.75" x14ac:dyDescent="0.2">
      <c r="A1878" s="45"/>
      <c r="B1878" s="46"/>
      <c r="C1878" s="46"/>
      <c r="D1878" s="46"/>
      <c r="E1878" s="46"/>
      <c r="F1878" s="46"/>
      <c r="G1878" s="46"/>
      <c r="H1878" s="46"/>
      <c r="I1878" s="46"/>
      <c r="J1878" s="46"/>
      <c r="K1878" s="46"/>
      <c r="L1878" s="46"/>
      <c r="M1878" s="46"/>
      <c r="N1878" s="46"/>
      <c r="O1878" s="46"/>
      <c r="P1878" s="46"/>
      <c r="Q1878" s="46"/>
      <c r="R1878" s="46"/>
      <c r="S1878" s="46"/>
      <c r="T1878" s="46"/>
      <c r="U1878" s="46"/>
      <c r="V1878" s="46"/>
      <c r="W1878" s="46"/>
      <c r="X1878" s="46"/>
    </row>
    <row r="1879" spans="1:24" ht="12.75" x14ac:dyDescent="0.2">
      <c r="A1879" s="45"/>
      <c r="B1879" s="46"/>
      <c r="C1879" s="46"/>
      <c r="D1879" s="46"/>
      <c r="E1879" s="46"/>
      <c r="F1879" s="46"/>
      <c r="G1879" s="46"/>
      <c r="H1879" s="46"/>
      <c r="I1879" s="46"/>
      <c r="J1879" s="46"/>
      <c r="K1879" s="46"/>
      <c r="L1879" s="46"/>
      <c r="M1879" s="46"/>
      <c r="N1879" s="46"/>
      <c r="O1879" s="46"/>
      <c r="P1879" s="46"/>
      <c r="Q1879" s="46"/>
      <c r="R1879" s="46"/>
      <c r="S1879" s="46"/>
      <c r="T1879" s="46"/>
      <c r="U1879" s="46"/>
      <c r="V1879" s="46"/>
      <c r="W1879" s="46"/>
      <c r="X1879" s="46"/>
    </row>
    <row r="1880" spans="1:24" ht="12.75" x14ac:dyDescent="0.2">
      <c r="A1880" s="45"/>
      <c r="B1880" s="46"/>
      <c r="C1880" s="46"/>
      <c r="D1880" s="46"/>
      <c r="E1880" s="46"/>
      <c r="F1880" s="46"/>
      <c r="G1880" s="46"/>
      <c r="H1880" s="46"/>
      <c r="I1880" s="46"/>
      <c r="J1880" s="46"/>
      <c r="K1880" s="46"/>
      <c r="L1880" s="46"/>
      <c r="M1880" s="46"/>
      <c r="N1880" s="46"/>
      <c r="O1880" s="46"/>
      <c r="P1880" s="46"/>
      <c r="Q1880" s="46"/>
      <c r="R1880" s="46"/>
      <c r="S1880" s="46"/>
      <c r="T1880" s="46"/>
      <c r="U1880" s="46"/>
      <c r="V1880" s="46"/>
      <c r="W1880" s="46"/>
      <c r="X1880" s="46"/>
    </row>
    <row r="1881" spans="1:24" ht="12.75" x14ac:dyDescent="0.2">
      <c r="A1881" s="45"/>
      <c r="B1881" s="46"/>
      <c r="C1881" s="46"/>
      <c r="D1881" s="46"/>
      <c r="E1881" s="46"/>
      <c r="F1881" s="46"/>
      <c r="G1881" s="46"/>
      <c r="H1881" s="46"/>
      <c r="I1881" s="46"/>
      <c r="J1881" s="46"/>
      <c r="K1881" s="46"/>
      <c r="L1881" s="46"/>
      <c r="M1881" s="46"/>
      <c r="N1881" s="46"/>
      <c r="O1881" s="46"/>
      <c r="P1881" s="46"/>
      <c r="Q1881" s="46"/>
      <c r="R1881" s="46"/>
      <c r="S1881" s="46"/>
      <c r="T1881" s="46"/>
      <c r="U1881" s="46"/>
      <c r="V1881" s="46"/>
      <c r="W1881" s="46"/>
      <c r="X1881" s="46"/>
    </row>
    <row r="1882" spans="1:24" ht="12.75" x14ac:dyDescent="0.2">
      <c r="A1882" s="45"/>
      <c r="B1882" s="46"/>
      <c r="C1882" s="46"/>
      <c r="D1882" s="46"/>
      <c r="E1882" s="46"/>
      <c r="F1882" s="46"/>
      <c r="G1882" s="46"/>
      <c r="H1882" s="46"/>
      <c r="I1882" s="46"/>
      <c r="J1882" s="46"/>
      <c r="K1882" s="46"/>
      <c r="L1882" s="46"/>
      <c r="M1882" s="46"/>
      <c r="N1882" s="46"/>
      <c r="O1882" s="46"/>
      <c r="P1882" s="46"/>
      <c r="Q1882" s="46"/>
      <c r="R1882" s="46"/>
      <c r="S1882" s="46"/>
      <c r="T1882" s="46"/>
      <c r="U1882" s="46"/>
      <c r="V1882" s="46"/>
      <c r="W1882" s="46"/>
      <c r="X1882" s="46"/>
    </row>
    <row r="1883" spans="1:24" ht="12.75" x14ac:dyDescent="0.2">
      <c r="A1883" s="45"/>
      <c r="B1883" s="46"/>
      <c r="C1883" s="46"/>
      <c r="D1883" s="46"/>
      <c r="E1883" s="46"/>
      <c r="F1883" s="46"/>
      <c r="G1883" s="46"/>
      <c r="H1883" s="46"/>
      <c r="I1883" s="46"/>
      <c r="J1883" s="46"/>
      <c r="K1883" s="46"/>
      <c r="L1883" s="46"/>
      <c r="M1883" s="46"/>
      <c r="N1883" s="46"/>
      <c r="O1883" s="46"/>
      <c r="P1883" s="46"/>
      <c r="Q1883" s="46"/>
      <c r="R1883" s="46"/>
      <c r="S1883" s="46"/>
      <c r="T1883" s="46"/>
      <c r="U1883" s="46"/>
      <c r="V1883" s="46"/>
      <c r="W1883" s="46"/>
      <c r="X1883" s="46"/>
    </row>
    <row r="1884" spans="1:24" ht="12.75" x14ac:dyDescent="0.2">
      <c r="A1884" s="45"/>
      <c r="B1884" s="46"/>
      <c r="C1884" s="46"/>
      <c r="D1884" s="46"/>
      <c r="E1884" s="46"/>
      <c r="F1884" s="46"/>
      <c r="G1884" s="46"/>
      <c r="H1884" s="46"/>
      <c r="I1884" s="46"/>
      <c r="J1884" s="46"/>
      <c r="K1884" s="46"/>
      <c r="L1884" s="46"/>
      <c r="M1884" s="46"/>
      <c r="N1884" s="46"/>
      <c r="O1884" s="46"/>
      <c r="P1884" s="46"/>
      <c r="Q1884" s="46"/>
      <c r="R1884" s="46"/>
      <c r="S1884" s="46"/>
      <c r="T1884" s="46"/>
      <c r="U1884" s="46"/>
      <c r="V1884" s="46"/>
      <c r="W1884" s="46"/>
      <c r="X1884" s="46"/>
    </row>
    <row r="1885" spans="1:24" ht="12.75" x14ac:dyDescent="0.2">
      <c r="A1885" s="45"/>
      <c r="B1885" s="46"/>
      <c r="C1885" s="46"/>
      <c r="D1885" s="46"/>
      <c r="E1885" s="46"/>
      <c r="F1885" s="46"/>
      <c r="G1885" s="46"/>
      <c r="H1885" s="46"/>
      <c r="I1885" s="46"/>
      <c r="J1885" s="46"/>
      <c r="K1885" s="46"/>
      <c r="L1885" s="46"/>
      <c r="M1885" s="46"/>
      <c r="N1885" s="46"/>
      <c r="O1885" s="46"/>
      <c r="P1885" s="46"/>
      <c r="Q1885" s="46"/>
      <c r="R1885" s="46"/>
      <c r="S1885" s="46"/>
      <c r="T1885" s="46"/>
      <c r="U1885" s="46"/>
      <c r="V1885" s="46"/>
      <c r="W1885" s="46"/>
      <c r="X1885" s="46"/>
    </row>
    <row r="1886" spans="1:24" ht="12.75" x14ac:dyDescent="0.2">
      <c r="A1886" s="45"/>
      <c r="B1886" s="46"/>
      <c r="C1886" s="46"/>
      <c r="D1886" s="46"/>
      <c r="E1886" s="46"/>
      <c r="F1886" s="46"/>
      <c r="G1886" s="46"/>
      <c r="H1886" s="46"/>
      <c r="I1886" s="46"/>
      <c r="J1886" s="46"/>
      <c r="K1886" s="46"/>
      <c r="L1886" s="46"/>
      <c r="M1886" s="46"/>
      <c r="N1886" s="46"/>
      <c r="O1886" s="46"/>
      <c r="P1886" s="46"/>
      <c r="Q1886" s="46"/>
      <c r="R1886" s="46"/>
      <c r="S1886" s="46"/>
      <c r="T1886" s="46"/>
      <c r="U1886" s="46"/>
      <c r="V1886" s="46"/>
      <c r="W1886" s="46"/>
      <c r="X1886" s="46"/>
    </row>
    <row r="1887" spans="1:24" ht="12.75" x14ac:dyDescent="0.2">
      <c r="A1887" s="45"/>
      <c r="B1887" s="46"/>
      <c r="C1887" s="46"/>
      <c r="D1887" s="46"/>
      <c r="E1887" s="46"/>
      <c r="F1887" s="46"/>
      <c r="G1887" s="46"/>
      <c r="H1887" s="46"/>
      <c r="I1887" s="46"/>
      <c r="J1887" s="46"/>
      <c r="K1887" s="46"/>
      <c r="L1887" s="46"/>
      <c r="M1887" s="46"/>
      <c r="N1887" s="46"/>
      <c r="O1887" s="46"/>
      <c r="P1887" s="46"/>
      <c r="Q1887" s="46"/>
      <c r="R1887" s="46"/>
      <c r="S1887" s="46"/>
      <c r="T1887" s="46"/>
      <c r="U1887" s="46"/>
      <c r="V1887" s="46"/>
      <c r="W1887" s="46"/>
      <c r="X1887" s="46"/>
    </row>
    <row r="1888" spans="1:24" ht="12.75" x14ac:dyDescent="0.2">
      <c r="A1888" s="45"/>
      <c r="B1888" s="46"/>
      <c r="C1888" s="46"/>
      <c r="D1888" s="46"/>
      <c r="E1888" s="46"/>
      <c r="F1888" s="46"/>
      <c r="G1888" s="46"/>
      <c r="H1888" s="46"/>
      <c r="I1888" s="46"/>
      <c r="J1888" s="46"/>
      <c r="K1888" s="46"/>
      <c r="L1888" s="46"/>
      <c r="M1888" s="46"/>
      <c r="N1888" s="46"/>
      <c r="O1888" s="46"/>
      <c r="P1888" s="46"/>
      <c r="Q1888" s="46"/>
      <c r="R1888" s="46"/>
      <c r="S1888" s="46"/>
      <c r="T1888" s="46"/>
      <c r="U1888" s="46"/>
      <c r="V1888" s="46"/>
      <c r="W1888" s="46"/>
      <c r="X1888" s="46"/>
    </row>
    <row r="1889" spans="1:24" ht="12.75" x14ac:dyDescent="0.2">
      <c r="A1889" s="45"/>
      <c r="B1889" s="46"/>
      <c r="C1889" s="46"/>
      <c r="D1889" s="46"/>
      <c r="E1889" s="46"/>
      <c r="F1889" s="46"/>
      <c r="G1889" s="46"/>
      <c r="H1889" s="46"/>
      <c r="I1889" s="46"/>
      <c r="J1889" s="46"/>
      <c r="K1889" s="46"/>
      <c r="L1889" s="46"/>
      <c r="M1889" s="46"/>
      <c r="N1889" s="46"/>
      <c r="O1889" s="46"/>
      <c r="P1889" s="46"/>
      <c r="Q1889" s="46"/>
      <c r="R1889" s="46"/>
      <c r="S1889" s="46"/>
      <c r="T1889" s="46"/>
      <c r="U1889" s="46"/>
      <c r="V1889" s="46"/>
      <c r="W1889" s="46"/>
      <c r="X1889" s="46"/>
    </row>
    <row r="1890" spans="1:24" ht="12.75" x14ac:dyDescent="0.2">
      <c r="A1890" s="45"/>
      <c r="B1890" s="46"/>
      <c r="C1890" s="46"/>
      <c r="D1890" s="46"/>
      <c r="E1890" s="46"/>
      <c r="F1890" s="46"/>
      <c r="G1890" s="46"/>
      <c r="H1890" s="46"/>
      <c r="I1890" s="46"/>
      <c r="J1890" s="46"/>
      <c r="K1890" s="46"/>
      <c r="L1890" s="46"/>
      <c r="M1890" s="46"/>
      <c r="N1890" s="46"/>
      <c r="O1890" s="46"/>
      <c r="P1890" s="46"/>
      <c r="Q1890" s="46"/>
      <c r="R1890" s="46"/>
      <c r="S1890" s="46"/>
      <c r="T1890" s="46"/>
      <c r="U1890" s="46"/>
      <c r="V1890" s="46"/>
      <c r="W1890" s="46"/>
      <c r="X1890" s="46"/>
    </row>
    <row r="1891" spans="1:24" ht="12.75" x14ac:dyDescent="0.2">
      <c r="A1891" s="45"/>
      <c r="B1891" s="46"/>
      <c r="C1891" s="46"/>
      <c r="D1891" s="46"/>
      <c r="E1891" s="46"/>
      <c r="F1891" s="46"/>
      <c r="G1891" s="46"/>
      <c r="H1891" s="46"/>
      <c r="I1891" s="46"/>
      <c r="J1891" s="46"/>
      <c r="K1891" s="46"/>
      <c r="L1891" s="46"/>
      <c r="M1891" s="46"/>
      <c r="N1891" s="46"/>
      <c r="O1891" s="46"/>
      <c r="P1891" s="46"/>
      <c r="Q1891" s="46"/>
      <c r="R1891" s="46"/>
      <c r="S1891" s="46"/>
      <c r="T1891" s="46"/>
      <c r="U1891" s="46"/>
      <c r="V1891" s="46"/>
      <c r="W1891" s="46"/>
      <c r="X1891" s="46"/>
    </row>
    <row r="1892" spans="1:24" ht="12.75" x14ac:dyDescent="0.2">
      <c r="A1892" s="45"/>
      <c r="B1892" s="46"/>
      <c r="C1892" s="46"/>
      <c r="D1892" s="46"/>
      <c r="E1892" s="46"/>
      <c r="F1892" s="46"/>
      <c r="G1892" s="46"/>
      <c r="H1892" s="46"/>
      <c r="I1892" s="46"/>
      <c r="J1892" s="46"/>
      <c r="K1892" s="46"/>
      <c r="L1892" s="46"/>
      <c r="M1892" s="46"/>
      <c r="N1892" s="46"/>
      <c r="O1892" s="46"/>
      <c r="P1892" s="46"/>
      <c r="Q1892" s="46"/>
      <c r="R1892" s="46"/>
      <c r="S1892" s="46"/>
      <c r="T1892" s="46"/>
      <c r="U1892" s="46"/>
      <c r="V1892" s="46"/>
      <c r="W1892" s="46"/>
      <c r="X1892" s="46"/>
    </row>
    <row r="1893" spans="1:24" ht="12.75" x14ac:dyDescent="0.2">
      <c r="A1893" s="45"/>
      <c r="B1893" s="46"/>
      <c r="C1893" s="46"/>
      <c r="D1893" s="46"/>
      <c r="E1893" s="46"/>
      <c r="F1893" s="46"/>
      <c r="G1893" s="46"/>
      <c r="H1893" s="46"/>
      <c r="I1893" s="46"/>
      <c r="J1893" s="46"/>
      <c r="K1893" s="46"/>
      <c r="L1893" s="46"/>
      <c r="M1893" s="46"/>
      <c r="N1893" s="46"/>
      <c r="O1893" s="46"/>
      <c r="P1893" s="46"/>
      <c r="Q1893" s="46"/>
      <c r="R1893" s="46"/>
      <c r="S1893" s="46"/>
      <c r="T1893" s="46"/>
      <c r="U1893" s="46"/>
      <c r="V1893" s="46"/>
      <c r="W1893" s="46"/>
      <c r="X1893" s="46"/>
    </row>
    <row r="1894" spans="1:24" ht="12.75" x14ac:dyDescent="0.2">
      <c r="A1894" s="45"/>
      <c r="B1894" s="46"/>
      <c r="C1894" s="46"/>
      <c r="D1894" s="46"/>
      <c r="E1894" s="46"/>
      <c r="F1894" s="46"/>
      <c r="G1894" s="46"/>
      <c r="H1894" s="46"/>
      <c r="I1894" s="46"/>
      <c r="J1894" s="46"/>
      <c r="K1894" s="46"/>
      <c r="L1894" s="46"/>
      <c r="M1894" s="46"/>
      <c r="N1894" s="46"/>
      <c r="O1894" s="46"/>
      <c r="P1894" s="46"/>
      <c r="Q1894" s="46"/>
      <c r="R1894" s="46"/>
      <c r="S1894" s="46"/>
      <c r="T1894" s="46"/>
      <c r="U1894" s="46"/>
      <c r="V1894" s="46"/>
      <c r="W1894" s="46"/>
      <c r="X1894" s="46"/>
    </row>
    <row r="1895" spans="1:24" ht="12.75" x14ac:dyDescent="0.2">
      <c r="A1895" s="45"/>
      <c r="B1895" s="46"/>
      <c r="C1895" s="46"/>
      <c r="D1895" s="46"/>
      <c r="E1895" s="46"/>
      <c r="F1895" s="46"/>
      <c r="G1895" s="46"/>
      <c r="H1895" s="46"/>
      <c r="I1895" s="46"/>
      <c r="J1895" s="46"/>
      <c r="K1895" s="46"/>
      <c r="L1895" s="46"/>
      <c r="M1895" s="46"/>
      <c r="N1895" s="46"/>
      <c r="O1895" s="46"/>
      <c r="P1895" s="46"/>
      <c r="Q1895" s="46"/>
      <c r="R1895" s="46"/>
      <c r="S1895" s="46"/>
      <c r="T1895" s="46"/>
      <c r="U1895" s="46"/>
      <c r="V1895" s="46"/>
      <c r="W1895" s="46"/>
      <c r="X1895" s="46"/>
    </row>
    <row r="1896" spans="1:24" ht="12.75" x14ac:dyDescent="0.2">
      <c r="A1896" s="45"/>
      <c r="B1896" s="46"/>
      <c r="C1896" s="46"/>
      <c r="D1896" s="46"/>
      <c r="E1896" s="46"/>
      <c r="F1896" s="46"/>
      <c r="G1896" s="46"/>
      <c r="H1896" s="46"/>
      <c r="I1896" s="46"/>
      <c r="J1896" s="46"/>
      <c r="K1896" s="46"/>
      <c r="L1896" s="46"/>
      <c r="M1896" s="46"/>
      <c r="N1896" s="46"/>
      <c r="O1896" s="46"/>
      <c r="P1896" s="46"/>
      <c r="Q1896" s="46"/>
      <c r="R1896" s="46"/>
      <c r="S1896" s="46"/>
      <c r="T1896" s="46"/>
      <c r="U1896" s="46"/>
      <c r="V1896" s="46"/>
      <c r="W1896" s="46"/>
      <c r="X1896" s="46"/>
    </row>
    <row r="1897" spans="1:24" ht="12.75" x14ac:dyDescent="0.2">
      <c r="A1897" s="45"/>
      <c r="B1897" s="46"/>
      <c r="C1897" s="46"/>
      <c r="D1897" s="46"/>
      <c r="E1897" s="46"/>
      <c r="F1897" s="46"/>
      <c r="G1897" s="46"/>
      <c r="H1897" s="46"/>
      <c r="I1897" s="46"/>
      <c r="J1897" s="46"/>
      <c r="K1897" s="46"/>
      <c r="L1897" s="46"/>
      <c r="M1897" s="46"/>
      <c r="N1897" s="46"/>
      <c r="O1897" s="46"/>
      <c r="P1897" s="46"/>
      <c r="Q1897" s="46"/>
      <c r="R1897" s="46"/>
      <c r="S1897" s="46"/>
      <c r="T1897" s="46"/>
      <c r="U1897" s="46"/>
      <c r="V1897" s="46"/>
      <c r="W1897" s="46"/>
      <c r="X1897" s="46"/>
    </row>
    <row r="1898" spans="1:24" ht="12.75" x14ac:dyDescent="0.2">
      <c r="A1898" s="45"/>
      <c r="B1898" s="46"/>
      <c r="C1898" s="46"/>
      <c r="D1898" s="46"/>
      <c r="E1898" s="46"/>
      <c r="F1898" s="46"/>
      <c r="G1898" s="46"/>
      <c r="H1898" s="46"/>
      <c r="I1898" s="46"/>
      <c r="J1898" s="46"/>
      <c r="K1898" s="46"/>
      <c r="L1898" s="46"/>
      <c r="M1898" s="46"/>
      <c r="N1898" s="46"/>
      <c r="O1898" s="46"/>
      <c r="P1898" s="46"/>
      <c r="Q1898" s="46"/>
      <c r="R1898" s="46"/>
      <c r="S1898" s="46"/>
      <c r="T1898" s="46"/>
      <c r="U1898" s="46"/>
      <c r="V1898" s="46"/>
      <c r="W1898" s="46"/>
      <c r="X1898" s="46"/>
    </row>
    <row r="1899" spans="1:24" ht="12.75" x14ac:dyDescent="0.2">
      <c r="A1899" s="45"/>
      <c r="B1899" s="46"/>
      <c r="C1899" s="46"/>
      <c r="D1899" s="46"/>
      <c r="E1899" s="46"/>
      <c r="F1899" s="46"/>
      <c r="G1899" s="46"/>
      <c r="H1899" s="46"/>
      <c r="I1899" s="46"/>
      <c r="J1899" s="46"/>
      <c r="K1899" s="46"/>
      <c r="L1899" s="46"/>
      <c r="M1899" s="46"/>
      <c r="N1899" s="46"/>
      <c r="O1899" s="46"/>
      <c r="P1899" s="46"/>
      <c r="Q1899" s="46"/>
      <c r="R1899" s="46"/>
      <c r="S1899" s="46"/>
      <c r="T1899" s="46"/>
      <c r="U1899" s="46"/>
      <c r="V1899" s="46"/>
      <c r="W1899" s="46"/>
      <c r="X1899" s="46"/>
    </row>
    <row r="1900" spans="1:24" ht="12.75" x14ac:dyDescent="0.2">
      <c r="A1900" s="45"/>
      <c r="B1900" s="46"/>
      <c r="C1900" s="46"/>
      <c r="D1900" s="46"/>
      <c r="E1900" s="46"/>
      <c r="F1900" s="46"/>
      <c r="G1900" s="46"/>
      <c r="H1900" s="46"/>
      <c r="I1900" s="46"/>
      <c r="J1900" s="46"/>
      <c r="K1900" s="46"/>
      <c r="L1900" s="46"/>
      <c r="M1900" s="46"/>
      <c r="N1900" s="46"/>
      <c r="O1900" s="46"/>
      <c r="P1900" s="46"/>
      <c r="Q1900" s="46"/>
      <c r="R1900" s="46"/>
      <c r="S1900" s="46"/>
      <c r="T1900" s="46"/>
      <c r="U1900" s="46"/>
      <c r="V1900" s="46"/>
      <c r="W1900" s="46"/>
      <c r="X1900" s="46"/>
    </row>
    <row r="1901" spans="1:24" ht="12.75" x14ac:dyDescent="0.2">
      <c r="A1901" s="45"/>
      <c r="B1901" s="46"/>
      <c r="C1901" s="46"/>
      <c r="D1901" s="46"/>
      <c r="E1901" s="46"/>
      <c r="F1901" s="46"/>
      <c r="G1901" s="46"/>
      <c r="H1901" s="46"/>
      <c r="I1901" s="46"/>
      <c r="J1901" s="46"/>
      <c r="K1901" s="46"/>
      <c r="L1901" s="46"/>
      <c r="M1901" s="46"/>
      <c r="N1901" s="46"/>
      <c r="O1901" s="46"/>
      <c r="P1901" s="46"/>
      <c r="Q1901" s="46"/>
      <c r="R1901" s="46"/>
      <c r="S1901" s="46"/>
      <c r="T1901" s="46"/>
      <c r="U1901" s="46"/>
      <c r="V1901" s="46"/>
      <c r="W1901" s="46"/>
      <c r="X1901" s="46"/>
    </row>
    <row r="1902" spans="1:24" ht="12.75" x14ac:dyDescent="0.2">
      <c r="A1902" s="45"/>
      <c r="B1902" s="46"/>
      <c r="C1902" s="46"/>
      <c r="D1902" s="46"/>
      <c r="E1902" s="46"/>
      <c r="F1902" s="46"/>
      <c r="G1902" s="46"/>
      <c r="H1902" s="46"/>
      <c r="I1902" s="46"/>
      <c r="J1902" s="46"/>
      <c r="K1902" s="46"/>
      <c r="L1902" s="46"/>
      <c r="M1902" s="46"/>
      <c r="N1902" s="46"/>
      <c r="O1902" s="46"/>
      <c r="P1902" s="46"/>
      <c r="Q1902" s="46"/>
      <c r="R1902" s="46"/>
      <c r="S1902" s="46"/>
      <c r="T1902" s="46"/>
      <c r="U1902" s="46"/>
      <c r="V1902" s="46"/>
      <c r="W1902" s="46"/>
      <c r="X1902" s="46"/>
    </row>
    <row r="1903" spans="1:24" ht="12.75" x14ac:dyDescent="0.2">
      <c r="A1903" s="45"/>
      <c r="B1903" s="46"/>
      <c r="C1903" s="46"/>
      <c r="D1903" s="46"/>
      <c r="E1903" s="46"/>
      <c r="F1903" s="46"/>
      <c r="G1903" s="46"/>
      <c r="H1903" s="46"/>
      <c r="I1903" s="46"/>
      <c r="J1903" s="46"/>
      <c r="K1903" s="46"/>
      <c r="L1903" s="46"/>
      <c r="M1903" s="46"/>
      <c r="N1903" s="46"/>
      <c r="O1903" s="46"/>
      <c r="P1903" s="46"/>
      <c r="Q1903" s="46"/>
      <c r="R1903" s="46"/>
      <c r="S1903" s="46"/>
      <c r="T1903" s="46"/>
      <c r="U1903" s="46"/>
      <c r="V1903" s="46"/>
      <c r="W1903" s="46"/>
      <c r="X1903" s="46"/>
    </row>
    <row r="1904" spans="1:24" ht="12.75" x14ac:dyDescent="0.2">
      <c r="A1904" s="45"/>
      <c r="B1904" s="46"/>
      <c r="C1904" s="46"/>
      <c r="D1904" s="46"/>
      <c r="E1904" s="46"/>
      <c r="F1904" s="46"/>
      <c r="G1904" s="46"/>
      <c r="H1904" s="46"/>
      <c r="I1904" s="46"/>
      <c r="J1904" s="46"/>
      <c r="K1904" s="46"/>
      <c r="L1904" s="46"/>
      <c r="M1904" s="46"/>
      <c r="N1904" s="46"/>
      <c r="O1904" s="46"/>
      <c r="P1904" s="46"/>
      <c r="Q1904" s="46"/>
      <c r="R1904" s="46"/>
      <c r="S1904" s="46"/>
      <c r="T1904" s="46"/>
      <c r="U1904" s="46"/>
      <c r="V1904" s="46"/>
      <c r="W1904" s="46"/>
      <c r="X1904" s="46"/>
    </row>
    <row r="1905" spans="1:24" ht="12.75" x14ac:dyDescent="0.2">
      <c r="A1905" s="45"/>
      <c r="B1905" s="46"/>
      <c r="C1905" s="46"/>
      <c r="D1905" s="46"/>
      <c r="E1905" s="46"/>
      <c r="F1905" s="46"/>
      <c r="G1905" s="46"/>
      <c r="H1905" s="46"/>
      <c r="I1905" s="46"/>
      <c r="J1905" s="46"/>
      <c r="K1905" s="46"/>
      <c r="L1905" s="46"/>
      <c r="M1905" s="46"/>
      <c r="N1905" s="46"/>
      <c r="O1905" s="46"/>
      <c r="P1905" s="46"/>
      <c r="Q1905" s="46"/>
      <c r="R1905" s="46"/>
      <c r="S1905" s="46"/>
      <c r="T1905" s="46"/>
      <c r="U1905" s="46"/>
      <c r="V1905" s="46"/>
      <c r="W1905" s="46"/>
      <c r="X1905" s="46"/>
    </row>
    <row r="1906" spans="1:24" ht="12.75" x14ac:dyDescent="0.2">
      <c r="A1906" s="45"/>
      <c r="B1906" s="46"/>
      <c r="C1906" s="46"/>
      <c r="D1906" s="46"/>
      <c r="E1906" s="46"/>
      <c r="F1906" s="46"/>
      <c r="G1906" s="46"/>
      <c r="H1906" s="46"/>
      <c r="I1906" s="46"/>
      <c r="J1906" s="46"/>
      <c r="K1906" s="46"/>
      <c r="L1906" s="46"/>
      <c r="M1906" s="46"/>
      <c r="N1906" s="46"/>
      <c r="O1906" s="46"/>
      <c r="P1906" s="46"/>
      <c r="Q1906" s="46"/>
      <c r="R1906" s="46"/>
      <c r="S1906" s="46"/>
      <c r="T1906" s="46"/>
      <c r="U1906" s="46"/>
      <c r="V1906" s="46"/>
      <c r="W1906" s="46"/>
      <c r="X1906" s="46"/>
    </row>
    <row r="1907" spans="1:24" ht="12.75" x14ac:dyDescent="0.2">
      <c r="A1907" s="45"/>
      <c r="B1907" s="46"/>
      <c r="C1907" s="46"/>
      <c r="D1907" s="46"/>
      <c r="E1907" s="46"/>
      <c r="F1907" s="46"/>
      <c r="G1907" s="46"/>
      <c r="H1907" s="46"/>
      <c r="I1907" s="46"/>
      <c r="J1907" s="46"/>
      <c r="K1907" s="46"/>
      <c r="L1907" s="46"/>
      <c r="M1907" s="46"/>
      <c r="N1907" s="46"/>
      <c r="O1907" s="46"/>
      <c r="P1907" s="46"/>
      <c r="Q1907" s="46"/>
      <c r="R1907" s="46"/>
      <c r="S1907" s="46"/>
      <c r="T1907" s="46"/>
      <c r="U1907" s="46"/>
      <c r="V1907" s="46"/>
      <c r="W1907" s="46"/>
      <c r="X1907" s="46"/>
    </row>
    <row r="1908" spans="1:24" ht="12.75" x14ac:dyDescent="0.2">
      <c r="A1908" s="45"/>
      <c r="B1908" s="46"/>
      <c r="C1908" s="46"/>
      <c r="D1908" s="46"/>
      <c r="E1908" s="46"/>
      <c r="F1908" s="46"/>
      <c r="G1908" s="46"/>
      <c r="H1908" s="46"/>
      <c r="I1908" s="46"/>
      <c r="J1908" s="46"/>
      <c r="K1908" s="46"/>
      <c r="L1908" s="46"/>
      <c r="M1908" s="46"/>
      <c r="N1908" s="46"/>
      <c r="O1908" s="46"/>
      <c r="P1908" s="46"/>
      <c r="Q1908" s="46"/>
      <c r="R1908" s="46"/>
      <c r="S1908" s="46"/>
      <c r="T1908" s="46"/>
      <c r="U1908" s="46"/>
      <c r="V1908" s="46"/>
      <c r="W1908" s="46"/>
      <c r="X1908" s="46"/>
    </row>
    <row r="1909" spans="1:24" ht="12.75" x14ac:dyDescent="0.2">
      <c r="A1909" s="45"/>
      <c r="B1909" s="46"/>
      <c r="C1909" s="46"/>
      <c r="D1909" s="46"/>
      <c r="E1909" s="46"/>
      <c r="F1909" s="46"/>
      <c r="G1909" s="46"/>
      <c r="H1909" s="46"/>
      <c r="I1909" s="46"/>
      <c r="J1909" s="46"/>
      <c r="K1909" s="46"/>
      <c r="L1909" s="46"/>
      <c r="M1909" s="46"/>
      <c r="N1909" s="46"/>
      <c r="O1909" s="46"/>
      <c r="P1909" s="46"/>
      <c r="Q1909" s="46"/>
      <c r="R1909" s="46"/>
      <c r="S1909" s="46"/>
      <c r="T1909" s="46"/>
      <c r="U1909" s="46"/>
      <c r="V1909" s="46"/>
      <c r="W1909" s="46"/>
      <c r="X1909" s="46"/>
    </row>
    <row r="1910" spans="1:24" ht="12.75" x14ac:dyDescent="0.2">
      <c r="A1910" s="45"/>
      <c r="B1910" s="46"/>
      <c r="C1910" s="46"/>
      <c r="D1910" s="46"/>
      <c r="E1910" s="46"/>
      <c r="F1910" s="46"/>
      <c r="G1910" s="46"/>
      <c r="H1910" s="46"/>
      <c r="I1910" s="46"/>
      <c r="J1910" s="46"/>
      <c r="K1910" s="46"/>
      <c r="L1910" s="46"/>
      <c r="M1910" s="46"/>
      <c r="N1910" s="46"/>
      <c r="O1910" s="46"/>
      <c r="P1910" s="46"/>
      <c r="Q1910" s="46"/>
      <c r="R1910" s="46"/>
      <c r="S1910" s="46"/>
      <c r="T1910" s="46"/>
      <c r="U1910" s="46"/>
      <c r="V1910" s="46"/>
      <c r="W1910" s="46"/>
      <c r="X1910" s="46"/>
    </row>
    <row r="1911" spans="1:24" ht="12.75" x14ac:dyDescent="0.2">
      <c r="A1911" s="45"/>
      <c r="B1911" s="46"/>
      <c r="C1911" s="46"/>
      <c r="D1911" s="46"/>
      <c r="E1911" s="46"/>
      <c r="F1911" s="46"/>
      <c r="G1911" s="46"/>
      <c r="H1911" s="46"/>
      <c r="I1911" s="46"/>
      <c r="J1911" s="46"/>
      <c r="K1911" s="46"/>
      <c r="L1911" s="46"/>
      <c r="M1911" s="46"/>
      <c r="N1911" s="46"/>
      <c r="O1911" s="46"/>
      <c r="P1911" s="46"/>
      <c r="Q1911" s="46"/>
      <c r="R1911" s="46"/>
      <c r="S1911" s="46"/>
      <c r="T1911" s="46"/>
      <c r="U1911" s="46"/>
      <c r="V1911" s="46"/>
      <c r="W1911" s="46"/>
      <c r="X1911" s="46"/>
    </row>
    <row r="1912" spans="1:24" ht="12.75" x14ac:dyDescent="0.2">
      <c r="A1912" s="45"/>
      <c r="B1912" s="46"/>
      <c r="C1912" s="46"/>
      <c r="D1912" s="46"/>
      <c r="E1912" s="46"/>
      <c r="F1912" s="46"/>
      <c r="G1912" s="46"/>
      <c r="H1912" s="46"/>
      <c r="I1912" s="46"/>
      <c r="J1912" s="46"/>
      <c r="K1912" s="46"/>
      <c r="L1912" s="46"/>
      <c r="M1912" s="46"/>
      <c r="N1912" s="46"/>
      <c r="O1912" s="46"/>
      <c r="P1912" s="46"/>
      <c r="Q1912" s="46"/>
      <c r="R1912" s="46"/>
      <c r="S1912" s="46"/>
      <c r="T1912" s="46"/>
      <c r="U1912" s="46"/>
      <c r="V1912" s="46"/>
      <c r="W1912" s="46"/>
      <c r="X1912" s="46"/>
    </row>
    <row r="1913" spans="1:24" ht="12.75" x14ac:dyDescent="0.2">
      <c r="A1913" s="45"/>
      <c r="B1913" s="46"/>
      <c r="C1913" s="46"/>
      <c r="D1913" s="46"/>
      <c r="E1913" s="46"/>
      <c r="F1913" s="46"/>
      <c r="G1913" s="46"/>
      <c r="H1913" s="46"/>
      <c r="I1913" s="46"/>
      <c r="J1913" s="46"/>
      <c r="K1913" s="46"/>
      <c r="L1913" s="46"/>
      <c r="M1913" s="46"/>
      <c r="N1913" s="46"/>
      <c r="O1913" s="46"/>
      <c r="P1913" s="46"/>
      <c r="Q1913" s="46"/>
      <c r="R1913" s="46"/>
      <c r="S1913" s="46"/>
      <c r="T1913" s="46"/>
      <c r="U1913" s="46"/>
      <c r="V1913" s="46"/>
      <c r="W1913" s="46"/>
      <c r="X1913" s="46"/>
    </row>
    <row r="1914" spans="1:24" ht="12.75" x14ac:dyDescent="0.2">
      <c r="A1914" s="45"/>
      <c r="B1914" s="46"/>
      <c r="C1914" s="46"/>
      <c r="D1914" s="46"/>
      <c r="E1914" s="46"/>
      <c r="F1914" s="46"/>
      <c r="G1914" s="46"/>
      <c r="H1914" s="46"/>
      <c r="I1914" s="46"/>
      <c r="J1914" s="46"/>
      <c r="K1914" s="46"/>
      <c r="L1914" s="46"/>
      <c r="M1914" s="46"/>
      <c r="N1914" s="46"/>
      <c r="O1914" s="46"/>
      <c r="P1914" s="46"/>
      <c r="Q1914" s="46"/>
      <c r="R1914" s="46"/>
      <c r="S1914" s="46"/>
      <c r="T1914" s="46"/>
      <c r="U1914" s="46"/>
      <c r="V1914" s="46"/>
      <c r="W1914" s="46"/>
      <c r="X1914" s="46"/>
    </row>
    <row r="1915" spans="1:24" ht="12.75" x14ac:dyDescent="0.2">
      <c r="A1915" s="45"/>
      <c r="B1915" s="46"/>
      <c r="C1915" s="46"/>
      <c r="D1915" s="46"/>
      <c r="E1915" s="46"/>
      <c r="F1915" s="46"/>
      <c r="G1915" s="46"/>
      <c r="H1915" s="46"/>
      <c r="I1915" s="46"/>
      <c r="J1915" s="46"/>
      <c r="K1915" s="46"/>
      <c r="L1915" s="46"/>
      <c r="M1915" s="46"/>
      <c r="N1915" s="46"/>
      <c r="O1915" s="46"/>
      <c r="P1915" s="46"/>
      <c r="Q1915" s="46"/>
      <c r="R1915" s="46"/>
      <c r="S1915" s="46"/>
      <c r="T1915" s="46"/>
      <c r="U1915" s="46"/>
      <c r="V1915" s="46"/>
      <c r="W1915" s="46"/>
      <c r="X1915" s="46"/>
    </row>
    <row r="1916" spans="1:24" ht="12.75" x14ac:dyDescent="0.2">
      <c r="A1916" s="45"/>
      <c r="B1916" s="46"/>
      <c r="C1916" s="46"/>
      <c r="D1916" s="46"/>
      <c r="E1916" s="46"/>
      <c r="F1916" s="46"/>
      <c r="G1916" s="46"/>
      <c r="H1916" s="46"/>
      <c r="I1916" s="46"/>
      <c r="J1916" s="46"/>
      <c r="K1916" s="46"/>
      <c r="L1916" s="46"/>
      <c r="M1916" s="46"/>
      <c r="N1916" s="46"/>
      <c r="O1916" s="46"/>
      <c r="P1916" s="46"/>
      <c r="Q1916" s="46"/>
      <c r="R1916" s="46"/>
      <c r="S1916" s="46"/>
      <c r="T1916" s="46"/>
      <c r="U1916" s="46"/>
      <c r="V1916" s="46"/>
      <c r="W1916" s="46"/>
      <c r="X1916" s="46"/>
    </row>
    <row r="1917" spans="1:24" ht="12.75" x14ac:dyDescent="0.2">
      <c r="A1917" s="45"/>
      <c r="B1917" s="46"/>
      <c r="C1917" s="46"/>
      <c r="D1917" s="46"/>
      <c r="E1917" s="46"/>
      <c r="F1917" s="46"/>
      <c r="G1917" s="46"/>
      <c r="H1917" s="46"/>
      <c r="I1917" s="46"/>
      <c r="J1917" s="46"/>
      <c r="K1917" s="46"/>
      <c r="L1917" s="46"/>
      <c r="M1917" s="46"/>
      <c r="N1917" s="46"/>
      <c r="O1917" s="46"/>
      <c r="P1917" s="46"/>
      <c r="Q1917" s="46"/>
      <c r="R1917" s="46"/>
      <c r="S1917" s="46"/>
      <c r="T1917" s="46"/>
      <c r="U1917" s="46"/>
      <c r="V1917" s="46"/>
      <c r="W1917" s="46"/>
      <c r="X1917" s="46"/>
    </row>
    <row r="1918" spans="1:24" ht="12.75" x14ac:dyDescent="0.2">
      <c r="A1918" s="45"/>
      <c r="B1918" s="46"/>
      <c r="C1918" s="46"/>
      <c r="D1918" s="46"/>
      <c r="E1918" s="46"/>
      <c r="F1918" s="46"/>
      <c r="G1918" s="46"/>
      <c r="H1918" s="46"/>
      <c r="I1918" s="46"/>
      <c r="J1918" s="46"/>
      <c r="K1918" s="46"/>
      <c r="L1918" s="46"/>
      <c r="M1918" s="46"/>
      <c r="N1918" s="46"/>
      <c r="O1918" s="46"/>
      <c r="P1918" s="46"/>
      <c r="Q1918" s="46"/>
      <c r="R1918" s="46"/>
      <c r="S1918" s="46"/>
      <c r="T1918" s="46"/>
      <c r="U1918" s="46"/>
      <c r="V1918" s="46"/>
      <c r="W1918" s="46"/>
      <c r="X1918" s="46"/>
    </row>
    <row r="1919" spans="1:24" ht="12.75" x14ac:dyDescent="0.2">
      <c r="A1919" s="45"/>
      <c r="B1919" s="46"/>
      <c r="C1919" s="46"/>
      <c r="D1919" s="46"/>
      <c r="E1919" s="46"/>
      <c r="F1919" s="46"/>
      <c r="G1919" s="46"/>
      <c r="H1919" s="46"/>
      <c r="I1919" s="46"/>
      <c r="J1919" s="46"/>
      <c r="K1919" s="46"/>
      <c r="L1919" s="46"/>
      <c r="M1919" s="46"/>
      <c r="N1919" s="46"/>
      <c r="O1919" s="46"/>
      <c r="P1919" s="46"/>
      <c r="Q1919" s="46"/>
      <c r="R1919" s="46"/>
      <c r="S1919" s="46"/>
      <c r="T1919" s="46"/>
      <c r="U1919" s="46"/>
      <c r="V1919" s="46"/>
      <c r="W1919" s="46"/>
      <c r="X1919" s="46"/>
    </row>
    <row r="1920" spans="1:24" ht="12.75" x14ac:dyDescent="0.2">
      <c r="A1920" s="45"/>
      <c r="B1920" s="46"/>
      <c r="C1920" s="46"/>
      <c r="D1920" s="46"/>
      <c r="E1920" s="46"/>
      <c r="F1920" s="46"/>
      <c r="G1920" s="46"/>
      <c r="H1920" s="46"/>
      <c r="I1920" s="46"/>
      <c r="J1920" s="46"/>
      <c r="K1920" s="46"/>
      <c r="L1920" s="46"/>
      <c r="M1920" s="46"/>
      <c r="N1920" s="46"/>
      <c r="O1920" s="46"/>
      <c r="P1920" s="46"/>
      <c r="Q1920" s="46"/>
      <c r="R1920" s="46"/>
      <c r="S1920" s="46"/>
      <c r="T1920" s="46"/>
      <c r="U1920" s="46"/>
      <c r="V1920" s="46"/>
      <c r="W1920" s="46"/>
      <c r="X1920" s="46"/>
    </row>
    <row r="1921" spans="1:24" ht="12.75" x14ac:dyDescent="0.2">
      <c r="A1921" s="45"/>
      <c r="B1921" s="46"/>
      <c r="C1921" s="46"/>
      <c r="D1921" s="46"/>
      <c r="E1921" s="46"/>
      <c r="F1921" s="46"/>
      <c r="G1921" s="46"/>
      <c r="H1921" s="46"/>
      <c r="I1921" s="46"/>
      <c r="J1921" s="46"/>
      <c r="K1921" s="46"/>
      <c r="L1921" s="46"/>
      <c r="M1921" s="46"/>
      <c r="N1921" s="46"/>
      <c r="O1921" s="46"/>
      <c r="P1921" s="46"/>
      <c r="Q1921" s="46"/>
      <c r="R1921" s="46"/>
      <c r="S1921" s="46"/>
      <c r="T1921" s="46"/>
      <c r="U1921" s="46"/>
      <c r="V1921" s="46"/>
      <c r="W1921" s="46"/>
      <c r="X1921" s="46"/>
    </row>
    <row r="1922" spans="1:24" ht="12.75" x14ac:dyDescent="0.2">
      <c r="A1922" s="45"/>
      <c r="B1922" s="46"/>
      <c r="C1922" s="46"/>
      <c r="D1922" s="46"/>
      <c r="E1922" s="46"/>
      <c r="F1922" s="46"/>
      <c r="G1922" s="46"/>
      <c r="H1922" s="46"/>
      <c r="I1922" s="46"/>
      <c r="J1922" s="46"/>
      <c r="K1922" s="46"/>
      <c r="L1922" s="46"/>
      <c r="M1922" s="46"/>
      <c r="N1922" s="46"/>
      <c r="O1922" s="46"/>
      <c r="P1922" s="46"/>
      <c r="Q1922" s="46"/>
      <c r="R1922" s="46"/>
      <c r="S1922" s="46"/>
      <c r="T1922" s="46"/>
      <c r="U1922" s="46"/>
      <c r="V1922" s="46"/>
      <c r="W1922" s="46"/>
      <c r="X1922" s="46"/>
    </row>
    <row r="1923" spans="1:24" ht="12.75" x14ac:dyDescent="0.2">
      <c r="A1923" s="45"/>
      <c r="B1923" s="46"/>
      <c r="C1923" s="46"/>
      <c r="D1923" s="46"/>
      <c r="E1923" s="46"/>
      <c r="F1923" s="46"/>
      <c r="G1923" s="46"/>
      <c r="H1923" s="46"/>
      <c r="I1923" s="46"/>
      <c r="J1923" s="46"/>
      <c r="K1923" s="46"/>
      <c r="L1923" s="46"/>
      <c r="M1923" s="46"/>
      <c r="N1923" s="46"/>
      <c r="O1923" s="46"/>
      <c r="P1923" s="46"/>
      <c r="Q1923" s="46"/>
      <c r="R1923" s="46"/>
      <c r="S1923" s="46"/>
      <c r="T1923" s="46"/>
      <c r="U1923" s="46"/>
      <c r="V1923" s="46"/>
      <c r="W1923" s="46"/>
      <c r="X1923" s="46"/>
    </row>
    <row r="1924" spans="1:24" ht="12.75" x14ac:dyDescent="0.2">
      <c r="A1924" s="45"/>
      <c r="B1924" s="46"/>
      <c r="C1924" s="46"/>
      <c r="D1924" s="46"/>
      <c r="E1924" s="46"/>
      <c r="F1924" s="46"/>
      <c r="G1924" s="46"/>
      <c r="H1924" s="46"/>
      <c r="I1924" s="46"/>
      <c r="J1924" s="46"/>
      <c r="K1924" s="46"/>
      <c r="L1924" s="46"/>
      <c r="M1924" s="46"/>
      <c r="N1924" s="46"/>
      <c r="O1924" s="46"/>
      <c r="P1924" s="46"/>
      <c r="Q1924" s="46"/>
      <c r="R1924" s="46"/>
      <c r="S1924" s="46"/>
      <c r="T1924" s="46"/>
      <c r="U1924" s="46"/>
      <c r="V1924" s="46"/>
      <c r="W1924" s="46"/>
      <c r="X1924" s="46"/>
    </row>
    <row r="1925" spans="1:24" ht="12.75" x14ac:dyDescent="0.2">
      <c r="A1925" s="45"/>
      <c r="B1925" s="46"/>
      <c r="C1925" s="46"/>
      <c r="D1925" s="46"/>
      <c r="E1925" s="46"/>
      <c r="F1925" s="46"/>
      <c r="G1925" s="46"/>
      <c r="H1925" s="46"/>
      <c r="I1925" s="46"/>
      <c r="J1925" s="46"/>
      <c r="K1925" s="46"/>
      <c r="L1925" s="46"/>
      <c r="M1925" s="46"/>
      <c r="N1925" s="46"/>
      <c r="O1925" s="46"/>
      <c r="P1925" s="46"/>
      <c r="Q1925" s="46"/>
      <c r="R1925" s="46"/>
      <c r="S1925" s="46"/>
      <c r="T1925" s="46"/>
      <c r="U1925" s="46"/>
      <c r="V1925" s="46"/>
      <c r="W1925" s="46"/>
      <c r="X1925" s="46"/>
    </row>
    <row r="1926" spans="1:24" ht="12.75" x14ac:dyDescent="0.2">
      <c r="A1926" s="45"/>
      <c r="B1926" s="46"/>
      <c r="C1926" s="46"/>
      <c r="D1926" s="46"/>
      <c r="E1926" s="46"/>
      <c r="F1926" s="46"/>
      <c r="G1926" s="46"/>
      <c r="H1926" s="46"/>
      <c r="I1926" s="46"/>
      <c r="J1926" s="46"/>
      <c r="K1926" s="46"/>
      <c r="L1926" s="46"/>
      <c r="M1926" s="46"/>
      <c r="N1926" s="46"/>
      <c r="O1926" s="46"/>
      <c r="P1926" s="46"/>
      <c r="Q1926" s="46"/>
      <c r="R1926" s="46"/>
      <c r="S1926" s="46"/>
      <c r="T1926" s="46"/>
      <c r="U1926" s="46"/>
      <c r="V1926" s="46"/>
      <c r="W1926" s="46"/>
      <c r="X1926" s="46"/>
    </row>
    <row r="1927" spans="1:24" ht="12.75" x14ac:dyDescent="0.2">
      <c r="A1927" s="45"/>
      <c r="B1927" s="46"/>
      <c r="C1927" s="46"/>
      <c r="D1927" s="46"/>
      <c r="E1927" s="46"/>
      <c r="F1927" s="46"/>
      <c r="G1927" s="46"/>
      <c r="H1927" s="46"/>
      <c r="I1927" s="46"/>
      <c r="J1927" s="46"/>
      <c r="K1927" s="46"/>
      <c r="L1927" s="46"/>
      <c r="M1927" s="46"/>
      <c r="N1927" s="46"/>
      <c r="O1927" s="46"/>
      <c r="P1927" s="46"/>
      <c r="Q1927" s="46"/>
      <c r="R1927" s="46"/>
      <c r="S1927" s="46"/>
      <c r="T1927" s="46"/>
      <c r="U1927" s="46"/>
      <c r="V1927" s="46"/>
      <c r="W1927" s="46"/>
      <c r="X1927" s="46"/>
    </row>
    <row r="1928" spans="1:24" ht="12.75" x14ac:dyDescent="0.2">
      <c r="A1928" s="45"/>
      <c r="B1928" s="46"/>
      <c r="C1928" s="46"/>
      <c r="D1928" s="46"/>
      <c r="E1928" s="46"/>
      <c r="F1928" s="46"/>
      <c r="G1928" s="46"/>
      <c r="H1928" s="46"/>
      <c r="I1928" s="46"/>
      <c r="J1928" s="46"/>
      <c r="K1928" s="46"/>
      <c r="L1928" s="46"/>
      <c r="M1928" s="46"/>
      <c r="N1928" s="46"/>
      <c r="O1928" s="46"/>
      <c r="P1928" s="46"/>
      <c r="Q1928" s="46"/>
      <c r="R1928" s="46"/>
      <c r="S1928" s="46"/>
      <c r="T1928" s="46"/>
      <c r="U1928" s="46"/>
      <c r="V1928" s="46"/>
      <c r="W1928" s="46"/>
      <c r="X1928" s="46"/>
    </row>
    <row r="1929" spans="1:24" ht="12.75" x14ac:dyDescent="0.2">
      <c r="A1929" s="45"/>
      <c r="B1929" s="46"/>
      <c r="C1929" s="46"/>
      <c r="D1929" s="46"/>
      <c r="E1929" s="46"/>
      <c r="F1929" s="46"/>
      <c r="G1929" s="46"/>
      <c r="H1929" s="46"/>
      <c r="I1929" s="46"/>
      <c r="J1929" s="46"/>
      <c r="K1929" s="46"/>
      <c r="L1929" s="46"/>
      <c r="M1929" s="46"/>
      <c r="N1929" s="46"/>
      <c r="O1929" s="46"/>
      <c r="P1929" s="46"/>
      <c r="Q1929" s="46"/>
      <c r="R1929" s="46"/>
      <c r="S1929" s="46"/>
      <c r="T1929" s="46"/>
      <c r="U1929" s="46"/>
      <c r="V1929" s="46"/>
      <c r="W1929" s="46"/>
      <c r="X1929" s="46"/>
    </row>
    <row r="1930" spans="1:24" ht="12.75" x14ac:dyDescent="0.2">
      <c r="A1930" s="45"/>
      <c r="B1930" s="46"/>
      <c r="C1930" s="46"/>
      <c r="D1930" s="46"/>
      <c r="E1930" s="46"/>
      <c r="F1930" s="46"/>
      <c r="G1930" s="46"/>
      <c r="H1930" s="46"/>
      <c r="I1930" s="46"/>
      <c r="J1930" s="46"/>
      <c r="K1930" s="46"/>
      <c r="L1930" s="46"/>
      <c r="M1930" s="46"/>
      <c r="N1930" s="46"/>
      <c r="O1930" s="46"/>
      <c r="P1930" s="46"/>
      <c r="Q1930" s="46"/>
      <c r="R1930" s="46"/>
      <c r="S1930" s="46"/>
      <c r="T1930" s="46"/>
      <c r="U1930" s="46"/>
      <c r="V1930" s="46"/>
      <c r="W1930" s="46"/>
      <c r="X1930" s="46"/>
    </row>
    <row r="1931" spans="1:24" ht="12.75" x14ac:dyDescent="0.2">
      <c r="A1931" s="45"/>
      <c r="B1931" s="46"/>
      <c r="C1931" s="46"/>
      <c r="D1931" s="46"/>
      <c r="E1931" s="46"/>
      <c r="F1931" s="46"/>
      <c r="G1931" s="46"/>
      <c r="H1931" s="46"/>
      <c r="I1931" s="46"/>
      <c r="J1931" s="46"/>
      <c r="K1931" s="46"/>
      <c r="L1931" s="46"/>
      <c r="M1931" s="46"/>
      <c r="N1931" s="46"/>
      <c r="O1931" s="46"/>
      <c r="P1931" s="46"/>
      <c r="Q1931" s="46"/>
      <c r="R1931" s="46"/>
      <c r="S1931" s="46"/>
      <c r="T1931" s="46"/>
      <c r="U1931" s="46"/>
      <c r="V1931" s="46"/>
      <c r="W1931" s="46"/>
      <c r="X1931" s="46"/>
    </row>
    <row r="1932" spans="1:24" ht="12.75" x14ac:dyDescent="0.2">
      <c r="A1932" s="45"/>
      <c r="B1932" s="46"/>
      <c r="C1932" s="46"/>
      <c r="D1932" s="46"/>
      <c r="E1932" s="46"/>
      <c r="F1932" s="46"/>
      <c r="G1932" s="46"/>
      <c r="H1932" s="46"/>
      <c r="I1932" s="46"/>
      <c r="J1932" s="46"/>
      <c r="K1932" s="46"/>
      <c r="L1932" s="46"/>
      <c r="M1932" s="46"/>
      <c r="N1932" s="46"/>
      <c r="O1932" s="46"/>
      <c r="P1932" s="46"/>
      <c r="Q1932" s="46"/>
      <c r="R1932" s="46"/>
      <c r="S1932" s="46"/>
      <c r="T1932" s="46"/>
      <c r="U1932" s="46"/>
      <c r="V1932" s="46"/>
      <c r="W1932" s="46"/>
      <c r="X1932" s="46"/>
    </row>
    <row r="1933" spans="1:24" ht="12.75" x14ac:dyDescent="0.2">
      <c r="A1933" s="45"/>
      <c r="B1933" s="46"/>
      <c r="C1933" s="46"/>
      <c r="D1933" s="46"/>
      <c r="E1933" s="46"/>
      <c r="F1933" s="46"/>
      <c r="G1933" s="46"/>
      <c r="H1933" s="46"/>
      <c r="I1933" s="46"/>
      <c r="J1933" s="46"/>
      <c r="K1933" s="46"/>
      <c r="L1933" s="46"/>
      <c r="M1933" s="46"/>
      <c r="N1933" s="46"/>
      <c r="O1933" s="46"/>
      <c r="P1933" s="46"/>
      <c r="Q1933" s="46"/>
      <c r="R1933" s="46"/>
      <c r="S1933" s="46"/>
      <c r="T1933" s="46"/>
      <c r="U1933" s="46"/>
      <c r="V1933" s="46"/>
      <c r="W1933" s="46"/>
      <c r="X1933" s="46"/>
    </row>
    <row r="1934" spans="1:24" ht="12.75" x14ac:dyDescent="0.2">
      <c r="A1934" s="45"/>
      <c r="B1934" s="46"/>
      <c r="C1934" s="46"/>
      <c r="D1934" s="46"/>
      <c r="E1934" s="46"/>
      <c r="F1934" s="46"/>
      <c r="G1934" s="46"/>
      <c r="H1934" s="46"/>
      <c r="I1934" s="46"/>
      <c r="J1934" s="46"/>
      <c r="K1934" s="46"/>
      <c r="L1934" s="46"/>
      <c r="M1934" s="46"/>
      <c r="N1934" s="46"/>
      <c r="O1934" s="46"/>
      <c r="P1934" s="46"/>
      <c r="Q1934" s="46"/>
      <c r="R1934" s="46"/>
      <c r="S1934" s="46"/>
      <c r="T1934" s="46"/>
      <c r="U1934" s="46"/>
      <c r="V1934" s="46"/>
      <c r="W1934" s="46"/>
      <c r="X1934" s="46"/>
    </row>
    <row r="1935" spans="1:24" ht="12.75" x14ac:dyDescent="0.2">
      <c r="A1935" s="45"/>
      <c r="B1935" s="46"/>
      <c r="C1935" s="46"/>
      <c r="D1935" s="46"/>
      <c r="E1935" s="46"/>
      <c r="F1935" s="46"/>
      <c r="G1935" s="46"/>
      <c r="H1935" s="46"/>
      <c r="I1935" s="46"/>
      <c r="J1935" s="46"/>
      <c r="K1935" s="46"/>
      <c r="L1935" s="46"/>
      <c r="M1935" s="46"/>
      <c r="N1935" s="46"/>
      <c r="O1935" s="46"/>
      <c r="P1935" s="46"/>
      <c r="Q1935" s="46"/>
      <c r="R1935" s="46"/>
      <c r="S1935" s="46"/>
      <c r="T1935" s="46"/>
      <c r="U1935" s="46"/>
      <c r="V1935" s="46"/>
      <c r="W1935" s="46"/>
      <c r="X1935" s="46"/>
    </row>
    <row r="1936" spans="1:24" ht="12.75" x14ac:dyDescent="0.2">
      <c r="A1936" s="45"/>
      <c r="B1936" s="46"/>
      <c r="C1936" s="46"/>
      <c r="D1936" s="46"/>
      <c r="E1936" s="46"/>
      <c r="F1936" s="46"/>
      <c r="G1936" s="46"/>
      <c r="H1936" s="46"/>
      <c r="I1936" s="46"/>
      <c r="J1936" s="46"/>
      <c r="K1936" s="46"/>
      <c r="L1936" s="46"/>
      <c r="M1936" s="46"/>
      <c r="N1936" s="46"/>
      <c r="O1936" s="46"/>
      <c r="P1936" s="46"/>
      <c r="Q1936" s="46"/>
      <c r="R1936" s="46"/>
      <c r="S1936" s="46"/>
      <c r="T1936" s="46"/>
      <c r="U1936" s="46"/>
      <c r="V1936" s="46"/>
      <c r="W1936" s="46"/>
      <c r="X1936" s="46"/>
    </row>
    <row r="1937" spans="1:24" ht="12.75" x14ac:dyDescent="0.2">
      <c r="A1937" s="45"/>
      <c r="B1937" s="46"/>
      <c r="C1937" s="46"/>
      <c r="D1937" s="46"/>
      <c r="E1937" s="46"/>
      <c r="F1937" s="46"/>
      <c r="G1937" s="46"/>
      <c r="H1937" s="46"/>
      <c r="I1937" s="46"/>
      <c r="J1937" s="46"/>
      <c r="K1937" s="46"/>
      <c r="L1937" s="46"/>
      <c r="M1937" s="46"/>
      <c r="N1937" s="46"/>
      <c r="O1937" s="46"/>
      <c r="P1937" s="46"/>
      <c r="Q1937" s="46"/>
      <c r="R1937" s="46"/>
      <c r="S1937" s="46"/>
      <c r="T1937" s="46"/>
      <c r="U1937" s="46"/>
      <c r="V1937" s="46"/>
      <c r="W1937" s="46"/>
      <c r="X1937" s="46"/>
    </row>
    <row r="1938" spans="1:24" ht="12.75" x14ac:dyDescent="0.2">
      <c r="A1938" s="45"/>
      <c r="B1938" s="46"/>
      <c r="C1938" s="46"/>
      <c r="D1938" s="46"/>
      <c r="E1938" s="46"/>
      <c r="F1938" s="46"/>
      <c r="G1938" s="46"/>
      <c r="H1938" s="46"/>
      <c r="I1938" s="46"/>
      <c r="J1938" s="46"/>
      <c r="K1938" s="46"/>
      <c r="L1938" s="46"/>
      <c r="M1938" s="46"/>
      <c r="N1938" s="46"/>
      <c r="O1938" s="46"/>
      <c r="P1938" s="46"/>
      <c r="Q1938" s="46"/>
      <c r="R1938" s="46"/>
      <c r="S1938" s="46"/>
      <c r="T1938" s="46"/>
      <c r="U1938" s="46"/>
      <c r="V1938" s="46"/>
      <c r="W1938" s="46"/>
      <c r="X1938" s="46"/>
    </row>
    <row r="1939" spans="1:24" ht="12.75" x14ac:dyDescent="0.2">
      <c r="A1939" s="45"/>
      <c r="B1939" s="46"/>
      <c r="C1939" s="46"/>
      <c r="D1939" s="46"/>
      <c r="E1939" s="46"/>
      <c r="F1939" s="46"/>
      <c r="G1939" s="46"/>
      <c r="H1939" s="46"/>
      <c r="I1939" s="46"/>
      <c r="J1939" s="46"/>
      <c r="K1939" s="46"/>
      <c r="L1939" s="46"/>
      <c r="M1939" s="46"/>
      <c r="N1939" s="46"/>
      <c r="O1939" s="46"/>
      <c r="P1939" s="46"/>
      <c r="Q1939" s="46"/>
      <c r="R1939" s="46"/>
      <c r="S1939" s="46"/>
      <c r="T1939" s="46"/>
      <c r="U1939" s="46"/>
      <c r="V1939" s="46"/>
      <c r="W1939" s="46"/>
      <c r="X1939" s="46"/>
    </row>
    <row r="1940" spans="1:24" ht="12.75" x14ac:dyDescent="0.2">
      <c r="A1940" s="45"/>
      <c r="B1940" s="46"/>
      <c r="C1940" s="46"/>
      <c r="D1940" s="46"/>
      <c r="E1940" s="46"/>
      <c r="F1940" s="46"/>
      <c r="G1940" s="46"/>
      <c r="H1940" s="46"/>
      <c r="I1940" s="46"/>
      <c r="J1940" s="46"/>
      <c r="K1940" s="46"/>
      <c r="L1940" s="46"/>
      <c r="M1940" s="46"/>
      <c r="N1940" s="46"/>
      <c r="O1940" s="46"/>
      <c r="P1940" s="46"/>
      <c r="Q1940" s="46"/>
      <c r="R1940" s="46"/>
      <c r="S1940" s="46"/>
      <c r="T1940" s="46"/>
      <c r="U1940" s="46"/>
      <c r="V1940" s="46"/>
      <c r="W1940" s="46"/>
      <c r="X1940" s="46"/>
    </row>
    <row r="1941" spans="1:24" ht="12.75" x14ac:dyDescent="0.2">
      <c r="A1941" s="45"/>
      <c r="B1941" s="46"/>
      <c r="C1941" s="46"/>
      <c r="D1941" s="46"/>
      <c r="E1941" s="46"/>
      <c r="F1941" s="46"/>
      <c r="G1941" s="46"/>
      <c r="H1941" s="46"/>
      <c r="I1941" s="46"/>
      <c r="J1941" s="46"/>
      <c r="K1941" s="46"/>
      <c r="L1941" s="46"/>
      <c r="M1941" s="46"/>
      <c r="N1941" s="46"/>
      <c r="O1941" s="46"/>
      <c r="P1941" s="46"/>
      <c r="Q1941" s="46"/>
      <c r="R1941" s="46"/>
      <c r="S1941" s="46"/>
      <c r="T1941" s="46"/>
      <c r="U1941" s="46"/>
      <c r="V1941" s="46"/>
      <c r="W1941" s="46"/>
      <c r="X1941" s="46"/>
    </row>
    <row r="1942" spans="1:24" ht="12.75" x14ac:dyDescent="0.2">
      <c r="A1942" s="45"/>
      <c r="B1942" s="46"/>
      <c r="C1942" s="46"/>
      <c r="D1942" s="46"/>
      <c r="E1942" s="46"/>
      <c r="F1942" s="46"/>
      <c r="G1942" s="46"/>
      <c r="H1942" s="46"/>
      <c r="I1942" s="46"/>
      <c r="J1942" s="46"/>
      <c r="K1942" s="46"/>
      <c r="L1942" s="46"/>
      <c r="M1942" s="46"/>
      <c r="N1942" s="46"/>
      <c r="O1942" s="46"/>
      <c r="P1942" s="46"/>
      <c r="Q1942" s="46"/>
      <c r="R1942" s="46"/>
      <c r="S1942" s="46"/>
      <c r="T1942" s="46"/>
      <c r="U1942" s="46"/>
      <c r="V1942" s="46"/>
      <c r="W1942" s="46"/>
      <c r="X1942" s="46"/>
    </row>
    <row r="1943" spans="1:24" ht="12.75" x14ac:dyDescent="0.2">
      <c r="A1943" s="45"/>
      <c r="B1943" s="46"/>
      <c r="C1943" s="46"/>
      <c r="D1943" s="46"/>
      <c r="E1943" s="46"/>
      <c r="F1943" s="46"/>
      <c r="G1943" s="46"/>
      <c r="H1943" s="46"/>
      <c r="I1943" s="46"/>
      <c r="J1943" s="46"/>
      <c r="K1943" s="46"/>
      <c r="L1943" s="46"/>
      <c r="M1943" s="46"/>
      <c r="N1943" s="46"/>
      <c r="O1943" s="46"/>
      <c r="P1943" s="46"/>
      <c r="Q1943" s="46"/>
      <c r="R1943" s="46"/>
      <c r="S1943" s="46"/>
      <c r="T1943" s="46"/>
      <c r="U1943" s="46"/>
      <c r="V1943" s="46"/>
      <c r="W1943" s="46"/>
      <c r="X1943" s="46"/>
    </row>
    <row r="1944" spans="1:24" ht="12.75" x14ac:dyDescent="0.2">
      <c r="A1944" s="45"/>
      <c r="B1944" s="46"/>
      <c r="C1944" s="46"/>
      <c r="D1944" s="46"/>
      <c r="E1944" s="46"/>
      <c r="F1944" s="46"/>
      <c r="G1944" s="46"/>
      <c r="H1944" s="46"/>
      <c r="I1944" s="46"/>
      <c r="J1944" s="46"/>
      <c r="K1944" s="46"/>
      <c r="L1944" s="46"/>
      <c r="M1944" s="46"/>
      <c r="N1944" s="46"/>
      <c r="O1944" s="46"/>
      <c r="P1944" s="46"/>
      <c r="Q1944" s="46"/>
      <c r="R1944" s="46"/>
      <c r="S1944" s="46"/>
      <c r="T1944" s="46"/>
      <c r="U1944" s="46"/>
      <c r="V1944" s="46"/>
      <c r="W1944" s="46"/>
      <c r="X1944" s="46"/>
    </row>
    <row r="1945" spans="1:24" ht="12.75" x14ac:dyDescent="0.2">
      <c r="A1945" s="45"/>
      <c r="B1945" s="46"/>
      <c r="C1945" s="46"/>
      <c r="D1945" s="46"/>
      <c r="E1945" s="46"/>
      <c r="F1945" s="46"/>
      <c r="G1945" s="46"/>
      <c r="H1945" s="46"/>
      <c r="I1945" s="46"/>
      <c r="J1945" s="46"/>
      <c r="K1945" s="46"/>
      <c r="L1945" s="46"/>
      <c r="M1945" s="46"/>
      <c r="N1945" s="46"/>
      <c r="O1945" s="46"/>
      <c r="P1945" s="46"/>
      <c r="Q1945" s="46"/>
      <c r="R1945" s="46"/>
      <c r="S1945" s="46"/>
      <c r="T1945" s="46"/>
      <c r="U1945" s="46"/>
      <c r="V1945" s="46"/>
      <c r="W1945" s="46"/>
      <c r="X1945" s="46"/>
    </row>
    <row r="1946" spans="1:24" ht="12.75" x14ac:dyDescent="0.2">
      <c r="A1946" s="45"/>
      <c r="B1946" s="46"/>
      <c r="C1946" s="46"/>
      <c r="D1946" s="46"/>
      <c r="E1946" s="46"/>
      <c r="F1946" s="46"/>
      <c r="G1946" s="46"/>
      <c r="H1946" s="46"/>
      <c r="I1946" s="46"/>
      <c r="J1946" s="46"/>
      <c r="K1946" s="46"/>
      <c r="L1946" s="46"/>
      <c r="M1946" s="46"/>
      <c r="N1946" s="46"/>
      <c r="O1946" s="46"/>
      <c r="P1946" s="46"/>
      <c r="Q1946" s="46"/>
      <c r="R1946" s="46"/>
      <c r="S1946" s="46"/>
      <c r="T1946" s="46"/>
      <c r="U1946" s="46"/>
      <c r="V1946" s="46"/>
      <c r="W1946" s="46"/>
      <c r="X1946" s="46"/>
    </row>
    <row r="1947" spans="1:24" ht="12.75" x14ac:dyDescent="0.2">
      <c r="A1947" s="45"/>
      <c r="B1947" s="46"/>
      <c r="C1947" s="46"/>
      <c r="D1947" s="46"/>
      <c r="E1947" s="46"/>
      <c r="F1947" s="46"/>
      <c r="G1947" s="46"/>
      <c r="H1947" s="46"/>
      <c r="I1947" s="46"/>
      <c r="J1947" s="46"/>
      <c r="K1947" s="46"/>
      <c r="L1947" s="46"/>
      <c r="M1947" s="46"/>
      <c r="N1947" s="46"/>
      <c r="O1947" s="46"/>
      <c r="P1947" s="46"/>
      <c r="Q1947" s="46"/>
      <c r="R1947" s="46"/>
      <c r="S1947" s="46"/>
      <c r="T1947" s="46"/>
      <c r="U1947" s="46"/>
      <c r="V1947" s="46"/>
      <c r="W1947" s="46"/>
      <c r="X1947" s="46"/>
    </row>
    <row r="1948" spans="1:24" ht="12.75" x14ac:dyDescent="0.2">
      <c r="A1948" s="45"/>
      <c r="B1948" s="46"/>
      <c r="C1948" s="46"/>
      <c r="D1948" s="46"/>
      <c r="E1948" s="46"/>
      <c r="F1948" s="46"/>
      <c r="G1948" s="46"/>
      <c r="H1948" s="46"/>
      <c r="I1948" s="46"/>
      <c r="J1948" s="46"/>
      <c r="K1948" s="46"/>
      <c r="L1948" s="46"/>
      <c r="M1948" s="46"/>
      <c r="N1948" s="46"/>
      <c r="O1948" s="46"/>
      <c r="P1948" s="46"/>
      <c r="Q1948" s="46"/>
      <c r="R1948" s="46"/>
      <c r="S1948" s="46"/>
      <c r="T1948" s="46"/>
      <c r="U1948" s="46"/>
      <c r="V1948" s="46"/>
      <c r="W1948" s="46"/>
      <c r="X1948" s="46"/>
    </row>
    <row r="1949" spans="1:24" ht="12.75" x14ac:dyDescent="0.2">
      <c r="A1949" s="45"/>
      <c r="B1949" s="46"/>
      <c r="C1949" s="46"/>
      <c r="D1949" s="46"/>
      <c r="E1949" s="46"/>
      <c r="F1949" s="46"/>
      <c r="G1949" s="46"/>
      <c r="H1949" s="46"/>
      <c r="I1949" s="46"/>
      <c r="J1949" s="46"/>
      <c r="K1949" s="46"/>
      <c r="L1949" s="46"/>
      <c r="M1949" s="46"/>
      <c r="N1949" s="46"/>
      <c r="O1949" s="46"/>
      <c r="P1949" s="46"/>
      <c r="Q1949" s="46"/>
      <c r="R1949" s="46"/>
      <c r="S1949" s="46"/>
      <c r="T1949" s="46"/>
      <c r="U1949" s="46"/>
      <c r="V1949" s="46"/>
      <c r="W1949" s="46"/>
      <c r="X1949" s="46"/>
    </row>
    <row r="1950" spans="1:24" ht="12.75" x14ac:dyDescent="0.2">
      <c r="A1950" s="45"/>
      <c r="B1950" s="46"/>
      <c r="C1950" s="46"/>
      <c r="D1950" s="46"/>
      <c r="E1950" s="46"/>
      <c r="F1950" s="46"/>
      <c r="G1950" s="46"/>
      <c r="H1950" s="46"/>
      <c r="I1950" s="46"/>
      <c r="J1950" s="46"/>
      <c r="K1950" s="46"/>
      <c r="L1950" s="46"/>
      <c r="M1950" s="46"/>
      <c r="N1950" s="46"/>
      <c r="O1950" s="46"/>
      <c r="P1950" s="46"/>
      <c r="Q1950" s="46"/>
      <c r="R1950" s="46"/>
      <c r="S1950" s="46"/>
      <c r="T1950" s="46"/>
      <c r="U1950" s="46"/>
      <c r="V1950" s="46"/>
      <c r="W1950" s="46"/>
      <c r="X1950" s="46"/>
    </row>
    <row r="1951" spans="1:24" ht="12.75" x14ac:dyDescent="0.2">
      <c r="A1951" s="45"/>
      <c r="B1951" s="46"/>
      <c r="C1951" s="46"/>
      <c r="D1951" s="46"/>
      <c r="E1951" s="46"/>
      <c r="F1951" s="46"/>
      <c r="G1951" s="46"/>
      <c r="H1951" s="46"/>
      <c r="I1951" s="46"/>
      <c r="J1951" s="46"/>
      <c r="K1951" s="46"/>
      <c r="L1951" s="46"/>
      <c r="M1951" s="46"/>
      <c r="N1951" s="46"/>
      <c r="O1951" s="46"/>
      <c r="P1951" s="46"/>
      <c r="Q1951" s="46"/>
      <c r="R1951" s="46"/>
      <c r="S1951" s="46"/>
      <c r="T1951" s="46"/>
      <c r="U1951" s="46"/>
      <c r="V1951" s="46"/>
      <c r="W1951" s="46"/>
      <c r="X1951" s="46"/>
    </row>
    <row r="1952" spans="1:24" ht="12.75" x14ac:dyDescent="0.2">
      <c r="A1952" s="45"/>
      <c r="B1952" s="46"/>
      <c r="C1952" s="46"/>
      <c r="D1952" s="46"/>
      <c r="E1952" s="46"/>
      <c r="F1952" s="46"/>
      <c r="G1952" s="46"/>
      <c r="H1952" s="46"/>
      <c r="I1952" s="46"/>
      <c r="J1952" s="46"/>
      <c r="K1952" s="46"/>
      <c r="L1952" s="46"/>
      <c r="M1952" s="46"/>
      <c r="N1952" s="46"/>
      <c r="O1952" s="46"/>
      <c r="P1952" s="46"/>
      <c r="Q1952" s="46"/>
      <c r="R1952" s="46"/>
      <c r="S1952" s="46"/>
      <c r="T1952" s="46"/>
      <c r="U1952" s="46"/>
      <c r="V1952" s="46"/>
      <c r="W1952" s="46"/>
      <c r="X1952" s="46"/>
    </row>
    <row r="1953" spans="1:24" ht="12.75" x14ac:dyDescent="0.2">
      <c r="A1953" s="45"/>
      <c r="B1953" s="46"/>
      <c r="C1953" s="46"/>
      <c r="D1953" s="46"/>
      <c r="E1953" s="46"/>
      <c r="F1953" s="46"/>
      <c r="G1953" s="46"/>
      <c r="H1953" s="46"/>
      <c r="I1953" s="46"/>
      <c r="J1953" s="46"/>
      <c r="K1953" s="46"/>
      <c r="L1953" s="46"/>
      <c r="M1953" s="46"/>
      <c r="N1953" s="46"/>
      <c r="O1953" s="46"/>
      <c r="P1953" s="46"/>
      <c r="Q1953" s="46"/>
      <c r="R1953" s="46"/>
      <c r="S1953" s="46"/>
      <c r="T1953" s="46"/>
      <c r="U1953" s="46"/>
      <c r="V1953" s="46"/>
      <c r="W1953" s="46"/>
      <c r="X1953" s="46"/>
    </row>
    <row r="1954" spans="1:24" ht="12.75" x14ac:dyDescent="0.2">
      <c r="A1954" s="45"/>
      <c r="B1954" s="46"/>
      <c r="C1954" s="46"/>
      <c r="D1954" s="46"/>
      <c r="E1954" s="46"/>
      <c r="F1954" s="46"/>
      <c r="G1954" s="46"/>
      <c r="H1954" s="46"/>
      <c r="I1954" s="46"/>
      <c r="J1954" s="46"/>
      <c r="K1954" s="46"/>
      <c r="L1954" s="46"/>
      <c r="M1954" s="46"/>
      <c r="N1954" s="46"/>
      <c r="O1954" s="46"/>
      <c r="P1954" s="46"/>
      <c r="Q1954" s="46"/>
      <c r="R1954" s="46"/>
      <c r="S1954" s="46"/>
      <c r="T1954" s="46"/>
      <c r="U1954" s="46"/>
      <c r="V1954" s="46"/>
      <c r="W1954" s="46"/>
      <c r="X1954" s="46"/>
    </row>
    <row r="1955" spans="1:24" ht="12.75" x14ac:dyDescent="0.2">
      <c r="A1955" s="45"/>
      <c r="B1955" s="46"/>
      <c r="C1955" s="46"/>
      <c r="D1955" s="46"/>
      <c r="E1955" s="46"/>
      <c r="F1955" s="46"/>
      <c r="G1955" s="46"/>
      <c r="H1955" s="46"/>
      <c r="I1955" s="46"/>
      <c r="J1955" s="46"/>
      <c r="K1955" s="46"/>
      <c r="L1955" s="46"/>
      <c r="M1955" s="46"/>
      <c r="N1955" s="46"/>
      <c r="O1955" s="46"/>
      <c r="P1955" s="46"/>
      <c r="Q1955" s="46"/>
      <c r="R1955" s="46"/>
      <c r="S1955" s="46"/>
      <c r="T1955" s="46"/>
      <c r="U1955" s="46"/>
      <c r="V1955" s="46"/>
      <c r="W1955" s="46"/>
      <c r="X1955" s="46"/>
    </row>
    <row r="1956" spans="1:24" ht="12.75" x14ac:dyDescent="0.2">
      <c r="A1956" s="45"/>
      <c r="B1956" s="46"/>
      <c r="C1956" s="46"/>
      <c r="D1956" s="46"/>
      <c r="E1956" s="46"/>
      <c r="F1956" s="46"/>
      <c r="G1956" s="46"/>
      <c r="H1956" s="46"/>
      <c r="I1956" s="46"/>
      <c r="J1956" s="46"/>
      <c r="K1956" s="46"/>
      <c r="L1956" s="46"/>
      <c r="M1956" s="46"/>
      <c r="N1956" s="46"/>
      <c r="O1956" s="46"/>
      <c r="P1956" s="46"/>
      <c r="Q1956" s="46"/>
      <c r="R1956" s="46"/>
      <c r="S1956" s="46"/>
      <c r="T1956" s="46"/>
      <c r="U1956" s="46"/>
      <c r="V1956" s="46"/>
      <c r="W1956" s="46"/>
      <c r="X1956" s="46"/>
    </row>
    <row r="1957" spans="1:24" ht="12.75" x14ac:dyDescent="0.2">
      <c r="A1957" s="45"/>
      <c r="B1957" s="46"/>
      <c r="C1957" s="46"/>
      <c r="D1957" s="46"/>
      <c r="E1957" s="46"/>
      <c r="F1957" s="46"/>
      <c r="G1957" s="46"/>
      <c r="H1957" s="46"/>
      <c r="I1957" s="46"/>
      <c r="J1957" s="46"/>
      <c r="K1957" s="46"/>
      <c r="L1957" s="46"/>
      <c r="M1957" s="46"/>
      <c r="N1957" s="46"/>
      <c r="O1957" s="46"/>
      <c r="P1957" s="46"/>
      <c r="Q1957" s="46"/>
      <c r="R1957" s="46"/>
      <c r="S1957" s="46"/>
      <c r="T1957" s="46"/>
      <c r="U1957" s="46"/>
      <c r="V1957" s="46"/>
      <c r="W1957" s="46"/>
      <c r="X1957" s="46"/>
    </row>
    <row r="1958" spans="1:24" ht="12.75" x14ac:dyDescent="0.2">
      <c r="A1958" s="45"/>
      <c r="B1958" s="46"/>
      <c r="C1958" s="46"/>
      <c r="D1958" s="46"/>
      <c r="E1958" s="46"/>
      <c r="F1958" s="46"/>
      <c r="G1958" s="46"/>
      <c r="H1958" s="46"/>
      <c r="I1958" s="46"/>
      <c r="J1958" s="46"/>
      <c r="K1958" s="46"/>
      <c r="L1958" s="46"/>
      <c r="M1958" s="46"/>
      <c r="N1958" s="46"/>
      <c r="O1958" s="46"/>
      <c r="P1958" s="46"/>
      <c r="Q1958" s="46"/>
      <c r="R1958" s="46"/>
      <c r="S1958" s="46"/>
      <c r="T1958" s="46"/>
      <c r="U1958" s="46"/>
      <c r="V1958" s="46"/>
      <c r="W1958" s="46"/>
      <c r="X1958" s="46"/>
    </row>
    <row r="1959" spans="1:24" ht="12.75" x14ac:dyDescent="0.2">
      <c r="A1959" s="45"/>
      <c r="B1959" s="46"/>
      <c r="C1959" s="46"/>
      <c r="D1959" s="46"/>
      <c r="E1959" s="46"/>
      <c r="F1959" s="46"/>
      <c r="G1959" s="46"/>
      <c r="H1959" s="46"/>
      <c r="I1959" s="46"/>
      <c r="J1959" s="46"/>
      <c r="K1959" s="46"/>
      <c r="L1959" s="46"/>
      <c r="M1959" s="46"/>
      <c r="N1959" s="46"/>
      <c r="O1959" s="46"/>
      <c r="P1959" s="46"/>
      <c r="Q1959" s="46"/>
      <c r="R1959" s="46"/>
      <c r="S1959" s="46"/>
      <c r="T1959" s="46"/>
      <c r="U1959" s="46"/>
      <c r="V1959" s="46"/>
      <c r="W1959" s="46"/>
      <c r="X1959" s="46"/>
    </row>
    <row r="1960" spans="1:24" ht="12.75" x14ac:dyDescent="0.2">
      <c r="A1960" s="45"/>
      <c r="B1960" s="46"/>
      <c r="C1960" s="46"/>
      <c r="D1960" s="46"/>
      <c r="E1960" s="46"/>
      <c r="F1960" s="46"/>
      <c r="G1960" s="46"/>
      <c r="H1960" s="46"/>
      <c r="I1960" s="46"/>
      <c r="J1960" s="46"/>
      <c r="K1960" s="46"/>
      <c r="L1960" s="46"/>
      <c r="M1960" s="46"/>
      <c r="N1960" s="46"/>
      <c r="O1960" s="46"/>
      <c r="P1960" s="46"/>
      <c r="Q1960" s="46"/>
      <c r="R1960" s="46"/>
      <c r="S1960" s="46"/>
      <c r="T1960" s="46"/>
      <c r="U1960" s="46"/>
      <c r="V1960" s="46"/>
      <c r="W1960" s="46"/>
      <c r="X1960" s="46"/>
    </row>
    <row r="1961" spans="1:24" ht="12.75" x14ac:dyDescent="0.2">
      <c r="A1961" s="45"/>
      <c r="B1961" s="46"/>
      <c r="C1961" s="46"/>
      <c r="D1961" s="46"/>
      <c r="E1961" s="46"/>
      <c r="F1961" s="46"/>
      <c r="G1961" s="46"/>
      <c r="H1961" s="46"/>
      <c r="I1961" s="46"/>
      <c r="J1961" s="46"/>
      <c r="K1961" s="46"/>
      <c r="L1961" s="46"/>
      <c r="M1961" s="46"/>
      <c r="N1961" s="46"/>
      <c r="O1961" s="46"/>
      <c r="P1961" s="46"/>
      <c r="Q1961" s="46"/>
      <c r="R1961" s="46"/>
      <c r="S1961" s="46"/>
      <c r="T1961" s="46"/>
      <c r="U1961" s="46"/>
      <c r="V1961" s="46"/>
      <c r="W1961" s="46"/>
      <c r="X1961" s="46"/>
    </row>
    <row r="1962" spans="1:24" ht="12.75" x14ac:dyDescent="0.2">
      <c r="A1962" s="45"/>
      <c r="B1962" s="46"/>
      <c r="C1962" s="46"/>
      <c r="D1962" s="46"/>
      <c r="E1962" s="46"/>
      <c r="F1962" s="46"/>
      <c r="G1962" s="46"/>
      <c r="H1962" s="46"/>
      <c r="I1962" s="46"/>
      <c r="J1962" s="46"/>
      <c r="K1962" s="46"/>
      <c r="L1962" s="46"/>
      <c r="M1962" s="46"/>
      <c r="N1962" s="46"/>
      <c r="O1962" s="46"/>
      <c r="P1962" s="46"/>
      <c r="Q1962" s="46"/>
      <c r="R1962" s="46"/>
      <c r="S1962" s="46"/>
      <c r="T1962" s="46"/>
      <c r="U1962" s="46"/>
      <c r="V1962" s="46"/>
      <c r="W1962" s="46"/>
      <c r="X1962" s="46"/>
    </row>
    <row r="1963" spans="1:24" ht="12.75" x14ac:dyDescent="0.2">
      <c r="A1963" s="45"/>
      <c r="B1963" s="46"/>
      <c r="C1963" s="46"/>
      <c r="D1963" s="46"/>
      <c r="E1963" s="46"/>
      <c r="F1963" s="46"/>
      <c r="G1963" s="46"/>
      <c r="H1963" s="46"/>
      <c r="I1963" s="46"/>
      <c r="J1963" s="46"/>
      <c r="K1963" s="46"/>
      <c r="L1963" s="46"/>
      <c r="M1963" s="46"/>
      <c r="N1963" s="46"/>
      <c r="O1963" s="46"/>
      <c r="P1963" s="46"/>
      <c r="Q1963" s="46"/>
      <c r="R1963" s="46"/>
      <c r="S1963" s="46"/>
      <c r="T1963" s="46"/>
      <c r="U1963" s="46"/>
      <c r="V1963" s="46"/>
      <c r="W1963" s="46"/>
      <c r="X1963" s="46"/>
    </row>
    <row r="1964" spans="1:24" ht="12.75" x14ac:dyDescent="0.2">
      <c r="A1964" s="45"/>
      <c r="B1964" s="46"/>
      <c r="C1964" s="46"/>
      <c r="D1964" s="46"/>
      <c r="E1964" s="46"/>
      <c r="F1964" s="46"/>
      <c r="G1964" s="46"/>
      <c r="H1964" s="46"/>
      <c r="I1964" s="46"/>
      <c r="J1964" s="46"/>
      <c r="K1964" s="46"/>
      <c r="L1964" s="46"/>
      <c r="M1964" s="46"/>
      <c r="N1964" s="46"/>
      <c r="O1964" s="46"/>
      <c r="P1964" s="46"/>
      <c r="Q1964" s="46"/>
      <c r="R1964" s="46"/>
      <c r="S1964" s="46"/>
      <c r="T1964" s="46"/>
      <c r="U1964" s="46"/>
      <c r="V1964" s="46"/>
      <c r="W1964" s="46"/>
      <c r="X1964" s="46"/>
    </row>
    <row r="1965" spans="1:24" ht="12.75" x14ac:dyDescent="0.2">
      <c r="A1965" s="45"/>
      <c r="B1965" s="46"/>
      <c r="C1965" s="46"/>
      <c r="D1965" s="46"/>
      <c r="E1965" s="46"/>
      <c r="F1965" s="46"/>
      <c r="G1965" s="46"/>
      <c r="H1965" s="46"/>
      <c r="I1965" s="46"/>
      <c r="J1965" s="46"/>
      <c r="K1965" s="46"/>
      <c r="L1965" s="46"/>
      <c r="M1965" s="46"/>
      <c r="N1965" s="46"/>
      <c r="O1965" s="46"/>
      <c r="P1965" s="46"/>
      <c r="Q1965" s="46"/>
      <c r="R1965" s="46"/>
      <c r="S1965" s="46"/>
      <c r="T1965" s="46"/>
      <c r="U1965" s="46"/>
      <c r="V1965" s="46"/>
      <c r="W1965" s="46"/>
      <c r="X1965" s="46"/>
    </row>
    <row r="1966" spans="1:24" ht="12.75" x14ac:dyDescent="0.2">
      <c r="A1966" s="45"/>
      <c r="B1966" s="46"/>
      <c r="C1966" s="46"/>
      <c r="D1966" s="46"/>
      <c r="E1966" s="46"/>
      <c r="F1966" s="46"/>
      <c r="G1966" s="46"/>
      <c r="H1966" s="46"/>
      <c r="I1966" s="46"/>
      <c r="J1966" s="46"/>
      <c r="K1966" s="46"/>
      <c r="L1966" s="46"/>
      <c r="M1966" s="46"/>
      <c r="N1966" s="46"/>
      <c r="O1966" s="46"/>
      <c r="P1966" s="46"/>
      <c r="Q1966" s="46"/>
      <c r="R1966" s="46"/>
      <c r="S1966" s="46"/>
      <c r="T1966" s="46"/>
      <c r="U1966" s="46"/>
      <c r="V1966" s="46"/>
      <c r="W1966" s="46"/>
      <c r="X1966" s="46"/>
    </row>
    <row r="1967" spans="1:24" ht="12.75" x14ac:dyDescent="0.2">
      <c r="A1967" s="45"/>
      <c r="B1967" s="46"/>
      <c r="C1967" s="46"/>
      <c r="D1967" s="46"/>
      <c r="E1967" s="46"/>
      <c r="F1967" s="46"/>
      <c r="G1967" s="46"/>
      <c r="H1967" s="46"/>
      <c r="I1967" s="46"/>
      <c r="J1967" s="46"/>
      <c r="K1967" s="46"/>
      <c r="L1967" s="46"/>
      <c r="M1967" s="46"/>
      <c r="N1967" s="46"/>
      <c r="O1967" s="46"/>
      <c r="P1967" s="46"/>
      <c r="Q1967" s="46"/>
      <c r="R1967" s="46"/>
      <c r="S1967" s="46"/>
      <c r="T1967" s="46"/>
      <c r="U1967" s="46"/>
      <c r="V1967" s="46"/>
      <c r="W1967" s="46"/>
      <c r="X1967" s="46"/>
    </row>
    <row r="1968" spans="1:24" ht="12.75" x14ac:dyDescent="0.2">
      <c r="A1968" s="45"/>
      <c r="B1968" s="46"/>
      <c r="C1968" s="46"/>
      <c r="D1968" s="46"/>
      <c r="E1968" s="46"/>
      <c r="F1968" s="46"/>
      <c r="G1968" s="46"/>
      <c r="H1968" s="46"/>
      <c r="I1968" s="46"/>
      <c r="J1968" s="46"/>
      <c r="K1968" s="46"/>
      <c r="L1968" s="46"/>
      <c r="M1968" s="46"/>
      <c r="N1968" s="46"/>
      <c r="O1968" s="46"/>
      <c r="P1968" s="46"/>
      <c r="Q1968" s="46"/>
      <c r="R1968" s="46"/>
      <c r="S1968" s="46"/>
      <c r="T1968" s="46"/>
      <c r="U1968" s="46"/>
      <c r="V1968" s="46"/>
      <c r="W1968" s="46"/>
      <c r="X1968" s="46"/>
    </row>
    <row r="1969" spans="1:24" ht="12.75" x14ac:dyDescent="0.2">
      <c r="A1969" s="45"/>
      <c r="B1969" s="46"/>
      <c r="C1969" s="46"/>
      <c r="D1969" s="46"/>
      <c r="E1969" s="46"/>
      <c r="F1969" s="46"/>
      <c r="G1969" s="46"/>
      <c r="H1969" s="46"/>
      <c r="I1969" s="46"/>
      <c r="J1969" s="46"/>
      <c r="K1969" s="46"/>
      <c r="L1969" s="46"/>
      <c r="M1969" s="46"/>
      <c r="N1969" s="46"/>
      <c r="O1969" s="46"/>
      <c r="P1969" s="46"/>
      <c r="Q1969" s="46"/>
      <c r="R1969" s="46"/>
      <c r="S1969" s="46"/>
      <c r="T1969" s="46"/>
      <c r="U1969" s="46"/>
      <c r="V1969" s="46"/>
      <c r="W1969" s="46"/>
      <c r="X1969" s="46"/>
    </row>
    <row r="1970" spans="1:24" ht="12.75" x14ac:dyDescent="0.2">
      <c r="A1970" s="45"/>
      <c r="B1970" s="46"/>
      <c r="C1970" s="46"/>
      <c r="D1970" s="46"/>
      <c r="E1970" s="46"/>
      <c r="F1970" s="46"/>
      <c r="G1970" s="46"/>
      <c r="H1970" s="46"/>
      <c r="I1970" s="46"/>
      <c r="J1970" s="46"/>
      <c r="K1970" s="46"/>
      <c r="L1970" s="46"/>
      <c r="M1970" s="46"/>
      <c r="N1970" s="46"/>
      <c r="O1970" s="46"/>
      <c r="P1970" s="46"/>
      <c r="Q1970" s="46"/>
      <c r="R1970" s="46"/>
      <c r="S1970" s="46"/>
      <c r="T1970" s="46"/>
      <c r="U1970" s="46"/>
      <c r="V1970" s="46"/>
      <c r="W1970" s="46"/>
      <c r="X1970" s="46"/>
    </row>
    <row r="1971" spans="1:24" ht="12.75" x14ac:dyDescent="0.2">
      <c r="A1971" s="45"/>
      <c r="B1971" s="46"/>
      <c r="C1971" s="46"/>
      <c r="D1971" s="46"/>
      <c r="E1971" s="46"/>
      <c r="F1971" s="46"/>
      <c r="G1971" s="46"/>
      <c r="H1971" s="46"/>
      <c r="I1971" s="46"/>
      <c r="J1971" s="46"/>
      <c r="K1971" s="46"/>
      <c r="L1971" s="46"/>
      <c r="M1971" s="46"/>
      <c r="N1971" s="46"/>
      <c r="O1971" s="46"/>
      <c r="P1971" s="46"/>
      <c r="Q1971" s="46"/>
      <c r="R1971" s="46"/>
      <c r="S1971" s="46"/>
      <c r="T1971" s="46"/>
      <c r="U1971" s="46"/>
      <c r="V1971" s="46"/>
      <c r="W1971" s="46"/>
      <c r="X1971" s="46"/>
    </row>
    <row r="1972" spans="1:24" ht="12.75" x14ac:dyDescent="0.2">
      <c r="A1972" s="45"/>
      <c r="B1972" s="46"/>
      <c r="C1972" s="46"/>
      <c r="D1972" s="46"/>
      <c r="E1972" s="46"/>
      <c r="F1972" s="46"/>
      <c r="G1972" s="46"/>
      <c r="H1972" s="46"/>
      <c r="I1972" s="46"/>
      <c r="J1972" s="46"/>
      <c r="K1972" s="46"/>
      <c r="L1972" s="46"/>
      <c r="M1972" s="46"/>
      <c r="N1972" s="46"/>
      <c r="O1972" s="46"/>
      <c r="P1972" s="46"/>
      <c r="Q1972" s="46"/>
      <c r="R1972" s="46"/>
      <c r="S1972" s="46"/>
      <c r="T1972" s="46"/>
      <c r="U1972" s="46"/>
      <c r="V1972" s="46"/>
      <c r="W1972" s="46"/>
      <c r="X1972" s="46"/>
    </row>
    <row r="1973" spans="1:24" ht="12.75" x14ac:dyDescent="0.2">
      <c r="A1973" s="45"/>
      <c r="B1973" s="46"/>
      <c r="C1973" s="46"/>
      <c r="D1973" s="46"/>
      <c r="E1973" s="46"/>
      <c r="F1973" s="46"/>
      <c r="G1973" s="46"/>
      <c r="H1973" s="46"/>
      <c r="I1973" s="46"/>
      <c r="J1973" s="46"/>
      <c r="K1973" s="46"/>
      <c r="L1973" s="46"/>
      <c r="M1973" s="46"/>
      <c r="N1973" s="46"/>
      <c r="O1973" s="46"/>
      <c r="P1973" s="46"/>
      <c r="Q1973" s="46"/>
      <c r="R1973" s="46"/>
      <c r="S1973" s="46"/>
      <c r="T1973" s="46"/>
      <c r="U1973" s="46"/>
      <c r="V1973" s="46"/>
      <c r="W1973" s="46"/>
      <c r="X1973" s="46"/>
    </row>
    <row r="1974" spans="1:24" ht="12.75" x14ac:dyDescent="0.2">
      <c r="A1974" s="45"/>
      <c r="B1974" s="46"/>
      <c r="C1974" s="46"/>
      <c r="D1974" s="46"/>
      <c r="E1974" s="46"/>
      <c r="F1974" s="46"/>
      <c r="G1974" s="46"/>
      <c r="H1974" s="46"/>
      <c r="I1974" s="46"/>
      <c r="J1974" s="46"/>
      <c r="K1974" s="46"/>
      <c r="L1974" s="46"/>
      <c r="M1974" s="46"/>
      <c r="N1974" s="46"/>
      <c r="O1974" s="46"/>
      <c r="P1974" s="46"/>
      <c r="Q1974" s="46"/>
      <c r="R1974" s="46"/>
      <c r="S1974" s="46"/>
      <c r="T1974" s="46"/>
      <c r="U1974" s="46"/>
      <c r="V1974" s="46"/>
      <c r="W1974" s="46"/>
      <c r="X1974" s="46"/>
    </row>
    <row r="1975" spans="1:24" ht="12.75" x14ac:dyDescent="0.2">
      <c r="A1975" s="45"/>
      <c r="B1975" s="46"/>
      <c r="C1975" s="46"/>
      <c r="D1975" s="46"/>
      <c r="E1975" s="46"/>
      <c r="F1975" s="46"/>
      <c r="G1975" s="46"/>
      <c r="H1975" s="46"/>
      <c r="I1975" s="46"/>
      <c r="J1975" s="46"/>
      <c r="K1975" s="46"/>
      <c r="L1975" s="46"/>
      <c r="M1975" s="46"/>
      <c r="N1975" s="46"/>
      <c r="O1975" s="46"/>
      <c r="P1975" s="46"/>
      <c r="Q1975" s="46"/>
      <c r="R1975" s="46"/>
      <c r="S1975" s="46"/>
      <c r="T1975" s="46"/>
      <c r="U1975" s="46"/>
      <c r="V1975" s="46"/>
      <c r="W1975" s="46"/>
      <c r="X1975" s="46"/>
    </row>
    <row r="1976" spans="1:24" ht="12.75" x14ac:dyDescent="0.2">
      <c r="A1976" s="45"/>
      <c r="B1976" s="46"/>
      <c r="C1976" s="46"/>
      <c r="D1976" s="46"/>
      <c r="E1976" s="46"/>
      <c r="F1976" s="46"/>
      <c r="G1976" s="46"/>
      <c r="H1976" s="46"/>
      <c r="I1976" s="46"/>
      <c r="J1976" s="46"/>
      <c r="K1976" s="46"/>
      <c r="L1976" s="46"/>
      <c r="M1976" s="46"/>
      <c r="N1976" s="46"/>
      <c r="O1976" s="46"/>
      <c r="P1976" s="46"/>
      <c r="Q1976" s="46"/>
      <c r="R1976" s="46"/>
      <c r="S1976" s="46"/>
      <c r="T1976" s="46"/>
      <c r="U1976" s="46"/>
      <c r="V1976" s="46"/>
      <c r="W1976" s="46"/>
      <c r="X1976" s="46"/>
    </row>
    <row r="1977" spans="1:24" ht="12.75" x14ac:dyDescent="0.2">
      <c r="A1977" s="45"/>
      <c r="B1977" s="46"/>
      <c r="C1977" s="46"/>
      <c r="D1977" s="46"/>
      <c r="E1977" s="46"/>
      <c r="F1977" s="46"/>
      <c r="G1977" s="46"/>
      <c r="H1977" s="46"/>
      <c r="I1977" s="46"/>
      <c r="J1977" s="46"/>
      <c r="K1977" s="46"/>
      <c r="L1977" s="46"/>
      <c r="M1977" s="46"/>
      <c r="N1977" s="46"/>
      <c r="O1977" s="46"/>
      <c r="P1977" s="46"/>
      <c r="Q1977" s="46"/>
      <c r="R1977" s="46"/>
      <c r="S1977" s="46"/>
      <c r="T1977" s="46"/>
      <c r="U1977" s="46"/>
      <c r="V1977" s="46"/>
      <c r="W1977" s="46"/>
      <c r="X1977" s="46"/>
    </row>
    <row r="1978" spans="1:24" ht="12.75" x14ac:dyDescent="0.2">
      <c r="A1978" s="45"/>
      <c r="B1978" s="46"/>
      <c r="C1978" s="46"/>
      <c r="D1978" s="46"/>
      <c r="E1978" s="46"/>
      <c r="F1978" s="46"/>
      <c r="G1978" s="46"/>
      <c r="H1978" s="46"/>
      <c r="I1978" s="46"/>
      <c r="J1978" s="46"/>
      <c r="K1978" s="46"/>
      <c r="L1978" s="46"/>
      <c r="M1978" s="46"/>
      <c r="N1978" s="46"/>
      <c r="O1978" s="46"/>
      <c r="P1978" s="46"/>
      <c r="Q1978" s="46"/>
      <c r="R1978" s="46"/>
      <c r="S1978" s="46"/>
      <c r="T1978" s="46"/>
      <c r="U1978" s="46"/>
      <c r="V1978" s="46"/>
      <c r="W1978" s="46"/>
      <c r="X1978" s="46"/>
    </row>
    <row r="1979" spans="1:24" ht="12.75" x14ac:dyDescent="0.2">
      <c r="A1979" s="45"/>
      <c r="B1979" s="46"/>
      <c r="C1979" s="46"/>
      <c r="D1979" s="46"/>
      <c r="E1979" s="46"/>
      <c r="F1979" s="46"/>
      <c r="G1979" s="46"/>
      <c r="H1979" s="46"/>
      <c r="I1979" s="46"/>
      <c r="J1979" s="46"/>
      <c r="K1979" s="46"/>
      <c r="L1979" s="46"/>
      <c r="M1979" s="46"/>
      <c r="N1979" s="46"/>
      <c r="O1979" s="46"/>
      <c r="P1979" s="46"/>
      <c r="Q1979" s="46"/>
      <c r="R1979" s="46"/>
      <c r="S1979" s="46"/>
      <c r="T1979" s="46"/>
      <c r="U1979" s="46"/>
      <c r="V1979" s="46"/>
      <c r="W1979" s="46"/>
      <c r="X1979" s="46"/>
    </row>
    <row r="1980" spans="1:24" ht="12.75" x14ac:dyDescent="0.2">
      <c r="A1980" s="45"/>
      <c r="B1980" s="46"/>
      <c r="C1980" s="46"/>
      <c r="D1980" s="46"/>
      <c r="E1980" s="46"/>
      <c r="F1980" s="46"/>
      <c r="G1980" s="46"/>
      <c r="H1980" s="46"/>
      <c r="I1980" s="46"/>
      <c r="J1980" s="46"/>
      <c r="K1980" s="46"/>
      <c r="L1980" s="46"/>
      <c r="M1980" s="46"/>
      <c r="N1980" s="46"/>
      <c r="O1980" s="46"/>
      <c r="P1980" s="46"/>
      <c r="Q1980" s="46"/>
      <c r="R1980" s="46"/>
      <c r="S1980" s="46"/>
      <c r="T1980" s="46"/>
      <c r="U1980" s="46"/>
      <c r="V1980" s="46"/>
      <c r="W1980" s="46"/>
      <c r="X1980" s="46"/>
    </row>
    <row r="1981" spans="1:24" ht="12.75" x14ac:dyDescent="0.2">
      <c r="A1981" s="45"/>
      <c r="B1981" s="46"/>
      <c r="C1981" s="46"/>
      <c r="D1981" s="46"/>
      <c r="E1981" s="46"/>
      <c r="F1981" s="46"/>
      <c r="G1981" s="46"/>
      <c r="H1981" s="46"/>
      <c r="I1981" s="46"/>
      <c r="J1981" s="46"/>
      <c r="K1981" s="46"/>
      <c r="L1981" s="46"/>
      <c r="M1981" s="46"/>
      <c r="N1981" s="46"/>
      <c r="O1981" s="46"/>
      <c r="P1981" s="46"/>
      <c r="Q1981" s="46"/>
      <c r="R1981" s="46"/>
      <c r="S1981" s="46"/>
      <c r="T1981" s="46"/>
      <c r="U1981" s="46"/>
      <c r="V1981" s="46"/>
      <c r="W1981" s="46"/>
      <c r="X1981" s="46"/>
    </row>
    <row r="1982" spans="1:24" ht="12.75" x14ac:dyDescent="0.2">
      <c r="A1982" s="45"/>
      <c r="B1982" s="46"/>
      <c r="C1982" s="46"/>
      <c r="D1982" s="46"/>
      <c r="E1982" s="46"/>
      <c r="F1982" s="46"/>
      <c r="G1982" s="46"/>
      <c r="H1982" s="46"/>
      <c r="I1982" s="46"/>
      <c r="J1982" s="46"/>
      <c r="K1982" s="46"/>
      <c r="L1982" s="46"/>
      <c r="M1982" s="46"/>
      <c r="N1982" s="46"/>
      <c r="O1982" s="46"/>
      <c r="P1982" s="46"/>
      <c r="Q1982" s="46"/>
      <c r="R1982" s="46"/>
      <c r="S1982" s="46"/>
      <c r="T1982" s="46"/>
      <c r="U1982" s="46"/>
      <c r="V1982" s="46"/>
      <c r="W1982" s="46"/>
      <c r="X1982" s="46"/>
    </row>
    <row r="1983" spans="1:24" ht="12.75" x14ac:dyDescent="0.2">
      <c r="A1983" s="45"/>
      <c r="B1983" s="46"/>
      <c r="C1983" s="46"/>
      <c r="D1983" s="46"/>
      <c r="E1983" s="46"/>
      <c r="F1983" s="46"/>
      <c r="G1983" s="46"/>
      <c r="H1983" s="46"/>
      <c r="I1983" s="46"/>
      <c r="J1983" s="46"/>
      <c r="K1983" s="46"/>
      <c r="L1983" s="46"/>
      <c r="M1983" s="46"/>
      <c r="N1983" s="46"/>
      <c r="O1983" s="46"/>
      <c r="P1983" s="46"/>
      <c r="Q1983" s="46"/>
      <c r="R1983" s="46"/>
      <c r="S1983" s="46"/>
      <c r="T1983" s="46"/>
      <c r="U1983" s="46"/>
      <c r="V1983" s="46"/>
      <c r="W1983" s="46"/>
      <c r="X1983" s="46"/>
    </row>
    <row r="1984" spans="1:24" ht="12.75" x14ac:dyDescent="0.2">
      <c r="A1984" s="45"/>
      <c r="B1984" s="46"/>
      <c r="C1984" s="46"/>
      <c r="D1984" s="46"/>
      <c r="E1984" s="46"/>
      <c r="F1984" s="46"/>
      <c r="G1984" s="46"/>
      <c r="H1984" s="46"/>
      <c r="I1984" s="46"/>
      <c r="J1984" s="46"/>
      <c r="K1984" s="46"/>
      <c r="L1984" s="46"/>
      <c r="M1984" s="46"/>
      <c r="N1984" s="46"/>
      <c r="O1984" s="46"/>
      <c r="P1984" s="46"/>
      <c r="Q1984" s="46"/>
      <c r="R1984" s="46"/>
      <c r="S1984" s="46"/>
      <c r="T1984" s="46"/>
      <c r="U1984" s="46"/>
      <c r="V1984" s="46"/>
      <c r="W1984" s="46"/>
      <c r="X1984" s="46"/>
    </row>
    <row r="1985" spans="1:24" ht="12.75" x14ac:dyDescent="0.2">
      <c r="A1985" s="45"/>
      <c r="B1985" s="46"/>
      <c r="C1985" s="46"/>
      <c r="D1985" s="46"/>
      <c r="E1985" s="46"/>
      <c r="F1985" s="46"/>
      <c r="G1985" s="46"/>
      <c r="H1985" s="46"/>
      <c r="I1985" s="46"/>
      <c r="J1985" s="46"/>
      <c r="K1985" s="46"/>
      <c r="L1985" s="46"/>
      <c r="M1985" s="46"/>
      <c r="N1985" s="46"/>
      <c r="O1985" s="46"/>
      <c r="P1985" s="46"/>
      <c r="Q1985" s="46"/>
      <c r="R1985" s="46"/>
      <c r="S1985" s="46"/>
      <c r="T1985" s="46"/>
      <c r="U1985" s="46"/>
      <c r="V1985" s="46"/>
      <c r="W1985" s="46"/>
      <c r="X1985" s="46"/>
    </row>
    <row r="1986" spans="1:24" ht="12.75" x14ac:dyDescent="0.2">
      <c r="A1986" s="45"/>
      <c r="B1986" s="46"/>
      <c r="C1986" s="46"/>
      <c r="D1986" s="46"/>
      <c r="E1986" s="46"/>
      <c r="F1986" s="46"/>
      <c r="G1986" s="46"/>
      <c r="H1986" s="46"/>
      <c r="I1986" s="46"/>
      <c r="J1986" s="46"/>
      <c r="K1986" s="46"/>
      <c r="L1986" s="46"/>
      <c r="M1986" s="46"/>
      <c r="N1986" s="46"/>
      <c r="O1986" s="46"/>
      <c r="P1986" s="46"/>
      <c r="Q1986" s="46"/>
      <c r="R1986" s="46"/>
      <c r="S1986" s="46"/>
      <c r="T1986" s="46"/>
      <c r="U1986" s="46"/>
      <c r="V1986" s="46"/>
      <c r="W1986" s="46"/>
      <c r="X1986" s="46"/>
    </row>
    <row r="1987" spans="1:24" ht="12.75" x14ac:dyDescent="0.2">
      <c r="A1987" s="45"/>
      <c r="B1987" s="46"/>
      <c r="C1987" s="46"/>
      <c r="D1987" s="46"/>
      <c r="E1987" s="46"/>
      <c r="F1987" s="46"/>
      <c r="G1987" s="46"/>
      <c r="H1987" s="46"/>
      <c r="I1987" s="46"/>
      <c r="J1987" s="46"/>
      <c r="K1987" s="46"/>
      <c r="L1987" s="46"/>
      <c r="M1987" s="46"/>
      <c r="N1987" s="46"/>
      <c r="O1987" s="46"/>
      <c r="P1987" s="46"/>
      <c r="Q1987" s="46"/>
      <c r="R1987" s="46"/>
      <c r="S1987" s="46"/>
      <c r="T1987" s="46"/>
      <c r="U1987" s="46"/>
      <c r="V1987" s="46"/>
      <c r="W1987" s="46"/>
      <c r="X1987" s="46"/>
    </row>
    <row r="1988" spans="1:24" ht="12.75" x14ac:dyDescent="0.2">
      <c r="A1988" s="45"/>
      <c r="B1988" s="46"/>
      <c r="C1988" s="46"/>
      <c r="D1988" s="46"/>
      <c r="E1988" s="46"/>
      <c r="F1988" s="46"/>
      <c r="G1988" s="46"/>
      <c r="H1988" s="46"/>
      <c r="I1988" s="46"/>
      <c r="J1988" s="46"/>
      <c r="K1988" s="46"/>
      <c r="L1988" s="46"/>
      <c r="M1988" s="46"/>
      <c r="N1988" s="46"/>
      <c r="O1988" s="46"/>
      <c r="P1988" s="46"/>
      <c r="Q1988" s="46"/>
      <c r="R1988" s="46"/>
      <c r="S1988" s="46"/>
      <c r="T1988" s="46"/>
      <c r="U1988" s="46"/>
      <c r="V1988" s="46"/>
      <c r="W1988" s="46"/>
      <c r="X1988" s="46"/>
    </row>
    <row r="1989" spans="1:24" ht="12.75" x14ac:dyDescent="0.2">
      <c r="A1989" s="45"/>
      <c r="B1989" s="46"/>
      <c r="C1989" s="46"/>
      <c r="D1989" s="46"/>
      <c r="E1989" s="46"/>
      <c r="F1989" s="46"/>
      <c r="G1989" s="46"/>
      <c r="H1989" s="46"/>
      <c r="I1989" s="46"/>
      <c r="J1989" s="46"/>
      <c r="K1989" s="46"/>
      <c r="L1989" s="46"/>
      <c r="M1989" s="46"/>
      <c r="N1989" s="46"/>
      <c r="O1989" s="46"/>
      <c r="P1989" s="46"/>
      <c r="Q1989" s="46"/>
      <c r="R1989" s="46"/>
      <c r="S1989" s="46"/>
      <c r="T1989" s="46"/>
      <c r="U1989" s="46"/>
      <c r="V1989" s="46"/>
      <c r="W1989" s="46"/>
      <c r="X1989" s="46"/>
    </row>
    <row r="1990" spans="1:24" ht="12.75" x14ac:dyDescent="0.2">
      <c r="A1990" s="45"/>
      <c r="B1990" s="46"/>
      <c r="C1990" s="46"/>
      <c r="D1990" s="46"/>
      <c r="E1990" s="46"/>
      <c r="F1990" s="46"/>
      <c r="G1990" s="46"/>
      <c r="H1990" s="46"/>
      <c r="I1990" s="46"/>
      <c r="J1990" s="46"/>
      <c r="K1990" s="46"/>
      <c r="L1990" s="46"/>
      <c r="M1990" s="46"/>
      <c r="N1990" s="46"/>
      <c r="O1990" s="46"/>
      <c r="P1990" s="46"/>
      <c r="Q1990" s="46"/>
      <c r="R1990" s="46"/>
      <c r="S1990" s="46"/>
      <c r="T1990" s="46"/>
      <c r="U1990" s="46"/>
      <c r="V1990" s="46"/>
      <c r="W1990" s="46"/>
      <c r="X1990" s="46"/>
    </row>
    <row r="1991" spans="1:24" ht="12.75" x14ac:dyDescent="0.2">
      <c r="A1991" s="45"/>
      <c r="B1991" s="46"/>
      <c r="C1991" s="46"/>
      <c r="D1991" s="46"/>
      <c r="E1991" s="46"/>
      <c r="F1991" s="46"/>
      <c r="G1991" s="46"/>
      <c r="H1991" s="46"/>
      <c r="I1991" s="46"/>
      <c r="J1991" s="46"/>
      <c r="K1991" s="46"/>
      <c r="L1991" s="46"/>
      <c r="M1991" s="46"/>
      <c r="N1991" s="46"/>
      <c r="O1991" s="46"/>
      <c r="P1991" s="46"/>
      <c r="Q1991" s="46"/>
      <c r="R1991" s="46"/>
      <c r="S1991" s="46"/>
      <c r="T1991" s="46"/>
      <c r="U1991" s="46"/>
      <c r="V1991" s="46"/>
      <c r="W1991" s="46"/>
      <c r="X1991" s="46"/>
    </row>
    <row r="1992" spans="1:24" ht="12.75" x14ac:dyDescent="0.2">
      <c r="A1992" s="45"/>
      <c r="B1992" s="46"/>
      <c r="C1992" s="46"/>
      <c r="D1992" s="46"/>
      <c r="E1992" s="46"/>
      <c r="F1992" s="46"/>
      <c r="G1992" s="46"/>
      <c r="H1992" s="46"/>
      <c r="I1992" s="46"/>
      <c r="J1992" s="46"/>
      <c r="K1992" s="46"/>
      <c r="L1992" s="46"/>
      <c r="M1992" s="46"/>
      <c r="N1992" s="46"/>
      <c r="O1992" s="46"/>
      <c r="P1992" s="46"/>
      <c r="Q1992" s="46"/>
      <c r="R1992" s="46"/>
      <c r="S1992" s="46"/>
      <c r="T1992" s="46"/>
      <c r="U1992" s="46"/>
      <c r="V1992" s="46"/>
      <c r="W1992" s="46"/>
      <c r="X1992" s="46"/>
    </row>
    <row r="1993" spans="1:24" ht="12.75" x14ac:dyDescent="0.2">
      <c r="A1993" s="45"/>
      <c r="B1993" s="46"/>
      <c r="C1993" s="46"/>
      <c r="D1993" s="46"/>
      <c r="E1993" s="46"/>
      <c r="F1993" s="46"/>
      <c r="G1993" s="46"/>
      <c r="H1993" s="46"/>
      <c r="I1993" s="46"/>
      <c r="J1993" s="46"/>
      <c r="K1993" s="46"/>
      <c r="L1993" s="46"/>
      <c r="M1993" s="46"/>
      <c r="N1993" s="46"/>
      <c r="O1993" s="46"/>
      <c r="P1993" s="46"/>
      <c r="Q1993" s="46"/>
      <c r="R1993" s="46"/>
      <c r="S1993" s="46"/>
      <c r="T1993" s="46"/>
      <c r="U1993" s="46"/>
      <c r="V1993" s="46"/>
      <c r="W1993" s="46"/>
      <c r="X1993" s="46"/>
    </row>
    <row r="1994" spans="1:24" ht="12.75" x14ac:dyDescent="0.2">
      <c r="A1994" s="45"/>
      <c r="B1994" s="46"/>
      <c r="C1994" s="46"/>
      <c r="D1994" s="46"/>
      <c r="E1994" s="46"/>
      <c r="F1994" s="46"/>
      <c r="G1994" s="46"/>
      <c r="H1994" s="46"/>
      <c r="I1994" s="46"/>
      <c r="J1994" s="46"/>
      <c r="K1994" s="46"/>
      <c r="L1994" s="46"/>
      <c r="M1994" s="46"/>
      <c r="N1994" s="46"/>
      <c r="O1994" s="46"/>
      <c r="P1994" s="46"/>
      <c r="Q1994" s="46"/>
      <c r="R1994" s="46"/>
      <c r="S1994" s="46"/>
      <c r="T1994" s="46"/>
      <c r="U1994" s="46"/>
      <c r="V1994" s="46"/>
      <c r="W1994" s="46"/>
      <c r="X1994" s="46"/>
    </row>
    <row r="1995" spans="1:24" ht="12.75" x14ac:dyDescent="0.2">
      <c r="A1995" s="45"/>
      <c r="B1995" s="46"/>
      <c r="C1995" s="46"/>
      <c r="D1995" s="46"/>
      <c r="E1995" s="46"/>
      <c r="F1995" s="46"/>
      <c r="G1995" s="46"/>
      <c r="H1995" s="46"/>
      <c r="I1995" s="46"/>
      <c r="J1995" s="46"/>
      <c r="K1995" s="46"/>
      <c r="L1995" s="46"/>
      <c r="M1995" s="46"/>
      <c r="N1995" s="46"/>
      <c r="O1995" s="46"/>
      <c r="P1995" s="46"/>
      <c r="Q1995" s="46"/>
      <c r="R1995" s="46"/>
      <c r="S1995" s="46"/>
      <c r="T1995" s="46"/>
      <c r="U1995" s="46"/>
      <c r="V1995" s="46"/>
      <c r="W1995" s="46"/>
      <c r="X1995" s="46"/>
    </row>
    <row r="1996" spans="1:24" ht="12.75" x14ac:dyDescent="0.2">
      <c r="A1996" s="45"/>
      <c r="B1996" s="46"/>
      <c r="C1996" s="46"/>
      <c r="D1996" s="46"/>
      <c r="E1996" s="46"/>
      <c r="F1996" s="46"/>
      <c r="G1996" s="46"/>
      <c r="H1996" s="46"/>
      <c r="I1996" s="46"/>
      <c r="J1996" s="46"/>
      <c r="K1996" s="46"/>
      <c r="L1996" s="46"/>
      <c r="M1996" s="46"/>
      <c r="N1996" s="46"/>
      <c r="O1996" s="46"/>
      <c r="P1996" s="46"/>
      <c r="Q1996" s="46"/>
      <c r="R1996" s="46"/>
      <c r="S1996" s="46"/>
      <c r="T1996" s="46"/>
      <c r="U1996" s="46"/>
      <c r="V1996" s="46"/>
      <c r="W1996" s="46"/>
      <c r="X1996" s="46"/>
    </row>
    <row r="1997" spans="1:24" ht="12.75" x14ac:dyDescent="0.2">
      <c r="A1997" s="45"/>
      <c r="B1997" s="46"/>
      <c r="C1997" s="46"/>
      <c r="D1997" s="46"/>
      <c r="E1997" s="46"/>
      <c r="F1997" s="46"/>
      <c r="G1997" s="46"/>
      <c r="H1997" s="46"/>
      <c r="I1997" s="46"/>
      <c r="J1997" s="46"/>
      <c r="K1997" s="46"/>
      <c r="L1997" s="46"/>
      <c r="M1997" s="46"/>
      <c r="N1997" s="46"/>
      <c r="O1997" s="46"/>
      <c r="P1997" s="46"/>
      <c r="Q1997" s="46"/>
      <c r="R1997" s="46"/>
      <c r="S1997" s="46"/>
      <c r="T1997" s="46"/>
      <c r="U1997" s="46"/>
      <c r="V1997" s="46"/>
      <c r="W1997" s="46"/>
      <c r="X1997" s="46"/>
    </row>
    <row r="1998" spans="1:24" ht="12.75" x14ac:dyDescent="0.2">
      <c r="A1998" s="45"/>
      <c r="B1998" s="46"/>
      <c r="C1998" s="46"/>
      <c r="D1998" s="46"/>
      <c r="E1998" s="46"/>
      <c r="F1998" s="46"/>
      <c r="G1998" s="46"/>
      <c r="H1998" s="46"/>
      <c r="I1998" s="46"/>
      <c r="J1998" s="46"/>
      <c r="K1998" s="46"/>
      <c r="L1998" s="46"/>
      <c r="M1998" s="46"/>
      <c r="N1998" s="46"/>
      <c r="O1998" s="46"/>
      <c r="P1998" s="46"/>
      <c r="Q1998" s="46"/>
      <c r="R1998" s="46"/>
      <c r="S1998" s="46"/>
      <c r="T1998" s="46"/>
      <c r="U1998" s="46"/>
      <c r="V1998" s="46"/>
      <c r="W1998" s="46"/>
      <c r="X1998" s="46"/>
    </row>
    <row r="1999" spans="1:24" ht="12.75" x14ac:dyDescent="0.2">
      <c r="A1999" s="45"/>
      <c r="B1999" s="46"/>
      <c r="C1999" s="46"/>
      <c r="D1999" s="46"/>
      <c r="E1999" s="46"/>
      <c r="F1999" s="46"/>
      <c r="G1999" s="46"/>
      <c r="H1999" s="46"/>
      <c r="I1999" s="46"/>
      <c r="J1999" s="46"/>
      <c r="K1999" s="46"/>
      <c r="L1999" s="46"/>
      <c r="M1999" s="46"/>
      <c r="N1999" s="46"/>
      <c r="O1999" s="46"/>
      <c r="P1999" s="46"/>
      <c r="Q1999" s="46"/>
      <c r="R1999" s="46"/>
      <c r="S1999" s="46"/>
      <c r="T1999" s="46"/>
      <c r="U1999" s="46"/>
      <c r="V1999" s="46"/>
      <c r="W1999" s="46"/>
      <c r="X1999" s="46"/>
    </row>
    <row r="2000" spans="1:24" ht="12.75" x14ac:dyDescent="0.2">
      <c r="A2000" s="45"/>
      <c r="B2000" s="46"/>
      <c r="C2000" s="46"/>
      <c r="D2000" s="46"/>
      <c r="E2000" s="46"/>
      <c r="F2000" s="46"/>
      <c r="G2000" s="46"/>
      <c r="H2000" s="46"/>
      <c r="I2000" s="46"/>
      <c r="J2000" s="46"/>
      <c r="K2000" s="46"/>
      <c r="L2000" s="46"/>
      <c r="M2000" s="46"/>
      <c r="N2000" s="46"/>
      <c r="O2000" s="46"/>
      <c r="P2000" s="46"/>
      <c r="Q2000" s="46"/>
      <c r="R2000" s="46"/>
      <c r="S2000" s="46"/>
      <c r="T2000" s="46"/>
      <c r="U2000" s="46"/>
      <c r="V2000" s="46"/>
      <c r="W2000" s="46"/>
      <c r="X2000" s="46"/>
    </row>
    <row r="2001" spans="1:24" ht="12.75" x14ac:dyDescent="0.2">
      <c r="A2001" s="45"/>
      <c r="B2001" s="46"/>
      <c r="C2001" s="46"/>
      <c r="D2001" s="46"/>
      <c r="E2001" s="46"/>
      <c r="F2001" s="46"/>
      <c r="G2001" s="46"/>
      <c r="H2001" s="46"/>
      <c r="I2001" s="46"/>
      <c r="J2001" s="46"/>
      <c r="K2001" s="46"/>
      <c r="L2001" s="46"/>
      <c r="M2001" s="46"/>
      <c r="N2001" s="46"/>
      <c r="O2001" s="46"/>
      <c r="P2001" s="46"/>
      <c r="Q2001" s="46"/>
      <c r="R2001" s="46"/>
      <c r="S2001" s="46"/>
      <c r="T2001" s="46"/>
      <c r="U2001" s="46"/>
      <c r="V2001" s="46"/>
      <c r="W2001" s="46"/>
      <c r="X2001" s="46"/>
    </row>
    <row r="2002" spans="1:24" ht="12.75" x14ac:dyDescent="0.2">
      <c r="A2002" s="45"/>
      <c r="B2002" s="46"/>
      <c r="C2002" s="46"/>
      <c r="D2002" s="46"/>
      <c r="E2002" s="46"/>
      <c r="F2002" s="46"/>
      <c r="G2002" s="46"/>
      <c r="H2002" s="46"/>
      <c r="I2002" s="46"/>
      <c r="J2002" s="46"/>
      <c r="K2002" s="46"/>
      <c r="L2002" s="46"/>
      <c r="M2002" s="46"/>
      <c r="N2002" s="46"/>
      <c r="O2002" s="46"/>
      <c r="P2002" s="46"/>
      <c r="Q2002" s="46"/>
      <c r="R2002" s="46"/>
      <c r="S2002" s="46"/>
      <c r="T2002" s="46"/>
      <c r="U2002" s="46"/>
      <c r="V2002" s="46"/>
      <c r="W2002" s="46"/>
      <c r="X2002" s="46"/>
    </row>
    <row r="2003" spans="1:24" ht="12.75" x14ac:dyDescent="0.2">
      <c r="A2003" s="45"/>
      <c r="B2003" s="46"/>
      <c r="C2003" s="46"/>
      <c r="D2003" s="46"/>
      <c r="E2003" s="46"/>
      <c r="F2003" s="46"/>
      <c r="G2003" s="46"/>
      <c r="H2003" s="46"/>
      <c r="I2003" s="46"/>
      <c r="J2003" s="46"/>
      <c r="K2003" s="46"/>
      <c r="L2003" s="46"/>
      <c r="M2003" s="46"/>
      <c r="N2003" s="46"/>
      <c r="O2003" s="46"/>
      <c r="P2003" s="46"/>
      <c r="Q2003" s="46"/>
      <c r="R2003" s="46"/>
      <c r="S2003" s="46"/>
      <c r="T2003" s="46"/>
      <c r="U2003" s="46"/>
      <c r="V2003" s="46"/>
      <c r="W2003" s="46"/>
      <c r="X2003" s="46"/>
    </row>
    <row r="2004" spans="1:24" ht="12.75" x14ac:dyDescent="0.2">
      <c r="A2004" s="45"/>
      <c r="B2004" s="46"/>
      <c r="C2004" s="46"/>
      <c r="D2004" s="46"/>
      <c r="E2004" s="46"/>
      <c r="F2004" s="46"/>
      <c r="G2004" s="46"/>
      <c r="H2004" s="46"/>
      <c r="I2004" s="46"/>
      <c r="J2004" s="46"/>
      <c r="K2004" s="46"/>
      <c r="L2004" s="46"/>
      <c r="M2004" s="46"/>
      <c r="N2004" s="46"/>
      <c r="O2004" s="46"/>
      <c r="P2004" s="46"/>
      <c r="Q2004" s="46"/>
      <c r="R2004" s="46"/>
      <c r="S2004" s="46"/>
      <c r="T2004" s="46"/>
      <c r="U2004" s="46"/>
      <c r="V2004" s="46"/>
      <c r="W2004" s="46"/>
      <c r="X2004" s="46"/>
    </row>
    <row r="2005" spans="1:24" ht="12.75" x14ac:dyDescent="0.2">
      <c r="A2005" s="45"/>
      <c r="B2005" s="46"/>
      <c r="C2005" s="46"/>
      <c r="D2005" s="46"/>
      <c r="E2005" s="46"/>
      <c r="F2005" s="46"/>
      <c r="G2005" s="46"/>
      <c r="H2005" s="46"/>
      <c r="I2005" s="46"/>
      <c r="J2005" s="46"/>
      <c r="K2005" s="46"/>
      <c r="L2005" s="46"/>
      <c r="M2005" s="46"/>
      <c r="N2005" s="46"/>
      <c r="O2005" s="46"/>
      <c r="P2005" s="46"/>
      <c r="Q2005" s="46"/>
      <c r="R2005" s="46"/>
      <c r="S2005" s="46"/>
      <c r="T2005" s="46"/>
      <c r="U2005" s="46"/>
      <c r="V2005" s="46"/>
      <c r="W2005" s="46"/>
      <c r="X2005" s="46"/>
    </row>
    <row r="2006" spans="1:24" ht="12.75" x14ac:dyDescent="0.2">
      <c r="A2006" s="45"/>
      <c r="B2006" s="46"/>
      <c r="C2006" s="46"/>
      <c r="D2006" s="46"/>
      <c r="E2006" s="46"/>
      <c r="F2006" s="46"/>
      <c r="G2006" s="46"/>
      <c r="H2006" s="46"/>
      <c r="I2006" s="46"/>
      <c r="J2006" s="46"/>
      <c r="K2006" s="46"/>
      <c r="L2006" s="46"/>
      <c r="M2006" s="46"/>
      <c r="N2006" s="46"/>
      <c r="O2006" s="46"/>
      <c r="P2006" s="46"/>
      <c r="Q2006" s="46"/>
      <c r="R2006" s="46"/>
      <c r="S2006" s="46"/>
      <c r="T2006" s="46"/>
      <c r="U2006" s="46"/>
      <c r="V2006" s="46"/>
      <c r="W2006" s="46"/>
      <c r="X2006" s="46"/>
    </row>
    <row r="2007" spans="1:24" ht="12.75" x14ac:dyDescent="0.2">
      <c r="A2007" s="45"/>
      <c r="B2007" s="46"/>
      <c r="C2007" s="46"/>
      <c r="D2007" s="46"/>
      <c r="E2007" s="46"/>
      <c r="F2007" s="46"/>
      <c r="G2007" s="46"/>
      <c r="H2007" s="46"/>
      <c r="I2007" s="46"/>
      <c r="J2007" s="46"/>
      <c r="K2007" s="46"/>
      <c r="L2007" s="46"/>
      <c r="M2007" s="46"/>
      <c r="N2007" s="46"/>
      <c r="O2007" s="46"/>
      <c r="P2007" s="46"/>
      <c r="Q2007" s="46"/>
      <c r="R2007" s="46"/>
      <c r="S2007" s="46"/>
      <c r="T2007" s="46"/>
      <c r="U2007" s="46"/>
      <c r="V2007" s="46"/>
      <c r="W2007" s="46"/>
      <c r="X2007" s="46"/>
    </row>
    <row r="2008" spans="1:24" ht="12.75" x14ac:dyDescent="0.2">
      <c r="A2008" s="45"/>
      <c r="B2008" s="46"/>
      <c r="C2008" s="46"/>
      <c r="D2008" s="46"/>
      <c r="E2008" s="46"/>
      <c r="F2008" s="46"/>
      <c r="G2008" s="46"/>
      <c r="H2008" s="46"/>
      <c r="I2008" s="46"/>
      <c r="J2008" s="46"/>
      <c r="K2008" s="46"/>
      <c r="L2008" s="46"/>
      <c r="M2008" s="46"/>
      <c r="N2008" s="46"/>
      <c r="O2008" s="46"/>
      <c r="P2008" s="46"/>
      <c r="Q2008" s="46"/>
      <c r="R2008" s="46"/>
      <c r="S2008" s="46"/>
      <c r="T2008" s="46"/>
      <c r="U2008" s="46"/>
      <c r="V2008" s="46"/>
      <c r="W2008" s="46"/>
      <c r="X2008" s="46"/>
    </row>
    <row r="2009" spans="1:24" ht="12.75" x14ac:dyDescent="0.2">
      <c r="A2009" s="45"/>
      <c r="B2009" s="46"/>
      <c r="C2009" s="46"/>
      <c r="D2009" s="46"/>
      <c r="E2009" s="46"/>
      <c r="F2009" s="46"/>
      <c r="G2009" s="46"/>
      <c r="H2009" s="46"/>
      <c r="I2009" s="46"/>
      <c r="J2009" s="46"/>
      <c r="K2009" s="46"/>
      <c r="L2009" s="46"/>
      <c r="M2009" s="46"/>
      <c r="N2009" s="46"/>
      <c r="O2009" s="46"/>
      <c r="P2009" s="46"/>
      <c r="Q2009" s="46"/>
      <c r="R2009" s="46"/>
      <c r="S2009" s="46"/>
      <c r="T2009" s="46"/>
      <c r="U2009" s="46"/>
      <c r="V2009" s="46"/>
      <c r="W2009" s="46"/>
      <c r="X2009" s="46"/>
    </row>
    <row r="2010" spans="1:24" ht="12.75" x14ac:dyDescent="0.2">
      <c r="A2010" s="45"/>
      <c r="B2010" s="46"/>
      <c r="C2010" s="46"/>
      <c r="D2010" s="46"/>
      <c r="E2010" s="46"/>
      <c r="F2010" s="46"/>
      <c r="G2010" s="46"/>
      <c r="H2010" s="46"/>
      <c r="I2010" s="46"/>
      <c r="J2010" s="46"/>
      <c r="K2010" s="46"/>
      <c r="L2010" s="46"/>
      <c r="M2010" s="46"/>
      <c r="N2010" s="46"/>
      <c r="O2010" s="46"/>
      <c r="P2010" s="46"/>
      <c r="Q2010" s="46"/>
      <c r="R2010" s="46"/>
      <c r="S2010" s="46"/>
      <c r="T2010" s="46"/>
      <c r="U2010" s="46"/>
      <c r="V2010" s="46"/>
      <c r="W2010" s="46"/>
      <c r="X2010" s="46"/>
    </row>
    <row r="2011" spans="1:24" ht="12.75" x14ac:dyDescent="0.2">
      <c r="A2011" s="45"/>
      <c r="B2011" s="46"/>
      <c r="C2011" s="46"/>
      <c r="D2011" s="46"/>
      <c r="E2011" s="46"/>
      <c r="F2011" s="46"/>
      <c r="G2011" s="46"/>
      <c r="H2011" s="46"/>
      <c r="I2011" s="46"/>
      <c r="J2011" s="46"/>
      <c r="K2011" s="46"/>
      <c r="L2011" s="46"/>
      <c r="M2011" s="46"/>
      <c r="N2011" s="46"/>
      <c r="O2011" s="46"/>
      <c r="P2011" s="46"/>
      <c r="Q2011" s="46"/>
      <c r="R2011" s="46"/>
      <c r="S2011" s="46"/>
      <c r="T2011" s="46"/>
      <c r="U2011" s="46"/>
      <c r="V2011" s="46"/>
      <c r="W2011" s="46"/>
      <c r="X2011" s="46"/>
    </row>
    <row r="2012" spans="1:24" ht="12.75" x14ac:dyDescent="0.2">
      <c r="A2012" s="45"/>
      <c r="B2012" s="46"/>
      <c r="C2012" s="46"/>
      <c r="D2012" s="46"/>
      <c r="E2012" s="46"/>
      <c r="F2012" s="46"/>
      <c r="G2012" s="46"/>
      <c r="H2012" s="46"/>
      <c r="I2012" s="46"/>
      <c r="J2012" s="46"/>
      <c r="K2012" s="46"/>
      <c r="L2012" s="46"/>
      <c r="M2012" s="46"/>
      <c r="N2012" s="46"/>
      <c r="O2012" s="46"/>
      <c r="P2012" s="46"/>
      <c r="Q2012" s="46"/>
      <c r="R2012" s="46"/>
      <c r="S2012" s="46"/>
      <c r="T2012" s="46"/>
      <c r="U2012" s="46"/>
      <c r="V2012" s="46"/>
      <c r="W2012" s="46"/>
      <c r="X2012" s="46"/>
    </row>
    <row r="2013" spans="1:24" ht="12.75" x14ac:dyDescent="0.2">
      <c r="A2013" s="45"/>
      <c r="B2013" s="46"/>
      <c r="C2013" s="46"/>
      <c r="D2013" s="46"/>
      <c r="E2013" s="46"/>
      <c r="F2013" s="46"/>
      <c r="G2013" s="46"/>
      <c r="H2013" s="46"/>
      <c r="I2013" s="46"/>
      <c r="J2013" s="46"/>
      <c r="K2013" s="46"/>
      <c r="L2013" s="46"/>
      <c r="M2013" s="46"/>
      <c r="N2013" s="46"/>
      <c r="O2013" s="46"/>
      <c r="P2013" s="46"/>
      <c r="Q2013" s="46"/>
      <c r="R2013" s="46"/>
      <c r="S2013" s="46"/>
      <c r="T2013" s="46"/>
      <c r="U2013" s="46"/>
      <c r="V2013" s="46"/>
      <c r="W2013" s="46"/>
      <c r="X2013" s="46"/>
    </row>
    <row r="2014" spans="1:24" ht="12.75" x14ac:dyDescent="0.2">
      <c r="A2014" s="45"/>
      <c r="B2014" s="46"/>
      <c r="C2014" s="46"/>
      <c r="D2014" s="46"/>
      <c r="E2014" s="46"/>
      <c r="F2014" s="46"/>
      <c r="G2014" s="46"/>
      <c r="H2014" s="46"/>
      <c r="I2014" s="46"/>
      <c r="J2014" s="46"/>
      <c r="K2014" s="46"/>
      <c r="L2014" s="46"/>
      <c r="M2014" s="46"/>
      <c r="N2014" s="46"/>
      <c r="O2014" s="46"/>
      <c r="P2014" s="46"/>
      <c r="Q2014" s="46"/>
      <c r="R2014" s="46"/>
      <c r="S2014" s="46"/>
      <c r="T2014" s="46"/>
      <c r="U2014" s="46"/>
      <c r="V2014" s="46"/>
      <c r="W2014" s="46"/>
      <c r="X2014" s="46"/>
    </row>
    <row r="2015" spans="1:24" ht="12.75" x14ac:dyDescent="0.2">
      <c r="A2015" s="45"/>
      <c r="B2015" s="46"/>
      <c r="C2015" s="46"/>
      <c r="D2015" s="46"/>
      <c r="E2015" s="46"/>
      <c r="F2015" s="46"/>
      <c r="G2015" s="46"/>
      <c r="H2015" s="46"/>
      <c r="I2015" s="46"/>
      <c r="J2015" s="46"/>
      <c r="K2015" s="46"/>
      <c r="L2015" s="46"/>
      <c r="M2015" s="46"/>
      <c r="N2015" s="46"/>
      <c r="O2015" s="46"/>
      <c r="P2015" s="46"/>
      <c r="Q2015" s="46"/>
      <c r="R2015" s="46"/>
      <c r="S2015" s="46"/>
      <c r="T2015" s="46"/>
      <c r="U2015" s="46"/>
      <c r="V2015" s="46"/>
      <c r="W2015" s="46"/>
      <c r="X2015" s="46"/>
    </row>
    <row r="2016" spans="1:24" ht="12.75" x14ac:dyDescent="0.2">
      <c r="A2016" s="45"/>
      <c r="B2016" s="46"/>
      <c r="C2016" s="46"/>
      <c r="D2016" s="46"/>
      <c r="E2016" s="46"/>
      <c r="F2016" s="46"/>
      <c r="G2016" s="46"/>
      <c r="H2016" s="46"/>
      <c r="I2016" s="46"/>
      <c r="J2016" s="46"/>
      <c r="K2016" s="46"/>
      <c r="L2016" s="46"/>
      <c r="M2016" s="46"/>
      <c r="N2016" s="46"/>
      <c r="O2016" s="46"/>
      <c r="P2016" s="46"/>
      <c r="Q2016" s="46"/>
      <c r="R2016" s="46"/>
      <c r="S2016" s="46"/>
      <c r="T2016" s="46"/>
      <c r="U2016" s="46"/>
      <c r="V2016" s="46"/>
      <c r="W2016" s="46"/>
      <c r="X2016" s="46"/>
    </row>
    <row r="2017" spans="1:24" ht="12.75" x14ac:dyDescent="0.2">
      <c r="A2017" s="45"/>
      <c r="B2017" s="46"/>
      <c r="C2017" s="46"/>
      <c r="D2017" s="46"/>
      <c r="E2017" s="46"/>
      <c r="F2017" s="46"/>
      <c r="G2017" s="46"/>
      <c r="H2017" s="46"/>
      <c r="I2017" s="46"/>
      <c r="J2017" s="46"/>
      <c r="K2017" s="46"/>
      <c r="L2017" s="46"/>
      <c r="M2017" s="46"/>
      <c r="N2017" s="46"/>
      <c r="O2017" s="46"/>
      <c r="P2017" s="46"/>
      <c r="Q2017" s="46"/>
      <c r="R2017" s="46"/>
      <c r="S2017" s="46"/>
      <c r="T2017" s="46"/>
      <c r="U2017" s="46"/>
      <c r="V2017" s="46"/>
      <c r="W2017" s="46"/>
      <c r="X2017" s="46"/>
    </row>
    <row r="2018" spans="1:24" ht="12.75" x14ac:dyDescent="0.2">
      <c r="A2018" s="45"/>
      <c r="B2018" s="46"/>
      <c r="C2018" s="46"/>
      <c r="D2018" s="46"/>
      <c r="E2018" s="46"/>
      <c r="F2018" s="46"/>
      <c r="G2018" s="46"/>
      <c r="H2018" s="46"/>
      <c r="I2018" s="46"/>
      <c r="J2018" s="46"/>
      <c r="K2018" s="46"/>
      <c r="L2018" s="46"/>
      <c r="M2018" s="46"/>
      <c r="N2018" s="46"/>
      <c r="O2018" s="46"/>
      <c r="P2018" s="46"/>
      <c r="Q2018" s="46"/>
      <c r="R2018" s="46"/>
      <c r="S2018" s="46"/>
      <c r="T2018" s="46"/>
      <c r="U2018" s="46"/>
      <c r="V2018" s="46"/>
      <c r="W2018" s="46"/>
      <c r="X2018" s="46"/>
    </row>
    <row r="2019" spans="1:24" ht="12.75" x14ac:dyDescent="0.2">
      <c r="A2019" s="45"/>
      <c r="B2019" s="46"/>
      <c r="C2019" s="46"/>
      <c r="D2019" s="46"/>
      <c r="E2019" s="46"/>
      <c r="F2019" s="46"/>
      <c r="G2019" s="46"/>
      <c r="H2019" s="46"/>
      <c r="I2019" s="46"/>
      <c r="J2019" s="46"/>
      <c r="K2019" s="46"/>
      <c r="L2019" s="46"/>
      <c r="M2019" s="46"/>
      <c r="N2019" s="46"/>
      <c r="O2019" s="46"/>
      <c r="P2019" s="46"/>
      <c r="Q2019" s="46"/>
      <c r="R2019" s="46"/>
      <c r="S2019" s="46"/>
      <c r="T2019" s="46"/>
      <c r="U2019" s="46"/>
      <c r="V2019" s="46"/>
      <c r="W2019" s="46"/>
      <c r="X2019" s="46"/>
    </row>
    <row r="2020" spans="1:24" ht="12.75" x14ac:dyDescent="0.2">
      <c r="A2020" s="45"/>
      <c r="B2020" s="46"/>
      <c r="C2020" s="46"/>
      <c r="D2020" s="46"/>
      <c r="E2020" s="46"/>
      <c r="F2020" s="46"/>
      <c r="G2020" s="46"/>
      <c r="H2020" s="46"/>
      <c r="I2020" s="46"/>
      <c r="J2020" s="46"/>
      <c r="K2020" s="46"/>
      <c r="L2020" s="46"/>
      <c r="M2020" s="46"/>
      <c r="N2020" s="46"/>
      <c r="O2020" s="46"/>
      <c r="P2020" s="46"/>
      <c r="Q2020" s="46"/>
      <c r="R2020" s="46"/>
      <c r="S2020" s="46"/>
      <c r="T2020" s="46"/>
      <c r="U2020" s="46"/>
      <c r="V2020" s="46"/>
      <c r="W2020" s="46"/>
      <c r="X2020" s="46"/>
    </row>
    <row r="2021" spans="1:24" ht="12.75" x14ac:dyDescent="0.2">
      <c r="A2021" s="45"/>
      <c r="B2021" s="46"/>
      <c r="C2021" s="46"/>
      <c r="D2021" s="46"/>
      <c r="E2021" s="46"/>
      <c r="F2021" s="46"/>
      <c r="G2021" s="46"/>
      <c r="H2021" s="46"/>
      <c r="I2021" s="46"/>
      <c r="J2021" s="46"/>
      <c r="K2021" s="46"/>
      <c r="L2021" s="46"/>
      <c r="M2021" s="46"/>
      <c r="N2021" s="46"/>
      <c r="O2021" s="46"/>
      <c r="P2021" s="46"/>
      <c r="Q2021" s="46"/>
      <c r="R2021" s="46"/>
      <c r="S2021" s="46"/>
      <c r="T2021" s="46"/>
      <c r="U2021" s="46"/>
      <c r="V2021" s="46"/>
      <c r="W2021" s="46"/>
      <c r="X2021" s="46"/>
    </row>
    <row r="2022" spans="1:24" ht="12.75" x14ac:dyDescent="0.2">
      <c r="A2022" s="45"/>
      <c r="B2022" s="46"/>
      <c r="C2022" s="46"/>
      <c r="D2022" s="46"/>
      <c r="E2022" s="46"/>
      <c r="F2022" s="46"/>
      <c r="G2022" s="46"/>
      <c r="H2022" s="46"/>
      <c r="I2022" s="46"/>
      <c r="J2022" s="46"/>
      <c r="K2022" s="46"/>
      <c r="L2022" s="46"/>
      <c r="M2022" s="46"/>
      <c r="N2022" s="46"/>
      <c r="O2022" s="46"/>
      <c r="P2022" s="46"/>
      <c r="Q2022" s="46"/>
      <c r="R2022" s="46"/>
      <c r="S2022" s="46"/>
      <c r="T2022" s="46"/>
      <c r="U2022" s="46"/>
      <c r="V2022" s="46"/>
      <c r="W2022" s="46"/>
      <c r="X2022" s="46"/>
    </row>
    <row r="2023" spans="1:24" ht="12.75" x14ac:dyDescent="0.2">
      <c r="A2023" s="45"/>
      <c r="B2023" s="46"/>
      <c r="C2023" s="46"/>
      <c r="D2023" s="46"/>
      <c r="E2023" s="46"/>
      <c r="F2023" s="46"/>
      <c r="G2023" s="46"/>
      <c r="H2023" s="46"/>
      <c r="I2023" s="46"/>
      <c r="J2023" s="46"/>
      <c r="K2023" s="46"/>
      <c r="L2023" s="46"/>
      <c r="M2023" s="46"/>
      <c r="N2023" s="46"/>
      <c r="O2023" s="46"/>
      <c r="P2023" s="46"/>
      <c r="Q2023" s="46"/>
      <c r="R2023" s="46"/>
      <c r="S2023" s="46"/>
      <c r="T2023" s="46"/>
      <c r="U2023" s="46"/>
      <c r="V2023" s="46"/>
      <c r="W2023" s="46"/>
      <c r="X2023" s="46"/>
    </row>
    <row r="2024" spans="1:24" ht="12.75" x14ac:dyDescent="0.2">
      <c r="A2024" s="45"/>
      <c r="B2024" s="46"/>
      <c r="C2024" s="46"/>
      <c r="D2024" s="46"/>
      <c r="E2024" s="46"/>
      <c r="F2024" s="46"/>
      <c r="G2024" s="46"/>
      <c r="H2024" s="46"/>
      <c r="I2024" s="46"/>
      <c r="J2024" s="46"/>
      <c r="K2024" s="46"/>
      <c r="L2024" s="46"/>
      <c r="M2024" s="46"/>
      <c r="N2024" s="46"/>
      <c r="O2024" s="46"/>
      <c r="P2024" s="46"/>
      <c r="Q2024" s="46"/>
      <c r="R2024" s="46"/>
      <c r="S2024" s="46"/>
      <c r="T2024" s="46"/>
      <c r="U2024" s="46"/>
      <c r="V2024" s="46"/>
      <c r="W2024" s="46"/>
      <c r="X2024" s="46"/>
    </row>
    <row r="2025" spans="1:24" ht="12.75" x14ac:dyDescent="0.2">
      <c r="A2025" s="45"/>
      <c r="B2025" s="46"/>
      <c r="C2025" s="46"/>
      <c r="D2025" s="46"/>
      <c r="E2025" s="46"/>
      <c r="F2025" s="46"/>
      <c r="G2025" s="46"/>
      <c r="H2025" s="46"/>
      <c r="I2025" s="46"/>
      <c r="J2025" s="46"/>
      <c r="K2025" s="46"/>
      <c r="L2025" s="46"/>
      <c r="M2025" s="46"/>
      <c r="N2025" s="46"/>
      <c r="O2025" s="46"/>
      <c r="P2025" s="46"/>
      <c r="Q2025" s="46"/>
      <c r="R2025" s="46"/>
      <c r="S2025" s="46"/>
      <c r="T2025" s="46"/>
      <c r="U2025" s="46"/>
      <c r="V2025" s="46"/>
      <c r="W2025" s="46"/>
      <c r="X2025" s="46"/>
    </row>
    <row r="2026" spans="1:24" ht="12.75" x14ac:dyDescent="0.2">
      <c r="A2026" s="45"/>
      <c r="B2026" s="46"/>
      <c r="C2026" s="46"/>
      <c r="D2026" s="46"/>
      <c r="E2026" s="46"/>
      <c r="F2026" s="46"/>
      <c r="G2026" s="46"/>
      <c r="H2026" s="46"/>
      <c r="I2026" s="46"/>
      <c r="J2026" s="46"/>
      <c r="K2026" s="46"/>
      <c r="L2026" s="46"/>
      <c r="M2026" s="46"/>
      <c r="N2026" s="46"/>
      <c r="O2026" s="46"/>
      <c r="P2026" s="46"/>
      <c r="Q2026" s="46"/>
      <c r="R2026" s="46"/>
      <c r="S2026" s="46"/>
      <c r="T2026" s="46"/>
      <c r="U2026" s="46"/>
      <c r="V2026" s="46"/>
      <c r="W2026" s="46"/>
      <c r="X2026" s="46"/>
    </row>
    <row r="2027" spans="1:24" ht="12.75" x14ac:dyDescent="0.2">
      <c r="A2027" s="45"/>
      <c r="B2027" s="46"/>
      <c r="C2027" s="46"/>
      <c r="D2027" s="46"/>
      <c r="E2027" s="46"/>
      <c r="F2027" s="46"/>
      <c r="G2027" s="46"/>
      <c r="H2027" s="46"/>
      <c r="I2027" s="46"/>
      <c r="J2027" s="46"/>
      <c r="K2027" s="46"/>
      <c r="L2027" s="46"/>
      <c r="M2027" s="46"/>
      <c r="N2027" s="46"/>
      <c r="O2027" s="46"/>
      <c r="P2027" s="46"/>
      <c r="Q2027" s="46"/>
      <c r="R2027" s="46"/>
      <c r="S2027" s="46"/>
      <c r="T2027" s="46"/>
      <c r="U2027" s="46"/>
      <c r="V2027" s="46"/>
      <c r="W2027" s="46"/>
      <c r="X2027" s="46"/>
    </row>
    <row r="2028" spans="1:24" ht="12.75" x14ac:dyDescent="0.2">
      <c r="A2028" s="45"/>
      <c r="B2028" s="46"/>
      <c r="C2028" s="46"/>
      <c r="D2028" s="46"/>
      <c r="E2028" s="46"/>
      <c r="F2028" s="46"/>
      <c r="G2028" s="46"/>
      <c r="H2028" s="46"/>
      <c r="I2028" s="46"/>
      <c r="J2028" s="46"/>
      <c r="K2028" s="46"/>
      <c r="L2028" s="46"/>
      <c r="M2028" s="46"/>
      <c r="N2028" s="46"/>
      <c r="O2028" s="46"/>
      <c r="P2028" s="46"/>
      <c r="Q2028" s="46"/>
      <c r="R2028" s="46"/>
      <c r="S2028" s="46"/>
      <c r="T2028" s="46"/>
      <c r="U2028" s="46"/>
      <c r="V2028" s="46"/>
      <c r="W2028" s="46"/>
      <c r="X2028" s="46"/>
    </row>
    <row r="2029" spans="1:24" ht="12.75" x14ac:dyDescent="0.2">
      <c r="A2029" s="45"/>
      <c r="B2029" s="46"/>
      <c r="C2029" s="46"/>
      <c r="D2029" s="46"/>
      <c r="E2029" s="46"/>
      <c r="F2029" s="46"/>
      <c r="G2029" s="46"/>
      <c r="H2029" s="46"/>
      <c r="I2029" s="46"/>
      <c r="J2029" s="46"/>
      <c r="K2029" s="46"/>
      <c r="L2029" s="46"/>
      <c r="M2029" s="46"/>
      <c r="N2029" s="46"/>
      <c r="O2029" s="46"/>
      <c r="P2029" s="46"/>
      <c r="Q2029" s="46"/>
      <c r="R2029" s="46"/>
      <c r="S2029" s="46"/>
      <c r="T2029" s="46"/>
      <c r="U2029" s="46"/>
      <c r="V2029" s="46"/>
      <c r="W2029" s="46"/>
      <c r="X2029" s="46"/>
    </row>
    <row r="2030" spans="1:24" ht="12.75" x14ac:dyDescent="0.2">
      <c r="A2030" s="45"/>
      <c r="B2030" s="46"/>
      <c r="C2030" s="46"/>
      <c r="D2030" s="46"/>
      <c r="E2030" s="46"/>
      <c r="F2030" s="46"/>
      <c r="G2030" s="46"/>
      <c r="H2030" s="46"/>
      <c r="I2030" s="46"/>
      <c r="J2030" s="46"/>
      <c r="K2030" s="46"/>
      <c r="L2030" s="46"/>
      <c r="M2030" s="46"/>
      <c r="N2030" s="46"/>
      <c r="O2030" s="46"/>
      <c r="P2030" s="46"/>
      <c r="Q2030" s="46"/>
      <c r="R2030" s="46"/>
      <c r="S2030" s="46"/>
      <c r="T2030" s="46"/>
      <c r="U2030" s="46"/>
      <c r="V2030" s="46"/>
      <c r="W2030" s="46"/>
      <c r="X2030" s="46"/>
    </row>
    <row r="2031" spans="1:24" ht="12.75" x14ac:dyDescent="0.2">
      <c r="A2031" s="45"/>
      <c r="B2031" s="46"/>
      <c r="C2031" s="46"/>
      <c r="D2031" s="46"/>
      <c r="E2031" s="46"/>
      <c r="F2031" s="46"/>
      <c r="G2031" s="46"/>
      <c r="H2031" s="46"/>
      <c r="I2031" s="46"/>
      <c r="J2031" s="46"/>
      <c r="K2031" s="46"/>
      <c r="L2031" s="46"/>
      <c r="M2031" s="46"/>
      <c r="N2031" s="46"/>
      <c r="O2031" s="46"/>
      <c r="P2031" s="46"/>
      <c r="Q2031" s="46"/>
      <c r="R2031" s="46"/>
      <c r="S2031" s="46"/>
      <c r="T2031" s="46"/>
      <c r="U2031" s="46"/>
      <c r="V2031" s="46"/>
      <c r="W2031" s="46"/>
      <c r="X2031" s="46"/>
    </row>
    <row r="2032" spans="1:24" ht="12.75" x14ac:dyDescent="0.2">
      <c r="A2032" s="45"/>
      <c r="B2032" s="46"/>
      <c r="C2032" s="46"/>
      <c r="D2032" s="46"/>
      <c r="E2032" s="46"/>
      <c r="F2032" s="46"/>
      <c r="G2032" s="46"/>
      <c r="H2032" s="46"/>
      <c r="I2032" s="46"/>
      <c r="J2032" s="46"/>
      <c r="K2032" s="46"/>
      <c r="L2032" s="46"/>
      <c r="M2032" s="46"/>
      <c r="N2032" s="46"/>
      <c r="O2032" s="46"/>
      <c r="P2032" s="46"/>
      <c r="Q2032" s="46"/>
      <c r="R2032" s="46"/>
      <c r="S2032" s="46"/>
      <c r="T2032" s="46"/>
      <c r="U2032" s="46"/>
      <c r="V2032" s="46"/>
      <c r="W2032" s="46"/>
      <c r="X2032" s="46"/>
    </row>
    <row r="2033" spans="1:24" ht="12.75" x14ac:dyDescent="0.2">
      <c r="A2033" s="45"/>
      <c r="B2033" s="46"/>
      <c r="C2033" s="46"/>
      <c r="D2033" s="46"/>
      <c r="E2033" s="46"/>
      <c r="F2033" s="46"/>
      <c r="G2033" s="46"/>
      <c r="H2033" s="46"/>
      <c r="I2033" s="46"/>
      <c r="J2033" s="46"/>
      <c r="K2033" s="46"/>
      <c r="L2033" s="46"/>
      <c r="M2033" s="46"/>
      <c r="N2033" s="46"/>
      <c r="O2033" s="46"/>
      <c r="P2033" s="46"/>
      <c r="Q2033" s="46"/>
      <c r="R2033" s="46"/>
      <c r="S2033" s="46"/>
      <c r="T2033" s="46"/>
      <c r="U2033" s="46"/>
      <c r="V2033" s="46"/>
      <c r="W2033" s="46"/>
      <c r="X2033" s="46"/>
    </row>
    <row r="2034" spans="1:24" ht="12.75" x14ac:dyDescent="0.2">
      <c r="A2034" s="45"/>
      <c r="B2034" s="46"/>
      <c r="C2034" s="46"/>
      <c r="D2034" s="46"/>
      <c r="E2034" s="46"/>
      <c r="F2034" s="46"/>
      <c r="G2034" s="46"/>
      <c r="H2034" s="46"/>
      <c r="I2034" s="46"/>
      <c r="J2034" s="46"/>
      <c r="K2034" s="46"/>
      <c r="L2034" s="46"/>
      <c r="M2034" s="46"/>
      <c r="N2034" s="46"/>
      <c r="O2034" s="46"/>
      <c r="P2034" s="46"/>
      <c r="Q2034" s="46"/>
      <c r="R2034" s="46"/>
      <c r="S2034" s="46"/>
      <c r="T2034" s="46"/>
      <c r="U2034" s="46"/>
      <c r="V2034" s="46"/>
      <c r="W2034" s="46"/>
      <c r="X2034" s="46"/>
    </row>
    <row r="2035" spans="1:24" ht="12.75" x14ac:dyDescent="0.2">
      <c r="A2035" s="45"/>
      <c r="B2035" s="46"/>
      <c r="C2035" s="46"/>
      <c r="D2035" s="46"/>
      <c r="E2035" s="46"/>
      <c r="F2035" s="46"/>
      <c r="G2035" s="46"/>
      <c r="H2035" s="46"/>
      <c r="I2035" s="46"/>
      <c r="J2035" s="46"/>
      <c r="K2035" s="46"/>
      <c r="L2035" s="46"/>
      <c r="M2035" s="46"/>
      <c r="N2035" s="46"/>
      <c r="O2035" s="46"/>
      <c r="P2035" s="46"/>
      <c r="Q2035" s="46"/>
      <c r="R2035" s="46"/>
      <c r="S2035" s="46"/>
      <c r="T2035" s="46"/>
      <c r="U2035" s="46"/>
      <c r="V2035" s="46"/>
      <c r="W2035" s="46"/>
      <c r="X2035" s="46"/>
    </row>
    <row r="2036" spans="1:24" ht="12.75" x14ac:dyDescent="0.2">
      <c r="A2036" s="45"/>
      <c r="B2036" s="46"/>
      <c r="C2036" s="46"/>
      <c r="D2036" s="46"/>
      <c r="E2036" s="46"/>
      <c r="F2036" s="46"/>
      <c r="G2036" s="46"/>
      <c r="H2036" s="46"/>
      <c r="I2036" s="46"/>
      <c r="J2036" s="46"/>
      <c r="K2036" s="46"/>
      <c r="L2036" s="46"/>
      <c r="M2036" s="46"/>
      <c r="N2036" s="46"/>
      <c r="O2036" s="46"/>
      <c r="P2036" s="46"/>
      <c r="Q2036" s="46"/>
      <c r="R2036" s="46"/>
      <c r="S2036" s="46"/>
      <c r="T2036" s="46"/>
      <c r="U2036" s="46"/>
      <c r="V2036" s="46"/>
      <c r="W2036" s="46"/>
      <c r="X2036" s="46"/>
    </row>
    <row r="2037" spans="1:24" ht="12.75" x14ac:dyDescent="0.2">
      <c r="A2037" s="45"/>
      <c r="B2037" s="46"/>
      <c r="C2037" s="46"/>
      <c r="D2037" s="46"/>
      <c r="E2037" s="46"/>
      <c r="F2037" s="46"/>
      <c r="G2037" s="46"/>
      <c r="H2037" s="46"/>
      <c r="I2037" s="46"/>
      <c r="J2037" s="46"/>
      <c r="K2037" s="46"/>
      <c r="L2037" s="46"/>
      <c r="M2037" s="46"/>
      <c r="N2037" s="46"/>
      <c r="O2037" s="46"/>
      <c r="P2037" s="46"/>
      <c r="Q2037" s="46"/>
      <c r="R2037" s="46"/>
      <c r="S2037" s="46"/>
      <c r="T2037" s="46"/>
      <c r="U2037" s="46"/>
      <c r="V2037" s="46"/>
      <c r="W2037" s="46"/>
      <c r="X2037" s="46"/>
    </row>
    <row r="2038" spans="1:24" ht="12.75" x14ac:dyDescent="0.2">
      <c r="A2038" s="45"/>
      <c r="B2038" s="46"/>
      <c r="C2038" s="46"/>
      <c r="D2038" s="46"/>
      <c r="E2038" s="46"/>
      <c r="F2038" s="46"/>
      <c r="G2038" s="46"/>
      <c r="H2038" s="46"/>
      <c r="I2038" s="46"/>
      <c r="J2038" s="46"/>
      <c r="K2038" s="46"/>
      <c r="L2038" s="46"/>
      <c r="M2038" s="46"/>
      <c r="N2038" s="46"/>
      <c r="O2038" s="46"/>
      <c r="P2038" s="46"/>
      <c r="Q2038" s="46"/>
      <c r="R2038" s="46"/>
      <c r="S2038" s="46"/>
      <c r="T2038" s="46"/>
      <c r="U2038" s="46"/>
      <c r="V2038" s="46"/>
      <c r="W2038" s="46"/>
      <c r="X2038" s="46"/>
    </row>
    <row r="2039" spans="1:24" ht="12.75" x14ac:dyDescent="0.2">
      <c r="A2039" s="45"/>
      <c r="B2039" s="46"/>
      <c r="C2039" s="46"/>
      <c r="D2039" s="46"/>
      <c r="E2039" s="46"/>
      <c r="F2039" s="46"/>
      <c r="G2039" s="46"/>
      <c r="H2039" s="46"/>
      <c r="I2039" s="46"/>
      <c r="J2039" s="46"/>
      <c r="K2039" s="46"/>
      <c r="L2039" s="46"/>
      <c r="M2039" s="46"/>
      <c r="N2039" s="46"/>
      <c r="O2039" s="46"/>
      <c r="P2039" s="46"/>
      <c r="Q2039" s="46"/>
      <c r="R2039" s="46"/>
      <c r="S2039" s="46"/>
      <c r="T2039" s="46"/>
      <c r="U2039" s="46"/>
      <c r="V2039" s="46"/>
      <c r="W2039" s="46"/>
      <c r="X2039" s="46"/>
    </row>
    <row r="2040" spans="1:24" ht="12.75" x14ac:dyDescent="0.2">
      <c r="A2040" s="45"/>
      <c r="B2040" s="46"/>
      <c r="C2040" s="46"/>
      <c r="D2040" s="46"/>
      <c r="E2040" s="46"/>
      <c r="F2040" s="46"/>
      <c r="G2040" s="46"/>
      <c r="H2040" s="46"/>
      <c r="I2040" s="46"/>
      <c r="J2040" s="46"/>
      <c r="K2040" s="46"/>
      <c r="L2040" s="46"/>
      <c r="M2040" s="46"/>
      <c r="N2040" s="46"/>
      <c r="O2040" s="46"/>
      <c r="P2040" s="46"/>
      <c r="Q2040" s="46"/>
      <c r="R2040" s="46"/>
      <c r="S2040" s="46"/>
      <c r="T2040" s="46"/>
      <c r="U2040" s="46"/>
      <c r="V2040" s="46"/>
      <c r="W2040" s="46"/>
      <c r="X2040" s="46"/>
    </row>
    <row r="2041" spans="1:24" ht="12.75" x14ac:dyDescent="0.2">
      <c r="A2041" s="45"/>
      <c r="B2041" s="46"/>
      <c r="C2041" s="46"/>
      <c r="D2041" s="46"/>
      <c r="E2041" s="46"/>
      <c r="F2041" s="46"/>
      <c r="G2041" s="46"/>
      <c r="H2041" s="46"/>
      <c r="I2041" s="46"/>
      <c r="J2041" s="46"/>
      <c r="K2041" s="46"/>
      <c r="L2041" s="46"/>
      <c r="M2041" s="46"/>
      <c r="N2041" s="46"/>
      <c r="O2041" s="46"/>
      <c r="P2041" s="46"/>
      <c r="Q2041" s="46"/>
      <c r="R2041" s="46"/>
      <c r="S2041" s="46"/>
      <c r="T2041" s="46"/>
      <c r="U2041" s="46"/>
      <c r="V2041" s="46"/>
      <c r="W2041" s="46"/>
      <c r="X2041" s="46"/>
    </row>
    <row r="2042" spans="1:24" ht="12.75" x14ac:dyDescent="0.2">
      <c r="A2042" s="45"/>
      <c r="B2042" s="46"/>
      <c r="C2042" s="46"/>
      <c r="D2042" s="46"/>
      <c r="E2042" s="46"/>
      <c r="F2042" s="46"/>
      <c r="G2042" s="46"/>
      <c r="H2042" s="46"/>
      <c r="I2042" s="46"/>
      <c r="J2042" s="46"/>
      <c r="K2042" s="46"/>
      <c r="L2042" s="46"/>
      <c r="M2042" s="46"/>
      <c r="N2042" s="46"/>
      <c r="O2042" s="46"/>
      <c r="P2042" s="46"/>
      <c r="Q2042" s="46"/>
      <c r="R2042" s="46"/>
      <c r="S2042" s="46"/>
      <c r="T2042" s="46"/>
      <c r="U2042" s="46"/>
      <c r="V2042" s="46"/>
      <c r="W2042" s="46"/>
      <c r="X2042" s="46"/>
    </row>
    <row r="2043" spans="1:24" ht="12.75" x14ac:dyDescent="0.2">
      <c r="A2043" s="45"/>
      <c r="B2043" s="46"/>
      <c r="C2043" s="46"/>
      <c r="D2043" s="46"/>
      <c r="E2043" s="46"/>
      <c r="F2043" s="46"/>
      <c r="G2043" s="46"/>
      <c r="H2043" s="46"/>
      <c r="I2043" s="46"/>
      <c r="J2043" s="46"/>
      <c r="K2043" s="46"/>
      <c r="L2043" s="46"/>
      <c r="M2043" s="46"/>
      <c r="N2043" s="46"/>
      <c r="O2043" s="46"/>
      <c r="P2043" s="46"/>
      <c r="Q2043" s="46"/>
      <c r="R2043" s="46"/>
      <c r="S2043" s="46"/>
      <c r="T2043" s="46"/>
      <c r="U2043" s="46"/>
      <c r="V2043" s="46"/>
      <c r="W2043" s="46"/>
      <c r="X2043" s="46"/>
    </row>
    <row r="2044" spans="1:24" ht="12.75" x14ac:dyDescent="0.2">
      <c r="A2044" s="45"/>
      <c r="B2044" s="46"/>
      <c r="C2044" s="46"/>
      <c r="D2044" s="46"/>
      <c r="E2044" s="46"/>
      <c r="F2044" s="46"/>
      <c r="G2044" s="46"/>
      <c r="H2044" s="46"/>
      <c r="I2044" s="46"/>
      <c r="J2044" s="46"/>
      <c r="K2044" s="46"/>
      <c r="L2044" s="46"/>
      <c r="M2044" s="46"/>
      <c r="N2044" s="46"/>
      <c r="O2044" s="46"/>
      <c r="P2044" s="46"/>
      <c r="Q2044" s="46"/>
      <c r="R2044" s="46"/>
      <c r="S2044" s="46"/>
      <c r="T2044" s="46"/>
      <c r="U2044" s="46"/>
      <c r="V2044" s="46"/>
      <c r="W2044" s="46"/>
      <c r="X2044" s="46"/>
    </row>
    <row r="2045" spans="1:24" ht="12.75" x14ac:dyDescent="0.2">
      <c r="A2045" s="45"/>
      <c r="B2045" s="46"/>
      <c r="C2045" s="46"/>
      <c r="D2045" s="46"/>
      <c r="E2045" s="46"/>
      <c r="F2045" s="46"/>
      <c r="G2045" s="46"/>
      <c r="H2045" s="46"/>
      <c r="I2045" s="46"/>
      <c r="J2045" s="46"/>
      <c r="K2045" s="46"/>
      <c r="L2045" s="46"/>
      <c r="M2045" s="46"/>
      <c r="N2045" s="46"/>
      <c r="O2045" s="46"/>
      <c r="P2045" s="46"/>
      <c r="Q2045" s="46"/>
      <c r="R2045" s="46"/>
      <c r="S2045" s="46"/>
      <c r="T2045" s="46"/>
      <c r="U2045" s="46"/>
      <c r="V2045" s="46"/>
      <c r="W2045" s="46"/>
      <c r="X2045" s="46"/>
    </row>
    <row r="2046" spans="1:24" ht="12.75" x14ac:dyDescent="0.2">
      <c r="A2046" s="45"/>
      <c r="B2046" s="46"/>
      <c r="C2046" s="46"/>
      <c r="D2046" s="46"/>
      <c r="E2046" s="46"/>
      <c r="F2046" s="46"/>
      <c r="G2046" s="46"/>
      <c r="H2046" s="46"/>
      <c r="I2046" s="46"/>
      <c r="J2046" s="46"/>
      <c r="K2046" s="46"/>
      <c r="L2046" s="46"/>
      <c r="M2046" s="46"/>
      <c r="N2046" s="46"/>
      <c r="O2046" s="46"/>
      <c r="P2046" s="46"/>
      <c r="Q2046" s="46"/>
      <c r="R2046" s="46"/>
      <c r="S2046" s="46"/>
      <c r="T2046" s="46"/>
      <c r="U2046" s="46"/>
      <c r="V2046" s="46"/>
      <c r="W2046" s="46"/>
      <c r="X2046" s="46"/>
    </row>
    <row r="2047" spans="1:24" ht="12.75" x14ac:dyDescent="0.2">
      <c r="A2047" s="45"/>
      <c r="B2047" s="46"/>
      <c r="C2047" s="46"/>
      <c r="D2047" s="46"/>
      <c r="E2047" s="46"/>
      <c r="F2047" s="46"/>
      <c r="G2047" s="46"/>
      <c r="H2047" s="46"/>
      <c r="I2047" s="46"/>
      <c r="J2047" s="46"/>
      <c r="K2047" s="46"/>
      <c r="L2047" s="46"/>
      <c r="M2047" s="46"/>
      <c r="N2047" s="46"/>
      <c r="O2047" s="46"/>
      <c r="P2047" s="46"/>
      <c r="Q2047" s="46"/>
      <c r="R2047" s="46"/>
      <c r="S2047" s="46"/>
      <c r="T2047" s="46"/>
      <c r="U2047" s="46"/>
      <c r="V2047" s="46"/>
      <c r="W2047" s="46"/>
      <c r="X2047" s="46"/>
    </row>
    <row r="2048" spans="1:24" ht="12.75" x14ac:dyDescent="0.2">
      <c r="A2048" s="45"/>
      <c r="B2048" s="46"/>
      <c r="C2048" s="46"/>
      <c r="D2048" s="46"/>
      <c r="E2048" s="46"/>
      <c r="F2048" s="46"/>
      <c r="G2048" s="46"/>
      <c r="H2048" s="46"/>
      <c r="I2048" s="46"/>
      <c r="J2048" s="46"/>
      <c r="K2048" s="46"/>
      <c r="L2048" s="46"/>
      <c r="M2048" s="46"/>
      <c r="N2048" s="46"/>
      <c r="O2048" s="46"/>
      <c r="P2048" s="46"/>
      <c r="Q2048" s="46"/>
      <c r="R2048" s="46"/>
      <c r="S2048" s="46"/>
      <c r="T2048" s="46"/>
      <c r="U2048" s="46"/>
      <c r="V2048" s="46"/>
      <c r="W2048" s="46"/>
      <c r="X2048" s="46"/>
    </row>
    <row r="2049" spans="1:24" ht="12.75" x14ac:dyDescent="0.2">
      <c r="A2049" s="45"/>
      <c r="B2049" s="46"/>
      <c r="C2049" s="46"/>
      <c r="D2049" s="46"/>
      <c r="E2049" s="46"/>
      <c r="F2049" s="46"/>
      <c r="G2049" s="46"/>
      <c r="H2049" s="46"/>
      <c r="I2049" s="46"/>
      <c r="J2049" s="46"/>
      <c r="K2049" s="46"/>
      <c r="L2049" s="46"/>
      <c r="M2049" s="46"/>
      <c r="N2049" s="46"/>
      <c r="O2049" s="46"/>
      <c r="P2049" s="46"/>
      <c r="Q2049" s="46"/>
      <c r="R2049" s="46"/>
      <c r="S2049" s="46"/>
      <c r="T2049" s="46"/>
      <c r="U2049" s="46"/>
      <c r="V2049" s="46"/>
      <c r="W2049" s="46"/>
      <c r="X2049" s="46"/>
    </row>
    <row r="2050" spans="1:24" ht="12.75" x14ac:dyDescent="0.2">
      <c r="A2050" s="45"/>
      <c r="B2050" s="46"/>
      <c r="C2050" s="46"/>
      <c r="D2050" s="46"/>
      <c r="E2050" s="46"/>
      <c r="F2050" s="46"/>
      <c r="G2050" s="46"/>
      <c r="H2050" s="46"/>
      <c r="I2050" s="46"/>
      <c r="J2050" s="46"/>
      <c r="K2050" s="46"/>
      <c r="L2050" s="46"/>
      <c r="M2050" s="46"/>
      <c r="N2050" s="46"/>
      <c r="O2050" s="46"/>
      <c r="P2050" s="46"/>
      <c r="Q2050" s="46"/>
      <c r="R2050" s="46"/>
      <c r="S2050" s="46"/>
      <c r="T2050" s="46"/>
      <c r="U2050" s="46"/>
      <c r="V2050" s="46"/>
      <c r="W2050" s="46"/>
      <c r="X2050" s="46"/>
    </row>
    <row r="2051" spans="1:24" ht="12.75" x14ac:dyDescent="0.2">
      <c r="A2051" s="45"/>
      <c r="B2051" s="46"/>
      <c r="C2051" s="46"/>
      <c r="D2051" s="46"/>
      <c r="E2051" s="46"/>
      <c r="F2051" s="46"/>
      <c r="G2051" s="46"/>
      <c r="H2051" s="46"/>
      <c r="I2051" s="46"/>
      <c r="J2051" s="46"/>
      <c r="K2051" s="46"/>
      <c r="L2051" s="46"/>
      <c r="M2051" s="46"/>
      <c r="N2051" s="46"/>
      <c r="O2051" s="46"/>
      <c r="P2051" s="46"/>
      <c r="Q2051" s="46"/>
      <c r="R2051" s="46"/>
      <c r="S2051" s="46"/>
      <c r="T2051" s="46"/>
      <c r="U2051" s="46"/>
      <c r="V2051" s="46"/>
      <c r="W2051" s="46"/>
      <c r="X2051" s="46"/>
    </row>
    <row r="2052" spans="1:24" ht="12.75" x14ac:dyDescent="0.2">
      <c r="A2052" s="45"/>
      <c r="B2052" s="46"/>
      <c r="C2052" s="46"/>
      <c r="D2052" s="46"/>
      <c r="E2052" s="46"/>
      <c r="F2052" s="46"/>
      <c r="G2052" s="46"/>
      <c r="H2052" s="46"/>
      <c r="I2052" s="46"/>
      <c r="J2052" s="46"/>
      <c r="K2052" s="46"/>
      <c r="L2052" s="46"/>
      <c r="M2052" s="46"/>
      <c r="N2052" s="46"/>
      <c r="O2052" s="46"/>
      <c r="P2052" s="46"/>
      <c r="Q2052" s="46"/>
      <c r="R2052" s="46"/>
      <c r="S2052" s="46"/>
      <c r="T2052" s="46"/>
      <c r="U2052" s="46"/>
      <c r="V2052" s="46"/>
      <c r="W2052" s="46"/>
      <c r="X2052" s="46"/>
    </row>
    <row r="2053" spans="1:24" ht="12.75" x14ac:dyDescent="0.2">
      <c r="A2053" s="45"/>
      <c r="B2053" s="46"/>
      <c r="C2053" s="46"/>
      <c r="D2053" s="46"/>
      <c r="E2053" s="46"/>
      <c r="F2053" s="46"/>
      <c r="G2053" s="46"/>
      <c r="H2053" s="46"/>
      <c r="I2053" s="46"/>
      <c r="J2053" s="46"/>
      <c r="K2053" s="46"/>
      <c r="L2053" s="46"/>
      <c r="M2053" s="46"/>
      <c r="N2053" s="46"/>
      <c r="O2053" s="46"/>
      <c r="P2053" s="46"/>
      <c r="Q2053" s="46"/>
      <c r="R2053" s="46"/>
      <c r="S2053" s="46"/>
      <c r="T2053" s="46"/>
      <c r="U2053" s="46"/>
      <c r="V2053" s="46"/>
      <c r="W2053" s="46"/>
      <c r="X2053" s="46"/>
    </row>
    <row r="2054" spans="1:24" ht="12.75" x14ac:dyDescent="0.2">
      <c r="A2054" s="45"/>
      <c r="B2054" s="46"/>
      <c r="C2054" s="46"/>
      <c r="D2054" s="46"/>
      <c r="E2054" s="46"/>
      <c r="F2054" s="46"/>
      <c r="G2054" s="46"/>
      <c r="H2054" s="46"/>
      <c r="I2054" s="46"/>
      <c r="J2054" s="46"/>
      <c r="K2054" s="46"/>
      <c r="L2054" s="46"/>
      <c r="M2054" s="46"/>
      <c r="N2054" s="46"/>
      <c r="O2054" s="46"/>
      <c r="P2054" s="46"/>
      <c r="Q2054" s="46"/>
      <c r="R2054" s="46"/>
      <c r="S2054" s="46"/>
      <c r="T2054" s="46"/>
      <c r="U2054" s="46"/>
      <c r="V2054" s="46"/>
      <c r="W2054" s="46"/>
      <c r="X2054" s="46"/>
    </row>
    <row r="2055" spans="1:24" ht="12.75" x14ac:dyDescent="0.2">
      <c r="A2055" s="45"/>
      <c r="B2055" s="46"/>
      <c r="C2055" s="46"/>
      <c r="D2055" s="46"/>
      <c r="E2055" s="46"/>
      <c r="F2055" s="46"/>
      <c r="G2055" s="46"/>
      <c r="H2055" s="46"/>
      <c r="I2055" s="46"/>
      <c r="J2055" s="46"/>
      <c r="K2055" s="46"/>
      <c r="L2055" s="46"/>
      <c r="M2055" s="46"/>
      <c r="N2055" s="46"/>
      <c r="O2055" s="46"/>
      <c r="P2055" s="46"/>
      <c r="Q2055" s="46"/>
      <c r="R2055" s="46"/>
      <c r="S2055" s="46"/>
      <c r="T2055" s="46"/>
      <c r="U2055" s="46"/>
      <c r="V2055" s="46"/>
      <c r="W2055" s="46"/>
      <c r="X2055" s="46"/>
    </row>
    <row r="2056" spans="1:24" ht="12.75" x14ac:dyDescent="0.2">
      <c r="A2056" s="45"/>
      <c r="B2056" s="46"/>
      <c r="C2056" s="46"/>
      <c r="D2056" s="46"/>
      <c r="E2056" s="46"/>
      <c r="F2056" s="46"/>
      <c r="G2056" s="46"/>
      <c r="H2056" s="46"/>
      <c r="I2056" s="46"/>
      <c r="J2056" s="46"/>
      <c r="K2056" s="46"/>
      <c r="L2056" s="46"/>
      <c r="M2056" s="46"/>
      <c r="N2056" s="46"/>
      <c r="O2056" s="46"/>
      <c r="P2056" s="46"/>
      <c r="Q2056" s="46"/>
      <c r="R2056" s="46"/>
      <c r="S2056" s="46"/>
      <c r="T2056" s="46"/>
      <c r="U2056" s="46"/>
      <c r="V2056" s="46"/>
      <c r="W2056" s="46"/>
      <c r="X2056" s="46"/>
    </row>
    <row r="2057" spans="1:24" ht="12.75" x14ac:dyDescent="0.2">
      <c r="A2057" s="45"/>
      <c r="B2057" s="46"/>
      <c r="C2057" s="46"/>
      <c r="D2057" s="46"/>
      <c r="E2057" s="46"/>
      <c r="F2057" s="46"/>
      <c r="G2057" s="46"/>
      <c r="H2057" s="46"/>
      <c r="I2057" s="46"/>
      <c r="J2057" s="46"/>
      <c r="K2057" s="46"/>
      <c r="L2057" s="46"/>
      <c r="M2057" s="46"/>
      <c r="N2057" s="46"/>
      <c r="O2057" s="46"/>
      <c r="P2057" s="46"/>
      <c r="Q2057" s="46"/>
      <c r="R2057" s="46"/>
      <c r="S2057" s="46"/>
      <c r="T2057" s="46"/>
      <c r="U2057" s="46"/>
      <c r="V2057" s="46"/>
      <c r="W2057" s="46"/>
      <c r="X2057" s="46"/>
    </row>
    <row r="2058" spans="1:24" ht="12.75" x14ac:dyDescent="0.2">
      <c r="A2058" s="45"/>
      <c r="B2058" s="46"/>
      <c r="C2058" s="46"/>
      <c r="D2058" s="46"/>
      <c r="E2058" s="46"/>
      <c r="F2058" s="46"/>
      <c r="G2058" s="46"/>
      <c r="H2058" s="46"/>
      <c r="I2058" s="46"/>
      <c r="J2058" s="46"/>
      <c r="K2058" s="46"/>
      <c r="L2058" s="46"/>
      <c r="M2058" s="46"/>
      <c r="N2058" s="46"/>
      <c r="O2058" s="46"/>
      <c r="P2058" s="46"/>
      <c r="Q2058" s="46"/>
      <c r="R2058" s="46"/>
      <c r="S2058" s="46"/>
      <c r="T2058" s="46"/>
      <c r="U2058" s="46"/>
      <c r="V2058" s="46"/>
      <c r="W2058" s="46"/>
      <c r="X2058" s="46"/>
    </row>
    <row r="2059" spans="1:24" ht="12.75" x14ac:dyDescent="0.2">
      <c r="A2059" s="45"/>
      <c r="B2059" s="46"/>
      <c r="C2059" s="46"/>
      <c r="D2059" s="46"/>
      <c r="E2059" s="46"/>
      <c r="F2059" s="46"/>
      <c r="G2059" s="46"/>
      <c r="H2059" s="46"/>
      <c r="I2059" s="46"/>
      <c r="J2059" s="46"/>
      <c r="K2059" s="46"/>
      <c r="L2059" s="46"/>
      <c r="M2059" s="46"/>
      <c r="N2059" s="46"/>
      <c r="O2059" s="46"/>
      <c r="P2059" s="46"/>
      <c r="Q2059" s="46"/>
      <c r="R2059" s="46"/>
      <c r="S2059" s="46"/>
      <c r="T2059" s="46"/>
      <c r="U2059" s="46"/>
      <c r="V2059" s="46"/>
      <c r="W2059" s="46"/>
      <c r="X2059" s="46"/>
    </row>
    <row r="2060" spans="1:24" ht="12.75" x14ac:dyDescent="0.2">
      <c r="A2060" s="45"/>
      <c r="B2060" s="46"/>
      <c r="C2060" s="46"/>
      <c r="D2060" s="46"/>
      <c r="E2060" s="46"/>
      <c r="F2060" s="46"/>
      <c r="G2060" s="46"/>
      <c r="H2060" s="46"/>
      <c r="I2060" s="46"/>
      <c r="J2060" s="46"/>
      <c r="K2060" s="46"/>
      <c r="L2060" s="46"/>
      <c r="M2060" s="46"/>
      <c r="N2060" s="46"/>
      <c r="O2060" s="46"/>
      <c r="P2060" s="46"/>
      <c r="Q2060" s="46"/>
      <c r="R2060" s="46"/>
      <c r="S2060" s="46"/>
      <c r="T2060" s="46"/>
      <c r="U2060" s="46"/>
      <c r="V2060" s="46"/>
      <c r="W2060" s="46"/>
      <c r="X2060" s="46"/>
    </row>
    <row r="2061" spans="1:24" ht="12.75" x14ac:dyDescent="0.2">
      <c r="A2061" s="45"/>
      <c r="B2061" s="46"/>
      <c r="C2061" s="46"/>
      <c r="D2061" s="46"/>
      <c r="E2061" s="46"/>
      <c r="F2061" s="46"/>
      <c r="G2061" s="46"/>
      <c r="H2061" s="46"/>
      <c r="I2061" s="46"/>
      <c r="J2061" s="46"/>
      <c r="K2061" s="46"/>
      <c r="L2061" s="46"/>
      <c r="M2061" s="46"/>
      <c r="N2061" s="46"/>
      <c r="O2061" s="46"/>
      <c r="P2061" s="46"/>
      <c r="Q2061" s="46"/>
      <c r="R2061" s="46"/>
      <c r="S2061" s="46"/>
      <c r="T2061" s="46"/>
      <c r="U2061" s="46"/>
      <c r="V2061" s="46"/>
      <c r="W2061" s="46"/>
      <c r="X2061" s="46"/>
    </row>
    <row r="2062" spans="1:24" ht="12.75" x14ac:dyDescent="0.2">
      <c r="A2062" s="45"/>
      <c r="B2062" s="46"/>
      <c r="C2062" s="46"/>
      <c r="D2062" s="46"/>
      <c r="E2062" s="46"/>
      <c r="F2062" s="46"/>
      <c r="G2062" s="46"/>
      <c r="H2062" s="46"/>
      <c r="I2062" s="46"/>
      <c r="J2062" s="46"/>
      <c r="K2062" s="46"/>
      <c r="L2062" s="46"/>
      <c r="M2062" s="46"/>
      <c r="N2062" s="46"/>
      <c r="O2062" s="46"/>
      <c r="P2062" s="46"/>
      <c r="Q2062" s="46"/>
      <c r="R2062" s="46"/>
      <c r="S2062" s="46"/>
      <c r="T2062" s="46"/>
      <c r="U2062" s="46"/>
      <c r="V2062" s="46"/>
      <c r="W2062" s="46"/>
      <c r="X2062" s="46"/>
    </row>
    <row r="2063" spans="1:24" ht="12.75" x14ac:dyDescent="0.2">
      <c r="A2063" s="45"/>
      <c r="B2063" s="46"/>
      <c r="C2063" s="46"/>
      <c r="D2063" s="46"/>
      <c r="E2063" s="46"/>
      <c r="F2063" s="46"/>
      <c r="G2063" s="46"/>
      <c r="H2063" s="46"/>
      <c r="I2063" s="46"/>
      <c r="J2063" s="46"/>
      <c r="K2063" s="46"/>
      <c r="L2063" s="46"/>
      <c r="M2063" s="46"/>
      <c r="N2063" s="46"/>
      <c r="O2063" s="46"/>
      <c r="P2063" s="46"/>
      <c r="Q2063" s="46"/>
      <c r="R2063" s="46"/>
      <c r="S2063" s="46"/>
      <c r="T2063" s="46"/>
      <c r="U2063" s="46"/>
      <c r="V2063" s="46"/>
      <c r="W2063" s="46"/>
      <c r="X2063" s="46"/>
    </row>
    <row r="2064" spans="1:24" ht="12.75" x14ac:dyDescent="0.2">
      <c r="A2064" s="45"/>
      <c r="B2064" s="46"/>
      <c r="C2064" s="46"/>
      <c r="D2064" s="46"/>
      <c r="E2064" s="46"/>
      <c r="F2064" s="46"/>
      <c r="G2064" s="46"/>
      <c r="H2064" s="46"/>
      <c r="I2064" s="46"/>
      <c r="J2064" s="46"/>
      <c r="K2064" s="46"/>
      <c r="L2064" s="46"/>
      <c r="M2064" s="46"/>
      <c r="N2064" s="46"/>
      <c r="O2064" s="46"/>
      <c r="P2064" s="46"/>
      <c r="Q2064" s="46"/>
      <c r="R2064" s="46"/>
      <c r="S2064" s="46"/>
      <c r="T2064" s="46"/>
      <c r="U2064" s="46"/>
      <c r="V2064" s="46"/>
      <c r="W2064" s="46"/>
      <c r="X2064" s="46"/>
    </row>
    <row r="2065" spans="1:24" ht="12.75" x14ac:dyDescent="0.2">
      <c r="A2065" s="45"/>
      <c r="B2065" s="46"/>
      <c r="C2065" s="46"/>
      <c r="D2065" s="46"/>
      <c r="E2065" s="46"/>
      <c r="F2065" s="46"/>
      <c r="G2065" s="46"/>
      <c r="H2065" s="46"/>
      <c r="I2065" s="46"/>
      <c r="J2065" s="46"/>
      <c r="K2065" s="46"/>
      <c r="L2065" s="46"/>
      <c r="M2065" s="46"/>
      <c r="N2065" s="46"/>
      <c r="O2065" s="46"/>
      <c r="P2065" s="46"/>
      <c r="Q2065" s="46"/>
      <c r="R2065" s="46"/>
      <c r="S2065" s="46"/>
      <c r="T2065" s="46"/>
      <c r="U2065" s="46"/>
      <c r="V2065" s="46"/>
      <c r="W2065" s="46"/>
      <c r="X2065" s="46"/>
    </row>
    <row r="2066" spans="1:24" ht="12.75" x14ac:dyDescent="0.2">
      <c r="A2066" s="45"/>
      <c r="B2066" s="46"/>
      <c r="C2066" s="46"/>
      <c r="D2066" s="46"/>
      <c r="E2066" s="46"/>
      <c r="F2066" s="46"/>
      <c r="G2066" s="46"/>
      <c r="H2066" s="46"/>
      <c r="I2066" s="46"/>
      <c r="J2066" s="46"/>
      <c r="K2066" s="46"/>
      <c r="L2066" s="46"/>
      <c r="M2066" s="46"/>
      <c r="N2066" s="46"/>
      <c r="O2066" s="46"/>
      <c r="P2066" s="46"/>
      <c r="Q2066" s="46"/>
      <c r="R2066" s="46"/>
      <c r="S2066" s="46"/>
      <c r="T2066" s="46"/>
      <c r="U2066" s="46"/>
      <c r="V2066" s="46"/>
      <c r="W2066" s="46"/>
      <c r="X2066" s="46"/>
    </row>
    <row r="2067" spans="1:24" ht="12.75" x14ac:dyDescent="0.2">
      <c r="A2067" s="45"/>
      <c r="B2067" s="46"/>
      <c r="C2067" s="46"/>
      <c r="D2067" s="46"/>
      <c r="E2067" s="46"/>
      <c r="F2067" s="46"/>
      <c r="G2067" s="46"/>
      <c r="H2067" s="46"/>
      <c r="I2067" s="46"/>
      <c r="J2067" s="46"/>
      <c r="K2067" s="46"/>
      <c r="L2067" s="46"/>
      <c r="M2067" s="46"/>
      <c r="N2067" s="46"/>
      <c r="O2067" s="46"/>
      <c r="P2067" s="46"/>
      <c r="Q2067" s="46"/>
      <c r="R2067" s="46"/>
      <c r="S2067" s="46"/>
      <c r="T2067" s="46"/>
      <c r="U2067" s="46"/>
      <c r="V2067" s="46"/>
      <c r="W2067" s="46"/>
      <c r="X2067" s="46"/>
    </row>
    <row r="2068" spans="1:24" ht="12.75" x14ac:dyDescent="0.2">
      <c r="A2068" s="45"/>
      <c r="B2068" s="46"/>
      <c r="C2068" s="46"/>
      <c r="D2068" s="46"/>
      <c r="E2068" s="46"/>
      <c r="F2068" s="46"/>
      <c r="G2068" s="46"/>
      <c r="H2068" s="46"/>
      <c r="I2068" s="46"/>
      <c r="J2068" s="46"/>
      <c r="K2068" s="46"/>
      <c r="L2068" s="46"/>
      <c r="M2068" s="46"/>
      <c r="N2068" s="46"/>
      <c r="O2068" s="46"/>
      <c r="P2068" s="46"/>
      <c r="Q2068" s="46"/>
      <c r="R2068" s="46"/>
      <c r="S2068" s="46"/>
      <c r="T2068" s="46"/>
      <c r="U2068" s="46"/>
      <c r="V2068" s="46"/>
      <c r="W2068" s="46"/>
      <c r="X2068" s="46"/>
    </row>
    <row r="2069" spans="1:24" ht="12.75" x14ac:dyDescent="0.2">
      <c r="A2069" s="45"/>
      <c r="B2069" s="46"/>
      <c r="C2069" s="46"/>
      <c r="D2069" s="46"/>
      <c r="E2069" s="46"/>
      <c r="F2069" s="46"/>
      <c r="G2069" s="46"/>
      <c r="H2069" s="46"/>
      <c r="I2069" s="46"/>
      <c r="J2069" s="46"/>
      <c r="K2069" s="46"/>
      <c r="L2069" s="46"/>
      <c r="M2069" s="46"/>
      <c r="N2069" s="46"/>
      <c r="O2069" s="46"/>
      <c r="P2069" s="46"/>
      <c r="Q2069" s="46"/>
      <c r="R2069" s="46"/>
      <c r="S2069" s="46"/>
      <c r="T2069" s="46"/>
      <c r="U2069" s="46"/>
      <c r="V2069" s="46"/>
      <c r="W2069" s="46"/>
      <c r="X2069" s="46"/>
    </row>
    <row r="2070" spans="1:24" ht="12.75" x14ac:dyDescent="0.2">
      <c r="A2070" s="45"/>
      <c r="B2070" s="46"/>
      <c r="C2070" s="46"/>
      <c r="D2070" s="46"/>
      <c r="E2070" s="46"/>
      <c r="F2070" s="46"/>
      <c r="G2070" s="46"/>
      <c r="H2070" s="46"/>
      <c r="I2070" s="46"/>
      <c r="J2070" s="46"/>
      <c r="K2070" s="46"/>
      <c r="L2070" s="46"/>
      <c r="M2070" s="46"/>
      <c r="N2070" s="46"/>
      <c r="O2070" s="46"/>
      <c r="P2070" s="46"/>
      <c r="Q2070" s="46"/>
      <c r="R2070" s="46"/>
      <c r="S2070" s="46"/>
      <c r="T2070" s="46"/>
      <c r="U2070" s="46"/>
      <c r="V2070" s="46"/>
      <c r="W2070" s="46"/>
      <c r="X2070" s="46"/>
    </row>
    <row r="2071" spans="1:24" ht="12.75" x14ac:dyDescent="0.2">
      <c r="A2071" s="45"/>
      <c r="B2071" s="46"/>
      <c r="C2071" s="46"/>
      <c r="D2071" s="46"/>
      <c r="E2071" s="46"/>
      <c r="F2071" s="46"/>
      <c r="G2071" s="46"/>
      <c r="H2071" s="46"/>
      <c r="I2071" s="46"/>
      <c r="J2071" s="46"/>
      <c r="K2071" s="46"/>
      <c r="L2071" s="46"/>
      <c r="M2071" s="46"/>
      <c r="N2071" s="46"/>
      <c r="O2071" s="46"/>
      <c r="P2071" s="46"/>
      <c r="Q2071" s="46"/>
      <c r="R2071" s="46"/>
      <c r="S2071" s="46"/>
      <c r="T2071" s="46"/>
      <c r="U2071" s="46"/>
      <c r="V2071" s="46"/>
      <c r="W2071" s="46"/>
      <c r="X2071" s="46"/>
    </row>
    <row r="2072" spans="1:24" ht="12.75" x14ac:dyDescent="0.2">
      <c r="A2072" s="45"/>
      <c r="B2072" s="46"/>
      <c r="C2072" s="46"/>
      <c r="D2072" s="46"/>
      <c r="E2072" s="46"/>
      <c r="F2072" s="46"/>
      <c r="G2072" s="46"/>
      <c r="H2072" s="46"/>
      <c r="I2072" s="46"/>
      <c r="J2072" s="46"/>
      <c r="K2072" s="46"/>
      <c r="L2072" s="46"/>
      <c r="M2072" s="46"/>
      <c r="N2072" s="46"/>
      <c r="O2072" s="46"/>
      <c r="P2072" s="46"/>
      <c r="Q2072" s="46"/>
      <c r="R2072" s="46"/>
      <c r="S2072" s="46"/>
      <c r="T2072" s="46"/>
      <c r="U2072" s="46"/>
      <c r="V2072" s="46"/>
      <c r="W2072" s="46"/>
      <c r="X2072" s="46"/>
    </row>
    <row r="2073" spans="1:24" ht="12.75" x14ac:dyDescent="0.2">
      <c r="A2073" s="45"/>
      <c r="B2073" s="46"/>
      <c r="C2073" s="46"/>
      <c r="D2073" s="46"/>
      <c r="E2073" s="46"/>
      <c r="F2073" s="46"/>
      <c r="G2073" s="46"/>
      <c r="H2073" s="46"/>
      <c r="I2073" s="46"/>
      <c r="J2073" s="46"/>
      <c r="K2073" s="46"/>
      <c r="L2073" s="46"/>
      <c r="M2073" s="46"/>
      <c r="N2073" s="46"/>
      <c r="O2073" s="46"/>
      <c r="P2073" s="46"/>
      <c r="Q2073" s="46"/>
      <c r="R2073" s="46"/>
      <c r="S2073" s="46"/>
      <c r="T2073" s="46"/>
      <c r="U2073" s="46"/>
      <c r="V2073" s="46"/>
      <c r="W2073" s="46"/>
      <c r="X2073" s="46"/>
    </row>
    <row r="2074" spans="1:24" ht="12.75" x14ac:dyDescent="0.2">
      <c r="A2074" s="45"/>
      <c r="B2074" s="46"/>
      <c r="C2074" s="46"/>
      <c r="D2074" s="46"/>
      <c r="E2074" s="46"/>
      <c r="F2074" s="46"/>
      <c r="G2074" s="46"/>
      <c r="H2074" s="46"/>
      <c r="I2074" s="46"/>
      <c r="J2074" s="46"/>
      <c r="K2074" s="46"/>
      <c r="L2074" s="46"/>
      <c r="M2074" s="46"/>
      <c r="N2074" s="46"/>
      <c r="O2074" s="46"/>
      <c r="P2074" s="46"/>
      <c r="Q2074" s="46"/>
      <c r="R2074" s="46"/>
      <c r="S2074" s="46"/>
      <c r="T2074" s="46"/>
      <c r="U2074" s="46"/>
      <c r="V2074" s="46"/>
      <c r="W2074" s="46"/>
      <c r="X2074" s="46"/>
    </row>
    <row r="2075" spans="1:24" ht="12.75" x14ac:dyDescent="0.2">
      <c r="A2075" s="45"/>
      <c r="B2075" s="46"/>
      <c r="C2075" s="46"/>
      <c r="D2075" s="46"/>
      <c r="E2075" s="46"/>
      <c r="F2075" s="46"/>
      <c r="G2075" s="46"/>
      <c r="H2075" s="46"/>
      <c r="I2075" s="46"/>
      <c r="J2075" s="46"/>
      <c r="K2075" s="46"/>
      <c r="L2075" s="46"/>
      <c r="M2075" s="46"/>
      <c r="N2075" s="46"/>
      <c r="O2075" s="46"/>
      <c r="P2075" s="46"/>
      <c r="Q2075" s="46"/>
      <c r="R2075" s="46"/>
      <c r="S2075" s="46"/>
      <c r="T2075" s="46"/>
      <c r="U2075" s="46"/>
      <c r="V2075" s="46"/>
      <c r="W2075" s="46"/>
      <c r="X2075" s="46"/>
    </row>
    <row r="2076" spans="1:24" ht="12.75" x14ac:dyDescent="0.2">
      <c r="A2076" s="45"/>
      <c r="B2076" s="46"/>
      <c r="C2076" s="46"/>
      <c r="D2076" s="46"/>
      <c r="E2076" s="46"/>
      <c r="F2076" s="46"/>
      <c r="G2076" s="46"/>
      <c r="H2076" s="46"/>
      <c r="I2076" s="46"/>
      <c r="J2076" s="46"/>
      <c r="K2076" s="46"/>
      <c r="L2076" s="46"/>
      <c r="M2076" s="46"/>
      <c r="N2076" s="46"/>
      <c r="O2076" s="46"/>
      <c r="P2076" s="46"/>
      <c r="Q2076" s="46"/>
      <c r="R2076" s="46"/>
      <c r="S2076" s="46"/>
      <c r="T2076" s="46"/>
      <c r="U2076" s="46"/>
      <c r="V2076" s="46"/>
      <c r="W2076" s="46"/>
      <c r="X2076" s="46"/>
    </row>
    <row r="2077" spans="1:24" ht="12.75" x14ac:dyDescent="0.2">
      <c r="A2077" s="45"/>
      <c r="B2077" s="46"/>
      <c r="C2077" s="46"/>
      <c r="D2077" s="46"/>
      <c r="E2077" s="46"/>
      <c r="F2077" s="46"/>
      <c r="G2077" s="46"/>
      <c r="H2077" s="46"/>
      <c r="I2077" s="46"/>
      <c r="J2077" s="46"/>
      <c r="K2077" s="46"/>
      <c r="L2077" s="46"/>
      <c r="M2077" s="46"/>
      <c r="N2077" s="46"/>
      <c r="O2077" s="46"/>
      <c r="P2077" s="46"/>
      <c r="Q2077" s="46"/>
      <c r="R2077" s="46"/>
      <c r="S2077" s="46"/>
      <c r="T2077" s="46"/>
      <c r="U2077" s="46"/>
      <c r="V2077" s="46"/>
      <c r="W2077" s="46"/>
      <c r="X2077" s="46"/>
    </row>
    <row r="2078" spans="1:24" ht="12.75" x14ac:dyDescent="0.2">
      <c r="A2078" s="45"/>
      <c r="B2078" s="46"/>
      <c r="C2078" s="46"/>
      <c r="D2078" s="46"/>
      <c r="E2078" s="46"/>
      <c r="F2078" s="46"/>
      <c r="G2078" s="46"/>
      <c r="H2078" s="46"/>
      <c r="I2078" s="46"/>
      <c r="J2078" s="46"/>
      <c r="K2078" s="46"/>
      <c r="L2078" s="46"/>
      <c r="M2078" s="46"/>
      <c r="N2078" s="46"/>
      <c r="O2078" s="46"/>
      <c r="P2078" s="46"/>
      <c r="Q2078" s="46"/>
      <c r="R2078" s="46"/>
      <c r="S2078" s="46"/>
      <c r="T2078" s="46"/>
      <c r="U2078" s="46"/>
      <c r="V2078" s="46"/>
      <c r="W2078" s="46"/>
      <c r="X2078" s="46"/>
    </row>
    <row r="2079" spans="1:24" ht="12.75" x14ac:dyDescent="0.2">
      <c r="A2079" s="45"/>
      <c r="B2079" s="46"/>
      <c r="C2079" s="46"/>
      <c r="D2079" s="46"/>
      <c r="E2079" s="46"/>
      <c r="F2079" s="46"/>
      <c r="G2079" s="46"/>
      <c r="H2079" s="46"/>
      <c r="I2079" s="46"/>
      <c r="J2079" s="46"/>
      <c r="K2079" s="46"/>
      <c r="L2079" s="46"/>
      <c r="M2079" s="46"/>
      <c r="N2079" s="46"/>
      <c r="O2079" s="46"/>
      <c r="P2079" s="46"/>
      <c r="Q2079" s="46"/>
      <c r="R2079" s="46"/>
      <c r="S2079" s="46"/>
      <c r="T2079" s="46"/>
      <c r="U2079" s="46"/>
      <c r="V2079" s="46"/>
      <c r="W2079" s="46"/>
      <c r="X2079" s="46"/>
    </row>
    <row r="2080" spans="1:24" ht="12.75" x14ac:dyDescent="0.2">
      <c r="A2080" s="45"/>
      <c r="B2080" s="46"/>
      <c r="C2080" s="46"/>
      <c r="D2080" s="46"/>
      <c r="E2080" s="46"/>
      <c r="F2080" s="46"/>
      <c r="G2080" s="46"/>
      <c r="H2080" s="46"/>
      <c r="I2080" s="46"/>
      <c r="J2080" s="46"/>
      <c r="K2080" s="46"/>
      <c r="L2080" s="46"/>
      <c r="M2080" s="46"/>
      <c r="N2080" s="46"/>
      <c r="O2080" s="46"/>
      <c r="P2080" s="46"/>
      <c r="Q2080" s="46"/>
      <c r="R2080" s="46"/>
      <c r="S2080" s="46"/>
      <c r="T2080" s="46"/>
      <c r="U2080" s="46"/>
      <c r="V2080" s="46"/>
      <c r="W2080" s="46"/>
      <c r="X2080" s="46"/>
    </row>
    <row r="2081" spans="1:24" ht="12.75" x14ac:dyDescent="0.2">
      <c r="A2081" s="45"/>
      <c r="B2081" s="46"/>
      <c r="C2081" s="46"/>
      <c r="D2081" s="46"/>
      <c r="E2081" s="46"/>
      <c r="F2081" s="46"/>
      <c r="G2081" s="46"/>
      <c r="H2081" s="46"/>
      <c r="I2081" s="46"/>
      <c r="J2081" s="46"/>
      <c r="K2081" s="46"/>
      <c r="L2081" s="46"/>
      <c r="M2081" s="46"/>
      <c r="N2081" s="46"/>
      <c r="O2081" s="46"/>
      <c r="P2081" s="46"/>
      <c r="Q2081" s="46"/>
      <c r="R2081" s="46"/>
      <c r="S2081" s="46"/>
      <c r="T2081" s="46"/>
      <c r="U2081" s="46"/>
      <c r="V2081" s="46"/>
      <c r="W2081" s="46"/>
      <c r="X2081" s="46"/>
    </row>
    <row r="2082" spans="1:24" ht="12.75" x14ac:dyDescent="0.2">
      <c r="A2082" s="45"/>
      <c r="B2082" s="46"/>
      <c r="C2082" s="46"/>
      <c r="D2082" s="46"/>
      <c r="E2082" s="46"/>
      <c r="F2082" s="46"/>
      <c r="G2082" s="46"/>
      <c r="H2082" s="46"/>
      <c r="I2082" s="46"/>
      <c r="J2082" s="46"/>
      <c r="K2082" s="46"/>
      <c r="L2082" s="46"/>
      <c r="M2082" s="46"/>
      <c r="N2082" s="46"/>
      <c r="O2082" s="46"/>
      <c r="P2082" s="46"/>
      <c r="Q2082" s="46"/>
      <c r="R2082" s="46"/>
      <c r="S2082" s="46"/>
      <c r="T2082" s="46"/>
      <c r="U2082" s="46"/>
      <c r="V2082" s="46"/>
      <c r="W2082" s="46"/>
      <c r="X2082" s="46"/>
    </row>
    <row r="2083" spans="1:24" ht="12.75" x14ac:dyDescent="0.2">
      <c r="A2083" s="45"/>
      <c r="B2083" s="46"/>
      <c r="C2083" s="46"/>
      <c r="D2083" s="46"/>
      <c r="E2083" s="46"/>
      <c r="F2083" s="46"/>
      <c r="G2083" s="46"/>
      <c r="H2083" s="46"/>
      <c r="I2083" s="46"/>
      <c r="J2083" s="46"/>
      <c r="K2083" s="46"/>
      <c r="L2083" s="46"/>
      <c r="M2083" s="46"/>
      <c r="N2083" s="46"/>
      <c r="O2083" s="46"/>
      <c r="P2083" s="46"/>
      <c r="Q2083" s="46"/>
      <c r="R2083" s="46"/>
      <c r="S2083" s="46"/>
      <c r="T2083" s="46"/>
      <c r="U2083" s="46"/>
      <c r="V2083" s="46"/>
      <c r="W2083" s="46"/>
      <c r="X2083" s="46"/>
    </row>
    <row r="2084" spans="1:24" ht="12.75" x14ac:dyDescent="0.2">
      <c r="A2084" s="45"/>
      <c r="B2084" s="46"/>
      <c r="C2084" s="46"/>
      <c r="D2084" s="46"/>
      <c r="E2084" s="46"/>
      <c r="F2084" s="46"/>
      <c r="G2084" s="46"/>
      <c r="H2084" s="46"/>
      <c r="I2084" s="46"/>
      <c r="J2084" s="46"/>
      <c r="K2084" s="46"/>
      <c r="L2084" s="46"/>
      <c r="M2084" s="46"/>
      <c r="N2084" s="46"/>
      <c r="O2084" s="46"/>
      <c r="P2084" s="46"/>
      <c r="Q2084" s="46"/>
      <c r="R2084" s="46"/>
      <c r="S2084" s="46"/>
      <c r="T2084" s="46"/>
      <c r="U2084" s="46"/>
      <c r="V2084" s="46"/>
      <c r="W2084" s="46"/>
      <c r="X2084" s="46"/>
    </row>
    <row r="2085" spans="1:24" ht="12.75" x14ac:dyDescent="0.2">
      <c r="A2085" s="45"/>
      <c r="B2085" s="46"/>
      <c r="C2085" s="46"/>
      <c r="D2085" s="46"/>
      <c r="E2085" s="46"/>
      <c r="F2085" s="46"/>
      <c r="G2085" s="46"/>
      <c r="H2085" s="46"/>
      <c r="I2085" s="46"/>
      <c r="J2085" s="46"/>
      <c r="K2085" s="46"/>
      <c r="L2085" s="46"/>
      <c r="M2085" s="46"/>
      <c r="N2085" s="46"/>
      <c r="O2085" s="46"/>
      <c r="P2085" s="46"/>
      <c r="Q2085" s="46"/>
      <c r="R2085" s="46"/>
      <c r="S2085" s="46"/>
      <c r="T2085" s="46"/>
      <c r="U2085" s="46"/>
      <c r="V2085" s="46"/>
      <c r="W2085" s="46"/>
      <c r="X2085" s="46"/>
    </row>
    <row r="2086" spans="1:24" ht="12.75" x14ac:dyDescent="0.2">
      <c r="A2086" s="45"/>
      <c r="B2086" s="46"/>
      <c r="C2086" s="46"/>
      <c r="D2086" s="46"/>
      <c r="E2086" s="46"/>
      <c r="F2086" s="46"/>
      <c r="G2086" s="46"/>
      <c r="H2086" s="46"/>
      <c r="I2086" s="46"/>
      <c r="J2086" s="46"/>
      <c r="K2086" s="46"/>
      <c r="L2086" s="46"/>
      <c r="M2086" s="46"/>
      <c r="N2086" s="46"/>
      <c r="O2086" s="46"/>
      <c r="P2086" s="46"/>
      <c r="Q2086" s="46"/>
      <c r="R2086" s="46"/>
      <c r="S2086" s="46"/>
      <c r="T2086" s="46"/>
      <c r="U2086" s="46"/>
      <c r="V2086" s="46"/>
      <c r="W2086" s="46"/>
      <c r="X2086" s="46"/>
    </row>
    <row r="2087" spans="1:24" ht="12.75" x14ac:dyDescent="0.2">
      <c r="A2087" s="45"/>
      <c r="B2087" s="46"/>
      <c r="C2087" s="46"/>
      <c r="D2087" s="46"/>
      <c r="E2087" s="46"/>
      <c r="F2087" s="46"/>
      <c r="G2087" s="46"/>
      <c r="H2087" s="46"/>
      <c r="I2087" s="46"/>
      <c r="J2087" s="46"/>
      <c r="K2087" s="46"/>
      <c r="L2087" s="46"/>
      <c r="M2087" s="46"/>
      <c r="N2087" s="46"/>
      <c r="O2087" s="46"/>
      <c r="P2087" s="46"/>
      <c r="Q2087" s="46"/>
      <c r="R2087" s="46"/>
      <c r="S2087" s="46"/>
      <c r="T2087" s="46"/>
      <c r="U2087" s="46"/>
      <c r="V2087" s="46"/>
      <c r="W2087" s="46"/>
      <c r="X2087" s="46"/>
    </row>
    <row r="2088" spans="1:24" ht="12.75" x14ac:dyDescent="0.2">
      <c r="A2088" s="45"/>
      <c r="B2088" s="46"/>
      <c r="C2088" s="46"/>
      <c r="D2088" s="46"/>
      <c r="E2088" s="46"/>
      <c r="F2088" s="46"/>
      <c r="G2088" s="46"/>
      <c r="H2088" s="46"/>
      <c r="I2088" s="46"/>
      <c r="J2088" s="46"/>
      <c r="K2088" s="46"/>
      <c r="L2088" s="46"/>
      <c r="M2088" s="46"/>
      <c r="N2088" s="46"/>
      <c r="O2088" s="46"/>
      <c r="P2088" s="46"/>
      <c r="Q2088" s="46"/>
      <c r="R2088" s="46"/>
      <c r="S2088" s="46"/>
      <c r="T2088" s="46"/>
      <c r="U2088" s="46"/>
      <c r="V2088" s="46"/>
      <c r="W2088" s="46"/>
      <c r="X2088" s="46"/>
    </row>
    <row r="2089" spans="1:24" ht="12.75" x14ac:dyDescent="0.2">
      <c r="A2089" s="45"/>
      <c r="B2089" s="46"/>
      <c r="C2089" s="46"/>
      <c r="D2089" s="46"/>
      <c r="E2089" s="46"/>
      <c r="F2089" s="46"/>
      <c r="G2089" s="46"/>
      <c r="H2089" s="46"/>
      <c r="I2089" s="46"/>
      <c r="J2089" s="46"/>
      <c r="K2089" s="46"/>
      <c r="L2089" s="46"/>
      <c r="M2089" s="46"/>
      <c r="N2089" s="46"/>
      <c r="O2089" s="46"/>
      <c r="P2089" s="46"/>
      <c r="Q2089" s="46"/>
      <c r="R2089" s="46"/>
      <c r="S2089" s="46"/>
      <c r="T2089" s="46"/>
      <c r="U2089" s="46"/>
      <c r="V2089" s="46"/>
      <c r="W2089" s="46"/>
      <c r="X2089" s="46"/>
    </row>
    <row r="2090" spans="1:24" ht="12.75" x14ac:dyDescent="0.2">
      <c r="A2090" s="45"/>
      <c r="B2090" s="46"/>
      <c r="C2090" s="46"/>
      <c r="D2090" s="46"/>
      <c r="E2090" s="46"/>
      <c r="F2090" s="46"/>
      <c r="G2090" s="46"/>
      <c r="H2090" s="46"/>
      <c r="I2090" s="46"/>
      <c r="J2090" s="46"/>
      <c r="K2090" s="46"/>
      <c r="L2090" s="46"/>
      <c r="M2090" s="46"/>
      <c r="N2090" s="46"/>
      <c r="O2090" s="46"/>
      <c r="P2090" s="46"/>
      <c r="Q2090" s="46"/>
      <c r="R2090" s="46"/>
      <c r="S2090" s="46"/>
      <c r="T2090" s="46"/>
      <c r="U2090" s="46"/>
      <c r="V2090" s="46"/>
      <c r="W2090" s="46"/>
      <c r="X2090" s="46"/>
    </row>
    <row r="2091" spans="1:24" ht="12.75" x14ac:dyDescent="0.2">
      <c r="A2091" s="45"/>
      <c r="B2091" s="46"/>
      <c r="C2091" s="46"/>
      <c r="D2091" s="46"/>
      <c r="E2091" s="46"/>
      <c r="F2091" s="46"/>
      <c r="G2091" s="46"/>
      <c r="H2091" s="46"/>
      <c r="I2091" s="46"/>
      <c r="J2091" s="46"/>
      <c r="K2091" s="46"/>
      <c r="L2091" s="46"/>
      <c r="M2091" s="46"/>
      <c r="N2091" s="46"/>
      <c r="O2091" s="46"/>
      <c r="P2091" s="46"/>
      <c r="Q2091" s="46"/>
      <c r="R2091" s="46"/>
      <c r="S2091" s="46"/>
      <c r="T2091" s="46"/>
      <c r="U2091" s="46"/>
      <c r="V2091" s="46"/>
      <c r="W2091" s="46"/>
      <c r="X2091" s="46"/>
    </row>
    <row r="2092" spans="1:24" ht="12.75" x14ac:dyDescent="0.2">
      <c r="A2092" s="45"/>
      <c r="B2092" s="46"/>
      <c r="C2092" s="46"/>
      <c r="D2092" s="46"/>
      <c r="E2092" s="46"/>
      <c r="F2092" s="46"/>
      <c r="G2092" s="46"/>
      <c r="H2092" s="46"/>
      <c r="I2092" s="46"/>
      <c r="J2092" s="46"/>
      <c r="K2092" s="46"/>
      <c r="L2092" s="46"/>
      <c r="M2092" s="46"/>
      <c r="N2092" s="46"/>
      <c r="O2092" s="46"/>
      <c r="P2092" s="46"/>
      <c r="Q2092" s="46"/>
      <c r="R2092" s="46"/>
      <c r="S2092" s="46"/>
      <c r="T2092" s="46"/>
      <c r="U2092" s="46"/>
      <c r="V2092" s="46"/>
      <c r="W2092" s="46"/>
      <c r="X2092" s="46"/>
    </row>
    <row r="2093" spans="1:24" ht="12.75" x14ac:dyDescent="0.2">
      <c r="A2093" s="45"/>
      <c r="B2093" s="46"/>
      <c r="C2093" s="46"/>
      <c r="D2093" s="46"/>
      <c r="E2093" s="46"/>
      <c r="F2093" s="46"/>
      <c r="G2093" s="46"/>
      <c r="H2093" s="46"/>
      <c r="I2093" s="46"/>
      <c r="J2093" s="46"/>
      <c r="K2093" s="46"/>
      <c r="L2093" s="46"/>
      <c r="M2093" s="46"/>
      <c r="N2093" s="46"/>
      <c r="O2093" s="46"/>
      <c r="P2093" s="46"/>
      <c r="Q2093" s="46"/>
      <c r="R2093" s="46"/>
      <c r="S2093" s="46"/>
      <c r="T2093" s="46"/>
      <c r="U2093" s="46"/>
      <c r="V2093" s="46"/>
      <c r="W2093" s="46"/>
      <c r="X2093" s="46"/>
    </row>
    <row r="2094" spans="1:24" ht="12.75" x14ac:dyDescent="0.2">
      <c r="A2094" s="45"/>
      <c r="B2094" s="46"/>
      <c r="C2094" s="46"/>
      <c r="D2094" s="46"/>
      <c r="E2094" s="46"/>
      <c r="F2094" s="46"/>
      <c r="G2094" s="46"/>
      <c r="H2094" s="46"/>
      <c r="I2094" s="46"/>
      <c r="J2094" s="46"/>
      <c r="K2094" s="46"/>
      <c r="L2094" s="46"/>
      <c r="M2094" s="46"/>
      <c r="N2094" s="46"/>
      <c r="O2094" s="46"/>
      <c r="P2094" s="46"/>
      <c r="Q2094" s="46"/>
      <c r="R2094" s="46"/>
      <c r="S2094" s="46"/>
      <c r="T2094" s="46"/>
      <c r="U2094" s="46"/>
      <c r="V2094" s="46"/>
      <c r="W2094" s="46"/>
      <c r="X2094" s="46"/>
    </row>
    <row r="2095" spans="1:24" ht="12.75" x14ac:dyDescent="0.2">
      <c r="A2095" s="45"/>
      <c r="B2095" s="46"/>
      <c r="C2095" s="46"/>
      <c r="D2095" s="46"/>
      <c r="E2095" s="46"/>
      <c r="F2095" s="46"/>
      <c r="G2095" s="46"/>
      <c r="H2095" s="46"/>
      <c r="I2095" s="46"/>
      <c r="J2095" s="46"/>
      <c r="K2095" s="46"/>
      <c r="L2095" s="46"/>
      <c r="M2095" s="46"/>
      <c r="N2095" s="46"/>
      <c r="O2095" s="46"/>
      <c r="P2095" s="46"/>
      <c r="Q2095" s="46"/>
      <c r="R2095" s="46"/>
      <c r="S2095" s="46"/>
      <c r="T2095" s="46"/>
      <c r="U2095" s="46"/>
      <c r="V2095" s="46"/>
      <c r="W2095" s="46"/>
      <c r="X2095" s="46"/>
    </row>
    <row r="2096" spans="1:24" ht="12.75" x14ac:dyDescent="0.2">
      <c r="A2096" s="45"/>
      <c r="B2096" s="46"/>
      <c r="C2096" s="46"/>
      <c r="D2096" s="46"/>
      <c r="E2096" s="46"/>
      <c r="F2096" s="46"/>
      <c r="G2096" s="46"/>
      <c r="H2096" s="46"/>
      <c r="I2096" s="46"/>
      <c r="J2096" s="46"/>
      <c r="K2096" s="46"/>
      <c r="L2096" s="46"/>
      <c r="M2096" s="46"/>
      <c r="N2096" s="46"/>
      <c r="O2096" s="46"/>
      <c r="P2096" s="46"/>
      <c r="Q2096" s="46"/>
      <c r="R2096" s="46"/>
      <c r="S2096" s="46"/>
      <c r="T2096" s="46"/>
      <c r="U2096" s="46"/>
      <c r="V2096" s="46"/>
      <c r="W2096" s="46"/>
      <c r="X2096" s="46"/>
    </row>
    <row r="2097" spans="1:24" ht="12.75" x14ac:dyDescent="0.2">
      <c r="A2097" s="45"/>
      <c r="B2097" s="46"/>
      <c r="C2097" s="46"/>
      <c r="D2097" s="46"/>
      <c r="E2097" s="46"/>
      <c r="F2097" s="46"/>
      <c r="G2097" s="46"/>
      <c r="H2097" s="46"/>
      <c r="I2097" s="46"/>
      <c r="J2097" s="46"/>
      <c r="K2097" s="46"/>
      <c r="L2097" s="46"/>
      <c r="M2097" s="46"/>
      <c r="N2097" s="46"/>
      <c r="O2097" s="46"/>
      <c r="P2097" s="46"/>
      <c r="Q2097" s="46"/>
      <c r="R2097" s="46"/>
      <c r="S2097" s="46"/>
      <c r="T2097" s="46"/>
      <c r="U2097" s="46"/>
      <c r="V2097" s="46"/>
      <c r="W2097" s="46"/>
      <c r="X2097" s="46"/>
    </row>
    <row r="2098" spans="1:24" ht="12.75" x14ac:dyDescent="0.2">
      <c r="A2098" s="45"/>
      <c r="B2098" s="46"/>
      <c r="C2098" s="46"/>
      <c r="D2098" s="46"/>
      <c r="E2098" s="46"/>
      <c r="F2098" s="46"/>
      <c r="G2098" s="46"/>
      <c r="H2098" s="46"/>
      <c r="I2098" s="46"/>
      <c r="J2098" s="46"/>
      <c r="K2098" s="46"/>
      <c r="L2098" s="46"/>
      <c r="M2098" s="46"/>
      <c r="N2098" s="46"/>
      <c r="O2098" s="46"/>
      <c r="P2098" s="46"/>
      <c r="Q2098" s="46"/>
      <c r="R2098" s="46"/>
      <c r="S2098" s="46"/>
      <c r="T2098" s="46"/>
      <c r="U2098" s="46"/>
      <c r="V2098" s="46"/>
      <c r="W2098" s="46"/>
      <c r="X2098" s="46"/>
    </row>
    <row r="2099" spans="1:24" ht="12.75" x14ac:dyDescent="0.2">
      <c r="A2099" s="45"/>
      <c r="B2099" s="46"/>
      <c r="C2099" s="46"/>
      <c r="D2099" s="46"/>
      <c r="E2099" s="46"/>
      <c r="F2099" s="46"/>
      <c r="G2099" s="46"/>
      <c r="H2099" s="46"/>
      <c r="I2099" s="46"/>
      <c r="J2099" s="46"/>
      <c r="K2099" s="46"/>
      <c r="L2099" s="46"/>
      <c r="M2099" s="46"/>
      <c r="N2099" s="46"/>
      <c r="O2099" s="46"/>
      <c r="P2099" s="46"/>
      <c r="Q2099" s="46"/>
      <c r="R2099" s="46"/>
      <c r="S2099" s="46"/>
      <c r="T2099" s="46"/>
      <c r="U2099" s="46"/>
      <c r="V2099" s="46"/>
      <c r="W2099" s="46"/>
      <c r="X2099" s="46"/>
    </row>
    <row r="2100" spans="1:24" ht="12.75" x14ac:dyDescent="0.2">
      <c r="A2100" s="45"/>
      <c r="B2100" s="46"/>
      <c r="C2100" s="46"/>
      <c r="D2100" s="46"/>
      <c r="E2100" s="46"/>
      <c r="F2100" s="46"/>
      <c r="G2100" s="46"/>
      <c r="H2100" s="46"/>
      <c r="I2100" s="46"/>
      <c r="J2100" s="46"/>
      <c r="K2100" s="46"/>
      <c r="L2100" s="46"/>
      <c r="M2100" s="46"/>
      <c r="N2100" s="46"/>
      <c r="O2100" s="46"/>
      <c r="P2100" s="46"/>
      <c r="Q2100" s="46"/>
      <c r="R2100" s="46"/>
      <c r="S2100" s="46"/>
      <c r="T2100" s="46"/>
      <c r="U2100" s="46"/>
      <c r="V2100" s="46"/>
      <c r="W2100" s="46"/>
      <c r="X2100" s="46"/>
    </row>
    <row r="2101" spans="1:24" ht="12.75" x14ac:dyDescent="0.2">
      <c r="A2101" s="45"/>
      <c r="B2101" s="46"/>
      <c r="C2101" s="46"/>
      <c r="D2101" s="46"/>
      <c r="E2101" s="46"/>
      <c r="F2101" s="46"/>
      <c r="G2101" s="46"/>
      <c r="H2101" s="46"/>
      <c r="I2101" s="46"/>
      <c r="J2101" s="46"/>
      <c r="K2101" s="46"/>
      <c r="L2101" s="46"/>
      <c r="M2101" s="46"/>
      <c r="N2101" s="46"/>
      <c r="O2101" s="46"/>
      <c r="P2101" s="46"/>
      <c r="Q2101" s="46"/>
      <c r="R2101" s="46"/>
      <c r="S2101" s="46"/>
      <c r="T2101" s="46"/>
      <c r="U2101" s="46"/>
      <c r="V2101" s="46"/>
      <c r="W2101" s="46"/>
      <c r="X2101" s="46"/>
    </row>
    <row r="2102" spans="1:24" ht="12.75" x14ac:dyDescent="0.2">
      <c r="A2102" s="45"/>
      <c r="B2102" s="46"/>
      <c r="C2102" s="46"/>
      <c r="D2102" s="46"/>
      <c r="E2102" s="46"/>
      <c r="F2102" s="46"/>
      <c r="G2102" s="46"/>
      <c r="H2102" s="46"/>
      <c r="I2102" s="46"/>
      <c r="J2102" s="46"/>
      <c r="K2102" s="46"/>
      <c r="L2102" s="46"/>
      <c r="M2102" s="46"/>
      <c r="N2102" s="46"/>
      <c r="O2102" s="46"/>
      <c r="P2102" s="46"/>
      <c r="Q2102" s="46"/>
      <c r="R2102" s="46"/>
      <c r="S2102" s="46"/>
      <c r="T2102" s="46"/>
      <c r="U2102" s="46"/>
      <c r="V2102" s="46"/>
      <c r="W2102" s="46"/>
      <c r="X2102" s="46"/>
    </row>
    <row r="2103" spans="1:24" ht="12.75" x14ac:dyDescent="0.2">
      <c r="A2103" s="45"/>
      <c r="B2103" s="46"/>
      <c r="C2103" s="46"/>
      <c r="D2103" s="46"/>
      <c r="E2103" s="46"/>
      <c r="F2103" s="46"/>
      <c r="G2103" s="46"/>
      <c r="H2103" s="46"/>
      <c r="I2103" s="46"/>
      <c r="J2103" s="46"/>
      <c r="K2103" s="46"/>
      <c r="L2103" s="46"/>
      <c r="M2103" s="46"/>
      <c r="N2103" s="46"/>
      <c r="O2103" s="46"/>
      <c r="P2103" s="46"/>
      <c r="Q2103" s="46"/>
      <c r="R2103" s="46"/>
      <c r="S2103" s="46"/>
      <c r="T2103" s="46"/>
      <c r="U2103" s="46"/>
      <c r="V2103" s="46"/>
      <c r="W2103" s="46"/>
      <c r="X2103" s="46"/>
    </row>
    <row r="2104" spans="1:24" ht="12.75" x14ac:dyDescent="0.2">
      <c r="A2104" s="45"/>
      <c r="B2104" s="46"/>
      <c r="C2104" s="46"/>
      <c r="D2104" s="46"/>
      <c r="E2104" s="46"/>
      <c r="F2104" s="46"/>
      <c r="G2104" s="46"/>
      <c r="H2104" s="46"/>
      <c r="I2104" s="46"/>
      <c r="J2104" s="46"/>
      <c r="K2104" s="46"/>
      <c r="L2104" s="46"/>
      <c r="M2104" s="46"/>
      <c r="N2104" s="46"/>
      <c r="O2104" s="46"/>
      <c r="P2104" s="46"/>
      <c r="Q2104" s="46"/>
      <c r="R2104" s="46"/>
      <c r="S2104" s="46"/>
      <c r="T2104" s="46"/>
      <c r="U2104" s="46"/>
      <c r="V2104" s="46"/>
      <c r="W2104" s="46"/>
      <c r="X2104" s="46"/>
    </row>
    <row r="2105" spans="1:24" ht="12.75" x14ac:dyDescent="0.2">
      <c r="A2105" s="45"/>
      <c r="B2105" s="46"/>
      <c r="C2105" s="46"/>
      <c r="D2105" s="46"/>
      <c r="E2105" s="46"/>
      <c r="F2105" s="46"/>
      <c r="G2105" s="46"/>
      <c r="H2105" s="46"/>
      <c r="I2105" s="46"/>
      <c r="J2105" s="46"/>
      <c r="K2105" s="46"/>
      <c r="L2105" s="46"/>
      <c r="M2105" s="46"/>
      <c r="N2105" s="46"/>
      <c r="O2105" s="46"/>
      <c r="P2105" s="46"/>
      <c r="Q2105" s="46"/>
      <c r="R2105" s="46"/>
      <c r="S2105" s="46"/>
      <c r="T2105" s="46"/>
      <c r="U2105" s="46"/>
      <c r="V2105" s="46"/>
      <c r="W2105" s="46"/>
      <c r="X2105" s="46"/>
    </row>
    <row r="2106" spans="1:24" ht="12.75" x14ac:dyDescent="0.2">
      <c r="A2106" s="45"/>
      <c r="B2106" s="46"/>
      <c r="C2106" s="46"/>
      <c r="D2106" s="46"/>
      <c r="E2106" s="46"/>
      <c r="F2106" s="46"/>
      <c r="G2106" s="46"/>
      <c r="H2106" s="46"/>
      <c r="I2106" s="46"/>
      <c r="J2106" s="46"/>
      <c r="K2106" s="46"/>
      <c r="L2106" s="46"/>
      <c r="M2106" s="46"/>
      <c r="N2106" s="46"/>
      <c r="O2106" s="46"/>
      <c r="P2106" s="46"/>
      <c r="Q2106" s="46"/>
      <c r="R2106" s="46"/>
      <c r="S2106" s="46"/>
      <c r="T2106" s="46"/>
      <c r="U2106" s="46"/>
      <c r="V2106" s="46"/>
      <c r="W2106" s="46"/>
      <c r="X2106" s="46"/>
    </row>
    <row r="2107" spans="1:24" ht="12.75" x14ac:dyDescent="0.2">
      <c r="A2107" s="45"/>
      <c r="B2107" s="46"/>
      <c r="C2107" s="46"/>
      <c r="D2107" s="46"/>
      <c r="E2107" s="46"/>
      <c r="F2107" s="46"/>
      <c r="G2107" s="46"/>
      <c r="H2107" s="46"/>
      <c r="I2107" s="46"/>
      <c r="J2107" s="46"/>
      <c r="K2107" s="46"/>
      <c r="L2107" s="46"/>
      <c r="M2107" s="46"/>
      <c r="N2107" s="46"/>
      <c r="O2107" s="46"/>
      <c r="P2107" s="46"/>
      <c r="Q2107" s="46"/>
      <c r="R2107" s="46"/>
      <c r="S2107" s="46"/>
      <c r="T2107" s="46"/>
      <c r="U2107" s="46"/>
      <c r="V2107" s="46"/>
      <c r="W2107" s="46"/>
      <c r="X2107" s="46"/>
    </row>
    <row r="2108" spans="1:24" ht="12.75" x14ac:dyDescent="0.2">
      <c r="A2108" s="45"/>
      <c r="B2108" s="46"/>
      <c r="C2108" s="46"/>
      <c r="D2108" s="46"/>
      <c r="E2108" s="46"/>
      <c r="F2108" s="46"/>
      <c r="G2108" s="46"/>
      <c r="H2108" s="46"/>
      <c r="I2108" s="46"/>
      <c r="J2108" s="46"/>
      <c r="K2108" s="46"/>
      <c r="L2108" s="46"/>
      <c r="M2108" s="46"/>
      <c r="N2108" s="46"/>
      <c r="O2108" s="46"/>
      <c r="P2108" s="46"/>
      <c r="Q2108" s="46"/>
      <c r="R2108" s="46"/>
      <c r="S2108" s="46"/>
      <c r="T2108" s="46"/>
      <c r="U2108" s="46"/>
      <c r="V2108" s="46"/>
      <c r="W2108" s="46"/>
      <c r="X2108" s="46"/>
    </row>
    <row r="2109" spans="1:24" ht="12.75" x14ac:dyDescent="0.2">
      <c r="A2109" s="45"/>
      <c r="B2109" s="46"/>
      <c r="C2109" s="46"/>
      <c r="D2109" s="46"/>
      <c r="E2109" s="46"/>
      <c r="F2109" s="46"/>
      <c r="G2109" s="46"/>
      <c r="H2109" s="46"/>
      <c r="I2109" s="46"/>
      <c r="J2109" s="46"/>
      <c r="K2109" s="46"/>
      <c r="L2109" s="46"/>
      <c r="M2109" s="46"/>
      <c r="N2109" s="46"/>
      <c r="O2109" s="46"/>
      <c r="P2109" s="46"/>
      <c r="Q2109" s="46"/>
      <c r="R2109" s="46"/>
      <c r="S2109" s="46"/>
      <c r="T2109" s="46"/>
      <c r="U2109" s="46"/>
      <c r="V2109" s="46"/>
      <c r="W2109" s="46"/>
      <c r="X2109" s="46"/>
    </row>
    <row r="2110" spans="1:24" ht="12.75" x14ac:dyDescent="0.2">
      <c r="A2110" s="45"/>
      <c r="B2110" s="46"/>
      <c r="C2110" s="46"/>
      <c r="D2110" s="46"/>
      <c r="E2110" s="46"/>
      <c r="F2110" s="46"/>
      <c r="G2110" s="46"/>
      <c r="H2110" s="46"/>
      <c r="I2110" s="46"/>
      <c r="J2110" s="46"/>
      <c r="K2110" s="46"/>
      <c r="L2110" s="46"/>
      <c r="M2110" s="46"/>
      <c r="N2110" s="46"/>
      <c r="O2110" s="46"/>
      <c r="P2110" s="46"/>
      <c r="Q2110" s="46"/>
      <c r="R2110" s="46"/>
      <c r="S2110" s="46"/>
      <c r="T2110" s="46"/>
      <c r="U2110" s="46"/>
      <c r="V2110" s="46"/>
      <c r="W2110" s="46"/>
      <c r="X2110" s="46"/>
    </row>
    <row r="2111" spans="1:24" ht="12.75" x14ac:dyDescent="0.2">
      <c r="A2111" s="45"/>
      <c r="B2111" s="46"/>
      <c r="C2111" s="46"/>
      <c r="D2111" s="46"/>
      <c r="E2111" s="46"/>
      <c r="F2111" s="46"/>
      <c r="G2111" s="46"/>
      <c r="H2111" s="46"/>
      <c r="I2111" s="46"/>
      <c r="J2111" s="46"/>
      <c r="K2111" s="46"/>
      <c r="L2111" s="46"/>
      <c r="M2111" s="46"/>
      <c r="N2111" s="46"/>
      <c r="O2111" s="46"/>
      <c r="P2111" s="46"/>
      <c r="Q2111" s="46"/>
      <c r="R2111" s="46"/>
      <c r="S2111" s="46"/>
      <c r="T2111" s="46"/>
      <c r="U2111" s="46"/>
      <c r="V2111" s="46"/>
      <c r="W2111" s="46"/>
      <c r="X2111" s="46"/>
    </row>
    <row r="2112" spans="1:24" ht="12.75" x14ac:dyDescent="0.2">
      <c r="A2112" s="45"/>
      <c r="B2112" s="46"/>
      <c r="C2112" s="46"/>
      <c r="D2112" s="46"/>
      <c r="E2112" s="46"/>
      <c r="F2112" s="46"/>
      <c r="G2112" s="46"/>
      <c r="H2112" s="46"/>
      <c r="I2112" s="46"/>
      <c r="J2112" s="46"/>
      <c r="K2112" s="46"/>
      <c r="L2112" s="46"/>
      <c r="M2112" s="46"/>
      <c r="N2112" s="46"/>
      <c r="O2112" s="46"/>
      <c r="P2112" s="46"/>
      <c r="Q2112" s="46"/>
      <c r="R2112" s="46"/>
      <c r="S2112" s="46"/>
      <c r="T2112" s="46"/>
      <c r="U2112" s="46"/>
      <c r="V2112" s="46"/>
      <c r="W2112" s="46"/>
      <c r="X2112" s="46"/>
    </row>
    <row r="2113" spans="1:24" ht="12.75" x14ac:dyDescent="0.2">
      <c r="A2113" s="45"/>
      <c r="B2113" s="46"/>
      <c r="C2113" s="46"/>
      <c r="D2113" s="46"/>
      <c r="E2113" s="46"/>
      <c r="F2113" s="46"/>
      <c r="G2113" s="46"/>
      <c r="H2113" s="46"/>
      <c r="I2113" s="46"/>
      <c r="J2113" s="46"/>
      <c r="K2113" s="46"/>
      <c r="L2113" s="46"/>
      <c r="M2113" s="46"/>
      <c r="N2113" s="46"/>
      <c r="O2113" s="46"/>
      <c r="P2113" s="46"/>
      <c r="Q2113" s="46"/>
      <c r="R2113" s="46"/>
      <c r="S2113" s="46"/>
      <c r="T2113" s="46"/>
      <c r="U2113" s="46"/>
      <c r="V2113" s="46"/>
      <c r="W2113" s="46"/>
      <c r="X2113" s="46"/>
    </row>
    <row r="2114" spans="1:24" ht="12.75" x14ac:dyDescent="0.2">
      <c r="A2114" s="45"/>
      <c r="B2114" s="46"/>
      <c r="C2114" s="46"/>
      <c r="D2114" s="46"/>
      <c r="E2114" s="46"/>
      <c r="F2114" s="46"/>
      <c r="G2114" s="46"/>
      <c r="H2114" s="46"/>
      <c r="I2114" s="46"/>
      <c r="J2114" s="46"/>
      <c r="K2114" s="46"/>
      <c r="L2114" s="46"/>
      <c r="M2114" s="46"/>
      <c r="N2114" s="46"/>
      <c r="O2114" s="46"/>
      <c r="P2114" s="46"/>
      <c r="Q2114" s="46"/>
      <c r="R2114" s="46"/>
      <c r="S2114" s="46"/>
      <c r="T2114" s="46"/>
      <c r="U2114" s="46"/>
      <c r="V2114" s="46"/>
      <c r="W2114" s="46"/>
      <c r="X2114" s="46"/>
    </row>
    <row r="2115" spans="1:24" ht="12.75" x14ac:dyDescent="0.2">
      <c r="A2115" s="45"/>
      <c r="B2115" s="46"/>
      <c r="C2115" s="46"/>
      <c r="D2115" s="46"/>
      <c r="E2115" s="46"/>
      <c r="F2115" s="46"/>
      <c r="G2115" s="46"/>
      <c r="H2115" s="46"/>
      <c r="I2115" s="46"/>
      <c r="J2115" s="46"/>
      <c r="K2115" s="46"/>
      <c r="L2115" s="46"/>
      <c r="M2115" s="46"/>
      <c r="N2115" s="46"/>
      <c r="O2115" s="46"/>
      <c r="P2115" s="46"/>
      <c r="Q2115" s="46"/>
      <c r="R2115" s="46"/>
      <c r="S2115" s="46"/>
      <c r="T2115" s="46"/>
      <c r="U2115" s="46"/>
      <c r="V2115" s="46"/>
      <c r="W2115" s="46"/>
      <c r="X2115" s="46"/>
    </row>
    <row r="2116" spans="1:24" ht="12.75" x14ac:dyDescent="0.2">
      <c r="A2116" s="45"/>
      <c r="B2116" s="46"/>
      <c r="C2116" s="46"/>
      <c r="D2116" s="46"/>
      <c r="E2116" s="46"/>
      <c r="F2116" s="46"/>
      <c r="G2116" s="46"/>
      <c r="H2116" s="46"/>
      <c r="I2116" s="46"/>
      <c r="J2116" s="46"/>
      <c r="K2116" s="46"/>
      <c r="L2116" s="46"/>
      <c r="M2116" s="46"/>
      <c r="N2116" s="46"/>
      <c r="O2116" s="46"/>
      <c r="P2116" s="46"/>
      <c r="Q2116" s="46"/>
      <c r="R2116" s="46"/>
      <c r="S2116" s="46"/>
      <c r="T2116" s="46"/>
      <c r="U2116" s="46"/>
      <c r="V2116" s="46"/>
      <c r="W2116" s="46"/>
      <c r="X2116" s="46"/>
    </row>
    <row r="2117" spans="1:24" ht="12.75" x14ac:dyDescent="0.2">
      <c r="A2117" s="45"/>
      <c r="B2117" s="46"/>
      <c r="C2117" s="46"/>
      <c r="D2117" s="46"/>
      <c r="E2117" s="46"/>
      <c r="F2117" s="46"/>
      <c r="G2117" s="46"/>
      <c r="H2117" s="46"/>
      <c r="I2117" s="46"/>
      <c r="J2117" s="46"/>
      <c r="K2117" s="46"/>
      <c r="L2117" s="46"/>
      <c r="M2117" s="46"/>
      <c r="N2117" s="46"/>
      <c r="O2117" s="46"/>
      <c r="P2117" s="46"/>
      <c r="Q2117" s="46"/>
      <c r="R2117" s="46"/>
      <c r="S2117" s="46"/>
      <c r="T2117" s="46"/>
      <c r="U2117" s="46"/>
      <c r="V2117" s="46"/>
      <c r="W2117" s="46"/>
      <c r="X2117" s="46"/>
    </row>
    <row r="2118" spans="1:24" ht="12.75" x14ac:dyDescent="0.2">
      <c r="A2118" s="45"/>
      <c r="B2118" s="46"/>
      <c r="C2118" s="46"/>
      <c r="D2118" s="46"/>
      <c r="E2118" s="46"/>
      <c r="F2118" s="46"/>
      <c r="G2118" s="46"/>
      <c r="H2118" s="46"/>
      <c r="I2118" s="46"/>
      <c r="J2118" s="46"/>
      <c r="K2118" s="46"/>
      <c r="L2118" s="46"/>
      <c r="M2118" s="46"/>
      <c r="N2118" s="46"/>
      <c r="O2118" s="46"/>
      <c r="P2118" s="46"/>
      <c r="Q2118" s="46"/>
      <c r="R2118" s="46"/>
      <c r="S2118" s="46"/>
      <c r="T2118" s="46"/>
      <c r="U2118" s="46"/>
      <c r="V2118" s="46"/>
      <c r="W2118" s="46"/>
      <c r="X2118" s="46"/>
    </row>
    <row r="2119" spans="1:24" ht="12.75" x14ac:dyDescent="0.2">
      <c r="A2119" s="45"/>
      <c r="B2119" s="46"/>
      <c r="C2119" s="46"/>
      <c r="D2119" s="46"/>
      <c r="E2119" s="46"/>
      <c r="F2119" s="46"/>
      <c r="G2119" s="46"/>
      <c r="H2119" s="46"/>
      <c r="I2119" s="46"/>
      <c r="J2119" s="46"/>
      <c r="K2119" s="46"/>
      <c r="L2119" s="46"/>
      <c r="M2119" s="46"/>
      <c r="N2119" s="46"/>
      <c r="O2119" s="46"/>
      <c r="P2119" s="46"/>
      <c r="Q2119" s="46"/>
      <c r="R2119" s="46"/>
      <c r="S2119" s="46"/>
      <c r="T2119" s="46"/>
      <c r="U2119" s="46"/>
      <c r="V2119" s="46"/>
      <c r="W2119" s="46"/>
      <c r="X2119" s="46"/>
    </row>
    <row r="2120" spans="1:24" ht="12.75" x14ac:dyDescent="0.2">
      <c r="A2120" s="45"/>
      <c r="B2120" s="46"/>
      <c r="C2120" s="46"/>
      <c r="D2120" s="46"/>
      <c r="E2120" s="46"/>
      <c r="F2120" s="46"/>
      <c r="G2120" s="46"/>
      <c r="H2120" s="46"/>
      <c r="I2120" s="46"/>
      <c r="J2120" s="46"/>
      <c r="K2120" s="46"/>
      <c r="L2120" s="46"/>
      <c r="M2120" s="46"/>
      <c r="N2120" s="46"/>
      <c r="O2120" s="46"/>
      <c r="P2120" s="46"/>
      <c r="Q2120" s="46"/>
      <c r="R2120" s="46"/>
      <c r="S2120" s="46"/>
      <c r="T2120" s="46"/>
      <c r="U2120" s="46"/>
      <c r="V2120" s="46"/>
      <c r="W2120" s="46"/>
      <c r="X2120" s="46"/>
    </row>
    <row r="2121" spans="1:24" ht="12.75" x14ac:dyDescent="0.2">
      <c r="A2121" s="45"/>
      <c r="B2121" s="46"/>
      <c r="C2121" s="46"/>
      <c r="D2121" s="46"/>
      <c r="E2121" s="46"/>
      <c r="F2121" s="46"/>
      <c r="G2121" s="46"/>
      <c r="H2121" s="46"/>
      <c r="I2121" s="46"/>
      <c r="J2121" s="46"/>
      <c r="K2121" s="46"/>
      <c r="L2121" s="46"/>
      <c r="M2121" s="46"/>
      <c r="N2121" s="46"/>
      <c r="O2121" s="46"/>
      <c r="P2121" s="46"/>
      <c r="Q2121" s="46"/>
      <c r="R2121" s="46"/>
      <c r="S2121" s="46"/>
      <c r="T2121" s="46"/>
      <c r="U2121" s="46"/>
      <c r="V2121" s="46"/>
      <c r="W2121" s="46"/>
      <c r="X2121" s="46"/>
    </row>
    <row r="2122" spans="1:24" ht="12.75" x14ac:dyDescent="0.2">
      <c r="A2122" s="45"/>
      <c r="B2122" s="46"/>
      <c r="C2122" s="46"/>
      <c r="D2122" s="46"/>
      <c r="E2122" s="46"/>
      <c r="F2122" s="46"/>
      <c r="G2122" s="46"/>
      <c r="H2122" s="46"/>
      <c r="I2122" s="46"/>
      <c r="J2122" s="46"/>
      <c r="K2122" s="46"/>
      <c r="L2122" s="46"/>
      <c r="M2122" s="46"/>
      <c r="N2122" s="46"/>
      <c r="O2122" s="46"/>
      <c r="P2122" s="46"/>
      <c r="Q2122" s="46"/>
      <c r="R2122" s="46"/>
      <c r="S2122" s="46"/>
      <c r="T2122" s="46"/>
      <c r="U2122" s="46"/>
      <c r="V2122" s="46"/>
      <c r="W2122" s="46"/>
      <c r="X2122" s="46"/>
    </row>
    <row r="2123" spans="1:24" ht="12.75" x14ac:dyDescent="0.2">
      <c r="A2123" s="45"/>
      <c r="B2123" s="46"/>
      <c r="C2123" s="46"/>
      <c r="D2123" s="46"/>
      <c r="E2123" s="46"/>
      <c r="F2123" s="46"/>
      <c r="G2123" s="46"/>
      <c r="H2123" s="46"/>
      <c r="I2123" s="46"/>
      <c r="J2123" s="46"/>
      <c r="K2123" s="46"/>
      <c r="L2123" s="46"/>
      <c r="M2123" s="46"/>
      <c r="N2123" s="46"/>
      <c r="O2123" s="46"/>
      <c r="P2123" s="46"/>
      <c r="Q2123" s="46"/>
      <c r="R2123" s="46"/>
      <c r="S2123" s="46"/>
      <c r="T2123" s="46"/>
      <c r="U2123" s="46"/>
      <c r="V2123" s="46"/>
      <c r="W2123" s="46"/>
      <c r="X2123" s="46"/>
    </row>
    <row r="2124" spans="1:24" ht="12.75" x14ac:dyDescent="0.2">
      <c r="A2124" s="45"/>
      <c r="B2124" s="46"/>
      <c r="C2124" s="46"/>
      <c r="D2124" s="46"/>
      <c r="E2124" s="46"/>
      <c r="F2124" s="46"/>
      <c r="G2124" s="46"/>
      <c r="H2124" s="46"/>
      <c r="I2124" s="46"/>
      <c r="J2124" s="46"/>
      <c r="K2124" s="46"/>
      <c r="L2124" s="46"/>
      <c r="M2124" s="46"/>
      <c r="N2124" s="46"/>
      <c r="O2124" s="46"/>
      <c r="P2124" s="46"/>
      <c r="Q2124" s="46"/>
      <c r="R2124" s="46"/>
      <c r="S2124" s="46"/>
      <c r="T2124" s="46"/>
      <c r="U2124" s="46"/>
      <c r="V2124" s="46"/>
      <c r="W2124" s="46"/>
      <c r="X2124" s="46"/>
    </row>
    <row r="2125" spans="1:24" ht="12.75" x14ac:dyDescent="0.2">
      <c r="A2125" s="45"/>
      <c r="B2125" s="46"/>
      <c r="C2125" s="46"/>
      <c r="D2125" s="46"/>
      <c r="E2125" s="46"/>
      <c r="F2125" s="46"/>
      <c r="G2125" s="46"/>
      <c r="H2125" s="46"/>
      <c r="I2125" s="46"/>
      <c r="J2125" s="46"/>
      <c r="K2125" s="46"/>
      <c r="L2125" s="46"/>
      <c r="M2125" s="46"/>
      <c r="N2125" s="46"/>
      <c r="O2125" s="46"/>
      <c r="P2125" s="46"/>
      <c r="Q2125" s="46"/>
      <c r="R2125" s="46"/>
      <c r="S2125" s="46"/>
      <c r="T2125" s="46"/>
      <c r="U2125" s="46"/>
      <c r="V2125" s="46"/>
      <c r="W2125" s="46"/>
      <c r="X2125" s="46"/>
    </row>
    <row r="2126" spans="1:24" ht="12.75" x14ac:dyDescent="0.2">
      <c r="A2126" s="45"/>
      <c r="B2126" s="46"/>
      <c r="C2126" s="46"/>
      <c r="D2126" s="46"/>
      <c r="E2126" s="46"/>
      <c r="F2126" s="46"/>
      <c r="G2126" s="46"/>
      <c r="H2126" s="46"/>
      <c r="I2126" s="46"/>
      <c r="J2126" s="46"/>
      <c r="K2126" s="46"/>
      <c r="L2126" s="46"/>
      <c r="M2126" s="46"/>
      <c r="N2126" s="46"/>
      <c r="O2126" s="46"/>
      <c r="P2126" s="46"/>
      <c r="Q2126" s="46"/>
      <c r="R2126" s="46"/>
      <c r="S2126" s="46"/>
      <c r="T2126" s="46"/>
      <c r="U2126" s="46"/>
      <c r="V2126" s="46"/>
      <c r="W2126" s="46"/>
      <c r="X2126" s="46"/>
    </row>
    <row r="2127" spans="1:24" ht="12.75" x14ac:dyDescent="0.2">
      <c r="A2127" s="45"/>
      <c r="B2127" s="46"/>
      <c r="C2127" s="46"/>
      <c r="D2127" s="46"/>
      <c r="E2127" s="46"/>
      <c r="F2127" s="46"/>
      <c r="G2127" s="46"/>
      <c r="H2127" s="46"/>
      <c r="I2127" s="46"/>
      <c r="J2127" s="46"/>
      <c r="K2127" s="46"/>
      <c r="L2127" s="46"/>
      <c r="M2127" s="46"/>
      <c r="N2127" s="46"/>
      <c r="O2127" s="46"/>
      <c r="P2127" s="46"/>
      <c r="Q2127" s="46"/>
      <c r="R2127" s="46"/>
      <c r="S2127" s="46"/>
      <c r="T2127" s="46"/>
      <c r="U2127" s="46"/>
      <c r="V2127" s="46"/>
      <c r="W2127" s="46"/>
      <c r="X2127" s="46"/>
    </row>
    <row r="2128" spans="1:24" ht="12.75" x14ac:dyDescent="0.2">
      <c r="A2128" s="45"/>
      <c r="B2128" s="46"/>
      <c r="C2128" s="46"/>
      <c r="D2128" s="46"/>
      <c r="E2128" s="46"/>
      <c r="F2128" s="46"/>
      <c r="G2128" s="46"/>
      <c r="H2128" s="46"/>
      <c r="I2128" s="46"/>
      <c r="J2128" s="46"/>
      <c r="K2128" s="46"/>
      <c r="L2128" s="46"/>
      <c r="M2128" s="46"/>
      <c r="N2128" s="46"/>
      <c r="O2128" s="46"/>
      <c r="P2128" s="46"/>
      <c r="Q2128" s="46"/>
      <c r="R2128" s="46"/>
      <c r="S2128" s="46"/>
      <c r="T2128" s="46"/>
      <c r="U2128" s="46"/>
      <c r="V2128" s="46"/>
      <c r="W2128" s="46"/>
      <c r="X2128" s="46"/>
    </row>
    <row r="2129" spans="1:24" ht="12.75" x14ac:dyDescent="0.2">
      <c r="A2129" s="45"/>
      <c r="B2129" s="46"/>
      <c r="C2129" s="46"/>
      <c r="D2129" s="46"/>
      <c r="E2129" s="46"/>
      <c r="F2129" s="46"/>
      <c r="G2129" s="46"/>
      <c r="H2129" s="46"/>
      <c r="I2129" s="46"/>
      <c r="J2129" s="46"/>
      <c r="K2129" s="46"/>
      <c r="L2129" s="46"/>
      <c r="M2129" s="46"/>
      <c r="N2129" s="46"/>
      <c r="O2129" s="46"/>
      <c r="P2129" s="46"/>
      <c r="Q2129" s="46"/>
      <c r="R2129" s="46"/>
      <c r="S2129" s="46"/>
      <c r="T2129" s="46"/>
      <c r="U2129" s="46"/>
      <c r="V2129" s="46"/>
      <c r="W2129" s="46"/>
      <c r="X2129" s="46"/>
    </row>
    <row r="2130" spans="1:24" ht="12.75" x14ac:dyDescent="0.2">
      <c r="A2130" s="45"/>
      <c r="B2130" s="46"/>
      <c r="C2130" s="46"/>
      <c r="D2130" s="46"/>
      <c r="E2130" s="46"/>
      <c r="F2130" s="46"/>
      <c r="G2130" s="46"/>
      <c r="H2130" s="46"/>
      <c r="I2130" s="46"/>
      <c r="J2130" s="46"/>
      <c r="K2130" s="46"/>
      <c r="L2130" s="46"/>
      <c r="M2130" s="46"/>
      <c r="N2130" s="46"/>
      <c r="O2130" s="46"/>
      <c r="P2130" s="46"/>
      <c r="Q2130" s="46"/>
      <c r="R2130" s="46"/>
      <c r="S2130" s="46"/>
      <c r="T2130" s="46"/>
      <c r="U2130" s="46"/>
      <c r="V2130" s="46"/>
      <c r="W2130" s="46"/>
      <c r="X2130" s="46"/>
    </row>
    <row r="2131" spans="1:24" ht="12.75" x14ac:dyDescent="0.2">
      <c r="A2131" s="45"/>
      <c r="B2131" s="46"/>
      <c r="C2131" s="46"/>
      <c r="D2131" s="46"/>
      <c r="E2131" s="46"/>
      <c r="F2131" s="46"/>
      <c r="G2131" s="46"/>
      <c r="H2131" s="46"/>
      <c r="I2131" s="46"/>
      <c r="J2131" s="46"/>
      <c r="K2131" s="46"/>
      <c r="L2131" s="46"/>
      <c r="M2131" s="46"/>
      <c r="N2131" s="46"/>
      <c r="O2131" s="46"/>
      <c r="P2131" s="46"/>
      <c r="Q2131" s="46"/>
      <c r="R2131" s="46"/>
      <c r="S2131" s="46"/>
      <c r="T2131" s="46"/>
      <c r="U2131" s="46"/>
      <c r="V2131" s="46"/>
      <c r="W2131" s="46"/>
      <c r="X2131" s="46"/>
    </row>
    <row r="2132" spans="1:24" ht="12.75" x14ac:dyDescent="0.2">
      <c r="A2132" s="45"/>
      <c r="B2132" s="46"/>
      <c r="C2132" s="46"/>
      <c r="D2132" s="46"/>
      <c r="E2132" s="46"/>
      <c r="F2132" s="46"/>
      <c r="G2132" s="46"/>
      <c r="H2132" s="46"/>
      <c r="I2132" s="46"/>
      <c r="J2132" s="46"/>
      <c r="K2132" s="46"/>
      <c r="L2132" s="46"/>
      <c r="M2132" s="46"/>
      <c r="N2132" s="46"/>
      <c r="O2132" s="46"/>
      <c r="P2132" s="46"/>
      <c r="Q2132" s="46"/>
      <c r="R2132" s="46"/>
      <c r="S2132" s="46"/>
      <c r="T2132" s="46"/>
      <c r="U2132" s="46"/>
      <c r="V2132" s="46"/>
      <c r="W2132" s="46"/>
      <c r="X2132" s="46"/>
    </row>
    <row r="2133" spans="1:24" ht="12.75" x14ac:dyDescent="0.2">
      <c r="A2133" s="45"/>
      <c r="B2133" s="46"/>
      <c r="C2133" s="46"/>
      <c r="D2133" s="46"/>
      <c r="E2133" s="46"/>
      <c r="F2133" s="46"/>
      <c r="G2133" s="46"/>
      <c r="H2133" s="46"/>
      <c r="I2133" s="46"/>
      <c r="J2133" s="46"/>
      <c r="K2133" s="46"/>
      <c r="L2133" s="46"/>
      <c r="M2133" s="46"/>
      <c r="N2133" s="46"/>
      <c r="O2133" s="46"/>
      <c r="P2133" s="46"/>
      <c r="Q2133" s="46"/>
      <c r="R2133" s="46"/>
      <c r="S2133" s="46"/>
      <c r="T2133" s="46"/>
      <c r="U2133" s="46"/>
      <c r="V2133" s="46"/>
      <c r="W2133" s="46"/>
      <c r="X2133" s="46"/>
    </row>
    <row r="2134" spans="1:24" ht="12.75" x14ac:dyDescent="0.2">
      <c r="A2134" s="45"/>
      <c r="B2134" s="46"/>
      <c r="C2134" s="46"/>
      <c r="D2134" s="46"/>
      <c r="E2134" s="46"/>
      <c r="F2134" s="46"/>
      <c r="G2134" s="46"/>
      <c r="H2134" s="46"/>
      <c r="I2134" s="46"/>
      <c r="J2134" s="46"/>
      <c r="K2134" s="46"/>
      <c r="L2134" s="46"/>
      <c r="M2134" s="46"/>
      <c r="N2134" s="46"/>
      <c r="O2134" s="46"/>
      <c r="P2134" s="46"/>
      <c r="Q2134" s="46"/>
      <c r="R2134" s="46"/>
      <c r="S2134" s="46"/>
      <c r="T2134" s="46"/>
      <c r="U2134" s="46"/>
      <c r="V2134" s="46"/>
      <c r="W2134" s="46"/>
      <c r="X2134" s="46"/>
    </row>
    <row r="2135" spans="1:24" ht="12.75" x14ac:dyDescent="0.2">
      <c r="A2135" s="45"/>
      <c r="B2135" s="46"/>
      <c r="C2135" s="46"/>
      <c r="D2135" s="46"/>
      <c r="E2135" s="46"/>
      <c r="F2135" s="46"/>
      <c r="G2135" s="46"/>
      <c r="H2135" s="46"/>
      <c r="I2135" s="46"/>
      <c r="J2135" s="46"/>
      <c r="K2135" s="46"/>
      <c r="L2135" s="46"/>
      <c r="M2135" s="46"/>
      <c r="N2135" s="46"/>
      <c r="O2135" s="46"/>
      <c r="P2135" s="46"/>
      <c r="Q2135" s="46"/>
      <c r="R2135" s="46"/>
      <c r="S2135" s="46"/>
      <c r="T2135" s="46"/>
      <c r="U2135" s="46"/>
      <c r="V2135" s="46"/>
      <c r="W2135" s="46"/>
      <c r="X2135" s="46"/>
    </row>
    <row r="2136" spans="1:24" ht="12.75" x14ac:dyDescent="0.2">
      <c r="A2136" s="45"/>
      <c r="B2136" s="46"/>
      <c r="C2136" s="46"/>
      <c r="D2136" s="46"/>
      <c r="E2136" s="46"/>
      <c r="F2136" s="46"/>
      <c r="G2136" s="46"/>
      <c r="H2136" s="46"/>
      <c r="I2136" s="46"/>
      <c r="J2136" s="46"/>
      <c r="K2136" s="46"/>
      <c r="L2136" s="46"/>
      <c r="M2136" s="46"/>
      <c r="N2136" s="46"/>
      <c r="O2136" s="46"/>
      <c r="P2136" s="46"/>
      <c r="Q2136" s="46"/>
      <c r="R2136" s="46"/>
      <c r="S2136" s="46"/>
      <c r="T2136" s="46"/>
      <c r="U2136" s="46"/>
      <c r="V2136" s="46"/>
      <c r="W2136" s="46"/>
      <c r="X2136" s="46"/>
    </row>
    <row r="2137" spans="1:24" ht="12.75" x14ac:dyDescent="0.2">
      <c r="A2137" s="45"/>
      <c r="B2137" s="46"/>
      <c r="C2137" s="46"/>
      <c r="D2137" s="46"/>
      <c r="E2137" s="46"/>
      <c r="F2137" s="46"/>
      <c r="G2137" s="46"/>
      <c r="H2137" s="46"/>
      <c r="I2137" s="46"/>
      <c r="J2137" s="46"/>
      <c r="K2137" s="46"/>
      <c r="L2137" s="46"/>
      <c r="M2137" s="46"/>
      <c r="N2137" s="46"/>
      <c r="O2137" s="46"/>
      <c r="P2137" s="46"/>
      <c r="Q2137" s="46"/>
      <c r="R2137" s="46"/>
      <c r="S2137" s="46"/>
      <c r="T2137" s="46"/>
      <c r="U2137" s="46"/>
      <c r="V2137" s="46"/>
      <c r="W2137" s="46"/>
      <c r="X2137" s="46"/>
    </row>
    <row r="2138" spans="1:24" ht="12.75" x14ac:dyDescent="0.2">
      <c r="A2138" s="45"/>
      <c r="B2138" s="46"/>
      <c r="C2138" s="46"/>
      <c r="D2138" s="46"/>
      <c r="E2138" s="46"/>
      <c r="F2138" s="46"/>
      <c r="G2138" s="46"/>
      <c r="H2138" s="46"/>
      <c r="I2138" s="46"/>
      <c r="J2138" s="46"/>
      <c r="K2138" s="46"/>
      <c r="L2138" s="46"/>
      <c r="M2138" s="46"/>
      <c r="N2138" s="46"/>
      <c r="O2138" s="46"/>
      <c r="P2138" s="46"/>
      <c r="Q2138" s="46"/>
      <c r="R2138" s="46"/>
      <c r="S2138" s="46"/>
      <c r="T2138" s="46"/>
      <c r="U2138" s="46"/>
      <c r="V2138" s="46"/>
      <c r="W2138" s="46"/>
      <c r="X2138" s="46"/>
    </row>
    <row r="2139" spans="1:24" ht="12.75" x14ac:dyDescent="0.2">
      <c r="A2139" s="45"/>
      <c r="B2139" s="46"/>
      <c r="C2139" s="46"/>
      <c r="D2139" s="46"/>
      <c r="E2139" s="46"/>
      <c r="F2139" s="46"/>
      <c r="G2139" s="46"/>
      <c r="H2139" s="46"/>
      <c r="I2139" s="46"/>
      <c r="J2139" s="46"/>
      <c r="K2139" s="46"/>
      <c r="L2139" s="46"/>
      <c r="M2139" s="46"/>
      <c r="N2139" s="46"/>
      <c r="O2139" s="46"/>
      <c r="P2139" s="46"/>
      <c r="Q2139" s="46"/>
      <c r="R2139" s="46"/>
      <c r="S2139" s="46"/>
      <c r="T2139" s="46"/>
      <c r="U2139" s="46"/>
      <c r="V2139" s="46"/>
      <c r="W2139" s="46"/>
      <c r="X2139" s="46"/>
    </row>
    <row r="2140" spans="1:24" ht="12.75" x14ac:dyDescent="0.2">
      <c r="A2140" s="45"/>
      <c r="B2140" s="46"/>
      <c r="C2140" s="46"/>
      <c r="D2140" s="46"/>
      <c r="E2140" s="46"/>
      <c r="F2140" s="46"/>
      <c r="G2140" s="46"/>
      <c r="H2140" s="46"/>
      <c r="I2140" s="46"/>
      <c r="J2140" s="46"/>
      <c r="K2140" s="46"/>
      <c r="L2140" s="46"/>
      <c r="M2140" s="46"/>
      <c r="N2140" s="46"/>
      <c r="O2140" s="46"/>
      <c r="P2140" s="46"/>
      <c r="Q2140" s="46"/>
      <c r="R2140" s="46"/>
      <c r="S2140" s="46"/>
      <c r="T2140" s="46"/>
      <c r="U2140" s="46"/>
      <c r="V2140" s="46"/>
      <c r="W2140" s="46"/>
      <c r="X2140" s="46"/>
    </row>
    <row r="2141" spans="1:24" ht="12.75" x14ac:dyDescent="0.2">
      <c r="A2141" s="45"/>
      <c r="B2141" s="46"/>
      <c r="C2141" s="46"/>
      <c r="D2141" s="46"/>
      <c r="E2141" s="46"/>
      <c r="F2141" s="46"/>
      <c r="G2141" s="46"/>
      <c r="H2141" s="46"/>
      <c r="I2141" s="46"/>
      <c r="J2141" s="46"/>
      <c r="K2141" s="46"/>
      <c r="L2141" s="46"/>
      <c r="M2141" s="46"/>
      <c r="N2141" s="46"/>
      <c r="O2141" s="46"/>
      <c r="P2141" s="46"/>
      <c r="Q2141" s="46"/>
      <c r="R2141" s="46"/>
      <c r="S2141" s="46"/>
      <c r="T2141" s="46"/>
      <c r="U2141" s="46"/>
      <c r="V2141" s="46"/>
      <c r="W2141" s="46"/>
      <c r="X2141" s="46"/>
    </row>
    <row r="2142" spans="1:24" ht="12.75" x14ac:dyDescent="0.2">
      <c r="A2142" s="45"/>
      <c r="B2142" s="46"/>
      <c r="C2142" s="46"/>
      <c r="D2142" s="46"/>
      <c r="E2142" s="46"/>
      <c r="F2142" s="46"/>
      <c r="G2142" s="46"/>
      <c r="H2142" s="46"/>
      <c r="I2142" s="46"/>
      <c r="J2142" s="46"/>
      <c r="K2142" s="46"/>
      <c r="L2142" s="46"/>
      <c r="M2142" s="46"/>
      <c r="N2142" s="46"/>
      <c r="O2142" s="46"/>
      <c r="P2142" s="46"/>
      <c r="Q2142" s="46"/>
      <c r="R2142" s="46"/>
      <c r="S2142" s="46"/>
      <c r="T2142" s="46"/>
      <c r="U2142" s="46"/>
      <c r="V2142" s="46"/>
      <c r="W2142" s="46"/>
      <c r="X2142" s="46"/>
    </row>
    <row r="2143" spans="1:24" ht="12.75" x14ac:dyDescent="0.2">
      <c r="A2143" s="45"/>
      <c r="B2143" s="46"/>
      <c r="C2143" s="46"/>
      <c r="D2143" s="46"/>
      <c r="E2143" s="46"/>
      <c r="F2143" s="46"/>
      <c r="G2143" s="46"/>
      <c r="H2143" s="46"/>
      <c r="I2143" s="46"/>
      <c r="J2143" s="46"/>
      <c r="K2143" s="46"/>
      <c r="L2143" s="46"/>
      <c r="M2143" s="46"/>
      <c r="N2143" s="46"/>
      <c r="O2143" s="46"/>
      <c r="P2143" s="46"/>
      <c r="Q2143" s="46"/>
      <c r="R2143" s="46"/>
      <c r="S2143" s="46"/>
      <c r="T2143" s="46"/>
      <c r="U2143" s="46"/>
      <c r="V2143" s="46"/>
      <c r="W2143" s="46"/>
      <c r="X2143" s="46"/>
    </row>
    <row r="2144" spans="1:24" ht="12.75" x14ac:dyDescent="0.2">
      <c r="A2144" s="45"/>
      <c r="B2144" s="46"/>
      <c r="C2144" s="46"/>
      <c r="D2144" s="46"/>
      <c r="E2144" s="46"/>
      <c r="F2144" s="46"/>
      <c r="G2144" s="46"/>
      <c r="H2144" s="46"/>
      <c r="I2144" s="46"/>
      <c r="J2144" s="46"/>
      <c r="K2144" s="46"/>
      <c r="L2144" s="46"/>
      <c r="M2144" s="46"/>
      <c r="N2144" s="46"/>
      <c r="O2144" s="46"/>
      <c r="P2144" s="46"/>
      <c r="Q2144" s="46"/>
      <c r="R2144" s="46"/>
      <c r="S2144" s="46"/>
      <c r="T2144" s="46"/>
      <c r="U2144" s="46"/>
      <c r="V2144" s="46"/>
      <c r="W2144" s="46"/>
      <c r="X2144" s="46"/>
    </row>
    <row r="2145" spans="1:24" ht="12.75" x14ac:dyDescent="0.2">
      <c r="A2145" s="45"/>
      <c r="B2145" s="46"/>
      <c r="C2145" s="46"/>
      <c r="D2145" s="46"/>
      <c r="E2145" s="46"/>
      <c r="F2145" s="46"/>
      <c r="G2145" s="46"/>
      <c r="H2145" s="46"/>
      <c r="I2145" s="46"/>
      <c r="J2145" s="46"/>
      <c r="K2145" s="46"/>
      <c r="L2145" s="46"/>
      <c r="M2145" s="46"/>
      <c r="N2145" s="46"/>
      <c r="O2145" s="46"/>
      <c r="P2145" s="46"/>
      <c r="Q2145" s="46"/>
      <c r="R2145" s="46"/>
      <c r="S2145" s="46"/>
      <c r="T2145" s="46"/>
      <c r="U2145" s="46"/>
      <c r="V2145" s="46"/>
      <c r="W2145" s="46"/>
      <c r="X2145" s="46"/>
    </row>
    <row r="2146" spans="1:24" ht="12.75" x14ac:dyDescent="0.2">
      <c r="A2146" s="45"/>
      <c r="B2146" s="46"/>
      <c r="C2146" s="46"/>
      <c r="D2146" s="46"/>
      <c r="E2146" s="46"/>
      <c r="F2146" s="46"/>
      <c r="G2146" s="46"/>
      <c r="H2146" s="46"/>
      <c r="I2146" s="46"/>
      <c r="J2146" s="46"/>
      <c r="K2146" s="46"/>
      <c r="L2146" s="46"/>
      <c r="M2146" s="46"/>
      <c r="N2146" s="46"/>
      <c r="O2146" s="46"/>
      <c r="P2146" s="46"/>
      <c r="Q2146" s="46"/>
      <c r="R2146" s="46"/>
      <c r="S2146" s="46"/>
      <c r="T2146" s="46"/>
      <c r="U2146" s="46"/>
      <c r="V2146" s="46"/>
      <c r="W2146" s="46"/>
      <c r="X2146" s="46"/>
    </row>
    <row r="2147" spans="1:24" ht="12.75" x14ac:dyDescent="0.2">
      <c r="A2147" s="45"/>
      <c r="B2147" s="46"/>
      <c r="C2147" s="46"/>
      <c r="D2147" s="46"/>
      <c r="E2147" s="46"/>
      <c r="F2147" s="46"/>
      <c r="G2147" s="46"/>
      <c r="H2147" s="46"/>
      <c r="I2147" s="46"/>
      <c r="J2147" s="46"/>
      <c r="K2147" s="46"/>
      <c r="L2147" s="46"/>
      <c r="M2147" s="46"/>
      <c r="N2147" s="46"/>
      <c r="O2147" s="46"/>
      <c r="P2147" s="46"/>
      <c r="Q2147" s="46"/>
      <c r="R2147" s="46"/>
      <c r="S2147" s="46"/>
      <c r="T2147" s="46"/>
      <c r="U2147" s="46"/>
      <c r="V2147" s="46"/>
      <c r="W2147" s="46"/>
      <c r="X2147" s="46"/>
    </row>
    <row r="2148" spans="1:24" ht="12.75" x14ac:dyDescent="0.2">
      <c r="A2148" s="45"/>
      <c r="B2148" s="46"/>
      <c r="C2148" s="46"/>
      <c r="D2148" s="46"/>
      <c r="E2148" s="46"/>
      <c r="F2148" s="46"/>
      <c r="G2148" s="46"/>
      <c r="H2148" s="46"/>
      <c r="I2148" s="46"/>
      <c r="J2148" s="46"/>
      <c r="K2148" s="46"/>
      <c r="L2148" s="46"/>
      <c r="M2148" s="46"/>
      <c r="N2148" s="46"/>
      <c r="O2148" s="46"/>
      <c r="P2148" s="46"/>
      <c r="Q2148" s="46"/>
      <c r="R2148" s="46"/>
      <c r="S2148" s="46"/>
      <c r="T2148" s="46"/>
      <c r="U2148" s="46"/>
      <c r="V2148" s="46"/>
      <c r="W2148" s="46"/>
      <c r="X2148" s="46"/>
    </row>
    <row r="2149" spans="1:24" ht="12.75" x14ac:dyDescent="0.2">
      <c r="A2149" s="45"/>
      <c r="B2149" s="46"/>
      <c r="C2149" s="46"/>
      <c r="D2149" s="46"/>
      <c r="E2149" s="46"/>
      <c r="F2149" s="46"/>
      <c r="G2149" s="46"/>
      <c r="H2149" s="46"/>
      <c r="I2149" s="46"/>
      <c r="J2149" s="46"/>
      <c r="K2149" s="46"/>
      <c r="L2149" s="46"/>
      <c r="M2149" s="46"/>
      <c r="N2149" s="46"/>
      <c r="O2149" s="46"/>
      <c r="P2149" s="46"/>
      <c r="Q2149" s="46"/>
      <c r="R2149" s="46"/>
      <c r="S2149" s="46"/>
      <c r="T2149" s="46"/>
      <c r="U2149" s="46"/>
      <c r="V2149" s="46"/>
      <c r="W2149" s="46"/>
      <c r="X2149" s="46"/>
    </row>
    <row r="2150" spans="1:24" ht="12.75" x14ac:dyDescent="0.2">
      <c r="A2150" s="45"/>
      <c r="B2150" s="46"/>
      <c r="C2150" s="46"/>
      <c r="D2150" s="46"/>
      <c r="E2150" s="46"/>
      <c r="F2150" s="46"/>
      <c r="G2150" s="46"/>
      <c r="H2150" s="46"/>
      <c r="I2150" s="46"/>
      <c r="J2150" s="46"/>
      <c r="K2150" s="46"/>
      <c r="L2150" s="46"/>
      <c r="M2150" s="46"/>
      <c r="N2150" s="46"/>
      <c r="O2150" s="46"/>
      <c r="P2150" s="46"/>
      <c r="Q2150" s="46"/>
      <c r="R2150" s="46"/>
      <c r="S2150" s="46"/>
      <c r="T2150" s="46"/>
      <c r="U2150" s="46"/>
      <c r="V2150" s="46"/>
      <c r="W2150" s="46"/>
      <c r="X2150" s="46"/>
    </row>
    <row r="2151" spans="1:24" ht="12.75" x14ac:dyDescent="0.2">
      <c r="A2151" s="45"/>
      <c r="B2151" s="46"/>
      <c r="C2151" s="46"/>
      <c r="D2151" s="46"/>
      <c r="E2151" s="46"/>
      <c r="F2151" s="46"/>
      <c r="G2151" s="46"/>
      <c r="H2151" s="46"/>
      <c r="I2151" s="46"/>
      <c r="J2151" s="46"/>
      <c r="K2151" s="46"/>
      <c r="L2151" s="46"/>
      <c r="M2151" s="46"/>
      <c r="N2151" s="46"/>
      <c r="O2151" s="46"/>
      <c r="P2151" s="46"/>
      <c r="Q2151" s="46"/>
      <c r="R2151" s="46"/>
      <c r="S2151" s="46"/>
      <c r="T2151" s="46"/>
      <c r="U2151" s="46"/>
      <c r="V2151" s="46"/>
      <c r="W2151" s="46"/>
      <c r="X2151" s="46"/>
    </row>
    <row r="2152" spans="1:24" ht="12.75" x14ac:dyDescent="0.2">
      <c r="A2152" s="45"/>
      <c r="B2152" s="46"/>
      <c r="C2152" s="46"/>
      <c r="D2152" s="46"/>
      <c r="E2152" s="46"/>
      <c r="F2152" s="46"/>
      <c r="G2152" s="46"/>
      <c r="H2152" s="46"/>
      <c r="I2152" s="46"/>
      <c r="J2152" s="46"/>
      <c r="K2152" s="46"/>
      <c r="L2152" s="46"/>
      <c r="M2152" s="46"/>
      <c r="N2152" s="46"/>
      <c r="O2152" s="46"/>
      <c r="P2152" s="46"/>
      <c r="Q2152" s="46"/>
      <c r="R2152" s="46"/>
      <c r="S2152" s="46"/>
      <c r="T2152" s="46"/>
      <c r="U2152" s="46"/>
      <c r="V2152" s="46"/>
      <c r="W2152" s="46"/>
      <c r="X2152" s="46"/>
    </row>
    <row r="2153" spans="1:24" ht="12.75" x14ac:dyDescent="0.2">
      <c r="A2153" s="45"/>
      <c r="B2153" s="46"/>
      <c r="C2153" s="46"/>
      <c r="D2153" s="46"/>
      <c r="E2153" s="46"/>
      <c r="F2153" s="46"/>
      <c r="G2153" s="46"/>
      <c r="H2153" s="46"/>
      <c r="I2153" s="46"/>
      <c r="J2153" s="46"/>
      <c r="K2153" s="46"/>
      <c r="L2153" s="46"/>
      <c r="M2153" s="46"/>
      <c r="N2153" s="46"/>
      <c r="O2153" s="46"/>
      <c r="P2153" s="46"/>
      <c r="Q2153" s="46"/>
      <c r="R2153" s="46"/>
      <c r="S2153" s="46"/>
      <c r="T2153" s="46"/>
      <c r="U2153" s="46"/>
      <c r="V2153" s="46"/>
      <c r="W2153" s="46"/>
      <c r="X2153" s="46"/>
    </row>
    <row r="2154" spans="1:24" ht="12.75" x14ac:dyDescent="0.2">
      <c r="A2154" s="45"/>
      <c r="B2154" s="46"/>
      <c r="C2154" s="46"/>
      <c r="D2154" s="46"/>
      <c r="E2154" s="46"/>
      <c r="F2154" s="46"/>
      <c r="G2154" s="46"/>
      <c r="H2154" s="46"/>
      <c r="I2154" s="46"/>
      <c r="J2154" s="46"/>
      <c r="K2154" s="46"/>
      <c r="L2154" s="46"/>
      <c r="M2154" s="46"/>
      <c r="N2154" s="46"/>
      <c r="O2154" s="46"/>
      <c r="P2154" s="46"/>
      <c r="Q2154" s="46"/>
      <c r="R2154" s="46"/>
      <c r="S2154" s="46"/>
      <c r="T2154" s="46"/>
      <c r="U2154" s="46"/>
      <c r="V2154" s="46"/>
      <c r="W2154" s="46"/>
      <c r="X2154" s="46"/>
    </row>
    <row r="2155" spans="1:24" ht="12.75" x14ac:dyDescent="0.2">
      <c r="A2155" s="45"/>
      <c r="B2155" s="46"/>
      <c r="C2155" s="46"/>
      <c r="D2155" s="46"/>
      <c r="E2155" s="46"/>
      <c r="F2155" s="46"/>
      <c r="G2155" s="46"/>
      <c r="H2155" s="46"/>
      <c r="I2155" s="46"/>
      <c r="J2155" s="46"/>
      <c r="K2155" s="46"/>
      <c r="L2155" s="46"/>
      <c r="M2155" s="46"/>
      <c r="N2155" s="46"/>
      <c r="O2155" s="46"/>
      <c r="P2155" s="46"/>
      <c r="Q2155" s="46"/>
      <c r="R2155" s="46"/>
      <c r="S2155" s="46"/>
      <c r="T2155" s="46"/>
      <c r="U2155" s="46"/>
      <c r="V2155" s="46"/>
      <c r="W2155" s="46"/>
      <c r="X2155" s="46"/>
    </row>
    <row r="2156" spans="1:24" ht="12.75" x14ac:dyDescent="0.2">
      <c r="A2156" s="45"/>
      <c r="B2156" s="46"/>
      <c r="C2156" s="46"/>
      <c r="D2156" s="46"/>
      <c r="E2156" s="46"/>
      <c r="F2156" s="46"/>
      <c r="G2156" s="46"/>
      <c r="H2156" s="46"/>
      <c r="I2156" s="46"/>
      <c r="J2156" s="46"/>
      <c r="K2156" s="46"/>
      <c r="L2156" s="46"/>
      <c r="M2156" s="46"/>
      <c r="N2156" s="46"/>
      <c r="O2156" s="46"/>
      <c r="P2156" s="46"/>
      <c r="Q2156" s="46"/>
      <c r="R2156" s="46"/>
      <c r="S2156" s="46"/>
      <c r="T2156" s="46"/>
      <c r="U2156" s="46"/>
      <c r="V2156" s="46"/>
      <c r="W2156" s="46"/>
      <c r="X2156" s="46"/>
    </row>
    <row r="2157" spans="1:24" ht="12.75" x14ac:dyDescent="0.2">
      <c r="A2157" s="45"/>
      <c r="B2157" s="46"/>
      <c r="C2157" s="46"/>
      <c r="D2157" s="46"/>
      <c r="E2157" s="46"/>
      <c r="F2157" s="46"/>
      <c r="G2157" s="46"/>
      <c r="H2157" s="46"/>
      <c r="I2157" s="46"/>
      <c r="J2157" s="46"/>
      <c r="K2157" s="46"/>
      <c r="L2157" s="46"/>
      <c r="M2157" s="46"/>
      <c r="N2157" s="46"/>
      <c r="O2157" s="46"/>
      <c r="P2157" s="46"/>
      <c r="Q2157" s="46"/>
      <c r="R2157" s="46"/>
      <c r="S2157" s="46"/>
      <c r="T2157" s="46"/>
      <c r="U2157" s="46"/>
      <c r="V2157" s="46"/>
      <c r="W2157" s="46"/>
      <c r="X2157" s="46"/>
    </row>
    <row r="2158" spans="1:24" ht="12.75" x14ac:dyDescent="0.2">
      <c r="A2158" s="45"/>
      <c r="B2158" s="46"/>
      <c r="C2158" s="46"/>
      <c r="D2158" s="46"/>
      <c r="E2158" s="46"/>
      <c r="F2158" s="46"/>
      <c r="G2158" s="46"/>
      <c r="H2158" s="46"/>
      <c r="I2158" s="46"/>
      <c r="J2158" s="46"/>
      <c r="K2158" s="46"/>
      <c r="L2158" s="46"/>
      <c r="M2158" s="46"/>
      <c r="N2158" s="46"/>
      <c r="O2158" s="46"/>
      <c r="P2158" s="46"/>
      <c r="Q2158" s="46"/>
      <c r="R2158" s="46"/>
      <c r="S2158" s="46"/>
      <c r="T2158" s="46"/>
      <c r="U2158" s="46"/>
      <c r="V2158" s="46"/>
      <c r="W2158" s="46"/>
      <c r="X2158" s="46"/>
    </row>
    <row r="2159" spans="1:24" ht="12.75" x14ac:dyDescent="0.2">
      <c r="A2159" s="45"/>
      <c r="B2159" s="46"/>
      <c r="C2159" s="46"/>
      <c r="D2159" s="46"/>
      <c r="E2159" s="46"/>
      <c r="F2159" s="46"/>
      <c r="G2159" s="46"/>
      <c r="H2159" s="46"/>
      <c r="I2159" s="46"/>
      <c r="J2159" s="46"/>
      <c r="K2159" s="46"/>
      <c r="L2159" s="46"/>
      <c r="M2159" s="46"/>
      <c r="N2159" s="46"/>
      <c r="O2159" s="46"/>
      <c r="P2159" s="46"/>
      <c r="Q2159" s="46"/>
      <c r="R2159" s="46"/>
      <c r="S2159" s="46"/>
      <c r="T2159" s="46"/>
      <c r="U2159" s="46"/>
      <c r="V2159" s="46"/>
      <c r="W2159" s="46"/>
      <c r="X2159" s="46"/>
    </row>
    <row r="2160" spans="1:24" ht="12.75" x14ac:dyDescent="0.2">
      <c r="A2160" s="45"/>
      <c r="B2160" s="46"/>
      <c r="C2160" s="46"/>
      <c r="D2160" s="46"/>
      <c r="E2160" s="46"/>
      <c r="F2160" s="46"/>
      <c r="G2160" s="46"/>
      <c r="H2160" s="46"/>
      <c r="I2160" s="46"/>
      <c r="J2160" s="46"/>
      <c r="K2160" s="46"/>
      <c r="L2160" s="46"/>
      <c r="M2160" s="46"/>
      <c r="N2160" s="46"/>
      <c r="O2160" s="46"/>
      <c r="P2160" s="46"/>
      <c r="Q2160" s="46"/>
      <c r="R2160" s="46"/>
      <c r="S2160" s="46"/>
      <c r="T2160" s="46"/>
      <c r="U2160" s="46"/>
      <c r="V2160" s="46"/>
      <c r="W2160" s="46"/>
      <c r="X2160" s="46"/>
    </row>
    <row r="2161" spans="1:24" ht="12.75" x14ac:dyDescent="0.2">
      <c r="A2161" s="45"/>
      <c r="B2161" s="46"/>
      <c r="C2161" s="46"/>
      <c r="D2161" s="46"/>
      <c r="E2161" s="46"/>
      <c r="F2161" s="46"/>
      <c r="G2161" s="46"/>
      <c r="H2161" s="46"/>
      <c r="I2161" s="46"/>
      <c r="J2161" s="46"/>
      <c r="K2161" s="46"/>
      <c r="L2161" s="46"/>
      <c r="M2161" s="46"/>
      <c r="N2161" s="46"/>
      <c r="O2161" s="46"/>
      <c r="P2161" s="46"/>
      <c r="Q2161" s="46"/>
      <c r="R2161" s="46"/>
      <c r="S2161" s="46"/>
      <c r="T2161" s="46"/>
      <c r="U2161" s="46"/>
      <c r="V2161" s="46"/>
      <c r="W2161" s="46"/>
      <c r="X2161" s="46"/>
    </row>
    <row r="2162" spans="1:24" ht="12.75" x14ac:dyDescent="0.2">
      <c r="A2162" s="45"/>
      <c r="B2162" s="46"/>
      <c r="C2162" s="46"/>
      <c r="D2162" s="46"/>
      <c r="E2162" s="46"/>
      <c r="F2162" s="46"/>
      <c r="G2162" s="46"/>
      <c r="H2162" s="46"/>
      <c r="I2162" s="46"/>
      <c r="J2162" s="46"/>
      <c r="K2162" s="46"/>
      <c r="L2162" s="46"/>
      <c r="M2162" s="46"/>
      <c r="N2162" s="46"/>
      <c r="O2162" s="46"/>
      <c r="P2162" s="46"/>
      <c r="Q2162" s="46"/>
      <c r="R2162" s="46"/>
      <c r="S2162" s="46"/>
      <c r="T2162" s="46"/>
      <c r="U2162" s="46"/>
      <c r="V2162" s="46"/>
      <c r="W2162" s="46"/>
      <c r="X2162" s="46"/>
    </row>
    <row r="2163" spans="1:24" ht="12.75" x14ac:dyDescent="0.2">
      <c r="A2163" s="45"/>
      <c r="B2163" s="46"/>
      <c r="C2163" s="46"/>
      <c r="D2163" s="46"/>
      <c r="E2163" s="46"/>
      <c r="F2163" s="46"/>
      <c r="G2163" s="46"/>
      <c r="H2163" s="46"/>
      <c r="I2163" s="46"/>
      <c r="J2163" s="46"/>
      <c r="K2163" s="46"/>
      <c r="L2163" s="46"/>
      <c r="M2163" s="46"/>
      <c r="N2163" s="46"/>
      <c r="O2163" s="46"/>
      <c r="P2163" s="46"/>
      <c r="Q2163" s="46"/>
      <c r="R2163" s="46"/>
      <c r="S2163" s="46"/>
      <c r="T2163" s="46"/>
      <c r="U2163" s="46"/>
      <c r="V2163" s="46"/>
      <c r="W2163" s="46"/>
      <c r="X2163" s="46"/>
    </row>
    <row r="2164" spans="1:24" ht="12.75" x14ac:dyDescent="0.2">
      <c r="A2164" s="45"/>
      <c r="B2164" s="46"/>
      <c r="C2164" s="46"/>
      <c r="D2164" s="46"/>
      <c r="E2164" s="46"/>
      <c r="F2164" s="46"/>
      <c r="G2164" s="46"/>
      <c r="H2164" s="46"/>
      <c r="I2164" s="46"/>
      <c r="J2164" s="46"/>
      <c r="K2164" s="46"/>
      <c r="L2164" s="46"/>
      <c r="M2164" s="46"/>
      <c r="N2164" s="46"/>
      <c r="O2164" s="46"/>
      <c r="P2164" s="46"/>
      <c r="Q2164" s="46"/>
      <c r="R2164" s="46"/>
      <c r="S2164" s="46"/>
      <c r="T2164" s="46"/>
      <c r="U2164" s="46"/>
      <c r="V2164" s="46"/>
      <c r="W2164" s="46"/>
      <c r="X2164" s="46"/>
    </row>
    <row r="2165" spans="1:24" ht="12.75" x14ac:dyDescent="0.2">
      <c r="A2165" s="45"/>
      <c r="B2165" s="46"/>
      <c r="C2165" s="46"/>
      <c r="D2165" s="46"/>
      <c r="E2165" s="46"/>
      <c r="F2165" s="46"/>
      <c r="G2165" s="46"/>
      <c r="H2165" s="46"/>
      <c r="I2165" s="46"/>
      <c r="J2165" s="46"/>
      <c r="K2165" s="46"/>
      <c r="L2165" s="46"/>
      <c r="M2165" s="46"/>
      <c r="N2165" s="46"/>
      <c r="O2165" s="46"/>
      <c r="P2165" s="46"/>
      <c r="Q2165" s="46"/>
      <c r="R2165" s="46"/>
      <c r="S2165" s="46"/>
      <c r="T2165" s="46"/>
      <c r="U2165" s="46"/>
      <c r="V2165" s="46"/>
      <c r="W2165" s="46"/>
      <c r="X2165" s="46"/>
    </row>
    <row r="2166" spans="1:24" ht="12.75" x14ac:dyDescent="0.2">
      <c r="A2166" s="45"/>
      <c r="B2166" s="46"/>
      <c r="C2166" s="46"/>
      <c r="D2166" s="46"/>
      <c r="E2166" s="46"/>
      <c r="F2166" s="46"/>
      <c r="G2166" s="46"/>
      <c r="H2166" s="46"/>
      <c r="I2166" s="46"/>
      <c r="J2166" s="46"/>
      <c r="K2166" s="46"/>
      <c r="L2166" s="46"/>
      <c r="M2166" s="46"/>
      <c r="N2166" s="46"/>
      <c r="O2166" s="46"/>
      <c r="P2166" s="46"/>
      <c r="Q2166" s="46"/>
      <c r="R2166" s="46"/>
      <c r="S2166" s="46"/>
      <c r="T2166" s="46"/>
      <c r="U2166" s="46"/>
      <c r="V2166" s="46"/>
      <c r="W2166" s="46"/>
      <c r="X2166" s="46"/>
    </row>
    <row r="2167" spans="1:24" ht="12.75" x14ac:dyDescent="0.2">
      <c r="A2167" s="45"/>
      <c r="B2167" s="46"/>
      <c r="C2167" s="46"/>
      <c r="D2167" s="46"/>
      <c r="E2167" s="46"/>
      <c r="F2167" s="46"/>
      <c r="G2167" s="46"/>
      <c r="H2167" s="46"/>
      <c r="I2167" s="46"/>
      <c r="J2167" s="46"/>
      <c r="K2167" s="46"/>
      <c r="L2167" s="46"/>
      <c r="M2167" s="46"/>
      <c r="N2167" s="46"/>
      <c r="O2167" s="46"/>
      <c r="P2167" s="46"/>
      <c r="Q2167" s="46"/>
      <c r="R2167" s="46"/>
      <c r="S2167" s="46"/>
      <c r="T2167" s="46"/>
      <c r="U2167" s="46"/>
      <c r="V2167" s="46"/>
      <c r="W2167" s="46"/>
      <c r="X2167" s="46"/>
    </row>
    <row r="2168" spans="1:24" ht="12.75" x14ac:dyDescent="0.2">
      <c r="A2168" s="45"/>
      <c r="B2168" s="46"/>
      <c r="C2168" s="46"/>
      <c r="D2168" s="46"/>
      <c r="E2168" s="46"/>
      <c r="F2168" s="46"/>
      <c r="G2168" s="46"/>
      <c r="H2168" s="46"/>
      <c r="I2168" s="46"/>
      <c r="J2168" s="46"/>
      <c r="K2168" s="46"/>
      <c r="L2168" s="46"/>
      <c r="M2168" s="46"/>
      <c r="N2168" s="46"/>
      <c r="O2168" s="46"/>
      <c r="P2168" s="46"/>
      <c r="Q2168" s="46"/>
      <c r="R2168" s="46"/>
      <c r="S2168" s="46"/>
      <c r="T2168" s="46"/>
      <c r="U2168" s="46"/>
      <c r="V2168" s="46"/>
      <c r="W2168" s="46"/>
      <c r="X2168" s="46"/>
    </row>
    <row r="2169" spans="1:24" ht="12.75" x14ac:dyDescent="0.2">
      <c r="A2169" s="45"/>
      <c r="B2169" s="46"/>
      <c r="C2169" s="46"/>
      <c r="D2169" s="46"/>
      <c r="E2169" s="46"/>
      <c r="F2169" s="46"/>
      <c r="G2169" s="46"/>
      <c r="H2169" s="46"/>
      <c r="I2169" s="46"/>
      <c r="J2169" s="46"/>
      <c r="K2169" s="46"/>
      <c r="L2169" s="46"/>
      <c r="M2169" s="46"/>
      <c r="N2169" s="46"/>
      <c r="O2169" s="46"/>
      <c r="P2169" s="46"/>
      <c r="Q2169" s="46"/>
      <c r="R2169" s="46"/>
      <c r="S2169" s="46"/>
      <c r="T2169" s="46"/>
      <c r="U2169" s="46"/>
      <c r="V2169" s="46"/>
      <c r="W2169" s="46"/>
      <c r="X2169" s="46"/>
    </row>
    <row r="2170" spans="1:24" ht="12.75" x14ac:dyDescent="0.2">
      <c r="A2170" s="45"/>
      <c r="B2170" s="46"/>
      <c r="C2170" s="46"/>
      <c r="D2170" s="46"/>
      <c r="E2170" s="46"/>
      <c r="F2170" s="46"/>
      <c r="G2170" s="46"/>
      <c r="H2170" s="46"/>
      <c r="I2170" s="46"/>
      <c r="J2170" s="46"/>
      <c r="K2170" s="46"/>
      <c r="L2170" s="46"/>
      <c r="M2170" s="46"/>
      <c r="N2170" s="46"/>
      <c r="O2170" s="46"/>
      <c r="P2170" s="46"/>
      <c r="Q2170" s="46"/>
      <c r="R2170" s="46"/>
      <c r="S2170" s="46"/>
      <c r="T2170" s="46"/>
      <c r="U2170" s="46"/>
      <c r="V2170" s="46"/>
      <c r="W2170" s="46"/>
      <c r="X2170" s="46"/>
    </row>
    <row r="2171" spans="1:24" ht="12.75" x14ac:dyDescent="0.2">
      <c r="A2171" s="45"/>
      <c r="B2171" s="46"/>
      <c r="C2171" s="46"/>
      <c r="D2171" s="46"/>
      <c r="E2171" s="46"/>
      <c r="F2171" s="46"/>
      <c r="G2171" s="46"/>
      <c r="H2171" s="46"/>
      <c r="I2171" s="46"/>
      <c r="J2171" s="46"/>
      <c r="K2171" s="46"/>
      <c r="L2171" s="46"/>
      <c r="M2171" s="46"/>
      <c r="N2171" s="46"/>
      <c r="O2171" s="46"/>
      <c r="P2171" s="46"/>
      <c r="Q2171" s="46"/>
      <c r="R2171" s="46"/>
      <c r="S2171" s="46"/>
      <c r="T2171" s="46"/>
      <c r="U2171" s="46"/>
      <c r="V2171" s="46"/>
      <c r="W2171" s="46"/>
      <c r="X2171" s="46"/>
    </row>
    <row r="2172" spans="1:24" ht="12.75" x14ac:dyDescent="0.2">
      <c r="A2172" s="45"/>
      <c r="B2172" s="46"/>
      <c r="C2172" s="46"/>
      <c r="D2172" s="46"/>
      <c r="E2172" s="46"/>
      <c r="F2172" s="46"/>
      <c r="G2172" s="46"/>
      <c r="H2172" s="46"/>
      <c r="I2172" s="46"/>
      <c r="J2172" s="46"/>
      <c r="K2172" s="46"/>
      <c r="L2172" s="46"/>
      <c r="M2172" s="46"/>
      <c r="N2172" s="46"/>
      <c r="O2172" s="46"/>
      <c r="P2172" s="46"/>
      <c r="Q2172" s="46"/>
      <c r="R2172" s="46"/>
      <c r="S2172" s="46"/>
      <c r="T2172" s="46"/>
      <c r="U2172" s="46"/>
      <c r="V2172" s="46"/>
      <c r="W2172" s="46"/>
      <c r="X2172" s="46"/>
    </row>
    <row r="2173" spans="1:24" ht="12.75" x14ac:dyDescent="0.2">
      <c r="A2173" s="45"/>
      <c r="B2173" s="46"/>
      <c r="C2173" s="46"/>
      <c r="D2173" s="46"/>
      <c r="E2173" s="46"/>
      <c r="F2173" s="46"/>
      <c r="G2173" s="46"/>
      <c r="H2173" s="46"/>
      <c r="I2173" s="46"/>
      <c r="J2173" s="46"/>
      <c r="K2173" s="46"/>
      <c r="L2173" s="46"/>
      <c r="M2173" s="46"/>
      <c r="N2173" s="46"/>
      <c r="O2173" s="46"/>
      <c r="P2173" s="46"/>
      <c r="Q2173" s="46"/>
      <c r="R2173" s="46"/>
      <c r="S2173" s="46"/>
      <c r="T2173" s="46"/>
      <c r="U2173" s="46"/>
      <c r="V2173" s="46"/>
      <c r="W2173" s="46"/>
      <c r="X2173" s="46"/>
    </row>
    <row r="2174" spans="1:24" ht="12.75" x14ac:dyDescent="0.2">
      <c r="A2174" s="45"/>
      <c r="B2174" s="46"/>
      <c r="C2174" s="46"/>
      <c r="D2174" s="46"/>
      <c r="E2174" s="46"/>
      <c r="F2174" s="46"/>
      <c r="G2174" s="46"/>
      <c r="H2174" s="46"/>
      <c r="I2174" s="46"/>
      <c r="J2174" s="46"/>
      <c r="K2174" s="46"/>
      <c r="L2174" s="46"/>
      <c r="M2174" s="46"/>
      <c r="N2174" s="46"/>
      <c r="O2174" s="46"/>
      <c r="P2174" s="46"/>
      <c r="Q2174" s="46"/>
      <c r="R2174" s="46"/>
      <c r="S2174" s="46"/>
      <c r="T2174" s="46"/>
      <c r="U2174" s="46"/>
      <c r="V2174" s="46"/>
      <c r="W2174" s="46"/>
      <c r="X2174" s="46"/>
    </row>
    <row r="2175" spans="1:24" ht="12.75" x14ac:dyDescent="0.2">
      <c r="A2175" s="45"/>
      <c r="B2175" s="46"/>
      <c r="C2175" s="46"/>
      <c r="D2175" s="46"/>
      <c r="E2175" s="46"/>
      <c r="F2175" s="46"/>
      <c r="G2175" s="46"/>
      <c r="H2175" s="46"/>
      <c r="I2175" s="46"/>
      <c r="J2175" s="46"/>
      <c r="K2175" s="46"/>
      <c r="L2175" s="46"/>
      <c r="M2175" s="46"/>
      <c r="N2175" s="46"/>
      <c r="O2175" s="46"/>
      <c r="P2175" s="46"/>
      <c r="Q2175" s="46"/>
      <c r="R2175" s="46"/>
      <c r="S2175" s="46"/>
      <c r="T2175" s="46"/>
      <c r="U2175" s="46"/>
      <c r="V2175" s="46"/>
      <c r="W2175" s="46"/>
      <c r="X2175" s="46"/>
    </row>
    <row r="2176" spans="1:24" ht="12.75" x14ac:dyDescent="0.2">
      <c r="A2176" s="45"/>
      <c r="B2176" s="46"/>
      <c r="C2176" s="46"/>
      <c r="D2176" s="46"/>
      <c r="E2176" s="46"/>
      <c r="F2176" s="46"/>
      <c r="G2176" s="46"/>
      <c r="H2176" s="46"/>
      <c r="I2176" s="46"/>
      <c r="J2176" s="46"/>
      <c r="K2176" s="46"/>
      <c r="L2176" s="46"/>
      <c r="M2176" s="46"/>
      <c r="N2176" s="46"/>
      <c r="O2176" s="46"/>
      <c r="P2176" s="46"/>
      <c r="Q2176" s="46"/>
      <c r="R2176" s="46"/>
      <c r="S2176" s="46"/>
      <c r="T2176" s="46"/>
      <c r="U2176" s="46"/>
      <c r="V2176" s="46"/>
      <c r="W2176" s="46"/>
      <c r="X2176" s="46"/>
    </row>
    <row r="2177" spans="1:24" ht="12.75" x14ac:dyDescent="0.2">
      <c r="A2177" s="45"/>
      <c r="B2177" s="46"/>
      <c r="C2177" s="46"/>
      <c r="D2177" s="46"/>
      <c r="E2177" s="46"/>
      <c r="F2177" s="46"/>
      <c r="G2177" s="46"/>
      <c r="H2177" s="46"/>
      <c r="I2177" s="46"/>
      <c r="J2177" s="46"/>
      <c r="K2177" s="46"/>
      <c r="L2177" s="46"/>
      <c r="M2177" s="46"/>
      <c r="N2177" s="46"/>
      <c r="O2177" s="46"/>
      <c r="P2177" s="46"/>
      <c r="Q2177" s="46"/>
      <c r="R2177" s="46"/>
      <c r="S2177" s="46"/>
      <c r="T2177" s="46"/>
      <c r="U2177" s="46"/>
      <c r="V2177" s="46"/>
      <c r="W2177" s="46"/>
      <c r="X2177" s="46"/>
    </row>
    <row r="2178" spans="1:24" ht="12.75" x14ac:dyDescent="0.2">
      <c r="A2178" s="45"/>
      <c r="B2178" s="46"/>
      <c r="C2178" s="46"/>
      <c r="D2178" s="46"/>
      <c r="E2178" s="46"/>
      <c r="F2178" s="46"/>
      <c r="G2178" s="46"/>
      <c r="H2178" s="46"/>
      <c r="I2178" s="46"/>
      <c r="J2178" s="46"/>
      <c r="K2178" s="46"/>
      <c r="L2178" s="46"/>
      <c r="M2178" s="46"/>
      <c r="N2178" s="46"/>
      <c r="O2178" s="46"/>
      <c r="P2178" s="46"/>
      <c r="Q2178" s="46"/>
      <c r="R2178" s="46"/>
      <c r="S2178" s="46"/>
      <c r="T2178" s="46"/>
      <c r="U2178" s="46"/>
      <c r="V2178" s="46"/>
      <c r="W2178" s="46"/>
      <c r="X2178" s="46"/>
    </row>
    <row r="2179" spans="1:24" ht="12.75" x14ac:dyDescent="0.2">
      <c r="A2179" s="45"/>
      <c r="B2179" s="46"/>
      <c r="C2179" s="46"/>
      <c r="D2179" s="46"/>
      <c r="E2179" s="46"/>
      <c r="F2179" s="46"/>
      <c r="G2179" s="46"/>
      <c r="H2179" s="46"/>
      <c r="I2179" s="46"/>
      <c r="J2179" s="46"/>
      <c r="K2179" s="46"/>
      <c r="L2179" s="46"/>
      <c r="M2179" s="46"/>
      <c r="N2179" s="46"/>
      <c r="O2179" s="46"/>
      <c r="P2179" s="46"/>
      <c r="Q2179" s="46"/>
      <c r="R2179" s="46"/>
      <c r="S2179" s="46"/>
      <c r="T2179" s="46"/>
      <c r="U2179" s="46"/>
      <c r="V2179" s="46"/>
      <c r="W2179" s="46"/>
      <c r="X2179" s="46"/>
    </row>
    <row r="2180" spans="1:24" ht="12.75" x14ac:dyDescent="0.2">
      <c r="A2180" s="45"/>
      <c r="B2180" s="46"/>
      <c r="C2180" s="46"/>
      <c r="D2180" s="46"/>
      <c r="E2180" s="46"/>
      <c r="F2180" s="46"/>
      <c r="G2180" s="46"/>
      <c r="H2180" s="46"/>
      <c r="I2180" s="46"/>
      <c r="J2180" s="46"/>
      <c r="K2180" s="46"/>
      <c r="L2180" s="46"/>
      <c r="M2180" s="46"/>
      <c r="N2180" s="46"/>
      <c r="O2180" s="46"/>
      <c r="P2180" s="46"/>
      <c r="Q2180" s="46"/>
      <c r="R2180" s="46"/>
      <c r="S2180" s="46"/>
      <c r="T2180" s="46"/>
      <c r="U2180" s="46"/>
      <c r="V2180" s="46"/>
      <c r="W2180" s="46"/>
      <c r="X2180" s="46"/>
    </row>
    <row r="2181" spans="1:24" ht="12.75" x14ac:dyDescent="0.2">
      <c r="A2181" s="45"/>
      <c r="B2181" s="46"/>
      <c r="C2181" s="46"/>
      <c r="D2181" s="46"/>
      <c r="E2181" s="46"/>
      <c r="F2181" s="46"/>
      <c r="G2181" s="46"/>
      <c r="H2181" s="46"/>
      <c r="I2181" s="46"/>
      <c r="J2181" s="46"/>
      <c r="K2181" s="46"/>
      <c r="L2181" s="46"/>
      <c r="M2181" s="46"/>
      <c r="N2181" s="46"/>
      <c r="O2181" s="46"/>
      <c r="P2181" s="46"/>
      <c r="Q2181" s="46"/>
      <c r="R2181" s="46"/>
      <c r="S2181" s="46"/>
      <c r="T2181" s="46"/>
      <c r="U2181" s="46"/>
      <c r="V2181" s="46"/>
      <c r="W2181" s="46"/>
      <c r="X2181" s="46"/>
    </row>
    <row r="2182" spans="1:24" ht="12.75" x14ac:dyDescent="0.2">
      <c r="A2182" s="45"/>
      <c r="B2182" s="46"/>
      <c r="C2182" s="46"/>
      <c r="D2182" s="46"/>
      <c r="E2182" s="46"/>
      <c r="F2182" s="46"/>
      <c r="G2182" s="46"/>
      <c r="H2182" s="46"/>
      <c r="I2182" s="46"/>
      <c r="J2182" s="46"/>
      <c r="K2182" s="46"/>
      <c r="L2182" s="46"/>
      <c r="M2182" s="46"/>
      <c r="N2182" s="46"/>
      <c r="O2182" s="46"/>
      <c r="P2182" s="46"/>
      <c r="Q2182" s="46"/>
      <c r="R2182" s="46"/>
      <c r="S2182" s="46"/>
      <c r="T2182" s="46"/>
      <c r="U2182" s="46"/>
      <c r="V2182" s="46"/>
      <c r="W2182" s="46"/>
      <c r="X2182" s="46"/>
    </row>
    <row r="2183" spans="1:24" ht="12.75" x14ac:dyDescent="0.2">
      <c r="A2183" s="45"/>
      <c r="B2183" s="46"/>
      <c r="C2183" s="46"/>
      <c r="D2183" s="46"/>
      <c r="E2183" s="46"/>
      <c r="F2183" s="46"/>
      <c r="G2183" s="46"/>
      <c r="H2183" s="46"/>
      <c r="I2183" s="46"/>
      <c r="J2183" s="46"/>
      <c r="K2183" s="46"/>
      <c r="L2183" s="46"/>
      <c r="M2183" s="46"/>
      <c r="N2183" s="46"/>
      <c r="O2183" s="46"/>
      <c r="P2183" s="46"/>
      <c r="Q2183" s="46"/>
      <c r="R2183" s="46"/>
      <c r="S2183" s="46"/>
      <c r="T2183" s="46"/>
      <c r="U2183" s="46"/>
      <c r="V2183" s="46"/>
      <c r="W2183" s="46"/>
      <c r="X2183" s="46"/>
    </row>
    <row r="2184" spans="1:24" ht="12.75" x14ac:dyDescent="0.2">
      <c r="A2184" s="45"/>
      <c r="B2184" s="46"/>
      <c r="C2184" s="46"/>
      <c r="D2184" s="46"/>
      <c r="E2184" s="46"/>
      <c r="F2184" s="46"/>
      <c r="G2184" s="46"/>
      <c r="H2184" s="46"/>
      <c r="I2184" s="46"/>
      <c r="J2184" s="46"/>
      <c r="K2184" s="46"/>
      <c r="L2184" s="46"/>
      <c r="M2184" s="46"/>
      <c r="N2184" s="46"/>
      <c r="O2184" s="46"/>
      <c r="P2184" s="46"/>
      <c r="Q2184" s="46"/>
      <c r="R2184" s="46"/>
      <c r="S2184" s="46"/>
      <c r="T2184" s="46"/>
      <c r="U2184" s="46"/>
      <c r="V2184" s="46"/>
      <c r="W2184" s="46"/>
      <c r="X2184" s="46"/>
    </row>
    <row r="2185" spans="1:24" ht="12.75" x14ac:dyDescent="0.2">
      <c r="A2185" s="45"/>
      <c r="B2185" s="46"/>
      <c r="C2185" s="46"/>
      <c r="D2185" s="46"/>
      <c r="E2185" s="46"/>
      <c r="F2185" s="46"/>
      <c r="G2185" s="46"/>
      <c r="H2185" s="46"/>
      <c r="I2185" s="46"/>
      <c r="J2185" s="46"/>
      <c r="K2185" s="46"/>
      <c r="L2185" s="46"/>
      <c r="M2185" s="46"/>
      <c r="N2185" s="46"/>
      <c r="O2185" s="46"/>
      <c r="P2185" s="46"/>
      <c r="Q2185" s="46"/>
      <c r="R2185" s="46"/>
      <c r="S2185" s="46"/>
      <c r="T2185" s="46"/>
      <c r="U2185" s="46"/>
      <c r="V2185" s="46"/>
      <c r="W2185" s="46"/>
      <c r="X2185" s="46"/>
    </row>
    <row r="2186" spans="1:24" ht="12.75" x14ac:dyDescent="0.2">
      <c r="A2186" s="45"/>
      <c r="B2186" s="46"/>
      <c r="C2186" s="46"/>
      <c r="D2186" s="46"/>
      <c r="E2186" s="46"/>
      <c r="F2186" s="46"/>
      <c r="G2186" s="46"/>
      <c r="H2186" s="46"/>
      <c r="I2186" s="46"/>
      <c r="J2186" s="46"/>
      <c r="K2186" s="46"/>
      <c r="L2186" s="46"/>
      <c r="M2186" s="46"/>
      <c r="N2186" s="46"/>
      <c r="O2186" s="46"/>
      <c r="P2186" s="46"/>
      <c r="Q2186" s="46"/>
      <c r="R2186" s="46"/>
      <c r="S2186" s="46"/>
      <c r="T2186" s="46"/>
      <c r="U2186" s="46"/>
      <c r="V2186" s="46"/>
      <c r="W2186" s="46"/>
      <c r="X2186" s="46"/>
    </row>
    <row r="2187" spans="1:24" ht="12.75" x14ac:dyDescent="0.2">
      <c r="A2187" s="45"/>
      <c r="B2187" s="46"/>
      <c r="C2187" s="46"/>
      <c r="D2187" s="46"/>
      <c r="E2187" s="46"/>
      <c r="F2187" s="46"/>
      <c r="G2187" s="46"/>
      <c r="H2187" s="46"/>
      <c r="I2187" s="46"/>
      <c r="J2187" s="46"/>
      <c r="K2187" s="46"/>
      <c r="L2187" s="46"/>
      <c r="M2187" s="46"/>
      <c r="N2187" s="46"/>
      <c r="O2187" s="46"/>
      <c r="P2187" s="46"/>
      <c r="Q2187" s="46"/>
      <c r="R2187" s="46"/>
      <c r="S2187" s="46"/>
      <c r="T2187" s="46"/>
      <c r="U2187" s="46"/>
      <c r="V2187" s="46"/>
      <c r="W2187" s="46"/>
      <c r="X2187" s="46"/>
    </row>
    <row r="2188" spans="1:24" ht="12.75" x14ac:dyDescent="0.2">
      <c r="A2188" s="45"/>
      <c r="B2188" s="46"/>
      <c r="C2188" s="46"/>
      <c r="D2188" s="46"/>
      <c r="E2188" s="46"/>
      <c r="F2188" s="46"/>
      <c r="G2188" s="46"/>
      <c r="H2188" s="46"/>
      <c r="I2188" s="46"/>
      <c r="J2188" s="46"/>
      <c r="K2188" s="46"/>
      <c r="L2188" s="46"/>
      <c r="M2188" s="46"/>
      <c r="N2188" s="46"/>
      <c r="O2188" s="46"/>
      <c r="P2188" s="46"/>
      <c r="Q2188" s="46"/>
      <c r="R2188" s="46"/>
      <c r="S2188" s="46"/>
      <c r="T2188" s="46"/>
      <c r="U2188" s="46"/>
      <c r="V2188" s="46"/>
      <c r="W2188" s="46"/>
      <c r="X2188" s="46"/>
    </row>
    <row r="2189" spans="1:24" ht="12.75" x14ac:dyDescent="0.2">
      <c r="A2189" s="45"/>
      <c r="B2189" s="46"/>
      <c r="C2189" s="46"/>
      <c r="D2189" s="46"/>
      <c r="E2189" s="46"/>
      <c r="F2189" s="46"/>
      <c r="G2189" s="46"/>
      <c r="H2189" s="46"/>
      <c r="I2189" s="46"/>
      <c r="J2189" s="46"/>
      <c r="K2189" s="46"/>
      <c r="L2189" s="46"/>
      <c r="M2189" s="46"/>
      <c r="N2189" s="46"/>
      <c r="O2189" s="46"/>
      <c r="P2189" s="46"/>
      <c r="Q2189" s="46"/>
      <c r="R2189" s="46"/>
      <c r="S2189" s="46"/>
      <c r="T2189" s="46"/>
      <c r="U2189" s="46"/>
      <c r="V2189" s="46"/>
      <c r="W2189" s="46"/>
      <c r="X2189" s="46"/>
    </row>
    <row r="2190" spans="1:24" ht="12.75" x14ac:dyDescent="0.2">
      <c r="A2190" s="45"/>
      <c r="B2190" s="46"/>
      <c r="C2190" s="46"/>
      <c r="D2190" s="46"/>
      <c r="E2190" s="46"/>
      <c r="F2190" s="46"/>
      <c r="G2190" s="46"/>
      <c r="H2190" s="46"/>
      <c r="I2190" s="46"/>
      <c r="J2190" s="46"/>
      <c r="K2190" s="46"/>
      <c r="L2190" s="46"/>
      <c r="M2190" s="46"/>
      <c r="N2190" s="46"/>
      <c r="O2190" s="46"/>
      <c r="P2190" s="46"/>
      <c r="Q2190" s="46"/>
      <c r="R2190" s="46"/>
      <c r="S2190" s="46"/>
      <c r="T2190" s="46"/>
      <c r="U2190" s="46"/>
      <c r="V2190" s="46"/>
      <c r="W2190" s="46"/>
      <c r="X2190" s="46"/>
    </row>
    <row r="2191" spans="1:24" ht="12.75" x14ac:dyDescent="0.2">
      <c r="A2191" s="45"/>
      <c r="B2191" s="46"/>
      <c r="C2191" s="46"/>
      <c r="D2191" s="46"/>
      <c r="E2191" s="46"/>
      <c r="F2191" s="46"/>
      <c r="G2191" s="46"/>
      <c r="H2191" s="46"/>
      <c r="I2191" s="46"/>
      <c r="J2191" s="46"/>
      <c r="K2191" s="46"/>
      <c r="L2191" s="46"/>
      <c r="M2191" s="46"/>
      <c r="N2191" s="46"/>
      <c r="O2191" s="46"/>
      <c r="P2191" s="46"/>
      <c r="Q2191" s="46"/>
      <c r="R2191" s="46"/>
      <c r="S2191" s="46"/>
      <c r="T2191" s="46"/>
      <c r="U2191" s="46"/>
      <c r="V2191" s="46"/>
      <c r="W2191" s="46"/>
      <c r="X2191" s="46"/>
    </row>
    <row r="2192" spans="1:24" ht="12.75" x14ac:dyDescent="0.2">
      <c r="A2192" s="45"/>
      <c r="B2192" s="46"/>
      <c r="C2192" s="46"/>
      <c r="D2192" s="46"/>
      <c r="E2192" s="46"/>
      <c r="F2192" s="46"/>
      <c r="G2192" s="46"/>
      <c r="H2192" s="46"/>
      <c r="I2192" s="46"/>
      <c r="J2192" s="46"/>
      <c r="K2192" s="46"/>
      <c r="L2192" s="46"/>
      <c r="M2192" s="46"/>
      <c r="N2192" s="46"/>
      <c r="O2192" s="46"/>
      <c r="P2192" s="46"/>
      <c r="Q2192" s="46"/>
      <c r="R2192" s="46"/>
      <c r="S2192" s="46"/>
      <c r="T2192" s="46"/>
      <c r="U2192" s="46"/>
      <c r="V2192" s="46"/>
      <c r="W2192" s="46"/>
      <c r="X2192" s="46"/>
    </row>
    <row r="2193" spans="1:24" ht="12.75" x14ac:dyDescent="0.2">
      <c r="A2193" s="45"/>
      <c r="B2193" s="46"/>
      <c r="C2193" s="46"/>
      <c r="D2193" s="46"/>
      <c r="E2193" s="46"/>
      <c r="F2193" s="46"/>
      <c r="G2193" s="46"/>
      <c r="H2193" s="46"/>
      <c r="I2193" s="46"/>
      <c r="J2193" s="46"/>
      <c r="K2193" s="46"/>
      <c r="L2193" s="46"/>
      <c r="M2193" s="46"/>
      <c r="N2193" s="46"/>
      <c r="O2193" s="46"/>
      <c r="P2193" s="46"/>
      <c r="Q2193" s="46"/>
      <c r="R2193" s="46"/>
      <c r="S2193" s="46"/>
      <c r="T2193" s="46"/>
      <c r="U2193" s="46"/>
      <c r="V2193" s="46"/>
      <c r="W2193" s="46"/>
      <c r="X2193" s="46"/>
    </row>
    <row r="2194" spans="1:24" ht="12.75" x14ac:dyDescent="0.2">
      <c r="A2194" s="45"/>
      <c r="B2194" s="46"/>
      <c r="C2194" s="46"/>
      <c r="D2194" s="46"/>
      <c r="E2194" s="46"/>
      <c r="F2194" s="46"/>
      <c r="G2194" s="46"/>
      <c r="H2194" s="46"/>
      <c r="I2194" s="46"/>
      <c r="J2194" s="46"/>
      <c r="K2194" s="46"/>
      <c r="L2194" s="46"/>
      <c r="M2194" s="46"/>
      <c r="N2194" s="46"/>
      <c r="O2194" s="46"/>
      <c r="P2194" s="46"/>
      <c r="Q2194" s="46"/>
      <c r="R2194" s="46"/>
      <c r="S2194" s="46"/>
      <c r="T2194" s="46"/>
      <c r="U2194" s="46"/>
      <c r="V2194" s="46"/>
      <c r="W2194" s="46"/>
      <c r="X2194" s="46"/>
    </row>
    <row r="2195" spans="1:24" ht="12.75" x14ac:dyDescent="0.2">
      <c r="A2195" s="45"/>
      <c r="B2195" s="46"/>
      <c r="C2195" s="46"/>
      <c r="D2195" s="46"/>
      <c r="E2195" s="46"/>
      <c r="F2195" s="46"/>
      <c r="G2195" s="46"/>
      <c r="H2195" s="46"/>
      <c r="I2195" s="46"/>
      <c r="J2195" s="46"/>
      <c r="K2195" s="46"/>
      <c r="L2195" s="46"/>
      <c r="M2195" s="46"/>
      <c r="N2195" s="46"/>
      <c r="O2195" s="46"/>
      <c r="P2195" s="46"/>
      <c r="Q2195" s="46"/>
      <c r="R2195" s="46"/>
      <c r="S2195" s="46"/>
      <c r="T2195" s="46"/>
      <c r="U2195" s="46"/>
      <c r="V2195" s="46"/>
      <c r="W2195" s="46"/>
      <c r="X2195" s="46"/>
    </row>
    <row r="2196" spans="1:24" ht="12.75" x14ac:dyDescent="0.2">
      <c r="A2196" s="45"/>
      <c r="B2196" s="46"/>
      <c r="C2196" s="46"/>
      <c r="D2196" s="46"/>
      <c r="E2196" s="46"/>
      <c r="F2196" s="46"/>
      <c r="G2196" s="46"/>
      <c r="H2196" s="46"/>
      <c r="I2196" s="46"/>
      <c r="J2196" s="46"/>
      <c r="K2196" s="46"/>
      <c r="L2196" s="46"/>
      <c r="M2196" s="46"/>
      <c r="N2196" s="46"/>
      <c r="O2196" s="46"/>
      <c r="P2196" s="46"/>
      <c r="Q2196" s="46"/>
      <c r="R2196" s="46"/>
      <c r="S2196" s="46"/>
      <c r="T2196" s="46"/>
      <c r="U2196" s="46"/>
      <c r="V2196" s="46"/>
      <c r="W2196" s="46"/>
      <c r="X2196" s="46"/>
    </row>
    <row r="2197" spans="1:24" ht="12.75" x14ac:dyDescent="0.2">
      <c r="A2197" s="45"/>
      <c r="B2197" s="46"/>
      <c r="C2197" s="46"/>
      <c r="D2197" s="46"/>
      <c r="E2197" s="46"/>
      <c r="F2197" s="46"/>
      <c r="G2197" s="46"/>
      <c r="H2197" s="46"/>
      <c r="I2197" s="46"/>
      <c r="J2197" s="46"/>
      <c r="K2197" s="46"/>
      <c r="L2197" s="46"/>
      <c r="M2197" s="46"/>
      <c r="N2197" s="46"/>
      <c r="O2197" s="46"/>
      <c r="P2197" s="46"/>
      <c r="Q2197" s="46"/>
      <c r="R2197" s="46"/>
      <c r="S2197" s="46"/>
      <c r="T2197" s="46"/>
      <c r="U2197" s="46"/>
      <c r="V2197" s="46"/>
      <c r="W2197" s="46"/>
      <c r="X2197" s="46"/>
    </row>
    <row r="2198" spans="1:24" ht="12.75" x14ac:dyDescent="0.2">
      <c r="A2198" s="45"/>
      <c r="B2198" s="46"/>
      <c r="C2198" s="46"/>
      <c r="D2198" s="46"/>
      <c r="E2198" s="46"/>
      <c r="F2198" s="46"/>
      <c r="G2198" s="46"/>
      <c r="H2198" s="46"/>
      <c r="I2198" s="46"/>
      <c r="J2198" s="46"/>
      <c r="K2198" s="46"/>
      <c r="L2198" s="46"/>
      <c r="M2198" s="46"/>
      <c r="N2198" s="46"/>
      <c r="O2198" s="46"/>
      <c r="P2198" s="46"/>
      <c r="Q2198" s="46"/>
      <c r="R2198" s="46"/>
      <c r="S2198" s="46"/>
      <c r="T2198" s="46"/>
      <c r="U2198" s="46"/>
      <c r="V2198" s="46"/>
      <c r="W2198" s="46"/>
      <c r="X2198" s="46"/>
    </row>
    <row r="2199" spans="1:24" ht="12.75" x14ac:dyDescent="0.2">
      <c r="A2199" s="45"/>
      <c r="B2199" s="46"/>
      <c r="C2199" s="46"/>
      <c r="D2199" s="46"/>
      <c r="E2199" s="46"/>
      <c r="F2199" s="46"/>
      <c r="G2199" s="46"/>
      <c r="H2199" s="46"/>
      <c r="I2199" s="46"/>
      <c r="J2199" s="46"/>
      <c r="K2199" s="46"/>
      <c r="L2199" s="46"/>
      <c r="M2199" s="46"/>
      <c r="N2199" s="46"/>
      <c r="O2199" s="46"/>
      <c r="P2199" s="46"/>
      <c r="Q2199" s="46"/>
      <c r="R2199" s="46"/>
      <c r="S2199" s="46"/>
      <c r="T2199" s="46"/>
      <c r="U2199" s="46"/>
      <c r="V2199" s="46"/>
      <c r="W2199" s="46"/>
      <c r="X2199" s="46"/>
    </row>
    <row r="2200" spans="1:24" ht="12.75" x14ac:dyDescent="0.2">
      <c r="A2200" s="45"/>
      <c r="B2200" s="46"/>
      <c r="C2200" s="46"/>
      <c r="D2200" s="46"/>
      <c r="E2200" s="46"/>
      <c r="F2200" s="46"/>
      <c r="G2200" s="46"/>
      <c r="H2200" s="46"/>
      <c r="I2200" s="46"/>
      <c r="J2200" s="46"/>
      <c r="K2200" s="46"/>
      <c r="L2200" s="46"/>
      <c r="M2200" s="46"/>
      <c r="N2200" s="46"/>
      <c r="O2200" s="46"/>
      <c r="P2200" s="46"/>
      <c r="Q2200" s="46"/>
      <c r="R2200" s="46"/>
      <c r="S2200" s="46"/>
      <c r="T2200" s="46"/>
      <c r="U2200" s="46"/>
      <c r="V2200" s="46"/>
      <c r="W2200" s="46"/>
      <c r="X2200" s="46"/>
    </row>
    <row r="2201" spans="1:24" ht="12.75" x14ac:dyDescent="0.2">
      <c r="A2201" s="45"/>
      <c r="B2201" s="46"/>
      <c r="C2201" s="46"/>
      <c r="D2201" s="46"/>
      <c r="E2201" s="46"/>
      <c r="F2201" s="46"/>
      <c r="G2201" s="46"/>
      <c r="H2201" s="46"/>
      <c r="I2201" s="46"/>
      <c r="J2201" s="46"/>
      <c r="K2201" s="46"/>
      <c r="L2201" s="46"/>
      <c r="M2201" s="46"/>
      <c r="N2201" s="46"/>
      <c r="O2201" s="46"/>
      <c r="P2201" s="46"/>
      <c r="Q2201" s="46"/>
      <c r="R2201" s="46"/>
      <c r="S2201" s="46"/>
      <c r="T2201" s="46"/>
      <c r="U2201" s="46"/>
      <c r="V2201" s="46"/>
      <c r="W2201" s="46"/>
      <c r="X2201" s="46"/>
    </row>
    <row r="2202" spans="1:24" ht="12.75" x14ac:dyDescent="0.2">
      <c r="A2202" s="45"/>
      <c r="B2202" s="46"/>
      <c r="C2202" s="46"/>
      <c r="D2202" s="46"/>
      <c r="E2202" s="46"/>
      <c r="F2202" s="46"/>
      <c r="G2202" s="46"/>
      <c r="H2202" s="46"/>
      <c r="I2202" s="46"/>
      <c r="J2202" s="46"/>
      <c r="K2202" s="46"/>
      <c r="L2202" s="46"/>
      <c r="M2202" s="46"/>
      <c r="N2202" s="46"/>
      <c r="O2202" s="46"/>
      <c r="P2202" s="46"/>
      <c r="Q2202" s="46"/>
      <c r="R2202" s="46"/>
      <c r="S2202" s="46"/>
      <c r="T2202" s="46"/>
      <c r="U2202" s="46"/>
      <c r="V2202" s="46"/>
      <c r="W2202" s="46"/>
      <c r="X2202" s="46"/>
    </row>
    <row r="2203" spans="1:24" ht="12.75" x14ac:dyDescent="0.2">
      <c r="A2203" s="45"/>
      <c r="B2203" s="46"/>
      <c r="C2203" s="46"/>
      <c r="D2203" s="46"/>
      <c r="E2203" s="46"/>
      <c r="F2203" s="46"/>
      <c r="G2203" s="46"/>
      <c r="H2203" s="46"/>
      <c r="I2203" s="46"/>
      <c r="J2203" s="46"/>
      <c r="K2203" s="46"/>
      <c r="L2203" s="46"/>
      <c r="M2203" s="46"/>
      <c r="N2203" s="46"/>
      <c r="O2203" s="46"/>
      <c r="P2203" s="46"/>
      <c r="Q2203" s="46"/>
      <c r="R2203" s="46"/>
      <c r="S2203" s="46"/>
      <c r="T2203" s="46"/>
      <c r="U2203" s="46"/>
      <c r="V2203" s="46"/>
      <c r="W2203" s="46"/>
      <c r="X2203" s="46"/>
    </row>
    <row r="2204" spans="1:24" ht="12.75" x14ac:dyDescent="0.2">
      <c r="A2204" s="45"/>
      <c r="B2204" s="46"/>
      <c r="C2204" s="46"/>
      <c r="D2204" s="46"/>
      <c r="E2204" s="46"/>
      <c r="F2204" s="46"/>
      <c r="G2204" s="46"/>
      <c r="H2204" s="46"/>
      <c r="I2204" s="46"/>
      <c r="J2204" s="46"/>
      <c r="K2204" s="46"/>
      <c r="L2204" s="46"/>
      <c r="M2204" s="46"/>
      <c r="N2204" s="46"/>
      <c r="O2204" s="46"/>
      <c r="P2204" s="46"/>
      <c r="Q2204" s="46"/>
      <c r="R2204" s="46"/>
      <c r="S2204" s="46"/>
      <c r="T2204" s="46"/>
      <c r="U2204" s="46"/>
      <c r="V2204" s="46"/>
      <c r="W2204" s="46"/>
      <c r="X2204" s="46"/>
    </row>
    <row r="2205" spans="1:24" ht="12.75" x14ac:dyDescent="0.2">
      <c r="A2205" s="45"/>
      <c r="B2205" s="46"/>
      <c r="C2205" s="46"/>
      <c r="D2205" s="46"/>
      <c r="E2205" s="46"/>
      <c r="F2205" s="46"/>
      <c r="G2205" s="46"/>
      <c r="H2205" s="46"/>
      <c r="I2205" s="46"/>
      <c r="J2205" s="46"/>
      <c r="K2205" s="46"/>
      <c r="L2205" s="46"/>
      <c r="M2205" s="46"/>
      <c r="N2205" s="46"/>
      <c r="O2205" s="46"/>
      <c r="P2205" s="46"/>
      <c r="Q2205" s="46"/>
      <c r="R2205" s="46"/>
      <c r="S2205" s="46"/>
      <c r="T2205" s="46"/>
      <c r="U2205" s="46"/>
      <c r="V2205" s="46"/>
      <c r="W2205" s="46"/>
      <c r="X2205" s="46"/>
    </row>
    <row r="2206" spans="1:24" ht="12.75" x14ac:dyDescent="0.2">
      <c r="A2206" s="45"/>
      <c r="B2206" s="46"/>
      <c r="C2206" s="46"/>
      <c r="D2206" s="46"/>
      <c r="E2206" s="46"/>
      <c r="F2206" s="46"/>
      <c r="G2206" s="46"/>
      <c r="H2206" s="46"/>
      <c r="I2206" s="46"/>
      <c r="J2206" s="46"/>
      <c r="K2206" s="46"/>
      <c r="L2206" s="46"/>
      <c r="M2206" s="46"/>
      <c r="N2206" s="46"/>
      <c r="O2206" s="46"/>
      <c r="P2206" s="46"/>
      <c r="Q2206" s="46"/>
      <c r="R2206" s="46"/>
      <c r="S2206" s="46"/>
      <c r="T2206" s="46"/>
      <c r="U2206" s="46"/>
      <c r="V2206" s="46"/>
      <c r="W2206" s="46"/>
      <c r="X2206" s="46"/>
    </row>
    <row r="2207" spans="1:24" ht="12.75" x14ac:dyDescent="0.2">
      <c r="A2207" s="45"/>
      <c r="B2207" s="46"/>
      <c r="C2207" s="46"/>
      <c r="D2207" s="46"/>
      <c r="E2207" s="46"/>
      <c r="F2207" s="46"/>
      <c r="G2207" s="46"/>
      <c r="H2207" s="46"/>
      <c r="I2207" s="46"/>
      <c r="J2207" s="46"/>
      <c r="K2207" s="46"/>
      <c r="L2207" s="46"/>
      <c r="M2207" s="46"/>
      <c r="N2207" s="46"/>
      <c r="O2207" s="46"/>
      <c r="P2207" s="46"/>
      <c r="Q2207" s="46"/>
      <c r="R2207" s="46"/>
      <c r="S2207" s="46"/>
      <c r="T2207" s="46"/>
      <c r="U2207" s="46"/>
      <c r="V2207" s="46"/>
      <c r="W2207" s="46"/>
      <c r="X2207" s="46"/>
    </row>
    <row r="2208" spans="1:24" ht="12.75" x14ac:dyDescent="0.2">
      <c r="A2208" s="45"/>
      <c r="B2208" s="46"/>
      <c r="C2208" s="46"/>
      <c r="D2208" s="46"/>
      <c r="E2208" s="46"/>
      <c r="F2208" s="46"/>
      <c r="G2208" s="46"/>
      <c r="H2208" s="46"/>
      <c r="I2208" s="46"/>
      <c r="J2208" s="46"/>
      <c r="K2208" s="46"/>
      <c r="L2208" s="46"/>
      <c r="M2208" s="46"/>
      <c r="N2208" s="46"/>
      <c r="O2208" s="46"/>
      <c r="P2208" s="46"/>
      <c r="Q2208" s="46"/>
      <c r="R2208" s="46"/>
      <c r="S2208" s="46"/>
      <c r="T2208" s="46"/>
      <c r="U2208" s="46"/>
      <c r="V2208" s="46"/>
      <c r="W2208" s="46"/>
      <c r="X2208" s="46"/>
    </row>
    <row r="2209" spans="1:24" ht="12.75" x14ac:dyDescent="0.2">
      <c r="A2209" s="45"/>
      <c r="B2209" s="46"/>
      <c r="C2209" s="46"/>
      <c r="D2209" s="46"/>
      <c r="E2209" s="46"/>
      <c r="F2209" s="46"/>
      <c r="G2209" s="46"/>
      <c r="H2209" s="46"/>
      <c r="I2209" s="46"/>
      <c r="J2209" s="46"/>
      <c r="K2209" s="46"/>
      <c r="L2209" s="46"/>
      <c r="M2209" s="46"/>
      <c r="N2209" s="46"/>
      <c r="O2209" s="46"/>
      <c r="P2209" s="46"/>
      <c r="Q2209" s="46"/>
      <c r="R2209" s="46"/>
      <c r="S2209" s="46"/>
      <c r="T2209" s="46"/>
      <c r="U2209" s="46"/>
      <c r="V2209" s="46"/>
      <c r="W2209" s="46"/>
      <c r="X2209" s="46"/>
    </row>
    <row r="2210" spans="1:24" ht="12.75" x14ac:dyDescent="0.2">
      <c r="A2210" s="45"/>
      <c r="B2210" s="46"/>
      <c r="C2210" s="46"/>
      <c r="D2210" s="46"/>
      <c r="E2210" s="46"/>
      <c r="F2210" s="46"/>
      <c r="G2210" s="46"/>
      <c r="H2210" s="46"/>
      <c r="I2210" s="46"/>
      <c r="J2210" s="46"/>
      <c r="K2210" s="46"/>
      <c r="L2210" s="46"/>
      <c r="M2210" s="46"/>
      <c r="N2210" s="46"/>
      <c r="O2210" s="46"/>
      <c r="P2210" s="46"/>
      <c r="Q2210" s="46"/>
      <c r="R2210" s="46"/>
      <c r="S2210" s="46"/>
      <c r="T2210" s="46"/>
      <c r="U2210" s="46"/>
      <c r="V2210" s="46"/>
      <c r="W2210" s="46"/>
      <c r="X2210" s="46"/>
    </row>
    <row r="2211" spans="1:24" ht="12.75" x14ac:dyDescent="0.2">
      <c r="A2211" s="45"/>
      <c r="B2211" s="46"/>
      <c r="C2211" s="46"/>
      <c r="D2211" s="46"/>
      <c r="E2211" s="46"/>
      <c r="F2211" s="46"/>
      <c r="G2211" s="46"/>
      <c r="H2211" s="46"/>
      <c r="I2211" s="46"/>
      <c r="J2211" s="46"/>
      <c r="K2211" s="46"/>
      <c r="L2211" s="46"/>
      <c r="M2211" s="46"/>
      <c r="N2211" s="46"/>
      <c r="O2211" s="46"/>
      <c r="P2211" s="46"/>
      <c r="Q2211" s="46"/>
      <c r="R2211" s="46"/>
      <c r="S2211" s="46"/>
      <c r="T2211" s="46"/>
      <c r="U2211" s="46"/>
      <c r="V2211" s="46"/>
      <c r="W2211" s="46"/>
      <c r="X2211" s="46"/>
    </row>
    <row r="2212" spans="1:24" ht="12.75" x14ac:dyDescent="0.2">
      <c r="A2212" s="45"/>
      <c r="B2212" s="46"/>
      <c r="C2212" s="46"/>
      <c r="D2212" s="46"/>
      <c r="E2212" s="46"/>
      <c r="F2212" s="46"/>
      <c r="G2212" s="46"/>
      <c r="H2212" s="46"/>
      <c r="I2212" s="46"/>
      <c r="J2212" s="46"/>
      <c r="K2212" s="46"/>
      <c r="L2212" s="46"/>
      <c r="M2212" s="46"/>
      <c r="N2212" s="46"/>
      <c r="O2212" s="46"/>
      <c r="P2212" s="46"/>
      <c r="Q2212" s="46"/>
      <c r="R2212" s="46"/>
      <c r="S2212" s="46"/>
      <c r="T2212" s="46"/>
      <c r="U2212" s="46"/>
      <c r="V2212" s="46"/>
      <c r="W2212" s="46"/>
      <c r="X2212" s="46"/>
    </row>
    <row r="2213" spans="1:24" ht="12.75" x14ac:dyDescent="0.2">
      <c r="A2213" s="45"/>
      <c r="B2213" s="46"/>
      <c r="C2213" s="46"/>
      <c r="D2213" s="46"/>
      <c r="E2213" s="46"/>
      <c r="F2213" s="46"/>
      <c r="G2213" s="46"/>
      <c r="H2213" s="46"/>
      <c r="I2213" s="46"/>
      <c r="J2213" s="46"/>
      <c r="K2213" s="46"/>
      <c r="L2213" s="46"/>
      <c r="M2213" s="46"/>
      <c r="N2213" s="46"/>
      <c r="O2213" s="46"/>
      <c r="P2213" s="46"/>
      <c r="Q2213" s="46"/>
      <c r="R2213" s="46"/>
      <c r="S2213" s="46"/>
      <c r="T2213" s="46"/>
      <c r="U2213" s="46"/>
      <c r="V2213" s="46"/>
      <c r="W2213" s="46"/>
      <c r="X2213" s="46"/>
    </row>
    <row r="2214" spans="1:24" ht="12.75" x14ac:dyDescent="0.2">
      <c r="A2214" s="45"/>
      <c r="B2214" s="46"/>
      <c r="C2214" s="46"/>
      <c r="D2214" s="46"/>
      <c r="E2214" s="46"/>
      <c r="F2214" s="46"/>
      <c r="G2214" s="46"/>
      <c r="H2214" s="46"/>
      <c r="I2214" s="46"/>
      <c r="J2214" s="46"/>
      <c r="K2214" s="46"/>
      <c r="L2214" s="46"/>
      <c r="M2214" s="46"/>
      <c r="N2214" s="46"/>
      <c r="O2214" s="46"/>
      <c r="P2214" s="46"/>
      <c r="Q2214" s="46"/>
      <c r="R2214" s="46"/>
      <c r="S2214" s="46"/>
      <c r="T2214" s="46"/>
      <c r="U2214" s="46"/>
      <c r="V2214" s="46"/>
      <c r="W2214" s="46"/>
      <c r="X2214" s="46"/>
    </row>
    <row r="2215" spans="1:24" ht="12.75" x14ac:dyDescent="0.2">
      <c r="A2215" s="45"/>
      <c r="B2215" s="46"/>
      <c r="C2215" s="46"/>
      <c r="D2215" s="46"/>
      <c r="E2215" s="46"/>
      <c r="F2215" s="46"/>
      <c r="G2215" s="46"/>
      <c r="H2215" s="46"/>
      <c r="I2215" s="46"/>
      <c r="J2215" s="46"/>
      <c r="K2215" s="46"/>
      <c r="L2215" s="46"/>
      <c r="M2215" s="46"/>
      <c r="N2215" s="46"/>
      <c r="O2215" s="46"/>
      <c r="P2215" s="46"/>
      <c r="Q2215" s="46"/>
      <c r="R2215" s="46"/>
      <c r="S2215" s="46"/>
      <c r="T2215" s="46"/>
      <c r="U2215" s="46"/>
      <c r="V2215" s="46"/>
      <c r="W2215" s="46"/>
      <c r="X2215" s="46"/>
    </row>
    <row r="2216" spans="1:24" ht="12.75" x14ac:dyDescent="0.2">
      <c r="A2216" s="45"/>
      <c r="B2216" s="46"/>
      <c r="C2216" s="46"/>
      <c r="D2216" s="46"/>
      <c r="E2216" s="46"/>
      <c r="F2216" s="46"/>
      <c r="G2216" s="46"/>
      <c r="H2216" s="46"/>
      <c r="I2216" s="46"/>
      <c r="J2216" s="46"/>
      <c r="K2216" s="46"/>
      <c r="L2216" s="46"/>
      <c r="M2216" s="46"/>
      <c r="N2216" s="46"/>
      <c r="O2216" s="46"/>
      <c r="P2216" s="46"/>
      <c r="Q2216" s="46"/>
      <c r="R2216" s="46"/>
      <c r="S2216" s="46"/>
      <c r="T2216" s="46"/>
      <c r="U2216" s="46"/>
      <c r="V2216" s="46"/>
      <c r="W2216" s="46"/>
      <c r="X2216" s="46"/>
    </row>
    <row r="2217" spans="1:24" ht="12.75" x14ac:dyDescent="0.2">
      <c r="A2217" s="45"/>
      <c r="B2217" s="46"/>
      <c r="C2217" s="46"/>
      <c r="D2217" s="46"/>
      <c r="E2217" s="46"/>
      <c r="F2217" s="46"/>
      <c r="G2217" s="46"/>
      <c r="H2217" s="46"/>
      <c r="I2217" s="46"/>
      <c r="J2217" s="46"/>
      <c r="K2217" s="46"/>
      <c r="L2217" s="46"/>
      <c r="M2217" s="46"/>
      <c r="N2217" s="46"/>
      <c r="O2217" s="46"/>
      <c r="P2217" s="46"/>
      <c r="Q2217" s="46"/>
      <c r="R2217" s="46"/>
      <c r="S2217" s="46"/>
      <c r="T2217" s="46"/>
      <c r="U2217" s="46"/>
      <c r="V2217" s="46"/>
      <c r="W2217" s="46"/>
      <c r="X2217" s="46"/>
    </row>
    <row r="2218" spans="1:24" ht="12.75" x14ac:dyDescent="0.2">
      <c r="A2218" s="45"/>
      <c r="B2218" s="46"/>
      <c r="C2218" s="46"/>
      <c r="D2218" s="46"/>
      <c r="E2218" s="46"/>
      <c r="F2218" s="46"/>
      <c r="G2218" s="46"/>
      <c r="H2218" s="46"/>
      <c r="I2218" s="46"/>
      <c r="J2218" s="46"/>
      <c r="K2218" s="46"/>
      <c r="L2218" s="46"/>
      <c r="M2218" s="46"/>
      <c r="N2218" s="46"/>
      <c r="O2218" s="46"/>
      <c r="P2218" s="46"/>
      <c r="Q2218" s="46"/>
      <c r="R2218" s="46"/>
      <c r="S2218" s="46"/>
      <c r="T2218" s="46"/>
      <c r="U2218" s="46"/>
      <c r="V2218" s="46"/>
      <c r="W2218" s="46"/>
      <c r="X2218" s="46"/>
    </row>
    <row r="2219" spans="1:24" ht="12.75" x14ac:dyDescent="0.2">
      <c r="A2219" s="45"/>
      <c r="B2219" s="46"/>
      <c r="C2219" s="46"/>
      <c r="D2219" s="46"/>
      <c r="E2219" s="46"/>
      <c r="F2219" s="46"/>
      <c r="G2219" s="46"/>
      <c r="H2219" s="46"/>
      <c r="I2219" s="46"/>
      <c r="J2219" s="46"/>
      <c r="K2219" s="46"/>
      <c r="L2219" s="46"/>
      <c r="M2219" s="46"/>
      <c r="N2219" s="46"/>
      <c r="O2219" s="46"/>
      <c r="P2219" s="46"/>
      <c r="Q2219" s="46"/>
      <c r="R2219" s="46"/>
      <c r="S2219" s="46"/>
      <c r="T2219" s="46"/>
      <c r="U2219" s="46"/>
      <c r="V2219" s="46"/>
      <c r="W2219" s="46"/>
      <c r="X2219" s="46"/>
    </row>
    <row r="2220" spans="1:24" ht="12.75" x14ac:dyDescent="0.2">
      <c r="A2220" s="45"/>
      <c r="B2220" s="46"/>
      <c r="C2220" s="46"/>
      <c r="D2220" s="46"/>
      <c r="E2220" s="46"/>
      <c r="F2220" s="46"/>
      <c r="G2220" s="46"/>
      <c r="H2220" s="46"/>
      <c r="I2220" s="46"/>
      <c r="J2220" s="46"/>
      <c r="K2220" s="46"/>
      <c r="L2220" s="46"/>
      <c r="M2220" s="46"/>
      <c r="N2220" s="46"/>
      <c r="O2220" s="46"/>
      <c r="P2220" s="46"/>
      <c r="Q2220" s="46"/>
      <c r="R2220" s="46"/>
      <c r="S2220" s="46"/>
      <c r="T2220" s="46"/>
      <c r="U2220" s="46"/>
      <c r="V2220" s="46"/>
      <c r="W2220" s="46"/>
      <c r="X2220" s="46"/>
    </row>
    <row r="2221" spans="1:24" ht="12.75" x14ac:dyDescent="0.2">
      <c r="A2221" s="45"/>
      <c r="B2221" s="46"/>
      <c r="C2221" s="46"/>
      <c r="D2221" s="46"/>
      <c r="E2221" s="46"/>
      <c r="F2221" s="46"/>
      <c r="G2221" s="46"/>
      <c r="H2221" s="46"/>
      <c r="I2221" s="46"/>
      <c r="J2221" s="46"/>
      <c r="K2221" s="46"/>
      <c r="L2221" s="46"/>
      <c r="M2221" s="46"/>
      <c r="N2221" s="46"/>
      <c r="O2221" s="46"/>
      <c r="P2221" s="46"/>
      <c r="Q2221" s="46"/>
      <c r="R2221" s="46"/>
      <c r="S2221" s="46"/>
      <c r="T2221" s="46"/>
      <c r="U2221" s="46"/>
      <c r="V2221" s="46"/>
      <c r="W2221" s="46"/>
      <c r="X2221" s="46"/>
    </row>
    <row r="2222" spans="1:24" ht="12.75" x14ac:dyDescent="0.2">
      <c r="A2222" s="45"/>
      <c r="B2222" s="46"/>
      <c r="C2222" s="46"/>
      <c r="D2222" s="46"/>
      <c r="E2222" s="46"/>
      <c r="F2222" s="46"/>
      <c r="G2222" s="46"/>
      <c r="H2222" s="46"/>
      <c r="I2222" s="46"/>
      <c r="J2222" s="46"/>
      <c r="K2222" s="46"/>
      <c r="L2222" s="46"/>
      <c r="M2222" s="46"/>
      <c r="N2222" s="46"/>
      <c r="O2222" s="46"/>
      <c r="P2222" s="46"/>
      <c r="Q2222" s="46"/>
      <c r="R2222" s="46"/>
      <c r="S2222" s="46"/>
      <c r="T2222" s="46"/>
      <c r="U2222" s="46"/>
      <c r="V2222" s="46"/>
      <c r="W2222" s="46"/>
      <c r="X2222" s="46"/>
    </row>
    <row r="2223" spans="1:24" ht="12.75" x14ac:dyDescent="0.2">
      <c r="A2223" s="45"/>
      <c r="B2223" s="46"/>
      <c r="C2223" s="46"/>
      <c r="D2223" s="46"/>
      <c r="E2223" s="46"/>
      <c r="F2223" s="46"/>
      <c r="G2223" s="46"/>
      <c r="H2223" s="46"/>
      <c r="I2223" s="46"/>
      <c r="J2223" s="46"/>
      <c r="K2223" s="46"/>
      <c r="L2223" s="46"/>
      <c r="M2223" s="46"/>
      <c r="N2223" s="46"/>
      <c r="O2223" s="46"/>
      <c r="P2223" s="46"/>
      <c r="Q2223" s="46"/>
      <c r="R2223" s="46"/>
      <c r="S2223" s="46"/>
      <c r="T2223" s="46"/>
      <c r="U2223" s="46"/>
      <c r="V2223" s="46"/>
      <c r="W2223" s="46"/>
      <c r="X2223" s="46"/>
    </row>
    <row r="2224" spans="1:24" ht="12.75" x14ac:dyDescent="0.2">
      <c r="A2224" s="45"/>
      <c r="B2224" s="46"/>
      <c r="C2224" s="46"/>
      <c r="D2224" s="46"/>
      <c r="E2224" s="46"/>
      <c r="F2224" s="46"/>
      <c r="G2224" s="46"/>
      <c r="H2224" s="46"/>
      <c r="I2224" s="46"/>
      <c r="J2224" s="46"/>
      <c r="K2224" s="46"/>
      <c r="L2224" s="46"/>
      <c r="M2224" s="46"/>
      <c r="N2224" s="46"/>
      <c r="O2224" s="46"/>
      <c r="P2224" s="46"/>
      <c r="Q2224" s="46"/>
      <c r="R2224" s="46"/>
      <c r="S2224" s="46"/>
      <c r="T2224" s="46"/>
      <c r="U2224" s="46"/>
      <c r="V2224" s="46"/>
      <c r="W2224" s="46"/>
      <c r="X2224" s="46"/>
    </row>
    <row r="2225" spans="1:24" ht="12.75" x14ac:dyDescent="0.2">
      <c r="A2225" s="45"/>
      <c r="B2225" s="46"/>
      <c r="C2225" s="46"/>
      <c r="D2225" s="46"/>
      <c r="E2225" s="46"/>
      <c r="F2225" s="46"/>
      <c r="G2225" s="46"/>
      <c r="H2225" s="46"/>
      <c r="I2225" s="46"/>
      <c r="J2225" s="46"/>
      <c r="K2225" s="46"/>
      <c r="L2225" s="46"/>
      <c r="M2225" s="46"/>
      <c r="N2225" s="46"/>
      <c r="O2225" s="46"/>
      <c r="P2225" s="46"/>
      <c r="Q2225" s="46"/>
      <c r="R2225" s="46"/>
      <c r="S2225" s="46"/>
      <c r="T2225" s="46"/>
      <c r="U2225" s="46"/>
      <c r="V2225" s="46"/>
      <c r="W2225" s="46"/>
      <c r="X2225" s="46"/>
    </row>
    <row r="2226" spans="1:24" ht="12.75" x14ac:dyDescent="0.2">
      <c r="A2226" s="45"/>
      <c r="B2226" s="46"/>
      <c r="C2226" s="46"/>
      <c r="D2226" s="46"/>
      <c r="E2226" s="46"/>
      <c r="F2226" s="46"/>
      <c r="G2226" s="46"/>
      <c r="H2226" s="46"/>
      <c r="I2226" s="46"/>
      <c r="J2226" s="46"/>
      <c r="K2226" s="46"/>
      <c r="L2226" s="46"/>
      <c r="M2226" s="46"/>
      <c r="N2226" s="46"/>
      <c r="O2226" s="46"/>
      <c r="P2226" s="46"/>
      <c r="Q2226" s="46"/>
      <c r="R2226" s="46"/>
      <c r="S2226" s="46"/>
      <c r="T2226" s="46"/>
      <c r="U2226" s="46"/>
      <c r="V2226" s="46"/>
      <c r="W2226" s="46"/>
      <c r="X2226" s="46"/>
    </row>
    <row r="2227" spans="1:24" ht="12.75" x14ac:dyDescent="0.2">
      <c r="A2227" s="45"/>
      <c r="B2227" s="46"/>
      <c r="C2227" s="46"/>
      <c r="D2227" s="46"/>
      <c r="E2227" s="46"/>
      <c r="F2227" s="46"/>
      <c r="G2227" s="46"/>
      <c r="H2227" s="46"/>
      <c r="I2227" s="46"/>
      <c r="J2227" s="46"/>
      <c r="K2227" s="46"/>
      <c r="L2227" s="46"/>
      <c r="M2227" s="46"/>
      <c r="N2227" s="46"/>
      <c r="O2227" s="46"/>
      <c r="P2227" s="46"/>
      <c r="Q2227" s="46"/>
      <c r="R2227" s="46"/>
      <c r="S2227" s="46"/>
      <c r="T2227" s="46"/>
      <c r="U2227" s="46"/>
      <c r="V2227" s="46"/>
      <c r="W2227" s="46"/>
      <c r="X2227" s="46"/>
    </row>
    <row r="2228" spans="1:24" ht="12.75" x14ac:dyDescent="0.2">
      <c r="A2228" s="45"/>
      <c r="B2228" s="46"/>
      <c r="C2228" s="46"/>
      <c r="D2228" s="46"/>
      <c r="E2228" s="46"/>
      <c r="F2228" s="46"/>
      <c r="G2228" s="46"/>
      <c r="H2228" s="46"/>
      <c r="I2228" s="46"/>
      <c r="J2228" s="46"/>
      <c r="K2228" s="46"/>
      <c r="L2228" s="46"/>
      <c r="M2228" s="46"/>
      <c r="N2228" s="46"/>
      <c r="O2228" s="46"/>
      <c r="P2228" s="46"/>
      <c r="Q2228" s="46"/>
      <c r="R2228" s="46"/>
      <c r="S2228" s="46"/>
      <c r="T2228" s="46"/>
      <c r="U2228" s="46"/>
      <c r="V2228" s="46"/>
      <c r="W2228" s="46"/>
      <c r="X2228" s="46"/>
    </row>
    <row r="2229" spans="1:24" ht="12.75" x14ac:dyDescent="0.2">
      <c r="A2229" s="45"/>
      <c r="B2229" s="46"/>
      <c r="C2229" s="46"/>
      <c r="D2229" s="46"/>
      <c r="E2229" s="46"/>
      <c r="F2229" s="46"/>
      <c r="G2229" s="46"/>
      <c r="H2229" s="46"/>
      <c r="I2229" s="46"/>
      <c r="J2229" s="46"/>
      <c r="K2229" s="46"/>
      <c r="L2229" s="46"/>
      <c r="M2229" s="46"/>
      <c r="N2229" s="46"/>
      <c r="O2229" s="46"/>
      <c r="P2229" s="46"/>
      <c r="Q2229" s="46"/>
      <c r="R2229" s="46"/>
      <c r="S2229" s="46"/>
      <c r="T2229" s="46"/>
      <c r="U2229" s="46"/>
      <c r="V2229" s="46"/>
      <c r="W2229" s="46"/>
      <c r="X2229" s="46"/>
    </row>
    <row r="2230" spans="1:24" ht="12.75" x14ac:dyDescent="0.2">
      <c r="A2230" s="45"/>
      <c r="B2230" s="46"/>
      <c r="C2230" s="46"/>
      <c r="D2230" s="46"/>
      <c r="E2230" s="46"/>
      <c r="F2230" s="46"/>
      <c r="G2230" s="46"/>
      <c r="H2230" s="46"/>
      <c r="I2230" s="46"/>
      <c r="J2230" s="46"/>
      <c r="K2230" s="46"/>
      <c r="L2230" s="46"/>
      <c r="M2230" s="46"/>
      <c r="N2230" s="46"/>
      <c r="O2230" s="46"/>
      <c r="P2230" s="46"/>
      <c r="Q2230" s="46"/>
      <c r="R2230" s="46"/>
      <c r="S2230" s="46"/>
      <c r="T2230" s="46"/>
      <c r="U2230" s="46"/>
      <c r="V2230" s="46"/>
      <c r="W2230" s="46"/>
      <c r="X2230" s="46"/>
    </row>
    <row r="2231" spans="1:24" ht="12.75" x14ac:dyDescent="0.2">
      <c r="A2231" s="45"/>
      <c r="B2231" s="46"/>
      <c r="C2231" s="46"/>
      <c r="D2231" s="46"/>
      <c r="E2231" s="46"/>
      <c r="F2231" s="46"/>
      <c r="G2231" s="46"/>
      <c r="H2231" s="46"/>
      <c r="I2231" s="46"/>
      <c r="J2231" s="46"/>
      <c r="K2231" s="46"/>
      <c r="L2231" s="46"/>
      <c r="M2231" s="46"/>
      <c r="N2231" s="46"/>
      <c r="O2231" s="46"/>
      <c r="P2231" s="46"/>
      <c r="Q2231" s="46"/>
      <c r="R2231" s="46"/>
      <c r="S2231" s="46"/>
      <c r="T2231" s="46"/>
      <c r="U2231" s="46"/>
      <c r="V2231" s="46"/>
      <c r="W2231" s="46"/>
      <c r="X2231" s="46"/>
    </row>
    <row r="2232" spans="1:24" ht="12.75" x14ac:dyDescent="0.2">
      <c r="A2232" s="45"/>
      <c r="B2232" s="46"/>
      <c r="C2232" s="46"/>
      <c r="D2232" s="46"/>
      <c r="E2232" s="46"/>
      <c r="F2232" s="46"/>
      <c r="G2232" s="46"/>
      <c r="H2232" s="46"/>
      <c r="I2232" s="46"/>
      <c r="J2232" s="46"/>
      <c r="K2232" s="46"/>
      <c r="L2232" s="46"/>
      <c r="M2232" s="46"/>
      <c r="N2232" s="46"/>
      <c r="O2232" s="46"/>
      <c r="P2232" s="46"/>
      <c r="Q2232" s="46"/>
      <c r="R2232" s="46"/>
      <c r="S2232" s="46"/>
      <c r="T2232" s="46"/>
      <c r="U2232" s="46"/>
      <c r="V2232" s="46"/>
      <c r="W2232" s="46"/>
      <c r="X2232" s="46"/>
    </row>
    <row r="2233" spans="1:24" ht="12.75" x14ac:dyDescent="0.2">
      <c r="A2233" s="45"/>
      <c r="B2233" s="46"/>
      <c r="C2233" s="46"/>
      <c r="D2233" s="46"/>
      <c r="E2233" s="46"/>
      <c r="F2233" s="46"/>
      <c r="G2233" s="46"/>
      <c r="H2233" s="46"/>
      <c r="I2233" s="46"/>
      <c r="J2233" s="46"/>
      <c r="K2233" s="46"/>
      <c r="L2233" s="46"/>
      <c r="M2233" s="46"/>
      <c r="N2233" s="46"/>
      <c r="O2233" s="46"/>
      <c r="P2233" s="46"/>
      <c r="Q2233" s="46"/>
      <c r="R2233" s="46"/>
      <c r="S2233" s="46"/>
      <c r="T2233" s="46"/>
      <c r="U2233" s="46"/>
      <c r="V2233" s="46"/>
      <c r="W2233" s="46"/>
      <c r="X2233" s="46"/>
    </row>
    <row r="2234" spans="1:24" ht="12.75" x14ac:dyDescent="0.2">
      <c r="A2234" s="45"/>
      <c r="B2234" s="46"/>
      <c r="C2234" s="46"/>
      <c r="D2234" s="46"/>
      <c r="E2234" s="46"/>
      <c r="F2234" s="46"/>
      <c r="G2234" s="46"/>
      <c r="H2234" s="46"/>
      <c r="I2234" s="46"/>
      <c r="J2234" s="46"/>
      <c r="K2234" s="46"/>
      <c r="L2234" s="46"/>
      <c r="M2234" s="46"/>
      <c r="N2234" s="46"/>
      <c r="O2234" s="46"/>
      <c r="P2234" s="46"/>
      <c r="Q2234" s="46"/>
      <c r="R2234" s="46"/>
      <c r="S2234" s="46"/>
      <c r="T2234" s="46"/>
      <c r="U2234" s="46"/>
      <c r="V2234" s="46"/>
      <c r="W2234" s="46"/>
      <c r="X2234" s="46"/>
    </row>
    <row r="2235" spans="1:24" ht="12.75" x14ac:dyDescent="0.2">
      <c r="A2235" s="45"/>
      <c r="B2235" s="46"/>
      <c r="C2235" s="46"/>
      <c r="D2235" s="46"/>
      <c r="E2235" s="46"/>
      <c r="F2235" s="46"/>
      <c r="G2235" s="46"/>
      <c r="H2235" s="46"/>
      <c r="I2235" s="46"/>
      <c r="J2235" s="46"/>
      <c r="K2235" s="46"/>
      <c r="L2235" s="46"/>
      <c r="M2235" s="46"/>
      <c r="N2235" s="46"/>
      <c r="O2235" s="46"/>
      <c r="P2235" s="46"/>
      <c r="Q2235" s="46"/>
      <c r="R2235" s="46"/>
      <c r="S2235" s="46"/>
      <c r="T2235" s="46"/>
      <c r="U2235" s="46"/>
      <c r="V2235" s="46"/>
      <c r="W2235" s="46"/>
      <c r="X2235" s="46"/>
    </row>
    <row r="2236" spans="1:24" ht="12.75" x14ac:dyDescent="0.2">
      <c r="A2236" s="45"/>
      <c r="B2236" s="46"/>
      <c r="C2236" s="46"/>
      <c r="D2236" s="46"/>
      <c r="E2236" s="46"/>
      <c r="F2236" s="46"/>
      <c r="G2236" s="46"/>
      <c r="H2236" s="46"/>
      <c r="I2236" s="46"/>
      <c r="J2236" s="46"/>
      <c r="K2236" s="46"/>
      <c r="L2236" s="46"/>
      <c r="M2236" s="46"/>
      <c r="N2236" s="46"/>
      <c r="O2236" s="46"/>
      <c r="P2236" s="46"/>
      <c r="Q2236" s="46"/>
      <c r="R2236" s="46"/>
      <c r="S2236" s="46"/>
      <c r="T2236" s="46"/>
      <c r="U2236" s="46"/>
      <c r="V2236" s="46"/>
      <c r="W2236" s="46"/>
      <c r="X2236" s="46"/>
    </row>
    <row r="2237" spans="1:24" ht="12.75" x14ac:dyDescent="0.2">
      <c r="A2237" s="45"/>
      <c r="B2237" s="46"/>
      <c r="C2237" s="46"/>
      <c r="D2237" s="46"/>
      <c r="E2237" s="46"/>
      <c r="F2237" s="46"/>
      <c r="G2237" s="46"/>
      <c r="H2237" s="46"/>
      <c r="I2237" s="46"/>
      <c r="J2237" s="46"/>
      <c r="K2237" s="46"/>
      <c r="L2237" s="46"/>
      <c r="M2237" s="46"/>
      <c r="N2237" s="46"/>
      <c r="O2237" s="46"/>
      <c r="P2237" s="46"/>
      <c r="Q2237" s="46"/>
      <c r="R2237" s="46"/>
      <c r="S2237" s="46"/>
      <c r="T2237" s="46"/>
      <c r="U2237" s="46"/>
      <c r="V2237" s="46"/>
      <c r="W2237" s="46"/>
      <c r="X2237" s="46"/>
    </row>
    <row r="2238" spans="1:24" ht="12.75" x14ac:dyDescent="0.2">
      <c r="A2238" s="45"/>
      <c r="B2238" s="46"/>
      <c r="C2238" s="46"/>
      <c r="D2238" s="46"/>
      <c r="E2238" s="46"/>
      <c r="F2238" s="46"/>
      <c r="G2238" s="46"/>
      <c r="H2238" s="46"/>
      <c r="I2238" s="46"/>
      <c r="J2238" s="46"/>
      <c r="K2238" s="46"/>
      <c r="L2238" s="46"/>
      <c r="M2238" s="46"/>
      <c r="N2238" s="46"/>
      <c r="O2238" s="46"/>
      <c r="P2238" s="46"/>
      <c r="Q2238" s="46"/>
      <c r="R2238" s="46"/>
      <c r="S2238" s="46"/>
      <c r="T2238" s="46"/>
      <c r="U2238" s="46"/>
      <c r="V2238" s="46"/>
      <c r="W2238" s="46"/>
      <c r="X2238" s="46"/>
    </row>
    <row r="2239" spans="1:24" ht="12.75" x14ac:dyDescent="0.2">
      <c r="A2239" s="45"/>
      <c r="B2239" s="46"/>
      <c r="C2239" s="46"/>
      <c r="D2239" s="46"/>
      <c r="E2239" s="46"/>
      <c r="F2239" s="46"/>
      <c r="G2239" s="46"/>
      <c r="H2239" s="46"/>
      <c r="I2239" s="46"/>
      <c r="J2239" s="46"/>
      <c r="K2239" s="46"/>
      <c r="L2239" s="46"/>
      <c r="M2239" s="46"/>
      <c r="N2239" s="46"/>
      <c r="O2239" s="46"/>
      <c r="P2239" s="46"/>
      <c r="Q2239" s="46"/>
      <c r="R2239" s="46"/>
      <c r="S2239" s="46"/>
      <c r="T2239" s="46"/>
      <c r="U2239" s="46"/>
      <c r="V2239" s="46"/>
      <c r="W2239" s="46"/>
      <c r="X2239" s="46"/>
    </row>
    <row r="2240" spans="1:24" ht="12.75" x14ac:dyDescent="0.2">
      <c r="A2240" s="45"/>
      <c r="B2240" s="46"/>
      <c r="C2240" s="46"/>
      <c r="D2240" s="46"/>
      <c r="E2240" s="46"/>
      <c r="F2240" s="46"/>
      <c r="G2240" s="46"/>
      <c r="H2240" s="46"/>
      <c r="I2240" s="46"/>
      <c r="J2240" s="46"/>
      <c r="K2240" s="46"/>
      <c r="L2240" s="46"/>
      <c r="M2240" s="46"/>
      <c r="N2240" s="46"/>
      <c r="O2240" s="46"/>
      <c r="P2240" s="46"/>
      <c r="Q2240" s="46"/>
      <c r="R2240" s="46"/>
      <c r="S2240" s="46"/>
      <c r="T2240" s="46"/>
      <c r="U2240" s="46"/>
      <c r="V2240" s="46"/>
      <c r="W2240" s="46"/>
      <c r="X2240" s="46"/>
    </row>
    <row r="2241" spans="1:24" ht="12.75" x14ac:dyDescent="0.2">
      <c r="A2241" s="45"/>
      <c r="B2241" s="46"/>
      <c r="C2241" s="46"/>
      <c r="D2241" s="46"/>
      <c r="E2241" s="46"/>
      <c r="F2241" s="46"/>
      <c r="G2241" s="46"/>
      <c r="H2241" s="46"/>
      <c r="I2241" s="46"/>
      <c r="J2241" s="46"/>
      <c r="K2241" s="46"/>
      <c r="L2241" s="46"/>
      <c r="M2241" s="46"/>
      <c r="N2241" s="46"/>
      <c r="O2241" s="46"/>
      <c r="P2241" s="46"/>
      <c r="Q2241" s="46"/>
      <c r="R2241" s="46"/>
      <c r="S2241" s="46"/>
      <c r="T2241" s="46"/>
      <c r="U2241" s="46"/>
      <c r="V2241" s="46"/>
      <c r="W2241" s="46"/>
      <c r="X2241" s="46"/>
    </row>
    <row r="2242" spans="1:24" ht="12.75" x14ac:dyDescent="0.2">
      <c r="A2242" s="45"/>
      <c r="B2242" s="46"/>
      <c r="C2242" s="46"/>
      <c r="D2242" s="46"/>
      <c r="E2242" s="46"/>
      <c r="F2242" s="46"/>
      <c r="G2242" s="46"/>
      <c r="H2242" s="46"/>
      <c r="I2242" s="46"/>
      <c r="J2242" s="46"/>
      <c r="K2242" s="46"/>
      <c r="L2242" s="46"/>
      <c r="M2242" s="46"/>
      <c r="N2242" s="46"/>
      <c r="O2242" s="46"/>
      <c r="P2242" s="46"/>
      <c r="Q2242" s="46"/>
      <c r="R2242" s="46"/>
      <c r="S2242" s="46"/>
      <c r="T2242" s="46"/>
      <c r="U2242" s="46"/>
      <c r="V2242" s="46"/>
      <c r="W2242" s="46"/>
      <c r="X2242" s="46"/>
    </row>
    <row r="2243" spans="1:24" ht="12.75" x14ac:dyDescent="0.2">
      <c r="A2243" s="45"/>
      <c r="B2243" s="46"/>
      <c r="C2243" s="46"/>
      <c r="D2243" s="46"/>
      <c r="E2243" s="46"/>
      <c r="F2243" s="46"/>
      <c r="G2243" s="46"/>
      <c r="H2243" s="46"/>
      <c r="I2243" s="46"/>
      <c r="J2243" s="46"/>
      <c r="K2243" s="46"/>
      <c r="L2243" s="46"/>
      <c r="M2243" s="46"/>
      <c r="N2243" s="46"/>
      <c r="O2243" s="46"/>
      <c r="P2243" s="46"/>
      <c r="Q2243" s="46"/>
      <c r="R2243" s="46"/>
      <c r="S2243" s="46"/>
      <c r="T2243" s="46"/>
      <c r="U2243" s="46"/>
      <c r="V2243" s="46"/>
      <c r="W2243" s="46"/>
      <c r="X2243" s="46"/>
    </row>
    <row r="2244" spans="1:24" ht="12.75" x14ac:dyDescent="0.2">
      <c r="A2244" s="45"/>
      <c r="B2244" s="46"/>
      <c r="C2244" s="46"/>
      <c r="D2244" s="46"/>
      <c r="E2244" s="46"/>
      <c r="F2244" s="46"/>
      <c r="G2244" s="46"/>
      <c r="H2244" s="46"/>
      <c r="I2244" s="46"/>
      <c r="J2244" s="46"/>
      <c r="K2244" s="46"/>
      <c r="L2244" s="46"/>
      <c r="M2244" s="46"/>
      <c r="N2244" s="46"/>
      <c r="O2244" s="46"/>
      <c r="P2244" s="46"/>
      <c r="Q2244" s="46"/>
      <c r="R2244" s="46"/>
      <c r="S2244" s="46"/>
      <c r="T2244" s="46"/>
      <c r="U2244" s="46"/>
      <c r="V2244" s="46"/>
      <c r="W2244" s="46"/>
      <c r="X2244" s="46"/>
    </row>
    <row r="2245" spans="1:24" ht="12.75" x14ac:dyDescent="0.2">
      <c r="A2245" s="45"/>
      <c r="B2245" s="46"/>
      <c r="C2245" s="46"/>
      <c r="D2245" s="46"/>
      <c r="E2245" s="46"/>
      <c r="F2245" s="46"/>
      <c r="G2245" s="46"/>
      <c r="H2245" s="46"/>
      <c r="I2245" s="46"/>
      <c r="J2245" s="46"/>
      <c r="K2245" s="46"/>
      <c r="L2245" s="46"/>
      <c r="M2245" s="46"/>
      <c r="N2245" s="46"/>
      <c r="O2245" s="46"/>
      <c r="P2245" s="46"/>
      <c r="Q2245" s="46"/>
      <c r="R2245" s="46"/>
      <c r="S2245" s="46"/>
      <c r="T2245" s="46"/>
      <c r="U2245" s="46"/>
      <c r="V2245" s="46"/>
      <c r="W2245" s="46"/>
      <c r="X2245" s="46"/>
    </row>
    <row r="2246" spans="1:24" ht="12.75" x14ac:dyDescent="0.2">
      <c r="A2246" s="45"/>
      <c r="B2246" s="46"/>
      <c r="C2246" s="46"/>
      <c r="D2246" s="46"/>
      <c r="E2246" s="46"/>
      <c r="F2246" s="46"/>
      <c r="G2246" s="46"/>
      <c r="H2246" s="46"/>
      <c r="I2246" s="46"/>
      <c r="J2246" s="46"/>
      <c r="K2246" s="46"/>
      <c r="L2246" s="46"/>
      <c r="M2246" s="46"/>
      <c r="N2246" s="46"/>
      <c r="O2246" s="46"/>
      <c r="P2246" s="46"/>
      <c r="Q2246" s="46"/>
      <c r="R2246" s="46"/>
      <c r="S2246" s="46"/>
      <c r="T2246" s="46"/>
      <c r="U2246" s="46"/>
      <c r="V2246" s="46"/>
      <c r="W2246" s="46"/>
      <c r="X2246" s="46"/>
    </row>
    <row r="2247" spans="1:24" ht="12.75" x14ac:dyDescent="0.2">
      <c r="A2247" s="45"/>
      <c r="B2247" s="46"/>
      <c r="C2247" s="46"/>
      <c r="D2247" s="46"/>
      <c r="E2247" s="46"/>
      <c r="F2247" s="46"/>
      <c r="G2247" s="46"/>
      <c r="H2247" s="46"/>
      <c r="I2247" s="46"/>
      <c r="J2247" s="46"/>
      <c r="K2247" s="46"/>
      <c r="L2247" s="46"/>
      <c r="M2247" s="46"/>
      <c r="N2247" s="46"/>
      <c r="O2247" s="46"/>
      <c r="P2247" s="46"/>
      <c r="Q2247" s="46"/>
      <c r="R2247" s="46"/>
      <c r="S2247" s="46"/>
      <c r="T2247" s="46"/>
      <c r="U2247" s="46"/>
      <c r="V2247" s="46"/>
      <c r="W2247" s="46"/>
      <c r="X2247" s="46"/>
    </row>
    <row r="2248" spans="1:24" ht="12.75" x14ac:dyDescent="0.2">
      <c r="A2248" s="45"/>
      <c r="B2248" s="46"/>
      <c r="C2248" s="46"/>
      <c r="D2248" s="46"/>
      <c r="E2248" s="46"/>
      <c r="F2248" s="46"/>
      <c r="G2248" s="46"/>
      <c r="H2248" s="46"/>
      <c r="I2248" s="46"/>
      <c r="J2248" s="46"/>
      <c r="K2248" s="46"/>
      <c r="L2248" s="46"/>
      <c r="M2248" s="46"/>
      <c r="N2248" s="46"/>
      <c r="O2248" s="46"/>
      <c r="P2248" s="46"/>
      <c r="Q2248" s="46"/>
      <c r="R2248" s="46"/>
      <c r="S2248" s="46"/>
      <c r="T2248" s="46"/>
      <c r="U2248" s="46"/>
      <c r="V2248" s="46"/>
      <c r="W2248" s="46"/>
      <c r="X2248" s="46"/>
    </row>
    <row r="2249" spans="1:24" ht="12.75" x14ac:dyDescent="0.2">
      <c r="A2249" s="45"/>
      <c r="B2249" s="46"/>
      <c r="C2249" s="46"/>
      <c r="D2249" s="46"/>
      <c r="E2249" s="46"/>
      <c r="F2249" s="46"/>
      <c r="G2249" s="46"/>
      <c r="H2249" s="46"/>
      <c r="I2249" s="46"/>
      <c r="J2249" s="46"/>
      <c r="K2249" s="46"/>
      <c r="L2249" s="46"/>
      <c r="M2249" s="46"/>
      <c r="N2249" s="46"/>
      <c r="O2249" s="46"/>
      <c r="P2249" s="46"/>
      <c r="Q2249" s="46"/>
      <c r="R2249" s="46"/>
      <c r="S2249" s="46"/>
      <c r="T2249" s="46"/>
      <c r="U2249" s="46"/>
      <c r="V2249" s="46"/>
      <c r="W2249" s="46"/>
      <c r="X2249" s="46"/>
    </row>
    <row r="2250" spans="1:24" ht="12.75" x14ac:dyDescent="0.2">
      <c r="A2250" s="45"/>
      <c r="B2250" s="46"/>
      <c r="C2250" s="46"/>
      <c r="D2250" s="46"/>
      <c r="E2250" s="46"/>
      <c r="F2250" s="46"/>
      <c r="G2250" s="46"/>
      <c r="H2250" s="46"/>
      <c r="I2250" s="46"/>
      <c r="J2250" s="46"/>
      <c r="K2250" s="46"/>
      <c r="L2250" s="46"/>
      <c r="M2250" s="46"/>
      <c r="N2250" s="46"/>
      <c r="O2250" s="46"/>
      <c r="P2250" s="46"/>
      <c r="Q2250" s="46"/>
      <c r="R2250" s="46"/>
      <c r="S2250" s="46"/>
      <c r="T2250" s="46"/>
      <c r="U2250" s="46"/>
      <c r="V2250" s="46"/>
      <c r="W2250" s="46"/>
      <c r="X2250" s="46"/>
    </row>
    <row r="2251" spans="1:24" ht="12.75" x14ac:dyDescent="0.2">
      <c r="A2251" s="45"/>
      <c r="B2251" s="46"/>
      <c r="C2251" s="46"/>
      <c r="D2251" s="46"/>
      <c r="E2251" s="46"/>
      <c r="F2251" s="46"/>
      <c r="G2251" s="46"/>
      <c r="H2251" s="46"/>
      <c r="I2251" s="46"/>
      <c r="J2251" s="46"/>
      <c r="K2251" s="46"/>
      <c r="L2251" s="46"/>
      <c r="M2251" s="46"/>
      <c r="N2251" s="46"/>
      <c r="O2251" s="46"/>
      <c r="P2251" s="46"/>
      <c r="Q2251" s="46"/>
      <c r="R2251" s="46"/>
      <c r="S2251" s="46"/>
      <c r="T2251" s="46"/>
      <c r="U2251" s="46"/>
      <c r="V2251" s="46"/>
      <c r="W2251" s="46"/>
      <c r="X2251" s="46"/>
    </row>
    <row r="2252" spans="1:24" ht="12.75" x14ac:dyDescent="0.2">
      <c r="A2252" s="45"/>
      <c r="B2252" s="46"/>
      <c r="C2252" s="46"/>
      <c r="D2252" s="46"/>
      <c r="E2252" s="46"/>
      <c r="F2252" s="46"/>
      <c r="G2252" s="46"/>
      <c r="H2252" s="46"/>
      <c r="I2252" s="46"/>
      <c r="J2252" s="46"/>
      <c r="K2252" s="46"/>
      <c r="L2252" s="46"/>
      <c r="M2252" s="46"/>
      <c r="N2252" s="46"/>
      <c r="O2252" s="46"/>
      <c r="P2252" s="46"/>
      <c r="Q2252" s="46"/>
      <c r="R2252" s="46"/>
      <c r="S2252" s="46"/>
      <c r="T2252" s="46"/>
      <c r="U2252" s="46"/>
      <c r="V2252" s="46"/>
      <c r="W2252" s="46"/>
      <c r="X2252" s="46"/>
    </row>
    <row r="2253" spans="1:24" ht="12.75" x14ac:dyDescent="0.2">
      <c r="A2253" s="45"/>
      <c r="B2253" s="46"/>
      <c r="C2253" s="46"/>
      <c r="D2253" s="46"/>
      <c r="E2253" s="46"/>
      <c r="F2253" s="46"/>
      <c r="G2253" s="46"/>
      <c r="H2253" s="46"/>
      <c r="I2253" s="46"/>
      <c r="J2253" s="46"/>
      <c r="K2253" s="46"/>
      <c r="L2253" s="46"/>
      <c r="M2253" s="46"/>
      <c r="N2253" s="46"/>
      <c r="O2253" s="46"/>
      <c r="P2253" s="46"/>
      <c r="Q2253" s="46"/>
      <c r="R2253" s="46"/>
      <c r="S2253" s="46"/>
      <c r="T2253" s="46"/>
      <c r="U2253" s="46"/>
      <c r="V2253" s="46"/>
      <c r="W2253" s="46"/>
      <c r="X2253" s="46"/>
    </row>
    <row r="2254" spans="1:24" ht="12.75" x14ac:dyDescent="0.2">
      <c r="A2254" s="45"/>
      <c r="B2254" s="46"/>
      <c r="C2254" s="46"/>
      <c r="D2254" s="46"/>
      <c r="E2254" s="46"/>
      <c r="F2254" s="46"/>
      <c r="G2254" s="46"/>
      <c r="H2254" s="46"/>
      <c r="I2254" s="46"/>
      <c r="J2254" s="46"/>
      <c r="K2254" s="46"/>
      <c r="L2254" s="46"/>
      <c r="M2254" s="46"/>
      <c r="N2254" s="46"/>
      <c r="O2254" s="46"/>
      <c r="P2254" s="46"/>
      <c r="Q2254" s="46"/>
      <c r="R2254" s="46"/>
      <c r="S2254" s="46"/>
      <c r="T2254" s="46"/>
      <c r="U2254" s="46"/>
      <c r="V2254" s="46"/>
      <c r="W2254" s="46"/>
      <c r="X2254" s="46"/>
    </row>
    <row r="2255" spans="1:24" ht="12.75" x14ac:dyDescent="0.2">
      <c r="A2255" s="45"/>
      <c r="B2255" s="46"/>
      <c r="C2255" s="46"/>
      <c r="D2255" s="46"/>
      <c r="E2255" s="46"/>
      <c r="F2255" s="46"/>
      <c r="G2255" s="46"/>
      <c r="H2255" s="46"/>
      <c r="I2255" s="46"/>
      <c r="J2255" s="46"/>
      <c r="K2255" s="46"/>
      <c r="L2255" s="46"/>
      <c r="M2255" s="46"/>
      <c r="N2255" s="46"/>
      <c r="O2255" s="46"/>
      <c r="P2255" s="46"/>
      <c r="Q2255" s="46"/>
      <c r="R2255" s="46"/>
      <c r="S2255" s="46"/>
      <c r="T2255" s="46"/>
      <c r="U2255" s="46"/>
      <c r="V2255" s="46"/>
      <c r="W2255" s="46"/>
      <c r="X2255" s="46"/>
    </row>
    <row r="2256" spans="1:24" ht="12.75" x14ac:dyDescent="0.2">
      <c r="A2256" s="45"/>
      <c r="B2256" s="46"/>
      <c r="C2256" s="46"/>
      <c r="D2256" s="46"/>
      <c r="E2256" s="46"/>
      <c r="F2256" s="46"/>
      <c r="G2256" s="46"/>
      <c r="H2256" s="46"/>
      <c r="I2256" s="46"/>
      <c r="J2256" s="46"/>
      <c r="K2256" s="46"/>
      <c r="L2256" s="46"/>
      <c r="M2256" s="46"/>
      <c r="N2256" s="46"/>
      <c r="O2256" s="46"/>
      <c r="P2256" s="46"/>
      <c r="Q2256" s="46"/>
      <c r="R2256" s="46"/>
      <c r="S2256" s="46"/>
      <c r="T2256" s="46"/>
      <c r="U2256" s="46"/>
      <c r="V2256" s="46"/>
      <c r="W2256" s="46"/>
      <c r="X2256" s="46"/>
    </row>
    <row r="2257" spans="1:24" ht="12.75" x14ac:dyDescent="0.2">
      <c r="A2257" s="45"/>
      <c r="B2257" s="46"/>
      <c r="C2257" s="46"/>
      <c r="D2257" s="46"/>
      <c r="E2257" s="46"/>
      <c r="F2257" s="46"/>
      <c r="G2257" s="46"/>
      <c r="H2257" s="46"/>
      <c r="I2257" s="46"/>
      <c r="J2257" s="46"/>
      <c r="K2257" s="46"/>
      <c r="L2257" s="46"/>
      <c r="M2257" s="46"/>
      <c r="N2257" s="46"/>
      <c r="O2257" s="46"/>
      <c r="P2257" s="46"/>
      <c r="Q2257" s="46"/>
      <c r="R2257" s="46"/>
      <c r="S2257" s="46"/>
      <c r="T2257" s="46"/>
      <c r="U2257" s="46"/>
      <c r="V2257" s="46"/>
      <c r="W2257" s="46"/>
      <c r="X2257" s="46"/>
    </row>
    <row r="2258" spans="1:24" ht="12.75" x14ac:dyDescent="0.2">
      <c r="A2258" s="45"/>
      <c r="B2258" s="46"/>
      <c r="C2258" s="46"/>
      <c r="D2258" s="46"/>
      <c r="E2258" s="46"/>
      <c r="F2258" s="46"/>
      <c r="G2258" s="46"/>
      <c r="H2258" s="46"/>
      <c r="I2258" s="46"/>
      <c r="J2258" s="46"/>
      <c r="K2258" s="46"/>
      <c r="L2258" s="46"/>
      <c r="M2258" s="46"/>
      <c r="N2258" s="46"/>
      <c r="O2258" s="46"/>
      <c r="P2258" s="46"/>
      <c r="Q2258" s="46"/>
      <c r="R2258" s="46"/>
      <c r="S2258" s="46"/>
      <c r="T2258" s="46"/>
      <c r="U2258" s="46"/>
      <c r="V2258" s="46"/>
      <c r="W2258" s="46"/>
      <c r="X2258" s="46"/>
    </row>
    <row r="2259" spans="1:24" ht="12.75" x14ac:dyDescent="0.2">
      <c r="A2259" s="45"/>
      <c r="B2259" s="46"/>
      <c r="C2259" s="46"/>
      <c r="D2259" s="46"/>
      <c r="E2259" s="46"/>
      <c r="F2259" s="46"/>
      <c r="G2259" s="46"/>
      <c r="H2259" s="46"/>
      <c r="I2259" s="46"/>
      <c r="J2259" s="46"/>
      <c r="K2259" s="46"/>
      <c r="L2259" s="46"/>
      <c r="M2259" s="46"/>
      <c r="N2259" s="46"/>
      <c r="O2259" s="46"/>
      <c r="P2259" s="46"/>
      <c r="Q2259" s="46"/>
      <c r="R2259" s="46"/>
      <c r="S2259" s="46"/>
      <c r="T2259" s="46"/>
      <c r="U2259" s="46"/>
      <c r="V2259" s="46"/>
      <c r="W2259" s="46"/>
      <c r="X2259" s="46"/>
    </row>
    <row r="2260" spans="1:24" ht="12.75" x14ac:dyDescent="0.2">
      <c r="A2260" s="45"/>
      <c r="B2260" s="46"/>
      <c r="C2260" s="46"/>
      <c r="D2260" s="46"/>
      <c r="E2260" s="46"/>
      <c r="F2260" s="46"/>
      <c r="G2260" s="46"/>
      <c r="H2260" s="46"/>
      <c r="I2260" s="46"/>
      <c r="J2260" s="46"/>
      <c r="K2260" s="46"/>
      <c r="L2260" s="46"/>
      <c r="M2260" s="46"/>
      <c r="N2260" s="46"/>
      <c r="O2260" s="46"/>
      <c r="P2260" s="46"/>
      <c r="Q2260" s="46"/>
      <c r="R2260" s="46"/>
      <c r="S2260" s="46"/>
      <c r="T2260" s="46"/>
      <c r="U2260" s="46"/>
      <c r="V2260" s="46"/>
      <c r="W2260" s="46"/>
      <c r="X2260" s="46"/>
    </row>
    <row r="2261" spans="1:24" ht="12.75" x14ac:dyDescent="0.2">
      <c r="A2261" s="45"/>
      <c r="B2261" s="46"/>
      <c r="C2261" s="46"/>
      <c r="D2261" s="46"/>
      <c r="E2261" s="46"/>
      <c r="F2261" s="46"/>
      <c r="G2261" s="46"/>
      <c r="H2261" s="46"/>
      <c r="I2261" s="46"/>
      <c r="J2261" s="46"/>
      <c r="K2261" s="46"/>
      <c r="L2261" s="46"/>
      <c r="M2261" s="46"/>
      <c r="N2261" s="46"/>
      <c r="O2261" s="46"/>
      <c r="P2261" s="46"/>
      <c r="Q2261" s="46"/>
      <c r="R2261" s="46"/>
      <c r="S2261" s="46"/>
      <c r="T2261" s="46"/>
      <c r="U2261" s="46"/>
      <c r="V2261" s="46"/>
      <c r="W2261" s="46"/>
      <c r="X2261" s="46"/>
    </row>
    <row r="2262" spans="1:24" ht="12.75" x14ac:dyDescent="0.2">
      <c r="A2262" s="45"/>
      <c r="B2262" s="46"/>
      <c r="C2262" s="46"/>
      <c r="D2262" s="46"/>
      <c r="E2262" s="46"/>
      <c r="F2262" s="46"/>
      <c r="G2262" s="46"/>
      <c r="H2262" s="46"/>
      <c r="I2262" s="46"/>
      <c r="J2262" s="46"/>
      <c r="K2262" s="46"/>
      <c r="L2262" s="46"/>
      <c r="M2262" s="46"/>
      <c r="N2262" s="46"/>
      <c r="O2262" s="46"/>
      <c r="P2262" s="46"/>
      <c r="Q2262" s="46"/>
      <c r="R2262" s="46"/>
      <c r="S2262" s="46"/>
      <c r="T2262" s="46"/>
      <c r="U2262" s="46"/>
      <c r="V2262" s="46"/>
      <c r="W2262" s="46"/>
      <c r="X2262" s="46"/>
    </row>
    <row r="2263" spans="1:24" ht="12.75" x14ac:dyDescent="0.2">
      <c r="A2263" s="45"/>
      <c r="B2263" s="46"/>
      <c r="C2263" s="46"/>
      <c r="D2263" s="46"/>
      <c r="E2263" s="46"/>
      <c r="F2263" s="46"/>
      <c r="G2263" s="46"/>
      <c r="H2263" s="46"/>
      <c r="I2263" s="46"/>
      <c r="J2263" s="46"/>
      <c r="K2263" s="46"/>
      <c r="L2263" s="46"/>
      <c r="M2263" s="46"/>
      <c r="N2263" s="46"/>
      <c r="O2263" s="46"/>
      <c r="P2263" s="46"/>
      <c r="Q2263" s="46"/>
      <c r="R2263" s="46"/>
      <c r="S2263" s="46"/>
      <c r="T2263" s="46"/>
      <c r="U2263" s="46"/>
      <c r="V2263" s="46"/>
      <c r="W2263" s="46"/>
      <c r="X2263" s="46"/>
    </row>
    <row r="2264" spans="1:24" ht="12.75" x14ac:dyDescent="0.2">
      <c r="A2264" s="45"/>
      <c r="B2264" s="46"/>
      <c r="C2264" s="46"/>
      <c r="D2264" s="46"/>
      <c r="E2264" s="46"/>
      <c r="F2264" s="46"/>
      <c r="G2264" s="46"/>
      <c r="H2264" s="46"/>
      <c r="I2264" s="46"/>
      <c r="J2264" s="46"/>
      <c r="K2264" s="46"/>
      <c r="L2264" s="46"/>
      <c r="M2264" s="46"/>
      <c r="N2264" s="46"/>
      <c r="O2264" s="46"/>
      <c r="P2264" s="46"/>
      <c r="Q2264" s="46"/>
      <c r="R2264" s="46"/>
      <c r="S2264" s="46"/>
      <c r="T2264" s="46"/>
      <c r="U2264" s="46"/>
      <c r="V2264" s="46"/>
      <c r="W2264" s="46"/>
      <c r="X2264" s="46"/>
    </row>
    <row r="2265" spans="1:24" ht="12.75" x14ac:dyDescent="0.2">
      <c r="A2265" s="45"/>
      <c r="B2265" s="46"/>
      <c r="C2265" s="46"/>
      <c r="D2265" s="46"/>
      <c r="E2265" s="46"/>
      <c r="F2265" s="46"/>
      <c r="G2265" s="46"/>
      <c r="H2265" s="46"/>
      <c r="I2265" s="46"/>
      <c r="J2265" s="46"/>
      <c r="K2265" s="46"/>
      <c r="L2265" s="46"/>
      <c r="M2265" s="46"/>
      <c r="N2265" s="46"/>
      <c r="O2265" s="46"/>
      <c r="P2265" s="46"/>
      <c r="Q2265" s="46"/>
      <c r="R2265" s="46"/>
      <c r="S2265" s="46"/>
      <c r="T2265" s="46"/>
      <c r="U2265" s="46"/>
      <c r="V2265" s="46"/>
      <c r="W2265" s="46"/>
      <c r="X2265" s="46"/>
    </row>
    <row r="2266" spans="1:24" ht="12.75" x14ac:dyDescent="0.2">
      <c r="A2266" s="45"/>
      <c r="B2266" s="46"/>
      <c r="C2266" s="46"/>
      <c r="D2266" s="46"/>
      <c r="E2266" s="46"/>
      <c r="F2266" s="46"/>
      <c r="G2266" s="46"/>
      <c r="H2266" s="46"/>
      <c r="I2266" s="46"/>
      <c r="J2266" s="46"/>
      <c r="K2266" s="46"/>
      <c r="L2266" s="46"/>
      <c r="M2266" s="46"/>
      <c r="N2266" s="46"/>
      <c r="O2266" s="46"/>
      <c r="P2266" s="46"/>
      <c r="Q2266" s="46"/>
      <c r="R2266" s="46"/>
      <c r="S2266" s="46"/>
      <c r="T2266" s="46"/>
      <c r="U2266" s="46"/>
      <c r="V2266" s="46"/>
      <c r="W2266" s="46"/>
      <c r="X2266" s="46"/>
    </row>
    <row r="2267" spans="1:24" ht="12.75" x14ac:dyDescent="0.2">
      <c r="A2267" s="45"/>
      <c r="B2267" s="46"/>
      <c r="C2267" s="46"/>
      <c r="D2267" s="46"/>
      <c r="E2267" s="46"/>
      <c r="F2267" s="46"/>
      <c r="G2267" s="46"/>
      <c r="H2267" s="46"/>
      <c r="I2267" s="46"/>
      <c r="J2267" s="46"/>
      <c r="K2267" s="46"/>
      <c r="L2267" s="46"/>
      <c r="M2267" s="46"/>
      <c r="N2267" s="46"/>
      <c r="O2267" s="46"/>
      <c r="P2267" s="46"/>
      <c r="Q2267" s="46"/>
      <c r="R2267" s="46"/>
      <c r="S2267" s="46"/>
      <c r="T2267" s="46"/>
      <c r="U2267" s="46"/>
      <c r="V2267" s="46"/>
      <c r="W2267" s="46"/>
      <c r="X2267" s="46"/>
    </row>
    <row r="2268" spans="1:24" ht="12.75" x14ac:dyDescent="0.2">
      <c r="A2268" s="45"/>
      <c r="B2268" s="46"/>
      <c r="C2268" s="46"/>
      <c r="D2268" s="46"/>
      <c r="E2268" s="46"/>
      <c r="F2268" s="46"/>
      <c r="G2268" s="46"/>
      <c r="H2268" s="46"/>
      <c r="I2268" s="46"/>
      <c r="J2268" s="46"/>
      <c r="K2268" s="46"/>
      <c r="L2268" s="46"/>
      <c r="M2268" s="46"/>
      <c r="N2268" s="46"/>
      <c r="O2268" s="46"/>
      <c r="P2268" s="46"/>
      <c r="Q2268" s="46"/>
      <c r="R2268" s="46"/>
      <c r="S2268" s="46"/>
      <c r="T2268" s="46"/>
      <c r="U2268" s="46"/>
      <c r="V2268" s="46"/>
      <c r="W2268" s="46"/>
      <c r="X2268" s="46"/>
    </row>
    <row r="2269" spans="1:24" ht="12.75" x14ac:dyDescent="0.2">
      <c r="A2269" s="45"/>
      <c r="B2269" s="46"/>
      <c r="C2269" s="46"/>
      <c r="D2269" s="46"/>
      <c r="E2269" s="46"/>
      <c r="F2269" s="46"/>
      <c r="G2269" s="46"/>
      <c r="H2269" s="46"/>
      <c r="I2269" s="46"/>
      <c r="J2269" s="46"/>
      <c r="K2269" s="46"/>
      <c r="L2269" s="46"/>
      <c r="M2269" s="46"/>
      <c r="N2269" s="46"/>
      <c r="O2269" s="46"/>
      <c r="P2269" s="46"/>
      <c r="Q2269" s="46"/>
      <c r="R2269" s="46"/>
      <c r="S2269" s="46"/>
      <c r="T2269" s="46"/>
      <c r="U2269" s="46"/>
      <c r="V2269" s="46"/>
      <c r="W2269" s="46"/>
      <c r="X2269" s="46"/>
    </row>
    <row r="2270" spans="1:24" ht="12.75" x14ac:dyDescent="0.2">
      <c r="A2270" s="45"/>
      <c r="B2270" s="46"/>
      <c r="C2270" s="46"/>
      <c r="D2270" s="46"/>
      <c r="E2270" s="46"/>
      <c r="F2270" s="46"/>
      <c r="G2270" s="46"/>
      <c r="H2270" s="46"/>
      <c r="I2270" s="46"/>
      <c r="J2270" s="46"/>
      <c r="K2270" s="46"/>
      <c r="L2270" s="46"/>
      <c r="M2270" s="46"/>
      <c r="N2270" s="46"/>
      <c r="O2270" s="46"/>
      <c r="P2270" s="46"/>
      <c r="Q2270" s="46"/>
      <c r="R2270" s="46"/>
      <c r="S2270" s="46"/>
      <c r="T2270" s="46"/>
      <c r="U2270" s="46"/>
      <c r="V2270" s="46"/>
      <c r="W2270" s="46"/>
      <c r="X2270" s="46"/>
    </row>
    <row r="2271" spans="1:24" ht="12.75" x14ac:dyDescent="0.2">
      <c r="A2271" s="45"/>
      <c r="B2271" s="46"/>
      <c r="C2271" s="46"/>
      <c r="D2271" s="46"/>
      <c r="E2271" s="46"/>
      <c r="F2271" s="46"/>
      <c r="G2271" s="46"/>
      <c r="H2271" s="46"/>
      <c r="I2271" s="46"/>
      <c r="J2271" s="46"/>
      <c r="K2271" s="46"/>
      <c r="L2271" s="46"/>
      <c r="M2271" s="46"/>
      <c r="N2271" s="46"/>
      <c r="O2271" s="46"/>
      <c r="P2271" s="46"/>
      <c r="Q2271" s="46"/>
      <c r="R2271" s="46"/>
      <c r="S2271" s="46"/>
      <c r="T2271" s="46"/>
      <c r="U2271" s="46"/>
      <c r="V2271" s="46"/>
      <c r="W2271" s="46"/>
      <c r="X2271" s="46"/>
    </row>
    <row r="2272" spans="1:24" ht="12.75" x14ac:dyDescent="0.2">
      <c r="A2272" s="45"/>
      <c r="B2272" s="46"/>
      <c r="C2272" s="46"/>
      <c r="D2272" s="46"/>
      <c r="E2272" s="46"/>
      <c r="F2272" s="46"/>
      <c r="G2272" s="46"/>
      <c r="H2272" s="46"/>
      <c r="I2272" s="46"/>
      <c r="J2272" s="46"/>
      <c r="K2272" s="46"/>
      <c r="L2272" s="46"/>
      <c r="M2272" s="46"/>
      <c r="N2272" s="46"/>
      <c r="O2272" s="46"/>
      <c r="P2272" s="46"/>
      <c r="Q2272" s="46"/>
      <c r="R2272" s="46"/>
      <c r="S2272" s="46"/>
      <c r="T2272" s="46"/>
      <c r="U2272" s="46"/>
      <c r="V2272" s="46"/>
      <c r="W2272" s="46"/>
      <c r="X2272" s="46"/>
    </row>
    <row r="2273" spans="1:24" ht="12.75" x14ac:dyDescent="0.2">
      <c r="A2273" s="45"/>
      <c r="B2273" s="46"/>
      <c r="C2273" s="46"/>
      <c r="D2273" s="46"/>
      <c r="E2273" s="46"/>
      <c r="F2273" s="46"/>
      <c r="G2273" s="46"/>
      <c r="H2273" s="46"/>
      <c r="I2273" s="46"/>
      <c r="J2273" s="46"/>
      <c r="K2273" s="46"/>
      <c r="L2273" s="46"/>
      <c r="M2273" s="46"/>
      <c r="N2273" s="46"/>
      <c r="O2273" s="46"/>
      <c r="P2273" s="46"/>
      <c r="Q2273" s="46"/>
      <c r="R2273" s="46"/>
      <c r="S2273" s="46"/>
      <c r="T2273" s="46"/>
      <c r="U2273" s="46"/>
      <c r="V2273" s="46"/>
      <c r="W2273" s="46"/>
      <c r="X2273" s="46"/>
    </row>
    <row r="2274" spans="1:24" ht="12.75" x14ac:dyDescent="0.2">
      <c r="A2274" s="45"/>
      <c r="B2274" s="46"/>
      <c r="C2274" s="46"/>
      <c r="D2274" s="46"/>
      <c r="E2274" s="46"/>
      <c r="F2274" s="46"/>
      <c r="G2274" s="46"/>
      <c r="H2274" s="46"/>
      <c r="I2274" s="46"/>
      <c r="J2274" s="46"/>
      <c r="K2274" s="46"/>
      <c r="L2274" s="46"/>
      <c r="M2274" s="46"/>
      <c r="N2274" s="46"/>
      <c r="O2274" s="46"/>
      <c r="P2274" s="46"/>
      <c r="Q2274" s="46"/>
      <c r="R2274" s="46"/>
      <c r="S2274" s="46"/>
      <c r="T2274" s="46"/>
      <c r="U2274" s="46"/>
      <c r="V2274" s="46"/>
      <c r="W2274" s="46"/>
      <c r="X2274" s="46"/>
    </row>
    <row r="2275" spans="1:24" ht="12.75" x14ac:dyDescent="0.2">
      <c r="A2275" s="45"/>
      <c r="B2275" s="46"/>
      <c r="C2275" s="46"/>
      <c r="D2275" s="46"/>
      <c r="E2275" s="46"/>
      <c r="F2275" s="46"/>
      <c r="G2275" s="46"/>
      <c r="H2275" s="46"/>
      <c r="I2275" s="46"/>
      <c r="J2275" s="46"/>
      <c r="K2275" s="46"/>
      <c r="L2275" s="46"/>
      <c r="M2275" s="46"/>
      <c r="N2275" s="46"/>
      <c r="O2275" s="46"/>
      <c r="P2275" s="46"/>
      <c r="Q2275" s="46"/>
      <c r="R2275" s="46"/>
      <c r="S2275" s="46"/>
      <c r="T2275" s="46"/>
      <c r="U2275" s="46"/>
      <c r="V2275" s="46"/>
      <c r="W2275" s="46"/>
      <c r="X2275" s="46"/>
    </row>
    <row r="2276" spans="1:24" ht="12.75" x14ac:dyDescent="0.2">
      <c r="A2276" s="45"/>
      <c r="B2276" s="46"/>
      <c r="C2276" s="46"/>
      <c r="D2276" s="46"/>
      <c r="E2276" s="46"/>
      <c r="F2276" s="46"/>
      <c r="G2276" s="46"/>
      <c r="H2276" s="46"/>
      <c r="I2276" s="46"/>
      <c r="J2276" s="46"/>
      <c r="K2276" s="46"/>
      <c r="L2276" s="46"/>
      <c r="M2276" s="46"/>
      <c r="N2276" s="46"/>
      <c r="O2276" s="46"/>
      <c r="P2276" s="46"/>
      <c r="Q2276" s="46"/>
      <c r="R2276" s="46"/>
      <c r="S2276" s="46"/>
      <c r="T2276" s="46"/>
      <c r="U2276" s="46"/>
      <c r="V2276" s="46"/>
      <c r="W2276" s="46"/>
      <c r="X2276" s="46"/>
    </row>
    <row r="2277" spans="1:24" ht="12.75" x14ac:dyDescent="0.2">
      <c r="A2277" s="45"/>
      <c r="B2277" s="46"/>
      <c r="C2277" s="46"/>
      <c r="D2277" s="46"/>
      <c r="E2277" s="46"/>
      <c r="F2277" s="46"/>
      <c r="G2277" s="46"/>
      <c r="H2277" s="46"/>
      <c r="I2277" s="46"/>
      <c r="J2277" s="46"/>
      <c r="K2277" s="46"/>
      <c r="L2277" s="46"/>
      <c r="M2277" s="46"/>
      <c r="N2277" s="46"/>
      <c r="O2277" s="46"/>
      <c r="P2277" s="46"/>
      <c r="Q2277" s="46"/>
      <c r="R2277" s="46"/>
      <c r="S2277" s="46"/>
      <c r="T2277" s="46"/>
      <c r="U2277" s="46"/>
      <c r="V2277" s="46"/>
      <c r="W2277" s="46"/>
      <c r="X2277" s="46"/>
    </row>
    <row r="2278" spans="1:24" ht="12.75" x14ac:dyDescent="0.2">
      <c r="A2278" s="45"/>
      <c r="B2278" s="46"/>
      <c r="C2278" s="46"/>
      <c r="D2278" s="46"/>
      <c r="E2278" s="46"/>
      <c r="F2278" s="46"/>
      <c r="G2278" s="46"/>
      <c r="H2278" s="46"/>
      <c r="I2278" s="46"/>
      <c r="J2278" s="46"/>
      <c r="K2278" s="46"/>
      <c r="L2278" s="46"/>
      <c r="M2278" s="46"/>
      <c r="N2278" s="46"/>
      <c r="O2278" s="46"/>
      <c r="P2278" s="46"/>
      <c r="Q2278" s="46"/>
      <c r="R2278" s="46"/>
      <c r="S2278" s="46"/>
      <c r="T2278" s="46"/>
      <c r="U2278" s="46"/>
      <c r="V2278" s="46"/>
      <c r="W2278" s="46"/>
      <c r="X2278" s="46"/>
    </row>
    <row r="2279" spans="1:24" ht="12.75" x14ac:dyDescent="0.2">
      <c r="A2279" s="45"/>
      <c r="B2279" s="46"/>
      <c r="C2279" s="46"/>
      <c r="D2279" s="46"/>
      <c r="E2279" s="46"/>
      <c r="F2279" s="46"/>
      <c r="G2279" s="46"/>
      <c r="H2279" s="46"/>
      <c r="I2279" s="46"/>
      <c r="J2279" s="46"/>
      <c r="K2279" s="46"/>
      <c r="L2279" s="46"/>
      <c r="M2279" s="46"/>
      <c r="N2279" s="46"/>
      <c r="O2279" s="46"/>
      <c r="P2279" s="46"/>
      <c r="Q2279" s="46"/>
      <c r="R2279" s="46"/>
      <c r="S2279" s="46"/>
      <c r="T2279" s="46"/>
      <c r="U2279" s="46"/>
      <c r="V2279" s="46"/>
      <c r="W2279" s="46"/>
      <c r="X2279" s="46"/>
    </row>
    <row r="2280" spans="1:24" ht="12.75" x14ac:dyDescent="0.2">
      <c r="A2280" s="45"/>
      <c r="B2280" s="46"/>
      <c r="C2280" s="46"/>
      <c r="D2280" s="46"/>
      <c r="E2280" s="46"/>
      <c r="F2280" s="46"/>
      <c r="G2280" s="46"/>
      <c r="H2280" s="46"/>
      <c r="I2280" s="46"/>
      <c r="J2280" s="46"/>
      <c r="K2280" s="46"/>
      <c r="L2280" s="46"/>
      <c r="M2280" s="46"/>
      <c r="N2280" s="46"/>
      <c r="O2280" s="46"/>
      <c r="P2280" s="46"/>
      <c r="Q2280" s="46"/>
      <c r="R2280" s="46"/>
      <c r="S2280" s="46"/>
      <c r="T2280" s="46"/>
      <c r="U2280" s="46"/>
      <c r="V2280" s="46"/>
      <c r="W2280" s="46"/>
      <c r="X2280" s="46"/>
    </row>
    <row r="2281" spans="1:24" ht="12.75" x14ac:dyDescent="0.2">
      <c r="A2281" s="45"/>
      <c r="B2281" s="46"/>
      <c r="C2281" s="46"/>
      <c r="D2281" s="46"/>
      <c r="E2281" s="46"/>
      <c r="F2281" s="46"/>
      <c r="G2281" s="46"/>
      <c r="H2281" s="46"/>
      <c r="I2281" s="46"/>
      <c r="J2281" s="46"/>
      <c r="K2281" s="46"/>
      <c r="L2281" s="46"/>
      <c r="M2281" s="46"/>
      <c r="N2281" s="46"/>
      <c r="O2281" s="46"/>
      <c r="P2281" s="46"/>
      <c r="Q2281" s="46"/>
      <c r="R2281" s="46"/>
      <c r="S2281" s="46"/>
      <c r="T2281" s="46"/>
      <c r="U2281" s="46"/>
      <c r="V2281" s="46"/>
      <c r="W2281" s="46"/>
      <c r="X2281" s="46"/>
    </row>
    <row r="2282" spans="1:24" ht="12.75" x14ac:dyDescent="0.2">
      <c r="A2282" s="45"/>
      <c r="B2282" s="46"/>
      <c r="C2282" s="46"/>
      <c r="D2282" s="46"/>
      <c r="E2282" s="46"/>
      <c r="F2282" s="46"/>
      <c r="G2282" s="46"/>
      <c r="H2282" s="46"/>
      <c r="I2282" s="46"/>
      <c r="J2282" s="46"/>
      <c r="K2282" s="46"/>
      <c r="L2282" s="46"/>
      <c r="M2282" s="46"/>
      <c r="N2282" s="46"/>
      <c r="O2282" s="46"/>
      <c r="P2282" s="46"/>
      <c r="Q2282" s="46"/>
      <c r="R2282" s="46"/>
      <c r="S2282" s="46"/>
      <c r="T2282" s="46"/>
      <c r="U2282" s="46"/>
      <c r="V2282" s="46"/>
      <c r="W2282" s="46"/>
      <c r="X2282" s="46"/>
    </row>
    <row r="2283" spans="1:24" ht="12.75" x14ac:dyDescent="0.2">
      <c r="A2283" s="45"/>
      <c r="B2283" s="46"/>
      <c r="C2283" s="46"/>
      <c r="D2283" s="46"/>
      <c r="E2283" s="46"/>
      <c r="F2283" s="46"/>
      <c r="G2283" s="46"/>
      <c r="H2283" s="46"/>
      <c r="I2283" s="46"/>
      <c r="J2283" s="46"/>
      <c r="K2283" s="46"/>
      <c r="L2283" s="46"/>
      <c r="M2283" s="46"/>
      <c r="N2283" s="46"/>
      <c r="O2283" s="46"/>
      <c r="P2283" s="46"/>
      <c r="Q2283" s="46"/>
      <c r="R2283" s="46"/>
      <c r="S2283" s="46"/>
      <c r="T2283" s="46"/>
      <c r="U2283" s="46"/>
      <c r="V2283" s="46"/>
      <c r="W2283" s="46"/>
      <c r="X2283" s="46"/>
    </row>
    <row r="2284" spans="1:24" ht="12.75" x14ac:dyDescent="0.2">
      <c r="A2284" s="45"/>
      <c r="B2284" s="46"/>
      <c r="C2284" s="46"/>
      <c r="D2284" s="46"/>
      <c r="E2284" s="46"/>
      <c r="F2284" s="46"/>
      <c r="G2284" s="46"/>
      <c r="H2284" s="46"/>
      <c r="I2284" s="46"/>
      <c r="J2284" s="46"/>
      <c r="K2284" s="46"/>
      <c r="L2284" s="46"/>
      <c r="M2284" s="46"/>
      <c r="N2284" s="46"/>
      <c r="O2284" s="46"/>
      <c r="P2284" s="46"/>
      <c r="Q2284" s="46"/>
      <c r="R2284" s="46"/>
      <c r="S2284" s="46"/>
      <c r="T2284" s="46"/>
      <c r="U2284" s="46"/>
      <c r="V2284" s="46"/>
      <c r="W2284" s="46"/>
      <c r="X2284" s="46"/>
    </row>
    <row r="2285" spans="1:24" ht="12.75" x14ac:dyDescent="0.2">
      <c r="A2285" s="45"/>
      <c r="B2285" s="46"/>
      <c r="C2285" s="46"/>
      <c r="D2285" s="46"/>
      <c r="E2285" s="46"/>
      <c r="F2285" s="46"/>
      <c r="G2285" s="46"/>
      <c r="H2285" s="46"/>
      <c r="I2285" s="46"/>
      <c r="J2285" s="46"/>
      <c r="K2285" s="46"/>
      <c r="L2285" s="46"/>
      <c r="M2285" s="46"/>
      <c r="N2285" s="46"/>
      <c r="O2285" s="46"/>
      <c r="P2285" s="46"/>
      <c r="Q2285" s="46"/>
      <c r="R2285" s="46"/>
      <c r="S2285" s="46"/>
      <c r="T2285" s="46"/>
      <c r="U2285" s="46"/>
      <c r="V2285" s="46"/>
      <c r="W2285" s="46"/>
      <c r="X2285" s="46"/>
    </row>
    <row r="2286" spans="1:24" ht="12.75" x14ac:dyDescent="0.2">
      <c r="A2286" s="45"/>
      <c r="B2286" s="46"/>
      <c r="C2286" s="46"/>
      <c r="D2286" s="46"/>
      <c r="E2286" s="46"/>
      <c r="F2286" s="46"/>
      <c r="G2286" s="46"/>
      <c r="H2286" s="46"/>
      <c r="I2286" s="46"/>
      <c r="J2286" s="46"/>
      <c r="K2286" s="46"/>
      <c r="L2286" s="46"/>
      <c r="M2286" s="46"/>
      <c r="N2286" s="46"/>
      <c r="O2286" s="46"/>
      <c r="P2286" s="46"/>
      <c r="Q2286" s="46"/>
      <c r="R2286" s="46"/>
      <c r="S2286" s="46"/>
      <c r="T2286" s="46"/>
      <c r="U2286" s="46"/>
      <c r="V2286" s="46"/>
      <c r="W2286" s="46"/>
      <c r="X2286" s="46"/>
    </row>
    <row r="2287" spans="1:24" ht="12.75" x14ac:dyDescent="0.2">
      <c r="A2287" s="45"/>
      <c r="B2287" s="46"/>
      <c r="C2287" s="46"/>
      <c r="D2287" s="46"/>
      <c r="E2287" s="46"/>
      <c r="F2287" s="46"/>
      <c r="G2287" s="46"/>
      <c r="H2287" s="46"/>
      <c r="I2287" s="46"/>
      <c r="J2287" s="46"/>
      <c r="K2287" s="46"/>
      <c r="L2287" s="46"/>
      <c r="M2287" s="46"/>
      <c r="N2287" s="46"/>
      <c r="O2287" s="46"/>
      <c r="P2287" s="46"/>
      <c r="Q2287" s="46"/>
      <c r="R2287" s="46"/>
      <c r="S2287" s="46"/>
      <c r="T2287" s="46"/>
      <c r="U2287" s="46"/>
      <c r="V2287" s="46"/>
      <c r="W2287" s="46"/>
      <c r="X2287" s="46"/>
    </row>
    <row r="2288" spans="1:24" ht="12.75" x14ac:dyDescent="0.2">
      <c r="A2288" s="45"/>
      <c r="B2288" s="46"/>
      <c r="C2288" s="46"/>
      <c r="D2288" s="46"/>
      <c r="E2288" s="46"/>
      <c r="F2288" s="46"/>
      <c r="G2288" s="46"/>
      <c r="H2288" s="46"/>
      <c r="I2288" s="46"/>
      <c r="J2288" s="46"/>
      <c r="K2288" s="46"/>
      <c r="L2288" s="46"/>
      <c r="M2288" s="46"/>
      <c r="N2288" s="46"/>
      <c r="O2288" s="46"/>
      <c r="P2288" s="46"/>
      <c r="Q2288" s="46"/>
      <c r="R2288" s="46"/>
      <c r="S2288" s="46"/>
      <c r="T2288" s="46"/>
      <c r="U2288" s="46"/>
      <c r="V2288" s="46"/>
      <c r="W2288" s="46"/>
      <c r="X2288" s="46"/>
    </row>
    <row r="2289" spans="1:24" ht="12.75" x14ac:dyDescent="0.2">
      <c r="A2289" s="45"/>
      <c r="B2289" s="46"/>
      <c r="C2289" s="46"/>
      <c r="D2289" s="46"/>
      <c r="E2289" s="46"/>
      <c r="F2289" s="46"/>
      <c r="G2289" s="46"/>
      <c r="H2289" s="46"/>
      <c r="I2289" s="46"/>
      <c r="J2289" s="46"/>
      <c r="K2289" s="46"/>
      <c r="L2289" s="46"/>
      <c r="M2289" s="46"/>
      <c r="N2289" s="46"/>
      <c r="O2289" s="46"/>
      <c r="P2289" s="46"/>
      <c r="Q2289" s="46"/>
      <c r="R2289" s="46"/>
      <c r="S2289" s="46"/>
      <c r="T2289" s="46"/>
      <c r="U2289" s="46"/>
      <c r="V2289" s="46"/>
      <c r="W2289" s="46"/>
      <c r="X2289" s="46"/>
    </row>
    <row r="2290" spans="1:24" ht="12.75" x14ac:dyDescent="0.2">
      <c r="A2290" s="45"/>
      <c r="B2290" s="46"/>
      <c r="C2290" s="46"/>
      <c r="D2290" s="46"/>
      <c r="E2290" s="46"/>
      <c r="F2290" s="46"/>
      <c r="G2290" s="46"/>
      <c r="H2290" s="46"/>
      <c r="I2290" s="46"/>
      <c r="J2290" s="46"/>
      <c r="K2290" s="46"/>
      <c r="L2290" s="46"/>
      <c r="M2290" s="46"/>
      <c r="N2290" s="46"/>
      <c r="O2290" s="46"/>
      <c r="P2290" s="46"/>
      <c r="Q2290" s="46"/>
      <c r="R2290" s="46"/>
      <c r="S2290" s="46"/>
      <c r="T2290" s="46"/>
      <c r="U2290" s="46"/>
      <c r="V2290" s="46"/>
      <c r="W2290" s="46"/>
      <c r="X2290" s="46"/>
    </row>
    <row r="2291" spans="1:24" ht="12.75" x14ac:dyDescent="0.2">
      <c r="A2291" s="45"/>
      <c r="B2291" s="46"/>
      <c r="C2291" s="46"/>
      <c r="D2291" s="46"/>
      <c r="E2291" s="46"/>
      <c r="F2291" s="46"/>
      <c r="G2291" s="46"/>
      <c r="H2291" s="46"/>
      <c r="I2291" s="46"/>
      <c r="J2291" s="46"/>
      <c r="K2291" s="46"/>
      <c r="L2291" s="46"/>
      <c r="M2291" s="46"/>
      <c r="N2291" s="46"/>
      <c r="O2291" s="46"/>
      <c r="P2291" s="46"/>
      <c r="Q2291" s="46"/>
      <c r="R2291" s="46"/>
      <c r="S2291" s="46"/>
      <c r="T2291" s="46"/>
      <c r="U2291" s="46"/>
      <c r="V2291" s="46"/>
      <c r="W2291" s="46"/>
      <c r="X2291" s="46"/>
    </row>
    <row r="2292" spans="1:24" ht="12.75" x14ac:dyDescent="0.2">
      <c r="A2292" s="45"/>
      <c r="B2292" s="46"/>
      <c r="C2292" s="46"/>
      <c r="D2292" s="46"/>
      <c r="E2292" s="46"/>
      <c r="F2292" s="46"/>
      <c r="G2292" s="46"/>
      <c r="H2292" s="46"/>
      <c r="I2292" s="46"/>
      <c r="J2292" s="46"/>
      <c r="K2292" s="46"/>
      <c r="L2292" s="46"/>
      <c r="M2292" s="46"/>
      <c r="N2292" s="46"/>
      <c r="O2292" s="46"/>
      <c r="P2292" s="46"/>
      <c r="Q2292" s="46"/>
      <c r="R2292" s="46"/>
      <c r="S2292" s="46"/>
      <c r="T2292" s="46"/>
      <c r="U2292" s="46"/>
      <c r="V2292" s="46"/>
      <c r="W2292" s="46"/>
      <c r="X2292" s="46"/>
    </row>
    <row r="2293" spans="1:24" ht="12.75" x14ac:dyDescent="0.2">
      <c r="A2293" s="45"/>
      <c r="B2293" s="46"/>
      <c r="C2293" s="46"/>
      <c r="D2293" s="46"/>
      <c r="E2293" s="46"/>
      <c r="F2293" s="46"/>
      <c r="G2293" s="46"/>
      <c r="H2293" s="46"/>
      <c r="I2293" s="46"/>
      <c r="J2293" s="46"/>
      <c r="K2293" s="46"/>
      <c r="L2293" s="46"/>
      <c r="M2293" s="46"/>
      <c r="N2293" s="46"/>
      <c r="O2293" s="46"/>
      <c r="P2293" s="46"/>
      <c r="Q2293" s="46"/>
      <c r="R2293" s="46"/>
      <c r="S2293" s="46"/>
      <c r="T2293" s="46"/>
      <c r="U2293" s="46"/>
      <c r="V2293" s="46"/>
      <c r="W2293" s="46"/>
      <c r="X2293" s="46"/>
    </row>
    <row r="2294" spans="1:24" ht="12.75" x14ac:dyDescent="0.2">
      <c r="A2294" s="45"/>
      <c r="B2294" s="46"/>
      <c r="C2294" s="46"/>
      <c r="D2294" s="46"/>
      <c r="E2294" s="46"/>
      <c r="F2294" s="46"/>
      <c r="G2294" s="46"/>
      <c r="H2294" s="46"/>
      <c r="I2294" s="46"/>
      <c r="J2294" s="46"/>
      <c r="K2294" s="46"/>
      <c r="L2294" s="46"/>
      <c r="M2294" s="46"/>
      <c r="N2294" s="46"/>
      <c r="O2294" s="46"/>
      <c r="P2294" s="46"/>
      <c r="Q2294" s="46"/>
      <c r="R2294" s="46"/>
      <c r="S2294" s="46"/>
      <c r="T2294" s="46"/>
      <c r="U2294" s="46"/>
      <c r="V2294" s="46"/>
      <c r="W2294" s="46"/>
      <c r="X2294" s="46"/>
    </row>
    <row r="2295" spans="1:24" ht="12.75" x14ac:dyDescent="0.2">
      <c r="A2295" s="45"/>
      <c r="B2295" s="46"/>
      <c r="C2295" s="46"/>
      <c r="D2295" s="46"/>
      <c r="E2295" s="46"/>
      <c r="F2295" s="46"/>
      <c r="G2295" s="46"/>
      <c r="H2295" s="46"/>
      <c r="I2295" s="46"/>
      <c r="J2295" s="46"/>
      <c r="K2295" s="46"/>
      <c r="L2295" s="46"/>
      <c r="M2295" s="46"/>
      <c r="N2295" s="46"/>
      <c r="O2295" s="46"/>
      <c r="P2295" s="46"/>
      <c r="Q2295" s="46"/>
      <c r="R2295" s="46"/>
      <c r="S2295" s="46"/>
      <c r="T2295" s="46"/>
      <c r="U2295" s="46"/>
      <c r="V2295" s="46"/>
      <c r="W2295" s="46"/>
      <c r="X2295" s="46"/>
    </row>
    <row r="2296" spans="1:24" ht="12.75" x14ac:dyDescent="0.2">
      <c r="A2296" s="45"/>
      <c r="B2296" s="46"/>
      <c r="C2296" s="46"/>
      <c r="D2296" s="46"/>
      <c r="E2296" s="46"/>
      <c r="F2296" s="46"/>
      <c r="G2296" s="46"/>
      <c r="H2296" s="46"/>
      <c r="I2296" s="46"/>
      <c r="J2296" s="46"/>
      <c r="K2296" s="46"/>
      <c r="L2296" s="46"/>
      <c r="M2296" s="46"/>
      <c r="N2296" s="46"/>
      <c r="O2296" s="46"/>
      <c r="P2296" s="46"/>
      <c r="Q2296" s="46"/>
      <c r="R2296" s="46"/>
      <c r="S2296" s="46"/>
      <c r="T2296" s="46"/>
      <c r="U2296" s="46"/>
      <c r="V2296" s="46"/>
      <c r="W2296" s="46"/>
      <c r="X2296" s="46"/>
    </row>
    <row r="2297" spans="1:24" ht="12.75" x14ac:dyDescent="0.2">
      <c r="A2297" s="45"/>
      <c r="B2297" s="46"/>
      <c r="C2297" s="46"/>
      <c r="D2297" s="46"/>
      <c r="E2297" s="46"/>
      <c r="F2297" s="46"/>
      <c r="G2297" s="46"/>
      <c r="H2297" s="46"/>
      <c r="I2297" s="46"/>
      <c r="J2297" s="46"/>
      <c r="K2297" s="46"/>
      <c r="L2297" s="46"/>
      <c r="M2297" s="46"/>
      <c r="N2297" s="46"/>
      <c r="O2297" s="46"/>
      <c r="P2297" s="46"/>
      <c r="Q2297" s="46"/>
      <c r="R2297" s="46"/>
      <c r="S2297" s="46"/>
      <c r="T2297" s="46"/>
      <c r="U2297" s="46"/>
      <c r="V2297" s="46"/>
      <c r="W2297" s="46"/>
      <c r="X2297" s="46"/>
    </row>
    <row r="2298" spans="1:24" ht="12.75" x14ac:dyDescent="0.2">
      <c r="A2298" s="45"/>
      <c r="B2298" s="46"/>
      <c r="C2298" s="46"/>
      <c r="D2298" s="46"/>
      <c r="E2298" s="46"/>
      <c r="F2298" s="46"/>
      <c r="G2298" s="46"/>
      <c r="H2298" s="46"/>
      <c r="I2298" s="46"/>
      <c r="J2298" s="46"/>
      <c r="K2298" s="46"/>
      <c r="L2298" s="46"/>
      <c r="M2298" s="46"/>
      <c r="N2298" s="46"/>
      <c r="O2298" s="46"/>
      <c r="P2298" s="46"/>
      <c r="Q2298" s="46"/>
      <c r="R2298" s="46"/>
      <c r="S2298" s="46"/>
      <c r="T2298" s="46"/>
      <c r="U2298" s="46"/>
      <c r="V2298" s="46"/>
      <c r="W2298" s="46"/>
      <c r="X2298" s="46"/>
    </row>
    <row r="2299" spans="1:24" ht="12.75" x14ac:dyDescent="0.2">
      <c r="A2299" s="45"/>
      <c r="B2299" s="46"/>
      <c r="C2299" s="46"/>
      <c r="D2299" s="46"/>
      <c r="E2299" s="46"/>
      <c r="F2299" s="46"/>
      <c r="G2299" s="46"/>
      <c r="H2299" s="46"/>
      <c r="I2299" s="46"/>
      <c r="J2299" s="46"/>
      <c r="K2299" s="46"/>
      <c r="L2299" s="46"/>
      <c r="M2299" s="46"/>
      <c r="N2299" s="46"/>
      <c r="O2299" s="46"/>
      <c r="P2299" s="46"/>
      <c r="Q2299" s="46"/>
      <c r="R2299" s="46"/>
      <c r="S2299" s="46"/>
      <c r="T2299" s="46"/>
      <c r="U2299" s="46"/>
      <c r="V2299" s="46"/>
      <c r="W2299" s="46"/>
      <c r="X2299" s="46"/>
    </row>
    <row r="2300" spans="1:24" ht="12.75" x14ac:dyDescent="0.2">
      <c r="A2300" s="45"/>
      <c r="B2300" s="46"/>
      <c r="C2300" s="46"/>
      <c r="D2300" s="46"/>
      <c r="E2300" s="46"/>
      <c r="F2300" s="46"/>
      <c r="G2300" s="46"/>
      <c r="H2300" s="46"/>
      <c r="I2300" s="46"/>
      <c r="J2300" s="46"/>
      <c r="K2300" s="46"/>
      <c r="L2300" s="46"/>
      <c r="M2300" s="46"/>
      <c r="N2300" s="46"/>
      <c r="O2300" s="46"/>
      <c r="P2300" s="46"/>
      <c r="Q2300" s="46"/>
      <c r="R2300" s="46"/>
      <c r="S2300" s="46"/>
      <c r="T2300" s="46"/>
      <c r="U2300" s="46"/>
      <c r="V2300" s="46"/>
      <c r="W2300" s="46"/>
      <c r="X2300" s="46"/>
    </row>
    <row r="2301" spans="1:24" ht="12.75" x14ac:dyDescent="0.2">
      <c r="A2301" s="45"/>
      <c r="B2301" s="46"/>
      <c r="C2301" s="46"/>
      <c r="D2301" s="46"/>
      <c r="E2301" s="46"/>
      <c r="F2301" s="46"/>
      <c r="G2301" s="46"/>
      <c r="H2301" s="46"/>
      <c r="I2301" s="46"/>
      <c r="J2301" s="46"/>
      <c r="K2301" s="46"/>
      <c r="L2301" s="46"/>
      <c r="M2301" s="46"/>
      <c r="N2301" s="46"/>
      <c r="O2301" s="46"/>
      <c r="P2301" s="46"/>
      <c r="Q2301" s="46"/>
      <c r="R2301" s="46"/>
      <c r="S2301" s="46"/>
      <c r="T2301" s="46"/>
      <c r="U2301" s="46"/>
      <c r="V2301" s="46"/>
      <c r="W2301" s="46"/>
      <c r="X2301" s="46"/>
    </row>
    <row r="2302" spans="1:24" ht="12.75" x14ac:dyDescent="0.2">
      <c r="A2302" s="45"/>
      <c r="B2302" s="46"/>
      <c r="C2302" s="46"/>
      <c r="D2302" s="46"/>
      <c r="E2302" s="46"/>
      <c r="F2302" s="46"/>
      <c r="G2302" s="46"/>
      <c r="H2302" s="46"/>
      <c r="I2302" s="46"/>
      <c r="J2302" s="46"/>
      <c r="K2302" s="46"/>
      <c r="L2302" s="46"/>
      <c r="M2302" s="46"/>
      <c r="N2302" s="46"/>
      <c r="O2302" s="46"/>
      <c r="P2302" s="46"/>
      <c r="Q2302" s="46"/>
      <c r="R2302" s="46"/>
      <c r="S2302" s="46"/>
      <c r="T2302" s="46"/>
      <c r="U2302" s="46"/>
      <c r="V2302" s="46"/>
      <c r="W2302" s="46"/>
      <c r="X2302" s="46"/>
    </row>
    <row r="2303" spans="1:24" ht="12.75" x14ac:dyDescent="0.2">
      <c r="A2303" s="45"/>
      <c r="B2303" s="46"/>
      <c r="C2303" s="46"/>
      <c r="D2303" s="46"/>
      <c r="E2303" s="46"/>
      <c r="F2303" s="46"/>
      <c r="G2303" s="46"/>
      <c r="H2303" s="46"/>
      <c r="I2303" s="46"/>
      <c r="J2303" s="46"/>
      <c r="K2303" s="46"/>
      <c r="L2303" s="46"/>
      <c r="M2303" s="46"/>
      <c r="N2303" s="46"/>
      <c r="O2303" s="46"/>
      <c r="P2303" s="46"/>
      <c r="Q2303" s="46"/>
      <c r="R2303" s="46"/>
      <c r="S2303" s="46"/>
      <c r="T2303" s="46"/>
      <c r="U2303" s="46"/>
      <c r="V2303" s="46"/>
      <c r="W2303" s="46"/>
      <c r="X2303" s="46"/>
    </row>
    <row r="2304" spans="1:24" ht="12.75" x14ac:dyDescent="0.2">
      <c r="A2304" s="45"/>
      <c r="B2304" s="46"/>
      <c r="C2304" s="46"/>
      <c r="D2304" s="46"/>
      <c r="E2304" s="46"/>
      <c r="F2304" s="46"/>
      <c r="G2304" s="46"/>
      <c r="H2304" s="46"/>
      <c r="I2304" s="46"/>
      <c r="J2304" s="46"/>
      <c r="K2304" s="46"/>
      <c r="L2304" s="46"/>
      <c r="M2304" s="46"/>
      <c r="N2304" s="46"/>
      <c r="O2304" s="46"/>
      <c r="P2304" s="46"/>
      <c r="Q2304" s="46"/>
      <c r="R2304" s="46"/>
      <c r="S2304" s="46"/>
      <c r="T2304" s="46"/>
      <c r="U2304" s="46"/>
      <c r="V2304" s="46"/>
      <c r="W2304" s="46"/>
      <c r="X2304" s="46"/>
    </row>
    <row r="2305" spans="1:24" ht="12.75" x14ac:dyDescent="0.2">
      <c r="A2305" s="45"/>
      <c r="B2305" s="46"/>
      <c r="C2305" s="46"/>
      <c r="D2305" s="46"/>
      <c r="E2305" s="46"/>
      <c r="F2305" s="46"/>
      <c r="G2305" s="46"/>
      <c r="H2305" s="46"/>
      <c r="I2305" s="46"/>
      <c r="J2305" s="46"/>
      <c r="K2305" s="46"/>
      <c r="L2305" s="46"/>
      <c r="M2305" s="46"/>
      <c r="N2305" s="46"/>
      <c r="O2305" s="46"/>
      <c r="P2305" s="46"/>
      <c r="Q2305" s="46"/>
      <c r="R2305" s="46"/>
      <c r="S2305" s="46"/>
      <c r="T2305" s="46"/>
      <c r="U2305" s="46"/>
      <c r="V2305" s="46"/>
      <c r="W2305" s="46"/>
      <c r="X2305" s="46"/>
    </row>
    <row r="2306" spans="1:24" ht="12.75" x14ac:dyDescent="0.2">
      <c r="A2306" s="45"/>
      <c r="B2306" s="46"/>
      <c r="C2306" s="46"/>
      <c r="D2306" s="46"/>
      <c r="E2306" s="46"/>
      <c r="F2306" s="46"/>
      <c r="G2306" s="46"/>
      <c r="H2306" s="46"/>
      <c r="I2306" s="46"/>
      <c r="J2306" s="46"/>
      <c r="K2306" s="46"/>
      <c r="L2306" s="46"/>
      <c r="M2306" s="46"/>
      <c r="N2306" s="46"/>
      <c r="O2306" s="46"/>
      <c r="P2306" s="46"/>
      <c r="Q2306" s="46"/>
      <c r="R2306" s="46"/>
      <c r="S2306" s="46"/>
      <c r="T2306" s="46"/>
      <c r="U2306" s="46"/>
      <c r="V2306" s="46"/>
      <c r="W2306" s="46"/>
      <c r="X2306" s="46"/>
    </row>
    <row r="2307" spans="1:24" ht="12.75" x14ac:dyDescent="0.2">
      <c r="A2307" s="45"/>
      <c r="B2307" s="46"/>
      <c r="C2307" s="46"/>
      <c r="D2307" s="46"/>
      <c r="E2307" s="46"/>
      <c r="F2307" s="46"/>
      <c r="G2307" s="46"/>
      <c r="H2307" s="46"/>
      <c r="I2307" s="46"/>
      <c r="J2307" s="46"/>
      <c r="K2307" s="46"/>
      <c r="L2307" s="46"/>
      <c r="M2307" s="46"/>
      <c r="N2307" s="46"/>
      <c r="O2307" s="46"/>
      <c r="P2307" s="46"/>
      <c r="Q2307" s="46"/>
      <c r="R2307" s="46"/>
      <c r="S2307" s="46"/>
      <c r="T2307" s="46"/>
      <c r="U2307" s="46"/>
      <c r="V2307" s="46"/>
      <c r="W2307" s="46"/>
      <c r="X2307" s="46"/>
    </row>
    <row r="2308" spans="1:24" ht="12.75" x14ac:dyDescent="0.2">
      <c r="A2308" s="45"/>
      <c r="B2308" s="46"/>
      <c r="C2308" s="46"/>
      <c r="D2308" s="46"/>
      <c r="E2308" s="46"/>
      <c r="F2308" s="46"/>
      <c r="G2308" s="46"/>
      <c r="H2308" s="46"/>
      <c r="I2308" s="46"/>
      <c r="J2308" s="46"/>
      <c r="K2308" s="46"/>
      <c r="L2308" s="46"/>
      <c r="M2308" s="46"/>
      <c r="N2308" s="46"/>
      <c r="O2308" s="46"/>
      <c r="P2308" s="46"/>
      <c r="Q2308" s="46"/>
      <c r="R2308" s="46"/>
      <c r="S2308" s="46"/>
      <c r="T2308" s="46"/>
      <c r="U2308" s="46"/>
      <c r="V2308" s="46"/>
      <c r="W2308" s="46"/>
      <c r="X2308" s="46"/>
    </row>
    <row r="2309" spans="1:24" ht="12.75" x14ac:dyDescent="0.2">
      <c r="A2309" s="45"/>
      <c r="B2309" s="46"/>
      <c r="C2309" s="46"/>
      <c r="D2309" s="46"/>
      <c r="E2309" s="46"/>
      <c r="F2309" s="46"/>
      <c r="G2309" s="46"/>
      <c r="H2309" s="46"/>
      <c r="I2309" s="46"/>
      <c r="J2309" s="46"/>
      <c r="K2309" s="46"/>
      <c r="L2309" s="46"/>
      <c r="M2309" s="46"/>
      <c r="N2309" s="46"/>
      <c r="O2309" s="46"/>
      <c r="P2309" s="46"/>
      <c r="Q2309" s="46"/>
      <c r="R2309" s="46"/>
      <c r="S2309" s="46"/>
      <c r="T2309" s="46"/>
      <c r="U2309" s="46"/>
      <c r="V2309" s="46"/>
      <c r="W2309" s="46"/>
      <c r="X2309" s="46"/>
    </row>
    <row r="2310" spans="1:24" ht="12.75" x14ac:dyDescent="0.2">
      <c r="A2310" s="45"/>
      <c r="B2310" s="46"/>
      <c r="C2310" s="46"/>
      <c r="D2310" s="46"/>
      <c r="E2310" s="46"/>
      <c r="F2310" s="46"/>
      <c r="G2310" s="46"/>
      <c r="H2310" s="46"/>
      <c r="I2310" s="46"/>
      <c r="J2310" s="46"/>
      <c r="K2310" s="46"/>
      <c r="L2310" s="46"/>
      <c r="M2310" s="46"/>
      <c r="N2310" s="46"/>
      <c r="O2310" s="46"/>
      <c r="P2310" s="46"/>
      <c r="Q2310" s="46"/>
      <c r="R2310" s="46"/>
      <c r="S2310" s="46"/>
      <c r="T2310" s="46"/>
      <c r="U2310" s="46"/>
      <c r="V2310" s="46"/>
      <c r="W2310" s="46"/>
      <c r="X2310" s="46"/>
    </row>
    <row r="2311" spans="1:24" ht="12.75" x14ac:dyDescent="0.2">
      <c r="A2311" s="45"/>
      <c r="B2311" s="46"/>
      <c r="C2311" s="46"/>
      <c r="D2311" s="46"/>
      <c r="E2311" s="46"/>
      <c r="F2311" s="46"/>
      <c r="G2311" s="46"/>
      <c r="H2311" s="46"/>
      <c r="I2311" s="46"/>
      <c r="J2311" s="46"/>
      <c r="K2311" s="46"/>
      <c r="L2311" s="46"/>
      <c r="M2311" s="46"/>
      <c r="N2311" s="46"/>
      <c r="O2311" s="46"/>
      <c r="P2311" s="46"/>
      <c r="Q2311" s="46"/>
      <c r="R2311" s="46"/>
      <c r="S2311" s="46"/>
      <c r="T2311" s="46"/>
      <c r="U2311" s="46"/>
      <c r="V2311" s="46"/>
      <c r="W2311" s="46"/>
      <c r="X2311" s="46"/>
    </row>
    <row r="2312" spans="1:24" ht="12.75" x14ac:dyDescent="0.2">
      <c r="A2312" s="45"/>
      <c r="B2312" s="46"/>
      <c r="C2312" s="46"/>
      <c r="D2312" s="46"/>
      <c r="E2312" s="46"/>
      <c r="F2312" s="46"/>
      <c r="G2312" s="46"/>
      <c r="H2312" s="46"/>
      <c r="I2312" s="46"/>
      <c r="J2312" s="46"/>
      <c r="K2312" s="46"/>
      <c r="L2312" s="46"/>
      <c r="M2312" s="46"/>
      <c r="N2312" s="46"/>
      <c r="O2312" s="46"/>
      <c r="P2312" s="46"/>
      <c r="Q2312" s="46"/>
      <c r="R2312" s="46"/>
      <c r="S2312" s="46"/>
      <c r="T2312" s="46"/>
      <c r="U2312" s="46"/>
      <c r="V2312" s="46"/>
      <c r="W2312" s="46"/>
      <c r="X2312" s="46"/>
    </row>
    <row r="2313" spans="1:24" ht="12.75" x14ac:dyDescent="0.2">
      <c r="A2313" s="45"/>
      <c r="B2313" s="46"/>
      <c r="C2313" s="46"/>
      <c r="D2313" s="46"/>
      <c r="E2313" s="46"/>
      <c r="F2313" s="46"/>
      <c r="G2313" s="46"/>
      <c r="H2313" s="46"/>
      <c r="I2313" s="46"/>
      <c r="J2313" s="46"/>
      <c r="K2313" s="46"/>
      <c r="L2313" s="46"/>
      <c r="M2313" s="46"/>
      <c r="N2313" s="46"/>
      <c r="O2313" s="46"/>
      <c r="P2313" s="46"/>
      <c r="Q2313" s="46"/>
      <c r="R2313" s="46"/>
      <c r="S2313" s="46"/>
      <c r="T2313" s="46"/>
      <c r="U2313" s="46"/>
      <c r="V2313" s="46"/>
      <c r="W2313" s="46"/>
      <c r="X2313" s="46"/>
    </row>
    <row r="2314" spans="1:24" ht="12.75" x14ac:dyDescent="0.2">
      <c r="A2314" s="45"/>
      <c r="B2314" s="46"/>
      <c r="C2314" s="46"/>
      <c r="D2314" s="46"/>
      <c r="E2314" s="46"/>
      <c r="F2314" s="46"/>
      <c r="G2314" s="46"/>
      <c r="H2314" s="46"/>
      <c r="I2314" s="46"/>
      <c r="J2314" s="46"/>
      <c r="K2314" s="46"/>
      <c r="L2314" s="46"/>
      <c r="M2314" s="46"/>
      <c r="N2314" s="46"/>
      <c r="O2314" s="46"/>
      <c r="P2314" s="46"/>
      <c r="Q2314" s="46"/>
      <c r="R2314" s="46"/>
      <c r="S2314" s="46"/>
      <c r="T2314" s="46"/>
      <c r="U2314" s="46"/>
      <c r="V2314" s="46"/>
      <c r="W2314" s="46"/>
      <c r="X2314" s="46"/>
    </row>
    <row r="2315" spans="1:24" ht="12.75" x14ac:dyDescent="0.2">
      <c r="A2315" s="45"/>
      <c r="B2315" s="46"/>
      <c r="C2315" s="46"/>
      <c r="D2315" s="46"/>
      <c r="E2315" s="46"/>
      <c r="F2315" s="46"/>
      <c r="G2315" s="46"/>
      <c r="H2315" s="46"/>
      <c r="I2315" s="46"/>
      <c r="J2315" s="46"/>
      <c r="K2315" s="46"/>
      <c r="L2315" s="46"/>
      <c r="M2315" s="46"/>
      <c r="N2315" s="46"/>
      <c r="O2315" s="46"/>
      <c r="P2315" s="46"/>
      <c r="Q2315" s="46"/>
      <c r="R2315" s="46"/>
      <c r="S2315" s="46"/>
      <c r="T2315" s="46"/>
      <c r="U2315" s="46"/>
      <c r="V2315" s="46"/>
      <c r="W2315" s="46"/>
      <c r="X2315" s="46"/>
    </row>
    <row r="2316" spans="1:24" ht="12.75" x14ac:dyDescent="0.2">
      <c r="A2316" s="45"/>
      <c r="B2316" s="46"/>
      <c r="C2316" s="46"/>
      <c r="D2316" s="46"/>
      <c r="E2316" s="46"/>
      <c r="F2316" s="46"/>
      <c r="G2316" s="46"/>
      <c r="H2316" s="46"/>
      <c r="I2316" s="46"/>
      <c r="J2316" s="46"/>
      <c r="K2316" s="46"/>
      <c r="L2316" s="46"/>
      <c r="M2316" s="46"/>
      <c r="N2316" s="46"/>
      <c r="O2316" s="46"/>
      <c r="P2316" s="46"/>
      <c r="Q2316" s="46"/>
      <c r="R2316" s="46"/>
      <c r="S2316" s="46"/>
      <c r="T2316" s="46"/>
      <c r="U2316" s="46"/>
      <c r="V2316" s="46"/>
      <c r="W2316" s="46"/>
      <c r="X2316" s="46"/>
    </row>
    <row r="2317" spans="1:24" ht="12.75" x14ac:dyDescent="0.2">
      <c r="A2317" s="45"/>
      <c r="B2317" s="46"/>
      <c r="C2317" s="46"/>
      <c r="D2317" s="46"/>
      <c r="E2317" s="46"/>
      <c r="F2317" s="46"/>
      <c r="G2317" s="46"/>
      <c r="H2317" s="46"/>
      <c r="I2317" s="46"/>
      <c r="J2317" s="46"/>
      <c r="K2317" s="46"/>
      <c r="L2317" s="46"/>
      <c r="M2317" s="46"/>
      <c r="N2317" s="46"/>
      <c r="O2317" s="46"/>
      <c r="P2317" s="46"/>
      <c r="Q2317" s="46"/>
      <c r="R2317" s="46"/>
      <c r="S2317" s="46"/>
      <c r="T2317" s="46"/>
      <c r="U2317" s="46"/>
      <c r="V2317" s="46"/>
      <c r="W2317" s="46"/>
      <c r="X2317" s="46"/>
    </row>
    <row r="2318" spans="1:24" ht="12.75" x14ac:dyDescent="0.2">
      <c r="A2318" s="45"/>
      <c r="B2318" s="46"/>
      <c r="C2318" s="46"/>
      <c r="D2318" s="46"/>
      <c r="E2318" s="46"/>
      <c r="F2318" s="46"/>
      <c r="G2318" s="46"/>
      <c r="H2318" s="46"/>
      <c r="I2318" s="46"/>
      <c r="J2318" s="46"/>
      <c r="K2318" s="46"/>
      <c r="L2318" s="46"/>
      <c r="M2318" s="46"/>
      <c r="N2318" s="46"/>
      <c r="O2318" s="46"/>
      <c r="P2318" s="46"/>
      <c r="Q2318" s="46"/>
      <c r="R2318" s="46"/>
      <c r="S2318" s="46"/>
      <c r="T2318" s="46"/>
      <c r="U2318" s="46"/>
      <c r="V2318" s="46"/>
      <c r="W2318" s="46"/>
      <c r="X2318" s="46"/>
    </row>
    <row r="2319" spans="1:24" ht="12.75" x14ac:dyDescent="0.2">
      <c r="A2319" s="45"/>
      <c r="B2319" s="46"/>
      <c r="C2319" s="46"/>
      <c r="D2319" s="46"/>
      <c r="E2319" s="46"/>
      <c r="F2319" s="46"/>
      <c r="G2319" s="46"/>
      <c r="H2319" s="46"/>
      <c r="I2319" s="46"/>
      <c r="J2319" s="46"/>
      <c r="K2319" s="46"/>
      <c r="L2319" s="46"/>
      <c r="M2319" s="46"/>
      <c r="N2319" s="46"/>
      <c r="O2319" s="46"/>
      <c r="P2319" s="46"/>
      <c r="Q2319" s="46"/>
      <c r="R2319" s="46"/>
      <c r="S2319" s="46"/>
      <c r="T2319" s="46"/>
      <c r="U2319" s="46"/>
      <c r="V2319" s="46"/>
      <c r="W2319" s="46"/>
      <c r="X2319" s="46"/>
    </row>
    <row r="2320" spans="1:24" ht="12.75" x14ac:dyDescent="0.2">
      <c r="A2320" s="45"/>
      <c r="B2320" s="46"/>
      <c r="C2320" s="46"/>
      <c r="D2320" s="46"/>
      <c r="E2320" s="46"/>
      <c r="F2320" s="46"/>
      <c r="G2320" s="46"/>
      <c r="H2320" s="46"/>
      <c r="I2320" s="46"/>
      <c r="J2320" s="46"/>
      <c r="K2320" s="46"/>
      <c r="L2320" s="46"/>
      <c r="M2320" s="46"/>
      <c r="N2320" s="46"/>
      <c r="O2320" s="46"/>
      <c r="P2320" s="46"/>
      <c r="Q2320" s="46"/>
      <c r="R2320" s="46"/>
      <c r="S2320" s="46"/>
      <c r="T2320" s="46"/>
      <c r="U2320" s="46"/>
      <c r="V2320" s="46"/>
      <c r="W2320" s="46"/>
      <c r="X2320" s="46"/>
    </row>
    <row r="2321" spans="1:24" ht="12.75" x14ac:dyDescent="0.2">
      <c r="A2321" s="45"/>
      <c r="B2321" s="46"/>
      <c r="C2321" s="46"/>
      <c r="D2321" s="46"/>
      <c r="E2321" s="46"/>
      <c r="F2321" s="46"/>
      <c r="G2321" s="46"/>
      <c r="H2321" s="46"/>
      <c r="I2321" s="46"/>
      <c r="J2321" s="46"/>
      <c r="K2321" s="46"/>
      <c r="L2321" s="46"/>
      <c r="M2321" s="46"/>
      <c r="N2321" s="46"/>
      <c r="O2321" s="46"/>
      <c r="P2321" s="46"/>
      <c r="Q2321" s="46"/>
      <c r="R2321" s="46"/>
      <c r="S2321" s="46"/>
      <c r="T2321" s="46"/>
      <c r="U2321" s="46"/>
      <c r="V2321" s="46"/>
      <c r="W2321" s="46"/>
      <c r="X2321" s="46"/>
    </row>
    <row r="2322" spans="1:24" ht="12.75" x14ac:dyDescent="0.2">
      <c r="A2322" s="45"/>
      <c r="B2322" s="46"/>
      <c r="C2322" s="46"/>
      <c r="D2322" s="46"/>
      <c r="E2322" s="46"/>
      <c r="F2322" s="46"/>
      <c r="G2322" s="46"/>
      <c r="H2322" s="46"/>
      <c r="I2322" s="46"/>
      <c r="J2322" s="46"/>
      <c r="K2322" s="46"/>
      <c r="L2322" s="46"/>
      <c r="M2322" s="46"/>
      <c r="N2322" s="46"/>
      <c r="O2322" s="46"/>
      <c r="P2322" s="46"/>
      <c r="Q2322" s="46"/>
      <c r="R2322" s="46"/>
      <c r="S2322" s="46"/>
      <c r="T2322" s="46"/>
      <c r="U2322" s="46"/>
      <c r="V2322" s="46"/>
      <c r="W2322" s="46"/>
      <c r="X2322" s="46"/>
    </row>
    <row r="2323" spans="1:24" ht="12.75" x14ac:dyDescent="0.2">
      <c r="A2323" s="45"/>
      <c r="B2323" s="46"/>
      <c r="C2323" s="46"/>
      <c r="D2323" s="46"/>
      <c r="E2323" s="46"/>
      <c r="F2323" s="46"/>
      <c r="G2323" s="46"/>
      <c r="H2323" s="46"/>
      <c r="I2323" s="46"/>
      <c r="J2323" s="46"/>
      <c r="K2323" s="46"/>
      <c r="L2323" s="46"/>
      <c r="M2323" s="46"/>
      <c r="N2323" s="46"/>
      <c r="O2323" s="46"/>
      <c r="P2323" s="46"/>
      <c r="Q2323" s="46"/>
      <c r="R2323" s="46"/>
      <c r="S2323" s="46"/>
      <c r="T2323" s="46"/>
      <c r="U2323" s="46"/>
      <c r="V2323" s="46"/>
      <c r="W2323" s="46"/>
      <c r="X2323" s="46"/>
    </row>
    <row r="2324" spans="1:24" ht="12.75" x14ac:dyDescent="0.2">
      <c r="A2324" s="45"/>
      <c r="B2324" s="46"/>
      <c r="C2324" s="46"/>
      <c r="D2324" s="46"/>
      <c r="E2324" s="46"/>
      <c r="F2324" s="46"/>
      <c r="G2324" s="46"/>
      <c r="H2324" s="46"/>
      <c r="I2324" s="46"/>
      <c r="J2324" s="46"/>
      <c r="K2324" s="46"/>
      <c r="L2324" s="46"/>
      <c r="M2324" s="46"/>
      <c r="N2324" s="46"/>
      <c r="O2324" s="46"/>
      <c r="P2324" s="46"/>
      <c r="Q2324" s="46"/>
      <c r="R2324" s="46"/>
      <c r="S2324" s="46"/>
      <c r="T2324" s="46"/>
      <c r="U2324" s="46"/>
      <c r="V2324" s="46"/>
      <c r="W2324" s="46"/>
      <c r="X2324" s="46"/>
    </row>
    <row r="2325" spans="1:24" ht="12.75" x14ac:dyDescent="0.2">
      <c r="A2325" s="45"/>
      <c r="B2325" s="46"/>
      <c r="C2325" s="46"/>
      <c r="D2325" s="46"/>
      <c r="E2325" s="46"/>
      <c r="F2325" s="46"/>
      <c r="G2325" s="46"/>
      <c r="H2325" s="46"/>
      <c r="I2325" s="46"/>
      <c r="J2325" s="46"/>
      <c r="K2325" s="46"/>
      <c r="L2325" s="46"/>
      <c r="M2325" s="46"/>
      <c r="N2325" s="46"/>
      <c r="O2325" s="46"/>
      <c r="P2325" s="46"/>
      <c r="Q2325" s="46"/>
      <c r="R2325" s="46"/>
      <c r="S2325" s="46"/>
      <c r="T2325" s="46"/>
      <c r="U2325" s="46"/>
      <c r="V2325" s="46"/>
      <c r="W2325" s="46"/>
      <c r="X2325" s="46"/>
    </row>
    <row r="2326" spans="1:24" ht="12.75" x14ac:dyDescent="0.2">
      <c r="A2326" s="45"/>
      <c r="B2326" s="46"/>
      <c r="C2326" s="46"/>
      <c r="D2326" s="46"/>
      <c r="E2326" s="46"/>
      <c r="F2326" s="46"/>
      <c r="G2326" s="46"/>
      <c r="H2326" s="46"/>
      <c r="I2326" s="46"/>
      <c r="J2326" s="46"/>
      <c r="K2326" s="46"/>
      <c r="L2326" s="46"/>
      <c r="M2326" s="46"/>
      <c r="N2326" s="46"/>
      <c r="O2326" s="46"/>
      <c r="P2326" s="46"/>
      <c r="Q2326" s="46"/>
      <c r="R2326" s="46"/>
      <c r="S2326" s="46"/>
      <c r="T2326" s="46"/>
      <c r="U2326" s="46"/>
      <c r="V2326" s="46"/>
      <c r="W2326" s="46"/>
      <c r="X2326" s="46"/>
    </row>
    <row r="2327" spans="1:24" ht="12.75" x14ac:dyDescent="0.2">
      <c r="A2327" s="45"/>
      <c r="B2327" s="46"/>
      <c r="C2327" s="46"/>
      <c r="D2327" s="46"/>
      <c r="E2327" s="46"/>
      <c r="F2327" s="46"/>
      <c r="G2327" s="46"/>
      <c r="H2327" s="46"/>
      <c r="I2327" s="46"/>
      <c r="J2327" s="46"/>
      <c r="K2327" s="46"/>
      <c r="L2327" s="46"/>
      <c r="M2327" s="46"/>
      <c r="N2327" s="46"/>
      <c r="O2327" s="46"/>
      <c r="P2327" s="46"/>
      <c r="Q2327" s="46"/>
      <c r="R2327" s="46"/>
      <c r="S2327" s="46"/>
      <c r="T2327" s="46"/>
      <c r="U2327" s="46"/>
      <c r="V2327" s="46"/>
      <c r="W2327" s="46"/>
      <c r="X2327" s="46"/>
    </row>
    <row r="2328" spans="1:24" ht="12.75" x14ac:dyDescent="0.2">
      <c r="A2328" s="45"/>
      <c r="B2328" s="46"/>
      <c r="C2328" s="46"/>
      <c r="D2328" s="46"/>
      <c r="E2328" s="46"/>
      <c r="F2328" s="46"/>
      <c r="G2328" s="46"/>
      <c r="H2328" s="46"/>
      <c r="I2328" s="46"/>
      <c r="J2328" s="46"/>
      <c r="K2328" s="46"/>
      <c r="L2328" s="46"/>
      <c r="M2328" s="46"/>
      <c r="N2328" s="46"/>
      <c r="O2328" s="46"/>
      <c r="P2328" s="46"/>
      <c r="Q2328" s="46"/>
      <c r="R2328" s="46"/>
      <c r="S2328" s="46"/>
      <c r="T2328" s="46"/>
      <c r="U2328" s="46"/>
      <c r="V2328" s="46"/>
      <c r="W2328" s="46"/>
      <c r="X2328" s="46"/>
    </row>
    <row r="2329" spans="1:24" ht="12.75" x14ac:dyDescent="0.2">
      <c r="A2329" s="45"/>
      <c r="B2329" s="46"/>
      <c r="C2329" s="46"/>
      <c r="D2329" s="46"/>
      <c r="E2329" s="46"/>
      <c r="F2329" s="46"/>
      <c r="G2329" s="46"/>
      <c r="H2329" s="46"/>
      <c r="I2329" s="46"/>
      <c r="J2329" s="46"/>
      <c r="K2329" s="46"/>
      <c r="L2329" s="46"/>
      <c r="M2329" s="46"/>
      <c r="N2329" s="46"/>
      <c r="O2329" s="46"/>
      <c r="P2329" s="46"/>
      <c r="Q2329" s="46"/>
      <c r="R2329" s="46"/>
      <c r="S2329" s="46"/>
      <c r="T2329" s="46"/>
      <c r="U2329" s="46"/>
      <c r="V2329" s="46"/>
      <c r="W2329" s="46"/>
      <c r="X2329" s="46"/>
    </row>
    <row r="2330" spans="1:24" ht="12.75" x14ac:dyDescent="0.2">
      <c r="A2330" s="45"/>
      <c r="B2330" s="46"/>
      <c r="C2330" s="46"/>
      <c r="D2330" s="46"/>
      <c r="E2330" s="46"/>
      <c r="F2330" s="46"/>
      <c r="G2330" s="46"/>
      <c r="H2330" s="46"/>
      <c r="I2330" s="46"/>
      <c r="J2330" s="46"/>
      <c r="K2330" s="46"/>
      <c r="L2330" s="46"/>
      <c r="M2330" s="46"/>
      <c r="N2330" s="46"/>
      <c r="O2330" s="46"/>
      <c r="P2330" s="46"/>
      <c r="Q2330" s="46"/>
      <c r="R2330" s="46"/>
      <c r="S2330" s="46"/>
      <c r="T2330" s="46"/>
      <c r="U2330" s="46"/>
      <c r="V2330" s="46"/>
      <c r="W2330" s="46"/>
      <c r="X2330" s="46"/>
    </row>
    <row r="2331" spans="1:24" ht="12.75" x14ac:dyDescent="0.2">
      <c r="A2331" s="45"/>
      <c r="B2331" s="46"/>
      <c r="C2331" s="46"/>
      <c r="D2331" s="46"/>
      <c r="E2331" s="46"/>
      <c r="F2331" s="46"/>
      <c r="G2331" s="46"/>
      <c r="H2331" s="46"/>
      <c r="I2331" s="46"/>
      <c r="J2331" s="46"/>
      <c r="K2331" s="46"/>
      <c r="L2331" s="46"/>
      <c r="M2331" s="46"/>
      <c r="N2331" s="46"/>
      <c r="O2331" s="46"/>
      <c r="P2331" s="46"/>
      <c r="Q2331" s="46"/>
      <c r="R2331" s="46"/>
      <c r="S2331" s="46"/>
      <c r="T2331" s="46"/>
      <c r="U2331" s="46"/>
      <c r="V2331" s="46"/>
      <c r="W2331" s="46"/>
      <c r="X2331" s="46"/>
    </row>
    <row r="2332" spans="1:24" ht="12.75" x14ac:dyDescent="0.2">
      <c r="A2332" s="45"/>
      <c r="B2332" s="46"/>
      <c r="C2332" s="46"/>
      <c r="D2332" s="46"/>
      <c r="E2332" s="46"/>
      <c r="F2332" s="46"/>
      <c r="G2332" s="46"/>
      <c r="H2332" s="46"/>
      <c r="I2332" s="46"/>
      <c r="J2332" s="46"/>
      <c r="K2332" s="46"/>
      <c r="L2332" s="46"/>
      <c r="M2332" s="46"/>
      <c r="N2332" s="46"/>
      <c r="O2332" s="46"/>
      <c r="P2332" s="46"/>
      <c r="Q2332" s="46"/>
      <c r="R2332" s="46"/>
      <c r="S2332" s="46"/>
      <c r="T2332" s="46"/>
      <c r="U2332" s="46"/>
      <c r="V2332" s="46"/>
      <c r="W2332" s="46"/>
      <c r="X2332" s="46"/>
    </row>
    <row r="2333" spans="1:24" ht="12.75" x14ac:dyDescent="0.2">
      <c r="A2333" s="45"/>
      <c r="B2333" s="46"/>
      <c r="C2333" s="46"/>
      <c r="D2333" s="46"/>
      <c r="E2333" s="46"/>
      <c r="F2333" s="46"/>
      <c r="G2333" s="46"/>
      <c r="H2333" s="46"/>
      <c r="I2333" s="46"/>
      <c r="J2333" s="46"/>
      <c r="K2333" s="46"/>
      <c r="L2333" s="46"/>
      <c r="M2333" s="46"/>
      <c r="N2333" s="46"/>
      <c r="O2333" s="46"/>
      <c r="P2333" s="46"/>
      <c r="Q2333" s="46"/>
      <c r="R2333" s="46"/>
      <c r="S2333" s="46"/>
      <c r="T2333" s="46"/>
      <c r="U2333" s="46"/>
      <c r="V2333" s="46"/>
      <c r="W2333" s="46"/>
      <c r="X2333" s="46"/>
    </row>
    <row r="2334" spans="1:24" ht="12.75" x14ac:dyDescent="0.2">
      <c r="A2334" s="45"/>
      <c r="B2334" s="46"/>
      <c r="C2334" s="46"/>
      <c r="D2334" s="46"/>
      <c r="E2334" s="46"/>
      <c r="F2334" s="46"/>
      <c r="G2334" s="46"/>
      <c r="H2334" s="46"/>
      <c r="I2334" s="46"/>
      <c r="J2334" s="46"/>
      <c r="K2334" s="46"/>
      <c r="L2334" s="46"/>
      <c r="M2334" s="46"/>
      <c r="N2334" s="46"/>
      <c r="O2334" s="46"/>
      <c r="P2334" s="46"/>
      <c r="Q2334" s="46"/>
      <c r="R2334" s="46"/>
      <c r="S2334" s="46"/>
      <c r="T2334" s="46"/>
      <c r="U2334" s="46"/>
      <c r="V2334" s="46"/>
      <c r="W2334" s="46"/>
      <c r="X2334" s="46"/>
    </row>
    <row r="2335" spans="1:24" ht="12.75" x14ac:dyDescent="0.2">
      <c r="A2335" s="45"/>
      <c r="B2335" s="46"/>
      <c r="C2335" s="46"/>
      <c r="D2335" s="46"/>
      <c r="E2335" s="46"/>
      <c r="F2335" s="46"/>
      <c r="G2335" s="46"/>
      <c r="H2335" s="46"/>
      <c r="I2335" s="46"/>
      <c r="J2335" s="46"/>
      <c r="K2335" s="46"/>
      <c r="L2335" s="46"/>
      <c r="M2335" s="46"/>
      <c r="N2335" s="46"/>
      <c r="O2335" s="46"/>
      <c r="P2335" s="46"/>
      <c r="Q2335" s="46"/>
      <c r="R2335" s="46"/>
      <c r="S2335" s="46"/>
      <c r="T2335" s="46"/>
      <c r="U2335" s="46"/>
      <c r="V2335" s="46"/>
      <c r="W2335" s="46"/>
      <c r="X2335" s="46"/>
    </row>
    <row r="2336" spans="1:24" ht="12.75" x14ac:dyDescent="0.2">
      <c r="A2336" s="45"/>
      <c r="B2336" s="46"/>
      <c r="C2336" s="46"/>
      <c r="D2336" s="46"/>
      <c r="E2336" s="46"/>
      <c r="F2336" s="46"/>
      <c r="G2336" s="46"/>
      <c r="H2336" s="46"/>
      <c r="I2336" s="46"/>
      <c r="J2336" s="46"/>
      <c r="K2336" s="46"/>
      <c r="L2336" s="46"/>
      <c r="M2336" s="46"/>
      <c r="N2336" s="46"/>
      <c r="O2336" s="46"/>
      <c r="P2336" s="46"/>
      <c r="Q2336" s="46"/>
      <c r="R2336" s="46"/>
      <c r="S2336" s="46"/>
      <c r="T2336" s="46"/>
      <c r="U2336" s="46"/>
      <c r="V2336" s="46"/>
      <c r="W2336" s="46"/>
      <c r="X2336" s="46"/>
    </row>
    <row r="2337" spans="1:24" ht="12.75" x14ac:dyDescent="0.2">
      <c r="A2337" s="45"/>
      <c r="B2337" s="46"/>
      <c r="C2337" s="46"/>
      <c r="D2337" s="46"/>
      <c r="E2337" s="46"/>
      <c r="F2337" s="46"/>
      <c r="G2337" s="46"/>
      <c r="H2337" s="46"/>
      <c r="I2337" s="46"/>
      <c r="J2337" s="46"/>
      <c r="K2337" s="46"/>
      <c r="L2337" s="46"/>
      <c r="M2337" s="46"/>
      <c r="N2337" s="46"/>
      <c r="O2337" s="46"/>
      <c r="P2337" s="46"/>
      <c r="Q2337" s="46"/>
      <c r="R2337" s="46"/>
      <c r="S2337" s="46"/>
      <c r="T2337" s="46"/>
      <c r="U2337" s="46"/>
      <c r="V2337" s="46"/>
      <c r="W2337" s="46"/>
      <c r="X2337" s="46"/>
    </row>
    <row r="2338" spans="1:24" ht="12.75" x14ac:dyDescent="0.2">
      <c r="A2338" s="45"/>
      <c r="B2338" s="46"/>
      <c r="C2338" s="46"/>
      <c r="D2338" s="46"/>
      <c r="E2338" s="46"/>
      <c r="F2338" s="46"/>
      <c r="G2338" s="46"/>
      <c r="H2338" s="46"/>
      <c r="I2338" s="46"/>
      <c r="J2338" s="46"/>
      <c r="K2338" s="46"/>
      <c r="L2338" s="46"/>
      <c r="M2338" s="46"/>
      <c r="N2338" s="46"/>
      <c r="O2338" s="46"/>
      <c r="P2338" s="46"/>
      <c r="Q2338" s="46"/>
      <c r="R2338" s="46"/>
      <c r="S2338" s="46"/>
      <c r="T2338" s="46"/>
      <c r="U2338" s="46"/>
      <c r="V2338" s="46"/>
      <c r="W2338" s="46"/>
      <c r="X2338" s="46"/>
    </row>
    <row r="2339" spans="1:24" ht="12.75" x14ac:dyDescent="0.2">
      <c r="A2339" s="45"/>
      <c r="B2339" s="46"/>
      <c r="C2339" s="46"/>
      <c r="D2339" s="46"/>
      <c r="E2339" s="46"/>
      <c r="F2339" s="46"/>
      <c r="G2339" s="46"/>
      <c r="H2339" s="46"/>
      <c r="I2339" s="46"/>
      <c r="J2339" s="46"/>
      <c r="K2339" s="46"/>
      <c r="L2339" s="46"/>
      <c r="M2339" s="46"/>
      <c r="N2339" s="46"/>
      <c r="O2339" s="46"/>
      <c r="P2339" s="46"/>
      <c r="Q2339" s="46"/>
      <c r="R2339" s="46"/>
      <c r="S2339" s="46"/>
      <c r="T2339" s="46"/>
      <c r="U2339" s="46"/>
      <c r="V2339" s="46"/>
      <c r="W2339" s="46"/>
      <c r="X2339" s="46"/>
    </row>
    <row r="2340" spans="1:24" ht="12.75" x14ac:dyDescent="0.2">
      <c r="A2340" s="45"/>
      <c r="B2340" s="46"/>
      <c r="C2340" s="46"/>
      <c r="D2340" s="46"/>
      <c r="E2340" s="46"/>
      <c r="F2340" s="46"/>
      <c r="G2340" s="46"/>
      <c r="H2340" s="46"/>
      <c r="I2340" s="46"/>
      <c r="J2340" s="46"/>
      <c r="K2340" s="46"/>
      <c r="L2340" s="46"/>
      <c r="M2340" s="46"/>
      <c r="N2340" s="46"/>
      <c r="O2340" s="46"/>
      <c r="P2340" s="46"/>
      <c r="Q2340" s="46"/>
      <c r="R2340" s="46"/>
      <c r="S2340" s="46"/>
      <c r="T2340" s="46"/>
      <c r="U2340" s="46"/>
      <c r="V2340" s="46"/>
      <c r="W2340" s="46"/>
      <c r="X2340" s="46"/>
    </row>
    <row r="2341" spans="1:24" ht="12.75" x14ac:dyDescent="0.2">
      <c r="A2341" s="45"/>
      <c r="B2341" s="46"/>
      <c r="C2341" s="46"/>
      <c r="D2341" s="46"/>
      <c r="E2341" s="46"/>
      <c r="F2341" s="46"/>
      <c r="G2341" s="46"/>
      <c r="H2341" s="46"/>
      <c r="I2341" s="46"/>
      <c r="J2341" s="46"/>
      <c r="K2341" s="46"/>
      <c r="L2341" s="46"/>
      <c r="M2341" s="46"/>
      <c r="N2341" s="46"/>
      <c r="O2341" s="46"/>
      <c r="P2341" s="46"/>
      <c r="Q2341" s="46"/>
      <c r="R2341" s="46"/>
      <c r="S2341" s="46"/>
      <c r="T2341" s="46"/>
      <c r="U2341" s="46"/>
      <c r="V2341" s="46"/>
      <c r="W2341" s="46"/>
      <c r="X2341" s="46"/>
    </row>
    <row r="2342" spans="1:24" ht="12.75" x14ac:dyDescent="0.2">
      <c r="A2342" s="45"/>
      <c r="B2342" s="46"/>
      <c r="C2342" s="46"/>
      <c r="D2342" s="46"/>
      <c r="E2342" s="46"/>
      <c r="F2342" s="46"/>
      <c r="G2342" s="46"/>
      <c r="H2342" s="46"/>
      <c r="I2342" s="46"/>
      <c r="J2342" s="46"/>
      <c r="K2342" s="46"/>
      <c r="L2342" s="46"/>
      <c r="M2342" s="46"/>
      <c r="N2342" s="46"/>
      <c r="O2342" s="46"/>
      <c r="P2342" s="46"/>
      <c r="Q2342" s="46"/>
      <c r="R2342" s="46"/>
      <c r="S2342" s="46"/>
      <c r="T2342" s="46"/>
      <c r="U2342" s="46"/>
      <c r="V2342" s="46"/>
      <c r="W2342" s="46"/>
      <c r="X2342" s="46"/>
    </row>
    <row r="2343" spans="1:24" ht="12.75" x14ac:dyDescent="0.2">
      <c r="A2343" s="45"/>
      <c r="B2343" s="46"/>
      <c r="C2343" s="46"/>
      <c r="D2343" s="46"/>
      <c r="E2343" s="46"/>
      <c r="F2343" s="46"/>
      <c r="G2343" s="46"/>
      <c r="H2343" s="46"/>
      <c r="I2343" s="46"/>
      <c r="J2343" s="46"/>
      <c r="K2343" s="46"/>
      <c r="L2343" s="46"/>
      <c r="M2343" s="46"/>
      <c r="N2343" s="46"/>
      <c r="O2343" s="46"/>
      <c r="P2343" s="46"/>
      <c r="Q2343" s="46"/>
      <c r="R2343" s="46"/>
      <c r="S2343" s="46"/>
      <c r="T2343" s="46"/>
      <c r="U2343" s="46"/>
      <c r="V2343" s="46"/>
      <c r="W2343" s="46"/>
      <c r="X2343" s="46"/>
    </row>
    <row r="2344" spans="1:24" ht="12.75" x14ac:dyDescent="0.2">
      <c r="A2344" s="45"/>
      <c r="B2344" s="46"/>
      <c r="C2344" s="46"/>
      <c r="D2344" s="46"/>
      <c r="E2344" s="46"/>
      <c r="F2344" s="46"/>
      <c r="G2344" s="46"/>
      <c r="H2344" s="46"/>
      <c r="I2344" s="46"/>
      <c r="J2344" s="46"/>
      <c r="K2344" s="46"/>
      <c r="L2344" s="46"/>
      <c r="M2344" s="46"/>
      <c r="N2344" s="46"/>
      <c r="O2344" s="46"/>
      <c r="P2344" s="46"/>
      <c r="Q2344" s="46"/>
      <c r="R2344" s="46"/>
      <c r="S2344" s="46"/>
      <c r="T2344" s="46"/>
      <c r="U2344" s="46"/>
      <c r="V2344" s="46"/>
      <c r="W2344" s="46"/>
      <c r="X2344" s="46"/>
    </row>
    <row r="2345" spans="1:24" ht="12.75" x14ac:dyDescent="0.2">
      <c r="A2345" s="45"/>
      <c r="B2345" s="46"/>
      <c r="C2345" s="46"/>
      <c r="D2345" s="46"/>
      <c r="E2345" s="46"/>
      <c r="F2345" s="46"/>
      <c r="G2345" s="46"/>
      <c r="H2345" s="46"/>
      <c r="I2345" s="46"/>
      <c r="J2345" s="46"/>
      <c r="K2345" s="46"/>
      <c r="L2345" s="46"/>
      <c r="M2345" s="46"/>
      <c r="N2345" s="46"/>
      <c r="O2345" s="46"/>
      <c r="P2345" s="46"/>
      <c r="Q2345" s="46"/>
      <c r="R2345" s="46"/>
      <c r="S2345" s="46"/>
      <c r="T2345" s="46"/>
      <c r="U2345" s="46"/>
      <c r="V2345" s="46"/>
      <c r="W2345" s="46"/>
      <c r="X2345" s="46"/>
    </row>
    <row r="2346" spans="1:24" ht="12.75" x14ac:dyDescent="0.2">
      <c r="A2346" s="45"/>
      <c r="B2346" s="46"/>
      <c r="C2346" s="46"/>
      <c r="D2346" s="46"/>
      <c r="E2346" s="46"/>
      <c r="F2346" s="46"/>
      <c r="G2346" s="46"/>
      <c r="H2346" s="46"/>
      <c r="I2346" s="46"/>
      <c r="J2346" s="46"/>
      <c r="K2346" s="46"/>
      <c r="L2346" s="46"/>
      <c r="M2346" s="46"/>
      <c r="N2346" s="46"/>
      <c r="O2346" s="46"/>
      <c r="P2346" s="46"/>
      <c r="Q2346" s="46"/>
      <c r="R2346" s="46"/>
      <c r="S2346" s="46"/>
      <c r="T2346" s="46"/>
      <c r="U2346" s="46"/>
      <c r="V2346" s="46"/>
      <c r="W2346" s="46"/>
      <c r="X2346" s="46"/>
    </row>
    <row r="2347" spans="1:24" ht="12.75" x14ac:dyDescent="0.2">
      <c r="A2347" s="45"/>
      <c r="B2347" s="46"/>
      <c r="C2347" s="46"/>
      <c r="D2347" s="46"/>
      <c r="E2347" s="46"/>
      <c r="F2347" s="46"/>
      <c r="G2347" s="46"/>
      <c r="H2347" s="46"/>
      <c r="I2347" s="46"/>
      <c r="J2347" s="46"/>
      <c r="K2347" s="46"/>
      <c r="L2347" s="46"/>
      <c r="M2347" s="46"/>
      <c r="N2347" s="46"/>
      <c r="O2347" s="46"/>
      <c r="P2347" s="46"/>
      <c r="Q2347" s="46"/>
      <c r="R2347" s="46"/>
      <c r="S2347" s="46"/>
      <c r="T2347" s="46"/>
      <c r="U2347" s="46"/>
      <c r="V2347" s="46"/>
      <c r="W2347" s="46"/>
      <c r="X2347" s="46"/>
    </row>
    <row r="2348" spans="1:24" ht="12.75" x14ac:dyDescent="0.2">
      <c r="A2348" s="45"/>
      <c r="B2348" s="46"/>
      <c r="C2348" s="46"/>
      <c r="D2348" s="46"/>
      <c r="E2348" s="46"/>
      <c r="F2348" s="46"/>
      <c r="G2348" s="46"/>
      <c r="H2348" s="46"/>
      <c r="I2348" s="46"/>
      <c r="J2348" s="46"/>
      <c r="K2348" s="46"/>
      <c r="L2348" s="46"/>
      <c r="M2348" s="46"/>
      <c r="N2348" s="46"/>
      <c r="O2348" s="46"/>
      <c r="P2348" s="46"/>
      <c r="Q2348" s="46"/>
      <c r="R2348" s="46"/>
      <c r="S2348" s="46"/>
      <c r="T2348" s="46"/>
      <c r="U2348" s="46"/>
      <c r="V2348" s="46"/>
      <c r="W2348" s="46"/>
      <c r="X2348" s="46"/>
    </row>
    <row r="2349" spans="1:24" ht="12.75" x14ac:dyDescent="0.2">
      <c r="A2349" s="45"/>
      <c r="B2349" s="46"/>
      <c r="C2349" s="46"/>
      <c r="D2349" s="46"/>
      <c r="E2349" s="46"/>
      <c r="F2349" s="46"/>
      <c r="G2349" s="46"/>
      <c r="H2349" s="46"/>
      <c r="I2349" s="46"/>
      <c r="J2349" s="46"/>
      <c r="K2349" s="46"/>
      <c r="L2349" s="46"/>
      <c r="M2349" s="46"/>
      <c r="N2349" s="46"/>
      <c r="O2349" s="46"/>
      <c r="P2349" s="46"/>
      <c r="Q2349" s="46"/>
      <c r="R2349" s="46"/>
      <c r="S2349" s="46"/>
      <c r="T2349" s="46"/>
      <c r="U2349" s="46"/>
      <c r="V2349" s="46"/>
      <c r="W2349" s="46"/>
      <c r="X2349" s="46"/>
    </row>
    <row r="2350" spans="1:24" ht="12.75" x14ac:dyDescent="0.2">
      <c r="A2350" s="45"/>
      <c r="B2350" s="46"/>
      <c r="C2350" s="46"/>
      <c r="D2350" s="46"/>
      <c r="E2350" s="46"/>
      <c r="F2350" s="46"/>
      <c r="G2350" s="46"/>
      <c r="H2350" s="46"/>
      <c r="I2350" s="46"/>
      <c r="J2350" s="46"/>
      <c r="K2350" s="46"/>
      <c r="L2350" s="46"/>
      <c r="M2350" s="46"/>
      <c r="N2350" s="46"/>
      <c r="O2350" s="46"/>
      <c r="P2350" s="46"/>
      <c r="Q2350" s="46"/>
      <c r="R2350" s="46"/>
      <c r="S2350" s="46"/>
      <c r="T2350" s="46"/>
      <c r="U2350" s="46"/>
      <c r="V2350" s="46"/>
      <c r="W2350" s="46"/>
      <c r="X2350" s="46"/>
    </row>
    <row r="2351" spans="1:24" ht="12.75" x14ac:dyDescent="0.2">
      <c r="A2351" s="45"/>
      <c r="B2351" s="46"/>
      <c r="C2351" s="46"/>
      <c r="D2351" s="46"/>
      <c r="E2351" s="46"/>
      <c r="F2351" s="46"/>
      <c r="G2351" s="46"/>
      <c r="H2351" s="46"/>
      <c r="I2351" s="46"/>
      <c r="J2351" s="46"/>
      <c r="K2351" s="46"/>
      <c r="L2351" s="46"/>
      <c r="M2351" s="46"/>
      <c r="N2351" s="46"/>
      <c r="O2351" s="46"/>
      <c r="P2351" s="46"/>
      <c r="Q2351" s="46"/>
      <c r="R2351" s="46"/>
      <c r="S2351" s="46"/>
      <c r="T2351" s="46"/>
      <c r="U2351" s="46"/>
      <c r="V2351" s="46"/>
      <c r="W2351" s="46"/>
      <c r="X2351" s="46"/>
    </row>
    <row r="2352" spans="1:24" ht="12.75" x14ac:dyDescent="0.2">
      <c r="A2352" s="45"/>
      <c r="B2352" s="46"/>
      <c r="C2352" s="46"/>
      <c r="D2352" s="46"/>
      <c r="E2352" s="46"/>
      <c r="F2352" s="46"/>
      <c r="G2352" s="46"/>
      <c r="H2352" s="46"/>
      <c r="I2352" s="46"/>
      <c r="J2352" s="46"/>
      <c r="K2352" s="46"/>
      <c r="L2352" s="46"/>
      <c r="M2352" s="46"/>
      <c r="N2352" s="46"/>
      <c r="O2352" s="46"/>
      <c r="P2352" s="46"/>
      <c r="Q2352" s="46"/>
      <c r="R2352" s="46"/>
      <c r="S2352" s="46"/>
      <c r="T2352" s="46"/>
      <c r="U2352" s="46"/>
      <c r="V2352" s="46"/>
      <c r="W2352" s="46"/>
      <c r="X2352" s="46"/>
    </row>
    <row r="2353" spans="1:24" ht="12.75" x14ac:dyDescent="0.2">
      <c r="A2353" s="45"/>
      <c r="B2353" s="46"/>
      <c r="C2353" s="46"/>
      <c r="D2353" s="46"/>
      <c r="E2353" s="46"/>
      <c r="F2353" s="46"/>
      <c r="G2353" s="46"/>
      <c r="H2353" s="46"/>
      <c r="I2353" s="46"/>
      <c r="J2353" s="46"/>
      <c r="K2353" s="46"/>
      <c r="L2353" s="46"/>
      <c r="M2353" s="46"/>
      <c r="N2353" s="46"/>
      <c r="O2353" s="46"/>
      <c r="P2353" s="46"/>
      <c r="Q2353" s="46"/>
      <c r="R2353" s="46"/>
      <c r="S2353" s="46"/>
      <c r="T2353" s="46"/>
      <c r="U2353" s="46"/>
      <c r="V2353" s="46"/>
      <c r="W2353" s="46"/>
      <c r="X2353" s="46"/>
    </row>
    <row r="2354" spans="1:24" ht="12.75" x14ac:dyDescent="0.2">
      <c r="A2354" s="45"/>
      <c r="B2354" s="46"/>
      <c r="C2354" s="46"/>
      <c r="D2354" s="46"/>
      <c r="E2354" s="46"/>
      <c r="F2354" s="46"/>
      <c r="G2354" s="46"/>
      <c r="H2354" s="46"/>
      <c r="I2354" s="46"/>
      <c r="J2354" s="46"/>
      <c r="K2354" s="46"/>
      <c r="L2354" s="46"/>
      <c r="M2354" s="46"/>
      <c r="N2354" s="46"/>
      <c r="O2354" s="46"/>
      <c r="P2354" s="46"/>
      <c r="Q2354" s="46"/>
      <c r="R2354" s="46"/>
      <c r="S2354" s="46"/>
      <c r="T2354" s="46"/>
      <c r="U2354" s="46"/>
      <c r="V2354" s="46"/>
      <c r="W2354" s="46"/>
      <c r="X2354" s="46"/>
    </row>
    <row r="2355" spans="1:24" ht="12.75" x14ac:dyDescent="0.2">
      <c r="A2355" s="45"/>
      <c r="B2355" s="46"/>
      <c r="C2355" s="46"/>
      <c r="D2355" s="46"/>
      <c r="E2355" s="46"/>
      <c r="F2355" s="46"/>
      <c r="G2355" s="46"/>
      <c r="H2355" s="46"/>
      <c r="I2355" s="46"/>
      <c r="J2355" s="46"/>
      <c r="K2355" s="46"/>
      <c r="L2355" s="46"/>
      <c r="M2355" s="46"/>
      <c r="N2355" s="46"/>
      <c r="O2355" s="46"/>
      <c r="P2355" s="46"/>
      <c r="Q2355" s="46"/>
      <c r="R2355" s="46"/>
      <c r="S2355" s="46"/>
      <c r="T2355" s="46"/>
      <c r="U2355" s="46"/>
      <c r="V2355" s="46"/>
      <c r="W2355" s="46"/>
      <c r="X2355" s="46"/>
    </row>
    <row r="2356" spans="1:24" ht="12.75" x14ac:dyDescent="0.2">
      <c r="A2356" s="45"/>
      <c r="B2356" s="46"/>
      <c r="C2356" s="46"/>
      <c r="D2356" s="46"/>
      <c r="E2356" s="46"/>
      <c r="F2356" s="46"/>
      <c r="G2356" s="46"/>
      <c r="H2356" s="46"/>
      <c r="I2356" s="46"/>
      <c r="J2356" s="46"/>
      <c r="K2356" s="46"/>
      <c r="L2356" s="46"/>
      <c r="M2356" s="46"/>
      <c r="N2356" s="46"/>
      <c r="O2356" s="46"/>
      <c r="P2356" s="46"/>
      <c r="Q2356" s="46"/>
      <c r="R2356" s="46"/>
      <c r="S2356" s="46"/>
      <c r="T2356" s="46"/>
      <c r="U2356" s="46"/>
      <c r="V2356" s="46"/>
      <c r="W2356" s="46"/>
      <c r="X2356" s="46"/>
    </row>
    <row r="2357" spans="1:24" ht="12.75" x14ac:dyDescent="0.2">
      <c r="A2357" s="45"/>
      <c r="B2357" s="46"/>
      <c r="C2357" s="46"/>
      <c r="D2357" s="46"/>
      <c r="E2357" s="46"/>
      <c r="F2357" s="46"/>
      <c r="G2357" s="46"/>
      <c r="H2357" s="46"/>
      <c r="I2357" s="46"/>
      <c r="J2357" s="46"/>
      <c r="K2357" s="46"/>
      <c r="L2357" s="46"/>
      <c r="M2357" s="46"/>
      <c r="N2357" s="46"/>
      <c r="O2357" s="46"/>
      <c r="P2357" s="46"/>
      <c r="Q2357" s="46"/>
      <c r="R2357" s="46"/>
      <c r="S2357" s="46"/>
      <c r="T2357" s="46"/>
      <c r="U2357" s="46"/>
      <c r="V2357" s="46"/>
      <c r="W2357" s="46"/>
      <c r="X2357" s="46"/>
    </row>
    <row r="2358" spans="1:24" ht="12.75" x14ac:dyDescent="0.2">
      <c r="A2358" s="45"/>
      <c r="B2358" s="46"/>
      <c r="C2358" s="46"/>
      <c r="D2358" s="46"/>
      <c r="E2358" s="46"/>
      <c r="F2358" s="46"/>
      <c r="G2358" s="46"/>
      <c r="H2358" s="46"/>
      <c r="I2358" s="46"/>
      <c r="J2358" s="46"/>
      <c r="K2358" s="46"/>
      <c r="L2358" s="46"/>
      <c r="M2358" s="46"/>
      <c r="N2358" s="46"/>
      <c r="O2358" s="46"/>
      <c r="P2358" s="46"/>
      <c r="Q2358" s="46"/>
      <c r="R2358" s="46"/>
      <c r="S2358" s="46"/>
      <c r="T2358" s="46"/>
      <c r="U2358" s="46"/>
      <c r="V2358" s="46"/>
      <c r="W2358" s="46"/>
      <c r="X2358" s="46"/>
    </row>
    <row r="2359" spans="1:24" ht="12.75" x14ac:dyDescent="0.2">
      <c r="A2359" s="45"/>
      <c r="B2359" s="46"/>
      <c r="C2359" s="46"/>
      <c r="D2359" s="46"/>
      <c r="E2359" s="46"/>
      <c r="F2359" s="46"/>
      <c r="G2359" s="46"/>
      <c r="H2359" s="46"/>
      <c r="I2359" s="46"/>
      <c r="J2359" s="46"/>
      <c r="K2359" s="46"/>
      <c r="L2359" s="46"/>
      <c r="M2359" s="46"/>
      <c r="N2359" s="46"/>
      <c r="O2359" s="46"/>
      <c r="P2359" s="46"/>
      <c r="Q2359" s="46"/>
      <c r="R2359" s="46"/>
      <c r="S2359" s="46"/>
      <c r="T2359" s="46"/>
      <c r="U2359" s="46"/>
      <c r="V2359" s="46"/>
      <c r="W2359" s="46"/>
      <c r="X2359" s="46"/>
    </row>
    <row r="2360" spans="1:24" ht="12.75" x14ac:dyDescent="0.2">
      <c r="A2360" s="45"/>
      <c r="B2360" s="46"/>
      <c r="C2360" s="46"/>
      <c r="D2360" s="46"/>
      <c r="E2360" s="46"/>
      <c r="F2360" s="46"/>
      <c r="G2360" s="46"/>
      <c r="H2360" s="46"/>
      <c r="I2360" s="46"/>
      <c r="J2360" s="46"/>
      <c r="K2360" s="46"/>
      <c r="L2360" s="46"/>
      <c r="M2360" s="46"/>
      <c r="N2360" s="46"/>
      <c r="O2360" s="46"/>
      <c r="P2360" s="46"/>
      <c r="Q2360" s="46"/>
      <c r="R2360" s="46"/>
      <c r="S2360" s="46"/>
      <c r="T2360" s="46"/>
      <c r="U2360" s="46"/>
      <c r="V2360" s="46"/>
      <c r="W2360" s="46"/>
      <c r="X2360" s="46"/>
    </row>
    <row r="2361" spans="1:24" ht="12.75" x14ac:dyDescent="0.2">
      <c r="A2361" s="45"/>
      <c r="B2361" s="46"/>
      <c r="C2361" s="46"/>
      <c r="D2361" s="46"/>
      <c r="E2361" s="46"/>
      <c r="F2361" s="46"/>
      <c r="G2361" s="46"/>
      <c r="H2361" s="46"/>
      <c r="I2361" s="46"/>
      <c r="J2361" s="46"/>
      <c r="K2361" s="46"/>
      <c r="L2361" s="46"/>
      <c r="M2361" s="46"/>
      <c r="N2361" s="46"/>
      <c r="O2361" s="46"/>
      <c r="P2361" s="46"/>
      <c r="Q2361" s="46"/>
      <c r="R2361" s="46"/>
      <c r="S2361" s="46"/>
      <c r="T2361" s="46"/>
      <c r="U2361" s="46"/>
      <c r="V2361" s="46"/>
      <c r="W2361" s="46"/>
      <c r="X2361" s="46"/>
    </row>
    <row r="2362" spans="1:24" ht="12.75" x14ac:dyDescent="0.2">
      <c r="A2362" s="45"/>
      <c r="B2362" s="46"/>
      <c r="C2362" s="46"/>
      <c r="D2362" s="46"/>
      <c r="E2362" s="46"/>
      <c r="F2362" s="46"/>
      <c r="G2362" s="46"/>
      <c r="H2362" s="46"/>
      <c r="I2362" s="46"/>
      <c r="J2362" s="46"/>
      <c r="K2362" s="46"/>
      <c r="L2362" s="46"/>
      <c r="M2362" s="46"/>
      <c r="N2362" s="46"/>
      <c r="O2362" s="46"/>
      <c r="P2362" s="46"/>
      <c r="Q2362" s="46"/>
      <c r="R2362" s="46"/>
      <c r="S2362" s="46"/>
      <c r="T2362" s="46"/>
      <c r="U2362" s="46"/>
      <c r="V2362" s="46"/>
      <c r="W2362" s="46"/>
      <c r="X2362" s="46"/>
    </row>
    <row r="2363" spans="1:24" ht="12.75" x14ac:dyDescent="0.2">
      <c r="A2363" s="45"/>
      <c r="B2363" s="46"/>
      <c r="C2363" s="46"/>
      <c r="D2363" s="46"/>
      <c r="E2363" s="46"/>
      <c r="F2363" s="46"/>
      <c r="G2363" s="46"/>
      <c r="H2363" s="46"/>
      <c r="I2363" s="46"/>
      <c r="J2363" s="46"/>
      <c r="K2363" s="46"/>
      <c r="L2363" s="46"/>
      <c r="M2363" s="46"/>
      <c r="N2363" s="46"/>
      <c r="O2363" s="46"/>
      <c r="P2363" s="46"/>
      <c r="Q2363" s="46"/>
      <c r="R2363" s="46"/>
      <c r="S2363" s="46"/>
      <c r="T2363" s="46"/>
      <c r="U2363" s="46"/>
      <c r="V2363" s="46"/>
      <c r="W2363" s="46"/>
      <c r="X2363" s="46"/>
    </row>
    <row r="2364" spans="1:24" ht="12.75" x14ac:dyDescent="0.2">
      <c r="A2364" s="45"/>
      <c r="B2364" s="46"/>
      <c r="C2364" s="46"/>
      <c r="D2364" s="46"/>
      <c r="E2364" s="46"/>
      <c r="F2364" s="46"/>
      <c r="G2364" s="46"/>
      <c r="H2364" s="46"/>
      <c r="I2364" s="46"/>
      <c r="J2364" s="46"/>
      <c r="K2364" s="46"/>
      <c r="L2364" s="46"/>
      <c r="M2364" s="46"/>
      <c r="N2364" s="46"/>
      <c r="O2364" s="46"/>
      <c r="P2364" s="46"/>
      <c r="Q2364" s="46"/>
      <c r="R2364" s="46"/>
      <c r="S2364" s="46"/>
      <c r="T2364" s="46"/>
      <c r="U2364" s="46"/>
      <c r="V2364" s="46"/>
      <c r="W2364" s="46"/>
      <c r="X2364" s="46"/>
    </row>
    <row r="2365" spans="1:24" ht="12.75" x14ac:dyDescent="0.2">
      <c r="A2365" s="45"/>
      <c r="B2365" s="46"/>
      <c r="C2365" s="46"/>
      <c r="D2365" s="46"/>
      <c r="E2365" s="46"/>
      <c r="F2365" s="46"/>
      <c r="G2365" s="46"/>
      <c r="H2365" s="46"/>
      <c r="I2365" s="46"/>
      <c r="J2365" s="46"/>
      <c r="K2365" s="46"/>
      <c r="L2365" s="46"/>
      <c r="M2365" s="46"/>
      <c r="N2365" s="46"/>
      <c r="O2365" s="46"/>
      <c r="P2365" s="46"/>
      <c r="Q2365" s="46"/>
      <c r="R2365" s="46"/>
      <c r="S2365" s="46"/>
      <c r="T2365" s="46"/>
      <c r="U2365" s="46"/>
      <c r="V2365" s="46"/>
      <c r="W2365" s="46"/>
      <c r="X2365" s="46"/>
    </row>
    <row r="2366" spans="1:24" ht="12.75" x14ac:dyDescent="0.2">
      <c r="A2366" s="45"/>
      <c r="B2366" s="46"/>
      <c r="C2366" s="46"/>
      <c r="D2366" s="46"/>
      <c r="E2366" s="46"/>
      <c r="F2366" s="46"/>
      <c r="G2366" s="46"/>
      <c r="H2366" s="46"/>
      <c r="I2366" s="46"/>
      <c r="J2366" s="46"/>
      <c r="K2366" s="46"/>
      <c r="L2366" s="46"/>
      <c r="M2366" s="46"/>
      <c r="N2366" s="46"/>
      <c r="O2366" s="46"/>
      <c r="P2366" s="46"/>
      <c r="Q2366" s="46"/>
      <c r="R2366" s="46"/>
      <c r="S2366" s="46"/>
      <c r="T2366" s="46"/>
      <c r="U2366" s="46"/>
      <c r="V2366" s="46"/>
      <c r="W2366" s="46"/>
      <c r="X2366" s="46"/>
    </row>
    <row r="2367" spans="1:24" ht="12.75" x14ac:dyDescent="0.2">
      <c r="A2367" s="45"/>
      <c r="B2367" s="46"/>
      <c r="C2367" s="46"/>
      <c r="D2367" s="46"/>
      <c r="E2367" s="46"/>
      <c r="F2367" s="46"/>
      <c r="G2367" s="46"/>
      <c r="H2367" s="46"/>
      <c r="I2367" s="46"/>
      <c r="J2367" s="46"/>
      <c r="K2367" s="46"/>
      <c r="L2367" s="46"/>
      <c r="M2367" s="46"/>
      <c r="N2367" s="46"/>
      <c r="O2367" s="46"/>
      <c r="P2367" s="46"/>
      <c r="Q2367" s="46"/>
      <c r="R2367" s="46"/>
      <c r="S2367" s="46"/>
      <c r="T2367" s="46"/>
      <c r="U2367" s="46"/>
      <c r="V2367" s="46"/>
      <c r="W2367" s="46"/>
      <c r="X2367" s="46"/>
    </row>
    <row r="2368" spans="1:24" ht="12.75" x14ac:dyDescent="0.2">
      <c r="A2368" s="45"/>
      <c r="B2368" s="46"/>
      <c r="C2368" s="46"/>
      <c r="D2368" s="46"/>
      <c r="E2368" s="46"/>
      <c r="F2368" s="46"/>
      <c r="G2368" s="46"/>
      <c r="H2368" s="46"/>
      <c r="I2368" s="46"/>
      <c r="J2368" s="46"/>
      <c r="K2368" s="46"/>
      <c r="L2368" s="46"/>
      <c r="M2368" s="46"/>
      <c r="N2368" s="46"/>
      <c r="O2368" s="46"/>
      <c r="P2368" s="46"/>
      <c r="Q2368" s="46"/>
      <c r="R2368" s="46"/>
      <c r="S2368" s="46"/>
      <c r="T2368" s="46"/>
      <c r="U2368" s="46"/>
      <c r="V2368" s="46"/>
      <c r="W2368" s="46"/>
      <c r="X2368" s="46"/>
    </row>
    <row r="2369" spans="1:24" ht="12.75" x14ac:dyDescent="0.2">
      <c r="A2369" s="45"/>
      <c r="B2369" s="46"/>
      <c r="C2369" s="46"/>
      <c r="D2369" s="46"/>
      <c r="E2369" s="46"/>
      <c r="F2369" s="46"/>
      <c r="G2369" s="46"/>
      <c r="H2369" s="46"/>
      <c r="I2369" s="46"/>
      <c r="J2369" s="46"/>
      <c r="K2369" s="46"/>
      <c r="L2369" s="46"/>
      <c r="M2369" s="46"/>
      <c r="N2369" s="46"/>
      <c r="O2369" s="46"/>
      <c r="P2369" s="46"/>
      <c r="Q2369" s="46"/>
      <c r="R2369" s="46"/>
      <c r="S2369" s="46"/>
      <c r="T2369" s="46"/>
      <c r="U2369" s="46"/>
      <c r="V2369" s="46"/>
      <c r="W2369" s="46"/>
      <c r="X2369" s="46"/>
    </row>
    <row r="2370" spans="1:24" ht="12.75" x14ac:dyDescent="0.2">
      <c r="A2370" s="45"/>
      <c r="B2370" s="46"/>
      <c r="C2370" s="46"/>
      <c r="D2370" s="46"/>
      <c r="E2370" s="46"/>
      <c r="F2370" s="46"/>
      <c r="G2370" s="46"/>
      <c r="H2370" s="46"/>
      <c r="I2370" s="46"/>
      <c r="J2370" s="46"/>
      <c r="K2370" s="46"/>
      <c r="L2370" s="46"/>
      <c r="M2370" s="46"/>
      <c r="N2370" s="46"/>
      <c r="O2370" s="46"/>
      <c r="P2370" s="46"/>
      <c r="Q2370" s="46"/>
      <c r="R2370" s="46"/>
      <c r="S2370" s="46"/>
      <c r="T2370" s="46"/>
      <c r="U2370" s="46"/>
      <c r="V2370" s="46"/>
      <c r="W2370" s="46"/>
      <c r="X2370" s="46"/>
    </row>
    <row r="2371" spans="1:24" ht="12.75" x14ac:dyDescent="0.2">
      <c r="A2371" s="45"/>
      <c r="B2371" s="46"/>
      <c r="C2371" s="46"/>
      <c r="D2371" s="46"/>
      <c r="E2371" s="46"/>
      <c r="F2371" s="46"/>
      <c r="G2371" s="46"/>
      <c r="H2371" s="46"/>
      <c r="I2371" s="46"/>
      <c r="J2371" s="46"/>
      <c r="K2371" s="46"/>
      <c r="L2371" s="46"/>
      <c r="M2371" s="46"/>
      <c r="N2371" s="46"/>
      <c r="O2371" s="46"/>
      <c r="P2371" s="46"/>
      <c r="Q2371" s="46"/>
      <c r="R2371" s="46"/>
      <c r="S2371" s="46"/>
      <c r="T2371" s="46"/>
      <c r="U2371" s="46"/>
      <c r="V2371" s="46"/>
      <c r="W2371" s="46"/>
      <c r="X2371" s="46"/>
    </row>
    <row r="2372" spans="1:24" ht="12.75" x14ac:dyDescent="0.2">
      <c r="A2372" s="45"/>
      <c r="B2372" s="46"/>
      <c r="C2372" s="46"/>
      <c r="D2372" s="46"/>
      <c r="E2372" s="46"/>
      <c r="F2372" s="46"/>
      <c r="G2372" s="46"/>
      <c r="H2372" s="46"/>
      <c r="I2372" s="46"/>
      <c r="J2372" s="46"/>
      <c r="K2372" s="46"/>
      <c r="L2372" s="46"/>
      <c r="M2372" s="46"/>
      <c r="N2372" s="46"/>
      <c r="O2372" s="46"/>
      <c r="P2372" s="46"/>
      <c r="Q2372" s="46"/>
      <c r="R2372" s="46"/>
      <c r="S2372" s="46"/>
      <c r="T2372" s="46"/>
      <c r="U2372" s="46"/>
      <c r="V2372" s="46"/>
      <c r="W2372" s="46"/>
      <c r="X2372" s="46"/>
    </row>
    <row r="2373" spans="1:24" ht="12.75" x14ac:dyDescent="0.2">
      <c r="A2373" s="45"/>
      <c r="B2373" s="46"/>
      <c r="C2373" s="46"/>
      <c r="D2373" s="46"/>
      <c r="E2373" s="46"/>
      <c r="F2373" s="46"/>
      <c r="G2373" s="46"/>
      <c r="H2373" s="46"/>
      <c r="I2373" s="46"/>
      <c r="J2373" s="46"/>
      <c r="K2373" s="46"/>
      <c r="L2373" s="46"/>
      <c r="M2373" s="46"/>
      <c r="N2373" s="46"/>
      <c r="O2373" s="46"/>
      <c r="P2373" s="46"/>
      <c r="Q2373" s="46"/>
      <c r="R2373" s="46"/>
      <c r="S2373" s="46"/>
      <c r="T2373" s="46"/>
      <c r="U2373" s="46"/>
      <c r="V2373" s="46"/>
      <c r="W2373" s="46"/>
      <c r="X2373" s="46"/>
    </row>
    <row r="2374" spans="1:24" ht="12.75" x14ac:dyDescent="0.2">
      <c r="A2374" s="45"/>
      <c r="B2374" s="46"/>
      <c r="C2374" s="46"/>
      <c r="D2374" s="46"/>
      <c r="E2374" s="46"/>
      <c r="F2374" s="46"/>
      <c r="G2374" s="46"/>
      <c r="H2374" s="46"/>
      <c r="I2374" s="46"/>
      <c r="J2374" s="46"/>
      <c r="K2374" s="46"/>
      <c r="L2374" s="46"/>
      <c r="M2374" s="46"/>
      <c r="N2374" s="46"/>
      <c r="O2374" s="46"/>
      <c r="P2374" s="46"/>
      <c r="Q2374" s="46"/>
      <c r="R2374" s="46"/>
      <c r="S2374" s="46"/>
      <c r="T2374" s="46"/>
      <c r="U2374" s="46"/>
      <c r="V2374" s="46"/>
      <c r="W2374" s="46"/>
      <c r="X2374" s="46"/>
    </row>
    <row r="2375" spans="1:24" ht="12.75" x14ac:dyDescent="0.2">
      <c r="A2375" s="45"/>
      <c r="B2375" s="46"/>
      <c r="C2375" s="46"/>
      <c r="D2375" s="46"/>
      <c r="E2375" s="46"/>
      <c r="F2375" s="46"/>
      <c r="G2375" s="46"/>
      <c r="H2375" s="46"/>
      <c r="I2375" s="46"/>
      <c r="J2375" s="46"/>
      <c r="K2375" s="46"/>
      <c r="L2375" s="46"/>
      <c r="M2375" s="46"/>
      <c r="N2375" s="46"/>
      <c r="O2375" s="46"/>
      <c r="P2375" s="46"/>
      <c r="Q2375" s="46"/>
      <c r="R2375" s="46"/>
      <c r="S2375" s="46"/>
      <c r="T2375" s="46"/>
      <c r="U2375" s="46"/>
      <c r="V2375" s="46"/>
      <c r="W2375" s="46"/>
      <c r="X2375" s="46"/>
    </row>
    <row r="2376" spans="1:24" ht="12.75" x14ac:dyDescent="0.2">
      <c r="A2376" s="45"/>
      <c r="B2376" s="46"/>
      <c r="C2376" s="46"/>
      <c r="D2376" s="46"/>
      <c r="E2376" s="46"/>
      <c r="F2376" s="46"/>
      <c r="G2376" s="46"/>
      <c r="H2376" s="46"/>
      <c r="I2376" s="46"/>
      <c r="J2376" s="46"/>
      <c r="K2376" s="46"/>
      <c r="L2376" s="46"/>
      <c r="M2376" s="46"/>
      <c r="N2376" s="46"/>
      <c r="O2376" s="46"/>
      <c r="P2376" s="46"/>
      <c r="Q2376" s="46"/>
      <c r="R2376" s="46"/>
      <c r="S2376" s="46"/>
      <c r="T2376" s="46"/>
      <c r="U2376" s="46"/>
      <c r="V2376" s="46"/>
      <c r="W2376" s="46"/>
      <c r="X2376" s="46"/>
    </row>
    <row r="2377" spans="1:24" ht="12.75" x14ac:dyDescent="0.2">
      <c r="A2377" s="45"/>
      <c r="B2377" s="46"/>
      <c r="C2377" s="46"/>
      <c r="D2377" s="46"/>
      <c r="E2377" s="46"/>
      <c r="F2377" s="46"/>
      <c r="G2377" s="46"/>
      <c r="H2377" s="46"/>
      <c r="I2377" s="46"/>
      <c r="J2377" s="46"/>
      <c r="K2377" s="46"/>
      <c r="L2377" s="46"/>
      <c r="M2377" s="46"/>
      <c r="N2377" s="46"/>
      <c r="O2377" s="46"/>
      <c r="P2377" s="46"/>
      <c r="Q2377" s="46"/>
      <c r="R2377" s="46"/>
      <c r="S2377" s="46"/>
      <c r="T2377" s="46"/>
      <c r="U2377" s="46"/>
      <c r="V2377" s="46"/>
      <c r="W2377" s="46"/>
      <c r="X2377" s="46"/>
    </row>
    <row r="2378" spans="1:24" ht="12.75" x14ac:dyDescent="0.2">
      <c r="A2378" s="45"/>
      <c r="B2378" s="46"/>
      <c r="C2378" s="46"/>
      <c r="D2378" s="46"/>
      <c r="E2378" s="46"/>
      <c r="F2378" s="46"/>
      <c r="G2378" s="46"/>
      <c r="H2378" s="46"/>
      <c r="I2378" s="46"/>
      <c r="J2378" s="46"/>
      <c r="K2378" s="46"/>
      <c r="L2378" s="46"/>
      <c r="M2378" s="46"/>
      <c r="N2378" s="46"/>
      <c r="O2378" s="46"/>
      <c r="P2378" s="46"/>
      <c r="Q2378" s="46"/>
      <c r="R2378" s="46"/>
      <c r="S2378" s="46"/>
      <c r="T2378" s="46"/>
      <c r="U2378" s="46"/>
      <c r="V2378" s="46"/>
      <c r="W2378" s="46"/>
      <c r="X2378" s="46"/>
    </row>
    <row r="2379" spans="1:24" ht="12.75" x14ac:dyDescent="0.2">
      <c r="A2379" s="45"/>
      <c r="B2379" s="46"/>
      <c r="C2379" s="46"/>
      <c r="D2379" s="46"/>
      <c r="E2379" s="46"/>
      <c r="F2379" s="46"/>
      <c r="G2379" s="46"/>
      <c r="H2379" s="46"/>
      <c r="I2379" s="46"/>
      <c r="J2379" s="46"/>
      <c r="K2379" s="46"/>
      <c r="L2379" s="46"/>
      <c r="M2379" s="46"/>
      <c r="N2379" s="46"/>
      <c r="O2379" s="46"/>
      <c r="P2379" s="46"/>
      <c r="Q2379" s="46"/>
      <c r="R2379" s="46"/>
      <c r="S2379" s="46"/>
      <c r="T2379" s="46"/>
      <c r="U2379" s="46"/>
      <c r="V2379" s="46"/>
      <c r="W2379" s="46"/>
      <c r="X2379" s="46"/>
    </row>
    <row r="2380" spans="1:24" ht="12.75" x14ac:dyDescent="0.2">
      <c r="A2380" s="45"/>
      <c r="B2380" s="46"/>
      <c r="C2380" s="46"/>
      <c r="D2380" s="46"/>
      <c r="E2380" s="46"/>
      <c r="F2380" s="46"/>
      <c r="G2380" s="46"/>
      <c r="H2380" s="46"/>
      <c r="I2380" s="46"/>
      <c r="J2380" s="46"/>
      <c r="K2380" s="46"/>
      <c r="L2380" s="46"/>
      <c r="M2380" s="46"/>
      <c r="N2380" s="46"/>
      <c r="O2380" s="46"/>
      <c r="P2380" s="46"/>
      <c r="Q2380" s="46"/>
      <c r="R2380" s="46"/>
      <c r="S2380" s="46"/>
      <c r="T2380" s="46"/>
      <c r="U2380" s="46"/>
      <c r="V2380" s="46"/>
      <c r="W2380" s="46"/>
      <c r="X2380" s="46"/>
    </row>
    <row r="2381" spans="1:24" ht="12.75" x14ac:dyDescent="0.2">
      <c r="A2381" s="45"/>
      <c r="B2381" s="46"/>
      <c r="C2381" s="46"/>
      <c r="D2381" s="46"/>
      <c r="E2381" s="46"/>
      <c r="F2381" s="46"/>
      <c r="G2381" s="46"/>
      <c r="H2381" s="46"/>
      <c r="I2381" s="46"/>
      <c r="J2381" s="46"/>
      <c r="K2381" s="46"/>
      <c r="L2381" s="46"/>
      <c r="M2381" s="46"/>
      <c r="N2381" s="46"/>
      <c r="O2381" s="46"/>
      <c r="P2381" s="46"/>
      <c r="Q2381" s="46"/>
      <c r="R2381" s="46"/>
      <c r="S2381" s="46"/>
      <c r="T2381" s="46"/>
      <c r="U2381" s="46"/>
      <c r="V2381" s="46"/>
      <c r="W2381" s="46"/>
      <c r="X2381" s="46"/>
    </row>
    <row r="2382" spans="1:24" ht="12.75" x14ac:dyDescent="0.2">
      <c r="A2382" s="45"/>
      <c r="B2382" s="46"/>
      <c r="C2382" s="46"/>
      <c r="D2382" s="46"/>
      <c r="E2382" s="46"/>
      <c r="F2382" s="46"/>
      <c r="G2382" s="46"/>
      <c r="H2382" s="46"/>
      <c r="I2382" s="46"/>
      <c r="J2382" s="46"/>
      <c r="K2382" s="46"/>
      <c r="L2382" s="46"/>
      <c r="M2382" s="46"/>
      <c r="N2382" s="46"/>
      <c r="O2382" s="46"/>
      <c r="P2382" s="46"/>
      <c r="Q2382" s="46"/>
      <c r="R2382" s="46"/>
      <c r="S2382" s="46"/>
      <c r="T2382" s="46"/>
      <c r="U2382" s="46"/>
      <c r="V2382" s="46"/>
      <c r="W2382" s="46"/>
      <c r="X2382" s="46"/>
    </row>
    <row r="2383" spans="1:24" ht="12.75" x14ac:dyDescent="0.2">
      <c r="A2383" s="45"/>
      <c r="B2383" s="46"/>
      <c r="C2383" s="46"/>
      <c r="D2383" s="46"/>
      <c r="E2383" s="46"/>
      <c r="F2383" s="46"/>
      <c r="G2383" s="46"/>
      <c r="H2383" s="46"/>
      <c r="I2383" s="46"/>
      <c r="J2383" s="46"/>
      <c r="K2383" s="46"/>
      <c r="L2383" s="46"/>
      <c r="M2383" s="46"/>
      <c r="N2383" s="46"/>
      <c r="O2383" s="46"/>
      <c r="P2383" s="46"/>
      <c r="Q2383" s="46"/>
      <c r="R2383" s="46"/>
      <c r="S2383" s="46"/>
      <c r="T2383" s="46"/>
      <c r="U2383" s="46"/>
      <c r="V2383" s="46"/>
      <c r="W2383" s="46"/>
      <c r="X2383" s="46"/>
    </row>
    <row r="2384" spans="1:24" ht="12.75" x14ac:dyDescent="0.2">
      <c r="A2384" s="45"/>
      <c r="B2384" s="46"/>
      <c r="C2384" s="46"/>
      <c r="D2384" s="46"/>
      <c r="E2384" s="46"/>
      <c r="F2384" s="46"/>
      <c r="G2384" s="46"/>
      <c r="H2384" s="46"/>
      <c r="I2384" s="46"/>
      <c r="J2384" s="46"/>
      <c r="K2384" s="46"/>
      <c r="L2384" s="46"/>
      <c r="M2384" s="46"/>
      <c r="N2384" s="46"/>
      <c r="O2384" s="46"/>
      <c r="P2384" s="46"/>
      <c r="Q2384" s="46"/>
      <c r="R2384" s="46"/>
      <c r="S2384" s="46"/>
      <c r="T2384" s="46"/>
      <c r="U2384" s="46"/>
      <c r="V2384" s="46"/>
      <c r="W2384" s="46"/>
      <c r="X2384" s="46"/>
    </row>
    <row r="2385" spans="1:24" ht="12.75" x14ac:dyDescent="0.2">
      <c r="A2385" s="45"/>
      <c r="B2385" s="46"/>
      <c r="C2385" s="46"/>
      <c r="D2385" s="46"/>
      <c r="E2385" s="46"/>
      <c r="F2385" s="46"/>
      <c r="G2385" s="46"/>
      <c r="H2385" s="46"/>
      <c r="I2385" s="46"/>
      <c r="J2385" s="46"/>
      <c r="K2385" s="46"/>
      <c r="L2385" s="46"/>
      <c r="M2385" s="46"/>
      <c r="N2385" s="46"/>
      <c r="O2385" s="46"/>
      <c r="P2385" s="46"/>
      <c r="Q2385" s="46"/>
      <c r="R2385" s="46"/>
      <c r="S2385" s="46"/>
      <c r="T2385" s="46"/>
      <c r="U2385" s="46"/>
      <c r="V2385" s="46"/>
      <c r="W2385" s="46"/>
      <c r="X2385" s="46"/>
    </row>
    <row r="2386" spans="1:24" ht="12.75" x14ac:dyDescent="0.2">
      <c r="A2386" s="45"/>
      <c r="B2386" s="46"/>
      <c r="C2386" s="46"/>
      <c r="D2386" s="46"/>
      <c r="E2386" s="46"/>
      <c r="F2386" s="46"/>
      <c r="G2386" s="46"/>
      <c r="H2386" s="46"/>
      <c r="I2386" s="46"/>
      <c r="J2386" s="46"/>
      <c r="K2386" s="46"/>
      <c r="L2386" s="46"/>
      <c r="M2386" s="46"/>
      <c r="N2386" s="46"/>
      <c r="O2386" s="46"/>
      <c r="P2386" s="46"/>
      <c r="Q2386" s="46"/>
      <c r="R2386" s="46"/>
      <c r="S2386" s="46"/>
      <c r="T2386" s="46"/>
      <c r="U2386" s="46"/>
      <c r="V2386" s="46"/>
      <c r="W2386" s="46"/>
      <c r="X2386" s="46"/>
    </row>
    <row r="2387" spans="1:24" ht="12.75" x14ac:dyDescent="0.2">
      <c r="A2387" s="45"/>
      <c r="B2387" s="46"/>
      <c r="C2387" s="46"/>
      <c r="D2387" s="46"/>
      <c r="E2387" s="46"/>
      <c r="F2387" s="46"/>
      <c r="G2387" s="46"/>
      <c r="H2387" s="46"/>
      <c r="I2387" s="46"/>
      <c r="J2387" s="46"/>
      <c r="K2387" s="46"/>
      <c r="L2387" s="46"/>
      <c r="M2387" s="46"/>
      <c r="N2387" s="46"/>
      <c r="O2387" s="46"/>
      <c r="P2387" s="46"/>
      <c r="Q2387" s="46"/>
      <c r="R2387" s="46"/>
      <c r="S2387" s="46"/>
      <c r="T2387" s="46"/>
      <c r="U2387" s="46"/>
      <c r="V2387" s="46"/>
      <c r="W2387" s="46"/>
      <c r="X2387" s="46"/>
    </row>
    <row r="2388" spans="1:24" ht="12.75" x14ac:dyDescent="0.2">
      <c r="A2388" s="45"/>
      <c r="B2388" s="46"/>
      <c r="C2388" s="46"/>
      <c r="D2388" s="46"/>
      <c r="E2388" s="46"/>
      <c r="F2388" s="46"/>
      <c r="G2388" s="46"/>
      <c r="H2388" s="46"/>
      <c r="I2388" s="46"/>
      <c r="J2388" s="46"/>
      <c r="K2388" s="46"/>
      <c r="L2388" s="46"/>
      <c r="M2388" s="46"/>
      <c r="N2388" s="46"/>
      <c r="O2388" s="46"/>
      <c r="P2388" s="46"/>
      <c r="Q2388" s="46"/>
      <c r="R2388" s="46"/>
      <c r="S2388" s="46"/>
      <c r="T2388" s="46"/>
      <c r="U2388" s="46"/>
      <c r="V2388" s="46"/>
      <c r="W2388" s="46"/>
      <c r="X2388" s="46"/>
    </row>
    <row r="2389" spans="1:24" ht="12.75" x14ac:dyDescent="0.2">
      <c r="A2389" s="45"/>
      <c r="B2389" s="46"/>
      <c r="C2389" s="46"/>
      <c r="D2389" s="46"/>
      <c r="E2389" s="46"/>
      <c r="F2389" s="46"/>
      <c r="G2389" s="46"/>
      <c r="H2389" s="46"/>
      <c r="I2389" s="46"/>
      <c r="J2389" s="46"/>
      <c r="K2389" s="46"/>
      <c r="L2389" s="46"/>
      <c r="M2389" s="46"/>
      <c r="N2389" s="46"/>
      <c r="O2389" s="46"/>
      <c r="P2389" s="46"/>
      <c r="Q2389" s="46"/>
      <c r="R2389" s="46"/>
      <c r="S2389" s="46"/>
      <c r="T2389" s="46"/>
      <c r="U2389" s="46"/>
      <c r="V2389" s="46"/>
      <c r="W2389" s="46"/>
      <c r="X2389" s="46"/>
    </row>
    <row r="2390" spans="1:24" ht="12.75" x14ac:dyDescent="0.2">
      <c r="A2390" s="45"/>
      <c r="B2390" s="46"/>
      <c r="C2390" s="46"/>
      <c r="D2390" s="46"/>
      <c r="E2390" s="46"/>
      <c r="F2390" s="46"/>
      <c r="G2390" s="46"/>
      <c r="H2390" s="46"/>
      <c r="I2390" s="46"/>
      <c r="J2390" s="46"/>
      <c r="K2390" s="46"/>
      <c r="L2390" s="46"/>
      <c r="M2390" s="46"/>
      <c r="N2390" s="46"/>
      <c r="O2390" s="46"/>
      <c r="P2390" s="46"/>
      <c r="Q2390" s="46"/>
      <c r="R2390" s="46"/>
      <c r="S2390" s="46"/>
      <c r="T2390" s="46"/>
      <c r="U2390" s="46"/>
      <c r="V2390" s="46"/>
      <c r="W2390" s="46"/>
      <c r="X2390" s="46"/>
    </row>
    <row r="2391" spans="1:24" ht="12.75" x14ac:dyDescent="0.2">
      <c r="A2391" s="45"/>
      <c r="B2391" s="46"/>
      <c r="C2391" s="46"/>
      <c r="D2391" s="46"/>
      <c r="E2391" s="46"/>
      <c r="F2391" s="46"/>
      <c r="G2391" s="46"/>
      <c r="H2391" s="46"/>
      <c r="I2391" s="46"/>
      <c r="J2391" s="46"/>
      <c r="K2391" s="46"/>
      <c r="L2391" s="46"/>
      <c r="M2391" s="46"/>
      <c r="N2391" s="46"/>
      <c r="O2391" s="46"/>
      <c r="P2391" s="46"/>
      <c r="Q2391" s="46"/>
      <c r="R2391" s="46"/>
      <c r="S2391" s="46"/>
      <c r="T2391" s="46"/>
      <c r="U2391" s="46"/>
      <c r="V2391" s="46"/>
      <c r="W2391" s="46"/>
      <c r="X2391" s="46"/>
    </row>
    <row r="2392" spans="1:24" ht="12.75" x14ac:dyDescent="0.2">
      <c r="A2392" s="45"/>
      <c r="B2392" s="46"/>
      <c r="C2392" s="46"/>
      <c r="D2392" s="46"/>
      <c r="E2392" s="46"/>
      <c r="F2392" s="46"/>
      <c r="G2392" s="46"/>
      <c r="H2392" s="46"/>
      <c r="I2392" s="46"/>
      <c r="J2392" s="46"/>
      <c r="K2392" s="46"/>
      <c r="L2392" s="46"/>
      <c r="M2392" s="46"/>
      <c r="N2392" s="46"/>
      <c r="O2392" s="46"/>
      <c r="P2392" s="46"/>
      <c r="Q2392" s="46"/>
      <c r="R2392" s="46"/>
      <c r="S2392" s="46"/>
      <c r="T2392" s="46"/>
      <c r="U2392" s="46"/>
      <c r="V2392" s="46"/>
      <c r="W2392" s="46"/>
      <c r="X2392" s="46"/>
    </row>
    <row r="2393" spans="1:24" ht="12.75" x14ac:dyDescent="0.2">
      <c r="A2393" s="45"/>
      <c r="B2393" s="46"/>
      <c r="C2393" s="46"/>
      <c r="D2393" s="46"/>
      <c r="E2393" s="46"/>
      <c r="F2393" s="46"/>
      <c r="G2393" s="46"/>
      <c r="H2393" s="46"/>
      <c r="I2393" s="46"/>
      <c r="J2393" s="46"/>
      <c r="K2393" s="46"/>
      <c r="L2393" s="46"/>
      <c r="M2393" s="46"/>
      <c r="N2393" s="46"/>
      <c r="O2393" s="46"/>
      <c r="P2393" s="46"/>
      <c r="Q2393" s="46"/>
      <c r="R2393" s="46"/>
      <c r="S2393" s="46"/>
      <c r="T2393" s="46"/>
      <c r="U2393" s="46"/>
      <c r="V2393" s="46"/>
      <c r="W2393" s="46"/>
      <c r="X2393" s="46"/>
    </row>
    <row r="2394" spans="1:24" ht="12.75" x14ac:dyDescent="0.2">
      <c r="A2394" s="45"/>
      <c r="B2394" s="46"/>
      <c r="C2394" s="46"/>
      <c r="D2394" s="46"/>
      <c r="E2394" s="46"/>
      <c r="F2394" s="46"/>
      <c r="G2394" s="46"/>
      <c r="H2394" s="46"/>
      <c r="I2394" s="46"/>
      <c r="J2394" s="46"/>
      <c r="K2394" s="46"/>
      <c r="L2394" s="46"/>
      <c r="M2394" s="46"/>
      <c r="N2394" s="46"/>
      <c r="O2394" s="46"/>
      <c r="P2394" s="46"/>
      <c r="Q2394" s="46"/>
      <c r="R2394" s="46"/>
      <c r="S2394" s="46"/>
      <c r="T2394" s="46"/>
      <c r="U2394" s="46"/>
      <c r="V2394" s="46"/>
      <c r="W2394" s="46"/>
      <c r="X2394" s="46"/>
    </row>
    <row r="2395" spans="1:24" ht="12.75" x14ac:dyDescent="0.2">
      <c r="A2395" s="45"/>
      <c r="B2395" s="46"/>
      <c r="C2395" s="46"/>
      <c r="D2395" s="46"/>
      <c r="E2395" s="46"/>
      <c r="F2395" s="46"/>
      <c r="G2395" s="46"/>
      <c r="H2395" s="46"/>
      <c r="I2395" s="46"/>
      <c r="J2395" s="46"/>
      <c r="K2395" s="46"/>
      <c r="L2395" s="46"/>
      <c r="M2395" s="46"/>
      <c r="N2395" s="46"/>
      <c r="O2395" s="46"/>
      <c r="P2395" s="46"/>
      <c r="Q2395" s="46"/>
      <c r="R2395" s="46"/>
      <c r="S2395" s="46"/>
      <c r="T2395" s="46"/>
      <c r="U2395" s="46"/>
      <c r="V2395" s="46"/>
      <c r="W2395" s="46"/>
      <c r="X2395" s="46"/>
    </row>
    <row r="2396" spans="1:24" ht="12.75" x14ac:dyDescent="0.2">
      <c r="A2396" s="45"/>
      <c r="B2396" s="46"/>
      <c r="C2396" s="46"/>
      <c r="D2396" s="46"/>
      <c r="E2396" s="46"/>
      <c r="F2396" s="46"/>
      <c r="G2396" s="46"/>
      <c r="H2396" s="46"/>
      <c r="I2396" s="46"/>
      <c r="J2396" s="46"/>
      <c r="K2396" s="46"/>
      <c r="L2396" s="46"/>
      <c r="M2396" s="46"/>
      <c r="N2396" s="46"/>
      <c r="O2396" s="46"/>
      <c r="P2396" s="46"/>
      <c r="Q2396" s="46"/>
      <c r="R2396" s="46"/>
      <c r="S2396" s="46"/>
      <c r="T2396" s="46"/>
      <c r="U2396" s="46"/>
      <c r="V2396" s="46"/>
      <c r="W2396" s="46"/>
      <c r="X2396" s="46"/>
    </row>
    <row r="2397" spans="1:24" ht="12.75" x14ac:dyDescent="0.2">
      <c r="A2397" s="45"/>
      <c r="B2397" s="46"/>
      <c r="C2397" s="46"/>
      <c r="D2397" s="46"/>
      <c r="E2397" s="46"/>
      <c r="F2397" s="46"/>
      <c r="G2397" s="46"/>
      <c r="H2397" s="46"/>
      <c r="I2397" s="46"/>
      <c r="J2397" s="46"/>
      <c r="K2397" s="46"/>
      <c r="L2397" s="46"/>
      <c r="M2397" s="46"/>
      <c r="N2397" s="46"/>
      <c r="O2397" s="46"/>
      <c r="P2397" s="46"/>
      <c r="Q2397" s="46"/>
      <c r="R2397" s="46"/>
      <c r="S2397" s="46"/>
      <c r="T2397" s="46"/>
      <c r="U2397" s="46"/>
      <c r="V2397" s="46"/>
      <c r="W2397" s="46"/>
      <c r="X2397" s="46"/>
    </row>
    <row r="2398" spans="1:24" ht="12.75" x14ac:dyDescent="0.2">
      <c r="A2398" s="45"/>
      <c r="B2398" s="46"/>
      <c r="C2398" s="46"/>
      <c r="D2398" s="46"/>
      <c r="E2398" s="46"/>
      <c r="F2398" s="46"/>
      <c r="G2398" s="46"/>
      <c r="H2398" s="46"/>
      <c r="I2398" s="46"/>
      <c r="J2398" s="46"/>
      <c r="K2398" s="46"/>
      <c r="L2398" s="46"/>
      <c r="M2398" s="46"/>
      <c r="N2398" s="46"/>
      <c r="O2398" s="46"/>
      <c r="P2398" s="46"/>
      <c r="Q2398" s="46"/>
      <c r="R2398" s="46"/>
      <c r="S2398" s="46"/>
      <c r="T2398" s="46"/>
      <c r="U2398" s="46"/>
      <c r="V2398" s="46"/>
      <c r="W2398" s="46"/>
      <c r="X2398" s="46"/>
    </row>
    <row r="2399" spans="1:24" ht="12.75" x14ac:dyDescent="0.2">
      <c r="A2399" s="45"/>
      <c r="B2399" s="46"/>
      <c r="C2399" s="46"/>
      <c r="D2399" s="46"/>
      <c r="E2399" s="46"/>
      <c r="F2399" s="46"/>
      <c r="G2399" s="46"/>
      <c r="H2399" s="46"/>
      <c r="I2399" s="46"/>
      <c r="J2399" s="46"/>
      <c r="K2399" s="46"/>
      <c r="L2399" s="46"/>
      <c r="M2399" s="46"/>
      <c r="N2399" s="46"/>
      <c r="O2399" s="46"/>
      <c r="P2399" s="46"/>
      <c r="Q2399" s="46"/>
      <c r="R2399" s="46"/>
      <c r="S2399" s="46"/>
      <c r="T2399" s="46"/>
      <c r="U2399" s="46"/>
      <c r="V2399" s="46"/>
      <c r="W2399" s="46"/>
      <c r="X2399" s="46"/>
    </row>
    <row r="2400" spans="1:24" ht="12.75" x14ac:dyDescent="0.2">
      <c r="A2400" s="45"/>
      <c r="B2400" s="46"/>
      <c r="C2400" s="46"/>
      <c r="D2400" s="46"/>
      <c r="E2400" s="46"/>
      <c r="F2400" s="46"/>
      <c r="G2400" s="46"/>
      <c r="H2400" s="46"/>
      <c r="I2400" s="46"/>
      <c r="J2400" s="46"/>
      <c r="K2400" s="46"/>
      <c r="L2400" s="46"/>
      <c r="M2400" s="46"/>
      <c r="N2400" s="46"/>
      <c r="O2400" s="46"/>
      <c r="P2400" s="46"/>
      <c r="Q2400" s="46"/>
      <c r="R2400" s="46"/>
      <c r="S2400" s="46"/>
      <c r="T2400" s="46"/>
      <c r="U2400" s="46"/>
      <c r="V2400" s="46"/>
      <c r="W2400" s="46"/>
      <c r="X2400" s="46"/>
    </row>
    <row r="2401" spans="1:24" ht="12.75" x14ac:dyDescent="0.2">
      <c r="A2401" s="45"/>
      <c r="B2401" s="46"/>
      <c r="C2401" s="46"/>
      <c r="D2401" s="46"/>
      <c r="E2401" s="46"/>
      <c r="F2401" s="46"/>
      <c r="G2401" s="46"/>
      <c r="H2401" s="46"/>
      <c r="I2401" s="46"/>
      <c r="J2401" s="46"/>
      <c r="K2401" s="46"/>
      <c r="L2401" s="46"/>
      <c r="M2401" s="46"/>
      <c r="N2401" s="46"/>
      <c r="O2401" s="46"/>
      <c r="P2401" s="46"/>
      <c r="Q2401" s="46"/>
      <c r="R2401" s="46"/>
      <c r="S2401" s="46"/>
      <c r="T2401" s="46"/>
      <c r="U2401" s="46"/>
      <c r="V2401" s="46"/>
      <c r="W2401" s="46"/>
      <c r="X2401" s="46"/>
    </row>
    <row r="2402" spans="1:24" ht="12.75" x14ac:dyDescent="0.2">
      <c r="A2402" s="45"/>
      <c r="B2402" s="46"/>
      <c r="C2402" s="46"/>
      <c r="D2402" s="46"/>
      <c r="E2402" s="46"/>
      <c r="F2402" s="46"/>
      <c r="G2402" s="46"/>
      <c r="H2402" s="46"/>
      <c r="I2402" s="46"/>
      <c r="J2402" s="46"/>
      <c r="K2402" s="46"/>
      <c r="L2402" s="46"/>
      <c r="M2402" s="46"/>
      <c r="N2402" s="46"/>
      <c r="O2402" s="46"/>
      <c r="P2402" s="46"/>
      <c r="Q2402" s="46"/>
      <c r="R2402" s="46"/>
      <c r="S2402" s="46"/>
      <c r="T2402" s="46"/>
      <c r="U2402" s="46"/>
      <c r="V2402" s="46"/>
      <c r="W2402" s="46"/>
      <c r="X2402" s="46"/>
    </row>
    <row r="2403" spans="1:24" ht="12.75" x14ac:dyDescent="0.2">
      <c r="A2403" s="45"/>
      <c r="B2403" s="46"/>
      <c r="C2403" s="46"/>
      <c r="D2403" s="46"/>
      <c r="E2403" s="46"/>
      <c r="F2403" s="46"/>
      <c r="G2403" s="46"/>
      <c r="H2403" s="46"/>
      <c r="I2403" s="46"/>
      <c r="J2403" s="46"/>
      <c r="K2403" s="46"/>
      <c r="L2403" s="46"/>
      <c r="M2403" s="46"/>
      <c r="N2403" s="46"/>
      <c r="O2403" s="46"/>
      <c r="P2403" s="46"/>
      <c r="Q2403" s="46"/>
      <c r="R2403" s="46"/>
      <c r="S2403" s="46"/>
      <c r="T2403" s="46"/>
      <c r="U2403" s="46"/>
      <c r="V2403" s="46"/>
      <c r="W2403" s="46"/>
      <c r="X2403" s="46"/>
    </row>
    <row r="2404" spans="1:24" ht="12.75" x14ac:dyDescent="0.2">
      <c r="A2404" s="45"/>
      <c r="B2404" s="46"/>
      <c r="C2404" s="46"/>
      <c r="D2404" s="46"/>
      <c r="E2404" s="46"/>
      <c r="F2404" s="46"/>
      <c r="G2404" s="46"/>
      <c r="H2404" s="46"/>
      <c r="I2404" s="46"/>
      <c r="J2404" s="46"/>
      <c r="K2404" s="46"/>
      <c r="L2404" s="46"/>
      <c r="M2404" s="46"/>
      <c r="N2404" s="46"/>
      <c r="O2404" s="46"/>
      <c r="P2404" s="46"/>
      <c r="Q2404" s="46"/>
      <c r="R2404" s="46"/>
      <c r="S2404" s="46"/>
      <c r="T2404" s="46"/>
      <c r="U2404" s="46"/>
      <c r="V2404" s="46"/>
      <c r="W2404" s="46"/>
      <c r="X2404" s="46"/>
    </row>
    <row r="2405" spans="1:24" ht="12.75" x14ac:dyDescent="0.2">
      <c r="A2405" s="45"/>
      <c r="B2405" s="46"/>
      <c r="C2405" s="46"/>
      <c r="D2405" s="46"/>
      <c r="E2405" s="46"/>
      <c r="F2405" s="46"/>
      <c r="G2405" s="46"/>
      <c r="H2405" s="46"/>
      <c r="I2405" s="46"/>
      <c r="J2405" s="46"/>
      <c r="K2405" s="46"/>
      <c r="L2405" s="46"/>
      <c r="M2405" s="46"/>
      <c r="N2405" s="46"/>
      <c r="O2405" s="46"/>
      <c r="P2405" s="46"/>
      <c r="Q2405" s="46"/>
      <c r="R2405" s="46"/>
      <c r="S2405" s="46"/>
      <c r="T2405" s="46"/>
      <c r="U2405" s="46"/>
      <c r="V2405" s="46"/>
      <c r="W2405" s="46"/>
      <c r="X2405" s="46"/>
    </row>
    <row r="2406" spans="1:24" ht="12.75" x14ac:dyDescent="0.2">
      <c r="A2406" s="45"/>
      <c r="B2406" s="46"/>
      <c r="C2406" s="46"/>
      <c r="D2406" s="46"/>
      <c r="E2406" s="46"/>
      <c r="F2406" s="46"/>
      <c r="G2406" s="46"/>
      <c r="H2406" s="46"/>
      <c r="I2406" s="46"/>
      <c r="J2406" s="46"/>
      <c r="K2406" s="46"/>
      <c r="L2406" s="46"/>
      <c r="M2406" s="46"/>
      <c r="N2406" s="46"/>
      <c r="O2406" s="46"/>
      <c r="P2406" s="46"/>
      <c r="Q2406" s="46"/>
      <c r="R2406" s="46"/>
      <c r="S2406" s="46"/>
      <c r="T2406" s="46"/>
      <c r="U2406" s="46"/>
      <c r="V2406" s="46"/>
      <c r="W2406" s="46"/>
      <c r="X2406" s="46"/>
    </row>
    <row r="2407" spans="1:24" ht="12.75" x14ac:dyDescent="0.2">
      <c r="A2407" s="45"/>
      <c r="B2407" s="46"/>
      <c r="C2407" s="46"/>
      <c r="D2407" s="46"/>
      <c r="E2407" s="46"/>
      <c r="F2407" s="46"/>
      <c r="G2407" s="46"/>
      <c r="H2407" s="46"/>
      <c r="I2407" s="46"/>
      <c r="J2407" s="46"/>
      <c r="K2407" s="46"/>
      <c r="L2407" s="46"/>
      <c r="M2407" s="46"/>
      <c r="N2407" s="46"/>
      <c r="O2407" s="46"/>
      <c r="P2407" s="46"/>
      <c r="Q2407" s="46"/>
      <c r="R2407" s="46"/>
      <c r="S2407" s="46"/>
      <c r="T2407" s="46"/>
      <c r="U2407" s="46"/>
      <c r="V2407" s="46"/>
      <c r="W2407" s="46"/>
      <c r="X2407" s="46"/>
    </row>
    <row r="2408" spans="1:24" ht="12.75" x14ac:dyDescent="0.2">
      <c r="A2408" s="45"/>
      <c r="B2408" s="46"/>
      <c r="C2408" s="46"/>
      <c r="D2408" s="46"/>
      <c r="E2408" s="46"/>
      <c r="F2408" s="46"/>
      <c r="G2408" s="46"/>
      <c r="H2408" s="46"/>
      <c r="I2408" s="46"/>
      <c r="J2408" s="46"/>
      <c r="K2408" s="46"/>
      <c r="L2408" s="46"/>
      <c r="M2408" s="46"/>
      <c r="N2408" s="46"/>
      <c r="O2408" s="46"/>
      <c r="P2408" s="46"/>
      <c r="Q2408" s="46"/>
      <c r="R2408" s="46"/>
      <c r="S2408" s="46"/>
      <c r="T2408" s="46"/>
      <c r="U2408" s="46"/>
      <c r="V2408" s="46"/>
      <c r="W2408" s="46"/>
      <c r="X2408" s="46"/>
    </row>
    <row r="2409" spans="1:24" ht="12.75" x14ac:dyDescent="0.2">
      <c r="A2409" s="45"/>
      <c r="B2409" s="46"/>
      <c r="C2409" s="46"/>
      <c r="D2409" s="46"/>
      <c r="E2409" s="46"/>
      <c r="F2409" s="46"/>
      <c r="G2409" s="46"/>
      <c r="H2409" s="46"/>
      <c r="I2409" s="46"/>
      <c r="J2409" s="46"/>
      <c r="K2409" s="46"/>
      <c r="L2409" s="46"/>
      <c r="M2409" s="46"/>
      <c r="N2409" s="46"/>
      <c r="O2409" s="46"/>
      <c r="P2409" s="46"/>
      <c r="Q2409" s="46"/>
      <c r="R2409" s="46"/>
      <c r="S2409" s="46"/>
      <c r="T2409" s="46"/>
      <c r="U2409" s="46"/>
      <c r="V2409" s="46"/>
      <c r="W2409" s="46"/>
      <c r="X2409" s="46"/>
    </row>
    <row r="2410" spans="1:24" ht="12.75" x14ac:dyDescent="0.2">
      <c r="A2410" s="45"/>
      <c r="B2410" s="46"/>
      <c r="C2410" s="46"/>
      <c r="D2410" s="46"/>
      <c r="E2410" s="46"/>
      <c r="F2410" s="46"/>
      <c r="G2410" s="46"/>
      <c r="H2410" s="46"/>
      <c r="I2410" s="46"/>
      <c r="J2410" s="46"/>
      <c r="K2410" s="46"/>
      <c r="L2410" s="46"/>
      <c r="M2410" s="46"/>
      <c r="N2410" s="46"/>
      <c r="O2410" s="46"/>
      <c r="P2410" s="46"/>
      <c r="Q2410" s="46"/>
      <c r="R2410" s="46"/>
      <c r="S2410" s="46"/>
      <c r="T2410" s="46"/>
      <c r="U2410" s="46"/>
      <c r="V2410" s="46"/>
      <c r="W2410" s="46"/>
      <c r="X2410" s="46"/>
    </row>
    <row r="2411" spans="1:24" ht="12.75" x14ac:dyDescent="0.2">
      <c r="A2411" s="45"/>
      <c r="B2411" s="46"/>
      <c r="C2411" s="46"/>
      <c r="D2411" s="46"/>
      <c r="E2411" s="46"/>
      <c r="F2411" s="46"/>
      <c r="G2411" s="46"/>
      <c r="H2411" s="46"/>
      <c r="I2411" s="46"/>
      <c r="J2411" s="46"/>
      <c r="K2411" s="46"/>
      <c r="L2411" s="46"/>
      <c r="M2411" s="46"/>
      <c r="N2411" s="46"/>
      <c r="O2411" s="46"/>
      <c r="P2411" s="46"/>
      <c r="Q2411" s="46"/>
      <c r="R2411" s="46"/>
      <c r="S2411" s="46"/>
      <c r="T2411" s="46"/>
      <c r="U2411" s="46"/>
      <c r="V2411" s="46"/>
      <c r="W2411" s="46"/>
      <c r="X2411" s="46"/>
    </row>
    <row r="2412" spans="1:24" ht="12.75" x14ac:dyDescent="0.2">
      <c r="A2412" s="45"/>
      <c r="B2412" s="46"/>
      <c r="C2412" s="46"/>
      <c r="D2412" s="46"/>
      <c r="E2412" s="46"/>
      <c r="F2412" s="46"/>
      <c r="G2412" s="46"/>
      <c r="H2412" s="46"/>
      <c r="I2412" s="46"/>
      <c r="J2412" s="46"/>
      <c r="K2412" s="46"/>
      <c r="L2412" s="46"/>
      <c r="M2412" s="46"/>
      <c r="N2412" s="46"/>
      <c r="O2412" s="46"/>
      <c r="P2412" s="46"/>
      <c r="Q2412" s="46"/>
      <c r="R2412" s="46"/>
      <c r="S2412" s="46"/>
      <c r="T2412" s="46"/>
      <c r="U2412" s="46"/>
      <c r="V2412" s="46"/>
      <c r="W2412" s="46"/>
      <c r="X2412" s="46"/>
    </row>
    <row r="2413" spans="1:24" ht="12.75" x14ac:dyDescent="0.2">
      <c r="A2413" s="45"/>
      <c r="B2413" s="46"/>
      <c r="C2413" s="46"/>
      <c r="D2413" s="46"/>
      <c r="E2413" s="46"/>
      <c r="F2413" s="46"/>
      <c r="G2413" s="46"/>
      <c r="H2413" s="46"/>
      <c r="I2413" s="46"/>
      <c r="J2413" s="46"/>
      <c r="K2413" s="46"/>
      <c r="L2413" s="46"/>
      <c r="M2413" s="46"/>
      <c r="N2413" s="46"/>
      <c r="O2413" s="46"/>
      <c r="P2413" s="46"/>
      <c r="Q2413" s="46"/>
      <c r="R2413" s="46"/>
      <c r="S2413" s="46"/>
      <c r="T2413" s="46"/>
      <c r="U2413" s="46"/>
      <c r="V2413" s="46"/>
      <c r="W2413" s="46"/>
      <c r="X2413" s="46"/>
    </row>
    <row r="2414" spans="1:24" ht="12.75" x14ac:dyDescent="0.2">
      <c r="A2414" s="45"/>
      <c r="B2414" s="46"/>
      <c r="C2414" s="46"/>
      <c r="D2414" s="46"/>
      <c r="E2414" s="46"/>
      <c r="F2414" s="46"/>
      <c r="G2414" s="46"/>
      <c r="H2414" s="46"/>
      <c r="I2414" s="46"/>
      <c r="J2414" s="46"/>
      <c r="K2414" s="46"/>
      <c r="L2414" s="46"/>
      <c r="M2414" s="46"/>
      <c r="N2414" s="46"/>
      <c r="O2414" s="46"/>
      <c r="P2414" s="46"/>
      <c r="Q2414" s="46"/>
      <c r="R2414" s="46"/>
      <c r="S2414" s="46"/>
      <c r="T2414" s="46"/>
      <c r="U2414" s="46"/>
      <c r="V2414" s="46"/>
      <c r="W2414" s="46"/>
      <c r="X2414" s="46"/>
    </row>
    <row r="2415" spans="1:24" ht="12.75" x14ac:dyDescent="0.2">
      <c r="A2415" s="45"/>
      <c r="B2415" s="46"/>
      <c r="C2415" s="46"/>
      <c r="D2415" s="46"/>
      <c r="E2415" s="46"/>
      <c r="F2415" s="46"/>
      <c r="G2415" s="46"/>
      <c r="H2415" s="46"/>
      <c r="I2415" s="46"/>
      <c r="J2415" s="46"/>
      <c r="K2415" s="46"/>
      <c r="L2415" s="46"/>
      <c r="M2415" s="46"/>
      <c r="N2415" s="46"/>
      <c r="O2415" s="46"/>
      <c r="P2415" s="46"/>
      <c r="Q2415" s="46"/>
      <c r="R2415" s="46"/>
      <c r="S2415" s="46"/>
      <c r="T2415" s="46"/>
      <c r="U2415" s="46"/>
      <c r="V2415" s="46"/>
      <c r="W2415" s="46"/>
      <c r="X2415" s="46"/>
    </row>
    <row r="2416" spans="1:24" ht="12.75" x14ac:dyDescent="0.2">
      <c r="A2416" s="45"/>
      <c r="B2416" s="46"/>
      <c r="C2416" s="46"/>
      <c r="D2416" s="46"/>
      <c r="E2416" s="46"/>
      <c r="F2416" s="46"/>
      <c r="G2416" s="46"/>
      <c r="H2416" s="46"/>
      <c r="I2416" s="46"/>
      <c r="J2416" s="46"/>
      <c r="K2416" s="46"/>
      <c r="L2416" s="46"/>
      <c r="M2416" s="46"/>
      <c r="N2416" s="46"/>
      <c r="O2416" s="46"/>
      <c r="P2416" s="46"/>
      <c r="Q2416" s="46"/>
      <c r="R2416" s="46"/>
      <c r="S2416" s="46"/>
      <c r="T2416" s="46"/>
      <c r="U2416" s="46"/>
      <c r="V2416" s="46"/>
      <c r="W2416" s="46"/>
      <c r="X2416" s="46"/>
    </row>
    <row r="2417" spans="1:24" ht="12.75" x14ac:dyDescent="0.2">
      <c r="A2417" s="45"/>
      <c r="B2417" s="46"/>
      <c r="C2417" s="46"/>
      <c r="D2417" s="46"/>
      <c r="E2417" s="46"/>
      <c r="F2417" s="46"/>
      <c r="G2417" s="46"/>
      <c r="H2417" s="46"/>
      <c r="I2417" s="46"/>
      <c r="J2417" s="46"/>
      <c r="K2417" s="46"/>
      <c r="L2417" s="46"/>
      <c r="M2417" s="46"/>
      <c r="N2417" s="46"/>
      <c r="O2417" s="46"/>
      <c r="P2417" s="46"/>
      <c r="Q2417" s="46"/>
      <c r="R2417" s="46"/>
      <c r="S2417" s="46"/>
      <c r="T2417" s="46"/>
      <c r="U2417" s="46"/>
      <c r="V2417" s="46"/>
      <c r="W2417" s="46"/>
      <c r="X2417" s="46"/>
    </row>
    <row r="2418" spans="1:24" ht="12.75" x14ac:dyDescent="0.2">
      <c r="A2418" s="45"/>
      <c r="B2418" s="46"/>
      <c r="C2418" s="46"/>
      <c r="D2418" s="46"/>
      <c r="E2418" s="46"/>
      <c r="F2418" s="46"/>
      <c r="G2418" s="46"/>
      <c r="H2418" s="46"/>
      <c r="I2418" s="46"/>
      <c r="J2418" s="46"/>
      <c r="K2418" s="46"/>
      <c r="L2418" s="46"/>
      <c r="M2418" s="46"/>
      <c r="N2418" s="46"/>
      <c r="O2418" s="46"/>
      <c r="P2418" s="46"/>
      <c r="Q2418" s="46"/>
      <c r="R2418" s="46"/>
      <c r="S2418" s="46"/>
      <c r="T2418" s="46"/>
      <c r="U2418" s="46"/>
      <c r="V2418" s="46"/>
      <c r="W2418" s="46"/>
      <c r="X2418" s="46"/>
    </row>
    <row r="2419" spans="1:24" ht="12.75" x14ac:dyDescent="0.2">
      <c r="A2419" s="45"/>
      <c r="B2419" s="46"/>
      <c r="C2419" s="46"/>
      <c r="D2419" s="46"/>
      <c r="E2419" s="46"/>
      <c r="F2419" s="46"/>
      <c r="G2419" s="46"/>
      <c r="H2419" s="46"/>
      <c r="I2419" s="46"/>
      <c r="J2419" s="46"/>
      <c r="K2419" s="46"/>
      <c r="L2419" s="46"/>
      <c r="M2419" s="46"/>
      <c r="N2419" s="46"/>
      <c r="O2419" s="46"/>
      <c r="P2419" s="46"/>
      <c r="Q2419" s="46"/>
      <c r="R2419" s="46"/>
      <c r="S2419" s="46"/>
      <c r="T2419" s="46"/>
      <c r="U2419" s="46"/>
      <c r="V2419" s="46"/>
      <c r="W2419" s="46"/>
      <c r="X2419" s="46"/>
    </row>
    <row r="2420" spans="1:24" ht="12.75" x14ac:dyDescent="0.2">
      <c r="A2420" s="45"/>
      <c r="B2420" s="46"/>
      <c r="C2420" s="46"/>
      <c r="D2420" s="46"/>
      <c r="E2420" s="46"/>
      <c r="F2420" s="46"/>
      <c r="G2420" s="46"/>
      <c r="H2420" s="46"/>
      <c r="I2420" s="46"/>
      <c r="J2420" s="46"/>
      <c r="K2420" s="46"/>
      <c r="L2420" s="46"/>
      <c r="M2420" s="46"/>
      <c r="N2420" s="46"/>
      <c r="O2420" s="46"/>
      <c r="P2420" s="46"/>
      <c r="Q2420" s="46"/>
      <c r="R2420" s="46"/>
      <c r="S2420" s="46"/>
      <c r="T2420" s="46"/>
      <c r="U2420" s="46"/>
      <c r="V2420" s="46"/>
      <c r="W2420" s="46"/>
      <c r="X2420" s="46"/>
    </row>
    <row r="2421" spans="1:24" ht="12.75" x14ac:dyDescent="0.2">
      <c r="A2421" s="45"/>
      <c r="B2421" s="46"/>
      <c r="C2421" s="46"/>
      <c r="D2421" s="46"/>
      <c r="E2421" s="46"/>
      <c r="F2421" s="46"/>
      <c r="G2421" s="46"/>
      <c r="H2421" s="46"/>
      <c r="I2421" s="46"/>
      <c r="J2421" s="46"/>
      <c r="K2421" s="46"/>
      <c r="L2421" s="46"/>
      <c r="M2421" s="46"/>
      <c r="N2421" s="46"/>
      <c r="O2421" s="46"/>
      <c r="P2421" s="46"/>
      <c r="Q2421" s="46"/>
      <c r="R2421" s="46"/>
      <c r="S2421" s="46"/>
      <c r="T2421" s="46"/>
      <c r="U2421" s="46"/>
      <c r="V2421" s="46"/>
      <c r="W2421" s="46"/>
      <c r="X2421" s="46"/>
    </row>
    <row r="2422" spans="1:24" ht="12.75" x14ac:dyDescent="0.2">
      <c r="A2422" s="45"/>
      <c r="B2422" s="46"/>
      <c r="C2422" s="46"/>
      <c r="D2422" s="46"/>
      <c r="E2422" s="46"/>
      <c r="F2422" s="46"/>
      <c r="G2422" s="46"/>
      <c r="H2422" s="46"/>
      <c r="I2422" s="46"/>
      <c r="J2422" s="46"/>
      <c r="K2422" s="46"/>
      <c r="L2422" s="46"/>
      <c r="M2422" s="46"/>
      <c r="N2422" s="46"/>
      <c r="O2422" s="46"/>
      <c r="P2422" s="46"/>
      <c r="Q2422" s="46"/>
      <c r="R2422" s="46"/>
      <c r="S2422" s="46"/>
      <c r="T2422" s="46"/>
      <c r="U2422" s="46"/>
      <c r="V2422" s="46"/>
      <c r="W2422" s="46"/>
      <c r="X2422" s="46"/>
    </row>
    <row r="2423" spans="1:24" ht="12.75" x14ac:dyDescent="0.2">
      <c r="A2423" s="45"/>
      <c r="B2423" s="46"/>
      <c r="C2423" s="46"/>
      <c r="D2423" s="46"/>
      <c r="E2423" s="46"/>
      <c r="F2423" s="46"/>
      <c r="G2423" s="46"/>
      <c r="H2423" s="46"/>
      <c r="I2423" s="46"/>
      <c r="J2423" s="46"/>
      <c r="K2423" s="46"/>
      <c r="L2423" s="46"/>
      <c r="M2423" s="46"/>
      <c r="N2423" s="46"/>
      <c r="O2423" s="46"/>
      <c r="P2423" s="46"/>
      <c r="Q2423" s="46"/>
      <c r="R2423" s="46"/>
      <c r="S2423" s="46"/>
      <c r="T2423" s="46"/>
      <c r="U2423" s="46"/>
      <c r="V2423" s="46"/>
      <c r="W2423" s="46"/>
      <c r="X2423" s="46"/>
    </row>
    <row r="2424" spans="1:24" ht="12.75" x14ac:dyDescent="0.2">
      <c r="A2424" s="45"/>
      <c r="B2424" s="46"/>
      <c r="C2424" s="46"/>
      <c r="D2424" s="46"/>
      <c r="E2424" s="46"/>
      <c r="F2424" s="46"/>
      <c r="G2424" s="46"/>
      <c r="H2424" s="46"/>
      <c r="I2424" s="46"/>
      <c r="J2424" s="46"/>
      <c r="K2424" s="46"/>
      <c r="L2424" s="46"/>
      <c r="M2424" s="46"/>
      <c r="N2424" s="46"/>
      <c r="O2424" s="46"/>
      <c r="P2424" s="46"/>
      <c r="Q2424" s="46"/>
      <c r="R2424" s="46"/>
      <c r="S2424" s="46"/>
      <c r="T2424" s="46"/>
      <c r="U2424" s="46"/>
      <c r="V2424" s="46"/>
      <c r="W2424" s="46"/>
      <c r="X2424" s="46"/>
    </row>
    <row r="2425" spans="1:24" ht="12.75" x14ac:dyDescent="0.2">
      <c r="A2425" s="45"/>
      <c r="B2425" s="46"/>
      <c r="C2425" s="46"/>
      <c r="D2425" s="46"/>
      <c r="E2425" s="46"/>
      <c r="F2425" s="46"/>
      <c r="G2425" s="46"/>
      <c r="H2425" s="46"/>
      <c r="I2425" s="46"/>
      <c r="J2425" s="46"/>
      <c r="K2425" s="46"/>
      <c r="L2425" s="46"/>
      <c r="M2425" s="46"/>
      <c r="N2425" s="46"/>
      <c r="O2425" s="46"/>
      <c r="P2425" s="46"/>
      <c r="Q2425" s="46"/>
      <c r="R2425" s="46"/>
      <c r="S2425" s="46"/>
      <c r="T2425" s="46"/>
      <c r="U2425" s="46"/>
      <c r="V2425" s="46"/>
      <c r="W2425" s="46"/>
      <c r="X2425" s="46"/>
    </row>
    <row r="2426" spans="1:24" ht="12.75" x14ac:dyDescent="0.2">
      <c r="A2426" s="45"/>
      <c r="B2426" s="46"/>
      <c r="C2426" s="46"/>
      <c r="D2426" s="46"/>
      <c r="E2426" s="46"/>
      <c r="F2426" s="46"/>
      <c r="G2426" s="46"/>
      <c r="H2426" s="46"/>
      <c r="I2426" s="46"/>
      <c r="J2426" s="46"/>
      <c r="K2426" s="46"/>
      <c r="L2426" s="46"/>
      <c r="M2426" s="46"/>
      <c r="N2426" s="46"/>
      <c r="O2426" s="46"/>
      <c r="P2426" s="46"/>
      <c r="Q2426" s="46"/>
      <c r="R2426" s="46"/>
      <c r="S2426" s="46"/>
      <c r="T2426" s="46"/>
      <c r="U2426" s="46"/>
      <c r="V2426" s="46"/>
      <c r="W2426" s="46"/>
      <c r="X2426" s="46"/>
    </row>
    <row r="2427" spans="1:24" ht="12.75" x14ac:dyDescent="0.2">
      <c r="A2427" s="45"/>
      <c r="B2427" s="46"/>
      <c r="C2427" s="46"/>
      <c r="D2427" s="46"/>
      <c r="E2427" s="46"/>
      <c r="F2427" s="46"/>
      <c r="G2427" s="46"/>
      <c r="H2427" s="46"/>
      <c r="I2427" s="46"/>
      <c r="J2427" s="46"/>
      <c r="K2427" s="46"/>
      <c r="L2427" s="46"/>
      <c r="M2427" s="46"/>
      <c r="N2427" s="46"/>
      <c r="O2427" s="46"/>
      <c r="P2427" s="46"/>
      <c r="Q2427" s="46"/>
      <c r="R2427" s="46"/>
      <c r="S2427" s="46"/>
      <c r="T2427" s="46"/>
      <c r="U2427" s="46"/>
      <c r="V2427" s="46"/>
      <c r="W2427" s="46"/>
      <c r="X2427" s="46"/>
    </row>
    <row r="2428" spans="1:24" ht="12.75" x14ac:dyDescent="0.2">
      <c r="A2428" s="45"/>
      <c r="B2428" s="46"/>
      <c r="C2428" s="46"/>
      <c r="D2428" s="46"/>
      <c r="E2428" s="46"/>
      <c r="F2428" s="46"/>
      <c r="G2428" s="46"/>
      <c r="H2428" s="46"/>
      <c r="I2428" s="46"/>
      <c r="J2428" s="46"/>
      <c r="K2428" s="46"/>
      <c r="L2428" s="46"/>
      <c r="M2428" s="46"/>
      <c r="N2428" s="46"/>
      <c r="O2428" s="46"/>
      <c r="P2428" s="46"/>
      <c r="Q2428" s="46"/>
      <c r="R2428" s="46"/>
      <c r="S2428" s="46"/>
      <c r="T2428" s="46"/>
      <c r="U2428" s="46"/>
      <c r="V2428" s="46"/>
      <c r="W2428" s="46"/>
      <c r="X2428" s="46"/>
    </row>
    <row r="2429" spans="1:24" ht="12.75" x14ac:dyDescent="0.2">
      <c r="A2429" s="45"/>
      <c r="B2429" s="46"/>
      <c r="C2429" s="46"/>
      <c r="D2429" s="46"/>
      <c r="E2429" s="46"/>
      <c r="F2429" s="46"/>
      <c r="G2429" s="46"/>
      <c r="H2429" s="46"/>
      <c r="I2429" s="46"/>
      <c r="J2429" s="46"/>
      <c r="K2429" s="46"/>
      <c r="L2429" s="46"/>
      <c r="M2429" s="46"/>
      <c r="N2429" s="46"/>
      <c r="O2429" s="46"/>
      <c r="P2429" s="46"/>
      <c r="Q2429" s="46"/>
      <c r="R2429" s="46"/>
      <c r="S2429" s="46"/>
      <c r="T2429" s="46"/>
      <c r="U2429" s="46"/>
      <c r="V2429" s="46"/>
      <c r="W2429" s="46"/>
      <c r="X2429" s="46"/>
    </row>
    <row r="2430" spans="1:24" ht="12.75" x14ac:dyDescent="0.2">
      <c r="A2430" s="45"/>
      <c r="B2430" s="46"/>
      <c r="C2430" s="46"/>
      <c r="D2430" s="46"/>
      <c r="E2430" s="46"/>
      <c r="F2430" s="46"/>
      <c r="G2430" s="46"/>
      <c r="H2430" s="46"/>
      <c r="I2430" s="46"/>
      <c r="J2430" s="46"/>
      <c r="K2430" s="46"/>
      <c r="L2430" s="46"/>
      <c r="M2430" s="46"/>
      <c r="N2430" s="46"/>
      <c r="O2430" s="46"/>
      <c r="P2430" s="46"/>
      <c r="Q2430" s="46"/>
      <c r="R2430" s="46"/>
      <c r="S2430" s="46"/>
      <c r="T2430" s="46"/>
      <c r="U2430" s="46"/>
      <c r="V2430" s="46"/>
      <c r="W2430" s="46"/>
      <c r="X2430" s="46"/>
    </row>
    <row r="2431" spans="1:24" ht="12.75" x14ac:dyDescent="0.2">
      <c r="A2431" s="45"/>
      <c r="B2431" s="46"/>
      <c r="C2431" s="46"/>
      <c r="D2431" s="46"/>
      <c r="E2431" s="46"/>
      <c r="F2431" s="46"/>
      <c r="G2431" s="46"/>
      <c r="H2431" s="46"/>
      <c r="I2431" s="46"/>
      <c r="J2431" s="46"/>
      <c r="K2431" s="46"/>
      <c r="L2431" s="46"/>
      <c r="M2431" s="46"/>
      <c r="N2431" s="46"/>
      <c r="O2431" s="46"/>
      <c r="P2431" s="46"/>
      <c r="Q2431" s="46"/>
      <c r="R2431" s="46"/>
      <c r="S2431" s="46"/>
      <c r="T2431" s="46"/>
      <c r="U2431" s="46"/>
      <c r="V2431" s="46"/>
      <c r="W2431" s="46"/>
      <c r="X2431" s="46"/>
    </row>
    <row r="2432" spans="1:24" ht="12.75" x14ac:dyDescent="0.2">
      <c r="A2432" s="45"/>
      <c r="B2432" s="46"/>
      <c r="C2432" s="46"/>
      <c r="D2432" s="46"/>
      <c r="E2432" s="46"/>
      <c r="F2432" s="46"/>
      <c r="G2432" s="46"/>
      <c r="H2432" s="46"/>
      <c r="I2432" s="46"/>
      <c r="J2432" s="46"/>
      <c r="K2432" s="46"/>
      <c r="L2432" s="46"/>
      <c r="M2432" s="46"/>
      <c r="N2432" s="46"/>
      <c r="O2432" s="46"/>
      <c r="P2432" s="46"/>
      <c r="Q2432" s="46"/>
      <c r="R2432" s="46"/>
      <c r="S2432" s="46"/>
      <c r="T2432" s="46"/>
      <c r="U2432" s="46"/>
      <c r="V2432" s="46"/>
      <c r="W2432" s="46"/>
      <c r="X2432" s="46"/>
    </row>
    <row r="2433" spans="1:24" ht="12.75" x14ac:dyDescent="0.2">
      <c r="A2433" s="45"/>
      <c r="B2433" s="46"/>
      <c r="C2433" s="46"/>
      <c r="D2433" s="46"/>
      <c r="E2433" s="46"/>
      <c r="F2433" s="46"/>
      <c r="G2433" s="46"/>
      <c r="H2433" s="46"/>
      <c r="I2433" s="46"/>
      <c r="J2433" s="46"/>
      <c r="K2433" s="46"/>
      <c r="L2433" s="46"/>
      <c r="M2433" s="46"/>
      <c r="N2433" s="46"/>
      <c r="O2433" s="46"/>
      <c r="P2433" s="46"/>
      <c r="Q2433" s="46"/>
      <c r="R2433" s="46"/>
      <c r="S2433" s="46"/>
      <c r="T2433" s="46"/>
      <c r="U2433" s="46"/>
      <c r="V2433" s="46"/>
      <c r="W2433" s="46"/>
      <c r="X2433" s="46"/>
    </row>
    <row r="2434" spans="1:24" ht="12.75" x14ac:dyDescent="0.2">
      <c r="A2434" s="45"/>
      <c r="B2434" s="46"/>
      <c r="C2434" s="46"/>
      <c r="D2434" s="46"/>
      <c r="E2434" s="46"/>
      <c r="F2434" s="46"/>
      <c r="G2434" s="46"/>
      <c r="H2434" s="46"/>
      <c r="I2434" s="46"/>
      <c r="J2434" s="46"/>
      <c r="K2434" s="46"/>
      <c r="L2434" s="46"/>
      <c r="M2434" s="46"/>
      <c r="N2434" s="46"/>
      <c r="O2434" s="46"/>
      <c r="P2434" s="46"/>
      <c r="Q2434" s="46"/>
      <c r="R2434" s="46"/>
      <c r="S2434" s="46"/>
      <c r="T2434" s="46"/>
      <c r="U2434" s="46"/>
      <c r="V2434" s="46"/>
      <c r="W2434" s="46"/>
      <c r="X2434" s="46"/>
    </row>
    <row r="2435" spans="1:24" ht="12.75" x14ac:dyDescent="0.2">
      <c r="A2435" s="45"/>
      <c r="B2435" s="46"/>
      <c r="C2435" s="46"/>
      <c r="D2435" s="46"/>
      <c r="E2435" s="46"/>
      <c r="F2435" s="46"/>
      <c r="G2435" s="46"/>
      <c r="H2435" s="46"/>
      <c r="I2435" s="46"/>
      <c r="J2435" s="46"/>
      <c r="K2435" s="46"/>
      <c r="L2435" s="46"/>
      <c r="M2435" s="46"/>
      <c r="N2435" s="46"/>
      <c r="O2435" s="46"/>
      <c r="P2435" s="46"/>
      <c r="Q2435" s="46"/>
      <c r="R2435" s="46"/>
      <c r="S2435" s="46"/>
      <c r="T2435" s="46"/>
      <c r="U2435" s="46"/>
      <c r="V2435" s="46"/>
      <c r="W2435" s="46"/>
      <c r="X2435" s="46"/>
    </row>
    <row r="2436" spans="1:24" ht="12.75" x14ac:dyDescent="0.2">
      <c r="A2436" s="45"/>
      <c r="B2436" s="46"/>
      <c r="C2436" s="46"/>
      <c r="D2436" s="46"/>
      <c r="E2436" s="46"/>
      <c r="F2436" s="46"/>
      <c r="G2436" s="46"/>
      <c r="H2436" s="46"/>
      <c r="I2436" s="46"/>
      <c r="J2436" s="46"/>
      <c r="K2436" s="46"/>
      <c r="L2436" s="46"/>
      <c r="M2436" s="46"/>
      <c r="N2436" s="46"/>
      <c r="O2436" s="46"/>
      <c r="P2436" s="46"/>
      <c r="Q2436" s="46"/>
      <c r="R2436" s="46"/>
      <c r="S2436" s="46"/>
      <c r="T2436" s="46"/>
      <c r="U2436" s="46"/>
      <c r="V2436" s="46"/>
      <c r="W2436" s="46"/>
      <c r="X2436" s="46"/>
    </row>
    <row r="2437" spans="1:24" ht="12.75" x14ac:dyDescent="0.2">
      <c r="A2437" s="45"/>
      <c r="B2437" s="46"/>
      <c r="C2437" s="46"/>
      <c r="D2437" s="46"/>
      <c r="E2437" s="46"/>
      <c r="F2437" s="46"/>
      <c r="G2437" s="46"/>
      <c r="H2437" s="46"/>
      <c r="I2437" s="46"/>
      <c r="J2437" s="46"/>
      <c r="K2437" s="46"/>
      <c r="L2437" s="46"/>
      <c r="M2437" s="46"/>
      <c r="N2437" s="46"/>
      <c r="O2437" s="46"/>
      <c r="P2437" s="46"/>
      <c r="Q2437" s="46"/>
      <c r="R2437" s="46"/>
      <c r="S2437" s="46"/>
      <c r="T2437" s="46"/>
      <c r="U2437" s="46"/>
      <c r="V2437" s="46"/>
      <c r="W2437" s="46"/>
      <c r="X2437" s="46"/>
    </row>
    <row r="2438" spans="1:24" ht="12.75" x14ac:dyDescent="0.2">
      <c r="A2438" s="45"/>
      <c r="B2438" s="46"/>
      <c r="C2438" s="46"/>
      <c r="D2438" s="46"/>
      <c r="E2438" s="46"/>
      <c r="F2438" s="46"/>
      <c r="G2438" s="46"/>
      <c r="H2438" s="46"/>
      <c r="I2438" s="46"/>
      <c r="J2438" s="46"/>
      <c r="K2438" s="46"/>
      <c r="L2438" s="46"/>
      <c r="M2438" s="46"/>
      <c r="N2438" s="46"/>
      <c r="O2438" s="46"/>
      <c r="P2438" s="46"/>
      <c r="Q2438" s="46"/>
      <c r="R2438" s="46"/>
      <c r="S2438" s="46"/>
      <c r="T2438" s="46"/>
      <c r="U2438" s="46"/>
      <c r="V2438" s="46"/>
      <c r="W2438" s="46"/>
      <c r="X2438" s="46"/>
    </row>
    <row r="2439" spans="1:24" ht="12.75" x14ac:dyDescent="0.2">
      <c r="A2439" s="45"/>
      <c r="B2439" s="46"/>
      <c r="C2439" s="46"/>
      <c r="D2439" s="46"/>
      <c r="E2439" s="46"/>
      <c r="F2439" s="46"/>
      <c r="G2439" s="46"/>
      <c r="H2439" s="46"/>
      <c r="I2439" s="46"/>
      <c r="J2439" s="46"/>
      <c r="K2439" s="46"/>
      <c r="L2439" s="46"/>
      <c r="M2439" s="46"/>
      <c r="N2439" s="46"/>
      <c r="O2439" s="46"/>
      <c r="P2439" s="46"/>
      <c r="Q2439" s="46"/>
      <c r="R2439" s="46"/>
      <c r="S2439" s="46"/>
      <c r="T2439" s="46"/>
      <c r="U2439" s="46"/>
      <c r="V2439" s="46"/>
      <c r="W2439" s="46"/>
      <c r="X2439" s="46"/>
    </row>
    <row r="2440" spans="1:24" ht="12.75" x14ac:dyDescent="0.2">
      <c r="A2440" s="45"/>
      <c r="B2440" s="46"/>
      <c r="C2440" s="46"/>
      <c r="D2440" s="46"/>
      <c r="E2440" s="46"/>
      <c r="F2440" s="46"/>
      <c r="G2440" s="46"/>
      <c r="H2440" s="46"/>
      <c r="I2440" s="46"/>
      <c r="J2440" s="46"/>
      <c r="K2440" s="46"/>
      <c r="L2440" s="46"/>
      <c r="M2440" s="46"/>
      <c r="N2440" s="46"/>
      <c r="O2440" s="46"/>
      <c r="P2440" s="46"/>
      <c r="Q2440" s="46"/>
      <c r="R2440" s="46"/>
      <c r="S2440" s="46"/>
      <c r="T2440" s="46"/>
      <c r="U2440" s="46"/>
      <c r="V2440" s="46"/>
      <c r="W2440" s="46"/>
      <c r="X2440" s="46"/>
    </row>
    <row r="2441" spans="1:24" ht="12.75" x14ac:dyDescent="0.2">
      <c r="A2441" s="45"/>
      <c r="B2441" s="46"/>
      <c r="C2441" s="46"/>
      <c r="D2441" s="46"/>
      <c r="E2441" s="46"/>
      <c r="F2441" s="46"/>
      <c r="G2441" s="46"/>
      <c r="H2441" s="46"/>
      <c r="I2441" s="46"/>
      <c r="J2441" s="46"/>
      <c r="K2441" s="46"/>
      <c r="L2441" s="46"/>
      <c r="M2441" s="46"/>
      <c r="N2441" s="46"/>
      <c r="O2441" s="46"/>
      <c r="P2441" s="46"/>
      <c r="Q2441" s="46"/>
      <c r="R2441" s="46"/>
      <c r="S2441" s="46"/>
      <c r="T2441" s="46"/>
      <c r="U2441" s="46"/>
      <c r="V2441" s="46"/>
      <c r="W2441" s="46"/>
      <c r="X2441" s="46"/>
    </row>
    <row r="2442" spans="1:24" ht="12.75" x14ac:dyDescent="0.2">
      <c r="A2442" s="45"/>
      <c r="B2442" s="46"/>
      <c r="C2442" s="46"/>
      <c r="D2442" s="46"/>
      <c r="E2442" s="46"/>
      <c r="F2442" s="46"/>
      <c r="G2442" s="46"/>
      <c r="H2442" s="46"/>
      <c r="I2442" s="46"/>
      <c r="J2442" s="46"/>
      <c r="K2442" s="46"/>
      <c r="L2442" s="46"/>
      <c r="M2442" s="46"/>
      <c r="N2442" s="46"/>
      <c r="O2442" s="46"/>
      <c r="P2442" s="46"/>
      <c r="Q2442" s="46"/>
      <c r="R2442" s="46"/>
      <c r="S2442" s="46"/>
      <c r="T2442" s="46"/>
      <c r="U2442" s="46"/>
      <c r="V2442" s="46"/>
      <c r="W2442" s="46"/>
      <c r="X2442" s="46"/>
    </row>
    <row r="2443" spans="1:24" ht="12.75" x14ac:dyDescent="0.2">
      <c r="A2443" s="45"/>
      <c r="B2443" s="46"/>
      <c r="C2443" s="46"/>
      <c r="D2443" s="46"/>
      <c r="E2443" s="46"/>
      <c r="F2443" s="46"/>
      <c r="G2443" s="46"/>
      <c r="H2443" s="46"/>
      <c r="I2443" s="46"/>
      <c r="J2443" s="46"/>
      <c r="K2443" s="46"/>
      <c r="L2443" s="46"/>
      <c r="M2443" s="46"/>
      <c r="N2443" s="46"/>
      <c r="O2443" s="46"/>
      <c r="P2443" s="46"/>
      <c r="Q2443" s="46"/>
      <c r="R2443" s="46"/>
      <c r="S2443" s="46"/>
      <c r="T2443" s="46"/>
      <c r="U2443" s="46"/>
      <c r="V2443" s="46"/>
      <c r="W2443" s="46"/>
      <c r="X2443" s="46"/>
    </row>
    <row r="2444" spans="1:24" ht="12.75" x14ac:dyDescent="0.2">
      <c r="A2444" s="45"/>
      <c r="B2444" s="46"/>
      <c r="C2444" s="46"/>
      <c r="D2444" s="46"/>
      <c r="E2444" s="46"/>
      <c r="F2444" s="46"/>
      <c r="G2444" s="46"/>
      <c r="H2444" s="46"/>
      <c r="I2444" s="46"/>
      <c r="J2444" s="46"/>
      <c r="K2444" s="46"/>
      <c r="L2444" s="46"/>
      <c r="M2444" s="46"/>
      <c r="N2444" s="46"/>
      <c r="O2444" s="46"/>
      <c r="P2444" s="46"/>
      <c r="Q2444" s="46"/>
      <c r="R2444" s="46"/>
      <c r="S2444" s="46"/>
      <c r="T2444" s="46"/>
      <c r="U2444" s="46"/>
      <c r="V2444" s="46"/>
      <c r="W2444" s="46"/>
      <c r="X2444" s="46"/>
    </row>
    <row r="2445" spans="1:24" ht="12.75" x14ac:dyDescent="0.2">
      <c r="A2445" s="45"/>
      <c r="B2445" s="46"/>
      <c r="C2445" s="46"/>
      <c r="D2445" s="46"/>
      <c r="E2445" s="46"/>
      <c r="F2445" s="46"/>
      <c r="G2445" s="46"/>
      <c r="H2445" s="46"/>
      <c r="I2445" s="46"/>
      <c r="J2445" s="46"/>
      <c r="K2445" s="46"/>
      <c r="L2445" s="46"/>
      <c r="M2445" s="46"/>
      <c r="N2445" s="46"/>
      <c r="O2445" s="46"/>
      <c r="P2445" s="46"/>
      <c r="Q2445" s="46"/>
      <c r="R2445" s="46"/>
      <c r="S2445" s="46"/>
      <c r="T2445" s="46"/>
      <c r="U2445" s="46"/>
      <c r="V2445" s="46"/>
      <c r="W2445" s="46"/>
      <c r="X2445" s="46"/>
    </row>
    <row r="2446" spans="1:24" ht="12.75" x14ac:dyDescent="0.2">
      <c r="A2446" s="45"/>
      <c r="B2446" s="46"/>
      <c r="C2446" s="46"/>
      <c r="D2446" s="46"/>
      <c r="E2446" s="46"/>
      <c r="F2446" s="46"/>
      <c r="G2446" s="46"/>
      <c r="H2446" s="46"/>
      <c r="I2446" s="46"/>
      <c r="J2446" s="46"/>
      <c r="K2446" s="46"/>
      <c r="L2446" s="46"/>
      <c r="M2446" s="46"/>
      <c r="N2446" s="46"/>
      <c r="O2446" s="46"/>
      <c r="P2446" s="46"/>
      <c r="Q2446" s="46"/>
      <c r="R2446" s="46"/>
      <c r="S2446" s="46"/>
      <c r="T2446" s="46"/>
      <c r="U2446" s="46"/>
      <c r="V2446" s="46"/>
      <c r="W2446" s="46"/>
      <c r="X2446" s="46"/>
    </row>
    <row r="2447" spans="1:24" ht="12.75" x14ac:dyDescent="0.2">
      <c r="A2447" s="45"/>
      <c r="B2447" s="46"/>
      <c r="C2447" s="46"/>
      <c r="D2447" s="46"/>
      <c r="E2447" s="46"/>
      <c r="F2447" s="46"/>
      <c r="G2447" s="46"/>
      <c r="H2447" s="46"/>
      <c r="I2447" s="46"/>
      <c r="J2447" s="46"/>
      <c r="K2447" s="46"/>
      <c r="L2447" s="46"/>
      <c r="M2447" s="46"/>
      <c r="N2447" s="46"/>
      <c r="O2447" s="46"/>
      <c r="P2447" s="46"/>
      <c r="Q2447" s="46"/>
      <c r="R2447" s="46"/>
      <c r="S2447" s="46"/>
      <c r="T2447" s="46"/>
      <c r="U2447" s="46"/>
      <c r="V2447" s="46"/>
      <c r="W2447" s="46"/>
      <c r="X2447" s="46"/>
    </row>
    <row r="2448" spans="1:24" ht="12.75" x14ac:dyDescent="0.2">
      <c r="A2448" s="45"/>
      <c r="B2448" s="46"/>
      <c r="C2448" s="46"/>
      <c r="D2448" s="46"/>
      <c r="E2448" s="46"/>
      <c r="F2448" s="46"/>
      <c r="G2448" s="46"/>
      <c r="H2448" s="46"/>
      <c r="I2448" s="46"/>
      <c r="J2448" s="46"/>
      <c r="K2448" s="46"/>
      <c r="L2448" s="46"/>
      <c r="M2448" s="46"/>
      <c r="N2448" s="46"/>
      <c r="O2448" s="46"/>
      <c r="P2448" s="46"/>
      <c r="Q2448" s="46"/>
      <c r="R2448" s="46"/>
      <c r="S2448" s="46"/>
      <c r="T2448" s="46"/>
      <c r="U2448" s="46"/>
      <c r="V2448" s="46"/>
      <c r="W2448" s="46"/>
      <c r="X2448" s="46"/>
    </row>
    <row r="2449" spans="1:24" ht="12.75" x14ac:dyDescent="0.2">
      <c r="A2449" s="45"/>
      <c r="B2449" s="46"/>
      <c r="C2449" s="46"/>
      <c r="D2449" s="46"/>
      <c r="E2449" s="46"/>
      <c r="F2449" s="46"/>
      <c r="G2449" s="46"/>
      <c r="H2449" s="46"/>
      <c r="I2449" s="46"/>
      <c r="J2449" s="46"/>
      <c r="K2449" s="46"/>
      <c r="L2449" s="46"/>
      <c r="M2449" s="46"/>
      <c r="N2449" s="46"/>
      <c r="O2449" s="46"/>
      <c r="P2449" s="46"/>
      <c r="Q2449" s="46"/>
      <c r="R2449" s="46"/>
      <c r="S2449" s="46"/>
      <c r="T2449" s="46"/>
      <c r="U2449" s="46"/>
      <c r="V2449" s="46"/>
      <c r="W2449" s="46"/>
      <c r="X2449" s="46"/>
    </row>
    <row r="2450" spans="1:24" ht="12.75" x14ac:dyDescent="0.2">
      <c r="A2450" s="45"/>
      <c r="B2450" s="46"/>
      <c r="C2450" s="46"/>
      <c r="D2450" s="46"/>
      <c r="E2450" s="46"/>
      <c r="F2450" s="46"/>
      <c r="G2450" s="46"/>
      <c r="H2450" s="46"/>
      <c r="I2450" s="46"/>
      <c r="J2450" s="46"/>
      <c r="K2450" s="46"/>
      <c r="L2450" s="46"/>
      <c r="M2450" s="46"/>
      <c r="N2450" s="46"/>
      <c r="O2450" s="46"/>
      <c r="P2450" s="46"/>
      <c r="Q2450" s="46"/>
      <c r="R2450" s="46"/>
      <c r="S2450" s="46"/>
      <c r="T2450" s="46"/>
      <c r="U2450" s="46"/>
      <c r="V2450" s="46"/>
      <c r="W2450" s="46"/>
      <c r="X2450" s="46"/>
    </row>
    <row r="2451" spans="1:24" ht="12.75" x14ac:dyDescent="0.2">
      <c r="A2451" s="45"/>
      <c r="B2451" s="46"/>
      <c r="C2451" s="46"/>
      <c r="D2451" s="46"/>
      <c r="E2451" s="46"/>
      <c r="F2451" s="46"/>
      <c r="G2451" s="46"/>
      <c r="H2451" s="46"/>
      <c r="I2451" s="46"/>
      <c r="J2451" s="46"/>
      <c r="K2451" s="46"/>
      <c r="L2451" s="46"/>
      <c r="M2451" s="46"/>
      <c r="N2451" s="46"/>
      <c r="O2451" s="46"/>
      <c r="P2451" s="46"/>
      <c r="Q2451" s="46"/>
      <c r="R2451" s="46"/>
      <c r="S2451" s="46"/>
      <c r="T2451" s="46"/>
      <c r="U2451" s="46"/>
      <c r="V2451" s="46"/>
      <c r="W2451" s="46"/>
      <c r="X2451" s="46"/>
    </row>
    <row r="2452" spans="1:24" ht="12.75" x14ac:dyDescent="0.2">
      <c r="A2452" s="45"/>
      <c r="B2452" s="46"/>
      <c r="C2452" s="46"/>
      <c r="D2452" s="46"/>
      <c r="E2452" s="46"/>
      <c r="F2452" s="46"/>
      <c r="G2452" s="46"/>
      <c r="H2452" s="46"/>
      <c r="I2452" s="46"/>
      <c r="J2452" s="46"/>
      <c r="K2452" s="46"/>
      <c r="L2452" s="46"/>
      <c r="M2452" s="46"/>
      <c r="N2452" s="46"/>
      <c r="O2452" s="46"/>
      <c r="P2452" s="46"/>
      <c r="Q2452" s="46"/>
      <c r="R2452" s="46"/>
      <c r="S2452" s="46"/>
      <c r="T2452" s="46"/>
      <c r="U2452" s="46"/>
      <c r="V2452" s="46"/>
      <c r="W2452" s="46"/>
      <c r="X2452" s="46"/>
    </row>
    <row r="2453" spans="1:24" ht="12.75" x14ac:dyDescent="0.2">
      <c r="A2453" s="45"/>
      <c r="B2453" s="46"/>
      <c r="C2453" s="46"/>
      <c r="D2453" s="46"/>
      <c r="E2453" s="46"/>
      <c r="F2453" s="46"/>
      <c r="G2453" s="46"/>
      <c r="H2453" s="46"/>
      <c r="I2453" s="46"/>
      <c r="J2453" s="46"/>
      <c r="K2453" s="46"/>
      <c r="L2453" s="46"/>
      <c r="M2453" s="46"/>
      <c r="N2453" s="46"/>
      <c r="O2453" s="46"/>
      <c r="P2453" s="46"/>
      <c r="Q2453" s="46"/>
      <c r="R2453" s="46"/>
      <c r="S2453" s="46"/>
      <c r="T2453" s="46"/>
      <c r="U2453" s="46"/>
      <c r="V2453" s="46"/>
      <c r="W2453" s="46"/>
      <c r="X2453" s="46"/>
    </row>
    <row r="2454" spans="1:24" ht="12.75" x14ac:dyDescent="0.2">
      <c r="A2454" s="45"/>
      <c r="B2454" s="46"/>
      <c r="C2454" s="46"/>
      <c r="D2454" s="46"/>
      <c r="E2454" s="46"/>
      <c r="F2454" s="46"/>
      <c r="G2454" s="46"/>
      <c r="H2454" s="46"/>
      <c r="I2454" s="46"/>
      <c r="J2454" s="46"/>
      <c r="K2454" s="46"/>
      <c r="L2454" s="46"/>
      <c r="M2454" s="46"/>
      <c r="N2454" s="46"/>
      <c r="O2454" s="46"/>
      <c r="P2454" s="46"/>
      <c r="Q2454" s="46"/>
      <c r="R2454" s="46"/>
      <c r="S2454" s="46"/>
      <c r="T2454" s="46"/>
      <c r="U2454" s="46"/>
      <c r="V2454" s="46"/>
      <c r="W2454" s="46"/>
      <c r="X2454" s="46"/>
    </row>
    <row r="2455" spans="1:24" ht="12.75" x14ac:dyDescent="0.2">
      <c r="A2455" s="45"/>
      <c r="B2455" s="46"/>
      <c r="C2455" s="46"/>
      <c r="D2455" s="46"/>
      <c r="E2455" s="46"/>
      <c r="F2455" s="46"/>
      <c r="G2455" s="46"/>
      <c r="H2455" s="46"/>
      <c r="I2455" s="46"/>
      <c r="J2455" s="46"/>
      <c r="K2455" s="46"/>
      <c r="L2455" s="46"/>
      <c r="M2455" s="46"/>
      <c r="N2455" s="46"/>
      <c r="O2455" s="46"/>
      <c r="P2455" s="46"/>
      <c r="Q2455" s="46"/>
      <c r="R2455" s="46"/>
      <c r="S2455" s="46"/>
      <c r="T2455" s="46"/>
      <c r="U2455" s="46"/>
      <c r="V2455" s="46"/>
      <c r="W2455" s="46"/>
      <c r="X2455" s="46"/>
    </row>
    <row r="2456" spans="1:24" ht="12.75" x14ac:dyDescent="0.2">
      <c r="A2456" s="45"/>
      <c r="B2456" s="46"/>
      <c r="C2456" s="46"/>
      <c r="D2456" s="46"/>
      <c r="E2456" s="46"/>
      <c r="F2456" s="46"/>
      <c r="G2456" s="46"/>
      <c r="H2456" s="46"/>
      <c r="I2456" s="46"/>
      <c r="J2456" s="46"/>
      <c r="K2456" s="46"/>
      <c r="L2456" s="46"/>
      <c r="M2456" s="46"/>
      <c r="N2456" s="46"/>
      <c r="O2456" s="46"/>
      <c r="P2456" s="46"/>
      <c r="Q2456" s="46"/>
      <c r="R2456" s="46"/>
      <c r="S2456" s="46"/>
      <c r="T2456" s="46"/>
      <c r="U2456" s="46"/>
      <c r="V2456" s="46"/>
      <c r="W2456" s="46"/>
      <c r="X2456" s="46"/>
    </row>
    <row r="2457" spans="1:24" ht="12.75" x14ac:dyDescent="0.2">
      <c r="A2457" s="45"/>
      <c r="B2457" s="46"/>
      <c r="C2457" s="46"/>
      <c r="D2457" s="46"/>
      <c r="E2457" s="46"/>
      <c r="F2457" s="46"/>
      <c r="G2457" s="46"/>
      <c r="H2457" s="46"/>
      <c r="I2457" s="46"/>
      <c r="J2457" s="46"/>
      <c r="K2457" s="46"/>
      <c r="L2457" s="46"/>
      <c r="M2457" s="46"/>
      <c r="N2457" s="46"/>
      <c r="O2457" s="46"/>
      <c r="P2457" s="46"/>
      <c r="Q2457" s="46"/>
      <c r="R2457" s="46"/>
      <c r="S2457" s="46"/>
      <c r="T2457" s="46"/>
      <c r="U2457" s="46"/>
      <c r="V2457" s="46"/>
      <c r="W2457" s="46"/>
      <c r="X2457" s="46"/>
    </row>
    <row r="2458" spans="1:24" ht="12.75" x14ac:dyDescent="0.2">
      <c r="A2458" s="45"/>
      <c r="B2458" s="46"/>
      <c r="C2458" s="46"/>
      <c r="D2458" s="46"/>
      <c r="E2458" s="46"/>
      <c r="F2458" s="46"/>
      <c r="G2458" s="46"/>
      <c r="H2458" s="46"/>
      <c r="I2458" s="46"/>
      <c r="J2458" s="46"/>
      <c r="K2458" s="46"/>
      <c r="L2458" s="46"/>
      <c r="M2458" s="46"/>
      <c r="N2458" s="46"/>
      <c r="O2458" s="46"/>
      <c r="P2458" s="46"/>
      <c r="Q2458" s="46"/>
      <c r="R2458" s="46"/>
      <c r="S2458" s="46"/>
      <c r="T2458" s="46"/>
      <c r="U2458" s="46"/>
      <c r="V2458" s="46"/>
      <c r="W2458" s="46"/>
      <c r="X2458" s="46"/>
    </row>
    <row r="2459" spans="1:24" ht="12.75" x14ac:dyDescent="0.2">
      <c r="A2459" s="45"/>
      <c r="B2459" s="46"/>
      <c r="C2459" s="46"/>
      <c r="D2459" s="46"/>
      <c r="E2459" s="46"/>
      <c r="F2459" s="46"/>
      <c r="G2459" s="46"/>
      <c r="H2459" s="46"/>
      <c r="I2459" s="46"/>
      <c r="J2459" s="46"/>
      <c r="K2459" s="46"/>
      <c r="L2459" s="46"/>
      <c r="M2459" s="46"/>
      <c r="N2459" s="46"/>
      <c r="O2459" s="46"/>
      <c r="P2459" s="46"/>
      <c r="Q2459" s="46"/>
      <c r="R2459" s="46"/>
      <c r="S2459" s="46"/>
      <c r="T2459" s="46"/>
      <c r="U2459" s="46"/>
      <c r="V2459" s="46"/>
      <c r="W2459" s="46"/>
      <c r="X2459" s="46"/>
    </row>
    <row r="2460" spans="1:24" ht="12.75" x14ac:dyDescent="0.2">
      <c r="A2460" s="45"/>
      <c r="B2460" s="46"/>
      <c r="C2460" s="46"/>
      <c r="D2460" s="46"/>
      <c r="E2460" s="46"/>
      <c r="F2460" s="46"/>
      <c r="G2460" s="46"/>
      <c r="H2460" s="46"/>
      <c r="I2460" s="46"/>
      <c r="J2460" s="46"/>
      <c r="K2460" s="46"/>
      <c r="L2460" s="46"/>
      <c r="M2460" s="46"/>
      <c r="N2460" s="46"/>
      <c r="O2460" s="46"/>
      <c r="P2460" s="46"/>
      <c r="Q2460" s="46"/>
      <c r="R2460" s="46"/>
      <c r="S2460" s="46"/>
      <c r="T2460" s="46"/>
      <c r="U2460" s="46"/>
      <c r="V2460" s="46"/>
      <c r="W2460" s="46"/>
      <c r="X2460" s="46"/>
    </row>
    <row r="2461" spans="1:24" ht="12.75" x14ac:dyDescent="0.2">
      <c r="A2461" s="45"/>
      <c r="B2461" s="46"/>
      <c r="C2461" s="46"/>
      <c r="D2461" s="46"/>
      <c r="E2461" s="46"/>
      <c r="F2461" s="46"/>
      <c r="G2461" s="46"/>
      <c r="H2461" s="46"/>
      <c r="I2461" s="46"/>
      <c r="J2461" s="46"/>
      <c r="K2461" s="46"/>
      <c r="L2461" s="46"/>
      <c r="M2461" s="46"/>
      <c r="N2461" s="46"/>
      <c r="O2461" s="46"/>
      <c r="P2461" s="46"/>
      <c r="Q2461" s="46"/>
      <c r="R2461" s="46"/>
      <c r="S2461" s="46"/>
      <c r="T2461" s="46"/>
      <c r="U2461" s="46"/>
      <c r="V2461" s="46"/>
      <c r="W2461" s="46"/>
      <c r="X2461" s="46"/>
    </row>
    <row r="2462" spans="1:24" ht="12.75" x14ac:dyDescent="0.2">
      <c r="A2462" s="45"/>
      <c r="B2462" s="46"/>
      <c r="C2462" s="46"/>
      <c r="D2462" s="46"/>
      <c r="E2462" s="46"/>
      <c r="F2462" s="46"/>
      <c r="G2462" s="46"/>
      <c r="H2462" s="46"/>
      <c r="I2462" s="46"/>
      <c r="J2462" s="46"/>
      <c r="K2462" s="46"/>
      <c r="L2462" s="46"/>
      <c r="M2462" s="46"/>
      <c r="N2462" s="46"/>
      <c r="O2462" s="46"/>
      <c r="P2462" s="46"/>
      <c r="Q2462" s="46"/>
      <c r="R2462" s="46"/>
      <c r="S2462" s="46"/>
      <c r="T2462" s="46"/>
      <c r="U2462" s="46"/>
      <c r="V2462" s="46"/>
      <c r="W2462" s="46"/>
      <c r="X2462" s="46"/>
    </row>
    <row r="2463" spans="1:24" ht="12.75" x14ac:dyDescent="0.2">
      <c r="A2463" s="45"/>
      <c r="B2463" s="46"/>
      <c r="C2463" s="46"/>
      <c r="D2463" s="46"/>
      <c r="E2463" s="46"/>
      <c r="F2463" s="46"/>
      <c r="G2463" s="46"/>
      <c r="H2463" s="46"/>
      <c r="I2463" s="46"/>
      <c r="J2463" s="46"/>
      <c r="K2463" s="46"/>
      <c r="L2463" s="46"/>
      <c r="M2463" s="46"/>
      <c r="N2463" s="46"/>
      <c r="O2463" s="46"/>
      <c r="P2463" s="46"/>
      <c r="Q2463" s="46"/>
      <c r="R2463" s="46"/>
      <c r="S2463" s="46"/>
      <c r="T2463" s="46"/>
      <c r="U2463" s="46"/>
      <c r="V2463" s="46"/>
      <c r="W2463" s="46"/>
      <c r="X2463" s="46"/>
    </row>
    <row r="2464" spans="1:24" ht="12.75" x14ac:dyDescent="0.2">
      <c r="A2464" s="45"/>
      <c r="B2464" s="46"/>
      <c r="C2464" s="46"/>
      <c r="D2464" s="46"/>
      <c r="E2464" s="46"/>
      <c r="F2464" s="46"/>
      <c r="G2464" s="46"/>
      <c r="H2464" s="46"/>
      <c r="I2464" s="46"/>
      <c r="J2464" s="46"/>
      <c r="K2464" s="46"/>
      <c r="L2464" s="46"/>
      <c r="M2464" s="46"/>
      <c r="N2464" s="46"/>
      <c r="O2464" s="46"/>
      <c r="P2464" s="46"/>
      <c r="Q2464" s="46"/>
      <c r="R2464" s="46"/>
      <c r="S2464" s="46"/>
      <c r="T2464" s="46"/>
      <c r="U2464" s="46"/>
      <c r="V2464" s="46"/>
      <c r="W2464" s="46"/>
      <c r="X2464" s="46"/>
    </row>
    <row r="2465" spans="1:24" ht="12.75" x14ac:dyDescent="0.2">
      <c r="A2465" s="45"/>
      <c r="B2465" s="46"/>
      <c r="C2465" s="46"/>
      <c r="D2465" s="46"/>
      <c r="E2465" s="46"/>
      <c r="F2465" s="46"/>
      <c r="G2465" s="46"/>
      <c r="H2465" s="46"/>
      <c r="I2465" s="46"/>
      <c r="J2465" s="46"/>
      <c r="K2465" s="46"/>
      <c r="L2465" s="46"/>
      <c r="M2465" s="46"/>
      <c r="N2465" s="46"/>
      <c r="O2465" s="46"/>
      <c r="P2465" s="46"/>
      <c r="Q2465" s="46"/>
      <c r="R2465" s="46"/>
      <c r="S2465" s="46"/>
      <c r="T2465" s="46"/>
      <c r="U2465" s="46"/>
      <c r="V2465" s="46"/>
      <c r="W2465" s="46"/>
      <c r="X2465" s="46"/>
    </row>
    <row r="2466" spans="1:24" ht="12.75" x14ac:dyDescent="0.2">
      <c r="A2466" s="45"/>
      <c r="B2466" s="46"/>
      <c r="C2466" s="46"/>
      <c r="D2466" s="46"/>
      <c r="E2466" s="46"/>
      <c r="F2466" s="46"/>
      <c r="G2466" s="46"/>
      <c r="H2466" s="46"/>
      <c r="I2466" s="46"/>
      <c r="J2466" s="46"/>
      <c r="K2466" s="46"/>
      <c r="L2466" s="46"/>
      <c r="M2466" s="46"/>
      <c r="N2466" s="46"/>
      <c r="O2466" s="46"/>
      <c r="P2466" s="46"/>
      <c r="Q2466" s="46"/>
      <c r="R2466" s="46"/>
      <c r="S2466" s="46"/>
      <c r="T2466" s="46"/>
      <c r="U2466" s="46"/>
      <c r="V2466" s="46"/>
      <c r="W2466" s="46"/>
      <c r="X2466" s="46"/>
    </row>
    <row r="2467" spans="1:24" ht="12.75" x14ac:dyDescent="0.2">
      <c r="A2467" s="45"/>
      <c r="B2467" s="46"/>
      <c r="C2467" s="46"/>
      <c r="D2467" s="46"/>
      <c r="E2467" s="46"/>
      <c r="F2467" s="46"/>
      <c r="G2467" s="46"/>
      <c r="H2467" s="46"/>
      <c r="I2467" s="46"/>
      <c r="J2467" s="46"/>
      <c r="K2467" s="46"/>
      <c r="L2467" s="46"/>
      <c r="M2467" s="46"/>
      <c r="N2467" s="46"/>
      <c r="O2467" s="46"/>
      <c r="P2467" s="46"/>
      <c r="Q2467" s="46"/>
      <c r="R2467" s="46"/>
      <c r="S2467" s="46"/>
      <c r="T2467" s="46"/>
      <c r="U2467" s="46"/>
      <c r="V2467" s="46"/>
      <c r="W2467" s="46"/>
      <c r="X2467" s="46"/>
    </row>
    <row r="2468" spans="1:24" ht="12.75" x14ac:dyDescent="0.2">
      <c r="A2468" s="45"/>
      <c r="B2468" s="46"/>
      <c r="C2468" s="46"/>
      <c r="D2468" s="46"/>
      <c r="E2468" s="46"/>
      <c r="F2468" s="46"/>
      <c r="G2468" s="46"/>
      <c r="H2468" s="46"/>
      <c r="I2468" s="46"/>
      <c r="J2468" s="46"/>
      <c r="K2468" s="46"/>
      <c r="L2468" s="46"/>
      <c r="M2468" s="46"/>
      <c r="N2468" s="46"/>
      <c r="O2468" s="46"/>
      <c r="P2468" s="46"/>
      <c r="Q2468" s="46"/>
      <c r="R2468" s="46"/>
      <c r="S2468" s="46"/>
      <c r="T2468" s="46"/>
      <c r="U2468" s="46"/>
      <c r="V2468" s="46"/>
      <c r="W2468" s="46"/>
      <c r="X2468" s="46"/>
    </row>
    <row r="2469" spans="1:24" ht="12.75" x14ac:dyDescent="0.2">
      <c r="A2469" s="45"/>
      <c r="B2469" s="46"/>
      <c r="C2469" s="46"/>
      <c r="D2469" s="46"/>
      <c r="E2469" s="46"/>
      <c r="F2469" s="46"/>
      <c r="G2469" s="46"/>
      <c r="H2469" s="46"/>
      <c r="I2469" s="46"/>
      <c r="J2469" s="46"/>
      <c r="K2469" s="46"/>
      <c r="L2469" s="46"/>
      <c r="M2469" s="46"/>
      <c r="N2469" s="46"/>
      <c r="O2469" s="46"/>
      <c r="P2469" s="46"/>
      <c r="Q2469" s="46"/>
      <c r="R2469" s="46"/>
      <c r="S2469" s="46"/>
      <c r="T2469" s="46"/>
      <c r="U2469" s="46"/>
      <c r="V2469" s="46"/>
      <c r="W2469" s="46"/>
      <c r="X2469" s="46"/>
    </row>
    <row r="2470" spans="1:24" ht="12.75" x14ac:dyDescent="0.2">
      <c r="A2470" s="45"/>
      <c r="B2470" s="46"/>
      <c r="C2470" s="46"/>
      <c r="D2470" s="46"/>
      <c r="E2470" s="46"/>
      <c r="F2470" s="46"/>
      <c r="G2470" s="46"/>
      <c r="H2470" s="46"/>
      <c r="I2470" s="46"/>
      <c r="J2470" s="46"/>
      <c r="K2470" s="46"/>
      <c r="L2470" s="46"/>
      <c r="M2470" s="46"/>
      <c r="N2470" s="46"/>
      <c r="O2470" s="46"/>
      <c r="P2470" s="46"/>
      <c r="Q2470" s="46"/>
      <c r="R2470" s="46"/>
      <c r="S2470" s="46"/>
      <c r="T2470" s="46"/>
      <c r="U2470" s="46"/>
      <c r="V2470" s="46"/>
      <c r="W2470" s="46"/>
      <c r="X2470" s="46"/>
    </row>
    <row r="2471" spans="1:24" ht="12.75" x14ac:dyDescent="0.2">
      <c r="A2471" s="45"/>
      <c r="B2471" s="46"/>
      <c r="C2471" s="46"/>
      <c r="D2471" s="46"/>
      <c r="E2471" s="46"/>
      <c r="F2471" s="46"/>
      <c r="G2471" s="46"/>
      <c r="H2471" s="46"/>
      <c r="I2471" s="46"/>
      <c r="J2471" s="46"/>
      <c r="K2471" s="46"/>
      <c r="L2471" s="46"/>
      <c r="M2471" s="46"/>
      <c r="N2471" s="46"/>
      <c r="O2471" s="46"/>
      <c r="P2471" s="46"/>
      <c r="Q2471" s="46"/>
      <c r="R2471" s="46"/>
      <c r="S2471" s="46"/>
      <c r="T2471" s="46"/>
      <c r="U2471" s="46"/>
      <c r="V2471" s="46"/>
      <c r="W2471" s="46"/>
      <c r="X2471" s="46"/>
    </row>
    <row r="2472" spans="1:24" ht="12.75" x14ac:dyDescent="0.2">
      <c r="A2472" s="45"/>
      <c r="B2472" s="46"/>
      <c r="C2472" s="46"/>
      <c r="D2472" s="46"/>
      <c r="E2472" s="46"/>
      <c r="F2472" s="46"/>
      <c r="G2472" s="46"/>
      <c r="H2472" s="46"/>
      <c r="I2472" s="46"/>
      <c r="J2472" s="46"/>
      <c r="K2472" s="46"/>
      <c r="L2472" s="46"/>
      <c r="M2472" s="46"/>
      <c r="N2472" s="46"/>
      <c r="O2472" s="46"/>
      <c r="P2472" s="46"/>
      <c r="Q2472" s="46"/>
      <c r="R2472" s="46"/>
      <c r="S2472" s="46"/>
      <c r="T2472" s="46"/>
      <c r="U2472" s="46"/>
      <c r="V2472" s="46"/>
      <c r="W2472" s="46"/>
      <c r="X2472" s="46"/>
    </row>
    <row r="2473" spans="1:24" ht="12.75" x14ac:dyDescent="0.2">
      <c r="A2473" s="45"/>
      <c r="B2473" s="46"/>
      <c r="C2473" s="46"/>
      <c r="D2473" s="46"/>
      <c r="E2473" s="46"/>
      <c r="F2473" s="46"/>
      <c r="G2473" s="46"/>
      <c r="H2473" s="46"/>
      <c r="I2473" s="46"/>
      <c r="J2473" s="46"/>
      <c r="K2473" s="46"/>
      <c r="L2473" s="46"/>
      <c r="M2473" s="46"/>
      <c r="N2473" s="46"/>
      <c r="O2473" s="46"/>
      <c r="P2473" s="46"/>
      <c r="Q2473" s="46"/>
      <c r="R2473" s="46"/>
      <c r="S2473" s="46"/>
      <c r="T2473" s="46"/>
      <c r="U2473" s="46"/>
      <c r="V2473" s="46"/>
      <c r="W2473" s="46"/>
      <c r="X2473" s="46"/>
    </row>
    <row r="2474" spans="1:24" ht="12.75" x14ac:dyDescent="0.2">
      <c r="A2474" s="45"/>
      <c r="B2474" s="46"/>
      <c r="C2474" s="46"/>
      <c r="D2474" s="46"/>
      <c r="E2474" s="46"/>
      <c r="F2474" s="46"/>
      <c r="G2474" s="46"/>
      <c r="H2474" s="46"/>
      <c r="I2474" s="46"/>
      <c r="J2474" s="46"/>
      <c r="K2474" s="46"/>
      <c r="L2474" s="46"/>
      <c r="M2474" s="46"/>
      <c r="N2474" s="46"/>
      <c r="O2474" s="46"/>
      <c r="P2474" s="46"/>
      <c r="Q2474" s="46"/>
      <c r="R2474" s="46"/>
      <c r="S2474" s="46"/>
      <c r="T2474" s="46"/>
      <c r="U2474" s="46"/>
      <c r="V2474" s="46"/>
      <c r="W2474" s="46"/>
      <c r="X2474" s="46"/>
    </row>
    <row r="2475" spans="1:24" ht="12.75" x14ac:dyDescent="0.2">
      <c r="A2475" s="45"/>
      <c r="B2475" s="46"/>
      <c r="C2475" s="46"/>
      <c r="D2475" s="46"/>
      <c r="E2475" s="46"/>
      <c r="F2475" s="46"/>
      <c r="G2475" s="46"/>
      <c r="H2475" s="46"/>
      <c r="I2475" s="46"/>
      <c r="J2475" s="46"/>
      <c r="K2475" s="46"/>
      <c r="L2475" s="46"/>
      <c r="M2475" s="46"/>
      <c r="N2475" s="46"/>
      <c r="O2475" s="46"/>
      <c r="P2475" s="46"/>
      <c r="Q2475" s="46"/>
      <c r="R2475" s="46"/>
      <c r="S2475" s="46"/>
      <c r="T2475" s="46"/>
      <c r="U2475" s="46"/>
      <c r="V2475" s="46"/>
      <c r="W2475" s="46"/>
      <c r="X2475" s="46"/>
    </row>
    <row r="2476" spans="1:24" ht="12.75" x14ac:dyDescent="0.2">
      <c r="A2476" s="45"/>
      <c r="B2476" s="46"/>
      <c r="C2476" s="46"/>
      <c r="D2476" s="46"/>
      <c r="E2476" s="46"/>
      <c r="F2476" s="46"/>
      <c r="G2476" s="46"/>
      <c r="H2476" s="46"/>
      <c r="I2476" s="46"/>
      <c r="J2476" s="46"/>
      <c r="K2476" s="46"/>
      <c r="L2476" s="46"/>
      <c r="M2476" s="46"/>
      <c r="N2476" s="46"/>
      <c r="O2476" s="46"/>
      <c r="P2476" s="46"/>
      <c r="Q2476" s="46"/>
      <c r="R2476" s="46"/>
      <c r="S2476" s="46"/>
      <c r="T2476" s="46"/>
      <c r="U2476" s="46"/>
      <c r="V2476" s="46"/>
      <c r="W2476" s="46"/>
      <c r="X2476" s="46"/>
    </row>
    <row r="2477" spans="1:24" ht="12.75" x14ac:dyDescent="0.2">
      <c r="A2477" s="45"/>
      <c r="B2477" s="46"/>
      <c r="C2477" s="46"/>
      <c r="D2477" s="46"/>
      <c r="E2477" s="46"/>
      <c r="F2477" s="46"/>
      <c r="G2477" s="46"/>
      <c r="H2477" s="46"/>
      <c r="I2477" s="46"/>
      <c r="J2477" s="46"/>
      <c r="K2477" s="46"/>
      <c r="L2477" s="46"/>
      <c r="M2477" s="46"/>
      <c r="N2477" s="46"/>
      <c r="O2477" s="46"/>
      <c r="P2477" s="46"/>
      <c r="Q2477" s="46"/>
      <c r="R2477" s="46"/>
      <c r="S2477" s="46"/>
      <c r="T2477" s="46"/>
      <c r="U2477" s="46"/>
      <c r="V2477" s="46"/>
      <c r="W2477" s="46"/>
      <c r="X2477" s="46"/>
    </row>
    <row r="2478" spans="1:24" ht="12.75" x14ac:dyDescent="0.2">
      <c r="A2478" s="45"/>
      <c r="B2478" s="46"/>
      <c r="C2478" s="46"/>
      <c r="D2478" s="46"/>
      <c r="E2478" s="46"/>
      <c r="F2478" s="46"/>
      <c r="G2478" s="46"/>
      <c r="H2478" s="46"/>
      <c r="I2478" s="46"/>
      <c r="J2478" s="46"/>
      <c r="K2478" s="46"/>
      <c r="L2478" s="46"/>
      <c r="M2478" s="46"/>
      <c r="N2478" s="46"/>
      <c r="O2478" s="46"/>
      <c r="P2478" s="46"/>
      <c r="Q2478" s="46"/>
      <c r="R2478" s="46"/>
      <c r="S2478" s="46"/>
      <c r="T2478" s="46"/>
      <c r="U2478" s="46"/>
      <c r="V2478" s="46"/>
      <c r="W2478" s="46"/>
      <c r="X2478" s="46"/>
    </row>
    <row r="2479" spans="1:24" ht="12.75" x14ac:dyDescent="0.2">
      <c r="A2479" s="45"/>
      <c r="B2479" s="46"/>
      <c r="C2479" s="46"/>
      <c r="D2479" s="46"/>
      <c r="E2479" s="46"/>
      <c r="F2479" s="46"/>
      <c r="G2479" s="46"/>
      <c r="H2479" s="46"/>
      <c r="I2479" s="46"/>
      <c r="J2479" s="46"/>
      <c r="K2479" s="46"/>
      <c r="L2479" s="46"/>
      <c r="M2479" s="46"/>
      <c r="N2479" s="46"/>
      <c r="O2479" s="46"/>
      <c r="P2479" s="46"/>
      <c r="Q2479" s="46"/>
      <c r="R2479" s="46"/>
      <c r="S2479" s="46"/>
      <c r="T2479" s="46"/>
      <c r="U2479" s="46"/>
      <c r="V2479" s="46"/>
      <c r="W2479" s="46"/>
      <c r="X2479" s="46"/>
    </row>
    <row r="2480" spans="1:24" ht="12.75" x14ac:dyDescent="0.2">
      <c r="A2480" s="45"/>
      <c r="B2480" s="46"/>
      <c r="C2480" s="46"/>
      <c r="D2480" s="46"/>
      <c r="E2480" s="46"/>
      <c r="F2480" s="46"/>
      <c r="G2480" s="46"/>
      <c r="H2480" s="46"/>
      <c r="I2480" s="46"/>
      <c r="J2480" s="46"/>
      <c r="K2480" s="46"/>
      <c r="L2480" s="46"/>
      <c r="M2480" s="46"/>
      <c r="N2480" s="46"/>
      <c r="O2480" s="46"/>
      <c r="P2480" s="46"/>
      <c r="Q2480" s="46"/>
      <c r="R2480" s="46"/>
      <c r="S2480" s="46"/>
      <c r="T2480" s="46"/>
      <c r="U2480" s="46"/>
      <c r="V2480" s="46"/>
      <c r="W2480" s="46"/>
      <c r="X2480" s="46"/>
    </row>
    <row r="2481" spans="1:24" ht="12.75" x14ac:dyDescent="0.2">
      <c r="A2481" s="45"/>
      <c r="B2481" s="46"/>
      <c r="C2481" s="46"/>
      <c r="D2481" s="46"/>
      <c r="E2481" s="46"/>
      <c r="F2481" s="46"/>
      <c r="G2481" s="46"/>
      <c r="H2481" s="46"/>
      <c r="I2481" s="46"/>
      <c r="J2481" s="46"/>
      <c r="K2481" s="46"/>
      <c r="L2481" s="46"/>
      <c r="M2481" s="46"/>
      <c r="N2481" s="46"/>
      <c r="O2481" s="46"/>
      <c r="P2481" s="46"/>
      <c r="Q2481" s="46"/>
      <c r="R2481" s="46"/>
      <c r="S2481" s="46"/>
      <c r="T2481" s="46"/>
      <c r="U2481" s="46"/>
      <c r="V2481" s="46"/>
      <c r="W2481" s="46"/>
      <c r="X2481" s="46"/>
    </row>
    <row r="2482" spans="1:24" ht="12.75" x14ac:dyDescent="0.2">
      <c r="A2482" s="45"/>
      <c r="B2482" s="46"/>
      <c r="C2482" s="46"/>
      <c r="D2482" s="46"/>
      <c r="E2482" s="46"/>
      <c r="F2482" s="46"/>
      <c r="G2482" s="46"/>
      <c r="H2482" s="46"/>
      <c r="I2482" s="46"/>
      <c r="J2482" s="46"/>
      <c r="K2482" s="46"/>
      <c r="L2482" s="46"/>
      <c r="M2482" s="46"/>
      <c r="N2482" s="46"/>
      <c r="O2482" s="46"/>
      <c r="P2482" s="46"/>
      <c r="Q2482" s="46"/>
      <c r="R2482" s="46"/>
      <c r="S2482" s="46"/>
      <c r="T2482" s="46"/>
      <c r="U2482" s="46"/>
      <c r="V2482" s="46"/>
      <c r="W2482" s="46"/>
      <c r="X2482" s="46"/>
    </row>
    <row r="2483" spans="1:24" ht="12.75" x14ac:dyDescent="0.2">
      <c r="A2483" s="45"/>
      <c r="B2483" s="46"/>
      <c r="C2483" s="46"/>
      <c r="D2483" s="46"/>
      <c r="E2483" s="46"/>
      <c r="F2483" s="46"/>
      <c r="G2483" s="46"/>
      <c r="H2483" s="46"/>
      <c r="I2483" s="46"/>
      <c r="J2483" s="46"/>
      <c r="K2483" s="46"/>
      <c r="L2483" s="46"/>
      <c r="M2483" s="46"/>
      <c r="N2483" s="46"/>
      <c r="O2483" s="46"/>
      <c r="P2483" s="46"/>
      <c r="Q2483" s="46"/>
      <c r="R2483" s="46"/>
      <c r="S2483" s="46"/>
      <c r="T2483" s="46"/>
      <c r="U2483" s="46"/>
      <c r="V2483" s="46"/>
      <c r="W2483" s="46"/>
      <c r="X2483" s="46"/>
    </row>
    <row r="2484" spans="1:24" ht="12.75" x14ac:dyDescent="0.2">
      <c r="A2484" s="45"/>
      <c r="B2484" s="46"/>
      <c r="C2484" s="46"/>
      <c r="D2484" s="46"/>
      <c r="E2484" s="46"/>
      <c r="F2484" s="46"/>
      <c r="G2484" s="46"/>
      <c r="H2484" s="46"/>
      <c r="I2484" s="46"/>
      <c r="J2484" s="46"/>
      <c r="K2484" s="46"/>
      <c r="L2484" s="46"/>
      <c r="M2484" s="46"/>
      <c r="N2484" s="46"/>
      <c r="O2484" s="46"/>
      <c r="P2484" s="46"/>
      <c r="Q2484" s="46"/>
      <c r="R2484" s="46"/>
      <c r="S2484" s="46"/>
      <c r="T2484" s="46"/>
      <c r="U2484" s="46"/>
      <c r="V2484" s="46"/>
      <c r="W2484" s="46"/>
      <c r="X2484" s="46"/>
    </row>
    <row r="2485" spans="1:24" ht="12.75" x14ac:dyDescent="0.2">
      <c r="A2485" s="45"/>
      <c r="B2485" s="46"/>
      <c r="C2485" s="46"/>
      <c r="D2485" s="46"/>
      <c r="E2485" s="46"/>
      <c r="F2485" s="46"/>
      <c r="G2485" s="46"/>
      <c r="H2485" s="46"/>
      <c r="I2485" s="46"/>
      <c r="J2485" s="46"/>
      <c r="K2485" s="46"/>
      <c r="L2485" s="46"/>
      <c r="M2485" s="46"/>
      <c r="N2485" s="46"/>
      <c r="O2485" s="46"/>
      <c r="P2485" s="46"/>
      <c r="Q2485" s="46"/>
      <c r="R2485" s="46"/>
      <c r="S2485" s="46"/>
      <c r="T2485" s="46"/>
      <c r="U2485" s="46"/>
      <c r="V2485" s="46"/>
      <c r="W2485" s="46"/>
      <c r="X2485" s="46"/>
    </row>
    <row r="2486" spans="1:24" ht="12.75" x14ac:dyDescent="0.2">
      <c r="A2486" s="45"/>
      <c r="B2486" s="46"/>
      <c r="C2486" s="46"/>
      <c r="D2486" s="46"/>
      <c r="E2486" s="46"/>
      <c r="F2486" s="46"/>
      <c r="G2486" s="46"/>
      <c r="H2486" s="46"/>
      <c r="I2486" s="46"/>
      <c r="J2486" s="46"/>
      <c r="K2486" s="46"/>
      <c r="L2486" s="46"/>
      <c r="M2486" s="46"/>
      <c r="N2486" s="46"/>
      <c r="O2486" s="46"/>
      <c r="P2486" s="46"/>
      <c r="Q2486" s="46"/>
      <c r="R2486" s="46"/>
      <c r="S2486" s="46"/>
      <c r="T2486" s="46"/>
      <c r="U2486" s="46"/>
      <c r="V2486" s="46"/>
      <c r="W2486" s="46"/>
      <c r="X2486" s="46"/>
    </row>
    <row r="2487" spans="1:24" ht="12.75" x14ac:dyDescent="0.2">
      <c r="A2487" s="45"/>
      <c r="B2487" s="46"/>
      <c r="C2487" s="46"/>
      <c r="D2487" s="46"/>
      <c r="E2487" s="46"/>
      <c r="F2487" s="46"/>
      <c r="G2487" s="46"/>
      <c r="H2487" s="46"/>
      <c r="I2487" s="46"/>
      <c r="J2487" s="46"/>
      <c r="K2487" s="46"/>
      <c r="L2487" s="46"/>
      <c r="M2487" s="46"/>
      <c r="N2487" s="46"/>
      <c r="O2487" s="46"/>
      <c r="P2487" s="46"/>
      <c r="Q2487" s="46"/>
      <c r="R2487" s="46"/>
      <c r="S2487" s="46"/>
      <c r="T2487" s="46"/>
      <c r="U2487" s="46"/>
      <c r="V2487" s="46"/>
      <c r="W2487" s="46"/>
      <c r="X2487" s="46"/>
    </row>
    <row r="2488" spans="1:24" ht="12.75" x14ac:dyDescent="0.2">
      <c r="A2488" s="45"/>
      <c r="B2488" s="46"/>
      <c r="C2488" s="46"/>
      <c r="D2488" s="46"/>
      <c r="E2488" s="46"/>
      <c r="F2488" s="46"/>
      <c r="G2488" s="46"/>
      <c r="H2488" s="46"/>
      <c r="I2488" s="46"/>
      <c r="J2488" s="46"/>
      <c r="K2488" s="46"/>
      <c r="L2488" s="46"/>
      <c r="M2488" s="46"/>
      <c r="N2488" s="46"/>
      <c r="O2488" s="46"/>
      <c r="P2488" s="46"/>
      <c r="Q2488" s="46"/>
      <c r="R2488" s="46"/>
      <c r="S2488" s="46"/>
      <c r="T2488" s="46"/>
      <c r="U2488" s="46"/>
      <c r="V2488" s="46"/>
      <c r="W2488" s="46"/>
      <c r="X2488" s="46"/>
    </row>
    <row r="2489" spans="1:24" ht="12.75" x14ac:dyDescent="0.2">
      <c r="A2489" s="45"/>
      <c r="B2489" s="46"/>
      <c r="C2489" s="46"/>
      <c r="D2489" s="46"/>
      <c r="E2489" s="46"/>
      <c r="F2489" s="46"/>
      <c r="G2489" s="46"/>
      <c r="H2489" s="46"/>
      <c r="I2489" s="46"/>
      <c r="J2489" s="46"/>
      <c r="K2489" s="46"/>
      <c r="L2489" s="46"/>
      <c r="M2489" s="46"/>
      <c r="N2489" s="46"/>
      <c r="O2489" s="46"/>
      <c r="P2489" s="46"/>
      <c r="Q2489" s="46"/>
      <c r="R2489" s="46"/>
      <c r="S2489" s="46"/>
      <c r="T2489" s="46"/>
      <c r="U2489" s="46"/>
      <c r="V2489" s="46"/>
      <c r="W2489" s="46"/>
      <c r="X2489" s="46"/>
    </row>
    <row r="2490" spans="1:24" ht="12.75" x14ac:dyDescent="0.2">
      <c r="A2490" s="45"/>
      <c r="B2490" s="46"/>
      <c r="C2490" s="46"/>
      <c r="D2490" s="46"/>
      <c r="E2490" s="46"/>
      <c r="F2490" s="46"/>
      <c r="G2490" s="46"/>
      <c r="H2490" s="46"/>
      <c r="I2490" s="46"/>
      <c r="J2490" s="46"/>
      <c r="K2490" s="46"/>
      <c r="L2490" s="46"/>
      <c r="M2490" s="46"/>
      <c r="N2490" s="46"/>
      <c r="O2490" s="46"/>
      <c r="P2490" s="46"/>
      <c r="Q2490" s="46"/>
      <c r="R2490" s="46"/>
      <c r="S2490" s="46"/>
      <c r="T2490" s="46"/>
      <c r="U2490" s="46"/>
      <c r="V2490" s="46"/>
      <c r="W2490" s="46"/>
      <c r="X2490" s="46"/>
    </row>
    <row r="2491" spans="1:24" ht="12.75" x14ac:dyDescent="0.2">
      <c r="A2491" s="45"/>
      <c r="B2491" s="46"/>
      <c r="C2491" s="46"/>
      <c r="D2491" s="46"/>
      <c r="E2491" s="46"/>
      <c r="F2491" s="46"/>
      <c r="G2491" s="46"/>
      <c r="H2491" s="46"/>
      <c r="I2491" s="46"/>
      <c r="J2491" s="46"/>
      <c r="K2491" s="46"/>
      <c r="L2491" s="46"/>
      <c r="M2491" s="46"/>
      <c r="N2491" s="46"/>
      <c r="O2491" s="46"/>
      <c r="P2491" s="46"/>
      <c r="Q2491" s="46"/>
      <c r="R2491" s="46"/>
      <c r="S2491" s="46"/>
      <c r="T2491" s="46"/>
      <c r="U2491" s="46"/>
      <c r="V2491" s="46"/>
      <c r="W2491" s="46"/>
      <c r="X2491" s="46"/>
    </row>
    <row r="2492" spans="1:24" ht="12.75" x14ac:dyDescent="0.2">
      <c r="A2492" s="45"/>
      <c r="B2492" s="46"/>
      <c r="C2492" s="46"/>
      <c r="D2492" s="46"/>
      <c r="E2492" s="46"/>
      <c r="F2492" s="46"/>
      <c r="G2492" s="46"/>
      <c r="H2492" s="46"/>
      <c r="I2492" s="46"/>
      <c r="J2492" s="46"/>
      <c r="K2492" s="46"/>
      <c r="L2492" s="46"/>
      <c r="M2492" s="46"/>
      <c r="N2492" s="46"/>
      <c r="O2492" s="46"/>
      <c r="P2492" s="46"/>
      <c r="Q2492" s="46"/>
      <c r="R2492" s="46"/>
      <c r="S2492" s="46"/>
      <c r="T2492" s="46"/>
      <c r="U2492" s="46"/>
      <c r="V2492" s="46"/>
      <c r="W2492" s="46"/>
      <c r="X2492" s="46"/>
    </row>
    <row r="2493" spans="1:24" ht="12.75" x14ac:dyDescent="0.2">
      <c r="A2493" s="45"/>
      <c r="B2493" s="46"/>
      <c r="C2493" s="46"/>
      <c r="D2493" s="46"/>
      <c r="E2493" s="46"/>
      <c r="F2493" s="46"/>
      <c r="G2493" s="46"/>
      <c r="H2493" s="46"/>
      <c r="I2493" s="46"/>
      <c r="J2493" s="46"/>
      <c r="K2493" s="46"/>
      <c r="L2493" s="46"/>
      <c r="M2493" s="46"/>
      <c r="N2493" s="46"/>
      <c r="O2493" s="46"/>
      <c r="P2493" s="46"/>
      <c r="Q2493" s="46"/>
      <c r="R2493" s="46"/>
      <c r="S2493" s="46"/>
      <c r="T2493" s="46"/>
      <c r="U2493" s="46"/>
      <c r="V2493" s="46"/>
      <c r="W2493" s="46"/>
      <c r="X2493" s="46"/>
    </row>
    <row r="2494" spans="1:24" ht="12.75" x14ac:dyDescent="0.2">
      <c r="A2494" s="45"/>
      <c r="B2494" s="46"/>
      <c r="C2494" s="46"/>
      <c r="D2494" s="46"/>
      <c r="E2494" s="46"/>
      <c r="F2494" s="46"/>
      <c r="G2494" s="46"/>
      <c r="H2494" s="46"/>
      <c r="I2494" s="46"/>
      <c r="J2494" s="46"/>
      <c r="K2494" s="46"/>
      <c r="L2494" s="46"/>
      <c r="M2494" s="46"/>
      <c r="N2494" s="46"/>
      <c r="O2494" s="46"/>
      <c r="P2494" s="46"/>
      <c r="Q2494" s="46"/>
      <c r="R2494" s="46"/>
      <c r="S2494" s="46"/>
      <c r="T2494" s="46"/>
      <c r="U2494" s="46"/>
      <c r="V2494" s="46"/>
      <c r="W2494" s="46"/>
      <c r="X2494" s="46"/>
    </row>
    <row r="2495" spans="1:24" ht="12.75" x14ac:dyDescent="0.2">
      <c r="A2495" s="45"/>
      <c r="B2495" s="46"/>
      <c r="C2495" s="46"/>
      <c r="D2495" s="46"/>
      <c r="E2495" s="46"/>
      <c r="F2495" s="46"/>
      <c r="G2495" s="46"/>
      <c r="H2495" s="46"/>
      <c r="I2495" s="46"/>
      <c r="J2495" s="46"/>
      <c r="K2495" s="46"/>
      <c r="L2495" s="46"/>
      <c r="M2495" s="46"/>
      <c r="N2495" s="46"/>
      <c r="O2495" s="46"/>
      <c r="P2495" s="46"/>
      <c r="Q2495" s="46"/>
      <c r="R2495" s="46"/>
      <c r="S2495" s="46"/>
      <c r="T2495" s="46"/>
      <c r="U2495" s="46"/>
      <c r="V2495" s="46"/>
      <c r="W2495" s="46"/>
      <c r="X2495" s="46"/>
    </row>
    <row r="2496" spans="1:24" ht="12.75" x14ac:dyDescent="0.2">
      <c r="A2496" s="45"/>
      <c r="B2496" s="46"/>
      <c r="C2496" s="46"/>
      <c r="D2496" s="46"/>
      <c r="E2496" s="46"/>
      <c r="F2496" s="46"/>
      <c r="G2496" s="46"/>
      <c r="H2496" s="46"/>
      <c r="I2496" s="46"/>
      <c r="J2496" s="46"/>
      <c r="K2496" s="46"/>
      <c r="L2496" s="46"/>
      <c r="M2496" s="46"/>
      <c r="N2496" s="46"/>
      <c r="O2496" s="46"/>
      <c r="P2496" s="46"/>
      <c r="Q2496" s="46"/>
      <c r="R2496" s="46"/>
      <c r="S2496" s="46"/>
      <c r="T2496" s="46"/>
      <c r="U2496" s="46"/>
      <c r="V2496" s="46"/>
      <c r="W2496" s="46"/>
      <c r="X2496" s="46"/>
    </row>
    <row r="2497" spans="1:24" ht="12.75" x14ac:dyDescent="0.2">
      <c r="A2497" s="45"/>
      <c r="B2497" s="46"/>
      <c r="C2497" s="46"/>
      <c r="D2497" s="46"/>
      <c r="E2497" s="46"/>
      <c r="F2497" s="46"/>
      <c r="G2497" s="46"/>
      <c r="H2497" s="46"/>
      <c r="I2497" s="46"/>
      <c r="J2497" s="46"/>
      <c r="K2497" s="46"/>
      <c r="L2497" s="46"/>
      <c r="M2497" s="46"/>
      <c r="N2497" s="46"/>
      <c r="O2497" s="46"/>
      <c r="P2497" s="46"/>
      <c r="Q2497" s="46"/>
      <c r="R2497" s="46"/>
      <c r="S2497" s="46"/>
      <c r="T2497" s="46"/>
      <c r="U2497" s="46"/>
      <c r="V2497" s="46"/>
      <c r="W2497" s="46"/>
      <c r="X2497" s="46"/>
    </row>
    <row r="2498" spans="1:24" ht="12.75" x14ac:dyDescent="0.2">
      <c r="A2498" s="45"/>
      <c r="B2498" s="46"/>
      <c r="C2498" s="46"/>
      <c r="D2498" s="46"/>
      <c r="E2498" s="46"/>
      <c r="F2498" s="46"/>
      <c r="G2498" s="46"/>
      <c r="H2498" s="46"/>
      <c r="I2498" s="46"/>
      <c r="J2498" s="46"/>
      <c r="K2498" s="46"/>
      <c r="L2498" s="46"/>
      <c r="M2498" s="46"/>
      <c r="N2498" s="46"/>
      <c r="O2498" s="46"/>
      <c r="P2498" s="46"/>
      <c r="Q2498" s="46"/>
      <c r="R2498" s="46"/>
      <c r="S2498" s="46"/>
      <c r="T2498" s="46"/>
      <c r="U2498" s="46"/>
      <c r="V2498" s="46"/>
      <c r="W2498" s="46"/>
      <c r="X2498" s="46"/>
    </row>
    <row r="2499" spans="1:24" ht="12.75" x14ac:dyDescent="0.2">
      <c r="A2499" s="45"/>
      <c r="B2499" s="46"/>
      <c r="C2499" s="46"/>
      <c r="D2499" s="46"/>
      <c r="E2499" s="46"/>
      <c r="F2499" s="46"/>
      <c r="G2499" s="46"/>
      <c r="H2499" s="46"/>
      <c r="I2499" s="46"/>
      <c r="J2499" s="46"/>
      <c r="K2499" s="46"/>
      <c r="L2499" s="46"/>
      <c r="M2499" s="46"/>
      <c r="N2499" s="46"/>
      <c r="O2499" s="46"/>
      <c r="P2499" s="46"/>
      <c r="Q2499" s="46"/>
      <c r="R2499" s="46"/>
      <c r="S2499" s="46"/>
      <c r="T2499" s="46"/>
      <c r="U2499" s="46"/>
      <c r="V2499" s="46"/>
      <c r="W2499" s="46"/>
      <c r="X2499" s="46"/>
    </row>
    <row r="2500" spans="1:24" ht="12.75" x14ac:dyDescent="0.2">
      <c r="A2500" s="45"/>
      <c r="B2500" s="46"/>
      <c r="C2500" s="46"/>
      <c r="D2500" s="46"/>
      <c r="E2500" s="46"/>
      <c r="F2500" s="46"/>
      <c r="G2500" s="46"/>
      <c r="H2500" s="46"/>
      <c r="I2500" s="46"/>
      <c r="J2500" s="46"/>
      <c r="K2500" s="46"/>
      <c r="L2500" s="46"/>
      <c r="M2500" s="46"/>
      <c r="N2500" s="46"/>
      <c r="O2500" s="46"/>
      <c r="P2500" s="46"/>
      <c r="Q2500" s="46"/>
      <c r="R2500" s="46"/>
      <c r="S2500" s="46"/>
      <c r="T2500" s="46"/>
      <c r="U2500" s="46"/>
      <c r="V2500" s="46"/>
      <c r="W2500" s="46"/>
      <c r="X2500" s="46"/>
    </row>
  </sheetData>
  <autoFilter ref="A2:X2" xr:uid="{7733DFA4-53B5-42BD-8E4C-93D2257DE8E6}"/>
  <sortState xmlns:xlrd2="http://schemas.microsoft.com/office/spreadsheetml/2017/richdata2" ref="A3:X66">
    <sortCondition ref="A3:A66"/>
  </sortState>
  <hyperlinks>
    <hyperlink ref="A1" location="Index!A1" display="Index" xr:uid="{00000000-0004-0000-0300-000000000000}"/>
  </hyperlinks>
  <pageMargins left="0.7" right="0.7" top="0.75" bottom="0.75" header="0.3" footer="0.3"/>
  <pageSetup paperSize="168"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11.42578125" style="14" bestFit="1" customWidth="1"/>
    <col min="2" max="2" width="40.7109375" style="17" customWidth="1"/>
    <col min="3" max="63" width="30.7109375" style="17" customWidth="1"/>
    <col min="64" max="64" width="60.7109375" style="17" customWidth="1"/>
    <col min="65" max="16384" width="9.140625" style="14"/>
  </cols>
  <sheetData>
    <row r="1" spans="1:64" s="15" customFormat="1" x14ac:dyDescent="0.2">
      <c r="A1" s="67" t="s">
        <v>181</v>
      </c>
      <c r="B1" s="16" t="s">
        <v>182</v>
      </c>
      <c r="C1" s="16" t="s">
        <v>183</v>
      </c>
      <c r="D1" s="16" t="s">
        <v>184</v>
      </c>
      <c r="E1" s="16" t="s">
        <v>185</v>
      </c>
      <c r="F1" s="16" t="s">
        <v>186</v>
      </c>
      <c r="G1" s="16" t="s">
        <v>187</v>
      </c>
      <c r="H1" s="16" t="s">
        <v>188</v>
      </c>
      <c r="I1" s="16" t="s">
        <v>189</v>
      </c>
      <c r="J1" s="16" t="s">
        <v>190</v>
      </c>
      <c r="K1" s="16" t="s">
        <v>191</v>
      </c>
      <c r="L1" s="16" t="s">
        <v>192</v>
      </c>
      <c r="M1" s="16" t="s">
        <v>193</v>
      </c>
      <c r="N1" s="16" t="s">
        <v>194</v>
      </c>
      <c r="O1" s="16" t="s">
        <v>195</v>
      </c>
      <c r="P1" s="16" t="s">
        <v>196</v>
      </c>
      <c r="Q1" s="16" t="s">
        <v>197</v>
      </c>
      <c r="R1" s="16" t="s">
        <v>198</v>
      </c>
      <c r="S1" s="16" t="s">
        <v>199</v>
      </c>
      <c r="T1" s="16" t="s">
        <v>200</v>
      </c>
      <c r="U1" s="16" t="s">
        <v>201</v>
      </c>
      <c r="V1" s="16" t="s">
        <v>202</v>
      </c>
      <c r="W1" s="16" t="s">
        <v>203</v>
      </c>
      <c r="X1" s="16" t="s">
        <v>204</v>
      </c>
      <c r="Y1" s="16" t="s">
        <v>205</v>
      </c>
      <c r="Z1" s="16" t="s">
        <v>206</v>
      </c>
      <c r="AA1" s="16" t="s">
        <v>207</v>
      </c>
      <c r="AB1" s="16" t="s">
        <v>208</v>
      </c>
      <c r="AC1" s="16" t="s">
        <v>209</v>
      </c>
      <c r="AD1" s="16" t="s">
        <v>210</v>
      </c>
      <c r="AE1" s="16" t="s">
        <v>211</v>
      </c>
      <c r="AF1" s="16" t="s">
        <v>212</v>
      </c>
      <c r="AG1" s="16" t="s">
        <v>213</v>
      </c>
      <c r="AH1" s="16" t="s">
        <v>214</v>
      </c>
      <c r="AI1" s="16" t="s">
        <v>215</v>
      </c>
      <c r="AJ1" s="16" t="s">
        <v>216</v>
      </c>
      <c r="AK1" s="16" t="s">
        <v>217</v>
      </c>
      <c r="AL1" s="16" t="s">
        <v>218</v>
      </c>
      <c r="AM1" s="16" t="s">
        <v>219</v>
      </c>
      <c r="AN1" s="16" t="s">
        <v>220</v>
      </c>
      <c r="AO1" s="16" t="s">
        <v>221</v>
      </c>
      <c r="AP1" s="16" t="s">
        <v>222</v>
      </c>
      <c r="AQ1" s="16" t="s">
        <v>223</v>
      </c>
      <c r="AR1" s="16" t="s">
        <v>224</v>
      </c>
      <c r="AS1" s="16" t="s">
        <v>225</v>
      </c>
      <c r="AT1" s="16" t="s">
        <v>226</v>
      </c>
      <c r="AU1" s="16" t="s">
        <v>227</v>
      </c>
      <c r="AV1" s="16" t="s">
        <v>228</v>
      </c>
      <c r="AW1" s="16" t="s">
        <v>229</v>
      </c>
      <c r="AX1" s="16" t="s">
        <v>230</v>
      </c>
      <c r="AY1" s="16" t="s">
        <v>231</v>
      </c>
      <c r="AZ1" s="16" t="s">
        <v>232</v>
      </c>
      <c r="BA1" s="16" t="s">
        <v>233</v>
      </c>
      <c r="BB1" s="16" t="s">
        <v>234</v>
      </c>
      <c r="BC1" s="16" t="s">
        <v>235</v>
      </c>
      <c r="BD1" s="16" t="s">
        <v>236</v>
      </c>
      <c r="BE1" s="16" t="s">
        <v>237</v>
      </c>
      <c r="BF1" s="16" t="s">
        <v>238</v>
      </c>
      <c r="BG1" s="16" t="s">
        <v>239</v>
      </c>
      <c r="BH1" s="16" t="s">
        <v>240</v>
      </c>
      <c r="BI1" s="16" t="s">
        <v>241</v>
      </c>
      <c r="BJ1" s="16" t="s">
        <v>242</v>
      </c>
      <c r="BK1" s="16" t="s">
        <v>243</v>
      </c>
      <c r="BL1" s="16" t="s">
        <v>244</v>
      </c>
    </row>
    <row r="2" spans="1:64" s="15" customFormat="1" ht="63.75" x14ac:dyDescent="0.2">
      <c r="A2" s="15" t="s">
        <v>116</v>
      </c>
      <c r="B2" s="80" t="s">
        <v>9727</v>
      </c>
      <c r="C2" s="16" t="s">
        <v>9728</v>
      </c>
      <c r="D2" s="16" t="s">
        <v>9729</v>
      </c>
      <c r="E2" s="16" t="s">
        <v>9730</v>
      </c>
      <c r="F2" s="16" t="s">
        <v>9731</v>
      </c>
      <c r="G2" s="16" t="s">
        <v>9732</v>
      </c>
      <c r="H2" s="16" t="s">
        <v>9733</v>
      </c>
      <c r="I2" s="16" t="s">
        <v>9734</v>
      </c>
      <c r="J2" s="16" t="s">
        <v>9735</v>
      </c>
      <c r="K2" s="16" t="s">
        <v>9736</v>
      </c>
      <c r="L2" s="16" t="s">
        <v>9737</v>
      </c>
      <c r="M2" s="16" t="s">
        <v>9738</v>
      </c>
      <c r="N2" s="16" t="s">
        <v>9739</v>
      </c>
      <c r="O2" s="16" t="s">
        <v>9740</v>
      </c>
      <c r="P2" s="16" t="s">
        <v>9741</v>
      </c>
      <c r="Q2" s="16" t="s">
        <v>9742</v>
      </c>
      <c r="R2" s="16" t="s">
        <v>9743</v>
      </c>
      <c r="S2" s="16" t="s">
        <v>9744</v>
      </c>
      <c r="T2" s="16" t="s">
        <v>9745</v>
      </c>
      <c r="U2" s="16" t="s">
        <v>9746</v>
      </c>
      <c r="V2" s="16" t="s">
        <v>9747</v>
      </c>
      <c r="W2" s="16" t="s">
        <v>9748</v>
      </c>
      <c r="X2" s="16" t="s">
        <v>9749</v>
      </c>
      <c r="Y2" s="80" t="s">
        <v>9750</v>
      </c>
      <c r="Z2" s="80" t="s">
        <v>9751</v>
      </c>
      <c r="AA2" s="80" t="s">
        <v>9752</v>
      </c>
      <c r="AB2" s="80" t="s">
        <v>9753</v>
      </c>
      <c r="AC2" s="80" t="s">
        <v>9754</v>
      </c>
      <c r="AD2" s="80" t="s">
        <v>9755</v>
      </c>
      <c r="AE2" s="80" t="s">
        <v>9756</v>
      </c>
      <c r="AF2" s="80" t="s">
        <v>9757</v>
      </c>
      <c r="AG2" s="80" t="s">
        <v>9758</v>
      </c>
      <c r="AH2" s="80" t="s">
        <v>9759</v>
      </c>
      <c r="AI2" s="80" t="s">
        <v>9760</v>
      </c>
      <c r="AJ2" s="80" t="s">
        <v>9761</v>
      </c>
      <c r="AK2" s="80" t="s">
        <v>9762</v>
      </c>
      <c r="AL2" s="80" t="s">
        <v>9763</v>
      </c>
      <c r="AM2" s="80" t="s">
        <v>9764</v>
      </c>
      <c r="AN2" s="80" t="s">
        <v>9765</v>
      </c>
      <c r="AO2" s="80" t="s">
        <v>9766</v>
      </c>
      <c r="AP2" s="80" t="s">
        <v>9767</v>
      </c>
      <c r="AQ2" s="80" t="s">
        <v>9768</v>
      </c>
      <c r="AR2" s="80" t="s">
        <v>9769</v>
      </c>
      <c r="AS2" s="80" t="s">
        <v>9770</v>
      </c>
      <c r="AT2" s="80" t="s">
        <v>9771</v>
      </c>
      <c r="AU2" s="16" t="s">
        <v>9772</v>
      </c>
      <c r="AV2" s="16" t="s">
        <v>9773</v>
      </c>
      <c r="AW2" s="16" t="s">
        <v>9774</v>
      </c>
      <c r="AX2" s="16" t="s">
        <v>9775</v>
      </c>
      <c r="AY2" s="16" t="s">
        <v>9776</v>
      </c>
      <c r="AZ2" s="16" t="s">
        <v>9777</v>
      </c>
      <c r="BA2" s="16" t="s">
        <v>9778</v>
      </c>
      <c r="BB2" s="16" t="s">
        <v>9779</v>
      </c>
      <c r="BC2" s="16" t="s">
        <v>14034</v>
      </c>
      <c r="BD2" s="16" t="s">
        <v>9780</v>
      </c>
      <c r="BE2" s="16" t="s">
        <v>9781</v>
      </c>
      <c r="BF2" s="16" t="s">
        <v>9782</v>
      </c>
      <c r="BG2" s="16" t="s">
        <v>9783</v>
      </c>
      <c r="BH2" s="80" t="s">
        <v>9784</v>
      </c>
      <c r="BI2" s="80" t="s">
        <v>9785</v>
      </c>
      <c r="BJ2" s="80" t="s">
        <v>9786</v>
      </c>
      <c r="BK2" s="16" t="s">
        <v>9787</v>
      </c>
      <c r="BL2" s="80" t="s">
        <v>9788</v>
      </c>
    </row>
    <row r="3" spans="1:64" ht="25.5" x14ac:dyDescent="0.2">
      <c r="A3" s="14" t="s">
        <v>152</v>
      </c>
      <c r="B3" s="17" t="s">
        <v>273</v>
      </c>
      <c r="C3" s="17" t="s">
        <v>246</v>
      </c>
      <c r="D3" s="17" t="s">
        <v>245</v>
      </c>
      <c r="E3" s="17" t="s">
        <v>246</v>
      </c>
      <c r="F3" s="17" t="s">
        <v>245</v>
      </c>
      <c r="G3" s="17" t="s">
        <v>245</v>
      </c>
      <c r="H3" s="17" t="s">
        <v>245</v>
      </c>
      <c r="I3" s="17" t="s">
        <v>245</v>
      </c>
      <c r="J3" s="17" t="s">
        <v>245</v>
      </c>
      <c r="K3" s="17" t="s">
        <v>246</v>
      </c>
      <c r="L3" s="17" t="s">
        <v>246</v>
      </c>
      <c r="M3" s="17" t="s">
        <v>246</v>
      </c>
      <c r="N3" s="17" t="s">
        <v>245</v>
      </c>
      <c r="O3" s="17" t="s">
        <v>245</v>
      </c>
      <c r="P3" s="17" t="s">
        <v>246</v>
      </c>
      <c r="Q3" s="17" t="s">
        <v>245</v>
      </c>
      <c r="R3" s="17" t="s">
        <v>246</v>
      </c>
      <c r="S3" s="17" t="s">
        <v>247</v>
      </c>
      <c r="T3" s="17" t="s">
        <v>246</v>
      </c>
      <c r="U3" s="17" t="s">
        <v>246</v>
      </c>
      <c r="V3" s="17" t="s">
        <v>246</v>
      </c>
      <c r="W3" s="17" t="s">
        <v>246</v>
      </c>
      <c r="X3" s="17" t="s">
        <v>246</v>
      </c>
      <c r="Z3" s="17" t="s">
        <v>251</v>
      </c>
      <c r="AB3" s="17" t="s">
        <v>256</v>
      </c>
      <c r="AC3" s="17" t="s">
        <v>256</v>
      </c>
      <c r="AD3" s="17" t="s">
        <v>256</v>
      </c>
      <c r="AE3" s="17" t="s">
        <v>251</v>
      </c>
      <c r="AF3" s="17" t="s">
        <v>249</v>
      </c>
      <c r="AH3" s="17" t="s">
        <v>251</v>
      </c>
      <c r="AJ3" s="17" t="s">
        <v>251</v>
      </c>
      <c r="AM3" s="17" t="s">
        <v>251</v>
      </c>
      <c r="AN3" s="17" t="s">
        <v>256</v>
      </c>
      <c r="AU3" s="17" t="s">
        <v>25</v>
      </c>
      <c r="AV3" s="17" t="s">
        <v>25</v>
      </c>
      <c r="AW3" s="17" t="s">
        <v>28</v>
      </c>
      <c r="AX3" s="17" t="s">
        <v>28</v>
      </c>
      <c r="AY3" s="17" t="s">
        <v>28</v>
      </c>
      <c r="AZ3" s="17" t="s">
        <v>28</v>
      </c>
      <c r="BA3" s="17" t="s">
        <v>25</v>
      </c>
      <c r="BB3" s="17" t="s">
        <v>25</v>
      </c>
      <c r="BC3" s="17" t="s">
        <v>25</v>
      </c>
      <c r="BD3" s="17" t="s">
        <v>28</v>
      </c>
      <c r="BE3" s="17" t="s">
        <v>25</v>
      </c>
      <c r="BF3" s="17" t="s">
        <v>25</v>
      </c>
      <c r="BH3" s="17" t="s">
        <v>28</v>
      </c>
      <c r="BI3" s="17" t="s">
        <v>28</v>
      </c>
      <c r="BJ3" s="17" t="s">
        <v>28</v>
      </c>
      <c r="BK3" s="17" t="s">
        <v>28</v>
      </c>
    </row>
    <row r="4" spans="1:64" ht="51" x14ac:dyDescent="0.2">
      <c r="A4" s="14" t="s">
        <v>133</v>
      </c>
      <c r="B4" s="17" t="s">
        <v>13313</v>
      </c>
      <c r="C4" s="17" t="s">
        <v>246</v>
      </c>
      <c r="D4" s="17" t="s">
        <v>268</v>
      </c>
      <c r="E4" s="17" t="s">
        <v>268</v>
      </c>
      <c r="F4" s="17" t="s">
        <v>245</v>
      </c>
      <c r="G4" s="17" t="s">
        <v>245</v>
      </c>
      <c r="H4" s="17" t="s">
        <v>245</v>
      </c>
      <c r="I4" s="17" t="s">
        <v>245</v>
      </c>
      <c r="J4" s="17" t="s">
        <v>245</v>
      </c>
      <c r="K4" s="17" t="s">
        <v>246</v>
      </c>
      <c r="L4" s="17" t="s">
        <v>246</v>
      </c>
      <c r="M4" s="17" t="s">
        <v>245</v>
      </c>
      <c r="N4" s="17" t="s">
        <v>245</v>
      </c>
      <c r="O4" s="17" t="s">
        <v>246</v>
      </c>
      <c r="P4" s="17" t="s">
        <v>246</v>
      </c>
      <c r="Q4" s="17" t="s">
        <v>246</v>
      </c>
      <c r="R4" s="17" t="s">
        <v>247</v>
      </c>
      <c r="S4" s="17" t="s">
        <v>246</v>
      </c>
      <c r="T4" s="17" t="s">
        <v>245</v>
      </c>
      <c r="U4" s="17" t="s">
        <v>246</v>
      </c>
      <c r="V4" s="17" t="s">
        <v>246</v>
      </c>
      <c r="W4" s="17" t="s">
        <v>245</v>
      </c>
      <c r="X4" s="17" t="s">
        <v>246</v>
      </c>
      <c r="AB4" s="17" t="s">
        <v>252</v>
      </c>
      <c r="AC4" s="17" t="s">
        <v>252</v>
      </c>
      <c r="AD4" s="17" t="s">
        <v>252</v>
      </c>
      <c r="AE4" s="17" t="s">
        <v>251</v>
      </c>
      <c r="AF4" s="17" t="s">
        <v>251</v>
      </c>
      <c r="AH4" s="17" t="s">
        <v>249</v>
      </c>
      <c r="AI4" s="17" t="s">
        <v>249</v>
      </c>
      <c r="AJ4" s="17" t="s">
        <v>249</v>
      </c>
      <c r="AL4" s="17" t="s">
        <v>250</v>
      </c>
      <c r="AM4" s="17" t="s">
        <v>248</v>
      </c>
      <c r="AP4" s="17" t="s">
        <v>248</v>
      </c>
      <c r="AS4" s="17" t="s">
        <v>252</v>
      </c>
      <c r="AU4" s="17" t="s">
        <v>25</v>
      </c>
      <c r="AV4" s="17" t="s">
        <v>25</v>
      </c>
      <c r="AW4" s="17" t="s">
        <v>28</v>
      </c>
      <c r="AX4" s="17" t="s">
        <v>28</v>
      </c>
      <c r="AY4" s="17" t="s">
        <v>28</v>
      </c>
      <c r="AZ4" s="17" t="s">
        <v>28</v>
      </c>
      <c r="BA4" s="17" t="s">
        <v>265</v>
      </c>
      <c r="BC4" s="17" t="s">
        <v>25</v>
      </c>
      <c r="BD4" s="17" t="s">
        <v>25</v>
      </c>
      <c r="BE4" s="17" t="s">
        <v>28</v>
      </c>
      <c r="BH4" s="17" t="s">
        <v>28</v>
      </c>
      <c r="BI4" s="17" t="s">
        <v>28</v>
      </c>
      <c r="BJ4" s="17" t="s">
        <v>28</v>
      </c>
      <c r="BK4" s="17" t="s">
        <v>28</v>
      </c>
      <c r="BL4" s="17" t="s">
        <v>283</v>
      </c>
    </row>
    <row r="5" spans="1:64" ht="51" x14ac:dyDescent="0.2">
      <c r="A5" s="14" t="s">
        <v>156</v>
      </c>
      <c r="B5" s="17" t="s">
        <v>271</v>
      </c>
      <c r="C5" s="17" t="s">
        <v>246</v>
      </c>
      <c r="D5" s="17" t="s">
        <v>245</v>
      </c>
      <c r="E5" s="17" t="s">
        <v>245</v>
      </c>
      <c r="F5" s="17" t="s">
        <v>245</v>
      </c>
      <c r="G5" s="17" t="s">
        <v>245</v>
      </c>
      <c r="H5" s="17" t="s">
        <v>245</v>
      </c>
      <c r="I5" s="17" t="s">
        <v>245</v>
      </c>
      <c r="J5" s="17" t="s">
        <v>245</v>
      </c>
      <c r="K5" s="17" t="s">
        <v>246</v>
      </c>
      <c r="L5" s="17" t="s">
        <v>246</v>
      </c>
      <c r="M5" s="17" t="s">
        <v>246</v>
      </c>
      <c r="N5" s="17" t="s">
        <v>245</v>
      </c>
      <c r="O5" s="17" t="s">
        <v>246</v>
      </c>
      <c r="P5" s="17" t="s">
        <v>245</v>
      </c>
      <c r="Q5" s="17" t="s">
        <v>246</v>
      </c>
      <c r="R5" s="17" t="s">
        <v>246</v>
      </c>
      <c r="S5" s="17" t="s">
        <v>246</v>
      </c>
      <c r="T5" s="17" t="s">
        <v>246</v>
      </c>
      <c r="U5" s="17" t="s">
        <v>246</v>
      </c>
      <c r="V5" s="17" t="s">
        <v>246</v>
      </c>
      <c r="W5" s="17" t="s">
        <v>246</v>
      </c>
      <c r="X5" s="17" t="s">
        <v>245</v>
      </c>
      <c r="Z5" s="17" t="s">
        <v>256</v>
      </c>
      <c r="AA5" s="17" t="s">
        <v>256</v>
      </c>
      <c r="AB5" s="17" t="s">
        <v>248</v>
      </c>
      <c r="AC5" s="17" t="s">
        <v>248</v>
      </c>
      <c r="AD5" s="17" t="s">
        <v>248</v>
      </c>
      <c r="AE5" s="17" t="s">
        <v>251</v>
      </c>
      <c r="AF5" s="17" t="s">
        <v>249</v>
      </c>
      <c r="AG5" s="17" t="s">
        <v>249</v>
      </c>
      <c r="AI5" s="17" t="s">
        <v>249</v>
      </c>
      <c r="AJ5" s="17" t="s">
        <v>248</v>
      </c>
      <c r="AK5" s="17" t="s">
        <v>256</v>
      </c>
      <c r="AL5" s="17" t="s">
        <v>251</v>
      </c>
      <c r="AT5" s="17" t="s">
        <v>252</v>
      </c>
      <c r="AU5" s="17" t="s">
        <v>265</v>
      </c>
      <c r="AV5" s="17" t="s">
        <v>265</v>
      </c>
      <c r="AW5" s="17" t="s">
        <v>28</v>
      </c>
      <c r="AX5" s="17" t="s">
        <v>28</v>
      </c>
      <c r="AY5" s="17" t="s">
        <v>28</v>
      </c>
      <c r="AZ5" s="17" t="s">
        <v>25</v>
      </c>
      <c r="BA5" s="17" t="s">
        <v>28</v>
      </c>
      <c r="BB5" s="17" t="s">
        <v>28</v>
      </c>
      <c r="BC5" s="17" t="s">
        <v>25</v>
      </c>
      <c r="BD5" s="17" t="s">
        <v>28</v>
      </c>
      <c r="BE5" s="17" t="s">
        <v>28</v>
      </c>
      <c r="BH5" s="17" t="s">
        <v>28</v>
      </c>
      <c r="BI5" s="17" t="s">
        <v>28</v>
      </c>
      <c r="BJ5" s="17" t="s">
        <v>28</v>
      </c>
      <c r="BK5" s="17" t="s">
        <v>28</v>
      </c>
      <c r="BL5" s="17" t="s">
        <v>309</v>
      </c>
    </row>
    <row r="6" spans="1:64" ht="63.75" x14ac:dyDescent="0.2">
      <c r="A6" s="14" t="s">
        <v>179</v>
      </c>
      <c r="B6" s="17" t="s">
        <v>13315</v>
      </c>
      <c r="C6" s="17" t="s">
        <v>246</v>
      </c>
      <c r="D6" s="17" t="s">
        <v>245</v>
      </c>
      <c r="E6" s="17" t="s">
        <v>245</v>
      </c>
      <c r="F6" s="17" t="s">
        <v>245</v>
      </c>
      <c r="G6" s="17" t="s">
        <v>245</v>
      </c>
      <c r="H6" s="17" t="s">
        <v>245</v>
      </c>
      <c r="I6" s="17" t="s">
        <v>245</v>
      </c>
      <c r="J6" s="17" t="s">
        <v>245</v>
      </c>
      <c r="K6" s="17" t="s">
        <v>245</v>
      </c>
      <c r="L6" s="17" t="s">
        <v>245</v>
      </c>
      <c r="M6" s="17" t="s">
        <v>246</v>
      </c>
      <c r="N6" s="17" t="s">
        <v>245</v>
      </c>
      <c r="O6" s="17" t="s">
        <v>247</v>
      </c>
      <c r="P6" s="17" t="s">
        <v>268</v>
      </c>
      <c r="Q6" s="17" t="s">
        <v>268</v>
      </c>
      <c r="R6" s="17" t="s">
        <v>268</v>
      </c>
      <c r="S6" s="17" t="s">
        <v>246</v>
      </c>
      <c r="T6" s="17" t="s">
        <v>246</v>
      </c>
      <c r="U6" s="17" t="s">
        <v>246</v>
      </c>
      <c r="V6" s="17" t="s">
        <v>246</v>
      </c>
      <c r="W6" s="17" t="s">
        <v>246</v>
      </c>
      <c r="X6" s="17" t="s">
        <v>245</v>
      </c>
      <c r="Z6" s="17" t="s">
        <v>251</v>
      </c>
      <c r="AA6" s="17" t="s">
        <v>248</v>
      </c>
      <c r="AB6" s="17" t="s">
        <v>248</v>
      </c>
      <c r="AC6" s="17" t="s">
        <v>252</v>
      </c>
      <c r="AD6" s="17" t="s">
        <v>252</v>
      </c>
      <c r="AE6" s="17" t="s">
        <v>251</v>
      </c>
      <c r="AF6" s="17" t="s">
        <v>250</v>
      </c>
      <c r="AJ6" s="17" t="s">
        <v>249</v>
      </c>
      <c r="AK6" s="17" t="s">
        <v>251</v>
      </c>
      <c r="AL6" s="17" t="s">
        <v>250</v>
      </c>
      <c r="AM6" s="17" t="s">
        <v>249</v>
      </c>
      <c r="AN6" s="17" t="s">
        <v>256</v>
      </c>
      <c r="AT6" s="17" t="s">
        <v>252</v>
      </c>
      <c r="AU6" s="17" t="s">
        <v>25</v>
      </c>
      <c r="AV6" s="17" t="s">
        <v>28</v>
      </c>
      <c r="AW6" s="17" t="s">
        <v>28</v>
      </c>
      <c r="AX6" s="17" t="s">
        <v>28</v>
      </c>
      <c r="AY6" s="17" t="s">
        <v>28</v>
      </c>
      <c r="AZ6" s="17" t="s">
        <v>25</v>
      </c>
      <c r="BA6" s="17" t="s">
        <v>25</v>
      </c>
      <c r="BB6" s="17" t="s">
        <v>28</v>
      </c>
      <c r="BC6" s="17" t="s">
        <v>25</v>
      </c>
      <c r="BD6" s="17" t="s">
        <v>25</v>
      </c>
      <c r="BE6" s="17" t="s">
        <v>25</v>
      </c>
      <c r="BH6" s="17" t="s">
        <v>28</v>
      </c>
      <c r="BI6" s="17" t="s">
        <v>28</v>
      </c>
      <c r="BJ6" s="17" t="s">
        <v>28</v>
      </c>
      <c r="BK6" s="17" t="s">
        <v>259</v>
      </c>
      <c r="BL6" s="17" t="s">
        <v>332</v>
      </c>
    </row>
    <row r="7" spans="1:64" ht="38.25" x14ac:dyDescent="0.2">
      <c r="A7" s="14" t="s">
        <v>122</v>
      </c>
      <c r="B7" s="17" t="s">
        <v>13311</v>
      </c>
      <c r="C7" s="17" t="s">
        <v>245</v>
      </c>
      <c r="D7" s="17" t="s">
        <v>245</v>
      </c>
      <c r="E7" s="17" t="s">
        <v>246</v>
      </c>
      <c r="F7" s="17" t="s">
        <v>246</v>
      </c>
      <c r="G7" s="17" t="s">
        <v>245</v>
      </c>
      <c r="H7" s="17" t="s">
        <v>246</v>
      </c>
      <c r="I7" s="17" t="s">
        <v>246</v>
      </c>
      <c r="J7" s="17" t="s">
        <v>245</v>
      </c>
      <c r="K7" s="17" t="s">
        <v>246</v>
      </c>
      <c r="L7" s="17" t="s">
        <v>246</v>
      </c>
      <c r="M7" s="17" t="s">
        <v>246</v>
      </c>
      <c r="N7" s="17" t="s">
        <v>245</v>
      </c>
      <c r="O7" s="17" t="s">
        <v>245</v>
      </c>
      <c r="P7" s="17" t="s">
        <v>246</v>
      </c>
      <c r="Q7" s="17" t="s">
        <v>246</v>
      </c>
      <c r="R7" s="17" t="s">
        <v>246</v>
      </c>
      <c r="S7" s="17" t="s">
        <v>246</v>
      </c>
      <c r="T7" s="17" t="s">
        <v>246</v>
      </c>
      <c r="U7" s="17" t="s">
        <v>246</v>
      </c>
      <c r="V7" s="17" t="s">
        <v>246</v>
      </c>
      <c r="W7" s="17" t="s">
        <v>246</v>
      </c>
      <c r="X7" s="17" t="s">
        <v>246</v>
      </c>
      <c r="Z7" s="17" t="s">
        <v>251</v>
      </c>
      <c r="AC7" s="17" t="s">
        <v>251</v>
      </c>
      <c r="AE7" s="17" t="s">
        <v>251</v>
      </c>
      <c r="AF7" s="17" t="s">
        <v>251</v>
      </c>
      <c r="AI7" s="17" t="s">
        <v>251</v>
      </c>
      <c r="AU7" s="17" t="s">
        <v>25</v>
      </c>
      <c r="AV7" s="17" t="s">
        <v>25</v>
      </c>
      <c r="AW7" s="17" t="s">
        <v>25</v>
      </c>
      <c r="AX7" s="17" t="s">
        <v>25</v>
      </c>
      <c r="AY7" s="17" t="s">
        <v>25</v>
      </c>
      <c r="AZ7" s="17" t="s">
        <v>25</v>
      </c>
      <c r="BA7" s="17" t="s">
        <v>25</v>
      </c>
      <c r="BB7" s="17" t="s">
        <v>25</v>
      </c>
      <c r="BC7" s="17" t="s">
        <v>25</v>
      </c>
      <c r="BD7" s="17" t="s">
        <v>25</v>
      </c>
      <c r="BE7" s="17" t="s">
        <v>25</v>
      </c>
      <c r="BF7" s="17" t="s">
        <v>253</v>
      </c>
      <c r="BH7" s="17" t="s">
        <v>262</v>
      </c>
      <c r="BJ7" s="17" t="s">
        <v>28</v>
      </c>
      <c r="BK7" s="17" t="s">
        <v>28</v>
      </c>
      <c r="BL7" s="17" t="s">
        <v>264</v>
      </c>
    </row>
    <row r="8" spans="1:64" ht="63.75" x14ac:dyDescent="0.2">
      <c r="A8" s="14" t="s">
        <v>160</v>
      </c>
      <c r="B8" s="17" t="s">
        <v>13315</v>
      </c>
      <c r="C8" s="17" t="s">
        <v>268</v>
      </c>
      <c r="D8" s="17" t="s">
        <v>268</v>
      </c>
      <c r="E8" s="17" t="s">
        <v>246</v>
      </c>
      <c r="F8" s="17" t="s">
        <v>245</v>
      </c>
      <c r="G8" s="17" t="s">
        <v>245</v>
      </c>
      <c r="H8" s="17" t="s">
        <v>246</v>
      </c>
      <c r="I8" s="17" t="s">
        <v>247</v>
      </c>
      <c r="J8" s="17" t="s">
        <v>245</v>
      </c>
      <c r="K8" s="17" t="s">
        <v>245</v>
      </c>
      <c r="L8" s="17" t="s">
        <v>246</v>
      </c>
      <c r="M8" s="17" t="s">
        <v>246</v>
      </c>
      <c r="N8" s="17" t="s">
        <v>245</v>
      </c>
      <c r="O8" s="17" t="s">
        <v>246</v>
      </c>
      <c r="P8" s="17" t="s">
        <v>246</v>
      </c>
      <c r="Q8" s="17" t="s">
        <v>247</v>
      </c>
      <c r="R8" s="17" t="s">
        <v>247</v>
      </c>
      <c r="S8" s="17" t="s">
        <v>246</v>
      </c>
      <c r="T8" s="17" t="s">
        <v>246</v>
      </c>
      <c r="U8" s="17" t="s">
        <v>246</v>
      </c>
      <c r="V8" s="17" t="s">
        <v>246</v>
      </c>
      <c r="W8" s="17" t="s">
        <v>246</v>
      </c>
      <c r="X8" s="17" t="s">
        <v>246</v>
      </c>
      <c r="AB8" s="17" t="s">
        <v>248</v>
      </c>
      <c r="AC8" s="17" t="s">
        <v>251</v>
      </c>
      <c r="AF8" s="17" t="s">
        <v>248</v>
      </c>
      <c r="AI8" s="17" t="s">
        <v>248</v>
      </c>
      <c r="AJ8" s="17" t="s">
        <v>250</v>
      </c>
      <c r="AM8" s="17" t="s">
        <v>250</v>
      </c>
      <c r="AN8" s="17" t="s">
        <v>249</v>
      </c>
      <c r="AU8" s="17" t="s">
        <v>25</v>
      </c>
      <c r="AV8" s="17" t="s">
        <v>25</v>
      </c>
      <c r="AW8" s="17" t="s">
        <v>28</v>
      </c>
      <c r="AX8" s="17" t="s">
        <v>28</v>
      </c>
      <c r="AY8" s="17" t="s">
        <v>28</v>
      </c>
      <c r="AZ8" s="17" t="s">
        <v>25</v>
      </c>
      <c r="BA8" s="17" t="s">
        <v>25</v>
      </c>
      <c r="BB8" s="17" t="s">
        <v>265</v>
      </c>
      <c r="BC8" s="17" t="s">
        <v>25</v>
      </c>
      <c r="BD8" s="17" t="s">
        <v>25</v>
      </c>
      <c r="BE8" s="17" t="s">
        <v>28</v>
      </c>
      <c r="BF8" s="17" t="s">
        <v>25</v>
      </c>
      <c r="BH8" s="17" t="s">
        <v>28</v>
      </c>
      <c r="BI8" s="17" t="s">
        <v>28</v>
      </c>
      <c r="BJ8" s="17" t="s">
        <v>28</v>
      </c>
      <c r="BK8" s="17" t="s">
        <v>28</v>
      </c>
      <c r="BL8" s="17" t="s">
        <v>313</v>
      </c>
    </row>
    <row r="9" spans="1:64" ht="51" x14ac:dyDescent="0.2">
      <c r="A9" s="14" t="s">
        <v>154</v>
      </c>
      <c r="B9" s="17" t="s">
        <v>13309</v>
      </c>
      <c r="C9" s="17" t="s">
        <v>246</v>
      </c>
      <c r="D9" s="17" t="s">
        <v>245</v>
      </c>
      <c r="E9" s="17" t="s">
        <v>246</v>
      </c>
      <c r="F9" s="17" t="s">
        <v>245</v>
      </c>
      <c r="G9" s="17" t="s">
        <v>245</v>
      </c>
      <c r="H9" s="17" t="s">
        <v>245</v>
      </c>
      <c r="I9" s="17" t="s">
        <v>245</v>
      </c>
      <c r="J9" s="17" t="s">
        <v>245</v>
      </c>
      <c r="K9" s="17" t="s">
        <v>245</v>
      </c>
      <c r="L9" s="17" t="s">
        <v>246</v>
      </c>
      <c r="M9" s="17" t="s">
        <v>246</v>
      </c>
      <c r="N9" s="17" t="s">
        <v>245</v>
      </c>
      <c r="O9" s="17" t="s">
        <v>245</v>
      </c>
      <c r="P9" s="17" t="s">
        <v>246</v>
      </c>
      <c r="Q9" s="17" t="s">
        <v>246</v>
      </c>
      <c r="R9" s="17" t="s">
        <v>246</v>
      </c>
      <c r="S9" s="17" t="s">
        <v>246</v>
      </c>
      <c r="T9" s="17" t="s">
        <v>246</v>
      </c>
      <c r="U9" s="17" t="s">
        <v>246</v>
      </c>
      <c r="V9" s="17" t="s">
        <v>246</v>
      </c>
      <c r="W9" s="17" t="s">
        <v>246</v>
      </c>
      <c r="X9" s="17" t="s">
        <v>245</v>
      </c>
      <c r="Z9" s="17" t="s">
        <v>256</v>
      </c>
      <c r="AB9" s="17" t="s">
        <v>252</v>
      </c>
      <c r="AC9" s="17" t="s">
        <v>252</v>
      </c>
      <c r="AD9" s="17" t="s">
        <v>252</v>
      </c>
      <c r="AE9" s="17" t="s">
        <v>251</v>
      </c>
      <c r="AF9" s="17" t="s">
        <v>248</v>
      </c>
      <c r="AG9" s="17" t="s">
        <v>248</v>
      </c>
      <c r="AH9" s="17" t="s">
        <v>251</v>
      </c>
      <c r="AI9" s="17" t="s">
        <v>248</v>
      </c>
      <c r="AJ9" s="17" t="s">
        <v>248</v>
      </c>
      <c r="AK9" s="17" t="s">
        <v>251</v>
      </c>
      <c r="AM9" s="17" t="s">
        <v>251</v>
      </c>
      <c r="AN9" s="17" t="s">
        <v>249</v>
      </c>
      <c r="AT9" s="17" t="s">
        <v>252</v>
      </c>
      <c r="AU9" s="17" t="s">
        <v>25</v>
      </c>
      <c r="AV9" s="17" t="s">
        <v>25</v>
      </c>
      <c r="AW9" s="17" t="s">
        <v>25</v>
      </c>
      <c r="AX9" s="17" t="s">
        <v>28</v>
      </c>
      <c r="AY9" s="17" t="s">
        <v>28</v>
      </c>
      <c r="AZ9" s="17" t="s">
        <v>28</v>
      </c>
      <c r="BA9" s="17" t="s">
        <v>25</v>
      </c>
      <c r="BB9" s="17" t="s">
        <v>28</v>
      </c>
      <c r="BC9" s="17" t="s">
        <v>28</v>
      </c>
      <c r="BD9" s="17" t="s">
        <v>25</v>
      </c>
      <c r="BE9" s="17" t="s">
        <v>28</v>
      </c>
      <c r="BF9" s="17" t="s">
        <v>253</v>
      </c>
      <c r="BH9" s="17" t="s">
        <v>28</v>
      </c>
      <c r="BI9" s="17" t="s">
        <v>28</v>
      </c>
      <c r="BJ9" s="17" t="s">
        <v>28</v>
      </c>
      <c r="BK9" s="17" t="s">
        <v>28</v>
      </c>
      <c r="BL9" s="17" t="s">
        <v>307</v>
      </c>
    </row>
    <row r="10" spans="1:64" ht="25.5" x14ac:dyDescent="0.2">
      <c r="A10" s="14" t="s">
        <v>170</v>
      </c>
      <c r="B10" s="17" t="s">
        <v>316</v>
      </c>
      <c r="F10" s="17" t="s">
        <v>245</v>
      </c>
      <c r="I10" s="17" t="s">
        <v>246</v>
      </c>
      <c r="J10" s="17" t="s">
        <v>245</v>
      </c>
      <c r="K10" s="17" t="s">
        <v>246</v>
      </c>
      <c r="L10" s="17" t="s">
        <v>246</v>
      </c>
      <c r="M10" s="17" t="s">
        <v>246</v>
      </c>
      <c r="N10" s="17" t="s">
        <v>245</v>
      </c>
      <c r="O10" s="17" t="s">
        <v>246</v>
      </c>
      <c r="P10" s="17" t="s">
        <v>246</v>
      </c>
      <c r="Q10" s="17" t="s">
        <v>246</v>
      </c>
      <c r="R10" s="17" t="s">
        <v>246</v>
      </c>
      <c r="X10" s="17" t="s">
        <v>245</v>
      </c>
      <c r="AB10" s="17" t="s">
        <v>252</v>
      </c>
      <c r="AC10" s="17" t="s">
        <v>256</v>
      </c>
      <c r="AT10" s="17" t="s">
        <v>248</v>
      </c>
      <c r="BB10" s="17" t="s">
        <v>25</v>
      </c>
      <c r="BH10" s="17" t="s">
        <v>28</v>
      </c>
      <c r="BI10" s="17" t="s">
        <v>28</v>
      </c>
      <c r="BL10" s="17" t="s">
        <v>324</v>
      </c>
    </row>
    <row r="11" spans="1:64" ht="63.75" x14ac:dyDescent="0.2">
      <c r="A11" s="14" t="s">
        <v>176</v>
      </c>
      <c r="B11" s="17" t="s">
        <v>13315</v>
      </c>
      <c r="C11" s="17" t="s">
        <v>245</v>
      </c>
      <c r="D11" s="17" t="s">
        <v>245</v>
      </c>
      <c r="E11" s="17" t="s">
        <v>245</v>
      </c>
      <c r="F11" s="17" t="s">
        <v>245</v>
      </c>
      <c r="G11" s="17" t="s">
        <v>245</v>
      </c>
      <c r="H11" s="17" t="s">
        <v>245</v>
      </c>
      <c r="I11" s="17" t="s">
        <v>245</v>
      </c>
      <c r="J11" s="17" t="s">
        <v>245</v>
      </c>
      <c r="K11" s="17" t="s">
        <v>245</v>
      </c>
      <c r="L11" s="17" t="s">
        <v>245</v>
      </c>
      <c r="M11" s="17" t="s">
        <v>245</v>
      </c>
      <c r="N11" s="17" t="s">
        <v>245</v>
      </c>
      <c r="O11" s="17" t="s">
        <v>245</v>
      </c>
      <c r="P11" s="17" t="s">
        <v>246</v>
      </c>
      <c r="Q11" s="17" t="s">
        <v>245</v>
      </c>
      <c r="R11" s="17" t="s">
        <v>245</v>
      </c>
      <c r="S11" s="17" t="s">
        <v>246</v>
      </c>
      <c r="T11" s="17" t="s">
        <v>246</v>
      </c>
      <c r="U11" s="17" t="s">
        <v>246</v>
      </c>
      <c r="V11" s="17" t="s">
        <v>246</v>
      </c>
      <c r="W11" s="17" t="s">
        <v>246</v>
      </c>
      <c r="X11" s="17" t="s">
        <v>246</v>
      </c>
      <c r="AE11" s="17" t="s">
        <v>251</v>
      </c>
      <c r="AF11" s="17" t="s">
        <v>248</v>
      </c>
      <c r="AH11" s="17" t="s">
        <v>250</v>
      </c>
      <c r="AI11" s="17" t="s">
        <v>249</v>
      </c>
      <c r="AJ11" s="17" t="s">
        <v>251</v>
      </c>
      <c r="AK11" s="17" t="s">
        <v>251</v>
      </c>
      <c r="AL11" s="17" t="s">
        <v>251</v>
      </c>
      <c r="AM11" s="17" t="s">
        <v>251</v>
      </c>
      <c r="AN11" s="17" t="s">
        <v>256</v>
      </c>
      <c r="AU11" s="17" t="s">
        <v>28</v>
      </c>
      <c r="AV11" s="17" t="s">
        <v>28</v>
      </c>
      <c r="AW11" s="17" t="s">
        <v>28</v>
      </c>
      <c r="AX11" s="17" t="s">
        <v>28</v>
      </c>
      <c r="AY11" s="17" t="s">
        <v>28</v>
      </c>
      <c r="AZ11" s="17" t="s">
        <v>28</v>
      </c>
      <c r="BA11" s="17" t="s">
        <v>28</v>
      </c>
      <c r="BB11" s="17" t="s">
        <v>28</v>
      </c>
      <c r="BC11" s="17" t="s">
        <v>28</v>
      </c>
      <c r="BD11" s="17" t="s">
        <v>28</v>
      </c>
      <c r="BE11" s="17" t="s">
        <v>28</v>
      </c>
      <c r="BF11" s="17" t="s">
        <v>253</v>
      </c>
      <c r="BH11" s="17" t="s">
        <v>28</v>
      </c>
      <c r="BI11" s="17" t="s">
        <v>28</v>
      </c>
      <c r="BJ11" s="17" t="s">
        <v>28</v>
      </c>
      <c r="BK11" s="17" t="s">
        <v>28</v>
      </c>
      <c r="BL11" s="17" t="s">
        <v>329</v>
      </c>
    </row>
    <row r="12" spans="1:64" ht="51" x14ac:dyDescent="0.2">
      <c r="A12" s="14" t="s">
        <v>175</v>
      </c>
      <c r="B12" s="17" t="s">
        <v>13309</v>
      </c>
      <c r="C12" s="17" t="s">
        <v>245</v>
      </c>
      <c r="D12" s="17" t="s">
        <v>245</v>
      </c>
      <c r="E12" s="17" t="s">
        <v>246</v>
      </c>
      <c r="F12" s="17" t="s">
        <v>245</v>
      </c>
      <c r="G12" s="17" t="s">
        <v>245</v>
      </c>
      <c r="H12" s="17" t="s">
        <v>245</v>
      </c>
      <c r="I12" s="17" t="s">
        <v>245</v>
      </c>
      <c r="J12" s="17" t="s">
        <v>245</v>
      </c>
      <c r="K12" s="17" t="s">
        <v>246</v>
      </c>
      <c r="L12" s="17" t="s">
        <v>246</v>
      </c>
      <c r="M12" s="17" t="s">
        <v>246</v>
      </c>
      <c r="N12" s="17" t="s">
        <v>268</v>
      </c>
      <c r="O12" s="17" t="s">
        <v>246</v>
      </c>
      <c r="P12" s="17" t="s">
        <v>246</v>
      </c>
      <c r="Q12" s="17" t="s">
        <v>246</v>
      </c>
      <c r="R12" s="17" t="s">
        <v>247</v>
      </c>
      <c r="S12" s="17" t="s">
        <v>246</v>
      </c>
      <c r="T12" s="17" t="s">
        <v>246</v>
      </c>
      <c r="U12" s="17" t="s">
        <v>246</v>
      </c>
      <c r="V12" s="17" t="s">
        <v>246</v>
      </c>
      <c r="W12" s="17" t="s">
        <v>246</v>
      </c>
      <c r="X12" s="17" t="s">
        <v>245</v>
      </c>
      <c r="Y12" s="17" t="s">
        <v>256</v>
      </c>
      <c r="Z12" s="17" t="s">
        <v>251</v>
      </c>
      <c r="AB12" s="17" t="s">
        <v>251</v>
      </c>
      <c r="AC12" s="17" t="s">
        <v>251</v>
      </c>
      <c r="AE12" s="17" t="s">
        <v>251</v>
      </c>
      <c r="AF12" s="17" t="s">
        <v>249</v>
      </c>
      <c r="AH12" s="17" t="s">
        <v>251</v>
      </c>
      <c r="AJ12" s="17" t="s">
        <v>249</v>
      </c>
      <c r="AK12" s="17" t="s">
        <v>251</v>
      </c>
      <c r="AM12" s="17" t="s">
        <v>251</v>
      </c>
      <c r="AN12" s="17" t="s">
        <v>256</v>
      </c>
      <c r="AT12" s="17" t="s">
        <v>248</v>
      </c>
      <c r="AU12" s="17" t="s">
        <v>25</v>
      </c>
      <c r="AV12" s="17" t="s">
        <v>25</v>
      </c>
      <c r="AW12" s="17" t="s">
        <v>28</v>
      </c>
      <c r="AX12" s="17" t="s">
        <v>28</v>
      </c>
      <c r="AY12" s="17" t="s">
        <v>28</v>
      </c>
      <c r="AZ12" s="17" t="s">
        <v>25</v>
      </c>
      <c r="BA12" s="17" t="s">
        <v>25</v>
      </c>
      <c r="BB12" s="17" t="s">
        <v>25</v>
      </c>
      <c r="BC12" s="17" t="s">
        <v>25</v>
      </c>
      <c r="BD12" s="17" t="s">
        <v>25</v>
      </c>
      <c r="BE12" s="17" t="s">
        <v>25</v>
      </c>
      <c r="BH12" s="17" t="s">
        <v>28</v>
      </c>
      <c r="BI12" s="17" t="s">
        <v>28</v>
      </c>
      <c r="BJ12" s="17" t="s">
        <v>257</v>
      </c>
      <c r="BK12" s="17" t="s">
        <v>28</v>
      </c>
      <c r="BL12" s="17" t="s">
        <v>328</v>
      </c>
    </row>
    <row r="13" spans="1:64" ht="51" x14ac:dyDescent="0.2">
      <c r="A13" s="14" t="s">
        <v>121</v>
      </c>
      <c r="B13" s="17" t="s">
        <v>13310</v>
      </c>
      <c r="C13" s="17" t="s">
        <v>246</v>
      </c>
      <c r="D13" s="17" t="s">
        <v>245</v>
      </c>
      <c r="E13" s="17" t="s">
        <v>247</v>
      </c>
      <c r="F13" s="17" t="s">
        <v>245</v>
      </c>
      <c r="G13" s="17" t="s">
        <v>245</v>
      </c>
      <c r="H13" s="17" t="s">
        <v>245</v>
      </c>
      <c r="I13" s="17" t="s">
        <v>245</v>
      </c>
      <c r="J13" s="17" t="s">
        <v>245</v>
      </c>
      <c r="K13" s="17" t="s">
        <v>245</v>
      </c>
      <c r="L13" s="17" t="s">
        <v>246</v>
      </c>
      <c r="M13" s="17" t="s">
        <v>245</v>
      </c>
      <c r="N13" s="17" t="s">
        <v>245</v>
      </c>
      <c r="O13" s="17" t="s">
        <v>245</v>
      </c>
      <c r="P13" s="17" t="s">
        <v>246</v>
      </c>
      <c r="Q13" s="17" t="s">
        <v>246</v>
      </c>
      <c r="R13" s="17" t="s">
        <v>247</v>
      </c>
      <c r="S13" s="17" t="s">
        <v>247</v>
      </c>
      <c r="T13" s="17" t="s">
        <v>246</v>
      </c>
      <c r="U13" s="17" t="s">
        <v>246</v>
      </c>
      <c r="V13" s="17" t="s">
        <v>247</v>
      </c>
      <c r="W13" s="17" t="s">
        <v>246</v>
      </c>
      <c r="X13" s="17" t="s">
        <v>246</v>
      </c>
      <c r="Z13" s="17" t="s">
        <v>251</v>
      </c>
      <c r="AB13" s="17" t="s">
        <v>251</v>
      </c>
      <c r="AC13" s="17" t="s">
        <v>251</v>
      </c>
      <c r="AD13" s="17" t="s">
        <v>251</v>
      </c>
      <c r="AE13" s="17" t="s">
        <v>256</v>
      </c>
      <c r="AF13" s="17" t="s">
        <v>248</v>
      </c>
      <c r="AG13" s="17" t="s">
        <v>249</v>
      </c>
      <c r="AH13" s="17" t="s">
        <v>251</v>
      </c>
      <c r="AI13" s="17" t="s">
        <v>249</v>
      </c>
      <c r="AJ13" s="17" t="s">
        <v>249</v>
      </c>
      <c r="AK13" s="17" t="s">
        <v>249</v>
      </c>
      <c r="AM13" s="17" t="s">
        <v>251</v>
      </c>
      <c r="AN13" s="17" t="s">
        <v>251</v>
      </c>
      <c r="AU13" s="17" t="s">
        <v>25</v>
      </c>
      <c r="AV13" s="17" t="s">
        <v>25</v>
      </c>
      <c r="AW13" s="17" t="s">
        <v>28</v>
      </c>
      <c r="AX13" s="17" t="s">
        <v>28</v>
      </c>
      <c r="AY13" s="17" t="s">
        <v>28</v>
      </c>
      <c r="AZ13" s="17" t="s">
        <v>28</v>
      </c>
      <c r="BA13" s="17" t="s">
        <v>25</v>
      </c>
      <c r="BB13" s="17" t="s">
        <v>28</v>
      </c>
      <c r="BC13" s="17" t="s">
        <v>28</v>
      </c>
      <c r="BD13" s="17" t="s">
        <v>25</v>
      </c>
      <c r="BE13" s="17" t="s">
        <v>28</v>
      </c>
      <c r="BH13" s="17" t="s">
        <v>28</v>
      </c>
      <c r="BI13" s="17" t="s">
        <v>28</v>
      </c>
      <c r="BJ13" s="17" t="s">
        <v>28</v>
      </c>
      <c r="BK13" s="17" t="s">
        <v>28</v>
      </c>
      <c r="BL13" s="17" t="s">
        <v>263</v>
      </c>
    </row>
    <row r="14" spans="1:64" ht="25.5" x14ac:dyDescent="0.2">
      <c r="A14" s="14" t="s">
        <v>147</v>
      </c>
      <c r="B14" s="17" t="s">
        <v>273</v>
      </c>
      <c r="C14" s="17" t="s">
        <v>245</v>
      </c>
      <c r="D14" s="17" t="s">
        <v>245</v>
      </c>
      <c r="E14" s="17" t="s">
        <v>246</v>
      </c>
      <c r="F14" s="17" t="s">
        <v>245</v>
      </c>
      <c r="G14" s="17" t="s">
        <v>245</v>
      </c>
      <c r="H14" s="17" t="s">
        <v>245</v>
      </c>
      <c r="I14" s="17" t="s">
        <v>245</v>
      </c>
      <c r="J14" s="17" t="s">
        <v>245</v>
      </c>
      <c r="K14" s="17" t="s">
        <v>245</v>
      </c>
      <c r="L14" s="17" t="s">
        <v>268</v>
      </c>
      <c r="M14" s="17" t="s">
        <v>245</v>
      </c>
      <c r="N14" s="17" t="s">
        <v>245</v>
      </c>
      <c r="O14" s="17" t="s">
        <v>246</v>
      </c>
      <c r="P14" s="17" t="s">
        <v>246</v>
      </c>
      <c r="Q14" s="17" t="s">
        <v>268</v>
      </c>
      <c r="R14" s="17" t="s">
        <v>268</v>
      </c>
      <c r="S14" s="17" t="s">
        <v>247</v>
      </c>
      <c r="T14" s="17" t="s">
        <v>246</v>
      </c>
      <c r="U14" s="17" t="s">
        <v>246</v>
      </c>
      <c r="V14" s="17" t="s">
        <v>246</v>
      </c>
      <c r="W14" s="17" t="s">
        <v>246</v>
      </c>
      <c r="X14" s="17" t="s">
        <v>245</v>
      </c>
      <c r="Y14" s="17" t="s">
        <v>252</v>
      </c>
      <c r="Z14" s="17" t="s">
        <v>251</v>
      </c>
      <c r="AB14" s="17" t="s">
        <v>252</v>
      </c>
      <c r="AC14" s="17" t="s">
        <v>252</v>
      </c>
      <c r="AD14" s="17" t="s">
        <v>252</v>
      </c>
      <c r="AE14" s="17" t="s">
        <v>249</v>
      </c>
      <c r="AF14" s="17" t="s">
        <v>248</v>
      </c>
      <c r="AG14" s="17" t="s">
        <v>248</v>
      </c>
      <c r="AH14" s="17" t="s">
        <v>249</v>
      </c>
      <c r="AI14" s="17" t="s">
        <v>248</v>
      </c>
      <c r="AJ14" s="17" t="s">
        <v>249</v>
      </c>
      <c r="AM14" s="17" t="s">
        <v>251</v>
      </c>
      <c r="AN14" s="17" t="s">
        <v>251</v>
      </c>
      <c r="AT14" s="17" t="s">
        <v>251</v>
      </c>
      <c r="AU14" s="17" t="s">
        <v>265</v>
      </c>
      <c r="AV14" s="17" t="s">
        <v>25</v>
      </c>
      <c r="AW14" s="17" t="s">
        <v>28</v>
      </c>
      <c r="AX14" s="17" t="s">
        <v>28</v>
      </c>
      <c r="AY14" s="17" t="s">
        <v>28</v>
      </c>
      <c r="AZ14" s="17" t="s">
        <v>28</v>
      </c>
      <c r="BA14" s="17" t="s">
        <v>25</v>
      </c>
      <c r="BB14" s="17" t="s">
        <v>253</v>
      </c>
      <c r="BC14" s="17" t="s">
        <v>265</v>
      </c>
      <c r="BD14" s="17" t="s">
        <v>265</v>
      </c>
      <c r="BE14" s="17" t="s">
        <v>265</v>
      </c>
      <c r="BF14" s="17" t="s">
        <v>25</v>
      </c>
      <c r="BH14" s="17" t="s">
        <v>28</v>
      </c>
      <c r="BI14" s="17" t="s">
        <v>28</v>
      </c>
      <c r="BJ14" s="17" t="s">
        <v>28</v>
      </c>
      <c r="BK14" s="17" t="s">
        <v>28</v>
      </c>
      <c r="BL14" s="17" t="s">
        <v>299</v>
      </c>
    </row>
    <row r="15" spans="1:64" ht="25.5" x14ac:dyDescent="0.2">
      <c r="A15" s="14" t="s">
        <v>138</v>
      </c>
      <c r="B15" s="17" t="s">
        <v>279</v>
      </c>
      <c r="C15" s="17" t="s">
        <v>245</v>
      </c>
      <c r="D15" s="17" t="s">
        <v>245</v>
      </c>
      <c r="E15" s="17" t="s">
        <v>245</v>
      </c>
      <c r="F15" s="17" t="s">
        <v>245</v>
      </c>
      <c r="G15" s="17" t="s">
        <v>245</v>
      </c>
      <c r="H15" s="17" t="s">
        <v>245</v>
      </c>
      <c r="I15" s="17" t="s">
        <v>245</v>
      </c>
      <c r="J15" s="17" t="s">
        <v>245</v>
      </c>
      <c r="K15" s="17" t="s">
        <v>245</v>
      </c>
      <c r="L15" s="17" t="s">
        <v>246</v>
      </c>
      <c r="M15" s="17" t="s">
        <v>245</v>
      </c>
      <c r="N15" s="17" t="s">
        <v>245</v>
      </c>
      <c r="O15" s="17" t="s">
        <v>245</v>
      </c>
      <c r="P15" s="17" t="s">
        <v>246</v>
      </c>
      <c r="Q15" s="17" t="s">
        <v>246</v>
      </c>
      <c r="R15" s="17" t="s">
        <v>246</v>
      </c>
      <c r="S15" s="17" t="s">
        <v>245</v>
      </c>
      <c r="T15" s="17" t="s">
        <v>246</v>
      </c>
      <c r="U15" s="17" t="s">
        <v>246</v>
      </c>
      <c r="V15" s="17" t="s">
        <v>245</v>
      </c>
      <c r="W15" s="17" t="s">
        <v>246</v>
      </c>
      <c r="X15" s="17" t="s">
        <v>246</v>
      </c>
      <c r="Y15" s="17" t="s">
        <v>256</v>
      </c>
      <c r="Z15" s="17" t="s">
        <v>256</v>
      </c>
      <c r="AA15" s="17" t="s">
        <v>256</v>
      </c>
      <c r="AB15" s="17" t="s">
        <v>256</v>
      </c>
      <c r="AC15" s="17" t="s">
        <v>256</v>
      </c>
      <c r="AD15" s="17" t="s">
        <v>256</v>
      </c>
      <c r="AE15" s="17" t="s">
        <v>256</v>
      </c>
      <c r="AF15" s="17" t="s">
        <v>248</v>
      </c>
      <c r="AG15" s="17" t="s">
        <v>250</v>
      </c>
      <c r="AI15" s="17" t="s">
        <v>248</v>
      </c>
      <c r="AJ15" s="17" t="s">
        <v>249</v>
      </c>
      <c r="AK15" s="17" t="s">
        <v>251</v>
      </c>
      <c r="AN15" s="17" t="s">
        <v>256</v>
      </c>
      <c r="AR15" s="17" t="s">
        <v>256</v>
      </c>
      <c r="AU15" s="17" t="s">
        <v>28</v>
      </c>
      <c r="AV15" s="17" t="s">
        <v>28</v>
      </c>
      <c r="AW15" s="17" t="s">
        <v>28</v>
      </c>
      <c r="AX15" s="17" t="s">
        <v>28</v>
      </c>
      <c r="AY15" s="17" t="s">
        <v>28</v>
      </c>
      <c r="AZ15" s="17" t="s">
        <v>25</v>
      </c>
      <c r="BA15" s="17" t="s">
        <v>25</v>
      </c>
      <c r="BC15" s="17" t="s">
        <v>25</v>
      </c>
      <c r="BD15" s="17" t="s">
        <v>28</v>
      </c>
      <c r="BE15" s="17" t="s">
        <v>25</v>
      </c>
      <c r="BH15" s="17" t="s">
        <v>28</v>
      </c>
      <c r="BI15" s="17" t="s">
        <v>259</v>
      </c>
      <c r="BJ15" s="17" t="s">
        <v>257</v>
      </c>
      <c r="BK15" s="17" t="s">
        <v>259</v>
      </c>
      <c r="BL15" s="17" t="s">
        <v>291</v>
      </c>
    </row>
    <row r="16" spans="1:64" ht="38.25" x14ac:dyDescent="0.2">
      <c r="A16" s="14" t="s">
        <v>118</v>
      </c>
      <c r="B16" s="17" t="s">
        <v>13308</v>
      </c>
      <c r="C16" s="17" t="s">
        <v>245</v>
      </c>
      <c r="D16" s="17" t="s">
        <v>245</v>
      </c>
      <c r="E16" s="17" t="s">
        <v>246</v>
      </c>
      <c r="F16" s="17" t="s">
        <v>245</v>
      </c>
      <c r="G16" s="17" t="s">
        <v>245</v>
      </c>
      <c r="H16" s="17" t="s">
        <v>245</v>
      </c>
      <c r="I16" s="17" t="s">
        <v>245</v>
      </c>
      <c r="J16" s="17" t="s">
        <v>245</v>
      </c>
      <c r="K16" s="17" t="s">
        <v>246</v>
      </c>
      <c r="L16" s="17" t="s">
        <v>246</v>
      </c>
      <c r="M16" s="17" t="s">
        <v>245</v>
      </c>
      <c r="N16" s="17" t="s">
        <v>245</v>
      </c>
      <c r="O16" s="17" t="s">
        <v>246</v>
      </c>
      <c r="P16" s="17" t="s">
        <v>246</v>
      </c>
      <c r="Q16" s="17" t="s">
        <v>246</v>
      </c>
      <c r="R16" s="17" t="s">
        <v>246</v>
      </c>
      <c r="S16" s="17" t="s">
        <v>246</v>
      </c>
      <c r="T16" s="17" t="s">
        <v>246</v>
      </c>
      <c r="U16" s="17" t="s">
        <v>246</v>
      </c>
      <c r="V16" s="17" t="s">
        <v>246</v>
      </c>
      <c r="W16" s="17" t="s">
        <v>246</v>
      </c>
      <c r="X16" s="17" t="s">
        <v>246</v>
      </c>
      <c r="Y16" s="17" t="s">
        <v>251</v>
      </c>
      <c r="Z16" s="17" t="s">
        <v>251</v>
      </c>
      <c r="AB16" s="17" t="s">
        <v>248</v>
      </c>
      <c r="AC16" s="17" t="s">
        <v>248</v>
      </c>
      <c r="AD16" s="17" t="s">
        <v>248</v>
      </c>
      <c r="AE16" s="17" t="s">
        <v>256</v>
      </c>
      <c r="AF16" s="17" t="s">
        <v>249</v>
      </c>
      <c r="AG16" s="17" t="s">
        <v>249</v>
      </c>
      <c r="AI16" s="17" t="s">
        <v>249</v>
      </c>
      <c r="AJ16" s="17" t="s">
        <v>250</v>
      </c>
      <c r="AM16" s="17" t="s">
        <v>256</v>
      </c>
      <c r="AN16" s="17" t="s">
        <v>256</v>
      </c>
      <c r="AU16" s="17" t="s">
        <v>25</v>
      </c>
      <c r="AV16" s="17" t="s">
        <v>25</v>
      </c>
      <c r="AW16" s="17" t="s">
        <v>25</v>
      </c>
      <c r="AX16" s="17" t="s">
        <v>28</v>
      </c>
      <c r="AY16" s="17" t="s">
        <v>28</v>
      </c>
      <c r="AZ16" s="17" t="s">
        <v>25</v>
      </c>
      <c r="BA16" s="17" t="s">
        <v>25</v>
      </c>
      <c r="BB16" s="17" t="s">
        <v>25</v>
      </c>
      <c r="BC16" s="17" t="s">
        <v>25</v>
      </c>
      <c r="BD16" s="17" t="s">
        <v>25</v>
      </c>
      <c r="BE16" s="17" t="s">
        <v>25</v>
      </c>
      <c r="BF16" s="17" t="s">
        <v>25</v>
      </c>
      <c r="BH16" s="17" t="s">
        <v>28</v>
      </c>
      <c r="BI16" s="17" t="s">
        <v>28</v>
      </c>
      <c r="BJ16" s="17" t="s">
        <v>257</v>
      </c>
      <c r="BK16" s="17" t="s">
        <v>28</v>
      </c>
      <c r="BL16" s="17" t="s">
        <v>258</v>
      </c>
    </row>
    <row r="17" spans="1:64" ht="38.25" x14ac:dyDescent="0.2">
      <c r="A17" s="14" t="s">
        <v>134</v>
      </c>
      <c r="B17" s="17" t="s">
        <v>13308</v>
      </c>
      <c r="C17" s="17" t="s">
        <v>247</v>
      </c>
      <c r="D17" s="17" t="s">
        <v>245</v>
      </c>
      <c r="E17" s="17" t="s">
        <v>246</v>
      </c>
      <c r="F17" s="17" t="s">
        <v>245</v>
      </c>
      <c r="G17" s="17" t="s">
        <v>245</v>
      </c>
      <c r="H17" s="17" t="s">
        <v>246</v>
      </c>
      <c r="I17" s="17" t="s">
        <v>245</v>
      </c>
      <c r="J17" s="17" t="s">
        <v>245</v>
      </c>
      <c r="K17" s="17" t="s">
        <v>246</v>
      </c>
      <c r="L17" s="17" t="s">
        <v>246</v>
      </c>
      <c r="M17" s="17" t="s">
        <v>246</v>
      </c>
      <c r="N17" s="17" t="s">
        <v>245</v>
      </c>
      <c r="O17" s="17" t="s">
        <v>246</v>
      </c>
      <c r="P17" s="17" t="s">
        <v>245</v>
      </c>
      <c r="Q17" s="17" t="s">
        <v>246</v>
      </c>
      <c r="R17" s="17" t="s">
        <v>246</v>
      </c>
      <c r="S17" s="17" t="s">
        <v>247</v>
      </c>
      <c r="T17" s="17" t="s">
        <v>246</v>
      </c>
      <c r="U17" s="17" t="s">
        <v>246</v>
      </c>
      <c r="V17" s="17" t="s">
        <v>268</v>
      </c>
      <c r="W17" s="17" t="s">
        <v>245</v>
      </c>
      <c r="X17" s="17" t="s">
        <v>246</v>
      </c>
      <c r="Z17" s="17" t="s">
        <v>256</v>
      </c>
      <c r="AB17" s="17" t="s">
        <v>252</v>
      </c>
      <c r="AC17" s="17" t="s">
        <v>252</v>
      </c>
      <c r="AE17" s="17" t="s">
        <v>250</v>
      </c>
      <c r="AF17" s="17" t="s">
        <v>249</v>
      </c>
      <c r="AJ17" s="17" t="s">
        <v>249</v>
      </c>
      <c r="AL17" s="17" t="s">
        <v>251</v>
      </c>
      <c r="AM17" s="17" t="s">
        <v>251</v>
      </c>
      <c r="AN17" s="17" t="s">
        <v>250</v>
      </c>
      <c r="AS17" s="17" t="s">
        <v>252</v>
      </c>
      <c r="AU17" s="17" t="s">
        <v>265</v>
      </c>
      <c r="AV17" s="17" t="s">
        <v>28</v>
      </c>
      <c r="AW17" s="17" t="s">
        <v>28</v>
      </c>
      <c r="AX17" s="17" t="s">
        <v>28</v>
      </c>
      <c r="AY17" s="17" t="s">
        <v>28</v>
      </c>
      <c r="AZ17" s="17" t="s">
        <v>28</v>
      </c>
      <c r="BA17" s="17" t="s">
        <v>28</v>
      </c>
      <c r="BB17" s="17" t="s">
        <v>28</v>
      </c>
      <c r="BC17" s="17" t="s">
        <v>265</v>
      </c>
      <c r="BD17" s="17" t="s">
        <v>28</v>
      </c>
      <c r="BE17" s="17" t="s">
        <v>265</v>
      </c>
      <c r="BF17" s="17" t="s">
        <v>28</v>
      </c>
      <c r="BG17" s="17" t="s">
        <v>284</v>
      </c>
      <c r="BH17" s="17" t="s">
        <v>28</v>
      </c>
      <c r="BI17" s="17" t="s">
        <v>28</v>
      </c>
      <c r="BJ17" s="17" t="s">
        <v>259</v>
      </c>
      <c r="BK17" s="17" t="s">
        <v>259</v>
      </c>
      <c r="BL17" s="17" t="s">
        <v>285</v>
      </c>
    </row>
    <row r="18" spans="1:64" ht="51" x14ac:dyDescent="0.2">
      <c r="A18" s="14" t="s">
        <v>171</v>
      </c>
      <c r="B18" s="17" t="s">
        <v>13309</v>
      </c>
      <c r="C18" s="17" t="s">
        <v>247</v>
      </c>
      <c r="D18" s="17" t="s">
        <v>245</v>
      </c>
      <c r="E18" s="17" t="s">
        <v>246</v>
      </c>
      <c r="F18" s="17" t="s">
        <v>245</v>
      </c>
      <c r="G18" s="17" t="s">
        <v>245</v>
      </c>
      <c r="H18" s="17" t="s">
        <v>245</v>
      </c>
      <c r="J18" s="17" t="s">
        <v>245</v>
      </c>
      <c r="K18" s="17" t="s">
        <v>245</v>
      </c>
      <c r="M18" s="17" t="s">
        <v>245</v>
      </c>
      <c r="N18" s="17" t="s">
        <v>245</v>
      </c>
      <c r="S18" s="17" t="s">
        <v>246</v>
      </c>
      <c r="T18" s="17" t="s">
        <v>246</v>
      </c>
      <c r="U18" s="17" t="s">
        <v>246</v>
      </c>
      <c r="V18" s="17" t="s">
        <v>246</v>
      </c>
      <c r="W18" s="17" t="s">
        <v>246</v>
      </c>
      <c r="X18" s="17" t="s">
        <v>245</v>
      </c>
      <c r="Z18" s="17" t="s">
        <v>251</v>
      </c>
      <c r="AB18" s="17" t="s">
        <v>248</v>
      </c>
      <c r="AC18" s="17" t="s">
        <v>251</v>
      </c>
      <c r="AD18" s="17" t="s">
        <v>251</v>
      </c>
      <c r="AE18" s="17" t="s">
        <v>250</v>
      </c>
      <c r="AF18" s="17" t="s">
        <v>248</v>
      </c>
      <c r="AG18" s="17" t="s">
        <v>248</v>
      </c>
      <c r="AH18" s="17" t="s">
        <v>250</v>
      </c>
      <c r="AI18" s="17" t="s">
        <v>249</v>
      </c>
      <c r="AJ18" s="17" t="s">
        <v>248</v>
      </c>
      <c r="AM18" s="17" t="s">
        <v>248</v>
      </c>
      <c r="AN18" s="17" t="s">
        <v>251</v>
      </c>
      <c r="AT18" s="17" t="s">
        <v>248</v>
      </c>
      <c r="AU18" s="17" t="s">
        <v>28</v>
      </c>
      <c r="AV18" s="17" t="s">
        <v>25</v>
      </c>
      <c r="AW18" s="17" t="s">
        <v>28</v>
      </c>
      <c r="AX18" s="17" t="s">
        <v>28</v>
      </c>
      <c r="AY18" s="17" t="s">
        <v>28</v>
      </c>
      <c r="AZ18" s="17" t="s">
        <v>265</v>
      </c>
      <c r="BA18" s="17" t="s">
        <v>28</v>
      </c>
      <c r="BB18" s="17" t="s">
        <v>25</v>
      </c>
      <c r="BC18" s="17" t="s">
        <v>25</v>
      </c>
      <c r="BD18" s="17" t="s">
        <v>28</v>
      </c>
      <c r="BE18" s="17" t="s">
        <v>25</v>
      </c>
      <c r="BF18" s="17" t="s">
        <v>253</v>
      </c>
      <c r="BH18" s="17" t="s">
        <v>28</v>
      </c>
      <c r="BI18" s="17" t="s">
        <v>28</v>
      </c>
      <c r="BJ18" s="17" t="s">
        <v>28</v>
      </c>
      <c r="BK18" s="17" t="s">
        <v>28</v>
      </c>
      <c r="BL18" s="17" t="s">
        <v>13775</v>
      </c>
    </row>
    <row r="19" spans="1:64" ht="51" x14ac:dyDescent="0.2">
      <c r="A19" s="14" t="s">
        <v>123</v>
      </c>
      <c r="B19" s="17" t="s">
        <v>13309</v>
      </c>
      <c r="C19" s="17" t="s">
        <v>245</v>
      </c>
      <c r="D19" s="17" t="s">
        <v>245</v>
      </c>
      <c r="E19" s="17" t="s">
        <v>245</v>
      </c>
      <c r="F19" s="17" t="s">
        <v>245</v>
      </c>
      <c r="G19" s="17" t="s">
        <v>245</v>
      </c>
      <c r="H19" s="17" t="s">
        <v>247</v>
      </c>
      <c r="I19" s="17" t="s">
        <v>245</v>
      </c>
      <c r="J19" s="17" t="s">
        <v>245</v>
      </c>
      <c r="K19" s="17" t="s">
        <v>245</v>
      </c>
      <c r="L19" s="17" t="s">
        <v>245</v>
      </c>
      <c r="M19" s="17" t="s">
        <v>245</v>
      </c>
      <c r="N19" s="17" t="s">
        <v>245</v>
      </c>
      <c r="O19" s="17" t="s">
        <v>246</v>
      </c>
      <c r="P19" s="17" t="s">
        <v>246</v>
      </c>
      <c r="Q19" s="17" t="s">
        <v>247</v>
      </c>
      <c r="R19" s="17" t="s">
        <v>247</v>
      </c>
      <c r="S19" s="17" t="s">
        <v>247</v>
      </c>
      <c r="T19" s="17" t="s">
        <v>246</v>
      </c>
      <c r="U19" s="17" t="s">
        <v>246</v>
      </c>
      <c r="V19" s="17" t="s">
        <v>246</v>
      </c>
      <c r="W19" s="17" t="s">
        <v>246</v>
      </c>
      <c r="X19" s="17" t="s">
        <v>246</v>
      </c>
      <c r="Y19" s="17" t="s">
        <v>248</v>
      </c>
      <c r="Z19" s="17" t="s">
        <v>256</v>
      </c>
      <c r="AA19" s="17" t="s">
        <v>256</v>
      </c>
      <c r="AB19" s="17" t="s">
        <v>252</v>
      </c>
      <c r="AC19" s="17" t="s">
        <v>256</v>
      </c>
      <c r="AE19" s="17" t="s">
        <v>251</v>
      </c>
      <c r="AF19" s="17" t="s">
        <v>251</v>
      </c>
      <c r="AH19" s="17" t="s">
        <v>251</v>
      </c>
      <c r="AI19" s="17" t="s">
        <v>251</v>
      </c>
      <c r="AJ19" s="17" t="s">
        <v>251</v>
      </c>
      <c r="AK19" s="17" t="s">
        <v>248</v>
      </c>
      <c r="AM19" s="17" t="s">
        <v>251</v>
      </c>
      <c r="AN19" s="17" t="s">
        <v>256</v>
      </c>
      <c r="AO19" s="17" t="s">
        <v>251</v>
      </c>
      <c r="AU19" s="17" t="s">
        <v>25</v>
      </c>
      <c r="AV19" s="17" t="s">
        <v>25</v>
      </c>
      <c r="AW19" s="17" t="s">
        <v>25</v>
      </c>
      <c r="AX19" s="17" t="s">
        <v>28</v>
      </c>
      <c r="AY19" s="17" t="s">
        <v>265</v>
      </c>
      <c r="AZ19" s="17" t="s">
        <v>28</v>
      </c>
      <c r="BA19" s="17" t="s">
        <v>25</v>
      </c>
      <c r="BB19" s="17" t="s">
        <v>25</v>
      </c>
      <c r="BC19" s="17" t="s">
        <v>25</v>
      </c>
      <c r="BD19" s="17" t="s">
        <v>28</v>
      </c>
      <c r="BE19" s="17" t="s">
        <v>28</v>
      </c>
      <c r="BF19" s="17" t="s">
        <v>25</v>
      </c>
      <c r="BH19" s="17" t="s">
        <v>28</v>
      </c>
      <c r="BI19" s="17" t="s">
        <v>28</v>
      </c>
      <c r="BJ19" s="17" t="s">
        <v>28</v>
      </c>
      <c r="BK19" s="17" t="s">
        <v>28</v>
      </c>
      <c r="BL19" s="17" t="s">
        <v>266</v>
      </c>
    </row>
    <row r="20" spans="1:64" ht="51" x14ac:dyDescent="0.2">
      <c r="A20" s="14" t="s">
        <v>125</v>
      </c>
      <c r="B20" s="17" t="s">
        <v>13310</v>
      </c>
      <c r="C20" s="17" t="s">
        <v>245</v>
      </c>
      <c r="D20" s="17" t="s">
        <v>247</v>
      </c>
      <c r="E20" s="17" t="s">
        <v>246</v>
      </c>
      <c r="F20" s="17" t="s">
        <v>245</v>
      </c>
      <c r="G20" s="17" t="s">
        <v>245</v>
      </c>
      <c r="H20" s="17" t="s">
        <v>245</v>
      </c>
      <c r="I20" s="17" t="s">
        <v>268</v>
      </c>
      <c r="J20" s="17" t="s">
        <v>245</v>
      </c>
      <c r="K20" s="17" t="s">
        <v>246</v>
      </c>
      <c r="L20" s="17" t="s">
        <v>246</v>
      </c>
      <c r="M20" s="17" t="s">
        <v>246</v>
      </c>
      <c r="N20" s="17" t="s">
        <v>245</v>
      </c>
      <c r="O20" s="17" t="s">
        <v>246</v>
      </c>
      <c r="P20" s="17" t="s">
        <v>246</v>
      </c>
      <c r="Q20" s="17" t="s">
        <v>246</v>
      </c>
      <c r="R20" s="17" t="s">
        <v>245</v>
      </c>
      <c r="S20" s="17" t="s">
        <v>246</v>
      </c>
      <c r="T20" s="17" t="s">
        <v>246</v>
      </c>
      <c r="U20" s="17" t="s">
        <v>246</v>
      </c>
      <c r="V20" s="17" t="s">
        <v>246</v>
      </c>
      <c r="W20" s="17" t="s">
        <v>246</v>
      </c>
      <c r="X20" s="17" t="s">
        <v>246</v>
      </c>
      <c r="Y20" s="17" t="s">
        <v>251</v>
      </c>
      <c r="AB20" s="17" t="s">
        <v>251</v>
      </c>
      <c r="AC20" s="17" t="s">
        <v>251</v>
      </c>
      <c r="AD20" s="17" t="s">
        <v>251</v>
      </c>
      <c r="AE20" s="17" t="s">
        <v>256</v>
      </c>
      <c r="AF20" s="17" t="s">
        <v>248</v>
      </c>
      <c r="AH20" s="17" t="s">
        <v>249</v>
      </c>
      <c r="AI20" s="17" t="s">
        <v>249</v>
      </c>
      <c r="AJ20" s="17" t="s">
        <v>248</v>
      </c>
      <c r="AM20" s="17" t="s">
        <v>249</v>
      </c>
      <c r="AN20" s="17" t="s">
        <v>256</v>
      </c>
      <c r="AU20" s="17" t="s">
        <v>28</v>
      </c>
      <c r="AV20" s="17" t="s">
        <v>28</v>
      </c>
      <c r="AW20" s="17" t="s">
        <v>28</v>
      </c>
      <c r="AX20" s="17" t="s">
        <v>28</v>
      </c>
      <c r="AY20" s="17" t="s">
        <v>28</v>
      </c>
      <c r="AZ20" s="17" t="s">
        <v>25</v>
      </c>
      <c r="BA20" s="17" t="s">
        <v>28</v>
      </c>
      <c r="BB20" s="17" t="s">
        <v>28</v>
      </c>
      <c r="BC20" s="17" t="s">
        <v>28</v>
      </c>
      <c r="BD20" s="17" t="s">
        <v>28</v>
      </c>
      <c r="BE20" s="17" t="s">
        <v>28</v>
      </c>
      <c r="BF20" s="17" t="s">
        <v>28</v>
      </c>
      <c r="BG20" s="17" t="s">
        <v>269</v>
      </c>
      <c r="BH20" s="17" t="s">
        <v>28</v>
      </c>
      <c r="BI20" s="17" t="s">
        <v>28</v>
      </c>
      <c r="BJ20" s="17" t="s">
        <v>28</v>
      </c>
      <c r="BK20" s="17" t="s">
        <v>28</v>
      </c>
      <c r="BL20" s="17" t="s">
        <v>270</v>
      </c>
    </row>
    <row r="21" spans="1:64" ht="51" x14ac:dyDescent="0.2">
      <c r="A21" s="14" t="s">
        <v>169</v>
      </c>
      <c r="B21" s="17" t="s">
        <v>13310</v>
      </c>
      <c r="C21" s="17" t="s">
        <v>246</v>
      </c>
      <c r="D21" s="17" t="s">
        <v>245</v>
      </c>
      <c r="E21" s="17" t="s">
        <v>246</v>
      </c>
      <c r="F21" s="17" t="s">
        <v>245</v>
      </c>
      <c r="G21" s="17" t="s">
        <v>245</v>
      </c>
      <c r="H21" s="17" t="s">
        <v>246</v>
      </c>
      <c r="I21" s="17" t="s">
        <v>246</v>
      </c>
      <c r="J21" s="17" t="s">
        <v>246</v>
      </c>
      <c r="K21" s="17" t="s">
        <v>245</v>
      </c>
      <c r="L21" s="17" t="s">
        <v>246</v>
      </c>
      <c r="M21" s="17" t="s">
        <v>246</v>
      </c>
      <c r="N21" s="17" t="s">
        <v>246</v>
      </c>
      <c r="O21" s="17" t="s">
        <v>245</v>
      </c>
      <c r="P21" s="17" t="s">
        <v>246</v>
      </c>
      <c r="Q21" s="17" t="s">
        <v>246</v>
      </c>
      <c r="R21" s="17" t="s">
        <v>246</v>
      </c>
      <c r="S21" s="17" t="s">
        <v>246</v>
      </c>
      <c r="T21" s="17" t="s">
        <v>246</v>
      </c>
      <c r="U21" s="17" t="s">
        <v>246</v>
      </c>
      <c r="V21" s="17" t="s">
        <v>246</v>
      </c>
      <c r="W21" s="17" t="s">
        <v>246</v>
      </c>
      <c r="X21" s="17" t="s">
        <v>245</v>
      </c>
      <c r="Z21" s="17" t="s">
        <v>251</v>
      </c>
      <c r="AB21" s="17" t="s">
        <v>249</v>
      </c>
      <c r="AC21" s="17" t="s">
        <v>251</v>
      </c>
      <c r="AF21" s="17" t="s">
        <v>249</v>
      </c>
      <c r="AG21" s="17" t="s">
        <v>249</v>
      </c>
      <c r="AN21" s="17" t="s">
        <v>256</v>
      </c>
      <c r="AT21" s="17" t="s">
        <v>251</v>
      </c>
      <c r="AU21" s="17" t="s">
        <v>25</v>
      </c>
      <c r="AV21" s="17" t="s">
        <v>25</v>
      </c>
      <c r="AW21" s="17" t="s">
        <v>25</v>
      </c>
      <c r="AX21" s="17" t="s">
        <v>28</v>
      </c>
      <c r="AY21" s="17" t="s">
        <v>28</v>
      </c>
      <c r="AZ21" s="17" t="s">
        <v>28</v>
      </c>
      <c r="BA21" s="17" t="s">
        <v>25</v>
      </c>
      <c r="BB21" s="17" t="s">
        <v>25</v>
      </c>
      <c r="BC21" s="17" t="s">
        <v>25</v>
      </c>
      <c r="BD21" s="17" t="s">
        <v>25</v>
      </c>
      <c r="BE21" s="17" t="s">
        <v>25</v>
      </c>
      <c r="BH21" s="17" t="s">
        <v>28</v>
      </c>
      <c r="BI21" s="17" t="s">
        <v>28</v>
      </c>
      <c r="BJ21" s="17" t="s">
        <v>257</v>
      </c>
      <c r="BK21" s="17" t="s">
        <v>259</v>
      </c>
      <c r="BL21" s="17" t="s">
        <v>323</v>
      </c>
    </row>
    <row r="22" spans="1:64" ht="25.5" x14ac:dyDescent="0.2">
      <c r="A22" s="14" t="s">
        <v>159</v>
      </c>
      <c r="B22" s="17" t="s">
        <v>279</v>
      </c>
      <c r="C22" s="17" t="s">
        <v>246</v>
      </c>
      <c r="D22" s="17" t="s">
        <v>246</v>
      </c>
      <c r="E22" s="17" t="s">
        <v>246</v>
      </c>
      <c r="F22" s="17" t="s">
        <v>245</v>
      </c>
      <c r="G22" s="17" t="s">
        <v>245</v>
      </c>
      <c r="H22" s="17" t="s">
        <v>247</v>
      </c>
      <c r="I22" s="17" t="s">
        <v>246</v>
      </c>
      <c r="J22" s="17" t="s">
        <v>245</v>
      </c>
      <c r="K22" s="17" t="s">
        <v>245</v>
      </c>
      <c r="L22" s="17" t="s">
        <v>246</v>
      </c>
      <c r="M22" s="17" t="s">
        <v>245</v>
      </c>
      <c r="N22" s="17" t="s">
        <v>245</v>
      </c>
      <c r="O22" s="17" t="s">
        <v>246</v>
      </c>
      <c r="P22" s="17" t="s">
        <v>246</v>
      </c>
      <c r="Q22" s="17" t="s">
        <v>246</v>
      </c>
      <c r="R22" s="17" t="s">
        <v>246</v>
      </c>
      <c r="S22" s="17" t="s">
        <v>246</v>
      </c>
      <c r="T22" s="17" t="s">
        <v>246</v>
      </c>
      <c r="U22" s="17" t="s">
        <v>246</v>
      </c>
      <c r="V22" s="17" t="s">
        <v>246</v>
      </c>
      <c r="W22" s="17" t="s">
        <v>245</v>
      </c>
      <c r="X22" s="17" t="s">
        <v>245</v>
      </c>
      <c r="AB22" s="17" t="s">
        <v>251</v>
      </c>
      <c r="AC22" s="17" t="s">
        <v>251</v>
      </c>
      <c r="AS22" s="17" t="s">
        <v>251</v>
      </c>
      <c r="AT22" s="17" t="s">
        <v>249</v>
      </c>
      <c r="AU22" s="17" t="s">
        <v>25</v>
      </c>
      <c r="AV22" s="17" t="s">
        <v>28</v>
      </c>
      <c r="AW22" s="17" t="s">
        <v>28</v>
      </c>
      <c r="AX22" s="17" t="s">
        <v>28</v>
      </c>
      <c r="AY22" s="17" t="s">
        <v>28</v>
      </c>
      <c r="AZ22" s="17" t="s">
        <v>265</v>
      </c>
      <c r="BA22" s="17" t="s">
        <v>265</v>
      </c>
      <c r="BB22" s="17" t="s">
        <v>28</v>
      </c>
      <c r="BC22" s="17" t="s">
        <v>253</v>
      </c>
      <c r="BD22" s="17" t="s">
        <v>253</v>
      </c>
      <c r="BE22" s="17" t="s">
        <v>253</v>
      </c>
      <c r="BF22" s="17" t="s">
        <v>253</v>
      </c>
      <c r="BH22" s="17" t="s">
        <v>28</v>
      </c>
      <c r="BI22" s="17" t="s">
        <v>28</v>
      </c>
      <c r="BJ22" s="17" t="s">
        <v>28</v>
      </c>
      <c r="BK22" s="17" t="s">
        <v>28</v>
      </c>
      <c r="BL22" s="17" t="s">
        <v>312</v>
      </c>
    </row>
    <row r="23" spans="1:64" ht="51" x14ac:dyDescent="0.2">
      <c r="A23" s="14" t="s">
        <v>166</v>
      </c>
      <c r="B23" s="17" t="s">
        <v>13310</v>
      </c>
      <c r="C23" s="17" t="s">
        <v>245</v>
      </c>
      <c r="D23" s="17" t="s">
        <v>245</v>
      </c>
      <c r="E23" s="17" t="s">
        <v>247</v>
      </c>
      <c r="F23" s="17" t="s">
        <v>245</v>
      </c>
      <c r="G23" s="17" t="s">
        <v>245</v>
      </c>
      <c r="H23" s="17" t="s">
        <v>245</v>
      </c>
      <c r="I23" s="17" t="s">
        <v>247</v>
      </c>
      <c r="J23" s="17" t="s">
        <v>245</v>
      </c>
      <c r="K23" s="17" t="s">
        <v>268</v>
      </c>
      <c r="L23" s="17" t="s">
        <v>247</v>
      </c>
      <c r="M23" s="17" t="s">
        <v>246</v>
      </c>
      <c r="N23" s="17" t="s">
        <v>245</v>
      </c>
      <c r="O23" s="17" t="s">
        <v>246</v>
      </c>
      <c r="P23" s="17" t="s">
        <v>246</v>
      </c>
      <c r="Q23" s="17" t="s">
        <v>247</v>
      </c>
      <c r="R23" s="17" t="s">
        <v>246</v>
      </c>
      <c r="S23" s="17" t="s">
        <v>246</v>
      </c>
      <c r="T23" s="17" t="s">
        <v>245</v>
      </c>
      <c r="U23" s="17" t="s">
        <v>246</v>
      </c>
      <c r="V23" s="17" t="s">
        <v>246</v>
      </c>
      <c r="W23" s="17" t="s">
        <v>245</v>
      </c>
      <c r="X23" s="17" t="s">
        <v>246</v>
      </c>
      <c r="Y23" s="17" t="s">
        <v>251</v>
      </c>
      <c r="Z23" s="17" t="s">
        <v>251</v>
      </c>
      <c r="AB23" s="17" t="s">
        <v>256</v>
      </c>
      <c r="AC23" s="17" t="s">
        <v>251</v>
      </c>
      <c r="AD23" s="17" t="s">
        <v>251</v>
      </c>
      <c r="AE23" s="17" t="s">
        <v>250</v>
      </c>
      <c r="AF23" s="17" t="s">
        <v>249</v>
      </c>
      <c r="AH23" s="17" t="s">
        <v>250</v>
      </c>
      <c r="AJ23" s="17" t="s">
        <v>249</v>
      </c>
      <c r="AM23" s="17" t="s">
        <v>250</v>
      </c>
      <c r="AN23" s="17" t="s">
        <v>256</v>
      </c>
      <c r="AP23" s="17" t="s">
        <v>251</v>
      </c>
      <c r="AS23" s="17" t="s">
        <v>256</v>
      </c>
      <c r="AU23" s="17" t="s">
        <v>25</v>
      </c>
      <c r="AV23" s="17" t="s">
        <v>25</v>
      </c>
      <c r="AW23" s="17" t="s">
        <v>28</v>
      </c>
      <c r="AX23" s="17" t="s">
        <v>28</v>
      </c>
      <c r="AY23" s="17" t="s">
        <v>28</v>
      </c>
      <c r="AZ23" s="17" t="s">
        <v>28</v>
      </c>
      <c r="BA23" s="17" t="s">
        <v>25</v>
      </c>
      <c r="BB23" s="17" t="s">
        <v>265</v>
      </c>
      <c r="BC23" s="17" t="s">
        <v>25</v>
      </c>
      <c r="BD23" s="17" t="s">
        <v>25</v>
      </c>
      <c r="BE23" s="17" t="s">
        <v>28</v>
      </c>
      <c r="BH23" s="17" t="s">
        <v>28</v>
      </c>
      <c r="BI23" s="17" t="s">
        <v>28</v>
      </c>
      <c r="BJ23" s="17" t="s">
        <v>28</v>
      </c>
      <c r="BK23" s="17" t="s">
        <v>254</v>
      </c>
      <c r="BL23" s="17" t="s">
        <v>320</v>
      </c>
    </row>
    <row r="24" spans="1:64" ht="63.75" x14ac:dyDescent="0.2">
      <c r="A24" s="14" t="s">
        <v>157</v>
      </c>
      <c r="B24" s="17" t="s">
        <v>276</v>
      </c>
      <c r="C24" s="17" t="s">
        <v>246</v>
      </c>
      <c r="D24" s="17" t="s">
        <v>245</v>
      </c>
      <c r="E24" s="17" t="s">
        <v>246</v>
      </c>
      <c r="F24" s="17" t="s">
        <v>245</v>
      </c>
      <c r="G24" s="17" t="s">
        <v>245</v>
      </c>
      <c r="H24" s="17" t="s">
        <v>246</v>
      </c>
      <c r="J24" s="17" t="s">
        <v>245</v>
      </c>
      <c r="K24" s="17" t="s">
        <v>245</v>
      </c>
      <c r="N24" s="17" t="s">
        <v>245</v>
      </c>
      <c r="Q24" s="17" t="s">
        <v>247</v>
      </c>
      <c r="R24" s="17" t="s">
        <v>247</v>
      </c>
      <c r="S24" s="17" t="s">
        <v>246</v>
      </c>
      <c r="T24" s="17" t="s">
        <v>246</v>
      </c>
      <c r="U24" s="17" t="s">
        <v>246</v>
      </c>
      <c r="V24" s="17" t="s">
        <v>246</v>
      </c>
      <c r="W24" s="17" t="s">
        <v>246</v>
      </c>
      <c r="X24" s="17" t="s">
        <v>245</v>
      </c>
      <c r="Z24" s="17" t="s">
        <v>251</v>
      </c>
      <c r="AB24" s="17" t="s">
        <v>249</v>
      </c>
      <c r="AC24" s="17" t="s">
        <v>256</v>
      </c>
      <c r="AE24" s="17" t="s">
        <v>256</v>
      </c>
      <c r="AF24" s="17" t="s">
        <v>251</v>
      </c>
      <c r="AG24" s="17" t="s">
        <v>248</v>
      </c>
      <c r="AH24" s="17" t="s">
        <v>256</v>
      </c>
      <c r="AJ24" s="17" t="s">
        <v>248</v>
      </c>
      <c r="AK24" s="17" t="s">
        <v>248</v>
      </c>
      <c r="AM24" s="17" t="s">
        <v>251</v>
      </c>
      <c r="AN24" s="17" t="s">
        <v>256</v>
      </c>
      <c r="AT24" s="17" t="s">
        <v>249</v>
      </c>
      <c r="AU24" s="17" t="s">
        <v>25</v>
      </c>
      <c r="AV24" s="17" t="s">
        <v>25</v>
      </c>
      <c r="AW24" s="17" t="s">
        <v>25</v>
      </c>
      <c r="AX24" s="17" t="s">
        <v>28</v>
      </c>
      <c r="AY24" s="17" t="s">
        <v>28</v>
      </c>
      <c r="AZ24" s="17" t="s">
        <v>25</v>
      </c>
      <c r="BA24" s="17" t="s">
        <v>25</v>
      </c>
      <c r="BB24" s="17" t="s">
        <v>265</v>
      </c>
      <c r="BC24" s="17" t="s">
        <v>25</v>
      </c>
      <c r="BD24" s="17" t="s">
        <v>25</v>
      </c>
      <c r="BE24" s="17" t="s">
        <v>25</v>
      </c>
      <c r="BH24" s="17" t="s">
        <v>28</v>
      </c>
      <c r="BI24" s="17" t="s">
        <v>28</v>
      </c>
      <c r="BJ24" s="17" t="s">
        <v>28</v>
      </c>
      <c r="BK24" s="17" t="s">
        <v>28</v>
      </c>
      <c r="BL24" s="17" t="s">
        <v>310</v>
      </c>
    </row>
    <row r="25" spans="1:64" ht="38.25" x14ac:dyDescent="0.2">
      <c r="A25" s="14" t="s">
        <v>144</v>
      </c>
      <c r="B25" s="17" t="s">
        <v>276</v>
      </c>
      <c r="C25" s="17" t="s">
        <v>245</v>
      </c>
      <c r="D25" s="17" t="s">
        <v>245</v>
      </c>
      <c r="E25" s="17" t="s">
        <v>246</v>
      </c>
      <c r="F25" s="17" t="s">
        <v>245</v>
      </c>
      <c r="G25" s="17" t="s">
        <v>245</v>
      </c>
      <c r="H25" s="17" t="s">
        <v>245</v>
      </c>
      <c r="I25" s="17" t="s">
        <v>245</v>
      </c>
      <c r="J25" s="17" t="s">
        <v>245</v>
      </c>
      <c r="K25" s="17" t="s">
        <v>245</v>
      </c>
      <c r="L25" s="17" t="s">
        <v>245</v>
      </c>
      <c r="M25" s="17" t="s">
        <v>245</v>
      </c>
      <c r="N25" s="17" t="s">
        <v>245</v>
      </c>
      <c r="O25" s="17" t="s">
        <v>246</v>
      </c>
      <c r="P25" s="17" t="s">
        <v>245</v>
      </c>
      <c r="Q25" s="17" t="s">
        <v>245</v>
      </c>
      <c r="R25" s="17" t="s">
        <v>245</v>
      </c>
      <c r="S25" s="17" t="s">
        <v>247</v>
      </c>
      <c r="T25" s="17" t="s">
        <v>245</v>
      </c>
      <c r="U25" s="17" t="s">
        <v>246</v>
      </c>
      <c r="V25" s="17" t="s">
        <v>246</v>
      </c>
      <c r="W25" s="17" t="s">
        <v>246</v>
      </c>
      <c r="X25" s="17" t="s">
        <v>246</v>
      </c>
      <c r="Y25" s="17" t="s">
        <v>252</v>
      </c>
      <c r="Z25" s="17" t="s">
        <v>252</v>
      </c>
      <c r="AB25" s="17" t="s">
        <v>252</v>
      </c>
      <c r="AC25" s="17" t="s">
        <v>252</v>
      </c>
      <c r="AD25" s="17" t="s">
        <v>252</v>
      </c>
      <c r="AE25" s="17" t="s">
        <v>251</v>
      </c>
      <c r="AF25" s="17" t="s">
        <v>248</v>
      </c>
      <c r="AG25" s="17" t="s">
        <v>248</v>
      </c>
      <c r="AH25" s="17" t="s">
        <v>248</v>
      </c>
      <c r="AI25" s="17" t="s">
        <v>249</v>
      </c>
      <c r="AJ25" s="17" t="s">
        <v>248</v>
      </c>
      <c r="AK25" s="17" t="s">
        <v>248</v>
      </c>
      <c r="AM25" s="17" t="s">
        <v>248</v>
      </c>
      <c r="AN25" s="17" t="s">
        <v>248</v>
      </c>
      <c r="AP25" s="17" t="s">
        <v>252</v>
      </c>
      <c r="AU25" s="17" t="s">
        <v>28</v>
      </c>
      <c r="AV25" s="17" t="s">
        <v>28</v>
      </c>
      <c r="AW25" s="17" t="s">
        <v>28</v>
      </c>
      <c r="AX25" s="17" t="s">
        <v>28</v>
      </c>
      <c r="AY25" s="17" t="s">
        <v>253</v>
      </c>
      <c r="AZ25" s="17" t="s">
        <v>25</v>
      </c>
      <c r="BA25" s="17" t="s">
        <v>28</v>
      </c>
      <c r="BB25" s="17" t="s">
        <v>265</v>
      </c>
      <c r="BC25" s="17" t="s">
        <v>265</v>
      </c>
      <c r="BD25" s="17" t="s">
        <v>28</v>
      </c>
      <c r="BE25" s="17" t="s">
        <v>265</v>
      </c>
      <c r="BF25" s="17" t="s">
        <v>253</v>
      </c>
      <c r="BH25" s="17" t="s">
        <v>28</v>
      </c>
      <c r="BI25" s="17" t="s">
        <v>28</v>
      </c>
      <c r="BJ25" s="17" t="s">
        <v>28</v>
      </c>
      <c r="BK25" s="17" t="s">
        <v>28</v>
      </c>
      <c r="BL25" s="17" t="s">
        <v>297</v>
      </c>
    </row>
    <row r="26" spans="1:64" ht="102" x14ac:dyDescent="0.2">
      <c r="A26" s="14" t="s">
        <v>140</v>
      </c>
      <c r="B26" s="17" t="s">
        <v>13307</v>
      </c>
      <c r="C26" s="17" t="s">
        <v>246</v>
      </c>
      <c r="D26" s="17" t="s">
        <v>245</v>
      </c>
      <c r="E26" s="17" t="s">
        <v>247</v>
      </c>
      <c r="G26" s="17" t="s">
        <v>245</v>
      </c>
      <c r="H26" s="17" t="s">
        <v>245</v>
      </c>
      <c r="I26" s="17" t="s">
        <v>245</v>
      </c>
      <c r="J26" s="17" t="s">
        <v>245</v>
      </c>
      <c r="K26" s="17" t="s">
        <v>245</v>
      </c>
      <c r="L26" s="17" t="s">
        <v>245</v>
      </c>
      <c r="M26" s="17" t="s">
        <v>245</v>
      </c>
      <c r="N26" s="17" t="s">
        <v>245</v>
      </c>
      <c r="O26" s="17" t="s">
        <v>246</v>
      </c>
      <c r="P26" s="17" t="s">
        <v>246</v>
      </c>
      <c r="Q26" s="17" t="s">
        <v>245</v>
      </c>
      <c r="R26" s="17" t="s">
        <v>245</v>
      </c>
      <c r="S26" s="17" t="s">
        <v>246</v>
      </c>
      <c r="T26" s="17" t="s">
        <v>246</v>
      </c>
      <c r="U26" s="17" t="s">
        <v>246</v>
      </c>
      <c r="V26" s="17" t="s">
        <v>246</v>
      </c>
      <c r="W26" s="17" t="s">
        <v>246</v>
      </c>
      <c r="X26" s="17" t="s">
        <v>246</v>
      </c>
      <c r="AE26" s="17" t="s">
        <v>251</v>
      </c>
      <c r="AF26" s="17" t="s">
        <v>248</v>
      </c>
      <c r="AG26" s="17" t="s">
        <v>248</v>
      </c>
      <c r="AH26" s="17" t="s">
        <v>251</v>
      </c>
      <c r="AI26" s="17" t="s">
        <v>248</v>
      </c>
      <c r="AJ26" s="17" t="s">
        <v>249</v>
      </c>
      <c r="AK26" s="17" t="s">
        <v>249</v>
      </c>
      <c r="AM26" s="17" t="s">
        <v>251</v>
      </c>
      <c r="AU26" s="17" t="s">
        <v>265</v>
      </c>
      <c r="AV26" s="17" t="s">
        <v>28</v>
      </c>
      <c r="AW26" s="17" t="s">
        <v>28</v>
      </c>
      <c r="AX26" s="17" t="s">
        <v>28</v>
      </c>
      <c r="AY26" s="17" t="s">
        <v>28</v>
      </c>
      <c r="AZ26" s="17" t="s">
        <v>28</v>
      </c>
      <c r="BA26" s="17" t="s">
        <v>28</v>
      </c>
      <c r="BB26" s="17" t="s">
        <v>28</v>
      </c>
      <c r="BC26" s="17" t="s">
        <v>28</v>
      </c>
      <c r="BD26" s="17" t="s">
        <v>28</v>
      </c>
      <c r="BE26" s="17" t="s">
        <v>28</v>
      </c>
      <c r="BH26" s="17" t="s">
        <v>28</v>
      </c>
      <c r="BI26" s="17" t="s">
        <v>28</v>
      </c>
      <c r="BJ26" s="17" t="s">
        <v>28</v>
      </c>
      <c r="BK26" s="17" t="s">
        <v>28</v>
      </c>
      <c r="BL26" s="17" t="s">
        <v>293</v>
      </c>
    </row>
    <row r="27" spans="1:64" ht="25.5" x14ac:dyDescent="0.2">
      <c r="A27" s="14" t="s">
        <v>127</v>
      </c>
      <c r="B27" s="17" t="s">
        <v>273</v>
      </c>
      <c r="C27" s="17" t="s">
        <v>247</v>
      </c>
      <c r="D27" s="17" t="s">
        <v>245</v>
      </c>
      <c r="E27" s="17" t="s">
        <v>246</v>
      </c>
      <c r="G27" s="17" t="s">
        <v>245</v>
      </c>
      <c r="H27" s="17" t="s">
        <v>245</v>
      </c>
      <c r="S27" s="17" t="s">
        <v>247</v>
      </c>
      <c r="T27" s="17" t="s">
        <v>246</v>
      </c>
      <c r="U27" s="17" t="s">
        <v>246</v>
      </c>
      <c r="V27" s="17" t="s">
        <v>246</v>
      </c>
      <c r="W27" s="17" t="s">
        <v>246</v>
      </c>
      <c r="Z27" s="17" t="s">
        <v>251</v>
      </c>
      <c r="AE27" s="17" t="s">
        <v>251</v>
      </c>
      <c r="AF27" s="17" t="s">
        <v>248</v>
      </c>
      <c r="AH27" s="17" t="s">
        <v>251</v>
      </c>
      <c r="AI27" s="17" t="s">
        <v>248</v>
      </c>
      <c r="AJ27" s="17" t="s">
        <v>248</v>
      </c>
      <c r="AL27" s="17" t="s">
        <v>251</v>
      </c>
      <c r="AM27" s="17" t="s">
        <v>251</v>
      </c>
      <c r="AN27" s="17" t="s">
        <v>250</v>
      </c>
      <c r="AU27" s="17" t="s">
        <v>28</v>
      </c>
      <c r="AV27" s="17" t="s">
        <v>253</v>
      </c>
      <c r="AW27" s="17" t="s">
        <v>28</v>
      </c>
      <c r="AX27" s="17" t="s">
        <v>28</v>
      </c>
      <c r="AY27" s="17" t="s">
        <v>28</v>
      </c>
      <c r="AZ27" s="17" t="s">
        <v>28</v>
      </c>
      <c r="BA27" s="17" t="s">
        <v>25</v>
      </c>
      <c r="BC27" s="17" t="s">
        <v>25</v>
      </c>
      <c r="BD27" s="17" t="s">
        <v>28</v>
      </c>
      <c r="BE27" s="17" t="s">
        <v>28</v>
      </c>
      <c r="BH27" s="17" t="s">
        <v>28</v>
      </c>
      <c r="BI27" s="17" t="s">
        <v>28</v>
      </c>
      <c r="BJ27" s="17" t="s">
        <v>257</v>
      </c>
      <c r="BK27" s="17" t="s">
        <v>28</v>
      </c>
      <c r="BL27" s="17" t="s">
        <v>274</v>
      </c>
    </row>
    <row r="28" spans="1:64" ht="51" x14ac:dyDescent="0.2">
      <c r="A28" s="14" t="s">
        <v>131</v>
      </c>
      <c r="B28" s="17" t="s">
        <v>13309</v>
      </c>
      <c r="C28" s="17" t="s">
        <v>245</v>
      </c>
      <c r="D28" s="17" t="s">
        <v>245</v>
      </c>
      <c r="E28" s="17" t="s">
        <v>247</v>
      </c>
      <c r="F28" s="17" t="s">
        <v>245</v>
      </c>
      <c r="G28" s="17" t="s">
        <v>245</v>
      </c>
      <c r="H28" s="17" t="s">
        <v>245</v>
      </c>
      <c r="I28" s="17" t="s">
        <v>245</v>
      </c>
      <c r="J28" s="17" t="s">
        <v>245</v>
      </c>
      <c r="K28" s="17" t="s">
        <v>245</v>
      </c>
      <c r="L28" s="17" t="s">
        <v>246</v>
      </c>
      <c r="M28" s="17" t="s">
        <v>247</v>
      </c>
      <c r="N28" s="17" t="s">
        <v>245</v>
      </c>
      <c r="O28" s="17" t="s">
        <v>246</v>
      </c>
      <c r="P28" s="17" t="s">
        <v>246</v>
      </c>
      <c r="Q28" s="17" t="s">
        <v>246</v>
      </c>
      <c r="R28" s="17" t="s">
        <v>246</v>
      </c>
      <c r="S28" s="17" t="s">
        <v>246</v>
      </c>
      <c r="T28" s="17" t="s">
        <v>246</v>
      </c>
      <c r="U28" s="17" t="s">
        <v>246</v>
      </c>
      <c r="V28" s="17" t="s">
        <v>246</v>
      </c>
      <c r="W28" s="17" t="s">
        <v>246</v>
      </c>
      <c r="X28" s="17" t="s">
        <v>245</v>
      </c>
      <c r="Y28" s="17" t="s">
        <v>251</v>
      </c>
      <c r="Z28" s="17" t="s">
        <v>251</v>
      </c>
      <c r="AB28" s="17" t="s">
        <v>249</v>
      </c>
      <c r="AC28" s="17" t="s">
        <v>251</v>
      </c>
      <c r="AD28" s="17" t="s">
        <v>251</v>
      </c>
      <c r="AE28" s="17" t="s">
        <v>256</v>
      </c>
      <c r="AF28" s="17" t="s">
        <v>249</v>
      </c>
      <c r="AL28" s="17" t="s">
        <v>256</v>
      </c>
      <c r="AM28" s="17" t="s">
        <v>248</v>
      </c>
      <c r="AN28" s="17" t="s">
        <v>256</v>
      </c>
      <c r="AT28" s="17" t="s">
        <v>252</v>
      </c>
      <c r="AU28" s="17" t="s">
        <v>25</v>
      </c>
      <c r="AV28" s="17" t="s">
        <v>25</v>
      </c>
      <c r="AW28" s="17" t="s">
        <v>28</v>
      </c>
      <c r="AX28" s="17" t="s">
        <v>28</v>
      </c>
      <c r="AY28" s="17" t="s">
        <v>28</v>
      </c>
      <c r="AZ28" s="17" t="s">
        <v>28</v>
      </c>
      <c r="BA28" s="17" t="s">
        <v>25</v>
      </c>
      <c r="BB28" s="17" t="s">
        <v>28</v>
      </c>
      <c r="BC28" s="17" t="s">
        <v>25</v>
      </c>
      <c r="BD28" s="17" t="s">
        <v>25</v>
      </c>
      <c r="BE28" s="17" t="s">
        <v>28</v>
      </c>
      <c r="BH28" s="17" t="s">
        <v>28</v>
      </c>
      <c r="BI28" s="17" t="s">
        <v>28</v>
      </c>
      <c r="BJ28" s="17" t="s">
        <v>28</v>
      </c>
      <c r="BK28" s="17" t="s">
        <v>28</v>
      </c>
      <c r="BL28" s="17" t="s">
        <v>281</v>
      </c>
    </row>
    <row r="29" spans="1:64" ht="76.5" x14ac:dyDescent="0.2">
      <c r="A29" s="14" t="s">
        <v>139</v>
      </c>
      <c r="B29" s="17" t="s">
        <v>13314</v>
      </c>
      <c r="C29" s="17" t="s">
        <v>245</v>
      </c>
      <c r="D29" s="17" t="s">
        <v>245</v>
      </c>
      <c r="E29" s="17" t="s">
        <v>245</v>
      </c>
      <c r="F29" s="17" t="s">
        <v>245</v>
      </c>
      <c r="G29" s="17" t="s">
        <v>245</v>
      </c>
      <c r="H29" s="17" t="s">
        <v>246</v>
      </c>
      <c r="I29" s="17" t="s">
        <v>245</v>
      </c>
      <c r="J29" s="17" t="s">
        <v>245</v>
      </c>
      <c r="K29" s="17" t="s">
        <v>245</v>
      </c>
      <c r="L29" s="17" t="s">
        <v>246</v>
      </c>
      <c r="M29" s="17" t="s">
        <v>246</v>
      </c>
      <c r="N29" s="17" t="s">
        <v>246</v>
      </c>
      <c r="O29" s="17" t="s">
        <v>246</v>
      </c>
      <c r="P29" s="17" t="s">
        <v>246</v>
      </c>
      <c r="Q29" s="17" t="s">
        <v>246</v>
      </c>
      <c r="R29" s="17" t="s">
        <v>246</v>
      </c>
      <c r="S29" s="17" t="s">
        <v>246</v>
      </c>
      <c r="T29" s="17" t="s">
        <v>245</v>
      </c>
      <c r="U29" s="17" t="s">
        <v>246</v>
      </c>
      <c r="V29" s="17" t="s">
        <v>246</v>
      </c>
      <c r="W29" s="17" t="s">
        <v>246</v>
      </c>
      <c r="X29" s="17" t="s">
        <v>245</v>
      </c>
      <c r="Z29" s="17" t="s">
        <v>251</v>
      </c>
      <c r="AA29" s="17" t="s">
        <v>256</v>
      </c>
      <c r="AB29" s="17" t="s">
        <v>249</v>
      </c>
      <c r="AC29" s="17" t="s">
        <v>251</v>
      </c>
      <c r="AE29" s="17" t="s">
        <v>249</v>
      </c>
      <c r="AF29" s="17" t="s">
        <v>249</v>
      </c>
      <c r="AG29" s="17" t="s">
        <v>248</v>
      </c>
      <c r="AH29" s="17" t="s">
        <v>249</v>
      </c>
      <c r="AI29" s="17" t="s">
        <v>249</v>
      </c>
      <c r="AJ29" s="17" t="s">
        <v>248</v>
      </c>
      <c r="AL29" s="17" t="s">
        <v>249</v>
      </c>
      <c r="AN29" s="17" t="s">
        <v>256</v>
      </c>
      <c r="AP29" s="17" t="s">
        <v>251</v>
      </c>
      <c r="AT29" s="17" t="s">
        <v>251</v>
      </c>
      <c r="AU29" s="17" t="s">
        <v>25</v>
      </c>
      <c r="AV29" s="17" t="s">
        <v>25</v>
      </c>
      <c r="AW29" s="17" t="s">
        <v>28</v>
      </c>
      <c r="AX29" s="17" t="s">
        <v>28</v>
      </c>
      <c r="AY29" s="17" t="s">
        <v>25</v>
      </c>
      <c r="AZ29" s="17" t="s">
        <v>253</v>
      </c>
      <c r="BA29" s="17" t="s">
        <v>28</v>
      </c>
      <c r="BB29" s="17" t="s">
        <v>253</v>
      </c>
      <c r="BC29" s="17" t="s">
        <v>28</v>
      </c>
      <c r="BD29" s="17" t="s">
        <v>25</v>
      </c>
      <c r="BE29" s="17" t="s">
        <v>28</v>
      </c>
      <c r="BH29" s="17" t="s">
        <v>28</v>
      </c>
      <c r="BI29" s="17" t="s">
        <v>28</v>
      </c>
      <c r="BJ29" s="17" t="s">
        <v>28</v>
      </c>
      <c r="BK29" s="17" t="s">
        <v>28</v>
      </c>
      <c r="BL29" s="17" t="s">
        <v>292</v>
      </c>
    </row>
    <row r="30" spans="1:64" x14ac:dyDescent="0.2">
      <c r="A30" s="14" t="s">
        <v>120</v>
      </c>
      <c r="B30" s="17" t="s">
        <v>261</v>
      </c>
      <c r="C30" s="17" t="s">
        <v>246</v>
      </c>
      <c r="D30" s="17" t="s">
        <v>246</v>
      </c>
      <c r="E30" s="17" t="s">
        <v>247</v>
      </c>
      <c r="G30" s="17" t="s">
        <v>245</v>
      </c>
      <c r="H30" s="17" t="s">
        <v>246</v>
      </c>
      <c r="I30" s="17" t="s">
        <v>246</v>
      </c>
      <c r="J30" s="17" t="s">
        <v>245</v>
      </c>
      <c r="K30" s="17" t="s">
        <v>245</v>
      </c>
      <c r="L30" s="17" t="s">
        <v>245</v>
      </c>
      <c r="M30" s="17" t="s">
        <v>246</v>
      </c>
      <c r="N30" s="17" t="s">
        <v>245</v>
      </c>
      <c r="O30" s="17" t="s">
        <v>246</v>
      </c>
      <c r="P30" s="17" t="s">
        <v>246</v>
      </c>
      <c r="Q30" s="17" t="s">
        <v>246</v>
      </c>
      <c r="R30" s="17" t="s">
        <v>246</v>
      </c>
      <c r="S30" s="17" t="s">
        <v>246</v>
      </c>
      <c r="T30" s="17" t="s">
        <v>246</v>
      </c>
      <c r="U30" s="17" t="s">
        <v>246</v>
      </c>
      <c r="V30" s="17" t="s">
        <v>246</v>
      </c>
      <c r="W30" s="17" t="s">
        <v>246</v>
      </c>
      <c r="X30" s="17" t="s">
        <v>246</v>
      </c>
      <c r="AC30" s="17" t="s">
        <v>256</v>
      </c>
      <c r="AF30" s="17" t="s">
        <v>251</v>
      </c>
      <c r="AG30" s="17" t="s">
        <v>251</v>
      </c>
      <c r="AH30" s="17" t="s">
        <v>251</v>
      </c>
      <c r="AJ30" s="17" t="s">
        <v>251</v>
      </c>
      <c r="AN30" s="17" t="s">
        <v>249</v>
      </c>
      <c r="AU30" s="17" t="s">
        <v>25</v>
      </c>
      <c r="AV30" s="17" t="s">
        <v>25</v>
      </c>
      <c r="AW30" s="17" t="s">
        <v>25</v>
      </c>
      <c r="AX30" s="17" t="s">
        <v>28</v>
      </c>
      <c r="AY30" s="17" t="s">
        <v>25</v>
      </c>
      <c r="AZ30" s="17" t="s">
        <v>28</v>
      </c>
      <c r="BA30" s="17" t="s">
        <v>25</v>
      </c>
      <c r="BB30" s="17" t="s">
        <v>25</v>
      </c>
      <c r="BC30" s="17" t="s">
        <v>25</v>
      </c>
      <c r="BD30" s="17" t="s">
        <v>25</v>
      </c>
      <c r="BE30" s="17" t="s">
        <v>25</v>
      </c>
      <c r="BF30" s="17" t="s">
        <v>25</v>
      </c>
      <c r="BH30" s="17" t="s">
        <v>28</v>
      </c>
      <c r="BI30" s="17" t="s">
        <v>262</v>
      </c>
      <c r="BJ30" s="17" t="s">
        <v>28</v>
      </c>
      <c r="BK30" s="17" t="s">
        <v>259</v>
      </c>
    </row>
    <row r="31" spans="1:64" ht="63.75" x14ac:dyDescent="0.2">
      <c r="A31" s="14" t="s">
        <v>174</v>
      </c>
      <c r="B31" s="17" t="s">
        <v>13315</v>
      </c>
      <c r="C31" s="17" t="s">
        <v>246</v>
      </c>
      <c r="D31" s="17" t="s">
        <v>246</v>
      </c>
      <c r="E31" s="17" t="s">
        <v>246</v>
      </c>
      <c r="F31" s="17" t="s">
        <v>246</v>
      </c>
      <c r="G31" s="17" t="s">
        <v>246</v>
      </c>
      <c r="H31" s="17" t="s">
        <v>246</v>
      </c>
      <c r="I31" s="17" t="s">
        <v>246</v>
      </c>
      <c r="J31" s="17" t="s">
        <v>245</v>
      </c>
      <c r="K31" s="17" t="s">
        <v>246</v>
      </c>
      <c r="L31" s="17" t="s">
        <v>246</v>
      </c>
      <c r="M31" s="17" t="s">
        <v>246</v>
      </c>
      <c r="N31" s="17" t="s">
        <v>245</v>
      </c>
      <c r="O31" s="17" t="s">
        <v>246</v>
      </c>
      <c r="P31" s="17" t="s">
        <v>246</v>
      </c>
      <c r="Q31" s="17" t="s">
        <v>246</v>
      </c>
      <c r="R31" s="17" t="s">
        <v>245</v>
      </c>
      <c r="S31" s="17" t="s">
        <v>246</v>
      </c>
      <c r="T31" s="17" t="s">
        <v>246</v>
      </c>
      <c r="U31" s="17" t="s">
        <v>245</v>
      </c>
      <c r="V31" s="17" t="s">
        <v>246</v>
      </c>
      <c r="W31" s="17" t="s">
        <v>246</v>
      </c>
      <c r="X31" s="17" t="s">
        <v>245</v>
      </c>
      <c r="AF31" s="17" t="s">
        <v>248</v>
      </c>
      <c r="AJ31" s="17" t="s">
        <v>249</v>
      </c>
      <c r="AK31" s="17" t="s">
        <v>249</v>
      </c>
      <c r="AM31" s="17" t="s">
        <v>248</v>
      </c>
      <c r="AN31" s="17" t="s">
        <v>251</v>
      </c>
      <c r="AQ31" s="17" t="s">
        <v>248</v>
      </c>
      <c r="AT31" s="17" t="s">
        <v>248</v>
      </c>
      <c r="AU31" s="17" t="s">
        <v>25</v>
      </c>
      <c r="AV31" s="17" t="s">
        <v>25</v>
      </c>
      <c r="AW31" s="17" t="s">
        <v>28</v>
      </c>
      <c r="AX31" s="17" t="s">
        <v>28</v>
      </c>
      <c r="AY31" s="17" t="s">
        <v>28</v>
      </c>
      <c r="AZ31" s="17" t="s">
        <v>28</v>
      </c>
      <c r="BA31" s="17" t="s">
        <v>25</v>
      </c>
      <c r="BB31" s="17" t="s">
        <v>28</v>
      </c>
      <c r="BC31" s="17" t="s">
        <v>28</v>
      </c>
      <c r="BD31" s="17" t="s">
        <v>25</v>
      </c>
      <c r="BE31" s="17" t="s">
        <v>28</v>
      </c>
      <c r="BH31" s="17" t="s">
        <v>28</v>
      </c>
      <c r="BI31" s="17" t="s">
        <v>28</v>
      </c>
      <c r="BJ31" s="17" t="s">
        <v>257</v>
      </c>
      <c r="BK31" s="17" t="s">
        <v>28</v>
      </c>
      <c r="BL31" s="17" t="s">
        <v>327</v>
      </c>
    </row>
    <row r="32" spans="1:64" ht="51" x14ac:dyDescent="0.2">
      <c r="A32" s="14" t="s">
        <v>124</v>
      </c>
      <c r="B32" s="17" t="s">
        <v>13309</v>
      </c>
      <c r="C32" s="17" t="s">
        <v>245</v>
      </c>
      <c r="D32" s="17" t="s">
        <v>245</v>
      </c>
      <c r="E32" s="17" t="s">
        <v>247</v>
      </c>
      <c r="F32" s="17" t="s">
        <v>245</v>
      </c>
      <c r="G32" s="17" t="s">
        <v>245</v>
      </c>
      <c r="H32" s="17" t="s">
        <v>245</v>
      </c>
      <c r="I32" s="17" t="s">
        <v>246</v>
      </c>
      <c r="J32" s="17" t="s">
        <v>245</v>
      </c>
      <c r="K32" s="17" t="s">
        <v>246</v>
      </c>
      <c r="L32" s="17" t="s">
        <v>246</v>
      </c>
      <c r="M32" s="17" t="s">
        <v>246</v>
      </c>
      <c r="N32" s="17" t="s">
        <v>245</v>
      </c>
      <c r="O32" s="17" t="s">
        <v>246</v>
      </c>
      <c r="P32" s="17" t="s">
        <v>246</v>
      </c>
      <c r="Q32" s="17" t="s">
        <v>246</v>
      </c>
      <c r="R32" s="17" t="s">
        <v>246</v>
      </c>
      <c r="S32" s="17" t="s">
        <v>246</v>
      </c>
      <c r="T32" s="17" t="s">
        <v>246</v>
      </c>
      <c r="U32" s="17" t="s">
        <v>246</v>
      </c>
      <c r="V32" s="17" t="s">
        <v>246</v>
      </c>
      <c r="W32" s="17" t="s">
        <v>246</v>
      </c>
      <c r="X32" s="17" t="s">
        <v>246</v>
      </c>
      <c r="Y32" s="17" t="s">
        <v>251</v>
      </c>
      <c r="Z32" s="17" t="s">
        <v>251</v>
      </c>
      <c r="AB32" s="17" t="s">
        <v>251</v>
      </c>
      <c r="AC32" s="17" t="s">
        <v>251</v>
      </c>
      <c r="AD32" s="17" t="s">
        <v>251</v>
      </c>
      <c r="AF32" s="17" t="s">
        <v>249</v>
      </c>
      <c r="AG32" s="17" t="s">
        <v>250</v>
      </c>
      <c r="AJ32" s="17" t="s">
        <v>251</v>
      </c>
      <c r="AM32" s="17" t="s">
        <v>251</v>
      </c>
      <c r="AO32" s="17" t="s">
        <v>251</v>
      </c>
      <c r="AU32" s="17" t="s">
        <v>25</v>
      </c>
      <c r="AV32" s="17" t="s">
        <v>25</v>
      </c>
      <c r="AW32" s="17" t="s">
        <v>28</v>
      </c>
      <c r="AX32" s="17" t="s">
        <v>28</v>
      </c>
      <c r="AY32" s="17" t="s">
        <v>28</v>
      </c>
      <c r="AZ32" s="17" t="s">
        <v>28</v>
      </c>
      <c r="BA32" s="17" t="s">
        <v>25</v>
      </c>
      <c r="BB32" s="17" t="s">
        <v>25</v>
      </c>
      <c r="BC32" s="17" t="s">
        <v>25</v>
      </c>
      <c r="BD32" s="17" t="s">
        <v>25</v>
      </c>
      <c r="BE32" s="17" t="s">
        <v>28</v>
      </c>
      <c r="BF32" s="17" t="s">
        <v>25</v>
      </c>
      <c r="BH32" s="17" t="s">
        <v>28</v>
      </c>
      <c r="BI32" s="17" t="s">
        <v>28</v>
      </c>
      <c r="BJ32" s="17" t="s">
        <v>28</v>
      </c>
      <c r="BK32" s="17" t="s">
        <v>262</v>
      </c>
      <c r="BL32" s="17" t="s">
        <v>267</v>
      </c>
    </row>
    <row r="33" spans="1:64" ht="63.75" x14ac:dyDescent="0.2">
      <c r="A33" s="14" t="s">
        <v>117</v>
      </c>
      <c r="B33" s="17" t="s">
        <v>13307</v>
      </c>
      <c r="C33" s="17" t="s">
        <v>245</v>
      </c>
      <c r="D33" s="17" t="s">
        <v>245</v>
      </c>
      <c r="E33" s="17" t="s">
        <v>245</v>
      </c>
      <c r="F33" s="17" t="s">
        <v>245</v>
      </c>
      <c r="G33" s="17" t="s">
        <v>245</v>
      </c>
      <c r="H33" s="17" t="s">
        <v>246</v>
      </c>
      <c r="I33" s="17" t="s">
        <v>245</v>
      </c>
      <c r="J33" s="17" t="s">
        <v>245</v>
      </c>
      <c r="K33" s="17" t="s">
        <v>245</v>
      </c>
      <c r="L33" s="17" t="s">
        <v>246</v>
      </c>
      <c r="M33" s="17" t="s">
        <v>245</v>
      </c>
      <c r="N33" s="17" t="s">
        <v>245</v>
      </c>
      <c r="O33" s="17" t="s">
        <v>246</v>
      </c>
      <c r="P33" s="17" t="s">
        <v>246</v>
      </c>
      <c r="Q33" s="17" t="s">
        <v>246</v>
      </c>
      <c r="R33" s="17" t="s">
        <v>246</v>
      </c>
      <c r="S33" s="17" t="s">
        <v>247</v>
      </c>
      <c r="T33" s="17" t="s">
        <v>245</v>
      </c>
      <c r="U33" s="17" t="s">
        <v>245</v>
      </c>
      <c r="V33" s="17" t="s">
        <v>245</v>
      </c>
      <c r="W33" s="17" t="s">
        <v>246</v>
      </c>
      <c r="X33" s="17" t="s">
        <v>245</v>
      </c>
      <c r="Y33" s="17" t="s">
        <v>248</v>
      </c>
      <c r="Z33" s="17" t="s">
        <v>249</v>
      </c>
      <c r="AA33" s="17" t="s">
        <v>250</v>
      </c>
      <c r="AB33" s="17" t="s">
        <v>248</v>
      </c>
      <c r="AC33" s="17" t="s">
        <v>251</v>
      </c>
      <c r="AE33" s="17" t="s">
        <v>251</v>
      </c>
      <c r="AF33" s="17" t="s">
        <v>248</v>
      </c>
      <c r="AG33" s="17" t="s">
        <v>248</v>
      </c>
      <c r="AH33" s="17" t="s">
        <v>249</v>
      </c>
      <c r="AI33" s="17" t="s">
        <v>248</v>
      </c>
      <c r="AJ33" s="17" t="s">
        <v>248</v>
      </c>
      <c r="AL33" s="17" t="s">
        <v>248</v>
      </c>
      <c r="AM33" s="17" t="s">
        <v>248</v>
      </c>
      <c r="AN33" s="17" t="s">
        <v>250</v>
      </c>
      <c r="AT33" s="17" t="s">
        <v>252</v>
      </c>
      <c r="AU33" s="17" t="s">
        <v>28</v>
      </c>
      <c r="AV33" s="17" t="s">
        <v>28</v>
      </c>
      <c r="AW33" s="17" t="s">
        <v>28</v>
      </c>
      <c r="AX33" s="17" t="s">
        <v>28</v>
      </c>
      <c r="AY33" s="17" t="s">
        <v>28</v>
      </c>
      <c r="AZ33" s="17" t="s">
        <v>28</v>
      </c>
      <c r="BA33" s="17" t="s">
        <v>28</v>
      </c>
      <c r="BB33" s="17" t="s">
        <v>25</v>
      </c>
      <c r="BC33" s="17" t="s">
        <v>28</v>
      </c>
      <c r="BD33" s="17" t="s">
        <v>28</v>
      </c>
      <c r="BE33" s="17" t="s">
        <v>28</v>
      </c>
      <c r="BF33" s="17" t="s">
        <v>253</v>
      </c>
      <c r="BH33" s="17" t="s">
        <v>28</v>
      </c>
      <c r="BI33" s="17" t="s">
        <v>28</v>
      </c>
      <c r="BJ33" s="17" t="s">
        <v>28</v>
      </c>
      <c r="BK33" s="17" t="s">
        <v>254</v>
      </c>
      <c r="BL33" s="17" t="s">
        <v>255</v>
      </c>
    </row>
    <row r="34" spans="1:64" ht="63.75" x14ac:dyDescent="0.2">
      <c r="A34" s="14" t="s">
        <v>168</v>
      </c>
      <c r="B34" s="17" t="s">
        <v>13315</v>
      </c>
      <c r="C34" s="17" t="s">
        <v>245</v>
      </c>
      <c r="D34" s="17" t="s">
        <v>245</v>
      </c>
      <c r="E34" s="17" t="s">
        <v>246</v>
      </c>
      <c r="F34" s="17" t="s">
        <v>245</v>
      </c>
      <c r="G34" s="17" t="s">
        <v>245</v>
      </c>
      <c r="H34" s="17" t="s">
        <v>245</v>
      </c>
      <c r="I34" s="17" t="s">
        <v>245</v>
      </c>
      <c r="J34" s="17" t="s">
        <v>245</v>
      </c>
      <c r="K34" s="17" t="s">
        <v>247</v>
      </c>
      <c r="N34" s="17" t="s">
        <v>245</v>
      </c>
      <c r="O34" s="17" t="s">
        <v>246</v>
      </c>
      <c r="S34" s="17" t="s">
        <v>246</v>
      </c>
      <c r="T34" s="17" t="s">
        <v>246</v>
      </c>
      <c r="U34" s="17" t="s">
        <v>246</v>
      </c>
      <c r="V34" s="17" t="s">
        <v>246</v>
      </c>
      <c r="W34" s="17" t="s">
        <v>246</v>
      </c>
      <c r="X34" s="17" t="s">
        <v>245</v>
      </c>
      <c r="Z34" s="17" t="s">
        <v>251</v>
      </c>
      <c r="AB34" s="17" t="s">
        <v>252</v>
      </c>
      <c r="AE34" s="17" t="s">
        <v>251</v>
      </c>
      <c r="AF34" s="17" t="s">
        <v>250</v>
      </c>
      <c r="AI34" s="17" t="s">
        <v>251</v>
      </c>
      <c r="AJ34" s="17" t="s">
        <v>250</v>
      </c>
      <c r="AM34" s="17" t="s">
        <v>250</v>
      </c>
      <c r="AT34" s="17" t="s">
        <v>252</v>
      </c>
      <c r="AU34" s="17" t="s">
        <v>265</v>
      </c>
      <c r="AV34" s="17" t="s">
        <v>25</v>
      </c>
      <c r="AW34" s="17" t="s">
        <v>25</v>
      </c>
      <c r="AX34" s="17" t="s">
        <v>28</v>
      </c>
      <c r="AY34" s="17" t="s">
        <v>28</v>
      </c>
      <c r="AZ34" s="17" t="s">
        <v>25</v>
      </c>
      <c r="BA34" s="17" t="s">
        <v>25</v>
      </c>
      <c r="BB34" s="17" t="s">
        <v>28</v>
      </c>
      <c r="BC34" s="17" t="s">
        <v>25</v>
      </c>
      <c r="BD34" s="17" t="s">
        <v>25</v>
      </c>
      <c r="BE34" s="17" t="s">
        <v>25</v>
      </c>
      <c r="BF34" s="17" t="s">
        <v>253</v>
      </c>
      <c r="BH34" s="17" t="s">
        <v>28</v>
      </c>
      <c r="BI34" s="17" t="s">
        <v>28</v>
      </c>
      <c r="BJ34" s="17" t="s">
        <v>28</v>
      </c>
      <c r="BK34" s="17" t="s">
        <v>28</v>
      </c>
      <c r="BL34" s="17" t="s">
        <v>322</v>
      </c>
    </row>
    <row r="35" spans="1:64" ht="38.25" x14ac:dyDescent="0.2">
      <c r="A35" s="14" t="s">
        <v>143</v>
      </c>
      <c r="B35" s="17" t="s">
        <v>13311</v>
      </c>
      <c r="C35" s="17" t="s">
        <v>245</v>
      </c>
      <c r="D35" s="17" t="s">
        <v>245</v>
      </c>
      <c r="E35" s="17" t="s">
        <v>246</v>
      </c>
      <c r="F35" s="17" t="s">
        <v>245</v>
      </c>
      <c r="G35" s="17" t="s">
        <v>245</v>
      </c>
      <c r="H35" s="17" t="s">
        <v>245</v>
      </c>
      <c r="I35" s="17" t="s">
        <v>245</v>
      </c>
      <c r="J35" s="17" t="s">
        <v>245</v>
      </c>
      <c r="K35" s="17" t="s">
        <v>246</v>
      </c>
      <c r="L35" s="17" t="s">
        <v>268</v>
      </c>
      <c r="M35" s="17" t="s">
        <v>246</v>
      </c>
      <c r="N35" s="17" t="s">
        <v>245</v>
      </c>
      <c r="O35" s="17" t="s">
        <v>246</v>
      </c>
      <c r="P35" s="17" t="s">
        <v>246</v>
      </c>
      <c r="Q35" s="17" t="s">
        <v>247</v>
      </c>
      <c r="R35" s="17" t="s">
        <v>268</v>
      </c>
      <c r="S35" s="17" t="s">
        <v>246</v>
      </c>
      <c r="T35" s="17" t="s">
        <v>245</v>
      </c>
      <c r="U35" s="17" t="s">
        <v>245</v>
      </c>
      <c r="V35" s="17" t="s">
        <v>245</v>
      </c>
      <c r="W35" s="17" t="s">
        <v>246</v>
      </c>
      <c r="X35" s="17" t="s">
        <v>246</v>
      </c>
      <c r="AB35" s="17" t="s">
        <v>248</v>
      </c>
      <c r="AC35" s="17" t="s">
        <v>256</v>
      </c>
      <c r="AE35" s="17" t="s">
        <v>251</v>
      </c>
      <c r="AF35" s="17" t="s">
        <v>249</v>
      </c>
      <c r="AG35" s="17" t="s">
        <v>249</v>
      </c>
      <c r="AH35" s="17" t="s">
        <v>249</v>
      </c>
      <c r="AI35" s="17" t="s">
        <v>251</v>
      </c>
      <c r="AJ35" s="17" t="s">
        <v>249</v>
      </c>
      <c r="AM35" s="17" t="s">
        <v>251</v>
      </c>
      <c r="AN35" s="17" t="s">
        <v>256</v>
      </c>
      <c r="AU35" s="17" t="s">
        <v>25</v>
      </c>
      <c r="AV35" s="17" t="s">
        <v>25</v>
      </c>
      <c r="AW35" s="17" t="s">
        <v>28</v>
      </c>
      <c r="AX35" s="17" t="s">
        <v>28</v>
      </c>
      <c r="AY35" s="17" t="s">
        <v>28</v>
      </c>
      <c r="AZ35" s="17" t="s">
        <v>28</v>
      </c>
      <c r="BA35" s="17" t="s">
        <v>25</v>
      </c>
      <c r="BB35" s="17" t="s">
        <v>265</v>
      </c>
      <c r="BC35" s="17" t="s">
        <v>28</v>
      </c>
      <c r="BD35" s="17" t="s">
        <v>28</v>
      </c>
      <c r="BE35" s="17" t="s">
        <v>265</v>
      </c>
      <c r="BH35" s="17" t="s">
        <v>28</v>
      </c>
      <c r="BI35" s="17" t="s">
        <v>28</v>
      </c>
      <c r="BJ35" s="17" t="s">
        <v>28</v>
      </c>
      <c r="BK35" s="17" t="s">
        <v>28</v>
      </c>
      <c r="BL35" s="17" t="s">
        <v>296</v>
      </c>
    </row>
    <row r="36" spans="1:64" ht="51" x14ac:dyDescent="0.2">
      <c r="A36" s="14" t="s">
        <v>180</v>
      </c>
      <c r="B36" s="17" t="s">
        <v>13308</v>
      </c>
      <c r="C36" s="17" t="s">
        <v>246</v>
      </c>
      <c r="D36" s="17" t="s">
        <v>245</v>
      </c>
      <c r="E36" s="17" t="s">
        <v>245</v>
      </c>
      <c r="F36" s="17" t="s">
        <v>245</v>
      </c>
      <c r="G36" s="17" t="s">
        <v>245</v>
      </c>
      <c r="H36" s="17" t="s">
        <v>246</v>
      </c>
      <c r="I36" s="17" t="s">
        <v>246</v>
      </c>
      <c r="J36" s="17" t="s">
        <v>245</v>
      </c>
      <c r="K36" s="17" t="s">
        <v>246</v>
      </c>
      <c r="L36" s="17" t="s">
        <v>246</v>
      </c>
      <c r="M36" s="17" t="s">
        <v>246</v>
      </c>
      <c r="N36" s="17" t="s">
        <v>245</v>
      </c>
      <c r="O36" s="17" t="s">
        <v>246</v>
      </c>
      <c r="P36" s="17" t="s">
        <v>246</v>
      </c>
      <c r="Q36" s="17" t="s">
        <v>246</v>
      </c>
      <c r="R36" s="17" t="s">
        <v>245</v>
      </c>
      <c r="S36" s="17" t="s">
        <v>246</v>
      </c>
      <c r="T36" s="17" t="s">
        <v>246</v>
      </c>
      <c r="U36" s="17" t="s">
        <v>246</v>
      </c>
      <c r="V36" s="17" t="s">
        <v>246</v>
      </c>
      <c r="W36" s="17" t="s">
        <v>246</v>
      </c>
      <c r="X36" s="17" t="s">
        <v>245</v>
      </c>
      <c r="Z36" s="17" t="s">
        <v>251</v>
      </c>
      <c r="AA36" s="17" t="s">
        <v>256</v>
      </c>
      <c r="AB36" s="17" t="s">
        <v>251</v>
      </c>
      <c r="AC36" s="17" t="s">
        <v>251</v>
      </c>
      <c r="AT36" s="17" t="s">
        <v>252</v>
      </c>
      <c r="AU36" s="17" t="s">
        <v>25</v>
      </c>
      <c r="AV36" s="17" t="s">
        <v>25</v>
      </c>
      <c r="AW36" s="17" t="s">
        <v>28</v>
      </c>
      <c r="AX36" s="17" t="s">
        <v>28</v>
      </c>
      <c r="AY36" s="17" t="s">
        <v>28</v>
      </c>
      <c r="AZ36" s="17" t="s">
        <v>25</v>
      </c>
      <c r="BA36" s="17" t="s">
        <v>25</v>
      </c>
      <c r="BB36" s="17" t="s">
        <v>28</v>
      </c>
      <c r="BC36" s="17" t="s">
        <v>25</v>
      </c>
      <c r="BD36" s="17" t="s">
        <v>25</v>
      </c>
      <c r="BE36" s="17" t="s">
        <v>25</v>
      </c>
      <c r="BF36" s="17" t="s">
        <v>25</v>
      </c>
      <c r="BH36" s="17" t="s">
        <v>28</v>
      </c>
      <c r="BI36" s="17" t="s">
        <v>28</v>
      </c>
      <c r="BJ36" s="17" t="s">
        <v>257</v>
      </c>
      <c r="BK36" s="17" t="s">
        <v>259</v>
      </c>
      <c r="BL36" s="17" t="s">
        <v>333</v>
      </c>
    </row>
    <row r="37" spans="1:64" ht="51" x14ac:dyDescent="0.2">
      <c r="A37" s="14" t="s">
        <v>158</v>
      </c>
      <c r="B37" s="17" t="s">
        <v>13309</v>
      </c>
      <c r="C37" s="17" t="s">
        <v>245</v>
      </c>
      <c r="D37" s="17" t="s">
        <v>245</v>
      </c>
      <c r="E37" s="17" t="s">
        <v>245</v>
      </c>
      <c r="F37" s="17" t="s">
        <v>245</v>
      </c>
      <c r="G37" s="17" t="s">
        <v>245</v>
      </c>
      <c r="H37" s="17" t="s">
        <v>245</v>
      </c>
      <c r="I37" s="17" t="s">
        <v>245</v>
      </c>
      <c r="J37" s="17" t="s">
        <v>245</v>
      </c>
      <c r="K37" s="17" t="s">
        <v>245</v>
      </c>
      <c r="N37" s="17" t="s">
        <v>245</v>
      </c>
      <c r="O37" s="17" t="s">
        <v>245</v>
      </c>
      <c r="S37" s="17" t="s">
        <v>245</v>
      </c>
      <c r="T37" s="17" t="s">
        <v>246</v>
      </c>
      <c r="U37" s="17" t="s">
        <v>246</v>
      </c>
      <c r="V37" s="17" t="s">
        <v>246</v>
      </c>
      <c r="W37" s="17" t="s">
        <v>246</v>
      </c>
      <c r="X37" s="17" t="s">
        <v>245</v>
      </c>
      <c r="Y37" s="17" t="s">
        <v>248</v>
      </c>
      <c r="Z37" s="17" t="s">
        <v>256</v>
      </c>
      <c r="AA37" s="17" t="s">
        <v>256</v>
      </c>
      <c r="AB37" s="17" t="s">
        <v>252</v>
      </c>
      <c r="AC37" s="17" t="s">
        <v>252</v>
      </c>
      <c r="AD37" s="17" t="s">
        <v>252</v>
      </c>
      <c r="AE37" s="17" t="s">
        <v>250</v>
      </c>
      <c r="AF37" s="17" t="s">
        <v>249</v>
      </c>
      <c r="AG37" s="17" t="s">
        <v>248</v>
      </c>
      <c r="AH37" s="17" t="s">
        <v>249</v>
      </c>
      <c r="AI37" s="17" t="s">
        <v>248</v>
      </c>
      <c r="AJ37" s="17" t="s">
        <v>248</v>
      </c>
      <c r="AM37" s="17" t="s">
        <v>248</v>
      </c>
      <c r="AN37" s="17" t="s">
        <v>248</v>
      </c>
      <c r="AO37" s="17" t="s">
        <v>251</v>
      </c>
      <c r="AT37" s="17" t="s">
        <v>252</v>
      </c>
      <c r="AU37" s="17" t="s">
        <v>25</v>
      </c>
      <c r="AV37" s="17" t="s">
        <v>28</v>
      </c>
      <c r="AW37" s="17" t="s">
        <v>28</v>
      </c>
      <c r="AX37" s="17" t="s">
        <v>28</v>
      </c>
      <c r="AY37" s="17" t="s">
        <v>28</v>
      </c>
      <c r="AZ37" s="17" t="s">
        <v>28</v>
      </c>
      <c r="BA37" s="17" t="s">
        <v>28</v>
      </c>
      <c r="BB37" s="17" t="s">
        <v>28</v>
      </c>
      <c r="BC37" s="17" t="s">
        <v>25</v>
      </c>
      <c r="BD37" s="17" t="s">
        <v>25</v>
      </c>
      <c r="BE37" s="17" t="s">
        <v>28</v>
      </c>
      <c r="BF37" s="17" t="s">
        <v>253</v>
      </c>
      <c r="BH37" s="17" t="s">
        <v>28</v>
      </c>
      <c r="BI37" s="17" t="s">
        <v>28</v>
      </c>
      <c r="BJ37" s="17" t="s">
        <v>28</v>
      </c>
      <c r="BK37" s="17" t="s">
        <v>28</v>
      </c>
      <c r="BL37" s="17" t="s">
        <v>311</v>
      </c>
    </row>
    <row r="38" spans="1:64" ht="38.25" x14ac:dyDescent="0.2">
      <c r="A38" s="14" t="s">
        <v>150</v>
      </c>
      <c r="B38" s="17" t="s">
        <v>286</v>
      </c>
      <c r="C38" s="17" t="s">
        <v>246</v>
      </c>
      <c r="D38" s="17" t="s">
        <v>245</v>
      </c>
      <c r="E38" s="17" t="s">
        <v>246</v>
      </c>
      <c r="F38" s="17" t="s">
        <v>245</v>
      </c>
      <c r="G38" s="17" t="s">
        <v>245</v>
      </c>
      <c r="H38" s="17" t="s">
        <v>246</v>
      </c>
      <c r="I38" s="17" t="s">
        <v>245</v>
      </c>
      <c r="J38" s="17" t="s">
        <v>245</v>
      </c>
      <c r="K38" s="17" t="s">
        <v>246</v>
      </c>
      <c r="L38" s="17" t="s">
        <v>246</v>
      </c>
      <c r="M38" s="17" t="s">
        <v>246</v>
      </c>
      <c r="N38" s="17" t="s">
        <v>245</v>
      </c>
      <c r="O38" s="17" t="s">
        <v>246</v>
      </c>
      <c r="P38" s="17" t="s">
        <v>246</v>
      </c>
      <c r="Q38" s="17" t="s">
        <v>246</v>
      </c>
      <c r="R38" s="17" t="s">
        <v>246</v>
      </c>
      <c r="S38" s="17" t="s">
        <v>246</v>
      </c>
      <c r="T38" s="17" t="s">
        <v>246</v>
      </c>
      <c r="U38" s="17" t="s">
        <v>246</v>
      </c>
      <c r="V38" s="17" t="s">
        <v>246</v>
      </c>
      <c r="W38" s="17" t="s">
        <v>246</v>
      </c>
      <c r="X38" s="17" t="s">
        <v>246</v>
      </c>
      <c r="Z38" s="17" t="s">
        <v>251</v>
      </c>
      <c r="AB38" s="17" t="s">
        <v>251</v>
      </c>
      <c r="AC38" s="17" t="s">
        <v>251</v>
      </c>
      <c r="AE38" s="17" t="s">
        <v>249</v>
      </c>
      <c r="AF38" s="17" t="s">
        <v>248</v>
      </c>
      <c r="AH38" s="17" t="s">
        <v>251</v>
      </c>
      <c r="AJ38" s="17" t="s">
        <v>249</v>
      </c>
      <c r="AU38" s="17" t="s">
        <v>25</v>
      </c>
      <c r="AV38" s="17" t="s">
        <v>25</v>
      </c>
      <c r="AW38" s="17" t="s">
        <v>28</v>
      </c>
      <c r="AX38" s="17" t="s">
        <v>28</v>
      </c>
      <c r="AY38" s="17" t="s">
        <v>28</v>
      </c>
      <c r="AZ38" s="17" t="s">
        <v>25</v>
      </c>
      <c r="BA38" s="17" t="s">
        <v>25</v>
      </c>
      <c r="BB38" s="17" t="s">
        <v>25</v>
      </c>
      <c r="BC38" s="17" t="s">
        <v>25</v>
      </c>
      <c r="BD38" s="17" t="s">
        <v>25</v>
      </c>
      <c r="BE38" s="17" t="s">
        <v>25</v>
      </c>
      <c r="BF38" s="17" t="s">
        <v>28</v>
      </c>
      <c r="BG38" s="17" t="s">
        <v>302</v>
      </c>
      <c r="BH38" s="17" t="s">
        <v>28</v>
      </c>
      <c r="BI38" s="17" t="s">
        <v>28</v>
      </c>
      <c r="BJ38" s="17" t="s">
        <v>257</v>
      </c>
      <c r="BK38" s="17" t="s">
        <v>262</v>
      </c>
      <c r="BL38" s="17" t="s">
        <v>303</v>
      </c>
    </row>
    <row r="39" spans="1:64" ht="38.25" x14ac:dyDescent="0.2">
      <c r="A39" s="14" t="s">
        <v>135</v>
      </c>
      <c r="B39" s="17" t="s">
        <v>286</v>
      </c>
      <c r="C39" s="17" t="s">
        <v>245</v>
      </c>
      <c r="D39" s="17" t="s">
        <v>245</v>
      </c>
      <c r="E39" s="17" t="s">
        <v>247</v>
      </c>
      <c r="F39" s="17" t="s">
        <v>245</v>
      </c>
      <c r="G39" s="17" t="s">
        <v>245</v>
      </c>
      <c r="H39" s="17" t="s">
        <v>245</v>
      </c>
      <c r="I39" s="17" t="s">
        <v>245</v>
      </c>
      <c r="J39" s="17" t="s">
        <v>245</v>
      </c>
      <c r="K39" s="17" t="s">
        <v>245</v>
      </c>
      <c r="L39" s="17" t="s">
        <v>245</v>
      </c>
      <c r="M39" s="17" t="s">
        <v>246</v>
      </c>
      <c r="N39" s="17" t="s">
        <v>245</v>
      </c>
      <c r="O39" s="17" t="s">
        <v>246</v>
      </c>
      <c r="P39" s="17" t="s">
        <v>246</v>
      </c>
      <c r="Q39" s="17" t="s">
        <v>246</v>
      </c>
      <c r="R39" s="17" t="s">
        <v>246</v>
      </c>
      <c r="S39" s="17" t="s">
        <v>245</v>
      </c>
      <c r="T39" s="17" t="s">
        <v>246</v>
      </c>
      <c r="U39" s="17" t="s">
        <v>245</v>
      </c>
      <c r="V39" s="17" t="s">
        <v>245</v>
      </c>
      <c r="W39" s="17" t="s">
        <v>246</v>
      </c>
      <c r="X39" s="17" t="s">
        <v>245</v>
      </c>
      <c r="Y39" s="17" t="s">
        <v>248</v>
      </c>
      <c r="Z39" s="17" t="s">
        <v>251</v>
      </c>
      <c r="AC39" s="17" t="s">
        <v>251</v>
      </c>
      <c r="AD39" s="17" t="s">
        <v>251</v>
      </c>
      <c r="AE39" s="17" t="s">
        <v>256</v>
      </c>
      <c r="AF39" s="17" t="s">
        <v>248</v>
      </c>
      <c r="AG39" s="17" t="s">
        <v>248</v>
      </c>
      <c r="AH39" s="17" t="s">
        <v>250</v>
      </c>
      <c r="AI39" s="17" t="s">
        <v>250</v>
      </c>
      <c r="AJ39" s="17" t="s">
        <v>248</v>
      </c>
      <c r="AM39" s="17" t="s">
        <v>251</v>
      </c>
      <c r="AN39" s="17" t="s">
        <v>256</v>
      </c>
      <c r="AO39" s="17" t="s">
        <v>248</v>
      </c>
      <c r="AT39" s="17" t="s">
        <v>252</v>
      </c>
      <c r="AU39" s="17" t="s">
        <v>265</v>
      </c>
      <c r="AV39" s="17" t="s">
        <v>25</v>
      </c>
      <c r="AW39" s="17" t="s">
        <v>28</v>
      </c>
      <c r="AX39" s="17" t="s">
        <v>28</v>
      </c>
      <c r="AY39" s="17" t="s">
        <v>28</v>
      </c>
      <c r="AZ39" s="17" t="s">
        <v>28</v>
      </c>
      <c r="BA39" s="17" t="s">
        <v>25</v>
      </c>
      <c r="BB39" s="17" t="s">
        <v>28</v>
      </c>
      <c r="BC39" s="17" t="s">
        <v>25</v>
      </c>
      <c r="BD39" s="17" t="s">
        <v>28</v>
      </c>
      <c r="BE39" s="17" t="s">
        <v>28</v>
      </c>
      <c r="BF39" s="17" t="s">
        <v>28</v>
      </c>
      <c r="BG39" s="17" t="s">
        <v>287</v>
      </c>
      <c r="BH39" s="17" t="s">
        <v>28</v>
      </c>
      <c r="BI39" s="17" t="s">
        <v>28</v>
      </c>
      <c r="BJ39" s="17" t="s">
        <v>28</v>
      </c>
      <c r="BK39" s="17" t="s">
        <v>28</v>
      </c>
      <c r="BL39" s="17" t="s">
        <v>288</v>
      </c>
    </row>
    <row r="40" spans="1:64" ht="51" x14ac:dyDescent="0.2">
      <c r="A40" s="14" t="s">
        <v>137</v>
      </c>
      <c r="B40" s="17" t="s">
        <v>286</v>
      </c>
      <c r="C40" s="17" t="s">
        <v>246</v>
      </c>
      <c r="D40" s="17" t="s">
        <v>245</v>
      </c>
      <c r="E40" s="17" t="s">
        <v>246</v>
      </c>
      <c r="F40" s="17" t="s">
        <v>245</v>
      </c>
      <c r="G40" s="17" t="s">
        <v>245</v>
      </c>
      <c r="H40" s="17" t="s">
        <v>245</v>
      </c>
      <c r="I40" s="17" t="s">
        <v>245</v>
      </c>
      <c r="J40" s="17" t="s">
        <v>245</v>
      </c>
      <c r="K40" s="17" t="s">
        <v>245</v>
      </c>
      <c r="L40" s="17" t="s">
        <v>246</v>
      </c>
      <c r="M40" s="17" t="s">
        <v>245</v>
      </c>
      <c r="N40" s="17" t="s">
        <v>245</v>
      </c>
      <c r="O40" s="17" t="s">
        <v>245</v>
      </c>
      <c r="P40" s="17" t="s">
        <v>246</v>
      </c>
      <c r="Q40" s="17" t="s">
        <v>245</v>
      </c>
      <c r="R40" s="17" t="s">
        <v>245</v>
      </c>
      <c r="S40" s="17" t="s">
        <v>246</v>
      </c>
      <c r="T40" s="17" t="s">
        <v>246</v>
      </c>
      <c r="U40" s="17" t="s">
        <v>246</v>
      </c>
      <c r="V40" s="17" t="s">
        <v>246</v>
      </c>
      <c r="W40" s="17" t="s">
        <v>246</v>
      </c>
      <c r="X40" s="17" t="s">
        <v>245</v>
      </c>
      <c r="Z40" s="17" t="s">
        <v>250</v>
      </c>
      <c r="AB40" s="17" t="s">
        <v>248</v>
      </c>
      <c r="AC40" s="17" t="s">
        <v>248</v>
      </c>
      <c r="AD40" s="17" t="s">
        <v>251</v>
      </c>
      <c r="AE40" s="17" t="s">
        <v>251</v>
      </c>
      <c r="AF40" s="17" t="s">
        <v>248</v>
      </c>
      <c r="AG40" s="17" t="s">
        <v>248</v>
      </c>
      <c r="AH40" s="17" t="s">
        <v>249</v>
      </c>
      <c r="AI40" s="17" t="s">
        <v>249</v>
      </c>
      <c r="AJ40" s="17" t="s">
        <v>248</v>
      </c>
      <c r="AK40" s="17" t="s">
        <v>251</v>
      </c>
      <c r="AN40" s="17" t="s">
        <v>251</v>
      </c>
      <c r="AO40" s="17" t="s">
        <v>251</v>
      </c>
      <c r="AT40" s="17" t="s">
        <v>249</v>
      </c>
      <c r="AU40" s="17" t="s">
        <v>25</v>
      </c>
      <c r="AV40" s="17" t="s">
        <v>25</v>
      </c>
      <c r="AW40" s="17" t="s">
        <v>28</v>
      </c>
      <c r="AX40" s="17" t="s">
        <v>28</v>
      </c>
      <c r="AY40" s="17" t="s">
        <v>28</v>
      </c>
      <c r="AZ40" s="17" t="s">
        <v>28</v>
      </c>
      <c r="BA40" s="17" t="s">
        <v>25</v>
      </c>
      <c r="BB40" s="17" t="s">
        <v>25</v>
      </c>
      <c r="BC40" s="17" t="s">
        <v>28</v>
      </c>
      <c r="BD40" s="17" t="s">
        <v>28</v>
      </c>
      <c r="BE40" s="17" t="s">
        <v>28</v>
      </c>
      <c r="BH40" s="17" t="s">
        <v>28</v>
      </c>
      <c r="BI40" s="17" t="s">
        <v>28</v>
      </c>
      <c r="BJ40" s="17" t="s">
        <v>28</v>
      </c>
      <c r="BK40" s="17" t="s">
        <v>28</v>
      </c>
      <c r="BL40" s="17" t="s">
        <v>290</v>
      </c>
    </row>
    <row r="41" spans="1:64" ht="51" x14ac:dyDescent="0.2">
      <c r="A41" s="14" t="s">
        <v>142</v>
      </c>
      <c r="B41" s="17" t="s">
        <v>13310</v>
      </c>
      <c r="C41" s="17" t="s">
        <v>245</v>
      </c>
      <c r="D41" s="17" t="s">
        <v>245</v>
      </c>
      <c r="E41" s="17" t="s">
        <v>247</v>
      </c>
      <c r="F41" s="17" t="s">
        <v>245</v>
      </c>
      <c r="G41" s="17" t="s">
        <v>245</v>
      </c>
      <c r="H41" s="17" t="s">
        <v>245</v>
      </c>
      <c r="I41" s="17" t="s">
        <v>245</v>
      </c>
      <c r="J41" s="17" t="s">
        <v>245</v>
      </c>
      <c r="K41" s="17" t="s">
        <v>245</v>
      </c>
      <c r="L41" s="17" t="s">
        <v>246</v>
      </c>
      <c r="M41" s="17" t="s">
        <v>245</v>
      </c>
      <c r="N41" s="17" t="s">
        <v>245</v>
      </c>
      <c r="O41" s="17" t="s">
        <v>246</v>
      </c>
      <c r="P41" s="17" t="s">
        <v>246</v>
      </c>
      <c r="Q41" s="17" t="s">
        <v>246</v>
      </c>
      <c r="R41" s="17" t="s">
        <v>247</v>
      </c>
      <c r="S41" s="17" t="s">
        <v>246</v>
      </c>
      <c r="T41" s="17" t="s">
        <v>246</v>
      </c>
      <c r="U41" s="17" t="s">
        <v>246</v>
      </c>
      <c r="V41" s="17" t="s">
        <v>245</v>
      </c>
      <c r="W41" s="17" t="s">
        <v>246</v>
      </c>
      <c r="X41" s="17" t="s">
        <v>246</v>
      </c>
      <c r="Y41" s="17" t="s">
        <v>249</v>
      </c>
      <c r="Z41" s="17" t="s">
        <v>252</v>
      </c>
      <c r="AB41" s="17" t="s">
        <v>252</v>
      </c>
      <c r="AC41" s="17" t="s">
        <v>252</v>
      </c>
      <c r="AD41" s="17" t="s">
        <v>256</v>
      </c>
      <c r="AE41" s="17" t="s">
        <v>249</v>
      </c>
      <c r="AF41" s="17" t="s">
        <v>248</v>
      </c>
      <c r="AG41" s="17" t="s">
        <v>248</v>
      </c>
      <c r="AH41" s="17" t="s">
        <v>256</v>
      </c>
      <c r="AI41" s="17" t="s">
        <v>248</v>
      </c>
      <c r="AJ41" s="17" t="s">
        <v>248</v>
      </c>
      <c r="AK41" s="17" t="s">
        <v>248</v>
      </c>
      <c r="AL41" s="17" t="s">
        <v>256</v>
      </c>
      <c r="AM41" s="17" t="s">
        <v>251</v>
      </c>
      <c r="AN41" s="17" t="s">
        <v>250</v>
      </c>
      <c r="AR41" s="17" t="s">
        <v>248</v>
      </c>
      <c r="AU41" s="17" t="s">
        <v>28</v>
      </c>
      <c r="AV41" s="17" t="s">
        <v>25</v>
      </c>
      <c r="AW41" s="17" t="s">
        <v>28</v>
      </c>
      <c r="AX41" s="17" t="s">
        <v>28</v>
      </c>
      <c r="AY41" s="17" t="s">
        <v>28</v>
      </c>
      <c r="AZ41" s="17" t="s">
        <v>28</v>
      </c>
      <c r="BA41" s="17" t="s">
        <v>25</v>
      </c>
      <c r="BB41" s="17" t="s">
        <v>25</v>
      </c>
      <c r="BC41" s="17" t="s">
        <v>25</v>
      </c>
      <c r="BD41" s="17" t="s">
        <v>25</v>
      </c>
      <c r="BE41" s="17" t="s">
        <v>25</v>
      </c>
      <c r="BH41" s="17" t="s">
        <v>28</v>
      </c>
      <c r="BI41" s="17" t="s">
        <v>28</v>
      </c>
      <c r="BJ41" s="17" t="s">
        <v>28</v>
      </c>
      <c r="BK41" s="17" t="s">
        <v>259</v>
      </c>
      <c r="BL41" s="17" t="s">
        <v>295</v>
      </c>
    </row>
    <row r="42" spans="1:64" ht="51" x14ac:dyDescent="0.2">
      <c r="A42" s="14" t="s">
        <v>161</v>
      </c>
      <c r="B42" s="17" t="s">
        <v>13310</v>
      </c>
      <c r="C42" s="17" t="s">
        <v>246</v>
      </c>
      <c r="D42" s="17" t="s">
        <v>245</v>
      </c>
      <c r="E42" s="17" t="s">
        <v>268</v>
      </c>
      <c r="F42" s="17" t="s">
        <v>245</v>
      </c>
      <c r="G42" s="17" t="s">
        <v>245</v>
      </c>
      <c r="H42" s="17" t="s">
        <v>245</v>
      </c>
      <c r="I42" s="17" t="s">
        <v>245</v>
      </c>
      <c r="J42" s="17" t="s">
        <v>245</v>
      </c>
      <c r="K42" s="17" t="s">
        <v>245</v>
      </c>
      <c r="L42" s="17" t="s">
        <v>246</v>
      </c>
      <c r="M42" s="17" t="s">
        <v>245</v>
      </c>
      <c r="N42" s="17" t="s">
        <v>245</v>
      </c>
      <c r="O42" s="17" t="s">
        <v>246</v>
      </c>
      <c r="P42" s="17" t="s">
        <v>245</v>
      </c>
      <c r="Q42" s="17" t="s">
        <v>246</v>
      </c>
      <c r="R42" s="17" t="s">
        <v>246</v>
      </c>
      <c r="S42" s="17" t="s">
        <v>246</v>
      </c>
      <c r="T42" s="17" t="s">
        <v>246</v>
      </c>
      <c r="U42" s="17" t="s">
        <v>246</v>
      </c>
      <c r="V42" s="17" t="s">
        <v>246</v>
      </c>
      <c r="W42" s="17" t="s">
        <v>246</v>
      </c>
      <c r="X42" s="17" t="s">
        <v>246</v>
      </c>
      <c r="Z42" s="17" t="s">
        <v>251</v>
      </c>
      <c r="AB42" s="17" t="s">
        <v>252</v>
      </c>
      <c r="AC42" s="17" t="s">
        <v>252</v>
      </c>
      <c r="AD42" s="17" t="s">
        <v>252</v>
      </c>
      <c r="AE42" s="17" t="s">
        <v>250</v>
      </c>
      <c r="AF42" s="17" t="s">
        <v>248</v>
      </c>
      <c r="AG42" s="17" t="s">
        <v>249</v>
      </c>
      <c r="AI42" s="17" t="s">
        <v>249</v>
      </c>
      <c r="AJ42" s="17" t="s">
        <v>249</v>
      </c>
      <c r="AL42" s="17" t="s">
        <v>256</v>
      </c>
      <c r="AM42" s="17" t="s">
        <v>249</v>
      </c>
      <c r="AN42" s="17" t="s">
        <v>256</v>
      </c>
      <c r="AU42" s="17" t="s">
        <v>25</v>
      </c>
      <c r="AV42" s="17" t="s">
        <v>25</v>
      </c>
      <c r="AW42" s="17" t="s">
        <v>28</v>
      </c>
      <c r="AX42" s="17" t="s">
        <v>28</v>
      </c>
      <c r="AY42" s="17" t="s">
        <v>28</v>
      </c>
      <c r="AZ42" s="17" t="s">
        <v>28</v>
      </c>
      <c r="BA42" s="17" t="s">
        <v>25</v>
      </c>
      <c r="BB42" s="17" t="s">
        <v>28</v>
      </c>
      <c r="BC42" s="17" t="s">
        <v>28</v>
      </c>
      <c r="BD42" s="17" t="s">
        <v>28</v>
      </c>
      <c r="BE42" s="17" t="s">
        <v>28</v>
      </c>
      <c r="BH42" s="17" t="s">
        <v>28</v>
      </c>
      <c r="BI42" s="17" t="s">
        <v>28</v>
      </c>
      <c r="BJ42" s="17" t="s">
        <v>28</v>
      </c>
      <c r="BK42" s="17" t="s">
        <v>28</v>
      </c>
      <c r="BL42" s="17" t="s">
        <v>314</v>
      </c>
    </row>
    <row r="43" spans="1:64" ht="25.5" x14ac:dyDescent="0.2">
      <c r="A43" s="14" t="s">
        <v>163</v>
      </c>
      <c r="B43" s="17" t="s">
        <v>316</v>
      </c>
      <c r="C43" s="17" t="s">
        <v>246</v>
      </c>
      <c r="D43" s="17" t="s">
        <v>246</v>
      </c>
      <c r="E43" s="17" t="s">
        <v>246</v>
      </c>
      <c r="F43" s="17" t="s">
        <v>245</v>
      </c>
      <c r="G43" s="17" t="s">
        <v>245</v>
      </c>
      <c r="H43" s="17" t="s">
        <v>245</v>
      </c>
      <c r="I43" s="17" t="s">
        <v>245</v>
      </c>
      <c r="J43" s="17" t="s">
        <v>245</v>
      </c>
      <c r="K43" s="17" t="s">
        <v>268</v>
      </c>
      <c r="L43" s="17" t="s">
        <v>245</v>
      </c>
      <c r="M43" s="17" t="s">
        <v>245</v>
      </c>
      <c r="N43" s="17" t="s">
        <v>245</v>
      </c>
      <c r="O43" s="17" t="s">
        <v>245</v>
      </c>
      <c r="P43" s="17" t="s">
        <v>246</v>
      </c>
      <c r="Q43" s="17" t="s">
        <v>246</v>
      </c>
      <c r="R43" s="17" t="s">
        <v>246</v>
      </c>
      <c r="S43" s="17" t="s">
        <v>246</v>
      </c>
      <c r="T43" s="17" t="s">
        <v>246</v>
      </c>
      <c r="U43" s="17" t="s">
        <v>246</v>
      </c>
      <c r="V43" s="17" t="s">
        <v>246</v>
      </c>
      <c r="W43" s="17" t="s">
        <v>246</v>
      </c>
      <c r="X43" s="17" t="s">
        <v>246</v>
      </c>
      <c r="AB43" s="17" t="s">
        <v>256</v>
      </c>
      <c r="AC43" s="17" t="s">
        <v>252</v>
      </c>
      <c r="AD43" s="17" t="s">
        <v>252</v>
      </c>
      <c r="AU43" s="17" t="s">
        <v>25</v>
      </c>
      <c r="AV43" s="17" t="s">
        <v>25</v>
      </c>
      <c r="AW43" s="17" t="s">
        <v>25</v>
      </c>
      <c r="AX43" s="17" t="s">
        <v>28</v>
      </c>
      <c r="AY43" s="17" t="s">
        <v>253</v>
      </c>
      <c r="AZ43" s="17" t="s">
        <v>28</v>
      </c>
      <c r="BA43" s="17" t="s">
        <v>25</v>
      </c>
      <c r="BB43" s="17" t="s">
        <v>25</v>
      </c>
      <c r="BC43" s="17" t="s">
        <v>25</v>
      </c>
      <c r="BD43" s="17" t="s">
        <v>28</v>
      </c>
      <c r="BE43" s="17" t="s">
        <v>28</v>
      </c>
      <c r="BF43" s="17" t="s">
        <v>25</v>
      </c>
      <c r="BH43" s="17" t="s">
        <v>28</v>
      </c>
      <c r="BI43" s="17" t="s">
        <v>28</v>
      </c>
      <c r="BJ43" s="17" t="s">
        <v>28</v>
      </c>
      <c r="BK43" s="17" t="s">
        <v>259</v>
      </c>
      <c r="BL43" s="17" t="s">
        <v>317</v>
      </c>
    </row>
    <row r="44" spans="1:64" ht="25.5" x14ac:dyDescent="0.2">
      <c r="A44" s="14" t="s">
        <v>165</v>
      </c>
      <c r="B44" s="17" t="s">
        <v>273</v>
      </c>
      <c r="C44" s="17" t="s">
        <v>246</v>
      </c>
      <c r="D44" s="17" t="s">
        <v>246</v>
      </c>
      <c r="E44" s="17" t="s">
        <v>246</v>
      </c>
      <c r="F44" s="17" t="s">
        <v>245</v>
      </c>
      <c r="G44" s="17" t="s">
        <v>245</v>
      </c>
      <c r="H44" s="17" t="s">
        <v>246</v>
      </c>
      <c r="I44" s="17" t="s">
        <v>245</v>
      </c>
      <c r="J44" s="17" t="s">
        <v>245</v>
      </c>
      <c r="K44" s="17" t="s">
        <v>246</v>
      </c>
      <c r="L44" s="17" t="s">
        <v>246</v>
      </c>
      <c r="M44" s="17" t="s">
        <v>245</v>
      </c>
      <c r="N44" s="17" t="s">
        <v>245</v>
      </c>
      <c r="O44" s="17" t="s">
        <v>246</v>
      </c>
      <c r="P44" s="17" t="s">
        <v>246</v>
      </c>
      <c r="Q44" s="17" t="s">
        <v>246</v>
      </c>
      <c r="R44" s="17" t="s">
        <v>246</v>
      </c>
      <c r="S44" s="17" t="s">
        <v>246</v>
      </c>
      <c r="T44" s="17" t="s">
        <v>246</v>
      </c>
      <c r="U44" s="17" t="s">
        <v>246</v>
      </c>
      <c r="V44" s="17" t="s">
        <v>246</v>
      </c>
      <c r="W44" s="17" t="s">
        <v>246</v>
      </c>
      <c r="X44" s="17" t="s">
        <v>246</v>
      </c>
      <c r="AB44" s="17" t="s">
        <v>249</v>
      </c>
      <c r="AC44" s="17" t="s">
        <v>251</v>
      </c>
      <c r="AE44" s="17" t="s">
        <v>251</v>
      </c>
      <c r="AF44" s="17" t="s">
        <v>248</v>
      </c>
      <c r="AH44" s="17" t="s">
        <v>256</v>
      </c>
      <c r="AI44" s="17" t="s">
        <v>248</v>
      </c>
      <c r="AJ44" s="17" t="s">
        <v>249</v>
      </c>
      <c r="AM44" s="17" t="s">
        <v>256</v>
      </c>
      <c r="AN44" s="17" t="s">
        <v>256</v>
      </c>
      <c r="AU44" s="17" t="s">
        <v>25</v>
      </c>
      <c r="AV44" s="17" t="s">
        <v>25</v>
      </c>
      <c r="AW44" s="17" t="s">
        <v>28</v>
      </c>
      <c r="AX44" s="17" t="s">
        <v>28</v>
      </c>
      <c r="AY44" s="17" t="s">
        <v>28</v>
      </c>
      <c r="AZ44" s="17" t="s">
        <v>28</v>
      </c>
      <c r="BA44" s="17" t="s">
        <v>25</v>
      </c>
      <c r="BB44" s="17" t="s">
        <v>25</v>
      </c>
      <c r="BC44" s="17" t="s">
        <v>28</v>
      </c>
      <c r="BD44" s="17" t="s">
        <v>28</v>
      </c>
      <c r="BE44" s="17" t="s">
        <v>25</v>
      </c>
      <c r="BF44" s="17" t="s">
        <v>253</v>
      </c>
      <c r="BH44" s="17" t="s">
        <v>28</v>
      </c>
      <c r="BI44" s="17" t="s">
        <v>28</v>
      </c>
      <c r="BJ44" s="17" t="s">
        <v>28</v>
      </c>
      <c r="BK44" s="17" t="s">
        <v>28</v>
      </c>
      <c r="BL44" s="17" t="s">
        <v>319</v>
      </c>
    </row>
    <row r="45" spans="1:64" ht="38.25" x14ac:dyDescent="0.2">
      <c r="A45" s="14" t="s">
        <v>129</v>
      </c>
      <c r="B45" s="17" t="s">
        <v>276</v>
      </c>
      <c r="C45" s="17" t="s">
        <v>245</v>
      </c>
      <c r="D45" s="17" t="s">
        <v>245</v>
      </c>
      <c r="E45" s="17" t="s">
        <v>246</v>
      </c>
      <c r="F45" s="17" t="s">
        <v>245</v>
      </c>
      <c r="G45" s="17" t="s">
        <v>245</v>
      </c>
      <c r="H45" s="17" t="s">
        <v>245</v>
      </c>
      <c r="I45" s="17" t="s">
        <v>245</v>
      </c>
      <c r="J45" s="17" t="s">
        <v>245</v>
      </c>
      <c r="K45" s="17" t="s">
        <v>245</v>
      </c>
      <c r="L45" s="17" t="s">
        <v>246</v>
      </c>
      <c r="M45" s="17" t="s">
        <v>246</v>
      </c>
      <c r="N45" s="17" t="s">
        <v>245</v>
      </c>
      <c r="O45" s="17" t="s">
        <v>246</v>
      </c>
      <c r="P45" s="17" t="s">
        <v>245</v>
      </c>
      <c r="Q45" s="17" t="s">
        <v>246</v>
      </c>
      <c r="R45" s="17" t="s">
        <v>246</v>
      </c>
      <c r="S45" s="17" t="s">
        <v>245</v>
      </c>
      <c r="T45" s="17" t="s">
        <v>246</v>
      </c>
      <c r="U45" s="17" t="s">
        <v>246</v>
      </c>
      <c r="V45" s="17" t="s">
        <v>246</v>
      </c>
      <c r="W45" s="17" t="s">
        <v>246</v>
      </c>
      <c r="X45" s="17" t="s">
        <v>246</v>
      </c>
      <c r="Y45" s="17" t="s">
        <v>251</v>
      </c>
      <c r="Z45" s="17" t="s">
        <v>251</v>
      </c>
      <c r="AB45" s="17" t="s">
        <v>248</v>
      </c>
      <c r="AC45" s="17" t="s">
        <v>251</v>
      </c>
      <c r="AD45" s="17" t="s">
        <v>251</v>
      </c>
      <c r="AE45" s="17" t="s">
        <v>249</v>
      </c>
      <c r="AF45" s="17" t="s">
        <v>248</v>
      </c>
      <c r="AG45" s="17" t="s">
        <v>248</v>
      </c>
      <c r="AH45" s="17" t="s">
        <v>251</v>
      </c>
      <c r="AJ45" s="17" t="s">
        <v>248</v>
      </c>
      <c r="AK45" s="17" t="s">
        <v>250</v>
      </c>
      <c r="AM45" s="17" t="s">
        <v>251</v>
      </c>
      <c r="AN45" s="17" t="s">
        <v>251</v>
      </c>
      <c r="AO45" s="17" t="s">
        <v>256</v>
      </c>
      <c r="AU45" s="17" t="s">
        <v>28</v>
      </c>
      <c r="AV45" s="17" t="s">
        <v>25</v>
      </c>
      <c r="AW45" s="17" t="s">
        <v>28</v>
      </c>
      <c r="AX45" s="17" t="s">
        <v>28</v>
      </c>
      <c r="AY45" s="17" t="s">
        <v>28</v>
      </c>
      <c r="AZ45" s="17" t="s">
        <v>28</v>
      </c>
      <c r="BA45" s="17" t="s">
        <v>28</v>
      </c>
      <c r="BB45" s="17" t="s">
        <v>25</v>
      </c>
      <c r="BC45" s="17" t="s">
        <v>28</v>
      </c>
      <c r="BD45" s="17" t="s">
        <v>25</v>
      </c>
      <c r="BE45" s="17" t="s">
        <v>28</v>
      </c>
      <c r="BF45" s="17" t="s">
        <v>28</v>
      </c>
      <c r="BG45" s="17" t="s">
        <v>277</v>
      </c>
      <c r="BH45" s="17" t="s">
        <v>28</v>
      </c>
      <c r="BI45" s="17" t="s">
        <v>28</v>
      </c>
      <c r="BJ45" s="17" t="s">
        <v>28</v>
      </c>
      <c r="BK45" s="17" t="s">
        <v>28</v>
      </c>
      <c r="BL45" s="17" t="s">
        <v>278</v>
      </c>
    </row>
    <row r="46" spans="1:64" ht="25.5" x14ac:dyDescent="0.2">
      <c r="A46" s="14" t="s">
        <v>153</v>
      </c>
      <c r="B46" s="17" t="s">
        <v>305</v>
      </c>
      <c r="C46" s="17" t="s">
        <v>246</v>
      </c>
      <c r="D46" s="17" t="s">
        <v>246</v>
      </c>
      <c r="E46" s="17" t="s">
        <v>246</v>
      </c>
      <c r="F46" s="17" t="s">
        <v>245</v>
      </c>
      <c r="G46" s="17" t="s">
        <v>245</v>
      </c>
      <c r="H46" s="17" t="s">
        <v>246</v>
      </c>
      <c r="I46" s="17" t="s">
        <v>245</v>
      </c>
      <c r="J46" s="17" t="s">
        <v>245</v>
      </c>
      <c r="K46" s="17" t="s">
        <v>247</v>
      </c>
      <c r="L46" s="17" t="s">
        <v>245</v>
      </c>
      <c r="M46" s="17" t="s">
        <v>245</v>
      </c>
      <c r="N46" s="17" t="s">
        <v>245</v>
      </c>
      <c r="O46" s="17" t="s">
        <v>245</v>
      </c>
      <c r="P46" s="17" t="s">
        <v>246</v>
      </c>
      <c r="Q46" s="17" t="s">
        <v>245</v>
      </c>
      <c r="R46" s="17" t="s">
        <v>247</v>
      </c>
      <c r="S46" s="17" t="s">
        <v>246</v>
      </c>
      <c r="T46" s="17" t="s">
        <v>246</v>
      </c>
      <c r="U46" s="17" t="s">
        <v>246</v>
      </c>
      <c r="V46" s="17" t="s">
        <v>246</v>
      </c>
      <c r="W46" s="17" t="s">
        <v>246</v>
      </c>
      <c r="X46" s="17" t="s">
        <v>245</v>
      </c>
      <c r="AB46" s="17" t="s">
        <v>249</v>
      </c>
      <c r="AC46" s="17" t="s">
        <v>251</v>
      </c>
      <c r="AT46" s="17" t="s">
        <v>249</v>
      </c>
      <c r="AU46" s="17" t="s">
        <v>25</v>
      </c>
      <c r="AV46" s="17" t="s">
        <v>25</v>
      </c>
      <c r="AW46" s="17" t="s">
        <v>28</v>
      </c>
      <c r="AX46" s="17" t="s">
        <v>28</v>
      </c>
      <c r="AY46" s="17" t="s">
        <v>253</v>
      </c>
      <c r="AZ46" s="17" t="s">
        <v>28</v>
      </c>
      <c r="BA46" s="17" t="s">
        <v>25</v>
      </c>
      <c r="BB46" s="17" t="s">
        <v>25</v>
      </c>
      <c r="BC46" s="17" t="s">
        <v>253</v>
      </c>
      <c r="BD46" s="17" t="s">
        <v>25</v>
      </c>
      <c r="BE46" s="17" t="s">
        <v>28</v>
      </c>
      <c r="BF46" s="17" t="s">
        <v>265</v>
      </c>
      <c r="BH46" s="17" t="s">
        <v>28</v>
      </c>
      <c r="BI46" s="17" t="s">
        <v>28</v>
      </c>
      <c r="BJ46" s="17" t="s">
        <v>28</v>
      </c>
      <c r="BK46" s="17" t="s">
        <v>28</v>
      </c>
      <c r="BL46" s="17" t="s">
        <v>306</v>
      </c>
    </row>
    <row r="47" spans="1:64" ht="63.75" x14ac:dyDescent="0.2">
      <c r="A47" s="14" t="s">
        <v>164</v>
      </c>
      <c r="B47" s="17" t="s">
        <v>13315</v>
      </c>
      <c r="C47" s="17" t="s">
        <v>246</v>
      </c>
      <c r="D47" s="17" t="s">
        <v>245</v>
      </c>
      <c r="E47" s="17" t="s">
        <v>246</v>
      </c>
      <c r="F47" s="17" t="s">
        <v>245</v>
      </c>
      <c r="G47" s="17" t="s">
        <v>245</v>
      </c>
      <c r="H47" s="17" t="s">
        <v>246</v>
      </c>
      <c r="I47" s="17" t="s">
        <v>246</v>
      </c>
      <c r="J47" s="17" t="s">
        <v>245</v>
      </c>
      <c r="K47" s="17" t="s">
        <v>245</v>
      </c>
      <c r="L47" s="17" t="s">
        <v>246</v>
      </c>
      <c r="M47" s="17" t="s">
        <v>245</v>
      </c>
      <c r="N47" s="17" t="s">
        <v>245</v>
      </c>
      <c r="O47" s="17" t="s">
        <v>246</v>
      </c>
      <c r="P47" s="17" t="s">
        <v>246</v>
      </c>
      <c r="Q47" s="17" t="s">
        <v>247</v>
      </c>
      <c r="R47" s="17" t="s">
        <v>245</v>
      </c>
      <c r="S47" s="17" t="s">
        <v>246</v>
      </c>
      <c r="T47" s="17" t="s">
        <v>246</v>
      </c>
      <c r="U47" s="17" t="s">
        <v>246</v>
      </c>
      <c r="V47" s="17" t="s">
        <v>246</v>
      </c>
      <c r="W47" s="17" t="s">
        <v>245</v>
      </c>
      <c r="X47" s="17" t="s">
        <v>246</v>
      </c>
      <c r="Z47" s="17" t="s">
        <v>251</v>
      </c>
      <c r="AB47" s="17" t="s">
        <v>249</v>
      </c>
      <c r="AC47" s="17" t="s">
        <v>251</v>
      </c>
      <c r="AS47" s="17" t="s">
        <v>248</v>
      </c>
      <c r="AU47" s="17" t="s">
        <v>253</v>
      </c>
      <c r="AV47" s="17" t="s">
        <v>253</v>
      </c>
      <c r="AW47" s="17" t="s">
        <v>253</v>
      </c>
      <c r="AX47" s="17" t="s">
        <v>28</v>
      </c>
      <c r="AY47" s="17" t="s">
        <v>253</v>
      </c>
      <c r="AZ47" s="17" t="s">
        <v>28</v>
      </c>
      <c r="BA47" s="17" t="s">
        <v>265</v>
      </c>
      <c r="BB47" s="17" t="s">
        <v>265</v>
      </c>
      <c r="BC47" s="17" t="s">
        <v>25</v>
      </c>
      <c r="BD47" s="17" t="s">
        <v>28</v>
      </c>
      <c r="BE47" s="17" t="s">
        <v>28</v>
      </c>
      <c r="BF47" s="17" t="s">
        <v>253</v>
      </c>
      <c r="BH47" s="17" t="s">
        <v>28</v>
      </c>
      <c r="BI47" s="17" t="s">
        <v>28</v>
      </c>
      <c r="BJ47" s="17" t="s">
        <v>257</v>
      </c>
      <c r="BK47" s="17" t="s">
        <v>254</v>
      </c>
      <c r="BL47" s="17" t="s">
        <v>318</v>
      </c>
    </row>
    <row r="48" spans="1:64" ht="63.75" x14ac:dyDescent="0.2">
      <c r="A48" s="14" t="s">
        <v>155</v>
      </c>
      <c r="B48" s="17" t="s">
        <v>13307</v>
      </c>
      <c r="C48" s="17" t="s">
        <v>245</v>
      </c>
      <c r="D48" s="17" t="s">
        <v>245</v>
      </c>
      <c r="E48" s="17" t="s">
        <v>247</v>
      </c>
      <c r="F48" s="17" t="s">
        <v>245</v>
      </c>
      <c r="G48" s="17" t="s">
        <v>245</v>
      </c>
      <c r="H48" s="17" t="s">
        <v>245</v>
      </c>
      <c r="I48" s="17" t="s">
        <v>245</v>
      </c>
      <c r="J48" s="17" t="s">
        <v>245</v>
      </c>
      <c r="K48" s="17" t="s">
        <v>245</v>
      </c>
      <c r="L48" s="17" t="s">
        <v>245</v>
      </c>
      <c r="M48" s="17" t="s">
        <v>245</v>
      </c>
      <c r="N48" s="17" t="s">
        <v>245</v>
      </c>
      <c r="O48" s="17" t="s">
        <v>245</v>
      </c>
      <c r="P48" s="17" t="s">
        <v>246</v>
      </c>
      <c r="Q48" s="17" t="s">
        <v>247</v>
      </c>
      <c r="R48" s="17" t="s">
        <v>247</v>
      </c>
      <c r="S48" s="17" t="s">
        <v>247</v>
      </c>
      <c r="T48" s="17" t="s">
        <v>246</v>
      </c>
      <c r="U48" s="17" t="s">
        <v>246</v>
      </c>
      <c r="V48" s="17" t="s">
        <v>247</v>
      </c>
      <c r="W48" s="17" t="s">
        <v>246</v>
      </c>
      <c r="X48" s="17" t="s">
        <v>246</v>
      </c>
      <c r="Y48" s="17" t="s">
        <v>256</v>
      </c>
      <c r="Z48" s="17" t="s">
        <v>256</v>
      </c>
      <c r="AB48" s="17" t="s">
        <v>256</v>
      </c>
      <c r="AC48" s="17" t="s">
        <v>256</v>
      </c>
      <c r="AD48" s="17" t="s">
        <v>256</v>
      </c>
      <c r="AE48" s="17" t="s">
        <v>249</v>
      </c>
      <c r="AF48" s="17" t="s">
        <v>248</v>
      </c>
      <c r="AG48" s="17" t="s">
        <v>251</v>
      </c>
      <c r="AH48" s="17" t="s">
        <v>251</v>
      </c>
      <c r="AI48" s="17" t="s">
        <v>249</v>
      </c>
      <c r="AJ48" s="17" t="s">
        <v>248</v>
      </c>
      <c r="AM48" s="17" t="s">
        <v>251</v>
      </c>
      <c r="AN48" s="17" t="s">
        <v>256</v>
      </c>
      <c r="AU48" s="17" t="s">
        <v>265</v>
      </c>
      <c r="AV48" s="17" t="s">
        <v>28</v>
      </c>
      <c r="AW48" s="17" t="s">
        <v>28</v>
      </c>
      <c r="AX48" s="17" t="s">
        <v>28</v>
      </c>
      <c r="AY48" s="17" t="s">
        <v>28</v>
      </c>
      <c r="AZ48" s="17" t="s">
        <v>25</v>
      </c>
      <c r="BA48" s="17" t="s">
        <v>28</v>
      </c>
      <c r="BB48" s="17" t="s">
        <v>265</v>
      </c>
      <c r="BC48" s="17" t="s">
        <v>28</v>
      </c>
      <c r="BD48" s="17" t="s">
        <v>28</v>
      </c>
      <c r="BE48" s="17" t="s">
        <v>265</v>
      </c>
      <c r="BH48" s="17" t="s">
        <v>28</v>
      </c>
      <c r="BI48" s="17" t="s">
        <v>28</v>
      </c>
      <c r="BJ48" s="17" t="s">
        <v>28</v>
      </c>
      <c r="BK48" s="17" t="s">
        <v>28</v>
      </c>
      <c r="BL48" s="17" t="s">
        <v>308</v>
      </c>
    </row>
    <row r="49" spans="1:64" ht="63.75" x14ac:dyDescent="0.2">
      <c r="A49" s="14" t="s">
        <v>128</v>
      </c>
      <c r="B49" s="17" t="s">
        <v>13312</v>
      </c>
      <c r="C49" s="17" t="s">
        <v>245</v>
      </c>
      <c r="D49" s="17" t="s">
        <v>245</v>
      </c>
      <c r="E49" s="17" t="s">
        <v>246</v>
      </c>
      <c r="F49" s="17" t="s">
        <v>245</v>
      </c>
      <c r="G49" s="17" t="s">
        <v>245</v>
      </c>
      <c r="H49" s="17" t="s">
        <v>245</v>
      </c>
      <c r="I49" s="17" t="s">
        <v>245</v>
      </c>
      <c r="J49" s="17" t="s">
        <v>245</v>
      </c>
      <c r="K49" s="17" t="s">
        <v>246</v>
      </c>
      <c r="L49" s="17" t="s">
        <v>245</v>
      </c>
      <c r="M49" s="17" t="s">
        <v>245</v>
      </c>
      <c r="N49" s="17" t="s">
        <v>245</v>
      </c>
      <c r="O49" s="17" t="s">
        <v>246</v>
      </c>
      <c r="P49" s="17" t="s">
        <v>246</v>
      </c>
      <c r="Q49" s="17" t="s">
        <v>246</v>
      </c>
      <c r="R49" s="17" t="s">
        <v>246</v>
      </c>
      <c r="S49" s="17" t="s">
        <v>246</v>
      </c>
      <c r="T49" s="17" t="s">
        <v>246</v>
      </c>
      <c r="U49" s="17" t="s">
        <v>246</v>
      </c>
      <c r="V49" s="17" t="s">
        <v>246</v>
      </c>
      <c r="W49" s="17" t="s">
        <v>246</v>
      </c>
      <c r="X49" s="17" t="s">
        <v>246</v>
      </c>
      <c r="Y49" s="17" t="s">
        <v>251</v>
      </c>
      <c r="Z49" s="17" t="s">
        <v>251</v>
      </c>
      <c r="AB49" s="17" t="s">
        <v>251</v>
      </c>
      <c r="AC49" s="17" t="s">
        <v>251</v>
      </c>
      <c r="AD49" s="17" t="s">
        <v>251</v>
      </c>
      <c r="AE49" s="17" t="s">
        <v>256</v>
      </c>
      <c r="AF49" s="17" t="s">
        <v>249</v>
      </c>
      <c r="AH49" s="17" t="s">
        <v>256</v>
      </c>
      <c r="AI49" s="17" t="s">
        <v>256</v>
      </c>
      <c r="AJ49" s="17" t="s">
        <v>256</v>
      </c>
      <c r="AK49" s="17" t="s">
        <v>256</v>
      </c>
      <c r="AM49" s="17" t="s">
        <v>256</v>
      </c>
      <c r="AN49" s="17" t="s">
        <v>256</v>
      </c>
      <c r="AU49" s="17" t="s">
        <v>25</v>
      </c>
      <c r="AV49" s="17" t="s">
        <v>25</v>
      </c>
      <c r="AW49" s="17" t="s">
        <v>25</v>
      </c>
      <c r="AX49" s="17" t="s">
        <v>25</v>
      </c>
      <c r="AY49" s="17" t="s">
        <v>25</v>
      </c>
      <c r="AZ49" s="17" t="s">
        <v>25</v>
      </c>
      <c r="BA49" s="17" t="s">
        <v>25</v>
      </c>
      <c r="BB49" s="17" t="s">
        <v>25</v>
      </c>
      <c r="BC49" s="17" t="s">
        <v>25</v>
      </c>
      <c r="BD49" s="17" t="s">
        <v>25</v>
      </c>
      <c r="BE49" s="17" t="s">
        <v>25</v>
      </c>
      <c r="BH49" s="17" t="s">
        <v>28</v>
      </c>
      <c r="BI49" s="17" t="s">
        <v>28</v>
      </c>
      <c r="BJ49" s="17" t="s">
        <v>28</v>
      </c>
      <c r="BK49" s="17" t="s">
        <v>254</v>
      </c>
      <c r="BL49" s="17" t="s">
        <v>275</v>
      </c>
    </row>
    <row r="50" spans="1:64" ht="25.5" x14ac:dyDescent="0.2">
      <c r="A50" s="14" t="s">
        <v>126</v>
      </c>
      <c r="B50" s="17" t="s">
        <v>271</v>
      </c>
      <c r="C50" s="17" t="s">
        <v>246</v>
      </c>
      <c r="D50" s="17" t="s">
        <v>245</v>
      </c>
      <c r="E50" s="17" t="s">
        <v>246</v>
      </c>
      <c r="G50" s="17" t="s">
        <v>245</v>
      </c>
      <c r="H50" s="17" t="s">
        <v>247</v>
      </c>
      <c r="S50" s="17" t="s">
        <v>247</v>
      </c>
      <c r="T50" s="17" t="s">
        <v>246</v>
      </c>
      <c r="U50" s="17" t="s">
        <v>246</v>
      </c>
      <c r="V50" s="17" t="s">
        <v>246</v>
      </c>
      <c r="W50" s="17" t="s">
        <v>245</v>
      </c>
      <c r="Z50" s="17" t="s">
        <v>252</v>
      </c>
      <c r="AC50" s="17" t="s">
        <v>252</v>
      </c>
      <c r="AE50" s="17" t="s">
        <v>249</v>
      </c>
      <c r="AF50" s="17" t="s">
        <v>251</v>
      </c>
      <c r="AJ50" s="17" t="s">
        <v>251</v>
      </c>
      <c r="AK50" s="17" t="s">
        <v>251</v>
      </c>
      <c r="AS50" s="17" t="s">
        <v>252</v>
      </c>
      <c r="AU50" s="17" t="s">
        <v>25</v>
      </c>
      <c r="AV50" s="17" t="s">
        <v>25</v>
      </c>
      <c r="AW50" s="17" t="s">
        <v>28</v>
      </c>
      <c r="AX50" s="17" t="s">
        <v>28</v>
      </c>
      <c r="AY50" s="17" t="s">
        <v>28</v>
      </c>
      <c r="AZ50" s="17" t="s">
        <v>25</v>
      </c>
      <c r="BA50" s="17" t="s">
        <v>25</v>
      </c>
      <c r="BC50" s="17" t="s">
        <v>265</v>
      </c>
      <c r="BD50" s="17" t="s">
        <v>265</v>
      </c>
      <c r="BE50" s="17" t="s">
        <v>28</v>
      </c>
      <c r="BH50" s="17" t="s">
        <v>28</v>
      </c>
      <c r="BI50" s="17" t="s">
        <v>28</v>
      </c>
      <c r="BJ50" s="17" t="s">
        <v>259</v>
      </c>
      <c r="BK50" s="17" t="s">
        <v>262</v>
      </c>
      <c r="BL50" s="17" t="s">
        <v>272</v>
      </c>
    </row>
    <row r="51" spans="1:64" ht="25.5" x14ac:dyDescent="0.2">
      <c r="A51" s="14" t="s">
        <v>130</v>
      </c>
      <c r="B51" s="17" t="s">
        <v>279</v>
      </c>
      <c r="C51" s="17" t="s">
        <v>245</v>
      </c>
      <c r="D51" s="17" t="s">
        <v>246</v>
      </c>
      <c r="E51" s="17" t="s">
        <v>246</v>
      </c>
      <c r="F51" s="17" t="s">
        <v>245</v>
      </c>
      <c r="G51" s="17" t="s">
        <v>246</v>
      </c>
      <c r="H51" s="17" t="s">
        <v>246</v>
      </c>
      <c r="I51" s="17" t="s">
        <v>246</v>
      </c>
      <c r="J51" s="17" t="s">
        <v>245</v>
      </c>
      <c r="K51" s="17" t="s">
        <v>246</v>
      </c>
      <c r="L51" s="17" t="s">
        <v>246</v>
      </c>
      <c r="M51" s="17" t="s">
        <v>246</v>
      </c>
      <c r="N51" s="17" t="s">
        <v>246</v>
      </c>
      <c r="O51" s="17" t="s">
        <v>245</v>
      </c>
      <c r="P51" s="17" t="s">
        <v>246</v>
      </c>
      <c r="Q51" s="17" t="s">
        <v>246</v>
      </c>
      <c r="R51" s="17" t="s">
        <v>246</v>
      </c>
      <c r="S51" s="17" t="s">
        <v>246</v>
      </c>
      <c r="T51" s="17" t="s">
        <v>246</v>
      </c>
      <c r="U51" s="17" t="s">
        <v>246</v>
      </c>
      <c r="V51" s="17" t="s">
        <v>246</v>
      </c>
      <c r="W51" s="17" t="s">
        <v>246</v>
      </c>
      <c r="X51" s="17" t="s">
        <v>245</v>
      </c>
      <c r="Y51" s="17" t="s">
        <v>251</v>
      </c>
      <c r="AB51" s="17" t="s">
        <v>251</v>
      </c>
      <c r="AF51" s="17" t="s">
        <v>249</v>
      </c>
      <c r="AJ51" s="17" t="s">
        <v>250</v>
      </c>
      <c r="AM51" s="17" t="s">
        <v>251</v>
      </c>
      <c r="AT51" s="17" t="s">
        <v>249</v>
      </c>
      <c r="AU51" s="17" t="s">
        <v>25</v>
      </c>
      <c r="AV51" s="17" t="s">
        <v>25</v>
      </c>
      <c r="AW51" s="17" t="s">
        <v>28</v>
      </c>
      <c r="AX51" s="17" t="s">
        <v>28</v>
      </c>
      <c r="AY51" s="17" t="s">
        <v>28</v>
      </c>
      <c r="AZ51" s="17" t="s">
        <v>28</v>
      </c>
      <c r="BA51" s="17" t="s">
        <v>25</v>
      </c>
      <c r="BB51" s="17" t="s">
        <v>25</v>
      </c>
      <c r="BC51" s="17" t="s">
        <v>25</v>
      </c>
      <c r="BD51" s="17" t="s">
        <v>25</v>
      </c>
      <c r="BE51" s="17" t="s">
        <v>25</v>
      </c>
      <c r="BF51" s="17" t="s">
        <v>253</v>
      </c>
      <c r="BH51" s="17" t="s">
        <v>28</v>
      </c>
      <c r="BI51" s="17" t="s">
        <v>28</v>
      </c>
      <c r="BJ51" s="17" t="s">
        <v>257</v>
      </c>
      <c r="BK51" s="17" t="s">
        <v>254</v>
      </c>
      <c r="BL51" s="17" t="s">
        <v>280</v>
      </c>
    </row>
    <row r="52" spans="1:64" ht="63.75" x14ac:dyDescent="0.2">
      <c r="A52" s="14" t="s">
        <v>173</v>
      </c>
      <c r="B52" s="17" t="s">
        <v>13310</v>
      </c>
      <c r="C52" s="17" t="s">
        <v>245</v>
      </c>
      <c r="D52" s="17" t="s">
        <v>245</v>
      </c>
      <c r="E52" s="17" t="s">
        <v>246</v>
      </c>
      <c r="F52" s="17" t="s">
        <v>245</v>
      </c>
      <c r="G52" s="17" t="s">
        <v>245</v>
      </c>
      <c r="H52" s="17" t="s">
        <v>245</v>
      </c>
      <c r="I52" s="17" t="s">
        <v>245</v>
      </c>
      <c r="J52" s="17" t="s">
        <v>245</v>
      </c>
      <c r="K52" s="17" t="s">
        <v>245</v>
      </c>
      <c r="L52" s="17" t="s">
        <v>245</v>
      </c>
      <c r="M52" s="17" t="s">
        <v>245</v>
      </c>
      <c r="N52" s="17" t="s">
        <v>245</v>
      </c>
      <c r="O52" s="17" t="s">
        <v>245</v>
      </c>
      <c r="P52" s="17" t="s">
        <v>245</v>
      </c>
      <c r="Q52" s="17" t="s">
        <v>246</v>
      </c>
      <c r="R52" s="17" t="s">
        <v>245</v>
      </c>
      <c r="S52" s="17" t="s">
        <v>245</v>
      </c>
      <c r="T52" s="17" t="s">
        <v>246</v>
      </c>
      <c r="U52" s="17" t="s">
        <v>246</v>
      </c>
      <c r="V52" s="17" t="s">
        <v>246</v>
      </c>
      <c r="W52" s="17" t="s">
        <v>246</v>
      </c>
      <c r="X52" s="17" t="s">
        <v>246</v>
      </c>
      <c r="Y52" s="17" t="s">
        <v>256</v>
      </c>
      <c r="Z52" s="17" t="s">
        <v>256</v>
      </c>
      <c r="AB52" s="17" t="s">
        <v>256</v>
      </c>
      <c r="AC52" s="17" t="s">
        <v>256</v>
      </c>
      <c r="AD52" s="17" t="s">
        <v>256</v>
      </c>
      <c r="AE52" s="17" t="s">
        <v>251</v>
      </c>
      <c r="AF52" s="17" t="s">
        <v>249</v>
      </c>
      <c r="AH52" s="17" t="s">
        <v>249</v>
      </c>
      <c r="AI52" s="17" t="s">
        <v>249</v>
      </c>
      <c r="AJ52" s="17" t="s">
        <v>251</v>
      </c>
      <c r="AK52" s="17" t="s">
        <v>251</v>
      </c>
      <c r="AN52" s="17" t="s">
        <v>250</v>
      </c>
      <c r="AO52" s="17" t="s">
        <v>251</v>
      </c>
      <c r="AU52" s="17" t="s">
        <v>25</v>
      </c>
      <c r="AV52" s="17" t="s">
        <v>25</v>
      </c>
      <c r="AW52" s="17" t="s">
        <v>28</v>
      </c>
      <c r="AX52" s="17" t="s">
        <v>28</v>
      </c>
      <c r="AY52" s="17" t="s">
        <v>28</v>
      </c>
      <c r="AZ52" s="17" t="s">
        <v>28</v>
      </c>
      <c r="BA52" s="17" t="s">
        <v>25</v>
      </c>
      <c r="BB52" s="17" t="s">
        <v>25</v>
      </c>
      <c r="BC52" s="17" t="s">
        <v>25</v>
      </c>
      <c r="BD52" s="17" t="s">
        <v>25</v>
      </c>
      <c r="BE52" s="17" t="s">
        <v>28</v>
      </c>
      <c r="BF52" s="17" t="s">
        <v>253</v>
      </c>
      <c r="BH52" s="17" t="s">
        <v>28</v>
      </c>
      <c r="BI52" s="17" t="s">
        <v>28</v>
      </c>
      <c r="BJ52" s="17" t="s">
        <v>257</v>
      </c>
      <c r="BK52" s="17" t="s">
        <v>28</v>
      </c>
      <c r="BL52" s="17" t="s">
        <v>326</v>
      </c>
    </row>
    <row r="53" spans="1:64" ht="51" x14ac:dyDescent="0.2">
      <c r="A53" s="14" t="s">
        <v>178</v>
      </c>
      <c r="B53" s="17" t="s">
        <v>13310</v>
      </c>
      <c r="C53" s="17" t="s">
        <v>247</v>
      </c>
      <c r="D53" s="17" t="s">
        <v>245</v>
      </c>
      <c r="E53" s="17" t="s">
        <v>246</v>
      </c>
      <c r="F53" s="17" t="s">
        <v>245</v>
      </c>
      <c r="G53" s="17" t="s">
        <v>245</v>
      </c>
      <c r="H53" s="17" t="s">
        <v>246</v>
      </c>
      <c r="I53" s="17" t="s">
        <v>245</v>
      </c>
      <c r="J53" s="17" t="s">
        <v>245</v>
      </c>
      <c r="K53" s="17" t="s">
        <v>245</v>
      </c>
      <c r="L53" s="17" t="s">
        <v>245</v>
      </c>
      <c r="M53" s="17" t="s">
        <v>245</v>
      </c>
      <c r="N53" s="17" t="s">
        <v>245</v>
      </c>
      <c r="O53" s="17" t="s">
        <v>245</v>
      </c>
      <c r="P53" s="17" t="s">
        <v>246</v>
      </c>
      <c r="Q53" s="17" t="s">
        <v>246</v>
      </c>
      <c r="R53" s="17" t="s">
        <v>246</v>
      </c>
      <c r="S53" s="17" t="s">
        <v>247</v>
      </c>
      <c r="T53" s="17" t="s">
        <v>246</v>
      </c>
      <c r="U53" s="17" t="s">
        <v>246</v>
      </c>
      <c r="V53" s="17" t="s">
        <v>245</v>
      </c>
      <c r="W53" s="17" t="s">
        <v>246</v>
      </c>
      <c r="X53" s="17" t="s">
        <v>246</v>
      </c>
      <c r="Z53" s="17" t="s">
        <v>251</v>
      </c>
      <c r="AB53" s="17" t="s">
        <v>248</v>
      </c>
      <c r="AC53" s="17" t="s">
        <v>248</v>
      </c>
      <c r="AE53" s="17" t="s">
        <v>251</v>
      </c>
      <c r="AF53" s="17" t="s">
        <v>248</v>
      </c>
      <c r="AG53" s="17" t="s">
        <v>248</v>
      </c>
      <c r="AH53" s="17" t="s">
        <v>251</v>
      </c>
      <c r="AI53" s="17" t="s">
        <v>248</v>
      </c>
      <c r="AJ53" s="17" t="s">
        <v>249</v>
      </c>
      <c r="AK53" s="17" t="s">
        <v>251</v>
      </c>
      <c r="AN53" s="17" t="s">
        <v>256</v>
      </c>
      <c r="AR53" s="17" t="s">
        <v>248</v>
      </c>
      <c r="AU53" s="17" t="s">
        <v>25</v>
      </c>
      <c r="AV53" s="17" t="s">
        <v>25</v>
      </c>
      <c r="AW53" s="17" t="s">
        <v>28</v>
      </c>
      <c r="AX53" s="17" t="s">
        <v>28</v>
      </c>
      <c r="AY53" s="17" t="s">
        <v>28</v>
      </c>
      <c r="AZ53" s="17" t="s">
        <v>28</v>
      </c>
      <c r="BA53" s="17" t="s">
        <v>28</v>
      </c>
      <c r="BB53" s="17" t="s">
        <v>25</v>
      </c>
      <c r="BC53" s="17" t="s">
        <v>25</v>
      </c>
      <c r="BD53" s="17" t="s">
        <v>25</v>
      </c>
      <c r="BE53" s="17" t="s">
        <v>25</v>
      </c>
      <c r="BF53" s="17" t="s">
        <v>253</v>
      </c>
      <c r="BH53" s="17" t="s">
        <v>28</v>
      </c>
      <c r="BI53" s="17" t="s">
        <v>28</v>
      </c>
      <c r="BJ53" s="17" t="s">
        <v>28</v>
      </c>
      <c r="BK53" s="17" t="s">
        <v>28</v>
      </c>
      <c r="BL53" s="17" t="s">
        <v>331</v>
      </c>
    </row>
    <row r="54" spans="1:64" ht="38.25" x14ac:dyDescent="0.2">
      <c r="A54" s="14" t="s">
        <v>151</v>
      </c>
      <c r="B54" s="17" t="s">
        <v>13308</v>
      </c>
      <c r="C54" s="17" t="s">
        <v>246</v>
      </c>
      <c r="D54" s="17" t="s">
        <v>246</v>
      </c>
      <c r="E54" s="17" t="s">
        <v>246</v>
      </c>
      <c r="F54" s="17" t="s">
        <v>245</v>
      </c>
      <c r="G54" s="17" t="s">
        <v>245</v>
      </c>
      <c r="H54" s="17" t="s">
        <v>246</v>
      </c>
      <c r="I54" s="17" t="s">
        <v>246</v>
      </c>
      <c r="J54" s="17" t="s">
        <v>245</v>
      </c>
      <c r="K54" s="17" t="s">
        <v>246</v>
      </c>
      <c r="L54" s="17" t="s">
        <v>246</v>
      </c>
      <c r="M54" s="17" t="s">
        <v>246</v>
      </c>
      <c r="N54" s="17" t="s">
        <v>245</v>
      </c>
      <c r="O54" s="17" t="s">
        <v>246</v>
      </c>
      <c r="P54" s="17" t="s">
        <v>246</v>
      </c>
      <c r="Q54" s="17" t="s">
        <v>245</v>
      </c>
      <c r="R54" s="17" t="s">
        <v>246</v>
      </c>
      <c r="S54" s="17" t="s">
        <v>246</v>
      </c>
      <c r="T54" s="17" t="s">
        <v>246</v>
      </c>
      <c r="U54" s="17" t="s">
        <v>246</v>
      </c>
      <c r="V54" s="17" t="s">
        <v>246</v>
      </c>
      <c r="W54" s="17" t="s">
        <v>246</v>
      </c>
      <c r="X54" s="17" t="s">
        <v>247</v>
      </c>
      <c r="AB54" s="17" t="s">
        <v>248</v>
      </c>
      <c r="AC54" s="17" t="s">
        <v>251</v>
      </c>
      <c r="AF54" s="17" t="s">
        <v>251</v>
      </c>
      <c r="AI54" s="17" t="s">
        <v>249</v>
      </c>
      <c r="AM54" s="17" t="s">
        <v>251</v>
      </c>
      <c r="AU54" s="17" t="s">
        <v>25</v>
      </c>
      <c r="AV54" s="17" t="s">
        <v>25</v>
      </c>
      <c r="AW54" s="17" t="s">
        <v>28</v>
      </c>
      <c r="AX54" s="17" t="s">
        <v>28</v>
      </c>
      <c r="AY54" s="17" t="s">
        <v>28</v>
      </c>
      <c r="AZ54" s="17" t="s">
        <v>28</v>
      </c>
      <c r="BA54" s="17" t="s">
        <v>25</v>
      </c>
      <c r="BB54" s="17" t="s">
        <v>28</v>
      </c>
      <c r="BC54" s="17" t="s">
        <v>25</v>
      </c>
      <c r="BD54" s="17" t="s">
        <v>25</v>
      </c>
      <c r="BE54" s="17" t="s">
        <v>28</v>
      </c>
      <c r="BH54" s="17" t="s">
        <v>28</v>
      </c>
      <c r="BI54" s="17" t="s">
        <v>28</v>
      </c>
      <c r="BJ54" s="17" t="s">
        <v>257</v>
      </c>
      <c r="BK54" s="17" t="s">
        <v>28</v>
      </c>
      <c r="BL54" s="17" t="s">
        <v>304</v>
      </c>
    </row>
    <row r="55" spans="1:64" ht="25.5" x14ac:dyDescent="0.2">
      <c r="A55" s="14" t="s">
        <v>172</v>
      </c>
      <c r="B55" s="17" t="s">
        <v>305</v>
      </c>
      <c r="F55" s="17" t="s">
        <v>268</v>
      </c>
      <c r="G55" s="17" t="s">
        <v>245</v>
      </c>
      <c r="I55" s="17" t="s">
        <v>246</v>
      </c>
      <c r="J55" s="17" t="s">
        <v>245</v>
      </c>
      <c r="K55" s="17" t="s">
        <v>245</v>
      </c>
      <c r="L55" s="17" t="s">
        <v>245</v>
      </c>
      <c r="M55" s="17" t="s">
        <v>245</v>
      </c>
      <c r="N55" s="17" t="s">
        <v>245</v>
      </c>
      <c r="O55" s="17" t="s">
        <v>247</v>
      </c>
      <c r="P55" s="17" t="s">
        <v>246</v>
      </c>
      <c r="Q55" s="17" t="s">
        <v>245</v>
      </c>
      <c r="X55" s="17" t="s">
        <v>245</v>
      </c>
      <c r="AC55" s="17" t="s">
        <v>251</v>
      </c>
      <c r="AT55" s="17" t="s">
        <v>251</v>
      </c>
      <c r="AW55" s="17" t="s">
        <v>28</v>
      </c>
      <c r="AZ55" s="17" t="s">
        <v>28</v>
      </c>
      <c r="BA55" s="17" t="s">
        <v>28</v>
      </c>
      <c r="BB55" s="17" t="s">
        <v>25</v>
      </c>
      <c r="BH55" s="17" t="s">
        <v>28</v>
      </c>
      <c r="BI55" s="17" t="s">
        <v>259</v>
      </c>
      <c r="BJ55" s="17" t="s">
        <v>259</v>
      </c>
      <c r="BK55" s="17" t="s">
        <v>254</v>
      </c>
      <c r="BL55" s="17" t="s">
        <v>325</v>
      </c>
    </row>
    <row r="56" spans="1:64" ht="51" x14ac:dyDescent="0.2">
      <c r="A56" s="14" t="s">
        <v>119</v>
      </c>
      <c r="B56" s="17" t="s">
        <v>13309</v>
      </c>
      <c r="C56" s="17" t="s">
        <v>246</v>
      </c>
      <c r="D56" s="17" t="s">
        <v>246</v>
      </c>
      <c r="E56" s="17" t="s">
        <v>246</v>
      </c>
      <c r="G56" s="17" t="s">
        <v>245</v>
      </c>
      <c r="H56" s="17" t="s">
        <v>245</v>
      </c>
      <c r="J56" s="17" t="s">
        <v>245</v>
      </c>
      <c r="N56" s="17" t="s">
        <v>245</v>
      </c>
      <c r="S56" s="17" t="s">
        <v>246</v>
      </c>
      <c r="T56" s="17" t="s">
        <v>246</v>
      </c>
      <c r="U56" s="17" t="s">
        <v>246</v>
      </c>
      <c r="V56" s="17" t="s">
        <v>246</v>
      </c>
      <c r="W56" s="17" t="s">
        <v>245</v>
      </c>
      <c r="X56" s="17" t="s">
        <v>245</v>
      </c>
      <c r="AC56" s="17" t="s">
        <v>256</v>
      </c>
      <c r="AF56" s="17" t="s">
        <v>251</v>
      </c>
      <c r="AG56" s="17" t="s">
        <v>251</v>
      </c>
      <c r="AI56" s="17" t="s">
        <v>251</v>
      </c>
      <c r="AJ56" s="17" t="s">
        <v>256</v>
      </c>
      <c r="AN56" s="17" t="s">
        <v>251</v>
      </c>
      <c r="AS56" s="17" t="s">
        <v>256</v>
      </c>
      <c r="AT56" s="17" t="s">
        <v>249</v>
      </c>
      <c r="AU56" s="17" t="s">
        <v>25</v>
      </c>
      <c r="AV56" s="17" t="s">
        <v>25</v>
      </c>
      <c r="AW56" s="17" t="s">
        <v>25</v>
      </c>
      <c r="AX56" s="17" t="s">
        <v>28</v>
      </c>
      <c r="AY56" s="17" t="s">
        <v>28</v>
      </c>
      <c r="AZ56" s="17" t="s">
        <v>25</v>
      </c>
      <c r="BA56" s="17" t="s">
        <v>25</v>
      </c>
      <c r="BB56" s="17" t="s">
        <v>25</v>
      </c>
      <c r="BC56" s="17" t="s">
        <v>25</v>
      </c>
      <c r="BD56" s="17" t="s">
        <v>25</v>
      </c>
      <c r="BE56" s="17" t="s">
        <v>28</v>
      </c>
      <c r="BF56" s="17" t="s">
        <v>25</v>
      </c>
      <c r="BH56" s="17" t="s">
        <v>28</v>
      </c>
      <c r="BI56" s="17" t="s">
        <v>28</v>
      </c>
      <c r="BJ56" s="17" t="s">
        <v>257</v>
      </c>
      <c r="BK56" s="17" t="s">
        <v>259</v>
      </c>
      <c r="BL56" s="17" t="s">
        <v>260</v>
      </c>
    </row>
    <row r="57" spans="1:64" ht="38.25" x14ac:dyDescent="0.2">
      <c r="A57" s="14" t="s">
        <v>146</v>
      </c>
      <c r="B57" s="17" t="s">
        <v>13308</v>
      </c>
      <c r="C57" s="17" t="s">
        <v>247</v>
      </c>
      <c r="D57" s="17" t="s">
        <v>245</v>
      </c>
      <c r="E57" s="17" t="s">
        <v>245</v>
      </c>
      <c r="F57" s="17" t="s">
        <v>245</v>
      </c>
      <c r="G57" s="17" t="s">
        <v>245</v>
      </c>
      <c r="H57" s="17" t="s">
        <v>245</v>
      </c>
      <c r="I57" s="17" t="s">
        <v>246</v>
      </c>
      <c r="J57" s="17" t="s">
        <v>245</v>
      </c>
      <c r="K57" s="17" t="s">
        <v>245</v>
      </c>
      <c r="L57" s="17" t="s">
        <v>245</v>
      </c>
      <c r="M57" s="17" t="s">
        <v>247</v>
      </c>
      <c r="N57" s="17" t="s">
        <v>245</v>
      </c>
      <c r="O57" s="17" t="s">
        <v>245</v>
      </c>
      <c r="P57" s="17" t="s">
        <v>246</v>
      </c>
      <c r="Q57" s="17" t="s">
        <v>245</v>
      </c>
      <c r="R57" s="17" t="s">
        <v>245</v>
      </c>
      <c r="S57" s="17" t="s">
        <v>247</v>
      </c>
      <c r="T57" s="17" t="s">
        <v>246</v>
      </c>
      <c r="U57" s="17" t="s">
        <v>246</v>
      </c>
      <c r="V57" s="17" t="s">
        <v>246</v>
      </c>
      <c r="W57" s="17" t="s">
        <v>246</v>
      </c>
      <c r="X57" s="17" t="s">
        <v>246</v>
      </c>
      <c r="Z57" s="17" t="s">
        <v>251</v>
      </c>
      <c r="AA57" s="17" t="s">
        <v>252</v>
      </c>
      <c r="AB57" s="17" t="s">
        <v>252</v>
      </c>
      <c r="AC57" s="17" t="s">
        <v>252</v>
      </c>
      <c r="AD57" s="17" t="s">
        <v>252</v>
      </c>
      <c r="AU57" s="17" t="s">
        <v>28</v>
      </c>
      <c r="AV57" s="17" t="s">
        <v>28</v>
      </c>
      <c r="AW57" s="17" t="s">
        <v>28</v>
      </c>
      <c r="AX57" s="17" t="s">
        <v>28</v>
      </c>
      <c r="AY57" s="17" t="s">
        <v>28</v>
      </c>
      <c r="AZ57" s="17" t="s">
        <v>28</v>
      </c>
      <c r="BA57" s="17" t="s">
        <v>28</v>
      </c>
      <c r="BB57" s="17" t="s">
        <v>28</v>
      </c>
      <c r="BC57" s="17" t="s">
        <v>25</v>
      </c>
      <c r="BD57" s="17" t="s">
        <v>28</v>
      </c>
      <c r="BE57" s="17" t="s">
        <v>25</v>
      </c>
      <c r="BH57" s="17" t="s">
        <v>28</v>
      </c>
      <c r="BI57" s="17" t="s">
        <v>28</v>
      </c>
      <c r="BJ57" s="17" t="s">
        <v>259</v>
      </c>
      <c r="BK57" s="17" t="s">
        <v>28</v>
      </c>
    </row>
    <row r="58" spans="1:64" ht="51" x14ac:dyDescent="0.2">
      <c r="A58" s="14" t="s">
        <v>149</v>
      </c>
      <c r="B58" s="17" t="s">
        <v>13309</v>
      </c>
      <c r="C58" s="17" t="s">
        <v>245</v>
      </c>
      <c r="D58" s="17" t="s">
        <v>245</v>
      </c>
      <c r="E58" s="17" t="s">
        <v>246</v>
      </c>
      <c r="F58" s="17" t="s">
        <v>245</v>
      </c>
      <c r="G58" s="17" t="s">
        <v>245</v>
      </c>
      <c r="H58" s="17" t="s">
        <v>246</v>
      </c>
      <c r="I58" s="17" t="s">
        <v>245</v>
      </c>
      <c r="J58" s="17" t="s">
        <v>245</v>
      </c>
      <c r="K58" s="17" t="s">
        <v>245</v>
      </c>
      <c r="L58" s="17" t="s">
        <v>245</v>
      </c>
      <c r="M58" s="17" t="s">
        <v>246</v>
      </c>
      <c r="N58" s="17" t="s">
        <v>245</v>
      </c>
      <c r="O58" s="17" t="s">
        <v>246</v>
      </c>
      <c r="P58" s="17" t="s">
        <v>246</v>
      </c>
      <c r="Q58" s="17" t="s">
        <v>246</v>
      </c>
      <c r="R58" s="17" t="s">
        <v>246</v>
      </c>
      <c r="S58" s="17" t="s">
        <v>246</v>
      </c>
      <c r="T58" s="17" t="s">
        <v>246</v>
      </c>
      <c r="U58" s="17" t="s">
        <v>246</v>
      </c>
      <c r="V58" s="17" t="s">
        <v>245</v>
      </c>
      <c r="W58" s="17" t="s">
        <v>246</v>
      </c>
      <c r="X58" s="17" t="s">
        <v>246</v>
      </c>
      <c r="Y58" s="17" t="s">
        <v>249</v>
      </c>
      <c r="Z58" s="17" t="s">
        <v>251</v>
      </c>
      <c r="AB58" s="17" t="s">
        <v>251</v>
      </c>
      <c r="AC58" s="17" t="s">
        <v>251</v>
      </c>
      <c r="AE58" s="17" t="s">
        <v>251</v>
      </c>
      <c r="AF58" s="17" t="s">
        <v>249</v>
      </c>
      <c r="AH58" s="17" t="s">
        <v>249</v>
      </c>
      <c r="AI58" s="17" t="s">
        <v>251</v>
      </c>
      <c r="AJ58" s="17" t="s">
        <v>248</v>
      </c>
      <c r="AM58" s="17" t="s">
        <v>251</v>
      </c>
      <c r="AN58" s="17" t="s">
        <v>251</v>
      </c>
      <c r="AU58" s="17" t="s">
        <v>25</v>
      </c>
      <c r="AV58" s="17" t="s">
        <v>28</v>
      </c>
      <c r="AW58" s="17" t="s">
        <v>28</v>
      </c>
      <c r="AX58" s="17" t="s">
        <v>28</v>
      </c>
      <c r="AY58" s="17" t="s">
        <v>28</v>
      </c>
      <c r="AZ58" s="17" t="s">
        <v>28</v>
      </c>
      <c r="BA58" s="17" t="s">
        <v>25</v>
      </c>
      <c r="BC58" s="17" t="s">
        <v>25</v>
      </c>
      <c r="BD58" s="17" t="s">
        <v>25</v>
      </c>
      <c r="BE58" s="17" t="s">
        <v>28</v>
      </c>
      <c r="BF58" s="17" t="s">
        <v>25</v>
      </c>
      <c r="BH58" s="17" t="s">
        <v>28</v>
      </c>
      <c r="BI58" s="17" t="s">
        <v>28</v>
      </c>
      <c r="BJ58" s="17" t="s">
        <v>257</v>
      </c>
      <c r="BK58" s="17" t="s">
        <v>28</v>
      </c>
      <c r="BL58" s="17" t="s">
        <v>301</v>
      </c>
    </row>
    <row r="59" spans="1:64" ht="76.5" x14ac:dyDescent="0.2">
      <c r="A59" s="14" t="s">
        <v>145</v>
      </c>
      <c r="B59" s="17" t="s">
        <v>13314</v>
      </c>
      <c r="F59" s="17" t="s">
        <v>245</v>
      </c>
      <c r="I59" s="17" t="s">
        <v>245</v>
      </c>
      <c r="J59" s="17" t="s">
        <v>245</v>
      </c>
      <c r="K59" s="17" t="s">
        <v>246</v>
      </c>
      <c r="L59" s="17" t="s">
        <v>246</v>
      </c>
      <c r="M59" s="17" t="s">
        <v>245</v>
      </c>
      <c r="N59" s="17" t="s">
        <v>245</v>
      </c>
      <c r="O59" s="17" t="s">
        <v>246</v>
      </c>
      <c r="P59" s="17" t="s">
        <v>246</v>
      </c>
      <c r="Q59" s="17" t="s">
        <v>245</v>
      </c>
      <c r="R59" s="17" t="s">
        <v>245</v>
      </c>
      <c r="X59" s="17" t="s">
        <v>246</v>
      </c>
      <c r="AB59" s="17" t="s">
        <v>251</v>
      </c>
      <c r="BB59" s="17" t="s">
        <v>28</v>
      </c>
      <c r="BH59" s="17" t="s">
        <v>28</v>
      </c>
      <c r="BI59" s="17" t="s">
        <v>28</v>
      </c>
      <c r="BL59" s="17" t="s">
        <v>298</v>
      </c>
    </row>
    <row r="60" spans="1:64" ht="63.75" x14ac:dyDescent="0.2">
      <c r="A60" s="14" t="s">
        <v>141</v>
      </c>
      <c r="B60" s="17" t="s">
        <v>13315</v>
      </c>
      <c r="C60" s="17" t="s">
        <v>245</v>
      </c>
      <c r="D60" s="17" t="s">
        <v>245</v>
      </c>
      <c r="E60" s="17" t="s">
        <v>246</v>
      </c>
      <c r="F60" s="17" t="s">
        <v>245</v>
      </c>
      <c r="G60" s="17" t="s">
        <v>245</v>
      </c>
      <c r="H60" s="17" t="s">
        <v>247</v>
      </c>
      <c r="I60" s="17" t="s">
        <v>245</v>
      </c>
      <c r="J60" s="17" t="s">
        <v>245</v>
      </c>
      <c r="K60" s="17" t="s">
        <v>245</v>
      </c>
      <c r="L60" s="17" t="s">
        <v>246</v>
      </c>
      <c r="M60" s="17" t="s">
        <v>246</v>
      </c>
      <c r="N60" s="17" t="s">
        <v>245</v>
      </c>
      <c r="O60" s="17" t="s">
        <v>246</v>
      </c>
      <c r="P60" s="17" t="s">
        <v>246</v>
      </c>
      <c r="Q60" s="17" t="s">
        <v>245</v>
      </c>
      <c r="R60" s="17" t="s">
        <v>246</v>
      </c>
      <c r="S60" s="17" t="s">
        <v>247</v>
      </c>
      <c r="T60" s="17" t="s">
        <v>246</v>
      </c>
      <c r="U60" s="17" t="s">
        <v>246</v>
      </c>
      <c r="V60" s="17" t="s">
        <v>246</v>
      </c>
      <c r="W60" s="17" t="s">
        <v>246</v>
      </c>
      <c r="X60" s="17" t="s">
        <v>246</v>
      </c>
      <c r="Y60" s="17" t="s">
        <v>252</v>
      </c>
      <c r="Z60" s="17" t="s">
        <v>252</v>
      </c>
      <c r="AB60" s="17" t="s">
        <v>252</v>
      </c>
      <c r="AC60" s="17" t="s">
        <v>252</v>
      </c>
      <c r="AE60" s="17" t="s">
        <v>251</v>
      </c>
      <c r="AF60" s="17" t="s">
        <v>248</v>
      </c>
      <c r="AH60" s="17" t="s">
        <v>251</v>
      </c>
      <c r="AJ60" s="17" t="s">
        <v>251</v>
      </c>
      <c r="AM60" s="17" t="s">
        <v>251</v>
      </c>
      <c r="AN60" s="17" t="s">
        <v>251</v>
      </c>
      <c r="AU60" s="17" t="s">
        <v>28</v>
      </c>
      <c r="AV60" s="17" t="s">
        <v>25</v>
      </c>
      <c r="AW60" s="17" t="s">
        <v>28</v>
      </c>
      <c r="AX60" s="17" t="s">
        <v>28</v>
      </c>
      <c r="AY60" s="17" t="s">
        <v>28</v>
      </c>
      <c r="AZ60" s="17" t="s">
        <v>28</v>
      </c>
      <c r="BA60" s="17" t="s">
        <v>25</v>
      </c>
      <c r="BC60" s="17" t="s">
        <v>28</v>
      </c>
      <c r="BD60" s="17" t="s">
        <v>28</v>
      </c>
      <c r="BE60" s="17" t="s">
        <v>25</v>
      </c>
      <c r="BF60" s="17" t="s">
        <v>253</v>
      </c>
      <c r="BJ60" s="17" t="s">
        <v>257</v>
      </c>
      <c r="BK60" s="17" t="s">
        <v>28</v>
      </c>
      <c r="BL60" s="17" t="s">
        <v>294</v>
      </c>
    </row>
    <row r="61" spans="1:64" ht="51" x14ac:dyDescent="0.2">
      <c r="A61" s="14" t="s">
        <v>132</v>
      </c>
      <c r="B61" s="17" t="s">
        <v>13310</v>
      </c>
      <c r="C61" s="17" t="s">
        <v>246</v>
      </c>
      <c r="D61" s="17" t="s">
        <v>246</v>
      </c>
      <c r="E61" s="17" t="s">
        <v>247</v>
      </c>
      <c r="G61" s="17" t="s">
        <v>245</v>
      </c>
      <c r="H61" s="17" t="s">
        <v>245</v>
      </c>
      <c r="S61" s="17" t="s">
        <v>246</v>
      </c>
      <c r="T61" s="17" t="s">
        <v>246</v>
      </c>
      <c r="U61" s="17" t="s">
        <v>246</v>
      </c>
      <c r="V61" s="17" t="s">
        <v>246</v>
      </c>
      <c r="W61" s="17" t="s">
        <v>246</v>
      </c>
      <c r="AE61" s="17" t="s">
        <v>251</v>
      </c>
      <c r="AF61" s="17" t="s">
        <v>248</v>
      </c>
      <c r="AH61" s="17" t="s">
        <v>251</v>
      </c>
      <c r="AI61" s="17" t="s">
        <v>251</v>
      </c>
      <c r="AJ61" s="17" t="s">
        <v>248</v>
      </c>
      <c r="AK61" s="17" t="s">
        <v>248</v>
      </c>
      <c r="AM61" s="17" t="s">
        <v>251</v>
      </c>
      <c r="AN61" s="17" t="s">
        <v>256</v>
      </c>
      <c r="AU61" s="17" t="s">
        <v>25</v>
      </c>
      <c r="AV61" s="17" t="s">
        <v>25</v>
      </c>
      <c r="AW61" s="17" t="s">
        <v>28</v>
      </c>
      <c r="AX61" s="17" t="s">
        <v>28</v>
      </c>
      <c r="AY61" s="17" t="s">
        <v>28</v>
      </c>
      <c r="AZ61" s="17" t="s">
        <v>28</v>
      </c>
      <c r="BA61" s="17" t="s">
        <v>25</v>
      </c>
      <c r="BB61" s="17" t="s">
        <v>28</v>
      </c>
      <c r="BC61" s="17" t="s">
        <v>25</v>
      </c>
      <c r="BD61" s="17" t="s">
        <v>28</v>
      </c>
      <c r="BE61" s="17" t="s">
        <v>25</v>
      </c>
      <c r="BF61" s="17" t="s">
        <v>253</v>
      </c>
      <c r="BH61" s="17" t="s">
        <v>28</v>
      </c>
      <c r="BI61" s="17" t="s">
        <v>28</v>
      </c>
      <c r="BJ61" s="17" t="s">
        <v>257</v>
      </c>
      <c r="BK61" s="17" t="s">
        <v>28</v>
      </c>
      <c r="BL61" s="17" t="s">
        <v>282</v>
      </c>
    </row>
    <row r="62" spans="1:64" ht="76.5" x14ac:dyDescent="0.2">
      <c r="A62" s="14" t="s">
        <v>136</v>
      </c>
      <c r="B62" s="17" t="s">
        <v>13314</v>
      </c>
      <c r="C62" s="17" t="s">
        <v>246</v>
      </c>
      <c r="D62" s="17" t="s">
        <v>246</v>
      </c>
      <c r="E62" s="17" t="s">
        <v>246</v>
      </c>
      <c r="F62" s="17" t="s">
        <v>245</v>
      </c>
      <c r="G62" s="17" t="s">
        <v>245</v>
      </c>
      <c r="H62" s="17" t="s">
        <v>245</v>
      </c>
      <c r="I62" s="17" t="s">
        <v>245</v>
      </c>
      <c r="J62" s="17" t="s">
        <v>245</v>
      </c>
      <c r="K62" s="17" t="s">
        <v>245</v>
      </c>
      <c r="L62" s="17" t="s">
        <v>246</v>
      </c>
      <c r="M62" s="17" t="s">
        <v>246</v>
      </c>
      <c r="N62" s="17" t="s">
        <v>245</v>
      </c>
      <c r="O62" s="17" t="s">
        <v>246</v>
      </c>
      <c r="P62" s="17" t="s">
        <v>246</v>
      </c>
      <c r="Q62" s="17" t="s">
        <v>246</v>
      </c>
      <c r="R62" s="17" t="s">
        <v>246</v>
      </c>
      <c r="S62" s="17" t="s">
        <v>245</v>
      </c>
      <c r="T62" s="17" t="s">
        <v>245</v>
      </c>
      <c r="U62" s="17" t="s">
        <v>245</v>
      </c>
      <c r="V62" s="17" t="s">
        <v>245</v>
      </c>
      <c r="W62" s="17" t="s">
        <v>246</v>
      </c>
      <c r="X62" s="17" t="s">
        <v>246</v>
      </c>
      <c r="AB62" s="17" t="s">
        <v>249</v>
      </c>
      <c r="AC62" s="17" t="s">
        <v>251</v>
      </c>
      <c r="AD62" s="17" t="s">
        <v>251</v>
      </c>
      <c r="AE62" s="17" t="s">
        <v>256</v>
      </c>
      <c r="AF62" s="17" t="s">
        <v>248</v>
      </c>
      <c r="AG62" s="17" t="s">
        <v>248</v>
      </c>
      <c r="AH62" s="17" t="s">
        <v>250</v>
      </c>
      <c r="AI62" s="17" t="s">
        <v>250</v>
      </c>
      <c r="AJ62" s="17" t="s">
        <v>249</v>
      </c>
      <c r="AK62" s="17" t="s">
        <v>249</v>
      </c>
      <c r="AN62" s="17" t="s">
        <v>256</v>
      </c>
      <c r="AU62" s="17" t="s">
        <v>28</v>
      </c>
      <c r="AV62" s="17" t="s">
        <v>25</v>
      </c>
      <c r="AW62" s="17" t="s">
        <v>28</v>
      </c>
      <c r="AX62" s="17" t="s">
        <v>28</v>
      </c>
      <c r="AY62" s="17" t="s">
        <v>28</v>
      </c>
      <c r="AZ62" s="17" t="s">
        <v>28</v>
      </c>
      <c r="BA62" s="17" t="s">
        <v>25</v>
      </c>
      <c r="BB62" s="17" t="s">
        <v>25</v>
      </c>
      <c r="BC62" s="17" t="s">
        <v>28</v>
      </c>
      <c r="BD62" s="17" t="s">
        <v>28</v>
      </c>
      <c r="BE62" s="17" t="s">
        <v>25</v>
      </c>
      <c r="BH62" s="17" t="s">
        <v>28</v>
      </c>
      <c r="BI62" s="17" t="s">
        <v>28</v>
      </c>
      <c r="BJ62" s="17" t="s">
        <v>28</v>
      </c>
      <c r="BK62" s="17" t="s">
        <v>28</v>
      </c>
      <c r="BL62" s="17" t="s">
        <v>289</v>
      </c>
    </row>
    <row r="63" spans="1:64" ht="76.5" x14ac:dyDescent="0.2">
      <c r="A63" s="14" t="s">
        <v>177</v>
      </c>
      <c r="B63" s="17" t="s">
        <v>13314</v>
      </c>
      <c r="C63" s="17" t="s">
        <v>245</v>
      </c>
      <c r="D63" s="17" t="s">
        <v>245</v>
      </c>
      <c r="E63" s="17" t="s">
        <v>247</v>
      </c>
      <c r="F63" s="17" t="s">
        <v>245</v>
      </c>
      <c r="G63" s="17" t="s">
        <v>245</v>
      </c>
      <c r="H63" s="17" t="s">
        <v>245</v>
      </c>
      <c r="I63" s="17" t="s">
        <v>246</v>
      </c>
      <c r="J63" s="17" t="s">
        <v>268</v>
      </c>
      <c r="K63" s="17" t="s">
        <v>247</v>
      </c>
      <c r="L63" s="17" t="s">
        <v>246</v>
      </c>
      <c r="M63" s="17" t="s">
        <v>246</v>
      </c>
      <c r="N63" s="17" t="s">
        <v>245</v>
      </c>
      <c r="O63" s="17" t="s">
        <v>247</v>
      </c>
      <c r="P63" s="17" t="s">
        <v>246</v>
      </c>
      <c r="Q63" s="17" t="s">
        <v>246</v>
      </c>
      <c r="R63" s="17" t="s">
        <v>246</v>
      </c>
      <c r="S63" s="17" t="s">
        <v>246</v>
      </c>
      <c r="T63" s="17" t="s">
        <v>245</v>
      </c>
      <c r="U63" s="17" t="s">
        <v>246</v>
      </c>
      <c r="V63" s="17" t="s">
        <v>246</v>
      </c>
      <c r="W63" s="17" t="s">
        <v>246</v>
      </c>
      <c r="X63" s="17" t="s">
        <v>245</v>
      </c>
      <c r="Y63" s="17" t="s">
        <v>256</v>
      </c>
      <c r="Z63" s="17" t="s">
        <v>252</v>
      </c>
      <c r="AB63" s="17" t="s">
        <v>252</v>
      </c>
      <c r="AC63" s="17" t="s">
        <v>252</v>
      </c>
      <c r="AD63" s="17" t="s">
        <v>251</v>
      </c>
      <c r="AE63" s="17" t="s">
        <v>251</v>
      </c>
      <c r="AF63" s="17" t="s">
        <v>248</v>
      </c>
      <c r="AG63" s="17" t="s">
        <v>248</v>
      </c>
      <c r="AH63" s="17" t="s">
        <v>251</v>
      </c>
      <c r="AI63" s="17" t="s">
        <v>251</v>
      </c>
      <c r="AJ63" s="17" t="s">
        <v>248</v>
      </c>
      <c r="AL63" s="17" t="s">
        <v>251</v>
      </c>
      <c r="AN63" s="17" t="s">
        <v>251</v>
      </c>
      <c r="AP63" s="17" t="s">
        <v>252</v>
      </c>
      <c r="AT63" s="17" t="s">
        <v>252</v>
      </c>
      <c r="AU63" s="17" t="s">
        <v>25</v>
      </c>
      <c r="AV63" s="17" t="s">
        <v>25</v>
      </c>
      <c r="AW63" s="17" t="s">
        <v>28</v>
      </c>
      <c r="AX63" s="17" t="s">
        <v>28</v>
      </c>
      <c r="AY63" s="17" t="s">
        <v>28</v>
      </c>
      <c r="AZ63" s="17" t="s">
        <v>28</v>
      </c>
      <c r="BA63" s="17" t="s">
        <v>25</v>
      </c>
      <c r="BB63" s="17" t="s">
        <v>25</v>
      </c>
      <c r="BC63" s="17" t="s">
        <v>28</v>
      </c>
      <c r="BD63" s="17" t="s">
        <v>25</v>
      </c>
      <c r="BE63" s="17" t="s">
        <v>28</v>
      </c>
      <c r="BF63" s="17" t="s">
        <v>253</v>
      </c>
      <c r="BH63" s="17" t="s">
        <v>28</v>
      </c>
      <c r="BI63" s="17" t="s">
        <v>28</v>
      </c>
      <c r="BJ63" s="17" t="s">
        <v>28</v>
      </c>
      <c r="BK63" s="17" t="s">
        <v>28</v>
      </c>
      <c r="BL63" s="17" t="s">
        <v>330</v>
      </c>
    </row>
    <row r="64" spans="1:64" ht="63.75" x14ac:dyDescent="0.2">
      <c r="A64" s="14" t="s">
        <v>162</v>
      </c>
      <c r="B64" s="17" t="s">
        <v>13307</v>
      </c>
      <c r="C64" s="17" t="s">
        <v>245</v>
      </c>
      <c r="D64" s="17" t="s">
        <v>245</v>
      </c>
      <c r="E64" s="17" t="s">
        <v>245</v>
      </c>
      <c r="F64" s="17" t="s">
        <v>245</v>
      </c>
      <c r="G64" s="17" t="s">
        <v>245</v>
      </c>
      <c r="H64" s="17" t="s">
        <v>245</v>
      </c>
      <c r="I64" s="17" t="s">
        <v>245</v>
      </c>
      <c r="J64" s="17" t="s">
        <v>245</v>
      </c>
      <c r="K64" s="17" t="s">
        <v>245</v>
      </c>
      <c r="L64" s="17" t="s">
        <v>246</v>
      </c>
      <c r="M64" s="17" t="s">
        <v>245</v>
      </c>
      <c r="N64" s="17" t="s">
        <v>245</v>
      </c>
      <c r="O64" s="17" t="s">
        <v>245</v>
      </c>
      <c r="P64" s="17" t="s">
        <v>245</v>
      </c>
      <c r="Q64" s="17" t="s">
        <v>245</v>
      </c>
      <c r="R64" s="17" t="s">
        <v>246</v>
      </c>
      <c r="S64" s="17" t="s">
        <v>246</v>
      </c>
      <c r="T64" s="17" t="s">
        <v>246</v>
      </c>
      <c r="U64" s="17" t="s">
        <v>246</v>
      </c>
      <c r="V64" s="17" t="s">
        <v>245</v>
      </c>
      <c r="W64" s="17" t="s">
        <v>246</v>
      </c>
      <c r="X64" s="17" t="s">
        <v>245</v>
      </c>
      <c r="Z64" s="17" t="s">
        <v>251</v>
      </c>
      <c r="AA64" s="17" t="s">
        <v>248</v>
      </c>
      <c r="AB64" s="17" t="s">
        <v>252</v>
      </c>
      <c r="AC64" s="17" t="s">
        <v>251</v>
      </c>
      <c r="AD64" s="17" t="s">
        <v>251</v>
      </c>
      <c r="AE64" s="17" t="s">
        <v>251</v>
      </c>
      <c r="AF64" s="17" t="s">
        <v>248</v>
      </c>
      <c r="AG64" s="17" t="s">
        <v>248</v>
      </c>
      <c r="AH64" s="17" t="s">
        <v>251</v>
      </c>
      <c r="AI64" s="17" t="s">
        <v>248</v>
      </c>
      <c r="AJ64" s="17" t="s">
        <v>250</v>
      </c>
      <c r="AL64" s="17" t="s">
        <v>250</v>
      </c>
      <c r="AM64" s="17" t="s">
        <v>256</v>
      </c>
      <c r="AN64" s="17" t="s">
        <v>256</v>
      </c>
      <c r="AR64" s="17" t="s">
        <v>248</v>
      </c>
      <c r="AT64" s="17" t="s">
        <v>252</v>
      </c>
      <c r="AU64" s="17" t="s">
        <v>25</v>
      </c>
      <c r="AV64" s="17" t="s">
        <v>265</v>
      </c>
      <c r="AW64" s="17" t="s">
        <v>28</v>
      </c>
      <c r="AX64" s="17" t="s">
        <v>28</v>
      </c>
      <c r="AY64" s="17" t="s">
        <v>28</v>
      </c>
      <c r="AZ64" s="17" t="s">
        <v>25</v>
      </c>
      <c r="BA64" s="17" t="s">
        <v>25</v>
      </c>
      <c r="BB64" s="17" t="s">
        <v>25</v>
      </c>
      <c r="BC64" s="17" t="s">
        <v>25</v>
      </c>
      <c r="BD64" s="17" t="s">
        <v>28</v>
      </c>
      <c r="BE64" s="17" t="s">
        <v>265</v>
      </c>
      <c r="BH64" s="17" t="s">
        <v>28</v>
      </c>
      <c r="BI64" s="17" t="s">
        <v>28</v>
      </c>
      <c r="BJ64" s="17" t="s">
        <v>28</v>
      </c>
      <c r="BK64" s="17" t="s">
        <v>28</v>
      </c>
      <c r="BL64" s="17" t="s">
        <v>315</v>
      </c>
    </row>
    <row r="65" spans="1:64" ht="76.5" x14ac:dyDescent="0.2">
      <c r="A65" s="14" t="s">
        <v>148</v>
      </c>
      <c r="B65" s="17" t="s">
        <v>13308</v>
      </c>
      <c r="F65" s="17" t="s">
        <v>245</v>
      </c>
      <c r="I65" s="17" t="s">
        <v>245</v>
      </c>
      <c r="J65" s="17" t="s">
        <v>245</v>
      </c>
      <c r="K65" s="17" t="s">
        <v>246</v>
      </c>
      <c r="L65" s="17" t="s">
        <v>245</v>
      </c>
      <c r="M65" s="17" t="s">
        <v>245</v>
      </c>
      <c r="N65" s="17" t="s">
        <v>245</v>
      </c>
      <c r="O65" s="17" t="s">
        <v>246</v>
      </c>
      <c r="P65" s="17" t="s">
        <v>246</v>
      </c>
      <c r="Q65" s="17" t="s">
        <v>245</v>
      </c>
      <c r="R65" s="17" t="s">
        <v>245</v>
      </c>
      <c r="X65" s="17" t="s">
        <v>246</v>
      </c>
      <c r="AB65" s="17" t="s">
        <v>248</v>
      </c>
      <c r="AC65" s="17" t="s">
        <v>256</v>
      </c>
      <c r="AD65" s="17" t="s">
        <v>256</v>
      </c>
      <c r="AR65" s="17" t="s">
        <v>252</v>
      </c>
      <c r="BB65" s="17" t="s">
        <v>28</v>
      </c>
      <c r="BH65" s="17" t="s">
        <v>28</v>
      </c>
      <c r="BI65" s="17" t="s">
        <v>28</v>
      </c>
      <c r="BL65" s="17" t="s">
        <v>300</v>
      </c>
    </row>
    <row r="66" spans="1:64" ht="38.25" x14ac:dyDescent="0.2">
      <c r="A66" s="14" t="s">
        <v>167</v>
      </c>
      <c r="B66" s="17" t="s">
        <v>276</v>
      </c>
      <c r="F66" s="17" t="s">
        <v>245</v>
      </c>
      <c r="I66" s="17" t="s">
        <v>245</v>
      </c>
      <c r="J66" s="17" t="s">
        <v>245</v>
      </c>
      <c r="K66" s="17" t="s">
        <v>245</v>
      </c>
      <c r="L66" s="17" t="s">
        <v>245</v>
      </c>
      <c r="M66" s="17" t="s">
        <v>245</v>
      </c>
      <c r="N66" s="17" t="s">
        <v>245</v>
      </c>
      <c r="O66" s="17" t="s">
        <v>246</v>
      </c>
      <c r="P66" s="17" t="s">
        <v>247</v>
      </c>
      <c r="Q66" s="17" t="s">
        <v>247</v>
      </c>
      <c r="R66" s="17" t="s">
        <v>247</v>
      </c>
      <c r="X66" s="17" t="s">
        <v>247</v>
      </c>
      <c r="Y66" s="17" t="s">
        <v>252</v>
      </c>
      <c r="Z66" s="17" t="s">
        <v>251</v>
      </c>
      <c r="AB66" s="17" t="s">
        <v>256</v>
      </c>
      <c r="AC66" s="17" t="s">
        <v>256</v>
      </c>
      <c r="AD66" s="17" t="s">
        <v>256</v>
      </c>
      <c r="BB66" s="17" t="s">
        <v>25</v>
      </c>
      <c r="BH66" s="17" t="s">
        <v>28</v>
      </c>
      <c r="BI66" s="17" t="s">
        <v>28</v>
      </c>
      <c r="BL66" s="17" t="s">
        <v>321</v>
      </c>
    </row>
    <row r="67" spans="1:64" x14ac:dyDescent="0.2">
      <c r="A67" s="71" t="s">
        <v>14025</v>
      </c>
      <c r="B67" s="72">
        <f>COUNTA(B3:B66)</f>
        <v>64</v>
      </c>
      <c r="C67" s="72">
        <f t="shared" ref="C67:BL67" si="0">COUNTA(C3:C66)</f>
        <v>59</v>
      </c>
      <c r="D67" s="72">
        <f t="shared" si="0"/>
        <v>59</v>
      </c>
      <c r="E67" s="72">
        <f t="shared" si="0"/>
        <v>59</v>
      </c>
      <c r="F67" s="72">
        <f t="shared" si="0"/>
        <v>58</v>
      </c>
      <c r="G67" s="72">
        <f t="shared" si="0"/>
        <v>60</v>
      </c>
      <c r="H67" s="72">
        <f t="shared" si="0"/>
        <v>59</v>
      </c>
      <c r="I67" s="72">
        <f t="shared" si="0"/>
        <v>58</v>
      </c>
      <c r="J67" s="72">
        <f t="shared" si="0"/>
        <v>61</v>
      </c>
      <c r="K67" s="72">
        <f t="shared" si="0"/>
        <v>60</v>
      </c>
      <c r="L67" s="72">
        <f t="shared" si="0"/>
        <v>56</v>
      </c>
      <c r="M67" s="72">
        <f t="shared" si="0"/>
        <v>57</v>
      </c>
      <c r="N67" s="72">
        <f t="shared" si="0"/>
        <v>61</v>
      </c>
      <c r="O67" s="72">
        <f t="shared" si="0"/>
        <v>58</v>
      </c>
      <c r="P67" s="72">
        <f t="shared" si="0"/>
        <v>56</v>
      </c>
      <c r="Q67" s="72">
        <f t="shared" si="0"/>
        <v>57</v>
      </c>
      <c r="R67" s="72">
        <f t="shared" si="0"/>
        <v>56</v>
      </c>
      <c r="S67" s="72">
        <f t="shared" si="0"/>
        <v>59</v>
      </c>
      <c r="T67" s="72">
        <f t="shared" si="0"/>
        <v>59</v>
      </c>
      <c r="U67" s="72">
        <f t="shared" si="0"/>
        <v>59</v>
      </c>
      <c r="V67" s="72">
        <f t="shared" si="0"/>
        <v>59</v>
      </c>
      <c r="W67" s="72">
        <f t="shared" si="0"/>
        <v>59</v>
      </c>
      <c r="X67" s="72">
        <f t="shared" si="0"/>
        <v>61</v>
      </c>
      <c r="Y67" s="72">
        <f t="shared" si="0"/>
        <v>23</v>
      </c>
      <c r="Z67" s="72">
        <f t="shared" si="0"/>
        <v>43</v>
      </c>
      <c r="AA67" s="72">
        <f t="shared" si="0"/>
        <v>10</v>
      </c>
      <c r="AB67" s="72">
        <f t="shared" si="0"/>
        <v>53</v>
      </c>
      <c r="AC67" s="72">
        <f t="shared" si="0"/>
        <v>56</v>
      </c>
      <c r="AD67" s="72">
        <f t="shared" si="0"/>
        <v>31</v>
      </c>
      <c r="AE67" s="72">
        <f t="shared" si="0"/>
        <v>45</v>
      </c>
      <c r="AF67" s="72">
        <f t="shared" si="0"/>
        <v>53</v>
      </c>
      <c r="AG67" s="72">
        <f t="shared" si="0"/>
        <v>28</v>
      </c>
      <c r="AH67" s="72">
        <f t="shared" si="0"/>
        <v>36</v>
      </c>
      <c r="AI67" s="72">
        <f t="shared" si="0"/>
        <v>37</v>
      </c>
      <c r="AJ67" s="72">
        <f t="shared" si="0"/>
        <v>49</v>
      </c>
      <c r="AK67" s="72">
        <f t="shared" si="0"/>
        <v>21</v>
      </c>
      <c r="AL67" s="72">
        <f t="shared" si="0"/>
        <v>13</v>
      </c>
      <c r="AM67" s="72">
        <f t="shared" si="0"/>
        <v>39</v>
      </c>
      <c r="AN67" s="72">
        <f t="shared" si="0"/>
        <v>43</v>
      </c>
      <c r="AO67" s="72">
        <f t="shared" si="0"/>
        <v>7</v>
      </c>
      <c r="AP67" s="72">
        <f t="shared" si="0"/>
        <v>5</v>
      </c>
      <c r="AQ67" s="72">
        <f t="shared" si="0"/>
        <v>1</v>
      </c>
      <c r="AR67" s="72">
        <f t="shared" si="0"/>
        <v>5</v>
      </c>
      <c r="AS67" s="72">
        <f t="shared" si="0"/>
        <v>7</v>
      </c>
      <c r="AT67" s="72">
        <f t="shared" si="0"/>
        <v>25</v>
      </c>
      <c r="AU67" s="72">
        <f t="shared" si="0"/>
        <v>59</v>
      </c>
      <c r="AV67" s="72">
        <f t="shared" si="0"/>
        <v>59</v>
      </c>
      <c r="AW67" s="72">
        <f t="shared" si="0"/>
        <v>60</v>
      </c>
      <c r="AX67" s="72">
        <f t="shared" si="0"/>
        <v>59</v>
      </c>
      <c r="AY67" s="72">
        <f t="shared" si="0"/>
        <v>59</v>
      </c>
      <c r="AZ67" s="72">
        <f t="shared" si="0"/>
        <v>60</v>
      </c>
      <c r="BA67" s="72">
        <f t="shared" si="0"/>
        <v>60</v>
      </c>
      <c r="BB67" s="72">
        <f t="shared" si="0"/>
        <v>58</v>
      </c>
      <c r="BC67" s="72">
        <f t="shared" si="0"/>
        <v>59</v>
      </c>
      <c r="BD67" s="72">
        <f t="shared" si="0"/>
        <v>59</v>
      </c>
      <c r="BE67" s="72">
        <f t="shared" si="0"/>
        <v>59</v>
      </c>
      <c r="BF67" s="72">
        <f t="shared" si="0"/>
        <v>34</v>
      </c>
      <c r="BG67" s="72">
        <f t="shared" si="0"/>
        <v>5</v>
      </c>
      <c r="BH67" s="72">
        <f t="shared" si="0"/>
        <v>63</v>
      </c>
      <c r="BI67" s="72">
        <f t="shared" si="0"/>
        <v>62</v>
      </c>
      <c r="BJ67" s="72">
        <f t="shared" si="0"/>
        <v>60</v>
      </c>
      <c r="BK67" s="72">
        <f t="shared" si="0"/>
        <v>60</v>
      </c>
      <c r="BL67" s="72">
        <f t="shared" si="0"/>
        <v>61</v>
      </c>
    </row>
  </sheetData>
  <autoFilter ref="A2:BL2" xr:uid="{11496A36-3587-49E6-914B-E870F2831EE9}"/>
  <sortState xmlns:xlrd2="http://schemas.microsoft.com/office/spreadsheetml/2017/richdata2" ref="A3:BL66">
    <sortCondition ref="A3:A66"/>
  </sortState>
  <hyperlinks>
    <hyperlink ref="A1" location="Index!A1" display="Index"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B67"/>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11.42578125" style="8" bestFit="1" customWidth="1"/>
    <col min="2" max="21" width="30.7109375" style="9" customWidth="1"/>
    <col min="22" max="22" width="30.7109375" style="39" customWidth="1"/>
    <col min="23" max="24" width="30.7109375" style="9" customWidth="1"/>
    <col min="25" max="26" width="30.7109375" style="39" customWidth="1"/>
    <col min="27" max="31" width="30.7109375" style="9" customWidth="1"/>
    <col min="32" max="33" width="60.7109375" style="9" customWidth="1"/>
    <col min="34" max="35" width="30.7109375" style="9" customWidth="1"/>
    <col min="36" max="36" width="30.7109375" style="39" customWidth="1"/>
    <col min="37" max="39" width="30.7109375" style="9" customWidth="1"/>
    <col min="40" max="40" width="30.7109375" style="39" customWidth="1"/>
    <col min="41" max="42" width="30.7109375" style="9" customWidth="1"/>
    <col min="43" max="43" width="60.7109375" style="9" customWidth="1"/>
    <col min="44" max="49" width="30.7109375" style="9" customWidth="1"/>
    <col min="50" max="50" width="30.7109375" style="39" customWidth="1"/>
    <col min="51" max="78" width="30.7109375" style="9" customWidth="1"/>
    <col min="79" max="80" width="30.7109375" style="39" customWidth="1"/>
    <col min="81" max="86" width="30.7109375" style="9" customWidth="1"/>
    <col min="87" max="87" width="60.7109375" style="9" customWidth="1"/>
    <col min="88" max="88" width="30.7109375" style="9" customWidth="1"/>
    <col min="89" max="89" width="60.7109375" style="9" customWidth="1"/>
    <col min="90" max="138" width="30.7109375" style="9" customWidth="1"/>
    <col min="139" max="141" width="30.7109375" style="39" customWidth="1"/>
    <col min="142" max="151" width="30.7109375" style="9" customWidth="1"/>
    <col min="152" max="155" width="30.7109375" style="39" customWidth="1"/>
    <col min="156" max="156" width="30.7109375" style="9" customWidth="1"/>
    <col min="157" max="157" width="50.7109375" style="9" customWidth="1"/>
    <col min="158" max="158" width="30.7109375" style="9" customWidth="1"/>
    <col min="159" max="159" width="30.7109375" style="39" customWidth="1"/>
    <col min="160" max="161" width="30.7109375" style="9" customWidth="1"/>
    <col min="162" max="162" width="50.7109375" style="9" customWidth="1"/>
    <col min="163" max="164" width="30.7109375" style="9" customWidth="1"/>
    <col min="165" max="165" width="30.7109375" style="42" customWidth="1"/>
    <col min="166" max="168" width="30.7109375" style="9" customWidth="1"/>
    <col min="169" max="169" width="50.7109375" style="9" customWidth="1"/>
    <col min="170" max="178" width="30.7109375" style="9" customWidth="1"/>
    <col min="179" max="179" width="30.7109375" style="39" customWidth="1"/>
    <col min="180" max="262" width="30.7109375" style="9" customWidth="1"/>
    <col min="263" max="16384" width="9.140625" style="8"/>
  </cols>
  <sheetData>
    <row r="1" spans="1:262" s="30" customFormat="1" x14ac:dyDescent="0.2">
      <c r="A1" s="67" t="s">
        <v>181</v>
      </c>
      <c r="B1" s="12" t="s">
        <v>334</v>
      </c>
      <c r="C1" s="12" t="s">
        <v>335</v>
      </c>
      <c r="D1" s="12" t="s">
        <v>336</v>
      </c>
      <c r="E1" s="12" t="s">
        <v>337</v>
      </c>
      <c r="F1" s="12" t="s">
        <v>338</v>
      </c>
      <c r="G1" s="12" t="s">
        <v>339</v>
      </c>
      <c r="H1" s="12" t="s">
        <v>340</v>
      </c>
      <c r="I1" s="12" t="s">
        <v>341</v>
      </c>
      <c r="J1" s="12" t="s">
        <v>342</v>
      </c>
      <c r="K1" s="12" t="s">
        <v>343</v>
      </c>
      <c r="L1" s="12" t="s">
        <v>344</v>
      </c>
      <c r="M1" s="12" t="s">
        <v>345</v>
      </c>
      <c r="N1" s="12" t="s">
        <v>346</v>
      </c>
      <c r="O1" s="12" t="s">
        <v>347</v>
      </c>
      <c r="P1" s="12" t="s">
        <v>348</v>
      </c>
      <c r="Q1" s="12" t="s">
        <v>349</v>
      </c>
      <c r="R1" s="12" t="s">
        <v>350</v>
      </c>
      <c r="S1" s="12" t="s">
        <v>351</v>
      </c>
      <c r="T1" s="12" t="s">
        <v>352</v>
      </c>
      <c r="U1" s="12" t="s">
        <v>353</v>
      </c>
      <c r="V1" s="38" t="s">
        <v>354</v>
      </c>
      <c r="W1" s="12" t="s">
        <v>355</v>
      </c>
      <c r="X1" s="12" t="s">
        <v>356</v>
      </c>
      <c r="Y1" s="38" t="s">
        <v>357</v>
      </c>
      <c r="Z1" s="38" t="s">
        <v>358</v>
      </c>
      <c r="AA1" s="12" t="s">
        <v>359</v>
      </c>
      <c r="AB1" s="12" t="s">
        <v>360</v>
      </c>
      <c r="AC1" s="12" t="s">
        <v>361</v>
      </c>
      <c r="AD1" s="12" t="s">
        <v>362</v>
      </c>
      <c r="AE1" s="12" t="s">
        <v>363</v>
      </c>
      <c r="AF1" s="12" t="s">
        <v>364</v>
      </c>
      <c r="AG1" s="12" t="s">
        <v>365</v>
      </c>
      <c r="AH1" s="12" t="s">
        <v>366</v>
      </c>
      <c r="AI1" s="12" t="s">
        <v>367</v>
      </c>
      <c r="AJ1" s="38" t="s">
        <v>368</v>
      </c>
      <c r="AK1" s="12" t="s">
        <v>369</v>
      </c>
      <c r="AL1" s="12" t="s">
        <v>370</v>
      </c>
      <c r="AM1" s="12" t="s">
        <v>371</v>
      </c>
      <c r="AN1" s="38" t="s">
        <v>372</v>
      </c>
      <c r="AO1" s="12" t="s">
        <v>373</v>
      </c>
      <c r="AP1" s="12" t="s">
        <v>374</v>
      </c>
      <c r="AQ1" s="12" t="s">
        <v>375</v>
      </c>
      <c r="AR1" s="12" t="s">
        <v>376</v>
      </c>
      <c r="AS1" s="12" t="s">
        <v>377</v>
      </c>
      <c r="AT1" s="12" t="s">
        <v>378</v>
      </c>
      <c r="AU1" s="12" t="s">
        <v>379</v>
      </c>
      <c r="AV1" s="12" t="s">
        <v>380</v>
      </c>
      <c r="AW1" s="12" t="s">
        <v>381</v>
      </c>
      <c r="AX1" s="38" t="s">
        <v>382</v>
      </c>
      <c r="AY1" s="12" t="s">
        <v>383</v>
      </c>
      <c r="AZ1" s="12" t="s">
        <v>384</v>
      </c>
      <c r="BA1" s="12" t="s">
        <v>385</v>
      </c>
      <c r="BB1" s="12" t="s">
        <v>386</v>
      </c>
      <c r="BC1" s="12" t="s">
        <v>387</v>
      </c>
      <c r="BD1" s="12" t="s">
        <v>388</v>
      </c>
      <c r="BE1" s="12" t="s">
        <v>389</v>
      </c>
      <c r="BF1" s="12" t="s">
        <v>390</v>
      </c>
      <c r="BG1" s="12" t="s">
        <v>391</v>
      </c>
      <c r="BH1" s="12" t="s">
        <v>392</v>
      </c>
      <c r="BI1" s="12" t="s">
        <v>393</v>
      </c>
      <c r="BJ1" s="12" t="s">
        <v>394</v>
      </c>
      <c r="BK1" s="12" t="s">
        <v>395</v>
      </c>
      <c r="BL1" s="12" t="s">
        <v>396</v>
      </c>
      <c r="BM1" s="12" t="s">
        <v>397</v>
      </c>
      <c r="BN1" s="12" t="s">
        <v>398</v>
      </c>
      <c r="BO1" s="12" t="s">
        <v>399</v>
      </c>
      <c r="BP1" s="12" t="s">
        <v>400</v>
      </c>
      <c r="BQ1" s="12" t="s">
        <v>401</v>
      </c>
      <c r="BR1" s="12" t="s">
        <v>402</v>
      </c>
      <c r="BS1" s="12" t="s">
        <v>403</v>
      </c>
      <c r="BT1" s="12" t="s">
        <v>404</v>
      </c>
      <c r="BU1" s="12" t="s">
        <v>405</v>
      </c>
      <c r="BV1" s="12" t="s">
        <v>406</v>
      </c>
      <c r="BW1" s="12" t="s">
        <v>407</v>
      </c>
      <c r="BX1" s="12" t="s">
        <v>408</v>
      </c>
      <c r="BY1" s="12" t="s">
        <v>409</v>
      </c>
      <c r="BZ1" s="12" t="s">
        <v>410</v>
      </c>
      <c r="CA1" s="38" t="s">
        <v>411</v>
      </c>
      <c r="CB1" s="38" t="s">
        <v>412</v>
      </c>
      <c r="CC1" s="12" t="s">
        <v>413</v>
      </c>
      <c r="CD1" s="12" t="s">
        <v>414</v>
      </c>
      <c r="CE1" s="12" t="s">
        <v>415</v>
      </c>
      <c r="CF1" s="12" t="s">
        <v>416</v>
      </c>
      <c r="CG1" s="12" t="s">
        <v>417</v>
      </c>
      <c r="CH1" s="12" t="s">
        <v>418</v>
      </c>
      <c r="CI1" s="12" t="s">
        <v>419</v>
      </c>
      <c r="CJ1" s="12" t="s">
        <v>420</v>
      </c>
      <c r="CK1" s="12" t="s">
        <v>421</v>
      </c>
      <c r="CL1" s="12" t="s">
        <v>422</v>
      </c>
      <c r="CM1" s="12" t="s">
        <v>423</v>
      </c>
      <c r="CN1" s="12" t="s">
        <v>424</v>
      </c>
      <c r="CO1" s="12" t="s">
        <v>425</v>
      </c>
      <c r="CP1" s="12" t="s">
        <v>426</v>
      </c>
      <c r="CQ1" s="12" t="s">
        <v>427</v>
      </c>
      <c r="CR1" s="12" t="s">
        <v>428</v>
      </c>
      <c r="CS1" s="12" t="s">
        <v>429</v>
      </c>
      <c r="CT1" s="12" t="s">
        <v>430</v>
      </c>
      <c r="CU1" s="12" t="s">
        <v>431</v>
      </c>
      <c r="CV1" s="12" t="s">
        <v>432</v>
      </c>
      <c r="CW1" s="12" t="s">
        <v>433</v>
      </c>
      <c r="CX1" s="12" t="s">
        <v>434</v>
      </c>
      <c r="CY1" s="12" t="s">
        <v>435</v>
      </c>
      <c r="CZ1" s="12" t="s">
        <v>436</v>
      </c>
      <c r="DA1" s="12" t="s">
        <v>437</v>
      </c>
      <c r="DB1" s="12" t="s">
        <v>438</v>
      </c>
      <c r="DC1" s="12" t="s">
        <v>439</v>
      </c>
      <c r="DD1" s="12" t="s">
        <v>440</v>
      </c>
      <c r="DE1" s="12" t="s">
        <v>441</v>
      </c>
      <c r="DF1" s="12" t="s">
        <v>442</v>
      </c>
      <c r="DG1" s="12" t="s">
        <v>443</v>
      </c>
      <c r="DH1" s="12" t="s">
        <v>444</v>
      </c>
      <c r="DI1" s="12" t="s">
        <v>445</v>
      </c>
      <c r="DJ1" s="12" t="s">
        <v>446</v>
      </c>
      <c r="DK1" s="12" t="s">
        <v>447</v>
      </c>
      <c r="DL1" s="12" t="s">
        <v>448</v>
      </c>
      <c r="DM1" s="12" t="s">
        <v>449</v>
      </c>
      <c r="DN1" s="12" t="s">
        <v>450</v>
      </c>
      <c r="DO1" s="12" t="s">
        <v>451</v>
      </c>
      <c r="DP1" s="12" t="s">
        <v>452</v>
      </c>
      <c r="DQ1" s="12" t="s">
        <v>453</v>
      </c>
      <c r="DR1" s="12" t="s">
        <v>454</v>
      </c>
      <c r="DS1" s="12" t="s">
        <v>455</v>
      </c>
      <c r="DT1" s="12" t="s">
        <v>456</v>
      </c>
      <c r="DU1" s="12" t="s">
        <v>457</v>
      </c>
      <c r="DV1" s="12" t="s">
        <v>458</v>
      </c>
      <c r="DW1" s="12" t="s">
        <v>459</v>
      </c>
      <c r="DX1" s="12" t="s">
        <v>460</v>
      </c>
      <c r="DY1" s="12" t="s">
        <v>461</v>
      </c>
      <c r="DZ1" s="12" t="s">
        <v>462</v>
      </c>
      <c r="EA1" s="12" t="s">
        <v>463</v>
      </c>
      <c r="EB1" s="12" t="s">
        <v>464</v>
      </c>
      <c r="EC1" s="12" t="s">
        <v>465</v>
      </c>
      <c r="ED1" s="12" t="s">
        <v>466</v>
      </c>
      <c r="EE1" s="12" t="s">
        <v>467</v>
      </c>
      <c r="EF1" s="12" t="s">
        <v>468</v>
      </c>
      <c r="EG1" s="12" t="s">
        <v>469</v>
      </c>
      <c r="EH1" s="12" t="s">
        <v>470</v>
      </c>
      <c r="EI1" s="38" t="s">
        <v>471</v>
      </c>
      <c r="EJ1" s="38" t="s">
        <v>472</v>
      </c>
      <c r="EK1" s="38" t="s">
        <v>473</v>
      </c>
      <c r="EL1" s="12" t="s">
        <v>474</v>
      </c>
      <c r="EM1" s="12" t="s">
        <v>475</v>
      </c>
      <c r="EN1" s="12" t="s">
        <v>476</v>
      </c>
      <c r="EO1" s="12" t="s">
        <v>477</v>
      </c>
      <c r="EP1" s="12" t="s">
        <v>478</v>
      </c>
      <c r="EQ1" s="12" t="s">
        <v>479</v>
      </c>
      <c r="ER1" s="12" t="s">
        <v>480</v>
      </c>
      <c r="ES1" s="12" t="s">
        <v>481</v>
      </c>
      <c r="ET1" s="12" t="s">
        <v>482</v>
      </c>
      <c r="EU1" s="12" t="s">
        <v>483</v>
      </c>
      <c r="EV1" s="38" t="s">
        <v>484</v>
      </c>
      <c r="EW1" s="38" t="s">
        <v>485</v>
      </c>
      <c r="EX1" s="38" t="s">
        <v>486</v>
      </c>
      <c r="EY1" s="38" t="s">
        <v>487</v>
      </c>
      <c r="EZ1" s="12" t="s">
        <v>488</v>
      </c>
      <c r="FA1" s="12" t="s">
        <v>489</v>
      </c>
      <c r="FB1" s="12" t="s">
        <v>490</v>
      </c>
      <c r="FC1" s="38" t="s">
        <v>491</v>
      </c>
      <c r="FD1" s="12" t="s">
        <v>492</v>
      </c>
      <c r="FE1" s="12" t="s">
        <v>493</v>
      </c>
      <c r="FF1" s="12" t="s">
        <v>494</v>
      </c>
      <c r="FG1" s="12" t="s">
        <v>495</v>
      </c>
      <c r="FH1" s="12" t="s">
        <v>496</v>
      </c>
      <c r="FI1" s="41" t="s">
        <v>497</v>
      </c>
      <c r="FJ1" s="12" t="s">
        <v>498</v>
      </c>
      <c r="FK1" s="12" t="s">
        <v>499</v>
      </c>
      <c r="FL1" s="12" t="s">
        <v>500</v>
      </c>
      <c r="FM1" s="12" t="s">
        <v>501</v>
      </c>
      <c r="FN1" s="12" t="s">
        <v>502</v>
      </c>
      <c r="FO1" s="12" t="s">
        <v>503</v>
      </c>
      <c r="FP1" s="12" t="s">
        <v>504</v>
      </c>
      <c r="FQ1" s="12" t="s">
        <v>505</v>
      </c>
      <c r="FR1" s="12" t="s">
        <v>506</v>
      </c>
      <c r="FS1" s="12" t="s">
        <v>507</v>
      </c>
      <c r="FT1" s="12" t="s">
        <v>508</v>
      </c>
      <c r="FU1" s="12" t="s">
        <v>509</v>
      </c>
      <c r="FV1" s="12" t="s">
        <v>510</v>
      </c>
      <c r="FW1" s="38" t="s">
        <v>511</v>
      </c>
      <c r="FX1" s="12" t="s">
        <v>512</v>
      </c>
      <c r="FY1" s="12" t="s">
        <v>513</v>
      </c>
      <c r="FZ1" s="12" t="s">
        <v>514</v>
      </c>
      <c r="GA1" s="12" t="s">
        <v>515</v>
      </c>
      <c r="GB1" s="12" t="s">
        <v>516</v>
      </c>
      <c r="GC1" s="12" t="s">
        <v>517</v>
      </c>
      <c r="GD1" s="12" t="s">
        <v>518</v>
      </c>
      <c r="GE1" s="12" t="s">
        <v>519</v>
      </c>
      <c r="GF1" s="12" t="s">
        <v>520</v>
      </c>
      <c r="GG1" s="12" t="s">
        <v>521</v>
      </c>
      <c r="GH1" s="12" t="s">
        <v>522</v>
      </c>
      <c r="GI1" s="12" t="s">
        <v>523</v>
      </c>
      <c r="GJ1" s="12" t="s">
        <v>524</v>
      </c>
      <c r="GK1" s="12" t="s">
        <v>525</v>
      </c>
      <c r="GL1" s="12" t="s">
        <v>526</v>
      </c>
      <c r="GM1" s="12" t="s">
        <v>527</v>
      </c>
      <c r="GN1" s="12" t="s">
        <v>528</v>
      </c>
      <c r="GO1" s="12" t="s">
        <v>529</v>
      </c>
      <c r="GP1" s="12" t="s">
        <v>530</v>
      </c>
      <c r="GQ1" s="12" t="s">
        <v>531</v>
      </c>
      <c r="GR1" s="12" t="s">
        <v>532</v>
      </c>
      <c r="GS1" s="12" t="s">
        <v>533</v>
      </c>
      <c r="GT1" s="12" t="s">
        <v>534</v>
      </c>
      <c r="GU1" s="12" t="s">
        <v>535</v>
      </c>
      <c r="GV1" s="12" t="s">
        <v>536</v>
      </c>
      <c r="GW1" s="12" t="s">
        <v>537</v>
      </c>
      <c r="GX1" s="12" t="s">
        <v>538</v>
      </c>
      <c r="GY1" s="12" t="s">
        <v>539</v>
      </c>
      <c r="GZ1" s="12" t="s">
        <v>540</v>
      </c>
      <c r="HA1" s="12" t="s">
        <v>541</v>
      </c>
      <c r="HB1" s="12" t="s">
        <v>542</v>
      </c>
      <c r="HC1" s="12" t="s">
        <v>543</v>
      </c>
      <c r="HD1" s="12" t="s">
        <v>544</v>
      </c>
      <c r="HE1" s="12" t="s">
        <v>545</v>
      </c>
      <c r="HF1" s="12" t="s">
        <v>546</v>
      </c>
      <c r="HG1" s="12" t="s">
        <v>547</v>
      </c>
      <c r="HH1" s="12" t="s">
        <v>548</v>
      </c>
      <c r="HI1" s="12" t="s">
        <v>549</v>
      </c>
      <c r="HJ1" s="12" t="s">
        <v>550</v>
      </c>
      <c r="HK1" s="12" t="s">
        <v>551</v>
      </c>
      <c r="HL1" s="12" t="s">
        <v>552</v>
      </c>
      <c r="HM1" s="12" t="s">
        <v>553</v>
      </c>
      <c r="HN1" s="12" t="s">
        <v>554</v>
      </c>
      <c r="HO1" s="12" t="s">
        <v>555</v>
      </c>
      <c r="HP1" s="12" t="s">
        <v>556</v>
      </c>
      <c r="HQ1" s="12" t="s">
        <v>557</v>
      </c>
      <c r="HR1" s="12" t="s">
        <v>558</v>
      </c>
      <c r="HS1" s="12" t="s">
        <v>559</v>
      </c>
      <c r="HT1" s="12" t="s">
        <v>560</v>
      </c>
      <c r="HU1" s="12" t="s">
        <v>561</v>
      </c>
      <c r="HV1" s="12" t="s">
        <v>562</v>
      </c>
      <c r="HW1" s="12" t="s">
        <v>563</v>
      </c>
      <c r="HX1" s="12" t="s">
        <v>564</v>
      </c>
      <c r="HY1" s="12" t="s">
        <v>565</v>
      </c>
      <c r="HZ1" s="12" t="s">
        <v>566</v>
      </c>
      <c r="IA1" s="12" t="s">
        <v>567</v>
      </c>
      <c r="IB1" s="12" t="s">
        <v>568</v>
      </c>
      <c r="IC1" s="12" t="s">
        <v>569</v>
      </c>
      <c r="ID1" s="12" t="s">
        <v>570</v>
      </c>
      <c r="IE1" s="12" t="s">
        <v>571</v>
      </c>
      <c r="IF1" s="12" t="s">
        <v>572</v>
      </c>
      <c r="IG1" s="12" t="s">
        <v>573</v>
      </c>
      <c r="IH1" s="12" t="s">
        <v>574</v>
      </c>
      <c r="II1" s="12" t="s">
        <v>575</v>
      </c>
      <c r="IJ1" s="12" t="s">
        <v>576</v>
      </c>
      <c r="IK1" s="12" t="s">
        <v>577</v>
      </c>
      <c r="IL1" s="12" t="s">
        <v>578</v>
      </c>
      <c r="IM1" s="12" t="s">
        <v>579</v>
      </c>
      <c r="IN1" s="12" t="s">
        <v>580</v>
      </c>
      <c r="IO1" s="12" t="s">
        <v>581</v>
      </c>
      <c r="IP1" s="12" t="s">
        <v>582</v>
      </c>
      <c r="IQ1" s="12" t="s">
        <v>583</v>
      </c>
      <c r="IR1" s="12" t="s">
        <v>584</v>
      </c>
      <c r="IS1" s="12" t="s">
        <v>585</v>
      </c>
      <c r="IT1" s="12" t="s">
        <v>586</v>
      </c>
      <c r="IU1" s="12" t="s">
        <v>587</v>
      </c>
      <c r="IV1" s="12" t="s">
        <v>588</v>
      </c>
      <c r="IW1" s="12" t="s">
        <v>589</v>
      </c>
      <c r="IX1" s="12" t="s">
        <v>590</v>
      </c>
      <c r="IY1" s="12" t="s">
        <v>591</v>
      </c>
      <c r="IZ1" s="12" t="s">
        <v>592</v>
      </c>
      <c r="JA1" s="12" t="s">
        <v>593</v>
      </c>
      <c r="JB1" s="12" t="s">
        <v>594</v>
      </c>
    </row>
    <row r="2" spans="1:262" s="30" customFormat="1" ht="63.75" x14ac:dyDescent="0.2">
      <c r="A2" s="30" t="s">
        <v>116</v>
      </c>
      <c r="B2" s="75" t="s">
        <v>9789</v>
      </c>
      <c r="C2" s="75" t="s">
        <v>9790</v>
      </c>
      <c r="D2" s="75" t="s">
        <v>9791</v>
      </c>
      <c r="E2" s="75" t="s">
        <v>9792</v>
      </c>
      <c r="F2" s="75" t="s">
        <v>9793</v>
      </c>
      <c r="G2" s="75" t="s">
        <v>9794</v>
      </c>
      <c r="H2" s="75" t="s">
        <v>9795</v>
      </c>
      <c r="I2" s="75" t="s">
        <v>9796</v>
      </c>
      <c r="J2" s="75" t="s">
        <v>9797</v>
      </c>
      <c r="K2" s="75" t="s">
        <v>9798</v>
      </c>
      <c r="L2" s="75" t="s">
        <v>9799</v>
      </c>
      <c r="M2" s="75" t="s">
        <v>9800</v>
      </c>
      <c r="N2" s="75" t="s">
        <v>9801</v>
      </c>
      <c r="O2" s="75" t="s">
        <v>9802</v>
      </c>
      <c r="P2" s="75" t="s">
        <v>9803</v>
      </c>
      <c r="Q2" s="75" t="s">
        <v>9804</v>
      </c>
      <c r="R2" s="75" t="s">
        <v>9805</v>
      </c>
      <c r="S2" s="81" t="s">
        <v>14035</v>
      </c>
      <c r="T2" s="75" t="s">
        <v>9806</v>
      </c>
      <c r="U2" s="75" t="s">
        <v>9807</v>
      </c>
      <c r="V2" s="77" t="s">
        <v>9808</v>
      </c>
      <c r="W2" s="75" t="s">
        <v>9809</v>
      </c>
      <c r="X2" s="75" t="s">
        <v>9810</v>
      </c>
      <c r="Y2" s="77" t="s">
        <v>9811</v>
      </c>
      <c r="Z2" s="77" t="s">
        <v>9812</v>
      </c>
      <c r="AA2" s="75" t="s">
        <v>9813</v>
      </c>
      <c r="AB2" s="75" t="s">
        <v>9814</v>
      </c>
      <c r="AC2" s="75" t="s">
        <v>9815</v>
      </c>
      <c r="AD2" s="75" t="s">
        <v>9816</v>
      </c>
      <c r="AE2" s="75" t="s">
        <v>9817</v>
      </c>
      <c r="AF2" s="75" t="s">
        <v>9818</v>
      </c>
      <c r="AG2" s="75" t="s">
        <v>9819</v>
      </c>
      <c r="AH2" s="12" t="s">
        <v>9820</v>
      </c>
      <c r="AI2" s="12" t="s">
        <v>9821</v>
      </c>
      <c r="AJ2" s="38" t="s">
        <v>9822</v>
      </c>
      <c r="AK2" s="12" t="s">
        <v>9823</v>
      </c>
      <c r="AL2" s="24" t="s">
        <v>14036</v>
      </c>
      <c r="AM2" s="12" t="s">
        <v>9824</v>
      </c>
      <c r="AN2" s="38" t="s">
        <v>9825</v>
      </c>
      <c r="AO2" s="75" t="s">
        <v>14037</v>
      </c>
      <c r="AP2" s="82" t="s">
        <v>14038</v>
      </c>
      <c r="AQ2" s="75" t="s">
        <v>13345</v>
      </c>
      <c r="AR2" s="75" t="s">
        <v>9826</v>
      </c>
      <c r="AS2" s="12" t="s">
        <v>9827</v>
      </c>
      <c r="AT2" s="12" t="s">
        <v>9828</v>
      </c>
      <c r="AU2" s="12" t="s">
        <v>9829</v>
      </c>
      <c r="AV2" s="12" t="s">
        <v>9830</v>
      </c>
      <c r="AW2" s="12" t="s">
        <v>9831</v>
      </c>
      <c r="AX2" s="55" t="s">
        <v>9832</v>
      </c>
      <c r="AY2" s="81" t="s">
        <v>14039</v>
      </c>
      <c r="AZ2" s="12" t="s">
        <v>9833</v>
      </c>
      <c r="BA2" s="12" t="s">
        <v>9834</v>
      </c>
      <c r="BB2" s="12" t="s">
        <v>9835</v>
      </c>
      <c r="BC2" s="12" t="s">
        <v>9836</v>
      </c>
      <c r="BD2" s="12" t="s">
        <v>9837</v>
      </c>
      <c r="BE2" s="12" t="s">
        <v>9838</v>
      </c>
      <c r="BF2" s="75" t="s">
        <v>14040</v>
      </c>
      <c r="BG2" s="75" t="s">
        <v>9839</v>
      </c>
      <c r="BH2" s="75" t="s">
        <v>9840</v>
      </c>
      <c r="BI2" s="75" t="s">
        <v>9841</v>
      </c>
      <c r="BJ2" s="75" t="s">
        <v>9842</v>
      </c>
      <c r="BK2" s="75" t="s">
        <v>9843</v>
      </c>
      <c r="BL2" s="75" t="s">
        <v>9844</v>
      </c>
      <c r="BM2" s="75" t="s">
        <v>9845</v>
      </c>
      <c r="BN2" s="75" t="s">
        <v>9846</v>
      </c>
      <c r="BO2" s="75" t="s">
        <v>9847</v>
      </c>
      <c r="BP2" s="75" t="s">
        <v>9848</v>
      </c>
      <c r="BQ2" s="75" t="s">
        <v>9849</v>
      </c>
      <c r="BR2" s="12" t="s">
        <v>9850</v>
      </c>
      <c r="BS2" s="75" t="s">
        <v>9851</v>
      </c>
      <c r="BT2" s="12" t="s">
        <v>9852</v>
      </c>
      <c r="BU2" s="12" t="s">
        <v>9853</v>
      </c>
      <c r="BV2" s="12" t="s">
        <v>9854</v>
      </c>
      <c r="BW2" s="75" t="s">
        <v>9855</v>
      </c>
      <c r="BX2" s="12" t="s">
        <v>9856</v>
      </c>
      <c r="BY2" s="12" t="s">
        <v>9857</v>
      </c>
      <c r="BZ2" s="12" t="s">
        <v>9858</v>
      </c>
      <c r="CA2" s="38" t="s">
        <v>9859</v>
      </c>
      <c r="CB2" s="38" t="s">
        <v>9860</v>
      </c>
      <c r="CC2" s="12" t="s">
        <v>9861</v>
      </c>
      <c r="CD2" s="24" t="s">
        <v>14041</v>
      </c>
      <c r="CE2" s="12" t="s">
        <v>9862</v>
      </c>
      <c r="CF2" s="12" t="s">
        <v>9863</v>
      </c>
      <c r="CG2" s="12" t="s">
        <v>9864</v>
      </c>
      <c r="CH2" s="12" t="s">
        <v>9865</v>
      </c>
      <c r="CI2" s="12" t="s">
        <v>9866</v>
      </c>
      <c r="CJ2" s="12" t="s">
        <v>9867</v>
      </c>
      <c r="CK2" s="12" t="s">
        <v>9868</v>
      </c>
      <c r="CL2" s="12" t="s">
        <v>9869</v>
      </c>
      <c r="CM2" s="75" t="s">
        <v>9870</v>
      </c>
      <c r="CN2" s="75" t="s">
        <v>9871</v>
      </c>
      <c r="CO2" s="75" t="s">
        <v>9872</v>
      </c>
      <c r="CP2" s="75" t="s">
        <v>9873</v>
      </c>
      <c r="CQ2" s="75" t="s">
        <v>9874</v>
      </c>
      <c r="CR2" s="75" t="s">
        <v>9875</v>
      </c>
      <c r="CS2" s="75" t="s">
        <v>9876</v>
      </c>
      <c r="CT2" s="75" t="s">
        <v>9877</v>
      </c>
      <c r="CU2" s="75" t="s">
        <v>9878</v>
      </c>
      <c r="CV2" s="75" t="s">
        <v>9879</v>
      </c>
      <c r="CW2" s="75" t="s">
        <v>9880</v>
      </c>
      <c r="CX2" s="75" t="s">
        <v>9881</v>
      </c>
      <c r="CY2" s="75" t="s">
        <v>9882</v>
      </c>
      <c r="CZ2" s="75" t="s">
        <v>9883</v>
      </c>
      <c r="DA2" s="75" t="s">
        <v>9884</v>
      </c>
      <c r="DB2" s="75" t="s">
        <v>9885</v>
      </c>
      <c r="DC2" s="75" t="s">
        <v>9886</v>
      </c>
      <c r="DD2" s="75" t="s">
        <v>9887</v>
      </c>
      <c r="DE2" s="75" t="s">
        <v>9888</v>
      </c>
      <c r="DF2" s="75" t="s">
        <v>9889</v>
      </c>
      <c r="DG2" s="75" t="s">
        <v>9890</v>
      </c>
      <c r="DH2" s="75" t="s">
        <v>9891</v>
      </c>
      <c r="DI2" s="75" t="s">
        <v>9892</v>
      </c>
      <c r="DJ2" s="75" t="s">
        <v>9893</v>
      </c>
      <c r="DK2" s="75" t="s">
        <v>9894</v>
      </c>
      <c r="DL2" s="75" t="s">
        <v>9895</v>
      </c>
      <c r="DM2" s="75" t="s">
        <v>9896</v>
      </c>
      <c r="DN2" s="75" t="s">
        <v>9897</v>
      </c>
      <c r="DO2" s="75" t="s">
        <v>9898</v>
      </c>
      <c r="DP2" s="75" t="s">
        <v>9899</v>
      </c>
      <c r="DQ2" s="75" t="s">
        <v>9900</v>
      </c>
      <c r="DR2" s="75" t="s">
        <v>9901</v>
      </c>
      <c r="DS2" s="75" t="s">
        <v>9902</v>
      </c>
      <c r="DT2" s="75" t="s">
        <v>9903</v>
      </c>
      <c r="DU2" s="75" t="s">
        <v>9904</v>
      </c>
      <c r="DV2" s="75" t="s">
        <v>9905</v>
      </c>
      <c r="DW2" s="75" t="s">
        <v>9906</v>
      </c>
      <c r="DX2" s="75" t="s">
        <v>9907</v>
      </c>
      <c r="DY2" s="75" t="s">
        <v>9908</v>
      </c>
      <c r="DZ2" s="75" t="s">
        <v>9909</v>
      </c>
      <c r="EA2" s="75" t="s">
        <v>9910</v>
      </c>
      <c r="EB2" s="75" t="s">
        <v>9911</v>
      </c>
      <c r="EC2" s="75" t="s">
        <v>9912</v>
      </c>
      <c r="ED2" s="12" t="s">
        <v>9913</v>
      </c>
      <c r="EE2" s="75" t="s">
        <v>9914</v>
      </c>
      <c r="EF2" s="75" t="s">
        <v>9915</v>
      </c>
      <c r="EG2" s="75" t="s">
        <v>9916</v>
      </c>
      <c r="EH2" s="75" t="s">
        <v>9917</v>
      </c>
      <c r="EI2" s="77" t="s">
        <v>9918</v>
      </c>
      <c r="EJ2" s="77" t="s">
        <v>9919</v>
      </c>
      <c r="EK2" s="77" t="s">
        <v>9920</v>
      </c>
      <c r="EL2" s="75" t="s">
        <v>9921</v>
      </c>
      <c r="EM2" s="75" t="s">
        <v>9922</v>
      </c>
      <c r="EN2" s="12" t="s">
        <v>9923</v>
      </c>
      <c r="EO2" s="12" t="s">
        <v>9924</v>
      </c>
      <c r="EP2" s="12" t="s">
        <v>9925</v>
      </c>
      <c r="EQ2" s="12" t="s">
        <v>9926</v>
      </c>
      <c r="ER2" s="12" t="s">
        <v>9927</v>
      </c>
      <c r="ES2" s="12" t="s">
        <v>9928</v>
      </c>
      <c r="ET2" s="12" t="s">
        <v>9929</v>
      </c>
      <c r="EU2" s="12" t="s">
        <v>9930</v>
      </c>
      <c r="EV2" s="38" t="s">
        <v>9931</v>
      </c>
      <c r="EW2" s="38" t="s">
        <v>9932</v>
      </c>
      <c r="EX2" s="38" t="s">
        <v>9933</v>
      </c>
      <c r="EY2" s="38" t="s">
        <v>9934</v>
      </c>
      <c r="EZ2" s="81" t="s">
        <v>14042</v>
      </c>
      <c r="FA2" s="12" t="s">
        <v>14043</v>
      </c>
      <c r="FB2" s="12" t="s">
        <v>9935</v>
      </c>
      <c r="FC2" s="77" t="s">
        <v>9936</v>
      </c>
      <c r="FD2" s="75" t="s">
        <v>9937</v>
      </c>
      <c r="FE2" s="75" t="s">
        <v>9938</v>
      </c>
      <c r="FF2" s="24" t="s">
        <v>14044</v>
      </c>
      <c r="FG2" s="75" t="s">
        <v>9939</v>
      </c>
      <c r="FH2" s="75" t="s">
        <v>9940</v>
      </c>
      <c r="FI2" s="78" t="s">
        <v>9941</v>
      </c>
      <c r="FJ2" s="12" t="s">
        <v>13749</v>
      </c>
      <c r="FK2" s="12" t="s">
        <v>9942</v>
      </c>
      <c r="FL2" s="75" t="s">
        <v>14045</v>
      </c>
      <c r="FM2" s="75" t="s">
        <v>14046</v>
      </c>
      <c r="FN2" s="75" t="s">
        <v>9943</v>
      </c>
      <c r="FO2" s="75" t="s">
        <v>9944</v>
      </c>
      <c r="FP2" s="75" t="s">
        <v>9945</v>
      </c>
      <c r="FQ2" s="75" t="s">
        <v>9946</v>
      </c>
      <c r="FR2" s="75" t="s">
        <v>9947</v>
      </c>
      <c r="FS2" s="75" t="s">
        <v>9948</v>
      </c>
      <c r="FT2" s="75" t="s">
        <v>14051</v>
      </c>
      <c r="FU2" s="75" t="s">
        <v>9949</v>
      </c>
      <c r="FV2" s="75" t="s">
        <v>9950</v>
      </c>
      <c r="FW2" s="77" t="s">
        <v>9951</v>
      </c>
      <c r="FX2" s="12" t="s">
        <v>9952</v>
      </c>
      <c r="FY2" s="12" t="s">
        <v>9953</v>
      </c>
      <c r="FZ2" s="12" t="s">
        <v>9954</v>
      </c>
      <c r="GA2" s="12" t="s">
        <v>14047</v>
      </c>
      <c r="GB2" s="75" t="s">
        <v>9955</v>
      </c>
      <c r="GC2" s="12" t="s">
        <v>9956</v>
      </c>
      <c r="GD2" s="12" t="s">
        <v>9957</v>
      </c>
      <c r="GE2" s="12" t="s">
        <v>9958</v>
      </c>
      <c r="GF2" s="12" t="s">
        <v>9959</v>
      </c>
      <c r="GG2" s="12" t="s">
        <v>9960</v>
      </c>
      <c r="GH2" s="12" t="s">
        <v>9961</v>
      </c>
      <c r="GI2" s="12" t="s">
        <v>9962</v>
      </c>
      <c r="GJ2" s="12" t="s">
        <v>9963</v>
      </c>
      <c r="GK2" s="12" t="s">
        <v>9964</v>
      </c>
      <c r="GL2" s="75" t="s">
        <v>9965</v>
      </c>
      <c r="GM2" s="75" t="s">
        <v>9966</v>
      </c>
      <c r="GN2" s="75" t="s">
        <v>9967</v>
      </c>
      <c r="GO2" s="75" t="s">
        <v>9968</v>
      </c>
      <c r="GP2" s="75" t="s">
        <v>9969</v>
      </c>
      <c r="GQ2" s="75" t="s">
        <v>9970</v>
      </c>
      <c r="GR2" s="75" t="s">
        <v>9971</v>
      </c>
      <c r="GS2" s="75" t="s">
        <v>9972</v>
      </c>
      <c r="GT2" s="75" t="s">
        <v>9973</v>
      </c>
      <c r="GU2" s="75" t="s">
        <v>9974</v>
      </c>
      <c r="GV2" s="75" t="s">
        <v>9975</v>
      </c>
      <c r="GW2" s="75" t="s">
        <v>9976</v>
      </c>
      <c r="GX2" s="75" t="s">
        <v>9977</v>
      </c>
      <c r="GY2" s="75" t="s">
        <v>9978</v>
      </c>
      <c r="GZ2" s="75" t="s">
        <v>9979</v>
      </c>
      <c r="HA2" s="75" t="s">
        <v>9980</v>
      </c>
      <c r="HB2" s="75" t="s">
        <v>9981</v>
      </c>
      <c r="HC2" s="75" t="s">
        <v>9982</v>
      </c>
      <c r="HD2" s="75" t="s">
        <v>9983</v>
      </c>
      <c r="HE2" s="75" t="s">
        <v>9984</v>
      </c>
      <c r="HF2" s="75" t="s">
        <v>9985</v>
      </c>
      <c r="HG2" s="75" t="s">
        <v>9986</v>
      </c>
      <c r="HH2" s="75" t="s">
        <v>9987</v>
      </c>
      <c r="HI2" s="12" t="s">
        <v>9988</v>
      </c>
      <c r="HJ2" s="12" t="s">
        <v>9989</v>
      </c>
      <c r="HK2" s="12" t="s">
        <v>9990</v>
      </c>
      <c r="HL2" s="12" t="s">
        <v>9991</v>
      </c>
      <c r="HM2" s="12" t="s">
        <v>9992</v>
      </c>
      <c r="HN2" s="24" t="s">
        <v>14048</v>
      </c>
      <c r="HO2" s="75" t="s">
        <v>9993</v>
      </c>
      <c r="HP2" s="12" t="s">
        <v>9994</v>
      </c>
      <c r="HQ2" s="12" t="s">
        <v>9995</v>
      </c>
      <c r="HR2" s="12" t="s">
        <v>9996</v>
      </c>
      <c r="HS2" s="12" t="s">
        <v>14049</v>
      </c>
      <c r="HT2" s="12" t="s">
        <v>14050</v>
      </c>
      <c r="HU2" s="12" t="s">
        <v>9997</v>
      </c>
      <c r="HV2" s="12" t="s">
        <v>9998</v>
      </c>
      <c r="HW2" s="12" t="s">
        <v>9999</v>
      </c>
      <c r="HX2" s="12" t="s">
        <v>10000</v>
      </c>
      <c r="HY2" s="12" t="s">
        <v>10001</v>
      </c>
      <c r="HZ2" s="12" t="s">
        <v>10002</v>
      </c>
      <c r="IA2" s="12" t="s">
        <v>10003</v>
      </c>
      <c r="IB2" s="12" t="s">
        <v>10004</v>
      </c>
      <c r="IC2" s="75" t="s">
        <v>10005</v>
      </c>
      <c r="ID2" s="12" t="s">
        <v>10006</v>
      </c>
      <c r="IE2" s="12" t="s">
        <v>10007</v>
      </c>
      <c r="IF2" s="12" t="s">
        <v>10008</v>
      </c>
      <c r="IG2" s="75" t="s">
        <v>10009</v>
      </c>
      <c r="IH2" s="75" t="s">
        <v>10010</v>
      </c>
      <c r="II2" s="75" t="s">
        <v>10011</v>
      </c>
      <c r="IJ2" s="75" t="s">
        <v>10012</v>
      </c>
      <c r="IK2" s="75" t="s">
        <v>10013</v>
      </c>
      <c r="IL2" s="75" t="s">
        <v>10014</v>
      </c>
      <c r="IM2" s="75" t="s">
        <v>10015</v>
      </c>
      <c r="IN2" s="75" t="s">
        <v>10016</v>
      </c>
      <c r="IO2" s="12" t="s">
        <v>10017</v>
      </c>
      <c r="IP2" s="12" t="s">
        <v>10018</v>
      </c>
      <c r="IQ2" s="12" t="s">
        <v>10019</v>
      </c>
      <c r="IR2" s="75" t="s">
        <v>10020</v>
      </c>
      <c r="IS2" s="75" t="s">
        <v>10021</v>
      </c>
      <c r="IT2" s="12" t="s">
        <v>10022</v>
      </c>
      <c r="IU2" s="75" t="s">
        <v>10023</v>
      </c>
      <c r="IV2" s="12" t="s">
        <v>10024</v>
      </c>
      <c r="IW2" s="12" t="s">
        <v>10025</v>
      </c>
      <c r="IX2" s="12" t="s">
        <v>10026</v>
      </c>
      <c r="IY2" s="12" t="s">
        <v>10027</v>
      </c>
      <c r="IZ2" s="12" t="s">
        <v>10028</v>
      </c>
      <c r="JA2" s="12" t="s">
        <v>10029</v>
      </c>
      <c r="JB2" s="12" t="s">
        <v>10030</v>
      </c>
    </row>
    <row r="3" spans="1:262" ht="76.5" x14ac:dyDescent="0.2">
      <c r="A3" s="8" t="s">
        <v>152</v>
      </c>
      <c r="B3" s="9" t="s">
        <v>28</v>
      </c>
      <c r="C3" s="9" t="s">
        <v>25</v>
      </c>
      <c r="D3" s="9" t="s">
        <v>25</v>
      </c>
      <c r="E3" s="9" t="s">
        <v>25</v>
      </c>
      <c r="F3" s="9" t="s">
        <v>25</v>
      </c>
      <c r="G3" s="9" t="s">
        <v>25</v>
      </c>
      <c r="H3" s="9" t="s">
        <v>25</v>
      </c>
      <c r="I3" s="9" t="s">
        <v>28</v>
      </c>
      <c r="J3" s="9" t="s">
        <v>28</v>
      </c>
      <c r="K3" s="9" t="s">
        <v>28</v>
      </c>
      <c r="L3" s="9" t="s">
        <v>28</v>
      </c>
      <c r="M3" s="9" t="s">
        <v>25</v>
      </c>
      <c r="N3" s="9" t="s">
        <v>25</v>
      </c>
      <c r="O3" s="9" t="s">
        <v>25</v>
      </c>
      <c r="P3" s="9" t="s">
        <v>25</v>
      </c>
      <c r="Q3" s="9" t="s">
        <v>25</v>
      </c>
      <c r="R3" s="9" t="s">
        <v>25</v>
      </c>
      <c r="S3" s="9" t="s">
        <v>13335</v>
      </c>
      <c r="T3" s="9" t="s">
        <v>770</v>
      </c>
      <c r="U3" s="9" t="s">
        <v>28</v>
      </c>
      <c r="V3" s="39">
        <v>10000</v>
      </c>
      <c r="W3" s="9" t="s">
        <v>808</v>
      </c>
      <c r="Y3" s="39">
        <v>10000</v>
      </c>
      <c r="AB3" s="9" t="s">
        <v>645</v>
      </c>
      <c r="AD3" s="9" t="s">
        <v>646</v>
      </c>
      <c r="AF3" s="9" t="s">
        <v>1059</v>
      </c>
      <c r="AG3" s="9" t="s">
        <v>1060</v>
      </c>
      <c r="AH3" s="9" t="s">
        <v>599</v>
      </c>
      <c r="AI3" s="9" t="s">
        <v>607</v>
      </c>
      <c r="AK3" s="9" t="s">
        <v>28</v>
      </c>
      <c r="AL3" s="9">
        <v>12</v>
      </c>
      <c r="AM3" s="9" t="s">
        <v>25</v>
      </c>
      <c r="AO3" s="9" t="s">
        <v>875</v>
      </c>
      <c r="AP3" s="9">
        <v>12</v>
      </c>
      <c r="AS3" s="9" t="s">
        <v>864</v>
      </c>
      <c r="AT3" s="9" t="s">
        <v>25</v>
      </c>
      <c r="AU3" s="9" t="s">
        <v>996</v>
      </c>
      <c r="AV3" s="9" t="s">
        <v>996</v>
      </c>
      <c r="AW3" s="9" t="s">
        <v>678</v>
      </c>
      <c r="AY3" s="9">
        <v>2</v>
      </c>
      <c r="AZ3" s="9" t="s">
        <v>741</v>
      </c>
      <c r="BA3" s="9" t="s">
        <v>604</v>
      </c>
      <c r="BB3" s="9" t="s">
        <v>604</v>
      </c>
      <c r="BC3" s="9" t="s">
        <v>741</v>
      </c>
      <c r="BD3" s="9" t="s">
        <v>679</v>
      </c>
      <c r="BE3" s="9" t="s">
        <v>604</v>
      </c>
      <c r="BF3" s="9" t="s">
        <v>864</v>
      </c>
      <c r="BG3" s="9" t="s">
        <v>25</v>
      </c>
      <c r="BI3" s="9" t="s">
        <v>602</v>
      </c>
      <c r="BJ3" s="9" t="s">
        <v>603</v>
      </c>
      <c r="BL3" s="9" t="s">
        <v>741</v>
      </c>
      <c r="BM3" s="9" t="s">
        <v>604</v>
      </c>
      <c r="BN3" s="9" t="s">
        <v>604</v>
      </c>
      <c r="BO3" s="9" t="s">
        <v>741</v>
      </c>
      <c r="BP3" s="9" t="s">
        <v>679</v>
      </c>
      <c r="BQ3" s="9" t="s">
        <v>604</v>
      </c>
      <c r="BR3" s="9" t="s">
        <v>607</v>
      </c>
      <c r="BT3" s="9" t="s">
        <v>742</v>
      </c>
      <c r="BU3" s="9" t="s">
        <v>609</v>
      </c>
      <c r="BX3" s="9" t="s">
        <v>28</v>
      </c>
      <c r="BY3" s="9" t="s">
        <v>808</v>
      </c>
      <c r="CB3" s="39">
        <v>10000</v>
      </c>
      <c r="CD3" s="9" t="s">
        <v>645</v>
      </c>
      <c r="CF3" s="9" t="s">
        <v>646</v>
      </c>
      <c r="CH3" s="9" t="s">
        <v>777</v>
      </c>
      <c r="CJ3" s="9" t="s">
        <v>856</v>
      </c>
      <c r="CL3" s="9" t="s">
        <v>868</v>
      </c>
      <c r="ED3" s="9" t="s">
        <v>618</v>
      </c>
      <c r="EE3" s="9" t="s">
        <v>650</v>
      </c>
      <c r="EF3" s="9" t="s">
        <v>25</v>
      </c>
      <c r="EG3" s="9" t="s">
        <v>25</v>
      </c>
      <c r="EH3" s="9" t="s">
        <v>25</v>
      </c>
      <c r="EL3" s="9" t="s">
        <v>25</v>
      </c>
      <c r="EM3" s="9" t="s">
        <v>651</v>
      </c>
      <c r="EN3" s="9" t="s">
        <v>620</v>
      </c>
      <c r="EP3" s="9" t="s">
        <v>28</v>
      </c>
      <c r="EQ3" s="9" t="s">
        <v>653</v>
      </c>
      <c r="ER3" s="9" t="s">
        <v>25</v>
      </c>
      <c r="ES3" s="9" t="s">
        <v>749</v>
      </c>
      <c r="ET3" s="9" t="s">
        <v>28</v>
      </c>
      <c r="EU3" s="9" t="s">
        <v>622</v>
      </c>
      <c r="EV3" s="39">
        <v>5250</v>
      </c>
      <c r="EX3" s="39">
        <v>5250</v>
      </c>
      <c r="EZ3" s="9" t="s">
        <v>28</v>
      </c>
      <c r="FA3" s="9" t="s">
        <v>1061</v>
      </c>
      <c r="FB3" s="9" t="s">
        <v>28</v>
      </c>
      <c r="FF3" s="9" t="s">
        <v>13372</v>
      </c>
      <c r="FG3" s="9" t="s">
        <v>28</v>
      </c>
      <c r="FH3" s="9" t="s">
        <v>653</v>
      </c>
      <c r="FI3" s="42">
        <v>2000</v>
      </c>
      <c r="FJ3" s="9" t="s">
        <v>28</v>
      </c>
      <c r="FK3" s="9">
        <v>5</v>
      </c>
      <c r="FL3" s="9" t="s">
        <v>624</v>
      </c>
      <c r="FM3" s="9" t="s">
        <v>706</v>
      </c>
      <c r="FN3" s="9" t="s">
        <v>659</v>
      </c>
      <c r="FO3" s="9" t="s">
        <v>659</v>
      </c>
      <c r="FP3" s="9" t="s">
        <v>657</v>
      </c>
      <c r="FV3" s="9" t="s">
        <v>1062</v>
      </c>
      <c r="FW3" s="39">
        <v>270</v>
      </c>
      <c r="FX3" s="9" t="s">
        <v>25</v>
      </c>
      <c r="FY3" s="9" t="s">
        <v>662</v>
      </c>
      <c r="FZ3" s="9" t="s">
        <v>25</v>
      </c>
      <c r="GA3" s="9" t="s">
        <v>28</v>
      </c>
      <c r="GB3" s="9" t="s">
        <v>663</v>
      </c>
      <c r="GC3" s="9" t="s">
        <v>28</v>
      </c>
      <c r="GD3" s="9" t="s">
        <v>28</v>
      </c>
      <c r="GE3" s="9" t="s">
        <v>28</v>
      </c>
      <c r="GF3" s="9" t="s">
        <v>28</v>
      </c>
      <c r="GG3" s="9" t="s">
        <v>25</v>
      </c>
      <c r="GH3" s="9" t="s">
        <v>28</v>
      </c>
      <c r="GI3" s="9" t="s">
        <v>28</v>
      </c>
      <c r="GJ3" s="9" t="s">
        <v>28</v>
      </c>
      <c r="GK3" s="9" t="s">
        <v>25</v>
      </c>
      <c r="GL3" s="9" t="s">
        <v>630</v>
      </c>
      <c r="GM3" s="9" t="s">
        <v>629</v>
      </c>
      <c r="GN3" s="9" t="s">
        <v>630</v>
      </c>
      <c r="GO3" s="9" t="s">
        <v>630</v>
      </c>
      <c r="GP3" s="9" t="s">
        <v>630</v>
      </c>
      <c r="GQ3" s="9" t="s">
        <v>631</v>
      </c>
      <c r="GR3" s="9" t="s">
        <v>631</v>
      </c>
      <c r="GS3" s="9" t="s">
        <v>609</v>
      </c>
      <c r="GT3" s="9" t="s">
        <v>609</v>
      </c>
      <c r="GU3" s="9" t="s">
        <v>609</v>
      </c>
      <c r="GV3" s="9" t="s">
        <v>609</v>
      </c>
      <c r="GW3" s="9" t="s">
        <v>631</v>
      </c>
      <c r="GX3" s="9" t="s">
        <v>609</v>
      </c>
      <c r="GY3" s="9" t="s">
        <v>631</v>
      </c>
      <c r="GZ3" s="9" t="s">
        <v>629</v>
      </c>
      <c r="HA3" s="9" t="s">
        <v>631</v>
      </c>
      <c r="HB3" s="9" t="s">
        <v>609</v>
      </c>
      <c r="HC3" s="9" t="s">
        <v>631</v>
      </c>
      <c r="HD3" s="9" t="s">
        <v>629</v>
      </c>
      <c r="HE3" s="9" t="s">
        <v>630</v>
      </c>
      <c r="HF3" s="9" t="s">
        <v>609</v>
      </c>
      <c r="HG3" s="9" t="s">
        <v>609</v>
      </c>
      <c r="HH3" s="9" t="s">
        <v>609</v>
      </c>
      <c r="HI3" s="9" t="s">
        <v>29</v>
      </c>
      <c r="HJ3" s="9" t="s">
        <v>29</v>
      </c>
      <c r="HN3" s="9" t="s">
        <v>1063</v>
      </c>
      <c r="HO3" s="9" t="s">
        <v>872</v>
      </c>
      <c r="HP3" s="9" t="s">
        <v>28</v>
      </c>
      <c r="HQ3" s="9" t="s">
        <v>634</v>
      </c>
      <c r="HR3" s="9" t="s">
        <v>25</v>
      </c>
      <c r="HS3" s="9" t="s">
        <v>28</v>
      </c>
      <c r="HT3" s="9" t="s">
        <v>25</v>
      </c>
      <c r="HU3" s="9" t="s">
        <v>28</v>
      </c>
      <c r="HV3" s="9" t="s">
        <v>25</v>
      </c>
      <c r="HW3" s="9" t="s">
        <v>25</v>
      </c>
      <c r="HX3" s="9" t="s">
        <v>28</v>
      </c>
      <c r="HY3" s="9" t="s">
        <v>850</v>
      </c>
      <c r="HZ3" s="9" t="s">
        <v>635</v>
      </c>
      <c r="IA3" s="9" t="s">
        <v>25</v>
      </c>
      <c r="IB3" s="9" t="s">
        <v>636</v>
      </c>
      <c r="IC3" s="9" t="s">
        <v>826</v>
      </c>
      <c r="IG3" s="9" t="s">
        <v>730</v>
      </c>
      <c r="IH3" s="11">
        <v>1</v>
      </c>
      <c r="II3" s="11">
        <v>0.46</v>
      </c>
      <c r="IJ3" s="9" t="s">
        <v>13404</v>
      </c>
      <c r="IK3" s="9" t="s">
        <v>805</v>
      </c>
      <c r="IL3" s="9" t="s">
        <v>805</v>
      </c>
      <c r="IM3" s="9" t="s">
        <v>805</v>
      </c>
      <c r="IN3" s="9" t="s">
        <v>805</v>
      </c>
      <c r="IR3" s="9" t="s">
        <v>768</v>
      </c>
      <c r="IS3" s="9" t="s">
        <v>784</v>
      </c>
      <c r="IT3" s="9" t="s">
        <v>737</v>
      </c>
      <c r="IV3" s="49" t="s">
        <v>9336</v>
      </c>
      <c r="IW3" s="9" t="s">
        <v>640</v>
      </c>
      <c r="IX3" s="9" t="s">
        <v>640</v>
      </c>
      <c r="IY3" s="9" t="s">
        <v>640</v>
      </c>
      <c r="IZ3" s="9" t="s">
        <v>640</v>
      </c>
      <c r="JA3" s="9" t="s">
        <v>986</v>
      </c>
      <c r="JB3" s="9" t="s">
        <v>642</v>
      </c>
    </row>
    <row r="4" spans="1:262" ht="114.75" x14ac:dyDescent="0.2">
      <c r="A4" s="8" t="s">
        <v>133</v>
      </c>
      <c r="B4" s="9" t="s">
        <v>25</v>
      </c>
      <c r="S4" s="9" t="s">
        <v>13320</v>
      </c>
      <c r="T4" s="9" t="s">
        <v>770</v>
      </c>
      <c r="U4" s="9" t="s">
        <v>28</v>
      </c>
      <c r="V4" s="39">
        <v>10000</v>
      </c>
      <c r="W4" s="9" t="s">
        <v>29</v>
      </c>
      <c r="X4" s="9" t="s">
        <v>883</v>
      </c>
      <c r="Y4" s="39">
        <v>10000</v>
      </c>
      <c r="AB4" s="9" t="s">
        <v>734</v>
      </c>
      <c r="AD4" s="9" t="s">
        <v>646</v>
      </c>
      <c r="AF4" s="9" t="s">
        <v>829</v>
      </c>
      <c r="AH4" s="9" t="s">
        <v>599</v>
      </c>
      <c r="AI4" s="9" t="s">
        <v>28</v>
      </c>
      <c r="AJ4" s="39">
        <v>3000</v>
      </c>
      <c r="AK4" s="9" t="s">
        <v>28</v>
      </c>
      <c r="AL4" s="9">
        <v>15</v>
      </c>
      <c r="AM4" s="9" t="s">
        <v>28</v>
      </c>
      <c r="AO4" s="9" t="s">
        <v>29</v>
      </c>
      <c r="AR4" s="9" t="s">
        <v>884</v>
      </c>
      <c r="AS4" s="9" t="s">
        <v>601</v>
      </c>
      <c r="AT4" s="9" t="s">
        <v>25</v>
      </c>
      <c r="AU4" s="9" t="s">
        <v>885</v>
      </c>
      <c r="AV4" s="9" t="s">
        <v>885</v>
      </c>
      <c r="AW4" s="9" t="s">
        <v>678</v>
      </c>
      <c r="AY4" s="9">
        <v>4</v>
      </c>
      <c r="AZ4" s="9" t="s">
        <v>741</v>
      </c>
      <c r="BA4" s="9" t="s">
        <v>604</v>
      </c>
      <c r="BB4" s="9" t="s">
        <v>604</v>
      </c>
      <c r="BC4" s="9" t="s">
        <v>604</v>
      </c>
      <c r="BD4" s="9" t="s">
        <v>605</v>
      </c>
      <c r="BE4" s="9" t="s">
        <v>741</v>
      </c>
      <c r="BF4" s="9" t="s">
        <v>601</v>
      </c>
      <c r="BG4" s="9" t="s">
        <v>25</v>
      </c>
      <c r="BH4" s="9" t="s">
        <v>885</v>
      </c>
      <c r="BI4" s="9" t="s">
        <v>885</v>
      </c>
      <c r="BJ4" s="9" t="s">
        <v>603</v>
      </c>
      <c r="BL4" s="9" t="s">
        <v>741</v>
      </c>
      <c r="BM4" s="9" t="s">
        <v>604</v>
      </c>
      <c r="BN4" s="9" t="s">
        <v>604</v>
      </c>
      <c r="BO4" s="9" t="s">
        <v>604</v>
      </c>
      <c r="BP4" s="9" t="s">
        <v>605</v>
      </c>
      <c r="BQ4" s="9" t="s">
        <v>741</v>
      </c>
      <c r="BR4" s="9" t="s">
        <v>607</v>
      </c>
      <c r="BS4" s="9" t="s">
        <v>886</v>
      </c>
      <c r="BT4" s="9" t="s">
        <v>866</v>
      </c>
      <c r="BW4" s="9" t="s">
        <v>887</v>
      </c>
      <c r="BX4" s="9" t="s">
        <v>28</v>
      </c>
      <c r="BY4" s="9" t="s">
        <v>644</v>
      </c>
      <c r="CB4" s="39">
        <v>20000</v>
      </c>
      <c r="CD4" s="9" t="s">
        <v>734</v>
      </c>
      <c r="CF4" s="9" t="s">
        <v>646</v>
      </c>
      <c r="CH4" s="9" t="s">
        <v>777</v>
      </c>
      <c r="CJ4" s="9" t="s">
        <v>856</v>
      </c>
      <c r="CL4" s="9" t="s">
        <v>611</v>
      </c>
      <c r="CM4" s="9" t="s">
        <v>888</v>
      </c>
      <c r="CN4" s="9" t="s">
        <v>889</v>
      </c>
      <c r="CO4" s="9" t="s">
        <v>890</v>
      </c>
      <c r="CP4" s="9" t="s">
        <v>891</v>
      </c>
      <c r="CS4" s="9" t="s">
        <v>892</v>
      </c>
      <c r="DA4" s="9" t="s">
        <v>893</v>
      </c>
      <c r="DC4" s="9" t="s">
        <v>743</v>
      </c>
      <c r="DE4" s="9" t="s">
        <v>28</v>
      </c>
      <c r="DQ4" s="9" t="s">
        <v>747</v>
      </c>
      <c r="DS4" s="9" t="s">
        <v>692</v>
      </c>
      <c r="DU4" s="9" t="s">
        <v>693</v>
      </c>
      <c r="DW4" s="9" t="s">
        <v>759</v>
      </c>
      <c r="DX4" s="9" t="s">
        <v>894</v>
      </c>
      <c r="DY4" s="9" t="s">
        <v>607</v>
      </c>
      <c r="EA4" s="9" t="s">
        <v>895</v>
      </c>
      <c r="EB4" s="9" t="s">
        <v>25</v>
      </c>
      <c r="ED4" s="9" t="s">
        <v>695</v>
      </c>
      <c r="EE4" s="9" t="s">
        <v>650</v>
      </c>
      <c r="EF4" s="9" t="s">
        <v>25</v>
      </c>
      <c r="EG4" s="9" t="s">
        <v>25</v>
      </c>
      <c r="EH4" s="9" t="s">
        <v>25</v>
      </c>
      <c r="EL4" s="9" t="s">
        <v>25</v>
      </c>
      <c r="EM4" s="9" t="s">
        <v>651</v>
      </c>
      <c r="FC4" s="39">
        <v>1100</v>
      </c>
      <c r="FD4" s="9" t="s">
        <v>896</v>
      </c>
      <c r="FF4" s="9" t="s">
        <v>13368</v>
      </c>
      <c r="FL4" s="9" t="s">
        <v>624</v>
      </c>
      <c r="FM4" s="9" t="s">
        <v>625</v>
      </c>
      <c r="FV4" s="9" t="s">
        <v>897</v>
      </c>
      <c r="FW4" s="39">
        <v>265</v>
      </c>
      <c r="FX4" s="9" t="s">
        <v>627</v>
      </c>
      <c r="FZ4" s="9" t="s">
        <v>28</v>
      </c>
      <c r="GA4" s="9" t="s">
        <v>28</v>
      </c>
      <c r="GB4" s="9" t="s">
        <v>628</v>
      </c>
      <c r="GC4" s="9" t="s">
        <v>28</v>
      </c>
      <c r="GD4" s="9" t="s">
        <v>28</v>
      </c>
      <c r="GE4" s="9" t="s">
        <v>28</v>
      </c>
      <c r="GF4" s="9" t="s">
        <v>28</v>
      </c>
      <c r="GG4" s="9" t="s">
        <v>28</v>
      </c>
      <c r="GH4" s="9" t="s">
        <v>28</v>
      </c>
      <c r="GI4" s="9" t="s">
        <v>28</v>
      </c>
      <c r="GJ4" s="9" t="s">
        <v>28</v>
      </c>
      <c r="GK4" s="9" t="s">
        <v>28</v>
      </c>
      <c r="GL4" s="9" t="s">
        <v>629</v>
      </c>
      <c r="GM4" s="9" t="s">
        <v>629</v>
      </c>
      <c r="GN4" s="9" t="s">
        <v>629</v>
      </c>
      <c r="GO4" s="9" t="s">
        <v>629</v>
      </c>
      <c r="GP4" s="9" t="s">
        <v>629</v>
      </c>
      <c r="GQ4" s="9" t="s">
        <v>629</v>
      </c>
      <c r="GR4" s="9" t="s">
        <v>631</v>
      </c>
      <c r="GS4" s="9" t="s">
        <v>609</v>
      </c>
      <c r="GT4" s="9" t="s">
        <v>609</v>
      </c>
      <c r="GU4" s="9" t="s">
        <v>629</v>
      </c>
      <c r="GV4" s="9" t="s">
        <v>630</v>
      </c>
      <c r="GW4" s="9" t="s">
        <v>609</v>
      </c>
      <c r="GX4" s="9" t="s">
        <v>629</v>
      </c>
      <c r="GY4" s="9" t="s">
        <v>609</v>
      </c>
      <c r="GZ4" s="9" t="s">
        <v>609</v>
      </c>
      <c r="HA4" s="9" t="s">
        <v>609</v>
      </c>
      <c r="HB4" s="9" t="s">
        <v>631</v>
      </c>
      <c r="HC4" s="9" t="s">
        <v>609</v>
      </c>
      <c r="HD4" s="9" t="s">
        <v>609</v>
      </c>
      <c r="HE4" s="9" t="s">
        <v>631</v>
      </c>
      <c r="HF4" s="9" t="s">
        <v>609</v>
      </c>
      <c r="HG4" s="9" t="s">
        <v>609</v>
      </c>
      <c r="HH4" s="9" t="s">
        <v>609</v>
      </c>
      <c r="HI4" s="9" t="s">
        <v>898</v>
      </c>
      <c r="HO4" s="9" t="s">
        <v>13387</v>
      </c>
      <c r="HP4" s="9" t="s">
        <v>28</v>
      </c>
      <c r="IC4" s="9" t="s">
        <v>637</v>
      </c>
      <c r="IR4" s="9" t="s">
        <v>899</v>
      </c>
      <c r="IS4" s="9" t="s">
        <v>639</v>
      </c>
      <c r="IT4" s="9" t="s">
        <v>733</v>
      </c>
      <c r="IU4" s="9" t="s">
        <v>702</v>
      </c>
      <c r="IV4" s="9" t="s">
        <v>702</v>
      </c>
      <c r="IW4" s="9" t="s">
        <v>640</v>
      </c>
      <c r="IX4" s="9" t="s">
        <v>640</v>
      </c>
      <c r="IY4" s="9" t="s">
        <v>769</v>
      </c>
      <c r="IZ4" s="9" t="s">
        <v>769</v>
      </c>
      <c r="JA4" s="9" t="s">
        <v>900</v>
      </c>
      <c r="JB4" s="9" t="s">
        <v>642</v>
      </c>
    </row>
    <row r="5" spans="1:262" ht="63.75" x14ac:dyDescent="0.2">
      <c r="A5" s="8" t="s">
        <v>156</v>
      </c>
      <c r="B5" s="9" t="s">
        <v>25</v>
      </c>
      <c r="S5" s="9" t="s">
        <v>13328</v>
      </c>
      <c r="T5" s="9" t="s">
        <v>595</v>
      </c>
      <c r="U5" s="9" t="s">
        <v>28</v>
      </c>
      <c r="V5" s="39">
        <v>14400</v>
      </c>
      <c r="W5" s="9" t="s">
        <v>808</v>
      </c>
      <c r="Y5" s="39">
        <v>14400</v>
      </c>
      <c r="AB5" s="9" t="s">
        <v>645</v>
      </c>
      <c r="AD5" s="9" t="s">
        <v>674</v>
      </c>
      <c r="AF5" s="9" t="s">
        <v>874</v>
      </c>
      <c r="AH5" s="9" t="s">
        <v>788</v>
      </c>
      <c r="AI5" s="9" t="s">
        <v>607</v>
      </c>
      <c r="AK5" s="9" t="s">
        <v>607</v>
      </c>
      <c r="AO5" s="9" t="s">
        <v>1086</v>
      </c>
      <c r="AP5" s="9">
        <v>0</v>
      </c>
      <c r="AS5" s="9" t="s">
        <v>601</v>
      </c>
      <c r="AT5" s="9" t="s">
        <v>25</v>
      </c>
      <c r="AU5" s="9" t="s">
        <v>602</v>
      </c>
      <c r="AV5" s="9" t="s">
        <v>602</v>
      </c>
      <c r="AW5" s="9" t="s">
        <v>740</v>
      </c>
      <c r="AX5" s="39">
        <v>37000</v>
      </c>
      <c r="AZ5" s="9" t="s">
        <v>741</v>
      </c>
      <c r="BC5" s="9" t="s">
        <v>741</v>
      </c>
      <c r="BF5" s="9" t="s">
        <v>601</v>
      </c>
      <c r="BG5" s="9" t="s">
        <v>25</v>
      </c>
      <c r="BH5" s="9" t="s">
        <v>602</v>
      </c>
      <c r="BI5" s="9" t="s">
        <v>602</v>
      </c>
      <c r="BJ5" s="9" t="s">
        <v>28</v>
      </c>
      <c r="BK5" s="39">
        <v>37000</v>
      </c>
      <c r="BL5" s="9" t="s">
        <v>741</v>
      </c>
      <c r="BO5" s="9" t="s">
        <v>741</v>
      </c>
      <c r="BR5" s="9" t="s">
        <v>607</v>
      </c>
      <c r="BT5" s="9" t="s">
        <v>608</v>
      </c>
      <c r="BU5" s="9" t="s">
        <v>609</v>
      </c>
      <c r="BW5" s="9" t="s">
        <v>1087</v>
      </c>
      <c r="CM5" s="9" t="s">
        <v>1088</v>
      </c>
      <c r="CN5" s="9" t="s">
        <v>1089</v>
      </c>
      <c r="CW5" s="9" t="s">
        <v>743</v>
      </c>
      <c r="CX5" s="9" t="s">
        <v>744</v>
      </c>
      <c r="CZ5" s="9" t="s">
        <v>629</v>
      </c>
      <c r="DS5" s="9" t="s">
        <v>692</v>
      </c>
      <c r="DU5" s="9" t="s">
        <v>758</v>
      </c>
      <c r="DW5" s="9" t="s">
        <v>616</v>
      </c>
      <c r="DY5" s="9" t="s">
        <v>607</v>
      </c>
      <c r="EB5" s="9" t="s">
        <v>25</v>
      </c>
      <c r="ED5" s="9" t="s">
        <v>618</v>
      </c>
      <c r="EE5" s="9" t="s">
        <v>650</v>
      </c>
      <c r="EF5" s="9" t="s">
        <v>25</v>
      </c>
      <c r="EG5" s="9" t="s">
        <v>25</v>
      </c>
      <c r="EH5" s="9" t="s">
        <v>25</v>
      </c>
      <c r="EL5" s="9" t="s">
        <v>25</v>
      </c>
      <c r="EM5" s="9" t="s">
        <v>651</v>
      </c>
      <c r="EN5" s="9" t="s">
        <v>620</v>
      </c>
      <c r="EP5" s="9" t="s">
        <v>25</v>
      </c>
      <c r="ER5" s="9" t="s">
        <v>25</v>
      </c>
      <c r="ET5" s="9" t="s">
        <v>28</v>
      </c>
      <c r="EU5" s="9" t="s">
        <v>750</v>
      </c>
      <c r="EV5" s="39">
        <v>5250</v>
      </c>
      <c r="EW5" s="39">
        <v>5250</v>
      </c>
      <c r="EX5" s="39">
        <v>5250</v>
      </c>
      <c r="EY5" s="39">
        <v>5250</v>
      </c>
      <c r="EZ5" s="9" t="s">
        <v>819</v>
      </c>
      <c r="FB5" s="9" t="s">
        <v>25</v>
      </c>
      <c r="FF5" s="9" t="s">
        <v>13365</v>
      </c>
      <c r="FG5" s="9" t="s">
        <v>28</v>
      </c>
      <c r="FH5" s="9" t="s">
        <v>653</v>
      </c>
      <c r="FI5" s="42">
        <v>1000</v>
      </c>
      <c r="FJ5" s="9" t="s">
        <v>28</v>
      </c>
      <c r="FL5" s="9" t="s">
        <v>656</v>
      </c>
      <c r="FV5" s="9" t="s">
        <v>834</v>
      </c>
      <c r="FW5" s="39">
        <v>255</v>
      </c>
      <c r="FX5" s="9" t="s">
        <v>627</v>
      </c>
      <c r="FY5" s="9" t="s">
        <v>633</v>
      </c>
      <c r="FZ5" s="9" t="s">
        <v>25</v>
      </c>
      <c r="GA5" s="9" t="s">
        <v>28</v>
      </c>
      <c r="GB5" s="9" t="s">
        <v>663</v>
      </c>
      <c r="GL5" s="9" t="s">
        <v>629</v>
      </c>
      <c r="GM5" s="9" t="s">
        <v>629</v>
      </c>
      <c r="GN5" s="9" t="s">
        <v>630</v>
      </c>
      <c r="GO5" s="9" t="s">
        <v>630</v>
      </c>
      <c r="GP5" s="9" t="s">
        <v>631</v>
      </c>
      <c r="GQ5" s="9" t="s">
        <v>631</v>
      </c>
      <c r="GR5" s="9" t="s">
        <v>631</v>
      </c>
      <c r="GS5" s="9" t="s">
        <v>609</v>
      </c>
      <c r="GT5" s="9" t="s">
        <v>609</v>
      </c>
      <c r="GU5" s="9" t="s">
        <v>609</v>
      </c>
      <c r="GV5" s="9" t="s">
        <v>609</v>
      </c>
      <c r="GW5" s="9" t="s">
        <v>609</v>
      </c>
      <c r="GX5" s="9" t="s">
        <v>609</v>
      </c>
      <c r="GY5" s="9" t="s">
        <v>609</v>
      </c>
      <c r="GZ5" s="9" t="s">
        <v>609</v>
      </c>
      <c r="HA5" s="9" t="s">
        <v>631</v>
      </c>
      <c r="HB5" s="9" t="s">
        <v>609</v>
      </c>
      <c r="HC5" s="9" t="s">
        <v>631</v>
      </c>
      <c r="HD5" s="9" t="s">
        <v>631</v>
      </c>
      <c r="HE5" s="9" t="s">
        <v>631</v>
      </c>
      <c r="HF5" s="9" t="s">
        <v>609</v>
      </c>
      <c r="HG5" s="9" t="s">
        <v>631</v>
      </c>
      <c r="HH5" s="9" t="s">
        <v>609</v>
      </c>
      <c r="HI5" s="9" t="s">
        <v>632</v>
      </c>
      <c r="HJ5" s="9" t="s">
        <v>727</v>
      </c>
      <c r="HO5" s="9" t="s">
        <v>13387</v>
      </c>
      <c r="HP5" s="9" t="s">
        <v>28</v>
      </c>
      <c r="HQ5" s="9" t="s">
        <v>29</v>
      </c>
      <c r="HR5" s="9" t="s">
        <v>28</v>
      </c>
      <c r="HS5" s="9" t="s">
        <v>28</v>
      </c>
      <c r="HT5" s="9" t="s">
        <v>25</v>
      </c>
      <c r="HU5" s="9" t="s">
        <v>25</v>
      </c>
      <c r="HV5" s="9" t="s">
        <v>25</v>
      </c>
      <c r="HW5" s="9" t="s">
        <v>25</v>
      </c>
      <c r="HX5" s="9" t="s">
        <v>25</v>
      </c>
      <c r="HZ5" s="9" t="s">
        <v>635</v>
      </c>
      <c r="IA5" s="9" t="s">
        <v>25</v>
      </c>
      <c r="IB5" s="9" t="s">
        <v>636</v>
      </c>
      <c r="IC5" s="9" t="s">
        <v>637</v>
      </c>
      <c r="IR5" s="9" t="s">
        <v>768</v>
      </c>
      <c r="IS5" s="9" t="s">
        <v>732</v>
      </c>
      <c r="IT5" s="9" t="s">
        <v>13408</v>
      </c>
      <c r="IV5" s="49" t="s">
        <v>9337</v>
      </c>
      <c r="IW5" s="9" t="s">
        <v>640</v>
      </c>
      <c r="IX5" s="9" t="s">
        <v>640</v>
      </c>
      <c r="IY5" s="9" t="s">
        <v>640</v>
      </c>
      <c r="IZ5" s="9" t="s">
        <v>640</v>
      </c>
      <c r="JA5" s="9" t="s">
        <v>704</v>
      </c>
      <c r="JB5" s="9" t="s">
        <v>642</v>
      </c>
    </row>
    <row r="6" spans="1:262" ht="102" x14ac:dyDescent="0.2">
      <c r="A6" s="8" t="s">
        <v>179</v>
      </c>
      <c r="B6" s="9" t="s">
        <v>25</v>
      </c>
      <c r="S6" s="9" t="s">
        <v>13337</v>
      </c>
      <c r="T6" s="9" t="s">
        <v>770</v>
      </c>
      <c r="U6" s="9" t="s">
        <v>28</v>
      </c>
      <c r="V6" s="39">
        <v>25000</v>
      </c>
      <c r="W6" s="9" t="s">
        <v>644</v>
      </c>
      <c r="Z6" s="39">
        <v>25000</v>
      </c>
      <c r="AB6" s="9" t="s">
        <v>645</v>
      </c>
      <c r="AD6" s="9" t="s">
        <v>646</v>
      </c>
      <c r="AF6" s="9" t="s">
        <v>1252</v>
      </c>
      <c r="AH6" s="9" t="s">
        <v>599</v>
      </c>
      <c r="AI6" s="9" t="s">
        <v>819</v>
      </c>
      <c r="AK6" s="9" t="s">
        <v>28</v>
      </c>
      <c r="AL6" s="9">
        <v>20</v>
      </c>
      <c r="AM6" s="9" t="s">
        <v>28</v>
      </c>
      <c r="AN6" s="39">
        <v>75</v>
      </c>
      <c r="AO6" s="9" t="s">
        <v>14624</v>
      </c>
      <c r="AP6" s="9">
        <v>20</v>
      </c>
      <c r="AQ6" s="9" t="s">
        <v>1253</v>
      </c>
      <c r="AS6" s="9" t="s">
        <v>601</v>
      </c>
      <c r="AT6" s="9" t="s">
        <v>25</v>
      </c>
      <c r="AU6" s="9" t="s">
        <v>739</v>
      </c>
      <c r="AV6" s="9" t="s">
        <v>739</v>
      </c>
      <c r="AW6" s="9" t="s">
        <v>740</v>
      </c>
      <c r="AX6" s="39">
        <v>25000</v>
      </c>
      <c r="AZ6" s="9" t="s">
        <v>741</v>
      </c>
      <c r="BC6" s="9" t="s">
        <v>741</v>
      </c>
      <c r="BD6" s="9" t="s">
        <v>679</v>
      </c>
      <c r="BF6" s="9" t="s">
        <v>601</v>
      </c>
      <c r="BG6" s="9" t="s">
        <v>25</v>
      </c>
      <c r="BH6" s="9" t="s">
        <v>739</v>
      </c>
      <c r="BI6" s="9" t="s">
        <v>739</v>
      </c>
      <c r="BJ6" s="9" t="s">
        <v>28</v>
      </c>
      <c r="BK6" s="39">
        <v>25000</v>
      </c>
      <c r="BL6" s="9" t="s">
        <v>741</v>
      </c>
      <c r="BO6" s="9" t="s">
        <v>741</v>
      </c>
      <c r="BP6" s="9" t="s">
        <v>679</v>
      </c>
      <c r="BR6" s="9" t="s">
        <v>819</v>
      </c>
      <c r="BS6" s="9" t="s">
        <v>1254</v>
      </c>
      <c r="BT6" s="9" t="s">
        <v>1255</v>
      </c>
      <c r="BU6" s="9" t="s">
        <v>609</v>
      </c>
      <c r="BX6" s="9" t="s">
        <v>28</v>
      </c>
      <c r="BY6" s="9" t="s">
        <v>644</v>
      </c>
      <c r="CB6" s="39">
        <v>25000</v>
      </c>
      <c r="CD6" s="9" t="s">
        <v>645</v>
      </c>
      <c r="CF6" s="9" t="s">
        <v>646</v>
      </c>
      <c r="CH6" s="9" t="s">
        <v>610</v>
      </c>
      <c r="CJ6" s="9" t="s">
        <v>856</v>
      </c>
      <c r="CL6" s="9" t="s">
        <v>611</v>
      </c>
      <c r="CM6" s="9" t="s">
        <v>612</v>
      </c>
      <c r="CN6" s="9" t="s">
        <v>1256</v>
      </c>
      <c r="DS6" s="9" t="s">
        <v>692</v>
      </c>
      <c r="DU6" s="9" t="s">
        <v>693</v>
      </c>
      <c r="DW6" s="9" t="s">
        <v>759</v>
      </c>
      <c r="DX6" s="9" t="s">
        <v>1257</v>
      </c>
      <c r="DY6" s="9" t="s">
        <v>607</v>
      </c>
      <c r="EB6" s="9" t="s">
        <v>25</v>
      </c>
      <c r="ED6" s="9" t="s">
        <v>695</v>
      </c>
      <c r="EE6" s="9" t="s">
        <v>650</v>
      </c>
      <c r="EF6" s="9" t="s">
        <v>28</v>
      </c>
      <c r="EG6" s="9" t="s">
        <v>28</v>
      </c>
      <c r="EH6" s="9" t="s">
        <v>28</v>
      </c>
      <c r="EI6" s="39">
        <v>2700</v>
      </c>
      <c r="EJ6" s="39">
        <v>2700</v>
      </c>
      <c r="EK6" s="39">
        <v>5000</v>
      </c>
      <c r="EL6" s="9" t="s">
        <v>25</v>
      </c>
      <c r="EM6" s="9" t="s">
        <v>651</v>
      </c>
      <c r="FC6" s="39">
        <v>830</v>
      </c>
      <c r="FD6" s="9" t="s">
        <v>13357</v>
      </c>
      <c r="FF6" s="9" t="s">
        <v>696</v>
      </c>
      <c r="FG6" s="9" t="s">
        <v>28</v>
      </c>
      <c r="FH6" s="9" t="s">
        <v>697</v>
      </c>
      <c r="FI6" s="42">
        <v>1000</v>
      </c>
      <c r="FJ6" s="9" t="s">
        <v>28</v>
      </c>
      <c r="FK6" s="9">
        <v>5</v>
      </c>
      <c r="FL6" s="9" t="s">
        <v>624</v>
      </c>
      <c r="FM6" s="9" t="s">
        <v>13385</v>
      </c>
      <c r="FV6" s="9" t="s">
        <v>1258</v>
      </c>
      <c r="FW6" s="39">
        <v>270</v>
      </c>
      <c r="FX6" s="9" t="s">
        <v>627</v>
      </c>
      <c r="FZ6" s="9" t="s">
        <v>25</v>
      </c>
      <c r="GB6" s="9" t="s">
        <v>628</v>
      </c>
      <c r="GL6" s="9" t="s">
        <v>629</v>
      </c>
      <c r="GM6" s="9" t="s">
        <v>629</v>
      </c>
      <c r="GN6" s="9" t="s">
        <v>630</v>
      </c>
      <c r="GO6" s="9" t="s">
        <v>630</v>
      </c>
      <c r="GP6" s="9" t="s">
        <v>631</v>
      </c>
      <c r="GQ6" s="9" t="s">
        <v>631</v>
      </c>
      <c r="GR6" s="9" t="s">
        <v>629</v>
      </c>
      <c r="GS6" s="9" t="s">
        <v>631</v>
      </c>
      <c r="GT6" s="9" t="s">
        <v>631</v>
      </c>
      <c r="GU6" s="9" t="s">
        <v>631</v>
      </c>
      <c r="GV6" s="9" t="s">
        <v>609</v>
      </c>
      <c r="HE6" s="9" t="s">
        <v>630</v>
      </c>
      <c r="HI6" s="9" t="s">
        <v>632</v>
      </c>
      <c r="HJ6" s="9" t="s">
        <v>727</v>
      </c>
      <c r="HO6" s="9" t="s">
        <v>767</v>
      </c>
      <c r="HP6" s="9" t="s">
        <v>25</v>
      </c>
      <c r="IC6" s="9" t="s">
        <v>13793</v>
      </c>
      <c r="ID6" s="9" t="s">
        <v>730</v>
      </c>
      <c r="IE6" s="11">
        <v>1</v>
      </c>
      <c r="IG6" s="9" t="s">
        <v>730</v>
      </c>
      <c r="IH6" s="11">
        <v>1</v>
      </c>
      <c r="IJ6" s="9" t="s">
        <v>13402</v>
      </c>
      <c r="IK6" s="9" t="s">
        <v>805</v>
      </c>
      <c r="IL6" s="9" t="s">
        <v>731</v>
      </c>
      <c r="IM6" s="9" t="s">
        <v>731</v>
      </c>
      <c r="IN6" s="9" t="s">
        <v>731</v>
      </c>
      <c r="IO6" s="9" t="s">
        <v>730</v>
      </c>
      <c r="IP6" s="11">
        <v>1</v>
      </c>
      <c r="IR6" s="9" t="s">
        <v>838</v>
      </c>
      <c r="IS6" s="9" t="s">
        <v>639</v>
      </c>
      <c r="IT6" s="9" t="s">
        <v>733</v>
      </c>
      <c r="IU6" s="49" t="s">
        <v>9336</v>
      </c>
      <c r="IV6" s="49" t="s">
        <v>9337</v>
      </c>
      <c r="IW6" s="9" t="s">
        <v>640</v>
      </c>
      <c r="IX6" s="9" t="s">
        <v>640</v>
      </c>
      <c r="IY6" s="9" t="s">
        <v>703</v>
      </c>
      <c r="IZ6" s="9" t="s">
        <v>703</v>
      </c>
      <c r="JA6" s="9" t="s">
        <v>900</v>
      </c>
      <c r="JB6" s="9" t="s">
        <v>642</v>
      </c>
    </row>
    <row r="7" spans="1:262" ht="63.75" x14ac:dyDescent="0.2">
      <c r="A7" s="8" t="s">
        <v>122</v>
      </c>
      <c r="B7" s="9" t="s">
        <v>25</v>
      </c>
      <c r="S7" s="9" t="s">
        <v>13318</v>
      </c>
      <c r="T7" s="9" t="s">
        <v>595</v>
      </c>
      <c r="U7" s="9" t="s">
        <v>28</v>
      </c>
      <c r="V7" s="39">
        <v>14000</v>
      </c>
      <c r="W7" s="9" t="s">
        <v>644</v>
      </c>
      <c r="Y7" s="39">
        <v>14000</v>
      </c>
      <c r="AB7" s="9" t="s">
        <v>734</v>
      </c>
      <c r="AD7" s="9" t="s">
        <v>646</v>
      </c>
      <c r="AF7" s="9" t="s">
        <v>735</v>
      </c>
      <c r="AH7" s="9" t="s">
        <v>736</v>
      </c>
      <c r="AI7" s="9" t="s">
        <v>607</v>
      </c>
      <c r="AK7" s="9" t="s">
        <v>28</v>
      </c>
      <c r="AL7" s="9">
        <v>10</v>
      </c>
      <c r="AM7" s="9" t="s">
        <v>25</v>
      </c>
      <c r="AO7" s="9" t="s">
        <v>737</v>
      </c>
      <c r="AQ7" s="9" t="s">
        <v>738</v>
      </c>
      <c r="AS7" s="9" t="s">
        <v>601</v>
      </c>
      <c r="AT7" s="9" t="s">
        <v>25</v>
      </c>
      <c r="AU7" s="9" t="s">
        <v>739</v>
      </c>
      <c r="AV7" s="9" t="s">
        <v>739</v>
      </c>
      <c r="AW7" s="9" t="s">
        <v>740</v>
      </c>
      <c r="AX7" s="39">
        <v>35000</v>
      </c>
      <c r="AZ7" s="9" t="s">
        <v>741</v>
      </c>
      <c r="BC7" s="9" t="s">
        <v>741</v>
      </c>
      <c r="BD7" s="9" t="s">
        <v>604</v>
      </c>
      <c r="BF7" s="9" t="s">
        <v>601</v>
      </c>
      <c r="BG7" s="9" t="s">
        <v>25</v>
      </c>
      <c r="BH7" s="9" t="s">
        <v>739</v>
      </c>
      <c r="BI7" s="9" t="s">
        <v>739</v>
      </c>
      <c r="BJ7" s="9" t="s">
        <v>603</v>
      </c>
      <c r="BL7" s="9" t="s">
        <v>741</v>
      </c>
      <c r="BN7" s="9" t="s">
        <v>604</v>
      </c>
      <c r="BO7" s="9" t="s">
        <v>741</v>
      </c>
      <c r="BP7" s="9" t="s">
        <v>741</v>
      </c>
      <c r="BR7" s="9" t="s">
        <v>607</v>
      </c>
      <c r="BT7" s="9" t="s">
        <v>742</v>
      </c>
      <c r="BU7" s="9" t="s">
        <v>609</v>
      </c>
      <c r="CM7" s="9" t="s">
        <v>13351</v>
      </c>
      <c r="CW7" s="9" t="s">
        <v>743</v>
      </c>
      <c r="CX7" s="9" t="s">
        <v>744</v>
      </c>
      <c r="CZ7" s="9" t="s">
        <v>629</v>
      </c>
      <c r="DA7" s="9" t="s">
        <v>745</v>
      </c>
      <c r="DC7" s="9" t="s">
        <v>743</v>
      </c>
      <c r="DE7" s="9" t="s">
        <v>28</v>
      </c>
      <c r="DK7" s="9" t="s">
        <v>28</v>
      </c>
      <c r="DL7" s="9" t="s">
        <v>746</v>
      </c>
      <c r="DM7" s="9" t="s">
        <v>28</v>
      </c>
      <c r="DQ7" s="9" t="s">
        <v>747</v>
      </c>
      <c r="DS7" s="9" t="s">
        <v>692</v>
      </c>
      <c r="DU7" s="9" t="s">
        <v>693</v>
      </c>
      <c r="DW7" s="9" t="s">
        <v>616</v>
      </c>
      <c r="DY7" s="9" t="s">
        <v>607</v>
      </c>
      <c r="EB7" s="9" t="s">
        <v>25</v>
      </c>
      <c r="ED7" s="9" t="s">
        <v>618</v>
      </c>
      <c r="EE7" s="9" t="s">
        <v>650</v>
      </c>
      <c r="EF7" s="9" t="s">
        <v>25</v>
      </c>
      <c r="EG7" s="9" t="s">
        <v>25</v>
      </c>
      <c r="EH7" s="9" t="s">
        <v>25</v>
      </c>
      <c r="EL7" s="9" t="s">
        <v>28</v>
      </c>
      <c r="EM7" s="9" t="s">
        <v>651</v>
      </c>
      <c r="EN7" s="9" t="s">
        <v>748</v>
      </c>
      <c r="EP7" s="9" t="s">
        <v>28</v>
      </c>
      <c r="EQ7" s="9" t="s">
        <v>653</v>
      </c>
      <c r="ER7" s="9" t="s">
        <v>28</v>
      </c>
      <c r="ES7" s="9" t="s">
        <v>749</v>
      </c>
      <c r="ET7" s="9" t="s">
        <v>28</v>
      </c>
      <c r="EU7" s="9" t="s">
        <v>750</v>
      </c>
      <c r="EV7" s="39">
        <v>5250</v>
      </c>
      <c r="EX7" s="39">
        <v>5250</v>
      </c>
      <c r="EZ7" s="9" t="s">
        <v>607</v>
      </c>
      <c r="FB7" s="9" t="s">
        <v>28</v>
      </c>
      <c r="FF7" s="9" t="s">
        <v>13363</v>
      </c>
      <c r="FG7" s="9" t="s">
        <v>28</v>
      </c>
      <c r="FH7" s="9" t="s">
        <v>653</v>
      </c>
      <c r="FI7" s="42">
        <v>10000</v>
      </c>
      <c r="FJ7" s="9" t="s">
        <v>28</v>
      </c>
      <c r="FK7" s="9">
        <v>0</v>
      </c>
      <c r="FL7" s="9" t="s">
        <v>656</v>
      </c>
      <c r="FM7" s="9" t="s">
        <v>625</v>
      </c>
      <c r="FN7" s="9" t="s">
        <v>657</v>
      </c>
      <c r="FO7" s="9" t="s">
        <v>657</v>
      </c>
      <c r="FP7" s="9" t="s">
        <v>657</v>
      </c>
      <c r="FQ7" s="9" t="s">
        <v>658</v>
      </c>
      <c r="FR7" s="9" t="s">
        <v>658</v>
      </c>
      <c r="FS7" s="9" t="s">
        <v>657</v>
      </c>
      <c r="FT7" s="9" t="s">
        <v>658</v>
      </c>
      <c r="FU7" s="9" t="s">
        <v>657</v>
      </c>
      <c r="FV7" s="9" t="s">
        <v>751</v>
      </c>
      <c r="FW7" s="39">
        <v>100</v>
      </c>
      <c r="FX7" s="9" t="s">
        <v>25</v>
      </c>
      <c r="FY7" s="9" t="s">
        <v>662</v>
      </c>
      <c r="FZ7" s="9" t="s">
        <v>25</v>
      </c>
      <c r="GB7" s="9" t="s">
        <v>628</v>
      </c>
      <c r="GC7" s="9" t="s">
        <v>28</v>
      </c>
      <c r="GD7" s="9" t="s">
        <v>28</v>
      </c>
      <c r="GE7" s="9" t="s">
        <v>28</v>
      </c>
      <c r="GF7" s="9" t="s">
        <v>28</v>
      </c>
      <c r="GG7" s="9" t="s">
        <v>28</v>
      </c>
      <c r="GH7" s="9" t="s">
        <v>28</v>
      </c>
      <c r="GI7" s="9" t="s">
        <v>28</v>
      </c>
      <c r="GJ7" s="9" t="s">
        <v>28</v>
      </c>
      <c r="GK7" s="9" t="s">
        <v>28</v>
      </c>
      <c r="GL7" s="9" t="s">
        <v>609</v>
      </c>
      <c r="GM7" s="9" t="s">
        <v>629</v>
      </c>
      <c r="GN7" s="9" t="s">
        <v>609</v>
      </c>
      <c r="GO7" s="9" t="s">
        <v>609</v>
      </c>
      <c r="GP7" s="9" t="s">
        <v>609</v>
      </c>
      <c r="GQ7" s="9" t="s">
        <v>609</v>
      </c>
      <c r="GR7" s="9" t="s">
        <v>609</v>
      </c>
      <c r="GS7" s="9" t="s">
        <v>609</v>
      </c>
      <c r="GT7" s="9" t="s">
        <v>631</v>
      </c>
      <c r="GU7" s="9" t="s">
        <v>609</v>
      </c>
      <c r="GV7" s="9" t="s">
        <v>609</v>
      </c>
      <c r="GW7" s="9" t="s">
        <v>609</v>
      </c>
      <c r="GX7" s="9" t="s">
        <v>609</v>
      </c>
      <c r="GY7" s="9" t="s">
        <v>609</v>
      </c>
      <c r="GZ7" s="9" t="s">
        <v>631</v>
      </c>
      <c r="HA7" s="9" t="s">
        <v>609</v>
      </c>
      <c r="HB7" s="9" t="s">
        <v>609</v>
      </c>
      <c r="HC7" s="9" t="s">
        <v>609</v>
      </c>
      <c r="HD7" s="9" t="s">
        <v>609</v>
      </c>
      <c r="HE7" s="9" t="s">
        <v>630</v>
      </c>
      <c r="HF7" s="9" t="s">
        <v>630</v>
      </c>
      <c r="HG7" s="9" t="s">
        <v>631</v>
      </c>
      <c r="HH7" s="9" t="s">
        <v>609</v>
      </c>
      <c r="HI7" s="9" t="s">
        <v>752</v>
      </c>
      <c r="HJ7" s="9" t="s">
        <v>727</v>
      </c>
      <c r="HM7" s="9" t="s">
        <v>753</v>
      </c>
      <c r="HO7" s="9" t="s">
        <v>633</v>
      </c>
      <c r="HP7" s="9" t="s">
        <v>28</v>
      </c>
      <c r="HQ7" s="9" t="s">
        <v>634</v>
      </c>
      <c r="HR7" s="9" t="s">
        <v>28</v>
      </c>
      <c r="HS7" s="9" t="s">
        <v>28</v>
      </c>
      <c r="HU7" s="9" t="s">
        <v>28</v>
      </c>
      <c r="HV7" s="9" t="s">
        <v>25</v>
      </c>
      <c r="HW7" s="9" t="s">
        <v>25</v>
      </c>
      <c r="HX7" s="9" t="s">
        <v>25</v>
      </c>
      <c r="HZ7" s="9" t="s">
        <v>635</v>
      </c>
      <c r="IA7" s="9" t="s">
        <v>25</v>
      </c>
      <c r="IB7" s="9" t="s">
        <v>636</v>
      </c>
      <c r="IC7" s="9" t="s">
        <v>635</v>
      </c>
      <c r="IT7" s="9" t="s">
        <v>754</v>
      </c>
      <c r="IU7" s="9">
        <v>0</v>
      </c>
      <c r="IV7" s="50" t="s">
        <v>9338</v>
      </c>
      <c r="IW7" s="9" t="s">
        <v>640</v>
      </c>
      <c r="IX7" s="9" t="s">
        <v>640</v>
      </c>
      <c r="IY7" s="9" t="s">
        <v>703</v>
      </c>
      <c r="IZ7" s="9" t="s">
        <v>703</v>
      </c>
      <c r="JA7" s="9" t="s">
        <v>704</v>
      </c>
      <c r="JB7" s="9" t="s">
        <v>672</v>
      </c>
    </row>
    <row r="8" spans="1:262" ht="63.75" x14ac:dyDescent="0.2">
      <c r="A8" s="8" t="s">
        <v>160</v>
      </c>
      <c r="B8" s="9" t="s">
        <v>25</v>
      </c>
      <c r="S8" s="9" t="s">
        <v>13339</v>
      </c>
      <c r="T8" s="9" t="s">
        <v>1112</v>
      </c>
      <c r="AH8" s="9" t="s">
        <v>599</v>
      </c>
      <c r="AI8" s="9" t="s">
        <v>607</v>
      </c>
      <c r="AK8" s="9" t="s">
        <v>819</v>
      </c>
      <c r="AS8" s="9" t="s">
        <v>25</v>
      </c>
      <c r="BF8" s="9" t="s">
        <v>25</v>
      </c>
      <c r="BR8" s="9" t="s">
        <v>607</v>
      </c>
      <c r="BS8" s="9" t="s">
        <v>13782</v>
      </c>
      <c r="BX8" s="9" t="s">
        <v>25</v>
      </c>
      <c r="ED8" s="9" t="s">
        <v>1058</v>
      </c>
      <c r="EE8" s="9" t="s">
        <v>650</v>
      </c>
      <c r="EF8" s="9" t="s">
        <v>25</v>
      </c>
      <c r="EG8" s="9" t="s">
        <v>25</v>
      </c>
      <c r="EH8" s="9" t="s">
        <v>25</v>
      </c>
      <c r="EL8" s="9" t="s">
        <v>25</v>
      </c>
      <c r="EM8" s="9" t="s">
        <v>651</v>
      </c>
      <c r="FF8" s="9" t="s">
        <v>869</v>
      </c>
      <c r="FG8" s="9" t="s">
        <v>25</v>
      </c>
      <c r="FJ8" s="9" t="s">
        <v>28</v>
      </c>
      <c r="FL8" s="9" t="s">
        <v>624</v>
      </c>
      <c r="FM8" s="9" t="s">
        <v>1113</v>
      </c>
      <c r="FV8" s="9" t="s">
        <v>1114</v>
      </c>
      <c r="FW8" s="39">
        <v>25</v>
      </c>
      <c r="FX8" s="9" t="s">
        <v>627</v>
      </c>
      <c r="FZ8" s="9" t="s">
        <v>28</v>
      </c>
      <c r="GA8" s="9" t="s">
        <v>28</v>
      </c>
      <c r="GB8" s="9" t="s">
        <v>628</v>
      </c>
      <c r="HO8" s="9" t="s">
        <v>767</v>
      </c>
      <c r="HP8" s="9" t="s">
        <v>28</v>
      </c>
      <c r="HQ8" s="9" t="s">
        <v>634</v>
      </c>
      <c r="HR8" s="9" t="s">
        <v>25</v>
      </c>
      <c r="HS8" s="9" t="s">
        <v>28</v>
      </c>
      <c r="HU8" s="9" t="s">
        <v>25</v>
      </c>
      <c r="HV8" s="9" t="s">
        <v>25</v>
      </c>
      <c r="HW8" s="9" t="s">
        <v>25</v>
      </c>
      <c r="HX8" s="9" t="s">
        <v>25</v>
      </c>
      <c r="HZ8" s="9" t="s">
        <v>635</v>
      </c>
      <c r="IA8" s="9" t="s">
        <v>25</v>
      </c>
      <c r="IB8" s="9" t="s">
        <v>636</v>
      </c>
      <c r="IC8" s="9" t="s">
        <v>637</v>
      </c>
      <c r="IR8" s="9" t="s">
        <v>862</v>
      </c>
      <c r="IS8" s="9" t="s">
        <v>784</v>
      </c>
      <c r="IT8" s="9" t="s">
        <v>733</v>
      </c>
      <c r="IU8" s="9" t="s">
        <v>702</v>
      </c>
      <c r="IV8" s="9" t="s">
        <v>702</v>
      </c>
      <c r="IW8" s="9" t="s">
        <v>640</v>
      </c>
      <c r="IX8" s="9" t="s">
        <v>640</v>
      </c>
      <c r="IY8" s="9" t="s">
        <v>769</v>
      </c>
      <c r="IZ8" s="9" t="s">
        <v>769</v>
      </c>
      <c r="JA8" s="9" t="s">
        <v>704</v>
      </c>
      <c r="JB8" s="9" t="s">
        <v>642</v>
      </c>
    </row>
    <row r="9" spans="1:262" ht="89.25" x14ac:dyDescent="0.2">
      <c r="A9" s="8" t="s">
        <v>154</v>
      </c>
      <c r="B9" s="9" t="s">
        <v>25</v>
      </c>
      <c r="S9" s="9" t="s">
        <v>13316</v>
      </c>
      <c r="T9" s="9" t="s">
        <v>595</v>
      </c>
      <c r="U9" s="9" t="s">
        <v>1072</v>
      </c>
      <c r="W9" s="9" t="s">
        <v>644</v>
      </c>
      <c r="AB9" s="9" t="s">
        <v>673</v>
      </c>
      <c r="AD9" s="9" t="s">
        <v>646</v>
      </c>
      <c r="AF9" s="9" t="s">
        <v>714</v>
      </c>
      <c r="AH9" s="9" t="s">
        <v>599</v>
      </c>
      <c r="AI9" s="9" t="s">
        <v>607</v>
      </c>
      <c r="AK9" s="9" t="s">
        <v>28</v>
      </c>
      <c r="AL9" s="9">
        <v>15</v>
      </c>
      <c r="AM9" s="9" t="s">
        <v>25</v>
      </c>
      <c r="AO9" s="9" t="s">
        <v>1073</v>
      </c>
      <c r="AP9" s="9" t="s">
        <v>1074</v>
      </c>
      <c r="AQ9" s="9" t="s">
        <v>1075</v>
      </c>
      <c r="AS9" s="9" t="s">
        <v>25</v>
      </c>
      <c r="BF9" s="9" t="s">
        <v>864</v>
      </c>
      <c r="BG9" s="9" t="s">
        <v>28</v>
      </c>
      <c r="BJ9" s="9" t="s">
        <v>603</v>
      </c>
      <c r="BL9" s="9" t="s">
        <v>741</v>
      </c>
      <c r="BM9" s="9" t="s">
        <v>604</v>
      </c>
      <c r="BN9" s="9" t="s">
        <v>604</v>
      </c>
      <c r="BO9" s="9" t="s">
        <v>741</v>
      </c>
      <c r="BP9" s="9" t="s">
        <v>741</v>
      </c>
      <c r="BQ9" s="9" t="s">
        <v>604</v>
      </c>
      <c r="BS9" s="9" t="s">
        <v>1076</v>
      </c>
      <c r="BT9" s="9" t="s">
        <v>1077</v>
      </c>
      <c r="BU9" s="9" t="s">
        <v>609</v>
      </c>
      <c r="BW9" s="9" t="s">
        <v>1064</v>
      </c>
      <c r="BX9" s="9" t="s">
        <v>28</v>
      </c>
      <c r="BY9" s="9" t="s">
        <v>644</v>
      </c>
      <c r="CD9" s="9" t="s">
        <v>673</v>
      </c>
      <c r="CF9" s="9" t="s">
        <v>646</v>
      </c>
      <c r="CH9" s="9" t="s">
        <v>1078</v>
      </c>
      <c r="CJ9" s="9" t="s">
        <v>856</v>
      </c>
      <c r="CL9" s="9" t="s">
        <v>611</v>
      </c>
      <c r="CM9" s="9" t="s">
        <v>612</v>
      </c>
      <c r="CN9" s="9" t="s">
        <v>1079</v>
      </c>
      <c r="ED9" s="9" t="s">
        <v>618</v>
      </c>
      <c r="EE9" s="9" t="s">
        <v>650</v>
      </c>
      <c r="EF9" s="9" t="s">
        <v>25</v>
      </c>
      <c r="EG9" s="9" t="s">
        <v>25</v>
      </c>
      <c r="EH9" s="9" t="s">
        <v>25</v>
      </c>
      <c r="EL9" s="9" t="s">
        <v>28</v>
      </c>
      <c r="EM9" s="9" t="s">
        <v>25</v>
      </c>
      <c r="EP9" s="9" t="s">
        <v>25</v>
      </c>
      <c r="ER9" s="9" t="s">
        <v>25</v>
      </c>
      <c r="ET9" s="9" t="s">
        <v>28</v>
      </c>
      <c r="EU9" s="9" t="s">
        <v>750</v>
      </c>
      <c r="FB9" s="9" t="s">
        <v>28</v>
      </c>
      <c r="FF9" s="9" t="s">
        <v>13372</v>
      </c>
      <c r="FG9" s="9" t="s">
        <v>28</v>
      </c>
      <c r="FH9" s="9" t="s">
        <v>653</v>
      </c>
      <c r="FI9" s="42">
        <v>2500</v>
      </c>
      <c r="FJ9" s="9" t="s">
        <v>25</v>
      </c>
      <c r="FL9" s="9" t="s">
        <v>624</v>
      </c>
      <c r="FM9" s="9" t="s">
        <v>13383</v>
      </c>
      <c r="FN9" s="9" t="s">
        <v>658</v>
      </c>
      <c r="FO9" s="9" t="s">
        <v>657</v>
      </c>
      <c r="FP9" s="9" t="s">
        <v>657</v>
      </c>
      <c r="FQ9" s="9" t="s">
        <v>658</v>
      </c>
      <c r="FR9" s="9" t="s">
        <v>658</v>
      </c>
      <c r="FT9" s="9" t="s">
        <v>658</v>
      </c>
      <c r="FU9" s="9" t="s">
        <v>659</v>
      </c>
      <c r="FV9" s="9" t="s">
        <v>1080</v>
      </c>
      <c r="FW9" s="39">
        <v>100</v>
      </c>
      <c r="FX9" s="9" t="s">
        <v>627</v>
      </c>
      <c r="FZ9" s="9" t="s">
        <v>28</v>
      </c>
      <c r="GA9" s="9" t="s">
        <v>28</v>
      </c>
      <c r="GB9" s="9" t="s">
        <v>628</v>
      </c>
      <c r="GC9" s="9" t="s">
        <v>25</v>
      </c>
      <c r="GD9" s="9" t="s">
        <v>28</v>
      </c>
      <c r="GE9" s="9" t="s">
        <v>28</v>
      </c>
      <c r="GF9" s="9" t="s">
        <v>28</v>
      </c>
      <c r="GG9" s="9" t="s">
        <v>25</v>
      </c>
      <c r="GH9" s="9" t="s">
        <v>28</v>
      </c>
      <c r="GI9" s="9" t="s">
        <v>28</v>
      </c>
      <c r="GJ9" s="9" t="s">
        <v>28</v>
      </c>
      <c r="GK9" s="9" t="s">
        <v>28</v>
      </c>
      <c r="GL9" s="9" t="s">
        <v>629</v>
      </c>
      <c r="GM9" s="9" t="s">
        <v>629</v>
      </c>
      <c r="GN9" s="9" t="s">
        <v>630</v>
      </c>
      <c r="GO9" s="9" t="s">
        <v>630</v>
      </c>
      <c r="GP9" s="9" t="s">
        <v>630</v>
      </c>
      <c r="GQ9" s="9" t="s">
        <v>631</v>
      </c>
      <c r="GR9" s="9" t="s">
        <v>631</v>
      </c>
      <c r="GS9" s="9" t="s">
        <v>609</v>
      </c>
      <c r="GT9" s="9" t="s">
        <v>609</v>
      </c>
      <c r="GU9" s="9" t="s">
        <v>609</v>
      </c>
      <c r="GV9" s="9" t="s">
        <v>609</v>
      </c>
      <c r="GW9" s="9" t="s">
        <v>609</v>
      </c>
      <c r="GX9" s="9" t="s">
        <v>609</v>
      </c>
      <c r="GY9" s="9" t="s">
        <v>609</v>
      </c>
      <c r="GZ9" s="9" t="s">
        <v>609</v>
      </c>
      <c r="HA9" s="9" t="s">
        <v>609</v>
      </c>
      <c r="HB9" s="9" t="s">
        <v>609</v>
      </c>
      <c r="HC9" s="9" t="s">
        <v>609</v>
      </c>
      <c r="HD9" s="9" t="s">
        <v>609</v>
      </c>
      <c r="HE9" s="9" t="s">
        <v>630</v>
      </c>
      <c r="HF9" s="9" t="s">
        <v>630</v>
      </c>
      <c r="HG9" s="9" t="s">
        <v>631</v>
      </c>
      <c r="HH9" s="9" t="s">
        <v>609</v>
      </c>
      <c r="HO9" s="9" t="s">
        <v>633</v>
      </c>
      <c r="HP9" s="9" t="s">
        <v>28</v>
      </c>
      <c r="HQ9" s="9" t="s">
        <v>29</v>
      </c>
      <c r="HR9" s="9" t="s">
        <v>25</v>
      </c>
      <c r="HS9" s="9" t="s">
        <v>28</v>
      </c>
      <c r="HT9" s="9" t="s">
        <v>25</v>
      </c>
      <c r="HU9" s="9" t="s">
        <v>25</v>
      </c>
      <c r="HV9" s="9" t="s">
        <v>25</v>
      </c>
      <c r="HW9" s="9" t="s">
        <v>25</v>
      </c>
      <c r="HX9" s="9" t="s">
        <v>25</v>
      </c>
      <c r="HZ9" s="9" t="s">
        <v>635</v>
      </c>
      <c r="IA9" s="9" t="s">
        <v>25</v>
      </c>
      <c r="IB9" s="9" t="s">
        <v>636</v>
      </c>
      <c r="IC9" s="9" t="s">
        <v>826</v>
      </c>
      <c r="IG9" s="9" t="s">
        <v>730</v>
      </c>
      <c r="IH9" s="11">
        <v>1</v>
      </c>
      <c r="II9" s="11">
        <v>0.25</v>
      </c>
      <c r="IJ9" s="9" t="s">
        <v>13405</v>
      </c>
      <c r="IK9" s="9" t="s">
        <v>805</v>
      </c>
      <c r="IL9" s="9" t="s">
        <v>731</v>
      </c>
      <c r="IM9" s="9" t="s">
        <v>731</v>
      </c>
      <c r="IN9" s="9" t="s">
        <v>731</v>
      </c>
      <c r="IR9" s="9" t="s">
        <v>838</v>
      </c>
      <c r="IS9" s="9" t="s">
        <v>639</v>
      </c>
      <c r="IT9" s="9" t="s">
        <v>712</v>
      </c>
      <c r="IU9" s="9">
        <v>0</v>
      </c>
      <c r="IV9" s="49" t="s">
        <v>9336</v>
      </c>
      <c r="IW9" s="9" t="s">
        <v>640</v>
      </c>
      <c r="IX9" s="9" t="s">
        <v>640</v>
      </c>
      <c r="IY9" s="9" t="s">
        <v>640</v>
      </c>
      <c r="IZ9" s="9" t="s">
        <v>703</v>
      </c>
      <c r="JA9" s="9" t="s">
        <v>1081</v>
      </c>
      <c r="JB9" s="9" t="s">
        <v>672</v>
      </c>
    </row>
    <row r="10" spans="1:262" ht="76.5" x14ac:dyDescent="0.2">
      <c r="A10" s="8" t="s">
        <v>170</v>
      </c>
      <c r="B10" s="9" t="s">
        <v>25</v>
      </c>
      <c r="S10" s="9" t="s">
        <v>1191</v>
      </c>
      <c r="T10" s="9" t="s">
        <v>595</v>
      </c>
      <c r="U10" s="9" t="s">
        <v>28</v>
      </c>
      <c r="V10" s="39">
        <v>20000</v>
      </c>
      <c r="W10" s="9" t="s">
        <v>29</v>
      </c>
      <c r="X10" s="9" t="s">
        <v>1192</v>
      </c>
      <c r="Y10" s="39">
        <v>20000</v>
      </c>
      <c r="Z10" s="39">
        <v>20000</v>
      </c>
      <c r="AA10" s="9">
        <v>20000</v>
      </c>
      <c r="AB10" s="9" t="s">
        <v>673</v>
      </c>
      <c r="AD10" s="9" t="s">
        <v>29</v>
      </c>
      <c r="AE10" s="9" t="s">
        <v>1193</v>
      </c>
      <c r="AF10" s="9" t="s">
        <v>926</v>
      </c>
      <c r="AT10" s="9" t="s">
        <v>25</v>
      </c>
      <c r="AU10" s="9" t="s">
        <v>739</v>
      </c>
      <c r="AV10" s="9" t="s">
        <v>739</v>
      </c>
      <c r="AW10" s="9" t="s">
        <v>740</v>
      </c>
      <c r="AX10" s="39">
        <v>20000</v>
      </c>
      <c r="AZ10" s="9" t="s">
        <v>679</v>
      </c>
      <c r="BA10" s="9" t="s">
        <v>604</v>
      </c>
      <c r="BB10" s="9" t="s">
        <v>604</v>
      </c>
      <c r="BC10" s="9" t="s">
        <v>679</v>
      </c>
      <c r="BD10" s="9" t="s">
        <v>741</v>
      </c>
      <c r="BE10" s="9" t="s">
        <v>604</v>
      </c>
      <c r="BG10" s="9" t="s">
        <v>25</v>
      </c>
      <c r="BH10" s="9" t="s">
        <v>739</v>
      </c>
      <c r="BI10" s="9" t="s">
        <v>739</v>
      </c>
      <c r="BJ10" s="9" t="s">
        <v>603</v>
      </c>
      <c r="BL10" s="9" t="s">
        <v>679</v>
      </c>
      <c r="BM10" s="9" t="s">
        <v>604</v>
      </c>
      <c r="BN10" s="9" t="s">
        <v>604</v>
      </c>
      <c r="BO10" s="9" t="s">
        <v>679</v>
      </c>
      <c r="BP10" s="9" t="s">
        <v>679</v>
      </c>
      <c r="BQ10" s="9" t="s">
        <v>604</v>
      </c>
      <c r="BX10" s="9" t="s">
        <v>28</v>
      </c>
      <c r="BY10" s="9" t="s">
        <v>29</v>
      </c>
      <c r="BZ10" s="9" t="s">
        <v>1194</v>
      </c>
      <c r="CA10" s="39">
        <v>20000</v>
      </c>
      <c r="CB10" s="39">
        <v>20000</v>
      </c>
      <c r="CD10" s="9" t="s">
        <v>673</v>
      </c>
      <c r="CF10" s="9" t="s">
        <v>29</v>
      </c>
      <c r="CG10" s="9" t="s">
        <v>1193</v>
      </c>
      <c r="CH10" s="9" t="s">
        <v>777</v>
      </c>
      <c r="CJ10" s="9" t="s">
        <v>856</v>
      </c>
      <c r="CL10" s="9" t="s">
        <v>686</v>
      </c>
      <c r="ED10" s="9" t="s">
        <v>695</v>
      </c>
      <c r="EE10" s="9" t="s">
        <v>650</v>
      </c>
      <c r="EF10" s="9" t="s">
        <v>25</v>
      </c>
      <c r="EG10" s="9" t="s">
        <v>25</v>
      </c>
      <c r="EH10" s="9" t="s">
        <v>25</v>
      </c>
      <c r="EL10" s="9" t="s">
        <v>28</v>
      </c>
      <c r="EM10" s="9" t="s">
        <v>1069</v>
      </c>
      <c r="FC10" s="39">
        <v>1000</v>
      </c>
      <c r="FD10" s="9" t="s">
        <v>724</v>
      </c>
      <c r="FF10" s="9" t="s">
        <v>1195</v>
      </c>
      <c r="FL10" s="9" t="s">
        <v>1196</v>
      </c>
      <c r="FM10" s="9" t="s">
        <v>1197</v>
      </c>
      <c r="FN10" s="9" t="s">
        <v>657</v>
      </c>
      <c r="FO10" s="9" t="s">
        <v>657</v>
      </c>
      <c r="FV10" s="9" t="s">
        <v>1198</v>
      </c>
      <c r="FW10" s="39">
        <v>135</v>
      </c>
      <c r="GB10" s="9" t="s">
        <v>628</v>
      </c>
      <c r="HP10" s="9" t="s">
        <v>1015</v>
      </c>
      <c r="IC10" s="9" t="s">
        <v>635</v>
      </c>
      <c r="IT10" s="9" t="s">
        <v>13409</v>
      </c>
      <c r="IV10" s="49" t="s">
        <v>9336</v>
      </c>
      <c r="IW10" s="9" t="s">
        <v>640</v>
      </c>
      <c r="IX10" s="9" t="s">
        <v>640</v>
      </c>
      <c r="IY10" s="9" t="s">
        <v>703</v>
      </c>
      <c r="IZ10" s="9" t="s">
        <v>703</v>
      </c>
      <c r="JA10" s="9" t="s">
        <v>704</v>
      </c>
      <c r="JB10" s="9" t="s">
        <v>672</v>
      </c>
    </row>
    <row r="11" spans="1:262" ht="102" x14ac:dyDescent="0.2">
      <c r="A11" s="8" t="s">
        <v>176</v>
      </c>
      <c r="B11" s="9" t="s">
        <v>25</v>
      </c>
      <c r="S11" s="9" t="s">
        <v>13344</v>
      </c>
      <c r="T11" s="9" t="s">
        <v>770</v>
      </c>
      <c r="U11" s="9" t="s">
        <v>1072</v>
      </c>
      <c r="W11" s="9" t="s">
        <v>29</v>
      </c>
      <c r="X11" s="9" t="s">
        <v>1221</v>
      </c>
      <c r="AB11" s="9" t="s">
        <v>645</v>
      </c>
      <c r="AD11" s="9" t="s">
        <v>646</v>
      </c>
      <c r="AF11" s="9" t="s">
        <v>829</v>
      </c>
      <c r="AH11" s="9" t="s">
        <v>1028</v>
      </c>
      <c r="AI11" s="9" t="s">
        <v>819</v>
      </c>
      <c r="AK11" s="9" t="s">
        <v>28</v>
      </c>
      <c r="AL11" s="9">
        <v>10</v>
      </c>
      <c r="AM11" s="9" t="s">
        <v>28</v>
      </c>
      <c r="AN11" s="39">
        <v>75</v>
      </c>
      <c r="AO11" s="9" t="s">
        <v>1222</v>
      </c>
      <c r="AP11" s="9">
        <v>10</v>
      </c>
      <c r="AQ11" s="9" t="s">
        <v>1223</v>
      </c>
      <c r="AS11" s="9" t="s">
        <v>601</v>
      </c>
      <c r="AT11" s="9" t="s">
        <v>25</v>
      </c>
      <c r="AU11" s="9" t="s">
        <v>602</v>
      </c>
      <c r="AV11" s="9" t="s">
        <v>602</v>
      </c>
      <c r="AW11" s="9" t="s">
        <v>740</v>
      </c>
      <c r="AX11" s="39">
        <v>20000</v>
      </c>
      <c r="AZ11" s="9" t="s">
        <v>605</v>
      </c>
      <c r="BA11" s="9" t="s">
        <v>605</v>
      </c>
      <c r="BB11" s="9" t="s">
        <v>604</v>
      </c>
      <c r="BC11" s="9" t="s">
        <v>605</v>
      </c>
      <c r="BD11" s="9" t="s">
        <v>606</v>
      </c>
      <c r="BE11" s="9" t="s">
        <v>605</v>
      </c>
      <c r="BF11" s="9" t="s">
        <v>601</v>
      </c>
      <c r="BG11" s="9" t="s">
        <v>25</v>
      </c>
      <c r="BH11" s="9" t="s">
        <v>602</v>
      </c>
      <c r="BI11" s="9" t="s">
        <v>602</v>
      </c>
      <c r="BJ11" s="9" t="s">
        <v>28</v>
      </c>
      <c r="BK11" s="39">
        <v>20000</v>
      </c>
      <c r="BL11" s="9" t="s">
        <v>605</v>
      </c>
      <c r="BM11" s="9" t="s">
        <v>605</v>
      </c>
      <c r="BN11" s="9" t="s">
        <v>604</v>
      </c>
      <c r="BO11" s="9" t="s">
        <v>605</v>
      </c>
      <c r="BP11" s="9" t="s">
        <v>605</v>
      </c>
      <c r="BQ11" s="9" t="s">
        <v>605</v>
      </c>
      <c r="BR11" s="9" t="s">
        <v>607</v>
      </c>
      <c r="BT11" s="9" t="s">
        <v>1224</v>
      </c>
      <c r="BW11" s="9" t="s">
        <v>1225</v>
      </c>
      <c r="BX11" s="9" t="s">
        <v>28</v>
      </c>
      <c r="BY11" s="9" t="s">
        <v>29</v>
      </c>
      <c r="BZ11" s="9" t="s">
        <v>1221</v>
      </c>
      <c r="CB11" s="39">
        <v>20000</v>
      </c>
      <c r="CD11" s="9" t="s">
        <v>734</v>
      </c>
      <c r="CF11" s="9" t="s">
        <v>646</v>
      </c>
      <c r="CH11" s="9" t="s">
        <v>684</v>
      </c>
      <c r="CI11" s="9" t="s">
        <v>1226</v>
      </c>
      <c r="CJ11" s="9" t="s">
        <v>72</v>
      </c>
      <c r="CL11" s="9" t="s">
        <v>1227</v>
      </c>
      <c r="CM11" s="9" t="s">
        <v>13356</v>
      </c>
      <c r="CN11" s="9" t="s">
        <v>1228</v>
      </c>
      <c r="CO11" s="9" t="s">
        <v>688</v>
      </c>
      <c r="CV11" s="9" t="s">
        <v>758</v>
      </c>
      <c r="CW11" s="9" t="s">
        <v>743</v>
      </c>
      <c r="CX11" s="9" t="s">
        <v>1229</v>
      </c>
      <c r="CZ11" s="9" t="s">
        <v>1230</v>
      </c>
      <c r="DA11" s="9" t="s">
        <v>893</v>
      </c>
      <c r="DC11" s="9" t="s">
        <v>743</v>
      </c>
      <c r="DE11" s="9" t="s">
        <v>25</v>
      </c>
      <c r="DQ11" s="9" t="s">
        <v>29</v>
      </c>
      <c r="DR11" s="9" t="s">
        <v>1231</v>
      </c>
      <c r="DS11" s="9" t="s">
        <v>692</v>
      </c>
      <c r="DU11" s="9" t="s">
        <v>693</v>
      </c>
      <c r="DW11" s="9" t="s">
        <v>759</v>
      </c>
      <c r="DX11" s="9" t="s">
        <v>1232</v>
      </c>
      <c r="DY11" s="9" t="s">
        <v>607</v>
      </c>
      <c r="EB11" s="9" t="s">
        <v>25</v>
      </c>
      <c r="ED11" s="9" t="s">
        <v>618</v>
      </c>
      <c r="EE11" s="9" t="s">
        <v>650</v>
      </c>
      <c r="EF11" s="9" t="s">
        <v>25</v>
      </c>
      <c r="EG11" s="9" t="s">
        <v>25</v>
      </c>
      <c r="EH11" s="9" t="s">
        <v>25</v>
      </c>
      <c r="EL11" s="9" t="s">
        <v>25</v>
      </c>
      <c r="EM11" s="9" t="s">
        <v>651</v>
      </c>
      <c r="EN11" s="9" t="s">
        <v>1233</v>
      </c>
      <c r="EO11" s="9" t="s">
        <v>13787</v>
      </c>
      <c r="EP11" s="9" t="s">
        <v>25</v>
      </c>
      <c r="EQ11" s="9" t="s">
        <v>799</v>
      </c>
      <c r="ER11" s="9" t="s">
        <v>25</v>
      </c>
      <c r="ET11" s="9" t="s">
        <v>28</v>
      </c>
      <c r="EU11" s="9" t="s">
        <v>622</v>
      </c>
      <c r="EV11" s="39">
        <v>5250</v>
      </c>
      <c r="EW11" s="39">
        <v>5250</v>
      </c>
      <c r="EX11" s="39">
        <v>5250</v>
      </c>
      <c r="EY11" s="39">
        <v>5250</v>
      </c>
      <c r="EZ11" s="9" t="s">
        <v>28</v>
      </c>
      <c r="FA11" s="9" t="s">
        <v>1234</v>
      </c>
      <c r="FB11" s="9" t="s">
        <v>28</v>
      </c>
      <c r="FF11" s="9" t="s">
        <v>983</v>
      </c>
      <c r="FG11" s="9" t="s">
        <v>28</v>
      </c>
      <c r="FH11" s="9" t="s">
        <v>653</v>
      </c>
      <c r="FI11" s="42">
        <v>10000</v>
      </c>
      <c r="FJ11" s="9" t="s">
        <v>28</v>
      </c>
      <c r="FK11" s="9">
        <v>2</v>
      </c>
      <c r="FL11" s="9" t="s">
        <v>624</v>
      </c>
      <c r="FM11" s="9" t="s">
        <v>13382</v>
      </c>
      <c r="FN11" s="9" t="s">
        <v>659</v>
      </c>
      <c r="FO11" s="9" t="s">
        <v>657</v>
      </c>
      <c r="FQ11" s="9" t="s">
        <v>658</v>
      </c>
      <c r="FR11" s="9" t="s">
        <v>658</v>
      </c>
      <c r="FS11" s="9" t="s">
        <v>657</v>
      </c>
      <c r="FT11" s="9" t="s">
        <v>659</v>
      </c>
      <c r="FU11" s="9" t="s">
        <v>657</v>
      </c>
      <c r="FV11" s="9" t="s">
        <v>1235</v>
      </c>
      <c r="FW11" s="39">
        <v>330</v>
      </c>
      <c r="FX11" s="9" t="s">
        <v>661</v>
      </c>
      <c r="FY11" s="9" t="s">
        <v>662</v>
      </c>
      <c r="FZ11" s="9" t="s">
        <v>25</v>
      </c>
      <c r="GA11" s="9" t="s">
        <v>28</v>
      </c>
      <c r="GL11" s="9" t="s">
        <v>629</v>
      </c>
      <c r="GM11" s="9" t="s">
        <v>630</v>
      </c>
      <c r="GN11" s="9" t="s">
        <v>630</v>
      </c>
      <c r="GO11" s="9" t="s">
        <v>630</v>
      </c>
      <c r="GP11" s="9" t="s">
        <v>631</v>
      </c>
      <c r="GQ11" s="9" t="s">
        <v>631</v>
      </c>
      <c r="GR11" s="9" t="s">
        <v>631</v>
      </c>
      <c r="GS11" s="9" t="s">
        <v>631</v>
      </c>
      <c r="GT11" s="9" t="s">
        <v>631</v>
      </c>
      <c r="GU11" s="9" t="s">
        <v>631</v>
      </c>
      <c r="GV11" s="9" t="s">
        <v>609</v>
      </c>
      <c r="GW11" s="9" t="s">
        <v>629</v>
      </c>
      <c r="GX11" s="9" t="s">
        <v>631</v>
      </c>
      <c r="GY11" s="9" t="s">
        <v>631</v>
      </c>
      <c r="GZ11" s="9" t="s">
        <v>609</v>
      </c>
      <c r="HA11" s="9" t="s">
        <v>631</v>
      </c>
      <c r="HB11" s="9" t="s">
        <v>609</v>
      </c>
      <c r="HC11" s="9" t="s">
        <v>631</v>
      </c>
      <c r="HD11" s="9" t="s">
        <v>631</v>
      </c>
      <c r="HE11" s="9" t="s">
        <v>630</v>
      </c>
      <c r="HF11" s="9" t="s">
        <v>630</v>
      </c>
      <c r="HG11" s="9" t="s">
        <v>630</v>
      </c>
      <c r="HH11" s="9" t="s">
        <v>630</v>
      </c>
      <c r="HI11" s="9" t="s">
        <v>726</v>
      </c>
      <c r="HJ11" s="9" t="s">
        <v>727</v>
      </c>
      <c r="HM11" s="9" t="s">
        <v>1236</v>
      </c>
      <c r="HO11" s="9" t="s">
        <v>1237</v>
      </c>
      <c r="HP11" s="9" t="s">
        <v>28</v>
      </c>
      <c r="HQ11" s="9" t="s">
        <v>668</v>
      </c>
      <c r="HR11" s="9" t="s">
        <v>25</v>
      </c>
      <c r="HS11" s="9" t="s">
        <v>28</v>
      </c>
      <c r="HT11" s="9" t="s">
        <v>25</v>
      </c>
      <c r="HU11" s="9" t="s">
        <v>25</v>
      </c>
      <c r="HV11" s="9" t="s">
        <v>28</v>
      </c>
      <c r="HW11" s="9" t="s">
        <v>25</v>
      </c>
      <c r="HX11" s="9" t="s">
        <v>25</v>
      </c>
      <c r="HZ11" s="9" t="s">
        <v>635</v>
      </c>
      <c r="IA11" s="9" t="s">
        <v>25</v>
      </c>
      <c r="IB11" s="9" t="s">
        <v>670</v>
      </c>
      <c r="IC11" s="9" t="s">
        <v>637</v>
      </c>
      <c r="IR11" s="9" t="s">
        <v>838</v>
      </c>
      <c r="IS11" s="9" t="s">
        <v>639</v>
      </c>
      <c r="IT11" s="9" t="s">
        <v>754</v>
      </c>
      <c r="IU11" s="49" t="s">
        <v>9336</v>
      </c>
      <c r="IV11" s="49" t="s">
        <v>9336</v>
      </c>
      <c r="IW11" s="9" t="s">
        <v>640</v>
      </c>
      <c r="IX11" s="9" t="s">
        <v>640</v>
      </c>
      <c r="IY11" s="9" t="s">
        <v>703</v>
      </c>
      <c r="IZ11" s="9" t="s">
        <v>703</v>
      </c>
      <c r="JA11" s="9" t="s">
        <v>851</v>
      </c>
      <c r="JB11" s="9" t="s">
        <v>642</v>
      </c>
    </row>
    <row r="12" spans="1:262" ht="102" x14ac:dyDescent="0.2">
      <c r="A12" s="8" t="s">
        <v>175</v>
      </c>
      <c r="B12" s="9" t="s">
        <v>28</v>
      </c>
      <c r="C12" s="9" t="s">
        <v>25</v>
      </c>
      <c r="D12" s="9" t="s">
        <v>25</v>
      </c>
      <c r="E12" s="9" t="s">
        <v>25</v>
      </c>
      <c r="F12" s="9" t="s">
        <v>25</v>
      </c>
      <c r="G12" s="9" t="s">
        <v>25</v>
      </c>
      <c r="H12" s="9" t="s">
        <v>25</v>
      </c>
      <c r="I12" s="9" t="s">
        <v>25</v>
      </c>
      <c r="J12" s="9" t="s">
        <v>28</v>
      </c>
      <c r="K12" s="9" t="s">
        <v>25</v>
      </c>
      <c r="L12" s="9" t="s">
        <v>25</v>
      </c>
      <c r="M12" s="9" t="s">
        <v>25</v>
      </c>
      <c r="N12" s="9" t="s">
        <v>25</v>
      </c>
      <c r="O12" s="9" t="s">
        <v>25</v>
      </c>
      <c r="P12" s="9" t="s">
        <v>25</v>
      </c>
      <c r="Q12" s="9" t="s">
        <v>25</v>
      </c>
      <c r="R12" s="9" t="s">
        <v>25</v>
      </c>
      <c r="S12" s="9" t="s">
        <v>13343</v>
      </c>
      <c r="T12" s="9" t="s">
        <v>595</v>
      </c>
      <c r="U12" s="9" t="s">
        <v>28</v>
      </c>
      <c r="V12" s="39">
        <v>10000</v>
      </c>
      <c r="W12" s="9" t="s">
        <v>644</v>
      </c>
      <c r="Y12" s="39">
        <v>10000</v>
      </c>
      <c r="AB12" s="9" t="s">
        <v>673</v>
      </c>
      <c r="AD12" s="9" t="s">
        <v>646</v>
      </c>
      <c r="AF12" s="9" t="s">
        <v>771</v>
      </c>
      <c r="AH12" s="9" t="s">
        <v>599</v>
      </c>
      <c r="AI12" s="9" t="s">
        <v>607</v>
      </c>
      <c r="AK12" s="9" t="s">
        <v>28</v>
      </c>
      <c r="AL12" s="9">
        <v>6</v>
      </c>
      <c r="AM12" s="9" t="s">
        <v>28</v>
      </c>
      <c r="AN12" s="39">
        <v>500</v>
      </c>
      <c r="AO12" s="9" t="s">
        <v>1218</v>
      </c>
      <c r="AR12" s="9" t="s">
        <v>1219</v>
      </c>
      <c r="BT12" s="9" t="s">
        <v>742</v>
      </c>
      <c r="BU12" s="9" t="s">
        <v>609</v>
      </c>
      <c r="BX12" s="9" t="s">
        <v>28</v>
      </c>
      <c r="BY12" s="9" t="s">
        <v>644</v>
      </c>
      <c r="CA12" s="39">
        <v>10000</v>
      </c>
      <c r="CD12" s="9" t="s">
        <v>673</v>
      </c>
      <c r="CF12" s="9" t="s">
        <v>646</v>
      </c>
      <c r="ED12" s="9" t="s">
        <v>618</v>
      </c>
      <c r="EE12" s="9" t="s">
        <v>650</v>
      </c>
      <c r="EF12" s="9" t="s">
        <v>25</v>
      </c>
      <c r="EG12" s="9" t="s">
        <v>25</v>
      </c>
      <c r="EH12" s="9" t="s">
        <v>25</v>
      </c>
      <c r="EL12" s="9" t="s">
        <v>28</v>
      </c>
      <c r="EM12" s="9" t="s">
        <v>651</v>
      </c>
      <c r="EN12" s="9" t="s">
        <v>761</v>
      </c>
      <c r="EP12" s="9" t="s">
        <v>28</v>
      </c>
      <c r="EQ12" s="9" t="s">
        <v>653</v>
      </c>
      <c r="ER12" s="9" t="s">
        <v>28</v>
      </c>
      <c r="ES12" s="9" t="s">
        <v>749</v>
      </c>
      <c r="ET12" s="9" t="s">
        <v>28</v>
      </c>
      <c r="EU12" s="9" t="s">
        <v>622</v>
      </c>
      <c r="EV12" s="39">
        <v>5250</v>
      </c>
      <c r="EW12" s="39">
        <v>5250</v>
      </c>
      <c r="EX12" s="39">
        <v>5250</v>
      </c>
      <c r="EY12" s="39">
        <v>5250</v>
      </c>
      <c r="EZ12" s="9" t="s">
        <v>607</v>
      </c>
      <c r="FB12" s="9" t="s">
        <v>28</v>
      </c>
      <c r="FF12" s="9" t="s">
        <v>877</v>
      </c>
      <c r="FG12" s="9" t="s">
        <v>28</v>
      </c>
      <c r="FH12" s="9" t="s">
        <v>653</v>
      </c>
      <c r="FI12" s="42">
        <v>5000</v>
      </c>
      <c r="FJ12" s="9" t="s">
        <v>28</v>
      </c>
      <c r="FK12" s="9">
        <v>5</v>
      </c>
      <c r="FL12" s="9" t="s">
        <v>624</v>
      </c>
      <c r="FM12" s="9" t="s">
        <v>779</v>
      </c>
      <c r="FN12" s="9" t="s">
        <v>659</v>
      </c>
      <c r="FO12" s="9" t="s">
        <v>659</v>
      </c>
      <c r="FT12" s="9" t="s">
        <v>657</v>
      </c>
      <c r="FV12" s="9" t="s">
        <v>1220</v>
      </c>
      <c r="FW12" s="39">
        <v>270</v>
      </c>
      <c r="FX12" s="9" t="s">
        <v>627</v>
      </c>
      <c r="FZ12" s="9" t="s">
        <v>25</v>
      </c>
      <c r="GB12" s="9" t="s">
        <v>663</v>
      </c>
      <c r="GL12" s="9" t="s">
        <v>629</v>
      </c>
      <c r="GM12" s="9" t="s">
        <v>629</v>
      </c>
      <c r="GN12" s="9" t="s">
        <v>630</v>
      </c>
      <c r="GO12" s="9" t="s">
        <v>630</v>
      </c>
      <c r="GP12" s="9" t="s">
        <v>630</v>
      </c>
      <c r="GQ12" s="9" t="s">
        <v>631</v>
      </c>
      <c r="GR12" s="9" t="s">
        <v>631</v>
      </c>
      <c r="GS12" s="9" t="s">
        <v>609</v>
      </c>
      <c r="GT12" s="9" t="s">
        <v>631</v>
      </c>
      <c r="GU12" s="9" t="s">
        <v>631</v>
      </c>
      <c r="GV12" s="9" t="s">
        <v>631</v>
      </c>
      <c r="GW12" s="9" t="s">
        <v>631</v>
      </c>
      <c r="GX12" s="9" t="s">
        <v>631</v>
      </c>
      <c r="GY12" s="9" t="s">
        <v>631</v>
      </c>
      <c r="GZ12" s="9" t="s">
        <v>609</v>
      </c>
      <c r="HA12" s="9" t="s">
        <v>631</v>
      </c>
      <c r="HB12" s="9" t="s">
        <v>609</v>
      </c>
      <c r="HC12" s="9" t="s">
        <v>631</v>
      </c>
      <c r="HD12" s="9" t="s">
        <v>631</v>
      </c>
      <c r="HE12" s="9" t="s">
        <v>609</v>
      </c>
      <c r="HF12" s="9" t="s">
        <v>631</v>
      </c>
      <c r="HG12" s="9" t="s">
        <v>631</v>
      </c>
      <c r="HH12" s="9" t="s">
        <v>609</v>
      </c>
      <c r="HO12" s="9" t="s">
        <v>13391</v>
      </c>
      <c r="HP12" s="9" t="s">
        <v>28</v>
      </c>
      <c r="HQ12" s="9" t="s">
        <v>804</v>
      </c>
      <c r="HR12" s="9" t="s">
        <v>28</v>
      </c>
      <c r="HS12" s="9" t="s">
        <v>28</v>
      </c>
      <c r="HT12" s="9" t="s">
        <v>25</v>
      </c>
      <c r="HU12" s="9" t="s">
        <v>28</v>
      </c>
      <c r="HV12" s="9" t="s">
        <v>28</v>
      </c>
      <c r="HW12" s="9" t="s">
        <v>25</v>
      </c>
      <c r="HX12" s="9" t="s">
        <v>28</v>
      </c>
      <c r="HY12" s="9" t="s">
        <v>850</v>
      </c>
      <c r="HZ12" s="9" t="s">
        <v>635</v>
      </c>
      <c r="IA12" s="9" t="s">
        <v>25</v>
      </c>
      <c r="IC12" s="9" t="s">
        <v>13793</v>
      </c>
      <c r="ID12" s="9" t="s">
        <v>730</v>
      </c>
      <c r="IE12" s="11">
        <v>1</v>
      </c>
      <c r="IF12" s="11">
        <v>0.22</v>
      </c>
      <c r="IG12" s="9" t="s">
        <v>730</v>
      </c>
      <c r="IH12" s="11">
        <v>1</v>
      </c>
      <c r="II12" s="11">
        <v>0.33</v>
      </c>
      <c r="IJ12" s="9" t="s">
        <v>13803</v>
      </c>
      <c r="IK12" s="9" t="s">
        <v>805</v>
      </c>
      <c r="IL12" s="9" t="s">
        <v>731</v>
      </c>
      <c r="IM12" s="9" t="s">
        <v>731</v>
      </c>
      <c r="IN12" s="9" t="s">
        <v>731</v>
      </c>
      <c r="IO12" s="9" t="s">
        <v>730</v>
      </c>
      <c r="IP12" s="11">
        <v>1</v>
      </c>
      <c r="IQ12" s="11">
        <v>0.15</v>
      </c>
      <c r="IR12" s="9" t="s">
        <v>638</v>
      </c>
      <c r="IS12" s="9" t="s">
        <v>784</v>
      </c>
      <c r="IT12" s="9" t="s">
        <v>737</v>
      </c>
      <c r="IV12" s="49" t="s">
        <v>9336</v>
      </c>
      <c r="IW12" s="9" t="s">
        <v>640</v>
      </c>
      <c r="IX12" s="9" t="s">
        <v>640</v>
      </c>
      <c r="IY12" s="9" t="s">
        <v>640</v>
      </c>
      <c r="IZ12" s="9" t="s">
        <v>640</v>
      </c>
      <c r="JA12" s="9" t="s">
        <v>1190</v>
      </c>
      <c r="JB12" s="9" t="s">
        <v>642</v>
      </c>
    </row>
    <row r="13" spans="1:262" ht="89.25" x14ac:dyDescent="0.2">
      <c r="A13" s="8" t="s">
        <v>121</v>
      </c>
      <c r="B13" s="9" t="s">
        <v>28</v>
      </c>
      <c r="C13" s="9" t="s">
        <v>25</v>
      </c>
      <c r="D13" s="9" t="s">
        <v>28</v>
      </c>
      <c r="E13" s="9" t="s">
        <v>28</v>
      </c>
      <c r="F13" s="9" t="s">
        <v>28</v>
      </c>
      <c r="G13" s="9" t="s">
        <v>25</v>
      </c>
      <c r="H13" s="9" t="s">
        <v>25</v>
      </c>
      <c r="I13" s="9" t="s">
        <v>25</v>
      </c>
      <c r="J13" s="9" t="s">
        <v>28</v>
      </c>
      <c r="K13" s="9" t="s">
        <v>25</v>
      </c>
      <c r="L13" s="9" t="s">
        <v>28</v>
      </c>
      <c r="M13" s="9" t="s">
        <v>25</v>
      </c>
      <c r="N13" s="9" t="s">
        <v>28</v>
      </c>
      <c r="O13" s="9" t="s">
        <v>25</v>
      </c>
      <c r="P13" s="9" t="s">
        <v>28</v>
      </c>
      <c r="Q13" s="9" t="s">
        <v>28</v>
      </c>
      <c r="R13" s="9" t="s">
        <v>25</v>
      </c>
      <c r="S13" s="9" t="s">
        <v>13317</v>
      </c>
      <c r="T13" s="9" t="s">
        <v>595</v>
      </c>
      <c r="U13" s="9" t="s">
        <v>28</v>
      </c>
      <c r="V13" s="39">
        <v>10000</v>
      </c>
      <c r="W13" s="9" t="s">
        <v>644</v>
      </c>
      <c r="Y13" s="39">
        <v>10000</v>
      </c>
      <c r="AB13" s="9" t="s">
        <v>645</v>
      </c>
      <c r="AD13" s="9" t="s">
        <v>13777</v>
      </c>
      <c r="AF13" s="9" t="s">
        <v>714</v>
      </c>
      <c r="AH13" s="9" t="s">
        <v>599</v>
      </c>
      <c r="AI13" s="9" t="s">
        <v>607</v>
      </c>
      <c r="AK13" s="9" t="s">
        <v>28</v>
      </c>
      <c r="AL13" s="9">
        <v>20</v>
      </c>
      <c r="AM13" s="9" t="s">
        <v>28</v>
      </c>
      <c r="AO13" s="9" t="s">
        <v>715</v>
      </c>
      <c r="AP13" s="9">
        <v>20</v>
      </c>
      <c r="AS13" s="9" t="s">
        <v>25</v>
      </c>
      <c r="BF13" s="9" t="s">
        <v>25</v>
      </c>
      <c r="BR13" s="9" t="s">
        <v>607</v>
      </c>
      <c r="BT13" s="9" t="s">
        <v>716</v>
      </c>
      <c r="BV13" s="9" t="s">
        <v>717</v>
      </c>
      <c r="BX13" s="9" t="s">
        <v>28</v>
      </c>
      <c r="BY13" s="9" t="s">
        <v>644</v>
      </c>
      <c r="CA13" s="39">
        <v>10000</v>
      </c>
      <c r="CD13" s="9" t="s">
        <v>645</v>
      </c>
      <c r="CF13" s="9" t="s">
        <v>13350</v>
      </c>
      <c r="CH13" s="9" t="s">
        <v>684</v>
      </c>
      <c r="CI13" s="9" t="s">
        <v>718</v>
      </c>
      <c r="CJ13" s="9" t="s">
        <v>72</v>
      </c>
      <c r="CL13" s="9" t="s">
        <v>611</v>
      </c>
      <c r="CM13" s="9" t="s">
        <v>719</v>
      </c>
      <c r="CO13" s="9" t="s">
        <v>688</v>
      </c>
      <c r="CV13" s="9" t="s">
        <v>720</v>
      </c>
      <c r="DS13" s="9" t="s">
        <v>25</v>
      </c>
      <c r="DW13" s="9" t="s">
        <v>607</v>
      </c>
      <c r="DY13" s="9" t="s">
        <v>607</v>
      </c>
      <c r="EB13" s="9" t="s">
        <v>25</v>
      </c>
      <c r="ED13" s="9" t="s">
        <v>649</v>
      </c>
      <c r="EE13" s="9" t="s">
        <v>650</v>
      </c>
      <c r="EF13" s="9" t="s">
        <v>25</v>
      </c>
      <c r="EG13" s="9" t="s">
        <v>25</v>
      </c>
      <c r="EH13" s="9" t="s">
        <v>25</v>
      </c>
      <c r="EL13" s="9" t="s">
        <v>25</v>
      </c>
      <c r="EM13" s="9" t="s">
        <v>25</v>
      </c>
      <c r="EN13" s="9" t="s">
        <v>721</v>
      </c>
      <c r="EO13" s="9" t="s">
        <v>722</v>
      </c>
      <c r="EP13" s="9" t="s">
        <v>25</v>
      </c>
      <c r="ER13" s="9" t="s">
        <v>25</v>
      </c>
      <c r="ET13" s="9" t="s">
        <v>25</v>
      </c>
      <c r="EV13" s="39">
        <v>5250</v>
      </c>
      <c r="EW13" s="39">
        <v>5250</v>
      </c>
      <c r="EX13" s="39">
        <v>5250</v>
      </c>
      <c r="EY13" s="39">
        <v>5250</v>
      </c>
      <c r="EZ13" s="9" t="s">
        <v>28</v>
      </c>
      <c r="FA13" s="9" t="s">
        <v>723</v>
      </c>
      <c r="FB13" s="9" t="s">
        <v>655</v>
      </c>
      <c r="FC13" s="39">
        <v>1000</v>
      </c>
      <c r="FD13" s="9" t="s">
        <v>724</v>
      </c>
      <c r="FF13" s="9" t="s">
        <v>13367</v>
      </c>
      <c r="FL13" s="9" t="s">
        <v>656</v>
      </c>
      <c r="FM13" s="9" t="s">
        <v>13381</v>
      </c>
      <c r="FV13" s="9" t="s">
        <v>725</v>
      </c>
      <c r="FW13" s="39">
        <v>270</v>
      </c>
      <c r="FX13" s="9" t="s">
        <v>25</v>
      </c>
      <c r="FY13" s="9" t="s">
        <v>662</v>
      </c>
      <c r="FZ13" s="9" t="s">
        <v>25</v>
      </c>
      <c r="GB13" s="9" t="s">
        <v>663</v>
      </c>
      <c r="GC13" s="9" t="s">
        <v>28</v>
      </c>
      <c r="GD13" s="9" t="s">
        <v>28</v>
      </c>
      <c r="GE13" s="9" t="s">
        <v>28</v>
      </c>
      <c r="GF13" s="9" t="s">
        <v>28</v>
      </c>
      <c r="GG13" s="9" t="s">
        <v>25</v>
      </c>
      <c r="GH13" s="9" t="s">
        <v>28</v>
      </c>
      <c r="GI13" s="9" t="s">
        <v>25</v>
      </c>
      <c r="GJ13" s="9" t="s">
        <v>28</v>
      </c>
      <c r="GK13" s="9" t="s">
        <v>28</v>
      </c>
      <c r="HI13" s="9" t="s">
        <v>726</v>
      </c>
      <c r="HJ13" s="9" t="s">
        <v>727</v>
      </c>
      <c r="HM13" s="9" t="s">
        <v>728</v>
      </c>
      <c r="HO13" s="9" t="s">
        <v>633</v>
      </c>
      <c r="HP13" s="9" t="s">
        <v>28</v>
      </c>
      <c r="HQ13" s="9" t="s">
        <v>668</v>
      </c>
      <c r="HR13" s="9" t="s">
        <v>25</v>
      </c>
      <c r="HS13" s="9" t="s">
        <v>28</v>
      </c>
      <c r="HT13" s="9" t="s">
        <v>25</v>
      </c>
      <c r="HU13" s="9" t="s">
        <v>25</v>
      </c>
      <c r="HV13" s="9" t="s">
        <v>25</v>
      </c>
      <c r="HW13" s="9" t="s">
        <v>25</v>
      </c>
      <c r="HX13" s="9" t="s">
        <v>28</v>
      </c>
      <c r="HY13" s="9" t="s">
        <v>729</v>
      </c>
      <c r="HZ13" s="9" t="s">
        <v>635</v>
      </c>
      <c r="IA13" s="9" t="s">
        <v>25</v>
      </c>
      <c r="IB13" s="9" t="s">
        <v>636</v>
      </c>
      <c r="IC13" s="9" t="s">
        <v>13793</v>
      </c>
      <c r="ID13" s="9" t="s">
        <v>730</v>
      </c>
      <c r="IE13" s="11">
        <v>1</v>
      </c>
      <c r="IF13" s="11">
        <v>0.17</v>
      </c>
      <c r="IG13" s="9" t="s">
        <v>730</v>
      </c>
      <c r="IH13" s="11">
        <v>1</v>
      </c>
      <c r="II13" s="11">
        <v>0.15</v>
      </c>
      <c r="IJ13" s="9" t="s">
        <v>13395</v>
      </c>
      <c r="IK13" s="9" t="s">
        <v>731</v>
      </c>
      <c r="IL13" s="9" t="s">
        <v>731</v>
      </c>
      <c r="IM13" s="9" t="s">
        <v>731</v>
      </c>
      <c r="IN13" s="9" t="s">
        <v>731</v>
      </c>
      <c r="IO13" s="9" t="s">
        <v>730</v>
      </c>
      <c r="IP13" s="11">
        <v>1</v>
      </c>
      <c r="IQ13" s="11">
        <v>0.14000000000000001</v>
      </c>
      <c r="IR13" s="9" t="s">
        <v>638</v>
      </c>
      <c r="IS13" s="9" t="s">
        <v>732</v>
      </c>
      <c r="IT13" s="9" t="s">
        <v>733</v>
      </c>
      <c r="IU13" s="49" t="s">
        <v>9336</v>
      </c>
      <c r="IV13" s="49" t="s">
        <v>9336</v>
      </c>
      <c r="IW13" s="9" t="s">
        <v>703</v>
      </c>
      <c r="IX13" s="9" t="s">
        <v>640</v>
      </c>
      <c r="IY13" s="9" t="s">
        <v>640</v>
      </c>
      <c r="IZ13" s="9" t="s">
        <v>640</v>
      </c>
      <c r="JA13" s="9" t="s">
        <v>704</v>
      </c>
      <c r="JB13" s="9" t="s">
        <v>642</v>
      </c>
    </row>
    <row r="14" spans="1:262" ht="51" x14ac:dyDescent="0.2">
      <c r="A14" s="8" t="s">
        <v>147</v>
      </c>
      <c r="B14" s="9" t="s">
        <v>25</v>
      </c>
      <c r="S14" s="9" t="s">
        <v>13332</v>
      </c>
      <c r="T14" s="9" t="s">
        <v>595</v>
      </c>
      <c r="U14" s="9" t="s">
        <v>28</v>
      </c>
      <c r="V14" s="39">
        <v>10000</v>
      </c>
      <c r="W14" s="9" t="s">
        <v>808</v>
      </c>
      <c r="Y14" s="39">
        <v>10000</v>
      </c>
      <c r="AB14" s="9" t="s">
        <v>734</v>
      </c>
      <c r="AD14" s="9" t="s">
        <v>674</v>
      </c>
      <c r="AF14" s="9" t="s">
        <v>756</v>
      </c>
      <c r="AH14" s="9" t="s">
        <v>599</v>
      </c>
      <c r="AI14" s="9" t="s">
        <v>819</v>
      </c>
      <c r="AK14" s="9" t="s">
        <v>28</v>
      </c>
      <c r="AL14" s="9">
        <v>10</v>
      </c>
      <c r="AM14" s="9" t="s">
        <v>25</v>
      </c>
      <c r="AO14" s="9" t="s">
        <v>1011</v>
      </c>
      <c r="AP14" s="9">
        <v>10</v>
      </c>
      <c r="BS14" s="9" t="s">
        <v>1012</v>
      </c>
      <c r="BT14" s="9" t="s">
        <v>998</v>
      </c>
      <c r="BU14" s="9" t="s">
        <v>609</v>
      </c>
      <c r="BX14" s="9" t="s">
        <v>28</v>
      </c>
      <c r="BY14" s="9" t="s">
        <v>644</v>
      </c>
      <c r="CA14" s="39">
        <v>10000</v>
      </c>
      <c r="CD14" s="9" t="s">
        <v>734</v>
      </c>
      <c r="CF14" s="9" t="s">
        <v>683</v>
      </c>
      <c r="CH14" s="9" t="s">
        <v>777</v>
      </c>
      <c r="CJ14" s="9" t="s">
        <v>72</v>
      </c>
      <c r="CL14" s="9" t="s">
        <v>611</v>
      </c>
      <c r="ED14" s="9" t="s">
        <v>649</v>
      </c>
      <c r="EE14" s="9" t="s">
        <v>650</v>
      </c>
      <c r="EF14" s="9" t="s">
        <v>25</v>
      </c>
      <c r="EG14" s="9" t="s">
        <v>25</v>
      </c>
      <c r="EH14" s="9" t="s">
        <v>25</v>
      </c>
      <c r="EL14" s="9" t="s">
        <v>25</v>
      </c>
      <c r="EM14" s="9" t="s">
        <v>25</v>
      </c>
      <c r="EN14" s="9" t="s">
        <v>652</v>
      </c>
      <c r="EP14" s="9" t="s">
        <v>25</v>
      </c>
      <c r="ER14" s="9" t="s">
        <v>25</v>
      </c>
      <c r="ET14" s="9" t="s">
        <v>28</v>
      </c>
      <c r="EU14" s="9" t="s">
        <v>750</v>
      </c>
      <c r="EV14" s="39">
        <v>5250</v>
      </c>
      <c r="EX14" s="39">
        <v>5250</v>
      </c>
      <c r="EZ14" s="9" t="s">
        <v>607</v>
      </c>
      <c r="FB14" s="9" t="s">
        <v>25</v>
      </c>
      <c r="FC14" s="39">
        <v>500</v>
      </c>
      <c r="FD14" s="9" t="s">
        <v>724</v>
      </c>
      <c r="FF14" s="9" t="s">
        <v>13373</v>
      </c>
      <c r="FG14" s="9" t="s">
        <v>28</v>
      </c>
      <c r="FH14" s="9" t="s">
        <v>697</v>
      </c>
      <c r="FI14" s="42">
        <v>2000</v>
      </c>
      <c r="FJ14" s="9" t="s">
        <v>25</v>
      </c>
      <c r="FL14" s="9" t="s">
        <v>624</v>
      </c>
      <c r="FM14" s="9" t="s">
        <v>1013</v>
      </c>
      <c r="FN14" s="9" t="s">
        <v>657</v>
      </c>
      <c r="FO14" s="9" t="s">
        <v>657</v>
      </c>
      <c r="FP14" s="9" t="s">
        <v>657</v>
      </c>
      <c r="FT14" s="9" t="s">
        <v>658</v>
      </c>
      <c r="FV14" s="9" t="s">
        <v>1014</v>
      </c>
      <c r="FW14" s="39">
        <v>70</v>
      </c>
      <c r="FX14" s="9" t="s">
        <v>661</v>
      </c>
      <c r="FY14" s="9" t="s">
        <v>662</v>
      </c>
      <c r="FZ14" s="9" t="s">
        <v>28</v>
      </c>
      <c r="GA14" s="9" t="s">
        <v>28</v>
      </c>
      <c r="GL14" s="9" t="s">
        <v>629</v>
      </c>
      <c r="GM14" s="9" t="s">
        <v>630</v>
      </c>
      <c r="GN14" s="9" t="s">
        <v>630</v>
      </c>
      <c r="GO14" s="9" t="s">
        <v>630</v>
      </c>
      <c r="GP14" s="9" t="s">
        <v>630</v>
      </c>
      <c r="GQ14" s="9" t="s">
        <v>630</v>
      </c>
      <c r="GR14" s="9" t="s">
        <v>631</v>
      </c>
      <c r="GS14" s="9" t="s">
        <v>631</v>
      </c>
      <c r="GT14" s="9" t="s">
        <v>631</v>
      </c>
      <c r="GU14" s="9" t="s">
        <v>631</v>
      </c>
      <c r="GV14" s="9" t="s">
        <v>609</v>
      </c>
      <c r="GW14" s="9" t="s">
        <v>609</v>
      </c>
      <c r="GX14" s="9" t="s">
        <v>609</v>
      </c>
      <c r="GY14" s="9" t="s">
        <v>631</v>
      </c>
      <c r="GZ14" s="9" t="s">
        <v>631</v>
      </c>
      <c r="HA14" s="9" t="s">
        <v>631</v>
      </c>
      <c r="HB14" s="9" t="s">
        <v>609</v>
      </c>
      <c r="HC14" s="9" t="s">
        <v>631</v>
      </c>
      <c r="HD14" s="9" t="s">
        <v>609</v>
      </c>
      <c r="HE14" s="9" t="s">
        <v>631</v>
      </c>
      <c r="HF14" s="9" t="s">
        <v>609</v>
      </c>
      <c r="HG14" s="9" t="s">
        <v>631</v>
      </c>
      <c r="HH14" s="9" t="s">
        <v>609</v>
      </c>
      <c r="HO14" s="9" t="s">
        <v>767</v>
      </c>
      <c r="HP14" s="9" t="s">
        <v>28</v>
      </c>
      <c r="HQ14" s="9" t="s">
        <v>668</v>
      </c>
      <c r="HR14" s="9" t="s">
        <v>25</v>
      </c>
      <c r="HS14" s="9" t="s">
        <v>25</v>
      </c>
      <c r="HT14" s="9" t="s">
        <v>28</v>
      </c>
      <c r="HU14" s="9" t="s">
        <v>28</v>
      </c>
      <c r="HV14" s="9" t="s">
        <v>28</v>
      </c>
      <c r="HW14" s="9" t="s">
        <v>25</v>
      </c>
      <c r="HX14" s="9" t="s">
        <v>28</v>
      </c>
      <c r="HY14" s="9" t="s">
        <v>850</v>
      </c>
      <c r="HZ14" s="9" t="s">
        <v>635</v>
      </c>
      <c r="IA14" s="9" t="s">
        <v>25</v>
      </c>
      <c r="IB14" s="9" t="s">
        <v>636</v>
      </c>
      <c r="IC14" s="9" t="s">
        <v>826</v>
      </c>
      <c r="IG14" s="9" t="s">
        <v>730</v>
      </c>
      <c r="IH14" s="11">
        <v>1</v>
      </c>
      <c r="II14" s="11">
        <v>0.14000000000000001</v>
      </c>
      <c r="IJ14" s="9" t="s">
        <v>13802</v>
      </c>
      <c r="IK14" s="9" t="s">
        <v>805</v>
      </c>
      <c r="IL14" s="9" t="s">
        <v>731</v>
      </c>
      <c r="IM14" s="9" t="s">
        <v>731</v>
      </c>
      <c r="IN14" s="9" t="s">
        <v>731</v>
      </c>
      <c r="IR14" s="9" t="s">
        <v>768</v>
      </c>
      <c r="IS14" s="9" t="s">
        <v>881</v>
      </c>
      <c r="IT14" s="9" t="s">
        <v>754</v>
      </c>
      <c r="IU14" s="49" t="s">
        <v>9339</v>
      </c>
      <c r="IV14" s="49" t="s">
        <v>9340</v>
      </c>
      <c r="IW14" s="9" t="s">
        <v>640</v>
      </c>
      <c r="IX14" s="9" t="s">
        <v>640</v>
      </c>
      <c r="IY14" s="9" t="s">
        <v>640</v>
      </c>
      <c r="IZ14" s="9" t="s">
        <v>640</v>
      </c>
      <c r="JA14" s="9" t="s">
        <v>641</v>
      </c>
      <c r="JB14" s="9" t="s">
        <v>672</v>
      </c>
    </row>
    <row r="15" spans="1:262" ht="102" x14ac:dyDescent="0.2">
      <c r="A15" s="8" t="s">
        <v>138</v>
      </c>
      <c r="B15" s="9" t="s">
        <v>25</v>
      </c>
      <c r="S15" s="9" t="s">
        <v>13316</v>
      </c>
      <c r="T15" s="9" t="s">
        <v>770</v>
      </c>
      <c r="U15" s="9" t="s">
        <v>28</v>
      </c>
      <c r="V15" s="39">
        <v>15000</v>
      </c>
      <c r="W15" s="9" t="s">
        <v>29</v>
      </c>
      <c r="X15" s="9" t="s">
        <v>939</v>
      </c>
      <c r="Y15" s="39">
        <v>15000</v>
      </c>
      <c r="AB15" s="9" t="s">
        <v>673</v>
      </c>
      <c r="AD15" s="9" t="s">
        <v>674</v>
      </c>
      <c r="AF15" s="9" t="s">
        <v>714</v>
      </c>
      <c r="AH15" s="9" t="s">
        <v>788</v>
      </c>
      <c r="AI15" s="9" t="s">
        <v>819</v>
      </c>
      <c r="AK15" s="9" t="s">
        <v>28</v>
      </c>
      <c r="AL15" s="9">
        <v>10</v>
      </c>
      <c r="AM15" s="9" t="s">
        <v>28</v>
      </c>
      <c r="AN15" s="39">
        <v>2100</v>
      </c>
      <c r="AO15" s="9" t="s">
        <v>14625</v>
      </c>
      <c r="AQ15" s="9" t="s">
        <v>940</v>
      </c>
      <c r="AS15" s="9" t="s">
        <v>601</v>
      </c>
      <c r="AT15" s="9" t="s">
        <v>25</v>
      </c>
      <c r="AU15" s="9" t="s">
        <v>739</v>
      </c>
      <c r="AV15" s="9" t="s">
        <v>739</v>
      </c>
      <c r="AW15" s="9" t="s">
        <v>740</v>
      </c>
      <c r="AX15" s="39">
        <v>40000</v>
      </c>
      <c r="AZ15" s="9" t="s">
        <v>741</v>
      </c>
      <c r="BA15" s="9" t="s">
        <v>604</v>
      </c>
      <c r="BB15" s="9" t="s">
        <v>604</v>
      </c>
      <c r="BC15" s="9" t="s">
        <v>741</v>
      </c>
      <c r="BD15" s="9" t="s">
        <v>679</v>
      </c>
      <c r="BE15" s="9" t="s">
        <v>679</v>
      </c>
      <c r="BF15" s="9" t="s">
        <v>601</v>
      </c>
      <c r="BG15" s="9" t="s">
        <v>25</v>
      </c>
      <c r="BH15" s="9" t="s">
        <v>739</v>
      </c>
      <c r="BI15" s="9" t="s">
        <v>739</v>
      </c>
      <c r="BJ15" s="9" t="s">
        <v>28</v>
      </c>
      <c r="BK15" s="39">
        <v>40000</v>
      </c>
      <c r="BL15" s="9" t="s">
        <v>741</v>
      </c>
      <c r="BM15" s="9" t="s">
        <v>604</v>
      </c>
      <c r="BN15" s="9" t="s">
        <v>604</v>
      </c>
      <c r="BO15" s="9" t="s">
        <v>741</v>
      </c>
      <c r="BP15" s="9" t="s">
        <v>679</v>
      </c>
      <c r="BQ15" s="9" t="s">
        <v>679</v>
      </c>
      <c r="BR15" s="9" t="s">
        <v>28</v>
      </c>
      <c r="BS15" s="9" t="s">
        <v>941</v>
      </c>
      <c r="BT15" s="9" t="s">
        <v>608</v>
      </c>
      <c r="BU15" s="9" t="s">
        <v>609</v>
      </c>
      <c r="BW15" s="9" t="s">
        <v>942</v>
      </c>
      <c r="BX15" s="9" t="s">
        <v>28</v>
      </c>
      <c r="BY15" s="9" t="s">
        <v>644</v>
      </c>
      <c r="CA15" s="39">
        <v>15000</v>
      </c>
      <c r="CB15" s="39">
        <v>0</v>
      </c>
      <c r="CC15" s="9">
        <v>0</v>
      </c>
      <c r="CD15" s="9" t="s">
        <v>673</v>
      </c>
      <c r="CF15" s="9" t="s">
        <v>683</v>
      </c>
      <c r="CH15" s="9" t="s">
        <v>777</v>
      </c>
      <c r="CJ15" s="9" t="s">
        <v>902</v>
      </c>
      <c r="CL15" s="9" t="s">
        <v>611</v>
      </c>
      <c r="CM15" s="9" t="s">
        <v>612</v>
      </c>
      <c r="CN15" s="9" t="s">
        <v>943</v>
      </c>
      <c r="DS15" s="9" t="s">
        <v>692</v>
      </c>
      <c r="DU15" s="9" t="s">
        <v>693</v>
      </c>
      <c r="DW15" s="9" t="s">
        <v>607</v>
      </c>
      <c r="DY15" s="9" t="s">
        <v>607</v>
      </c>
      <c r="EA15" s="9" t="s">
        <v>944</v>
      </c>
      <c r="EB15" s="9" t="s">
        <v>28</v>
      </c>
      <c r="EC15" s="9" t="s">
        <v>945</v>
      </c>
      <c r="ED15" s="9" t="s">
        <v>618</v>
      </c>
      <c r="EE15" s="9" t="s">
        <v>650</v>
      </c>
      <c r="EF15" s="9" t="s">
        <v>25</v>
      </c>
      <c r="EG15" s="9" t="s">
        <v>25</v>
      </c>
      <c r="EH15" s="9" t="s">
        <v>25</v>
      </c>
      <c r="EL15" s="9" t="s">
        <v>25</v>
      </c>
      <c r="EM15" s="9" t="s">
        <v>651</v>
      </c>
      <c r="EN15" s="9" t="s">
        <v>620</v>
      </c>
      <c r="EP15" s="9" t="s">
        <v>28</v>
      </c>
      <c r="EQ15" s="9" t="s">
        <v>653</v>
      </c>
      <c r="ER15" s="9" t="s">
        <v>25</v>
      </c>
      <c r="ET15" s="9" t="s">
        <v>28</v>
      </c>
      <c r="EU15" s="9" t="s">
        <v>622</v>
      </c>
      <c r="EX15" s="39">
        <v>50000</v>
      </c>
      <c r="FB15" s="9" t="s">
        <v>28</v>
      </c>
      <c r="FF15" s="9" t="s">
        <v>13371</v>
      </c>
      <c r="FG15" s="9" t="s">
        <v>28</v>
      </c>
      <c r="FH15" s="9" t="s">
        <v>697</v>
      </c>
      <c r="FI15" s="42">
        <v>10000</v>
      </c>
      <c r="FJ15" s="9" t="s">
        <v>28</v>
      </c>
      <c r="FK15" s="9" t="s">
        <v>813</v>
      </c>
      <c r="FL15" s="9" t="s">
        <v>624</v>
      </c>
      <c r="FM15" s="9" t="s">
        <v>946</v>
      </c>
      <c r="FV15" s="9" t="s">
        <v>947</v>
      </c>
      <c r="FW15" s="39">
        <v>260</v>
      </c>
      <c r="FZ15" s="9" t="s">
        <v>25</v>
      </c>
      <c r="GB15" s="9" t="s">
        <v>628</v>
      </c>
      <c r="GC15" s="9" t="s">
        <v>28</v>
      </c>
      <c r="GD15" s="9" t="s">
        <v>28</v>
      </c>
      <c r="GE15" s="9" t="s">
        <v>28</v>
      </c>
      <c r="GF15" s="9" t="s">
        <v>25</v>
      </c>
      <c r="GG15" s="9" t="s">
        <v>25</v>
      </c>
      <c r="GH15" s="9" t="s">
        <v>28</v>
      </c>
      <c r="GI15" s="9" t="s">
        <v>28</v>
      </c>
      <c r="GJ15" s="9" t="s">
        <v>28</v>
      </c>
      <c r="GK15" s="9" t="s">
        <v>25</v>
      </c>
      <c r="GL15" s="9" t="s">
        <v>629</v>
      </c>
      <c r="GM15" s="9" t="s">
        <v>629</v>
      </c>
      <c r="GN15" s="9" t="s">
        <v>609</v>
      </c>
      <c r="GO15" s="9" t="s">
        <v>609</v>
      </c>
      <c r="GP15" s="9" t="s">
        <v>609</v>
      </c>
      <c r="GQ15" s="9" t="s">
        <v>609</v>
      </c>
      <c r="GR15" s="9" t="s">
        <v>609</v>
      </c>
      <c r="GS15" s="9" t="s">
        <v>609</v>
      </c>
      <c r="GT15" s="9" t="s">
        <v>631</v>
      </c>
      <c r="GU15" s="9" t="s">
        <v>609</v>
      </c>
      <c r="GV15" s="9" t="s">
        <v>609</v>
      </c>
      <c r="GW15" s="9" t="s">
        <v>609</v>
      </c>
      <c r="GX15" s="9" t="s">
        <v>609</v>
      </c>
      <c r="GY15" s="9" t="s">
        <v>609</v>
      </c>
      <c r="GZ15" s="9" t="s">
        <v>630</v>
      </c>
      <c r="HA15" s="9" t="s">
        <v>609</v>
      </c>
      <c r="HB15" s="9" t="s">
        <v>609</v>
      </c>
      <c r="HC15" s="9" t="s">
        <v>631</v>
      </c>
      <c r="HD15" s="9" t="s">
        <v>629</v>
      </c>
      <c r="HE15" s="9" t="s">
        <v>609</v>
      </c>
      <c r="HF15" s="9" t="s">
        <v>609</v>
      </c>
      <c r="HG15" s="9" t="s">
        <v>631</v>
      </c>
      <c r="HH15" s="9" t="s">
        <v>609</v>
      </c>
      <c r="HI15" s="9" t="s">
        <v>632</v>
      </c>
      <c r="HO15" s="9" t="s">
        <v>633</v>
      </c>
      <c r="HP15" s="9" t="s">
        <v>28</v>
      </c>
      <c r="HQ15" s="9" t="s">
        <v>668</v>
      </c>
      <c r="HR15" s="9" t="s">
        <v>28</v>
      </c>
      <c r="HS15" s="9" t="s">
        <v>25</v>
      </c>
      <c r="HT15" s="9" t="s">
        <v>28</v>
      </c>
      <c r="HU15" s="9" t="s">
        <v>28</v>
      </c>
      <c r="HV15" s="9" t="s">
        <v>25</v>
      </c>
      <c r="HW15" s="9" t="s">
        <v>28</v>
      </c>
      <c r="HX15" s="9" t="s">
        <v>25</v>
      </c>
      <c r="HZ15" s="9" t="s">
        <v>635</v>
      </c>
      <c r="IA15" s="9" t="s">
        <v>25</v>
      </c>
      <c r="IB15" s="9" t="s">
        <v>670</v>
      </c>
      <c r="IC15" s="9" t="s">
        <v>826</v>
      </c>
      <c r="IG15" s="9" t="s">
        <v>730</v>
      </c>
      <c r="IH15" s="11">
        <v>1</v>
      </c>
      <c r="II15" s="11">
        <v>0.08</v>
      </c>
      <c r="IJ15" s="9" t="s">
        <v>13399</v>
      </c>
      <c r="IK15" s="9" t="s">
        <v>805</v>
      </c>
      <c r="IL15" s="9" t="s">
        <v>731</v>
      </c>
      <c r="IM15" s="9" t="s">
        <v>731</v>
      </c>
      <c r="IN15" s="9" t="s">
        <v>731</v>
      </c>
      <c r="IR15" s="9" t="s">
        <v>638</v>
      </c>
      <c r="IS15" s="9" t="s">
        <v>784</v>
      </c>
      <c r="IT15" s="9" t="s">
        <v>737</v>
      </c>
      <c r="IV15" s="49" t="s">
        <v>9339</v>
      </c>
      <c r="IW15" s="9" t="s">
        <v>640</v>
      </c>
      <c r="IX15" s="9" t="s">
        <v>640</v>
      </c>
      <c r="IY15" s="9" t="s">
        <v>640</v>
      </c>
      <c r="IZ15" s="9" t="s">
        <v>640</v>
      </c>
      <c r="JA15" s="9" t="s">
        <v>863</v>
      </c>
      <c r="JB15" s="9" t="s">
        <v>642</v>
      </c>
    </row>
    <row r="16" spans="1:262" ht="76.5" x14ac:dyDescent="0.2">
      <c r="A16" s="8" t="s">
        <v>118</v>
      </c>
      <c r="B16" s="9" t="s">
        <v>25</v>
      </c>
      <c r="S16" s="9" t="s">
        <v>643</v>
      </c>
      <c r="T16" s="9" t="s">
        <v>595</v>
      </c>
      <c r="U16" s="9" t="s">
        <v>28</v>
      </c>
      <c r="V16" s="39">
        <v>2500</v>
      </c>
      <c r="W16" s="9" t="s">
        <v>644</v>
      </c>
      <c r="Y16" s="39">
        <v>2500</v>
      </c>
      <c r="AB16" s="9" t="s">
        <v>645</v>
      </c>
      <c r="AD16" s="9" t="s">
        <v>646</v>
      </c>
      <c r="AF16" s="9" t="s">
        <v>29</v>
      </c>
      <c r="AG16" s="9" t="s">
        <v>647</v>
      </c>
      <c r="AS16" s="9" t="s">
        <v>25</v>
      </c>
      <c r="BF16" s="9" t="s">
        <v>25</v>
      </c>
      <c r="BR16" s="9" t="s">
        <v>607</v>
      </c>
      <c r="BS16" s="9" t="s">
        <v>648</v>
      </c>
      <c r="ED16" s="9" t="s">
        <v>649</v>
      </c>
      <c r="EE16" s="9" t="s">
        <v>650</v>
      </c>
      <c r="EF16" s="9" t="s">
        <v>25</v>
      </c>
      <c r="EG16" s="9" t="s">
        <v>25</v>
      </c>
      <c r="EH16" s="9" t="s">
        <v>25</v>
      </c>
      <c r="EL16" s="9" t="s">
        <v>25</v>
      </c>
      <c r="EM16" s="9" t="s">
        <v>651</v>
      </c>
      <c r="EN16" s="9" t="s">
        <v>652</v>
      </c>
      <c r="EP16" s="9" t="s">
        <v>28</v>
      </c>
      <c r="EQ16" s="9" t="s">
        <v>653</v>
      </c>
      <c r="ER16" s="9" t="s">
        <v>25</v>
      </c>
      <c r="ET16" s="9" t="s">
        <v>28</v>
      </c>
      <c r="EU16" s="9" t="s">
        <v>622</v>
      </c>
      <c r="EV16" s="39">
        <v>0</v>
      </c>
      <c r="EW16" s="39">
        <v>0</v>
      </c>
      <c r="EX16" s="39">
        <v>0</v>
      </c>
      <c r="EY16" s="39">
        <v>0</v>
      </c>
      <c r="EZ16" s="9" t="s">
        <v>28</v>
      </c>
      <c r="FA16" s="9" t="s">
        <v>654</v>
      </c>
      <c r="FB16" s="9" t="s">
        <v>655</v>
      </c>
      <c r="FC16" s="39">
        <v>0</v>
      </c>
      <c r="FD16" s="9" t="s">
        <v>13357</v>
      </c>
      <c r="FF16" s="9" t="s">
        <v>13364</v>
      </c>
      <c r="FG16" s="9" t="s">
        <v>28</v>
      </c>
      <c r="FH16" s="9" t="s">
        <v>653</v>
      </c>
      <c r="FI16" s="42">
        <v>5000</v>
      </c>
      <c r="FJ16" s="9" t="s">
        <v>28</v>
      </c>
      <c r="FK16" s="9">
        <v>6</v>
      </c>
      <c r="FL16" s="9" t="s">
        <v>656</v>
      </c>
      <c r="FM16" s="9" t="s">
        <v>13380</v>
      </c>
      <c r="FO16" s="9" t="s">
        <v>657</v>
      </c>
      <c r="FQ16" s="9" t="s">
        <v>658</v>
      </c>
      <c r="FS16" s="9" t="s">
        <v>658</v>
      </c>
      <c r="FT16" s="9" t="s">
        <v>658</v>
      </c>
      <c r="FU16" s="9" t="s">
        <v>659</v>
      </c>
      <c r="FV16" s="9" t="s">
        <v>660</v>
      </c>
      <c r="FW16" s="39">
        <v>75</v>
      </c>
      <c r="FX16" s="9" t="s">
        <v>661</v>
      </c>
      <c r="FY16" s="9" t="s">
        <v>662</v>
      </c>
      <c r="FZ16" s="9" t="s">
        <v>28</v>
      </c>
      <c r="GA16" s="9" t="s">
        <v>28</v>
      </c>
      <c r="GB16" s="9" t="s">
        <v>663</v>
      </c>
      <c r="GC16" s="9" t="s">
        <v>25</v>
      </c>
      <c r="GD16" s="9" t="s">
        <v>28</v>
      </c>
      <c r="GE16" s="9" t="s">
        <v>28</v>
      </c>
      <c r="GF16" s="9" t="s">
        <v>25</v>
      </c>
      <c r="GG16" s="9" t="s">
        <v>25</v>
      </c>
      <c r="GH16" s="9" t="s">
        <v>28</v>
      </c>
      <c r="GI16" s="9" t="s">
        <v>664</v>
      </c>
      <c r="GJ16" s="9" t="s">
        <v>664</v>
      </c>
      <c r="GK16" s="9" t="s">
        <v>25</v>
      </c>
      <c r="HI16" s="9" t="s">
        <v>632</v>
      </c>
      <c r="HJ16" s="9" t="s">
        <v>665</v>
      </c>
      <c r="HK16" s="9" t="s">
        <v>666</v>
      </c>
      <c r="HM16" s="9" t="s">
        <v>633</v>
      </c>
      <c r="HO16" s="9" t="s">
        <v>667</v>
      </c>
      <c r="HP16" s="9" t="s">
        <v>28</v>
      </c>
      <c r="HQ16" s="9" t="s">
        <v>668</v>
      </c>
      <c r="HR16" s="9" t="s">
        <v>25</v>
      </c>
      <c r="HS16" s="9" t="s">
        <v>25</v>
      </c>
      <c r="HT16" s="9" t="s">
        <v>25</v>
      </c>
      <c r="HU16" s="9" t="s">
        <v>28</v>
      </c>
      <c r="HV16" s="9" t="s">
        <v>28</v>
      </c>
      <c r="HW16" s="9" t="s">
        <v>25</v>
      </c>
      <c r="HX16" s="9" t="s">
        <v>25</v>
      </c>
      <c r="HZ16" s="9" t="s">
        <v>635</v>
      </c>
      <c r="IA16" s="9" t="s">
        <v>669</v>
      </c>
      <c r="IB16" s="9" t="s">
        <v>670</v>
      </c>
      <c r="IC16" s="9" t="s">
        <v>635</v>
      </c>
      <c r="IT16" s="9" t="s">
        <v>13408</v>
      </c>
      <c r="IV16" s="49" t="s">
        <v>9336</v>
      </c>
      <c r="IW16" s="9" t="s">
        <v>640</v>
      </c>
      <c r="IX16" s="9" t="s">
        <v>640</v>
      </c>
      <c r="IY16" s="9" t="s">
        <v>640</v>
      </c>
      <c r="IZ16" s="9" t="s">
        <v>640</v>
      </c>
      <c r="JA16" s="9" t="s">
        <v>671</v>
      </c>
      <c r="JB16" s="9" t="s">
        <v>672</v>
      </c>
    </row>
    <row r="17" spans="1:262" ht="63.75" x14ac:dyDescent="0.2">
      <c r="A17" s="8" t="s">
        <v>134</v>
      </c>
      <c r="B17" s="9" t="s">
        <v>25</v>
      </c>
      <c r="S17" s="9" t="s">
        <v>13324</v>
      </c>
      <c r="T17" s="9" t="s">
        <v>595</v>
      </c>
      <c r="U17" s="9" t="s">
        <v>28</v>
      </c>
      <c r="V17" s="39">
        <v>25000</v>
      </c>
      <c r="W17" s="9" t="s">
        <v>644</v>
      </c>
      <c r="Y17" s="39">
        <v>25000</v>
      </c>
      <c r="Z17" s="39">
        <v>75000</v>
      </c>
      <c r="AA17" s="9">
        <v>3</v>
      </c>
      <c r="AB17" s="9" t="s">
        <v>673</v>
      </c>
      <c r="AD17" s="9" t="s">
        <v>646</v>
      </c>
      <c r="AF17" s="9" t="s">
        <v>756</v>
      </c>
      <c r="AH17" s="9" t="s">
        <v>788</v>
      </c>
      <c r="AI17" s="9" t="s">
        <v>607</v>
      </c>
      <c r="AK17" s="9" t="s">
        <v>28</v>
      </c>
      <c r="AL17" s="9">
        <v>20</v>
      </c>
      <c r="AM17" s="9" t="s">
        <v>28</v>
      </c>
      <c r="AO17" s="9" t="s">
        <v>715</v>
      </c>
      <c r="AP17" s="9">
        <v>20</v>
      </c>
      <c r="AS17" s="9" t="s">
        <v>601</v>
      </c>
      <c r="AT17" s="9" t="s">
        <v>28</v>
      </c>
      <c r="AU17" s="9" t="s">
        <v>739</v>
      </c>
      <c r="AV17" s="9" t="s">
        <v>739</v>
      </c>
      <c r="AW17" s="9" t="s">
        <v>678</v>
      </c>
      <c r="AZ17" s="9" t="s">
        <v>741</v>
      </c>
      <c r="BA17" s="9" t="s">
        <v>604</v>
      </c>
      <c r="BB17" s="9" t="s">
        <v>604</v>
      </c>
      <c r="BC17" s="9" t="s">
        <v>741</v>
      </c>
      <c r="BD17" s="9" t="s">
        <v>741</v>
      </c>
      <c r="BE17" s="9" t="s">
        <v>741</v>
      </c>
      <c r="BF17" s="9" t="s">
        <v>601</v>
      </c>
      <c r="BG17" s="9" t="s">
        <v>25</v>
      </c>
      <c r="BH17" s="9" t="s">
        <v>739</v>
      </c>
      <c r="BI17" s="9" t="s">
        <v>739</v>
      </c>
      <c r="BJ17" s="9" t="s">
        <v>28</v>
      </c>
      <c r="BL17" s="9" t="s">
        <v>741</v>
      </c>
      <c r="BO17" s="9" t="s">
        <v>741</v>
      </c>
      <c r="BP17" s="9" t="s">
        <v>605</v>
      </c>
      <c r="BQ17" s="9" t="s">
        <v>741</v>
      </c>
      <c r="BR17" s="9" t="s">
        <v>28</v>
      </c>
      <c r="BS17" s="9" t="s">
        <v>901</v>
      </c>
      <c r="BX17" s="9" t="s">
        <v>28</v>
      </c>
      <c r="BY17" s="9" t="s">
        <v>644</v>
      </c>
      <c r="CA17" s="39">
        <v>40000</v>
      </c>
      <c r="CB17" s="39">
        <v>80000</v>
      </c>
      <c r="CD17" s="9" t="s">
        <v>673</v>
      </c>
      <c r="CF17" s="9" t="s">
        <v>646</v>
      </c>
      <c r="CH17" s="9" t="s">
        <v>610</v>
      </c>
      <c r="CJ17" s="9" t="s">
        <v>902</v>
      </c>
      <c r="CL17" s="9" t="s">
        <v>611</v>
      </c>
      <c r="CM17" s="9" t="s">
        <v>13352</v>
      </c>
      <c r="CN17" s="9" t="s">
        <v>903</v>
      </c>
      <c r="CW17" s="9" t="s">
        <v>743</v>
      </c>
      <c r="CX17" s="9" t="s">
        <v>691</v>
      </c>
      <c r="CZ17" s="9" t="s">
        <v>629</v>
      </c>
      <c r="DQ17" s="9" t="s">
        <v>747</v>
      </c>
      <c r="DS17" s="9" t="s">
        <v>692</v>
      </c>
      <c r="DU17" s="9" t="s">
        <v>693</v>
      </c>
      <c r="DW17" s="9" t="s">
        <v>759</v>
      </c>
      <c r="DX17" s="9" t="s">
        <v>904</v>
      </c>
      <c r="DY17" s="9" t="s">
        <v>607</v>
      </c>
      <c r="EB17" s="9" t="s">
        <v>25</v>
      </c>
      <c r="ED17" s="9" t="s">
        <v>618</v>
      </c>
      <c r="EE17" s="9" t="s">
        <v>650</v>
      </c>
      <c r="EF17" s="9" t="s">
        <v>25</v>
      </c>
      <c r="EG17" s="9" t="s">
        <v>25</v>
      </c>
      <c r="EH17" s="9" t="s">
        <v>25</v>
      </c>
      <c r="EL17" s="9" t="s">
        <v>28</v>
      </c>
      <c r="EM17" s="9" t="s">
        <v>651</v>
      </c>
      <c r="EP17" s="9" t="s">
        <v>28</v>
      </c>
      <c r="EQ17" s="9" t="s">
        <v>653</v>
      </c>
      <c r="ER17" s="9" t="s">
        <v>25</v>
      </c>
      <c r="ET17" s="9" t="s">
        <v>25</v>
      </c>
      <c r="EV17" s="39">
        <v>12000</v>
      </c>
      <c r="EW17" s="39">
        <v>12000</v>
      </c>
      <c r="EX17" s="39">
        <v>12000</v>
      </c>
      <c r="EY17" s="39">
        <v>12000</v>
      </c>
      <c r="FB17" s="9" t="s">
        <v>28</v>
      </c>
      <c r="FF17" s="9" t="s">
        <v>905</v>
      </c>
      <c r="FG17" s="9" t="s">
        <v>28</v>
      </c>
      <c r="FH17" s="9" t="s">
        <v>653</v>
      </c>
      <c r="FI17" s="42">
        <v>10000</v>
      </c>
      <c r="FJ17" s="9" t="s">
        <v>28</v>
      </c>
      <c r="FK17" s="9">
        <v>2</v>
      </c>
      <c r="FL17" s="9" t="s">
        <v>656</v>
      </c>
      <c r="FM17" s="9" t="s">
        <v>906</v>
      </c>
      <c r="FW17" s="39">
        <v>260</v>
      </c>
      <c r="FX17" s="9" t="s">
        <v>627</v>
      </c>
      <c r="FZ17" s="9" t="s">
        <v>28</v>
      </c>
      <c r="GA17" s="9" t="s">
        <v>28</v>
      </c>
      <c r="GB17" s="9" t="s">
        <v>628</v>
      </c>
      <c r="GC17" s="9" t="s">
        <v>28</v>
      </c>
      <c r="GD17" s="9" t="s">
        <v>28</v>
      </c>
      <c r="GE17" s="9" t="s">
        <v>28</v>
      </c>
      <c r="GF17" s="9" t="s">
        <v>28</v>
      </c>
      <c r="GG17" s="9" t="s">
        <v>664</v>
      </c>
      <c r="GH17" s="9" t="s">
        <v>664</v>
      </c>
      <c r="GI17" s="9" t="s">
        <v>664</v>
      </c>
      <c r="GJ17" s="9" t="s">
        <v>664</v>
      </c>
      <c r="GK17" s="9" t="s">
        <v>664</v>
      </c>
      <c r="GL17" s="9" t="s">
        <v>629</v>
      </c>
      <c r="GM17" s="9" t="s">
        <v>629</v>
      </c>
      <c r="GN17" s="9" t="s">
        <v>629</v>
      </c>
      <c r="GO17" s="9" t="s">
        <v>629</v>
      </c>
      <c r="GP17" s="9" t="s">
        <v>629</v>
      </c>
      <c r="GQ17" s="9" t="s">
        <v>629</v>
      </c>
      <c r="GR17" s="9" t="s">
        <v>609</v>
      </c>
      <c r="GS17" s="9" t="s">
        <v>630</v>
      </c>
      <c r="GT17" s="9" t="s">
        <v>630</v>
      </c>
      <c r="GU17" s="9" t="s">
        <v>630</v>
      </c>
      <c r="GV17" s="9" t="s">
        <v>630</v>
      </c>
      <c r="GW17" s="9" t="s">
        <v>630</v>
      </c>
      <c r="GX17" s="9" t="s">
        <v>630</v>
      </c>
      <c r="GY17" s="9" t="s">
        <v>629</v>
      </c>
      <c r="GZ17" s="9" t="s">
        <v>630</v>
      </c>
      <c r="HA17" s="9" t="s">
        <v>630</v>
      </c>
      <c r="HB17" s="9" t="s">
        <v>630</v>
      </c>
      <c r="HC17" s="9" t="s">
        <v>630</v>
      </c>
      <c r="HD17" s="9" t="s">
        <v>630</v>
      </c>
      <c r="HE17" s="9" t="s">
        <v>630</v>
      </c>
      <c r="HF17" s="9" t="s">
        <v>630</v>
      </c>
      <c r="HG17" s="9" t="s">
        <v>631</v>
      </c>
      <c r="HH17" s="9" t="s">
        <v>630</v>
      </c>
      <c r="HO17" s="9" t="s">
        <v>13388</v>
      </c>
      <c r="HP17" s="9" t="s">
        <v>25</v>
      </c>
      <c r="IC17" s="9" t="s">
        <v>13794</v>
      </c>
      <c r="ID17" s="9" t="s">
        <v>730</v>
      </c>
      <c r="IE17" s="11">
        <v>1</v>
      </c>
      <c r="IG17" s="9" t="s">
        <v>730</v>
      </c>
      <c r="IH17" s="11">
        <v>1</v>
      </c>
      <c r="IJ17" s="9" t="s">
        <v>13398</v>
      </c>
      <c r="IK17" s="9" t="s">
        <v>805</v>
      </c>
      <c r="IL17" s="9" t="s">
        <v>731</v>
      </c>
      <c r="IM17" s="9" t="s">
        <v>731</v>
      </c>
      <c r="IN17" s="9" t="s">
        <v>731</v>
      </c>
      <c r="IR17" s="9" t="s">
        <v>907</v>
      </c>
      <c r="IS17" s="9" t="s">
        <v>784</v>
      </c>
      <c r="IT17" s="9" t="s">
        <v>733</v>
      </c>
      <c r="IU17" s="9" t="s">
        <v>702</v>
      </c>
      <c r="IV17" s="9" t="s">
        <v>702</v>
      </c>
      <c r="IW17" s="9" t="s">
        <v>640</v>
      </c>
      <c r="IX17" s="9" t="s">
        <v>640</v>
      </c>
      <c r="IY17" s="9" t="s">
        <v>769</v>
      </c>
      <c r="IZ17" s="9" t="s">
        <v>769</v>
      </c>
      <c r="JA17" s="9" t="s">
        <v>908</v>
      </c>
      <c r="JB17" s="9" t="s">
        <v>642</v>
      </c>
    </row>
    <row r="18" spans="1:262" ht="76.5" x14ac:dyDescent="0.2">
      <c r="A18" s="8" t="s">
        <v>171</v>
      </c>
      <c r="B18" s="9" t="s">
        <v>25</v>
      </c>
      <c r="S18" s="9" t="s">
        <v>13342</v>
      </c>
      <c r="T18" s="9" t="s">
        <v>595</v>
      </c>
      <c r="U18" s="9" t="s">
        <v>28</v>
      </c>
      <c r="V18" s="39">
        <v>2000</v>
      </c>
      <c r="W18" s="9" t="s">
        <v>808</v>
      </c>
      <c r="Y18" s="39">
        <v>2000</v>
      </c>
      <c r="AB18" s="9" t="s">
        <v>673</v>
      </c>
      <c r="AD18" s="9" t="s">
        <v>13777</v>
      </c>
      <c r="AF18" s="9" t="s">
        <v>874</v>
      </c>
      <c r="AH18" s="9" t="s">
        <v>599</v>
      </c>
      <c r="AI18" s="9" t="s">
        <v>607</v>
      </c>
      <c r="AK18" s="9" t="s">
        <v>28</v>
      </c>
      <c r="AL18" s="9">
        <v>15</v>
      </c>
      <c r="AM18" s="9" t="s">
        <v>25</v>
      </c>
      <c r="AO18" s="9" t="s">
        <v>1199</v>
      </c>
      <c r="AP18" s="9">
        <v>15</v>
      </c>
      <c r="BT18" s="9" t="s">
        <v>742</v>
      </c>
      <c r="BU18" s="9" t="s">
        <v>609</v>
      </c>
      <c r="BW18" s="9" t="s">
        <v>951</v>
      </c>
      <c r="CM18" s="9" t="s">
        <v>687</v>
      </c>
      <c r="CO18" s="9" t="s">
        <v>890</v>
      </c>
      <c r="CP18" s="9" t="s">
        <v>891</v>
      </c>
      <c r="CS18" s="9" t="s">
        <v>1200</v>
      </c>
      <c r="CW18" s="9" t="s">
        <v>690</v>
      </c>
      <c r="CX18" s="9" t="s">
        <v>691</v>
      </c>
      <c r="CZ18" s="9" t="s">
        <v>629</v>
      </c>
      <c r="DS18" s="9" t="s">
        <v>614</v>
      </c>
      <c r="DT18" s="9" t="s">
        <v>1201</v>
      </c>
      <c r="DU18" s="9" t="s">
        <v>758</v>
      </c>
      <c r="DW18" s="9" t="s">
        <v>819</v>
      </c>
      <c r="EB18" s="9" t="s">
        <v>28</v>
      </c>
      <c r="EC18" s="9" t="s">
        <v>1202</v>
      </c>
      <c r="ED18" s="9" t="s">
        <v>649</v>
      </c>
      <c r="EE18" s="9" t="s">
        <v>650</v>
      </c>
      <c r="EF18" s="9" t="s">
        <v>25</v>
      </c>
      <c r="EG18" s="9" t="s">
        <v>25</v>
      </c>
      <c r="EH18" s="9" t="s">
        <v>25</v>
      </c>
      <c r="EL18" s="9" t="s">
        <v>28</v>
      </c>
      <c r="EM18" s="9" t="s">
        <v>25</v>
      </c>
      <c r="EN18" s="9" t="s">
        <v>761</v>
      </c>
      <c r="EP18" s="9" t="s">
        <v>28</v>
      </c>
      <c r="EQ18" s="9" t="s">
        <v>653</v>
      </c>
      <c r="ER18" s="9" t="s">
        <v>25</v>
      </c>
      <c r="ET18" s="9" t="s">
        <v>28</v>
      </c>
      <c r="EU18" s="9" t="s">
        <v>622</v>
      </c>
      <c r="EV18" s="39">
        <v>5250</v>
      </c>
      <c r="EX18" s="39">
        <v>5250</v>
      </c>
      <c r="EZ18" s="9" t="s">
        <v>28</v>
      </c>
      <c r="FA18" s="9" t="s">
        <v>1203</v>
      </c>
      <c r="FB18" s="9" t="s">
        <v>28</v>
      </c>
      <c r="FC18" s="39">
        <v>480</v>
      </c>
      <c r="FD18" s="9" t="s">
        <v>982</v>
      </c>
      <c r="FF18" s="9" t="s">
        <v>13363</v>
      </c>
      <c r="FG18" s="9" t="s">
        <v>28</v>
      </c>
      <c r="FH18" s="9" t="s">
        <v>653</v>
      </c>
      <c r="FI18" s="42">
        <v>1000</v>
      </c>
      <c r="FJ18" s="9" t="s">
        <v>25</v>
      </c>
      <c r="FL18" s="9" t="s">
        <v>624</v>
      </c>
      <c r="FM18" s="9" t="s">
        <v>13385</v>
      </c>
      <c r="FT18" s="9" t="s">
        <v>658</v>
      </c>
      <c r="FU18" s="9" t="s">
        <v>658</v>
      </c>
      <c r="FV18" s="9" t="s">
        <v>1204</v>
      </c>
      <c r="FW18" s="39">
        <v>540</v>
      </c>
      <c r="FX18" s="9" t="s">
        <v>627</v>
      </c>
      <c r="FZ18" s="9" t="s">
        <v>25</v>
      </c>
      <c r="GB18" s="9" t="s">
        <v>628</v>
      </c>
      <c r="GC18" s="9" t="s">
        <v>28</v>
      </c>
      <c r="GD18" s="9" t="s">
        <v>28</v>
      </c>
      <c r="GE18" s="9" t="s">
        <v>28</v>
      </c>
      <c r="GF18" s="9" t="s">
        <v>28</v>
      </c>
      <c r="GK18" s="9" t="s">
        <v>28</v>
      </c>
      <c r="GL18" s="9" t="s">
        <v>629</v>
      </c>
      <c r="GM18" s="9" t="s">
        <v>629</v>
      </c>
      <c r="GN18" s="9" t="s">
        <v>630</v>
      </c>
      <c r="GO18" s="9" t="s">
        <v>630</v>
      </c>
      <c r="GP18" s="9" t="s">
        <v>629</v>
      </c>
      <c r="GQ18" s="9" t="s">
        <v>609</v>
      </c>
      <c r="GR18" s="9" t="s">
        <v>609</v>
      </c>
      <c r="GS18" s="9" t="s">
        <v>609</v>
      </c>
      <c r="GT18" s="9" t="s">
        <v>609</v>
      </c>
      <c r="GU18" s="9" t="s">
        <v>609</v>
      </c>
      <c r="GV18" s="9" t="s">
        <v>609</v>
      </c>
      <c r="GW18" s="9" t="s">
        <v>609</v>
      </c>
      <c r="GX18" s="9" t="s">
        <v>629</v>
      </c>
      <c r="HB18" s="9" t="s">
        <v>609</v>
      </c>
      <c r="HI18" s="9" t="s">
        <v>632</v>
      </c>
      <c r="HJ18" s="9" t="s">
        <v>727</v>
      </c>
      <c r="HM18" s="9" t="s">
        <v>1205</v>
      </c>
      <c r="HO18" s="9" t="s">
        <v>13389</v>
      </c>
      <c r="HP18" s="9" t="s">
        <v>28</v>
      </c>
      <c r="HQ18" s="9" t="s">
        <v>668</v>
      </c>
      <c r="HR18" s="9" t="s">
        <v>25</v>
      </c>
      <c r="HS18" s="9" t="s">
        <v>25</v>
      </c>
      <c r="HT18" s="9" t="s">
        <v>28</v>
      </c>
      <c r="HU18" s="9" t="s">
        <v>28</v>
      </c>
      <c r="HV18" s="9" t="s">
        <v>25</v>
      </c>
      <c r="HW18" s="9" t="s">
        <v>28</v>
      </c>
      <c r="HX18" s="9" t="s">
        <v>28</v>
      </c>
      <c r="HY18" s="9" t="s">
        <v>782</v>
      </c>
      <c r="HZ18" s="9" t="s">
        <v>635</v>
      </c>
      <c r="IA18" s="9" t="s">
        <v>25</v>
      </c>
      <c r="IB18" s="9" t="s">
        <v>636</v>
      </c>
      <c r="IC18" s="9" t="s">
        <v>13795</v>
      </c>
      <c r="IR18" s="9" t="s">
        <v>899</v>
      </c>
      <c r="IS18" s="9" t="s">
        <v>732</v>
      </c>
      <c r="IT18" s="9" t="s">
        <v>733</v>
      </c>
      <c r="IU18" s="9">
        <v>0</v>
      </c>
      <c r="IV18" s="9" t="s">
        <v>702</v>
      </c>
      <c r="IW18" s="9" t="s">
        <v>679</v>
      </c>
      <c r="IX18" s="9" t="s">
        <v>640</v>
      </c>
      <c r="IY18" s="9" t="s">
        <v>703</v>
      </c>
      <c r="IZ18" s="9" t="s">
        <v>703</v>
      </c>
      <c r="JA18" s="9" t="s">
        <v>704</v>
      </c>
      <c r="JB18" s="9" t="s">
        <v>642</v>
      </c>
    </row>
    <row r="19" spans="1:262" ht="63.75" x14ac:dyDescent="0.2">
      <c r="A19" s="8" t="s">
        <v>123</v>
      </c>
      <c r="B19" s="9" t="s">
        <v>25</v>
      </c>
      <c r="S19" s="9" t="s">
        <v>755</v>
      </c>
      <c r="T19" s="9" t="s">
        <v>595</v>
      </c>
      <c r="U19" s="9" t="s">
        <v>28</v>
      </c>
      <c r="V19" s="39">
        <v>5000</v>
      </c>
      <c r="W19" s="9" t="s">
        <v>644</v>
      </c>
      <c r="Y19" s="39">
        <v>5000</v>
      </c>
      <c r="AB19" s="9" t="s">
        <v>734</v>
      </c>
      <c r="AD19" s="9" t="s">
        <v>646</v>
      </c>
      <c r="AF19" s="9" t="s">
        <v>756</v>
      </c>
      <c r="BT19" s="9" t="s">
        <v>742</v>
      </c>
      <c r="BU19" s="9" t="s">
        <v>609</v>
      </c>
      <c r="CM19" s="9" t="s">
        <v>719</v>
      </c>
      <c r="CO19" s="9" t="s">
        <v>688</v>
      </c>
      <c r="CV19" s="9" t="s">
        <v>757</v>
      </c>
      <c r="DS19" s="9" t="s">
        <v>692</v>
      </c>
      <c r="DU19" s="9" t="s">
        <v>758</v>
      </c>
      <c r="DW19" s="9" t="s">
        <v>759</v>
      </c>
      <c r="DX19" s="9" t="s">
        <v>760</v>
      </c>
      <c r="DY19" s="9" t="s">
        <v>607</v>
      </c>
      <c r="EB19" s="9" t="s">
        <v>25</v>
      </c>
      <c r="ED19" s="9" t="s">
        <v>649</v>
      </c>
      <c r="EE19" s="9" t="s">
        <v>650</v>
      </c>
      <c r="EF19" s="9" t="s">
        <v>25</v>
      </c>
      <c r="EG19" s="9" t="s">
        <v>25</v>
      </c>
      <c r="EH19" s="9" t="s">
        <v>25</v>
      </c>
      <c r="EL19" s="9" t="s">
        <v>25</v>
      </c>
      <c r="EM19" s="9" t="s">
        <v>25</v>
      </c>
      <c r="EN19" s="9" t="s">
        <v>761</v>
      </c>
      <c r="EP19" s="9" t="s">
        <v>25</v>
      </c>
      <c r="ER19" s="9" t="s">
        <v>25</v>
      </c>
      <c r="ET19" s="9" t="s">
        <v>28</v>
      </c>
      <c r="EU19" s="9" t="s">
        <v>622</v>
      </c>
      <c r="EV19" s="39">
        <v>8500</v>
      </c>
      <c r="EX19" s="39">
        <v>8500</v>
      </c>
      <c r="EZ19" s="9" t="s">
        <v>607</v>
      </c>
      <c r="FB19" s="9" t="s">
        <v>28</v>
      </c>
      <c r="FC19" s="39">
        <v>600</v>
      </c>
      <c r="FD19" s="9" t="s">
        <v>762</v>
      </c>
      <c r="FF19" s="9" t="s">
        <v>13365</v>
      </c>
      <c r="FG19" s="9" t="s">
        <v>25</v>
      </c>
      <c r="FI19" s="42">
        <v>3000</v>
      </c>
      <c r="FJ19" s="9" t="s">
        <v>28</v>
      </c>
      <c r="FK19" s="9">
        <v>0</v>
      </c>
      <c r="FL19" s="9" t="s">
        <v>763</v>
      </c>
      <c r="FM19" s="9" t="s">
        <v>764</v>
      </c>
      <c r="FR19" s="9" t="s">
        <v>658</v>
      </c>
      <c r="FT19" s="9" t="s">
        <v>658</v>
      </c>
      <c r="FV19" s="9" t="s">
        <v>765</v>
      </c>
      <c r="FW19" s="39">
        <v>30</v>
      </c>
      <c r="FX19" s="9" t="s">
        <v>627</v>
      </c>
      <c r="FZ19" s="9" t="s">
        <v>25</v>
      </c>
      <c r="GB19" s="9" t="s">
        <v>663</v>
      </c>
      <c r="GL19" s="9" t="s">
        <v>630</v>
      </c>
      <c r="GM19" s="9" t="s">
        <v>629</v>
      </c>
      <c r="GN19" s="9" t="s">
        <v>630</v>
      </c>
      <c r="GO19" s="9" t="s">
        <v>630</v>
      </c>
      <c r="GP19" s="9" t="s">
        <v>631</v>
      </c>
      <c r="GQ19" s="9" t="s">
        <v>631</v>
      </c>
      <c r="GR19" s="9" t="s">
        <v>631</v>
      </c>
      <c r="GS19" s="9" t="s">
        <v>631</v>
      </c>
      <c r="GT19" s="9" t="s">
        <v>631</v>
      </c>
      <c r="GU19" s="9" t="s">
        <v>631</v>
      </c>
      <c r="GV19" s="9" t="s">
        <v>609</v>
      </c>
      <c r="GW19" s="9" t="s">
        <v>609</v>
      </c>
      <c r="GX19" s="9" t="s">
        <v>609</v>
      </c>
      <c r="GY19" s="9" t="s">
        <v>609</v>
      </c>
      <c r="GZ19" s="9" t="s">
        <v>631</v>
      </c>
      <c r="HA19" s="9" t="s">
        <v>631</v>
      </c>
      <c r="HB19" s="9" t="s">
        <v>609</v>
      </c>
      <c r="HC19" s="9" t="s">
        <v>631</v>
      </c>
      <c r="HD19" s="9" t="s">
        <v>631</v>
      </c>
      <c r="HE19" s="9" t="s">
        <v>609</v>
      </c>
      <c r="HF19" s="9" t="s">
        <v>609</v>
      </c>
      <c r="HG19" s="9" t="s">
        <v>631</v>
      </c>
      <c r="HH19" s="9" t="s">
        <v>609</v>
      </c>
      <c r="HI19" s="9" t="s">
        <v>632</v>
      </c>
      <c r="HJ19" s="9" t="s">
        <v>727</v>
      </c>
      <c r="HM19" s="9" t="s">
        <v>766</v>
      </c>
      <c r="HO19" s="9" t="s">
        <v>767</v>
      </c>
      <c r="HP19" s="9" t="s">
        <v>28</v>
      </c>
      <c r="HQ19" s="9" t="s">
        <v>668</v>
      </c>
      <c r="HR19" s="9" t="s">
        <v>28</v>
      </c>
      <c r="HS19" s="9" t="s">
        <v>28</v>
      </c>
      <c r="HT19" s="9" t="s">
        <v>25</v>
      </c>
      <c r="HU19" s="9" t="s">
        <v>28</v>
      </c>
      <c r="HV19" s="9" t="s">
        <v>25</v>
      </c>
      <c r="HW19" s="9" t="s">
        <v>28</v>
      </c>
      <c r="HX19" s="9" t="s">
        <v>25</v>
      </c>
      <c r="HZ19" s="9" t="s">
        <v>635</v>
      </c>
      <c r="IA19" s="9" t="s">
        <v>25</v>
      </c>
      <c r="IB19" s="9" t="s">
        <v>636</v>
      </c>
      <c r="IC19" s="9" t="s">
        <v>637</v>
      </c>
      <c r="IR19" s="9" t="s">
        <v>768</v>
      </c>
      <c r="IS19" s="9" t="s">
        <v>639</v>
      </c>
      <c r="IT19" s="9" t="s">
        <v>733</v>
      </c>
      <c r="IU19" s="49" t="s">
        <v>9337</v>
      </c>
      <c r="IV19" s="49" t="s">
        <v>9339</v>
      </c>
      <c r="IW19" s="9" t="s">
        <v>640</v>
      </c>
      <c r="IX19" s="9" t="s">
        <v>640</v>
      </c>
      <c r="IY19" s="9" t="s">
        <v>769</v>
      </c>
      <c r="IZ19" s="9" t="s">
        <v>769</v>
      </c>
      <c r="JA19" s="9" t="s">
        <v>704</v>
      </c>
      <c r="JB19" s="9" t="s">
        <v>642</v>
      </c>
    </row>
    <row r="20" spans="1:262" ht="102" x14ac:dyDescent="0.2">
      <c r="A20" s="8" t="s">
        <v>125</v>
      </c>
      <c r="B20" s="9" t="s">
        <v>25</v>
      </c>
      <c r="S20" s="9" t="s">
        <v>13316</v>
      </c>
      <c r="T20" s="9" t="s">
        <v>770</v>
      </c>
      <c r="U20" s="9" t="s">
        <v>28</v>
      </c>
      <c r="V20" s="39">
        <v>15000</v>
      </c>
      <c r="W20" s="9" t="s">
        <v>644</v>
      </c>
      <c r="Y20" s="39">
        <v>15000</v>
      </c>
      <c r="AB20" s="9" t="s">
        <v>645</v>
      </c>
      <c r="AD20" s="9" t="s">
        <v>13778</v>
      </c>
      <c r="AE20" s="9" t="s">
        <v>785</v>
      </c>
      <c r="AF20" s="9" t="s">
        <v>786</v>
      </c>
      <c r="AG20" s="9" t="s">
        <v>787</v>
      </c>
      <c r="AH20" s="9" t="s">
        <v>788</v>
      </c>
      <c r="AI20" s="9" t="s">
        <v>607</v>
      </c>
      <c r="AK20" s="9" t="s">
        <v>28</v>
      </c>
      <c r="AL20" s="9" t="s">
        <v>789</v>
      </c>
      <c r="AM20" s="9" t="s">
        <v>25</v>
      </c>
      <c r="AO20" s="9" t="s">
        <v>790</v>
      </c>
      <c r="AP20" s="9" t="s">
        <v>791</v>
      </c>
      <c r="AQ20" s="9" t="s">
        <v>13346</v>
      </c>
      <c r="AS20" s="9" t="s">
        <v>775</v>
      </c>
      <c r="AT20" s="9" t="s">
        <v>25</v>
      </c>
      <c r="AU20" s="9" t="s">
        <v>739</v>
      </c>
      <c r="AV20" s="9" t="s">
        <v>739</v>
      </c>
      <c r="AW20" s="9" t="s">
        <v>603</v>
      </c>
      <c r="AZ20" s="9" t="s">
        <v>741</v>
      </c>
      <c r="BA20" s="9" t="s">
        <v>604</v>
      </c>
      <c r="BB20" s="9" t="s">
        <v>604</v>
      </c>
      <c r="BC20" s="9" t="s">
        <v>741</v>
      </c>
      <c r="BD20" s="9" t="s">
        <v>679</v>
      </c>
      <c r="BE20" s="9" t="s">
        <v>604</v>
      </c>
      <c r="BF20" s="9" t="s">
        <v>775</v>
      </c>
      <c r="BG20" s="9" t="s">
        <v>25</v>
      </c>
      <c r="BH20" s="9" t="s">
        <v>739</v>
      </c>
      <c r="BJ20" s="9" t="s">
        <v>603</v>
      </c>
      <c r="BL20" s="9" t="s">
        <v>741</v>
      </c>
      <c r="BM20" s="9" t="s">
        <v>604</v>
      </c>
      <c r="BN20" s="9" t="s">
        <v>604</v>
      </c>
      <c r="BO20" s="9" t="s">
        <v>741</v>
      </c>
      <c r="BP20" s="9" t="s">
        <v>679</v>
      </c>
      <c r="BQ20" s="9" t="s">
        <v>604</v>
      </c>
      <c r="BR20" s="9" t="s">
        <v>607</v>
      </c>
      <c r="BS20" s="9" t="s">
        <v>792</v>
      </c>
      <c r="BT20" s="9" t="s">
        <v>793</v>
      </c>
      <c r="BU20" s="9" t="s">
        <v>609</v>
      </c>
      <c r="BW20" s="9" t="s">
        <v>794</v>
      </c>
      <c r="BX20" s="9" t="s">
        <v>28</v>
      </c>
      <c r="BY20" s="9" t="s">
        <v>644</v>
      </c>
      <c r="CA20" s="39">
        <v>15000</v>
      </c>
      <c r="CD20" s="9" t="s">
        <v>645</v>
      </c>
      <c r="CF20" s="9" t="s">
        <v>13350</v>
      </c>
      <c r="CH20" s="9" t="s">
        <v>777</v>
      </c>
      <c r="CJ20" s="9" t="s">
        <v>72</v>
      </c>
      <c r="CL20" s="9" t="s">
        <v>611</v>
      </c>
      <c r="CM20" s="9" t="s">
        <v>612</v>
      </c>
      <c r="CN20" s="9" t="s">
        <v>795</v>
      </c>
      <c r="DS20" s="9" t="s">
        <v>692</v>
      </c>
      <c r="DU20" s="9" t="s">
        <v>796</v>
      </c>
      <c r="DW20" s="9" t="s">
        <v>607</v>
      </c>
      <c r="DY20" s="9" t="s">
        <v>607</v>
      </c>
      <c r="EA20" s="9" t="s">
        <v>797</v>
      </c>
      <c r="EB20" s="9" t="s">
        <v>25</v>
      </c>
      <c r="ED20" s="9" t="s">
        <v>649</v>
      </c>
      <c r="EE20" s="9" t="s">
        <v>650</v>
      </c>
      <c r="EF20" s="9" t="s">
        <v>25</v>
      </c>
      <c r="EG20" s="9" t="s">
        <v>25</v>
      </c>
      <c r="EH20" s="9" t="s">
        <v>25</v>
      </c>
      <c r="EL20" s="9" t="s">
        <v>25</v>
      </c>
      <c r="EM20" s="9" t="s">
        <v>651</v>
      </c>
      <c r="EN20" s="9" t="s">
        <v>798</v>
      </c>
      <c r="EP20" s="9" t="s">
        <v>28</v>
      </c>
      <c r="EQ20" s="9" t="s">
        <v>799</v>
      </c>
      <c r="ER20" s="9" t="s">
        <v>25</v>
      </c>
      <c r="ET20" s="9" t="s">
        <v>28</v>
      </c>
      <c r="EU20" s="9" t="s">
        <v>622</v>
      </c>
      <c r="EV20" s="39">
        <v>5000</v>
      </c>
      <c r="EW20" s="39">
        <v>5000</v>
      </c>
      <c r="EX20" s="39">
        <v>5000</v>
      </c>
      <c r="EY20" s="39">
        <v>5000</v>
      </c>
      <c r="EZ20" s="9" t="s">
        <v>28</v>
      </c>
      <c r="FA20" s="9" t="s">
        <v>800</v>
      </c>
      <c r="FB20" s="9" t="s">
        <v>28</v>
      </c>
      <c r="FC20" s="39">
        <v>1000</v>
      </c>
      <c r="FD20" s="9" t="s">
        <v>13357</v>
      </c>
      <c r="FF20" s="9" t="s">
        <v>801</v>
      </c>
      <c r="FG20" s="9" t="s">
        <v>28</v>
      </c>
      <c r="FH20" s="9" t="s">
        <v>653</v>
      </c>
      <c r="FI20" s="42">
        <v>1000</v>
      </c>
      <c r="FJ20" s="9" t="s">
        <v>28</v>
      </c>
      <c r="FK20" s="9">
        <v>5</v>
      </c>
      <c r="FL20" s="9" t="s">
        <v>624</v>
      </c>
      <c r="FM20" s="9" t="s">
        <v>802</v>
      </c>
      <c r="FT20" s="9" t="s">
        <v>659</v>
      </c>
      <c r="FV20" s="9" t="s">
        <v>803</v>
      </c>
      <c r="FW20" s="39">
        <v>280</v>
      </c>
      <c r="FX20" s="9" t="s">
        <v>661</v>
      </c>
      <c r="FY20" s="9" t="s">
        <v>662</v>
      </c>
      <c r="FZ20" s="9" t="s">
        <v>28</v>
      </c>
      <c r="GA20" s="9" t="s">
        <v>28</v>
      </c>
      <c r="GB20" s="9" t="s">
        <v>663</v>
      </c>
      <c r="GC20" s="9" t="s">
        <v>28</v>
      </c>
      <c r="GD20" s="9" t="s">
        <v>25</v>
      </c>
      <c r="GE20" s="9" t="s">
        <v>28</v>
      </c>
      <c r="GF20" s="9" t="s">
        <v>25</v>
      </c>
      <c r="GG20" s="9" t="s">
        <v>25</v>
      </c>
      <c r="GH20" s="9" t="s">
        <v>25</v>
      </c>
      <c r="GI20" s="9" t="s">
        <v>25</v>
      </c>
      <c r="GJ20" s="9" t="s">
        <v>25</v>
      </c>
      <c r="GK20" s="9" t="s">
        <v>25</v>
      </c>
      <c r="GL20" s="9" t="s">
        <v>629</v>
      </c>
      <c r="GM20" s="9" t="s">
        <v>629</v>
      </c>
      <c r="GN20" s="9" t="s">
        <v>609</v>
      </c>
      <c r="GO20" s="9" t="s">
        <v>609</v>
      </c>
      <c r="GP20" s="9" t="s">
        <v>631</v>
      </c>
      <c r="GQ20" s="9" t="s">
        <v>609</v>
      </c>
      <c r="GR20" s="9" t="s">
        <v>631</v>
      </c>
      <c r="GS20" s="9" t="s">
        <v>609</v>
      </c>
      <c r="GT20" s="9" t="s">
        <v>609</v>
      </c>
      <c r="GU20" s="9" t="s">
        <v>609</v>
      </c>
      <c r="GV20" s="9" t="s">
        <v>609</v>
      </c>
      <c r="GW20" s="9" t="s">
        <v>609</v>
      </c>
      <c r="GX20" s="9" t="s">
        <v>609</v>
      </c>
      <c r="GY20" s="9" t="s">
        <v>631</v>
      </c>
      <c r="GZ20" s="9" t="s">
        <v>631</v>
      </c>
      <c r="HA20" s="9" t="s">
        <v>631</v>
      </c>
      <c r="HB20" s="9" t="s">
        <v>609</v>
      </c>
      <c r="HC20" s="9" t="s">
        <v>631</v>
      </c>
      <c r="HD20" s="9" t="s">
        <v>609</v>
      </c>
      <c r="HE20" s="9" t="s">
        <v>631</v>
      </c>
      <c r="HF20" s="9" t="s">
        <v>631</v>
      </c>
      <c r="HG20" s="9" t="s">
        <v>631</v>
      </c>
      <c r="HH20" s="9" t="s">
        <v>609</v>
      </c>
      <c r="HI20" s="9" t="s">
        <v>632</v>
      </c>
      <c r="HJ20" s="9" t="s">
        <v>701</v>
      </c>
      <c r="HL20" s="9" t="s">
        <v>2712</v>
      </c>
      <c r="HO20" s="9" t="s">
        <v>13387</v>
      </c>
      <c r="HP20" s="9" t="s">
        <v>28</v>
      </c>
      <c r="HQ20" s="9" t="s">
        <v>804</v>
      </c>
      <c r="HS20" s="9" t="s">
        <v>28</v>
      </c>
      <c r="HT20" s="9" t="s">
        <v>28</v>
      </c>
      <c r="HU20" s="9" t="s">
        <v>28</v>
      </c>
      <c r="HW20" s="9" t="s">
        <v>25</v>
      </c>
      <c r="HX20" s="9" t="s">
        <v>25</v>
      </c>
      <c r="HZ20" s="9" t="s">
        <v>635</v>
      </c>
      <c r="IA20" s="9" t="s">
        <v>25</v>
      </c>
      <c r="IB20" s="9" t="s">
        <v>670</v>
      </c>
      <c r="IC20" s="9" t="s">
        <v>13793</v>
      </c>
      <c r="ID20" s="9" t="s">
        <v>730</v>
      </c>
      <c r="IE20" s="11">
        <v>1</v>
      </c>
      <c r="IF20" s="11">
        <v>0.22</v>
      </c>
      <c r="IG20" s="9" t="s">
        <v>730</v>
      </c>
      <c r="IH20" s="11">
        <v>1</v>
      </c>
      <c r="II20" s="11">
        <v>0.21</v>
      </c>
      <c r="IJ20" s="9" t="s">
        <v>13396</v>
      </c>
      <c r="IK20" s="9" t="s">
        <v>805</v>
      </c>
      <c r="IL20" s="9" t="s">
        <v>805</v>
      </c>
      <c r="IM20" s="9" t="s">
        <v>731</v>
      </c>
      <c r="IN20" s="9" t="s">
        <v>731</v>
      </c>
      <c r="IO20" s="9" t="s">
        <v>730</v>
      </c>
      <c r="IP20" s="11">
        <v>1</v>
      </c>
      <c r="IQ20" s="11">
        <v>0.15</v>
      </c>
      <c r="IR20" s="9" t="s">
        <v>638</v>
      </c>
      <c r="IS20" s="9" t="s">
        <v>784</v>
      </c>
      <c r="IT20" s="9" t="s">
        <v>13408</v>
      </c>
      <c r="IV20" s="49" t="s">
        <v>9339</v>
      </c>
      <c r="IW20" s="9" t="s">
        <v>640</v>
      </c>
      <c r="IX20" s="9" t="s">
        <v>640</v>
      </c>
      <c r="IY20" s="9" t="s">
        <v>703</v>
      </c>
      <c r="IZ20" s="9" t="s">
        <v>640</v>
      </c>
      <c r="JA20" s="9" t="s">
        <v>806</v>
      </c>
      <c r="JB20" s="9" t="s">
        <v>642</v>
      </c>
    </row>
    <row r="21" spans="1:262" ht="76.5" x14ac:dyDescent="0.2">
      <c r="A21" s="8" t="s">
        <v>169</v>
      </c>
      <c r="B21" s="9" t="s">
        <v>25</v>
      </c>
      <c r="S21" s="9" t="s">
        <v>13341</v>
      </c>
      <c r="T21" s="9" t="s">
        <v>770</v>
      </c>
      <c r="U21" s="9" t="s">
        <v>28</v>
      </c>
      <c r="V21" s="39">
        <v>10000</v>
      </c>
      <c r="W21" s="9" t="s">
        <v>644</v>
      </c>
      <c r="Y21" s="39">
        <v>10000</v>
      </c>
      <c r="AB21" s="9" t="s">
        <v>645</v>
      </c>
      <c r="AD21" s="9" t="s">
        <v>13777</v>
      </c>
      <c r="AF21" s="9" t="s">
        <v>1184</v>
      </c>
      <c r="AG21" s="9" t="s">
        <v>1185</v>
      </c>
      <c r="AH21" s="9" t="s">
        <v>599</v>
      </c>
      <c r="AI21" s="9" t="s">
        <v>607</v>
      </c>
      <c r="AK21" s="9" t="s">
        <v>28</v>
      </c>
      <c r="AL21" s="9">
        <v>10</v>
      </c>
      <c r="AM21" s="9" t="s">
        <v>25</v>
      </c>
      <c r="AS21" s="9" t="s">
        <v>601</v>
      </c>
      <c r="AT21" s="9" t="s">
        <v>25</v>
      </c>
      <c r="AU21" s="9" t="s">
        <v>602</v>
      </c>
      <c r="AV21" s="9" t="s">
        <v>602</v>
      </c>
      <c r="AZ21" s="9" t="s">
        <v>604</v>
      </c>
      <c r="BA21" s="9" t="s">
        <v>741</v>
      </c>
      <c r="BB21" s="9" t="s">
        <v>604</v>
      </c>
      <c r="BC21" s="9" t="s">
        <v>741</v>
      </c>
      <c r="BD21" s="9" t="s">
        <v>679</v>
      </c>
      <c r="BE21" s="9" t="s">
        <v>741</v>
      </c>
      <c r="BF21" s="9" t="s">
        <v>601</v>
      </c>
      <c r="BG21" s="9" t="s">
        <v>25</v>
      </c>
      <c r="BH21" s="9" t="s">
        <v>602</v>
      </c>
      <c r="BI21" s="9" t="s">
        <v>602</v>
      </c>
      <c r="BJ21" s="9" t="s">
        <v>28</v>
      </c>
      <c r="BL21" s="9" t="s">
        <v>604</v>
      </c>
      <c r="BM21" s="9" t="s">
        <v>741</v>
      </c>
      <c r="BN21" s="9" t="s">
        <v>604</v>
      </c>
      <c r="BO21" s="9" t="s">
        <v>741</v>
      </c>
      <c r="BP21" s="9" t="s">
        <v>679</v>
      </c>
      <c r="BQ21" s="9" t="s">
        <v>741</v>
      </c>
      <c r="BR21" s="9" t="s">
        <v>607</v>
      </c>
      <c r="BS21" s="9" t="s">
        <v>13784</v>
      </c>
      <c r="BX21" s="9" t="s">
        <v>28</v>
      </c>
      <c r="BY21" s="9" t="s">
        <v>644</v>
      </c>
      <c r="CA21" s="39">
        <v>10000</v>
      </c>
      <c r="CD21" s="9" t="s">
        <v>673</v>
      </c>
      <c r="CF21" s="9" t="s">
        <v>13350</v>
      </c>
      <c r="CH21" s="9" t="s">
        <v>610</v>
      </c>
      <c r="CJ21" s="9" t="s">
        <v>856</v>
      </c>
      <c r="CL21" s="9" t="s">
        <v>611</v>
      </c>
      <c r="ED21" s="9" t="s">
        <v>695</v>
      </c>
      <c r="EE21" s="9" t="s">
        <v>650</v>
      </c>
      <c r="EF21" s="9" t="s">
        <v>25</v>
      </c>
      <c r="EG21" s="9" t="s">
        <v>25</v>
      </c>
      <c r="EH21" s="9" t="s">
        <v>25</v>
      </c>
      <c r="EL21" s="9" t="s">
        <v>28</v>
      </c>
      <c r="EM21" s="9" t="s">
        <v>25</v>
      </c>
      <c r="FC21" s="39">
        <v>1500</v>
      </c>
      <c r="FD21" s="9" t="s">
        <v>1186</v>
      </c>
      <c r="FF21" s="9" t="s">
        <v>1187</v>
      </c>
      <c r="FL21" s="9" t="s">
        <v>624</v>
      </c>
      <c r="FM21" s="9" t="s">
        <v>1188</v>
      </c>
      <c r="FN21" s="9" t="s">
        <v>659</v>
      </c>
      <c r="FP21" s="9" t="s">
        <v>659</v>
      </c>
      <c r="FS21" s="9" t="s">
        <v>658</v>
      </c>
      <c r="FV21" s="9" t="s">
        <v>1189</v>
      </c>
      <c r="FW21" s="39">
        <v>280</v>
      </c>
      <c r="GB21" s="9" t="s">
        <v>663</v>
      </c>
      <c r="HO21" s="9" t="s">
        <v>13391</v>
      </c>
      <c r="HP21" s="9" t="s">
        <v>28</v>
      </c>
      <c r="HQ21" s="9" t="s">
        <v>804</v>
      </c>
      <c r="HR21" s="9" t="s">
        <v>28</v>
      </c>
      <c r="HS21" s="9" t="s">
        <v>28</v>
      </c>
      <c r="HT21" s="9" t="s">
        <v>28</v>
      </c>
      <c r="HU21" s="9" t="s">
        <v>28</v>
      </c>
      <c r="HV21" s="9" t="s">
        <v>25</v>
      </c>
      <c r="HW21" s="9" t="s">
        <v>25</v>
      </c>
      <c r="HX21" s="9" t="s">
        <v>28</v>
      </c>
      <c r="HY21" s="9" t="s">
        <v>850</v>
      </c>
      <c r="HZ21" s="9" t="s">
        <v>635</v>
      </c>
      <c r="IA21" s="9" t="s">
        <v>25</v>
      </c>
      <c r="IB21" s="9" t="s">
        <v>636</v>
      </c>
      <c r="IC21" s="9" t="s">
        <v>13793</v>
      </c>
      <c r="ID21" s="9" t="s">
        <v>730</v>
      </c>
      <c r="IE21" s="11">
        <v>1</v>
      </c>
      <c r="IF21" s="11">
        <v>7.0000000000000007E-2</v>
      </c>
      <c r="IG21" s="9" t="s">
        <v>730</v>
      </c>
      <c r="IH21" s="11">
        <v>1</v>
      </c>
      <c r="II21" s="11">
        <v>1</v>
      </c>
      <c r="IJ21" s="9" t="s">
        <v>13397</v>
      </c>
      <c r="IK21" s="9" t="s">
        <v>805</v>
      </c>
      <c r="IL21" s="9" t="s">
        <v>731</v>
      </c>
      <c r="IM21" s="9" t="s">
        <v>731</v>
      </c>
      <c r="IN21" s="9" t="s">
        <v>731</v>
      </c>
      <c r="IO21" s="9" t="s">
        <v>730</v>
      </c>
      <c r="IP21" s="11">
        <v>1</v>
      </c>
      <c r="IQ21" s="11">
        <v>0.11</v>
      </c>
      <c r="IR21" s="9" t="s">
        <v>638</v>
      </c>
      <c r="IS21" s="9" t="s">
        <v>732</v>
      </c>
      <c r="IT21" s="9" t="s">
        <v>733</v>
      </c>
      <c r="IU21" s="50" t="s">
        <v>9338</v>
      </c>
      <c r="IV21" s="49" t="s">
        <v>9340</v>
      </c>
      <c r="IW21" s="9" t="s">
        <v>640</v>
      </c>
      <c r="IX21" s="9" t="s">
        <v>640</v>
      </c>
      <c r="IY21" s="9" t="s">
        <v>640</v>
      </c>
      <c r="IZ21" s="9" t="s">
        <v>640</v>
      </c>
      <c r="JA21" s="9" t="s">
        <v>1190</v>
      </c>
      <c r="JB21" s="9" t="s">
        <v>713</v>
      </c>
    </row>
    <row r="22" spans="1:262" ht="89.25" x14ac:dyDescent="0.2">
      <c r="A22" s="8" t="s">
        <v>159</v>
      </c>
      <c r="B22" s="9" t="s">
        <v>25</v>
      </c>
      <c r="S22" s="9" t="s">
        <v>13338</v>
      </c>
      <c r="T22" s="9" t="s">
        <v>595</v>
      </c>
      <c r="U22" s="9" t="s">
        <v>28</v>
      </c>
      <c r="V22" s="39">
        <v>10000</v>
      </c>
      <c r="W22" s="9" t="s">
        <v>29</v>
      </c>
      <c r="X22" s="9" t="s">
        <v>13776</v>
      </c>
      <c r="Y22" s="39">
        <v>10000</v>
      </c>
      <c r="AB22" s="9" t="s">
        <v>1053</v>
      </c>
      <c r="AC22" s="9" t="s">
        <v>1099</v>
      </c>
      <c r="AD22" s="9" t="s">
        <v>1100</v>
      </c>
      <c r="AE22" s="9" t="s">
        <v>1101</v>
      </c>
      <c r="AF22" s="9" t="s">
        <v>786</v>
      </c>
      <c r="AG22" s="9" t="s">
        <v>1102</v>
      </c>
      <c r="AO22" s="9" t="s">
        <v>1103</v>
      </c>
      <c r="AP22" s="9">
        <v>0</v>
      </c>
      <c r="AQ22" s="9" t="s">
        <v>1104</v>
      </c>
      <c r="AS22" s="9" t="s">
        <v>601</v>
      </c>
      <c r="AT22" s="9" t="s">
        <v>25</v>
      </c>
      <c r="AU22" s="9" t="s">
        <v>602</v>
      </c>
      <c r="AV22" s="9" t="s">
        <v>602</v>
      </c>
      <c r="AW22" s="9" t="s">
        <v>678</v>
      </c>
      <c r="AY22" s="9">
        <v>2</v>
      </c>
      <c r="AZ22" s="9" t="s">
        <v>741</v>
      </c>
      <c r="BC22" s="9" t="s">
        <v>741</v>
      </c>
      <c r="BD22" s="9" t="s">
        <v>679</v>
      </c>
      <c r="BE22" s="9" t="s">
        <v>741</v>
      </c>
      <c r="BF22" s="9" t="s">
        <v>601</v>
      </c>
      <c r="BG22" s="9" t="s">
        <v>25</v>
      </c>
      <c r="BH22" s="9" t="s">
        <v>602</v>
      </c>
      <c r="BI22" s="9" t="s">
        <v>602</v>
      </c>
      <c r="BJ22" s="9" t="s">
        <v>603</v>
      </c>
      <c r="BL22" s="9" t="s">
        <v>741</v>
      </c>
      <c r="BO22" s="9" t="s">
        <v>741</v>
      </c>
      <c r="BP22" s="9" t="s">
        <v>679</v>
      </c>
      <c r="BQ22" s="9" t="s">
        <v>741</v>
      </c>
      <c r="BR22" s="9" t="s">
        <v>607</v>
      </c>
      <c r="BS22" s="9" t="s">
        <v>1105</v>
      </c>
      <c r="BW22" s="9" t="s">
        <v>1106</v>
      </c>
      <c r="BX22" s="9" t="s">
        <v>28</v>
      </c>
      <c r="BY22" s="9" t="s">
        <v>644</v>
      </c>
      <c r="CA22" s="39">
        <v>20000</v>
      </c>
      <c r="CD22" s="9" t="s">
        <v>1053</v>
      </c>
      <c r="CE22" s="9" t="s">
        <v>1107</v>
      </c>
      <c r="CF22" s="9" t="s">
        <v>1108</v>
      </c>
      <c r="CG22" s="9" t="s">
        <v>1107</v>
      </c>
      <c r="CH22" s="9" t="s">
        <v>684</v>
      </c>
      <c r="CI22" s="9" t="s">
        <v>1109</v>
      </c>
      <c r="CJ22" s="9" t="s">
        <v>72</v>
      </c>
      <c r="CM22" s="9" t="s">
        <v>635</v>
      </c>
      <c r="ED22" s="9" t="s">
        <v>695</v>
      </c>
      <c r="EE22" s="9" t="s">
        <v>650</v>
      </c>
      <c r="EF22" s="9" t="s">
        <v>25</v>
      </c>
      <c r="EG22" s="9" t="s">
        <v>25</v>
      </c>
      <c r="EH22" s="9" t="s">
        <v>25</v>
      </c>
      <c r="EL22" s="9" t="s">
        <v>28</v>
      </c>
      <c r="EM22" s="9" t="s">
        <v>651</v>
      </c>
      <c r="FC22" s="39">
        <v>750</v>
      </c>
      <c r="FD22" s="9" t="s">
        <v>13357</v>
      </c>
      <c r="FF22" s="9" t="s">
        <v>1110</v>
      </c>
      <c r="FG22" s="9" t="s">
        <v>28</v>
      </c>
      <c r="FH22" s="9" t="s">
        <v>621</v>
      </c>
      <c r="FI22" s="42">
        <v>1000</v>
      </c>
      <c r="FJ22" s="9" t="s">
        <v>28</v>
      </c>
      <c r="FK22" s="9">
        <v>5</v>
      </c>
      <c r="FL22" s="9" t="s">
        <v>624</v>
      </c>
      <c r="FM22" s="9" t="s">
        <v>1111</v>
      </c>
      <c r="FN22" s="9" t="s">
        <v>657</v>
      </c>
      <c r="FO22" s="9" t="s">
        <v>657</v>
      </c>
      <c r="FP22" s="9" t="s">
        <v>657</v>
      </c>
      <c r="FU22" s="9" t="s">
        <v>657</v>
      </c>
      <c r="FV22" s="9" t="s">
        <v>834</v>
      </c>
      <c r="FW22" s="39">
        <v>150</v>
      </c>
      <c r="FX22" s="9" t="s">
        <v>627</v>
      </c>
      <c r="FZ22" s="9" t="s">
        <v>28</v>
      </c>
      <c r="GA22" s="9" t="s">
        <v>28</v>
      </c>
      <c r="GB22" s="9" t="s">
        <v>628</v>
      </c>
      <c r="GL22" s="9" t="s">
        <v>629</v>
      </c>
      <c r="GM22" s="9" t="s">
        <v>629</v>
      </c>
      <c r="GN22" s="9" t="s">
        <v>629</v>
      </c>
      <c r="GO22" s="9" t="s">
        <v>629</v>
      </c>
      <c r="GP22" s="9" t="s">
        <v>629</v>
      </c>
      <c r="GQ22" s="9" t="s">
        <v>631</v>
      </c>
      <c r="GR22" s="9" t="s">
        <v>631</v>
      </c>
      <c r="GS22" s="9" t="s">
        <v>631</v>
      </c>
      <c r="GT22" s="9" t="s">
        <v>631</v>
      </c>
      <c r="GU22" s="9" t="s">
        <v>631</v>
      </c>
      <c r="GV22" s="9" t="s">
        <v>631</v>
      </c>
      <c r="GW22" s="9" t="s">
        <v>631</v>
      </c>
      <c r="GX22" s="9" t="s">
        <v>631</v>
      </c>
      <c r="GY22" s="9" t="s">
        <v>631</v>
      </c>
      <c r="GZ22" s="9" t="s">
        <v>631</v>
      </c>
      <c r="HA22" s="9" t="s">
        <v>631</v>
      </c>
      <c r="HB22" s="9" t="s">
        <v>631</v>
      </c>
      <c r="HC22" s="9" t="s">
        <v>631</v>
      </c>
      <c r="HD22" s="9" t="s">
        <v>631</v>
      </c>
      <c r="HE22" s="9" t="s">
        <v>631</v>
      </c>
      <c r="HF22" s="9" t="s">
        <v>609</v>
      </c>
      <c r="HG22" s="9" t="s">
        <v>631</v>
      </c>
      <c r="HH22" s="9" t="s">
        <v>609</v>
      </c>
      <c r="HP22" s="9" t="s">
        <v>28</v>
      </c>
      <c r="HQ22" s="9" t="s">
        <v>29</v>
      </c>
      <c r="HR22" s="9" t="s">
        <v>25</v>
      </c>
      <c r="HS22" s="9" t="s">
        <v>28</v>
      </c>
      <c r="HT22" s="9" t="s">
        <v>25</v>
      </c>
      <c r="HU22" s="9" t="s">
        <v>25</v>
      </c>
      <c r="HV22" s="9" t="s">
        <v>28</v>
      </c>
      <c r="HW22" s="9" t="s">
        <v>25</v>
      </c>
      <c r="HX22" s="9" t="s">
        <v>25</v>
      </c>
      <c r="HZ22" s="9" t="s">
        <v>635</v>
      </c>
      <c r="IA22" s="9" t="s">
        <v>25</v>
      </c>
      <c r="IB22" s="9" t="s">
        <v>636</v>
      </c>
      <c r="IC22" s="9" t="s">
        <v>13793</v>
      </c>
      <c r="ID22" s="9" t="s">
        <v>730</v>
      </c>
      <c r="IE22" s="11">
        <v>1</v>
      </c>
      <c r="IF22" s="11">
        <v>0.19</v>
      </c>
      <c r="IG22" s="9" t="s">
        <v>827</v>
      </c>
      <c r="IH22" s="11">
        <v>1</v>
      </c>
      <c r="II22" s="11">
        <v>0.16</v>
      </c>
      <c r="IJ22" s="9" t="s">
        <v>13805</v>
      </c>
      <c r="IK22" s="9" t="s">
        <v>805</v>
      </c>
      <c r="IL22" s="9" t="s">
        <v>731</v>
      </c>
      <c r="IM22" s="9" t="s">
        <v>731</v>
      </c>
      <c r="IN22" s="9" t="s">
        <v>731</v>
      </c>
      <c r="IO22" s="9" t="s">
        <v>711</v>
      </c>
      <c r="IP22" s="11">
        <v>1</v>
      </c>
      <c r="IQ22" s="11">
        <v>0.15</v>
      </c>
      <c r="IR22" s="9" t="s">
        <v>768</v>
      </c>
      <c r="IS22" s="9" t="s">
        <v>784</v>
      </c>
      <c r="IT22" s="9" t="s">
        <v>733</v>
      </c>
      <c r="IU22" s="9" t="s">
        <v>702</v>
      </c>
      <c r="IV22" s="49" t="s">
        <v>9337</v>
      </c>
      <c r="IW22" s="9" t="s">
        <v>640</v>
      </c>
      <c r="IX22" s="9" t="s">
        <v>640</v>
      </c>
      <c r="IY22" s="9" t="s">
        <v>640</v>
      </c>
      <c r="IZ22" s="9" t="s">
        <v>640</v>
      </c>
      <c r="JA22" s="9" t="s">
        <v>704</v>
      </c>
      <c r="JB22" s="9" t="s">
        <v>642</v>
      </c>
    </row>
    <row r="23" spans="1:262" ht="89.25" x14ac:dyDescent="0.2">
      <c r="A23" s="8" t="s">
        <v>166</v>
      </c>
      <c r="B23" s="9" t="s">
        <v>25</v>
      </c>
      <c r="S23" s="9" t="s">
        <v>13326</v>
      </c>
      <c r="T23" s="9" t="s">
        <v>595</v>
      </c>
      <c r="U23" s="9" t="s">
        <v>28</v>
      </c>
      <c r="V23" s="39">
        <v>5000</v>
      </c>
      <c r="W23" s="9" t="s">
        <v>808</v>
      </c>
      <c r="Y23" s="39">
        <v>5000</v>
      </c>
      <c r="Z23" s="39">
        <v>5000</v>
      </c>
      <c r="AA23" s="9">
        <v>5000</v>
      </c>
      <c r="AB23" s="9" t="s">
        <v>673</v>
      </c>
      <c r="AD23" s="9" t="s">
        <v>646</v>
      </c>
      <c r="AF23" s="9" t="s">
        <v>714</v>
      </c>
      <c r="AH23" s="9" t="s">
        <v>599</v>
      </c>
      <c r="AI23" s="9" t="s">
        <v>607</v>
      </c>
      <c r="AK23" s="9" t="s">
        <v>607</v>
      </c>
      <c r="AM23" s="9" t="s">
        <v>25</v>
      </c>
      <c r="AO23" s="9" t="s">
        <v>737</v>
      </c>
      <c r="AQ23" s="9" t="s">
        <v>1155</v>
      </c>
      <c r="AS23" s="9" t="s">
        <v>864</v>
      </c>
      <c r="AT23" s="9" t="s">
        <v>25</v>
      </c>
      <c r="AV23" s="9" t="s">
        <v>602</v>
      </c>
      <c r="AW23" s="9" t="s">
        <v>740</v>
      </c>
      <c r="AX23" s="39">
        <v>30000</v>
      </c>
      <c r="AZ23" s="9" t="s">
        <v>741</v>
      </c>
      <c r="BA23" s="9" t="s">
        <v>741</v>
      </c>
      <c r="BC23" s="9" t="s">
        <v>741</v>
      </c>
      <c r="BD23" s="9" t="s">
        <v>604</v>
      </c>
      <c r="BF23" s="9" t="s">
        <v>864</v>
      </c>
      <c r="BG23" s="9" t="s">
        <v>25</v>
      </c>
      <c r="BI23" s="9" t="s">
        <v>602</v>
      </c>
      <c r="BJ23" s="9" t="s">
        <v>28</v>
      </c>
      <c r="BK23" s="39">
        <v>30000</v>
      </c>
      <c r="BL23" s="9" t="s">
        <v>741</v>
      </c>
      <c r="BM23" s="9" t="s">
        <v>741</v>
      </c>
      <c r="BO23" s="9" t="s">
        <v>741</v>
      </c>
      <c r="BR23" s="9" t="s">
        <v>607</v>
      </c>
      <c r="BS23" s="9" t="s">
        <v>13783</v>
      </c>
      <c r="BT23" s="9" t="s">
        <v>1156</v>
      </c>
      <c r="BV23" s="9" t="s">
        <v>1157</v>
      </c>
      <c r="BW23" s="9" t="s">
        <v>1158</v>
      </c>
      <c r="CM23" s="9" t="s">
        <v>719</v>
      </c>
      <c r="CO23" s="9" t="s">
        <v>1159</v>
      </c>
      <c r="CP23" s="9" t="s">
        <v>891</v>
      </c>
      <c r="CR23" s="9" t="s">
        <v>1160</v>
      </c>
      <c r="CS23" s="9" t="s">
        <v>1161</v>
      </c>
      <c r="CT23" s="9" t="s">
        <v>1038</v>
      </c>
      <c r="DS23" s="9" t="s">
        <v>692</v>
      </c>
      <c r="DU23" s="9" t="s">
        <v>693</v>
      </c>
      <c r="DW23" s="9" t="s">
        <v>607</v>
      </c>
      <c r="DY23" s="9" t="s">
        <v>607</v>
      </c>
      <c r="EA23" s="9" t="s">
        <v>1162</v>
      </c>
      <c r="EB23" s="9" t="s">
        <v>25</v>
      </c>
      <c r="ED23" s="9" t="s">
        <v>649</v>
      </c>
      <c r="EE23" s="9" t="s">
        <v>650</v>
      </c>
      <c r="EF23" s="9" t="s">
        <v>25</v>
      </c>
      <c r="EG23" s="9" t="s">
        <v>25</v>
      </c>
      <c r="EH23" s="9" t="s">
        <v>25</v>
      </c>
      <c r="EL23" s="9" t="s">
        <v>25</v>
      </c>
      <c r="EM23" s="9" t="s">
        <v>651</v>
      </c>
      <c r="EN23" s="9" t="s">
        <v>652</v>
      </c>
      <c r="EP23" s="9" t="s">
        <v>28</v>
      </c>
      <c r="EQ23" s="9" t="s">
        <v>653</v>
      </c>
      <c r="ER23" s="9" t="s">
        <v>25</v>
      </c>
      <c r="ET23" s="9" t="s">
        <v>28</v>
      </c>
      <c r="EU23" s="9" t="s">
        <v>622</v>
      </c>
      <c r="EV23" s="39">
        <v>5250</v>
      </c>
      <c r="EW23" s="39">
        <v>5250</v>
      </c>
      <c r="EX23" s="39">
        <v>5250</v>
      </c>
      <c r="EY23" s="39">
        <v>5250</v>
      </c>
      <c r="EZ23" s="9" t="s">
        <v>28</v>
      </c>
      <c r="FA23" s="9" t="s">
        <v>1163</v>
      </c>
      <c r="FB23" s="9" t="s">
        <v>28</v>
      </c>
      <c r="FC23" s="39">
        <v>300</v>
      </c>
      <c r="FD23" s="9" t="s">
        <v>811</v>
      </c>
      <c r="FF23" s="9" t="s">
        <v>13372</v>
      </c>
      <c r="FG23" s="9" t="s">
        <v>28</v>
      </c>
      <c r="FH23" s="9" t="s">
        <v>653</v>
      </c>
      <c r="FI23" s="42">
        <v>1000</v>
      </c>
      <c r="FJ23" s="9" t="s">
        <v>25</v>
      </c>
      <c r="FL23" s="9" t="s">
        <v>624</v>
      </c>
      <c r="FM23" s="9" t="s">
        <v>1164</v>
      </c>
      <c r="FN23" s="9" t="s">
        <v>659</v>
      </c>
      <c r="FO23" s="9" t="s">
        <v>659</v>
      </c>
      <c r="FP23" s="9" t="s">
        <v>659</v>
      </c>
      <c r="FQ23" s="9" t="s">
        <v>658</v>
      </c>
      <c r="FR23" s="9" t="s">
        <v>658</v>
      </c>
      <c r="FT23" s="9" t="s">
        <v>658</v>
      </c>
      <c r="FV23" s="9" t="s">
        <v>1165</v>
      </c>
      <c r="FW23" s="39">
        <v>270</v>
      </c>
      <c r="FX23" s="9" t="s">
        <v>25</v>
      </c>
      <c r="FZ23" s="9" t="s">
        <v>25</v>
      </c>
      <c r="GB23" s="9" t="s">
        <v>628</v>
      </c>
      <c r="GC23" s="9" t="s">
        <v>28</v>
      </c>
      <c r="GD23" s="9" t="s">
        <v>28</v>
      </c>
      <c r="GE23" s="9" t="s">
        <v>28</v>
      </c>
      <c r="GF23" s="9" t="s">
        <v>28</v>
      </c>
      <c r="GG23" s="9" t="s">
        <v>28</v>
      </c>
      <c r="GH23" s="9" t="s">
        <v>664</v>
      </c>
      <c r="GI23" s="9" t="s">
        <v>664</v>
      </c>
      <c r="GJ23" s="9" t="s">
        <v>664</v>
      </c>
      <c r="GK23" s="9" t="s">
        <v>25</v>
      </c>
      <c r="GL23" s="9" t="s">
        <v>629</v>
      </c>
      <c r="GM23" s="9" t="s">
        <v>629</v>
      </c>
      <c r="GN23" s="9" t="s">
        <v>630</v>
      </c>
      <c r="GO23" s="9" t="s">
        <v>630</v>
      </c>
      <c r="GP23" s="9" t="s">
        <v>630</v>
      </c>
      <c r="GQ23" s="9" t="s">
        <v>631</v>
      </c>
      <c r="GR23" s="9" t="s">
        <v>631</v>
      </c>
      <c r="GS23" s="9" t="s">
        <v>609</v>
      </c>
      <c r="GT23" s="9" t="s">
        <v>631</v>
      </c>
      <c r="GU23" s="9" t="s">
        <v>631</v>
      </c>
      <c r="GV23" s="9" t="s">
        <v>609</v>
      </c>
      <c r="GW23" s="9" t="s">
        <v>609</v>
      </c>
      <c r="GX23" s="9" t="s">
        <v>631</v>
      </c>
      <c r="GY23" s="9" t="s">
        <v>631</v>
      </c>
      <c r="GZ23" s="9" t="s">
        <v>609</v>
      </c>
      <c r="HA23" s="9" t="s">
        <v>631</v>
      </c>
      <c r="HB23" s="9" t="s">
        <v>631</v>
      </c>
      <c r="HC23" s="9" t="s">
        <v>631</v>
      </c>
      <c r="HD23" s="9" t="s">
        <v>631</v>
      </c>
      <c r="HE23" s="9" t="s">
        <v>631</v>
      </c>
      <c r="HF23" s="9" t="s">
        <v>609</v>
      </c>
      <c r="HG23" s="9" t="s">
        <v>631</v>
      </c>
      <c r="HH23" s="9" t="s">
        <v>630</v>
      </c>
      <c r="HO23" s="9" t="s">
        <v>633</v>
      </c>
      <c r="HP23" s="9" t="s">
        <v>28</v>
      </c>
      <c r="HQ23" s="9" t="s">
        <v>804</v>
      </c>
      <c r="HR23" s="9" t="s">
        <v>28</v>
      </c>
      <c r="HS23" s="9" t="s">
        <v>28</v>
      </c>
      <c r="HU23" s="9" t="s">
        <v>25</v>
      </c>
      <c r="HV23" s="9" t="s">
        <v>25</v>
      </c>
      <c r="HW23" s="9" t="s">
        <v>25</v>
      </c>
      <c r="HX23" s="9" t="s">
        <v>25</v>
      </c>
      <c r="HZ23" s="9" t="s">
        <v>635</v>
      </c>
      <c r="IA23" s="9" t="s">
        <v>25</v>
      </c>
      <c r="IB23" s="9" t="s">
        <v>636</v>
      </c>
      <c r="IC23" s="9" t="s">
        <v>637</v>
      </c>
      <c r="IR23" s="9" t="s">
        <v>638</v>
      </c>
      <c r="IS23" s="9" t="s">
        <v>784</v>
      </c>
      <c r="IT23" s="9" t="s">
        <v>712</v>
      </c>
      <c r="IU23" s="9" t="s">
        <v>702</v>
      </c>
      <c r="IV23" s="9" t="s">
        <v>702</v>
      </c>
      <c r="IW23" s="9" t="s">
        <v>703</v>
      </c>
      <c r="IX23" s="9" t="s">
        <v>640</v>
      </c>
      <c r="IY23" s="9" t="s">
        <v>703</v>
      </c>
      <c r="IZ23" s="9" t="s">
        <v>703</v>
      </c>
      <c r="JA23" s="9" t="s">
        <v>1166</v>
      </c>
      <c r="JB23" s="9" t="s">
        <v>642</v>
      </c>
    </row>
    <row r="24" spans="1:262" ht="102" x14ac:dyDescent="0.2">
      <c r="A24" s="8" t="s">
        <v>157</v>
      </c>
      <c r="B24" s="9" t="s">
        <v>25</v>
      </c>
      <c r="S24" s="9" t="s">
        <v>13337</v>
      </c>
      <c r="T24" s="9" t="s">
        <v>770</v>
      </c>
      <c r="U24" s="9" t="s">
        <v>28</v>
      </c>
      <c r="V24" s="39">
        <v>5000</v>
      </c>
      <c r="W24" s="9" t="s">
        <v>29</v>
      </c>
      <c r="AB24" s="9" t="s">
        <v>734</v>
      </c>
      <c r="AD24" s="9" t="s">
        <v>29</v>
      </c>
      <c r="AE24" s="9" t="s">
        <v>1090</v>
      </c>
      <c r="AF24" s="9" t="s">
        <v>714</v>
      </c>
      <c r="AH24" s="9" t="s">
        <v>599</v>
      </c>
      <c r="AI24" s="9" t="s">
        <v>819</v>
      </c>
      <c r="AK24" s="9" t="s">
        <v>28</v>
      </c>
      <c r="AL24" s="9">
        <v>10</v>
      </c>
      <c r="AM24" s="9" t="s">
        <v>28</v>
      </c>
      <c r="AN24" s="39">
        <v>1500</v>
      </c>
      <c r="AO24" s="9" t="s">
        <v>715</v>
      </c>
      <c r="AP24" s="9">
        <v>10</v>
      </c>
      <c r="AS24" s="9" t="s">
        <v>864</v>
      </c>
      <c r="AT24" s="9" t="s">
        <v>25</v>
      </c>
      <c r="AW24" s="9" t="s">
        <v>678</v>
      </c>
      <c r="AY24" s="9">
        <v>2</v>
      </c>
      <c r="AZ24" s="9" t="s">
        <v>605</v>
      </c>
      <c r="BC24" s="9" t="s">
        <v>605</v>
      </c>
      <c r="BD24" s="9" t="s">
        <v>679</v>
      </c>
      <c r="BF24" s="9" t="s">
        <v>864</v>
      </c>
      <c r="BG24" s="9" t="s">
        <v>25</v>
      </c>
      <c r="BJ24" s="9" t="s">
        <v>603</v>
      </c>
      <c r="BL24" s="9" t="s">
        <v>605</v>
      </c>
      <c r="BO24" s="9" t="s">
        <v>605</v>
      </c>
      <c r="BP24" s="9" t="s">
        <v>679</v>
      </c>
      <c r="BR24" s="9" t="s">
        <v>819</v>
      </c>
      <c r="BS24" s="9" t="s">
        <v>1091</v>
      </c>
      <c r="BT24" s="9" t="s">
        <v>608</v>
      </c>
      <c r="BU24" s="9" t="s">
        <v>609</v>
      </c>
      <c r="BX24" s="9" t="s">
        <v>28</v>
      </c>
      <c r="BY24" s="9" t="s">
        <v>644</v>
      </c>
      <c r="CA24" s="39">
        <v>20000</v>
      </c>
      <c r="CB24" s="39">
        <v>20000</v>
      </c>
      <c r="CC24" s="9">
        <v>2</v>
      </c>
      <c r="CD24" s="9" t="s">
        <v>734</v>
      </c>
      <c r="CF24" s="9" t="s">
        <v>29</v>
      </c>
      <c r="CG24" s="9" t="s">
        <v>1090</v>
      </c>
      <c r="CJ24" s="9" t="s">
        <v>856</v>
      </c>
      <c r="CL24" s="9" t="s">
        <v>611</v>
      </c>
      <c r="CM24" s="9" t="s">
        <v>719</v>
      </c>
      <c r="CO24" s="9" t="s">
        <v>890</v>
      </c>
      <c r="CP24" s="9" t="s">
        <v>891</v>
      </c>
      <c r="CS24" s="28">
        <v>20000</v>
      </c>
      <c r="DS24" s="9" t="s">
        <v>692</v>
      </c>
      <c r="DU24" s="9" t="s">
        <v>758</v>
      </c>
      <c r="DW24" s="9" t="s">
        <v>819</v>
      </c>
      <c r="DY24" s="9" t="s">
        <v>819</v>
      </c>
      <c r="EA24" s="9" t="s">
        <v>1092</v>
      </c>
      <c r="EB24" s="9" t="s">
        <v>25</v>
      </c>
      <c r="ED24" s="9" t="s">
        <v>695</v>
      </c>
      <c r="EE24" s="9" t="s">
        <v>650</v>
      </c>
      <c r="EF24" s="9" t="s">
        <v>25</v>
      </c>
      <c r="EG24" s="9" t="s">
        <v>25</v>
      </c>
      <c r="EH24" s="9" t="s">
        <v>25</v>
      </c>
      <c r="EL24" s="9" t="s">
        <v>25</v>
      </c>
      <c r="EM24" s="9" t="s">
        <v>651</v>
      </c>
      <c r="FC24" s="39">
        <v>500</v>
      </c>
      <c r="FD24" s="9" t="s">
        <v>724</v>
      </c>
      <c r="FF24" s="9" t="s">
        <v>869</v>
      </c>
      <c r="FG24" s="9" t="s">
        <v>25</v>
      </c>
      <c r="FJ24" s="9" t="s">
        <v>25</v>
      </c>
      <c r="FL24" s="9" t="s">
        <v>624</v>
      </c>
      <c r="FM24" s="9" t="s">
        <v>779</v>
      </c>
      <c r="FN24" s="9" t="s">
        <v>659</v>
      </c>
      <c r="FO24" s="9" t="s">
        <v>659</v>
      </c>
      <c r="FT24" s="9" t="s">
        <v>659</v>
      </c>
      <c r="FV24" s="9" t="s">
        <v>1093</v>
      </c>
      <c r="FW24" s="39">
        <v>270</v>
      </c>
      <c r="FX24" s="9" t="s">
        <v>25</v>
      </c>
      <c r="FZ24" s="9" t="s">
        <v>28</v>
      </c>
      <c r="GA24" s="9" t="s">
        <v>28</v>
      </c>
      <c r="GB24" s="9" t="s">
        <v>628</v>
      </c>
      <c r="GC24" s="9" t="s">
        <v>28</v>
      </c>
      <c r="GD24" s="9" t="s">
        <v>25</v>
      </c>
      <c r="GE24" s="9" t="s">
        <v>28</v>
      </c>
      <c r="GF24" s="9" t="s">
        <v>28</v>
      </c>
      <c r="GG24" s="9" t="s">
        <v>25</v>
      </c>
      <c r="GH24" s="9" t="s">
        <v>25</v>
      </c>
      <c r="GI24" s="9" t="s">
        <v>25</v>
      </c>
      <c r="GJ24" s="9" t="s">
        <v>25</v>
      </c>
      <c r="GK24" s="9" t="s">
        <v>25</v>
      </c>
      <c r="HO24" s="9" t="s">
        <v>13392</v>
      </c>
      <c r="HP24" s="9" t="s">
        <v>25</v>
      </c>
      <c r="IC24" s="9" t="s">
        <v>13794</v>
      </c>
      <c r="ID24" s="9" t="s">
        <v>730</v>
      </c>
      <c r="IE24" s="11">
        <v>1</v>
      </c>
      <c r="IF24" s="11">
        <v>0</v>
      </c>
      <c r="IG24" s="9" t="s">
        <v>730</v>
      </c>
      <c r="IH24" s="11">
        <v>1</v>
      </c>
      <c r="II24" s="11">
        <v>0.05</v>
      </c>
      <c r="IJ24" s="9" t="s">
        <v>13803</v>
      </c>
      <c r="IK24" s="9" t="s">
        <v>805</v>
      </c>
      <c r="IL24" s="9" t="s">
        <v>731</v>
      </c>
      <c r="IM24" s="9" t="s">
        <v>731</v>
      </c>
      <c r="IN24" s="9" t="s">
        <v>731</v>
      </c>
      <c r="IR24" s="9" t="s">
        <v>1094</v>
      </c>
      <c r="IS24" s="9" t="s">
        <v>784</v>
      </c>
      <c r="IT24" s="9" t="s">
        <v>712</v>
      </c>
      <c r="IU24" s="49" t="s">
        <v>9339</v>
      </c>
      <c r="IV24" s="49" t="s">
        <v>9339</v>
      </c>
      <c r="IW24" s="9" t="s">
        <v>640</v>
      </c>
      <c r="IX24" s="9" t="s">
        <v>640</v>
      </c>
      <c r="IY24" s="9" t="s">
        <v>640</v>
      </c>
      <c r="IZ24" s="9" t="s">
        <v>640</v>
      </c>
      <c r="JA24" s="9" t="s">
        <v>1095</v>
      </c>
      <c r="JB24" s="9" t="s">
        <v>713</v>
      </c>
    </row>
    <row r="25" spans="1:262" ht="76.5" x14ac:dyDescent="0.2">
      <c r="A25" s="8" t="s">
        <v>144</v>
      </c>
      <c r="B25" s="9" t="s">
        <v>28</v>
      </c>
      <c r="C25" s="9" t="s">
        <v>25</v>
      </c>
      <c r="D25" s="9" t="s">
        <v>25</v>
      </c>
      <c r="E25" s="9" t="s">
        <v>28</v>
      </c>
      <c r="F25" s="9" t="s">
        <v>32</v>
      </c>
      <c r="G25" s="9" t="s">
        <v>25</v>
      </c>
      <c r="H25" s="9" t="s">
        <v>25</v>
      </c>
      <c r="I25" s="9" t="s">
        <v>25</v>
      </c>
      <c r="J25" s="9" t="s">
        <v>25</v>
      </c>
      <c r="K25" s="9" t="s">
        <v>25</v>
      </c>
      <c r="L25" s="9" t="s">
        <v>28</v>
      </c>
      <c r="M25" s="9" t="s">
        <v>25</v>
      </c>
      <c r="N25" s="9" t="s">
        <v>25</v>
      </c>
      <c r="O25" s="9" t="s">
        <v>25</v>
      </c>
      <c r="P25" s="9" t="s">
        <v>25</v>
      </c>
      <c r="Q25" s="9" t="s">
        <v>25</v>
      </c>
      <c r="R25" s="9" t="s">
        <v>25</v>
      </c>
      <c r="S25" s="9" t="s">
        <v>13330</v>
      </c>
      <c r="T25" s="9" t="s">
        <v>770</v>
      </c>
      <c r="U25" s="9" t="s">
        <v>28</v>
      </c>
      <c r="V25" s="39">
        <v>8000</v>
      </c>
      <c r="W25" s="9" t="s">
        <v>644</v>
      </c>
      <c r="Y25" s="39">
        <v>8000</v>
      </c>
      <c r="AB25" s="9" t="s">
        <v>645</v>
      </c>
      <c r="AD25" s="9" t="s">
        <v>646</v>
      </c>
      <c r="AF25" s="9" t="s">
        <v>910</v>
      </c>
      <c r="AH25" s="9" t="s">
        <v>599</v>
      </c>
      <c r="AI25" s="9" t="s">
        <v>607</v>
      </c>
      <c r="AK25" s="9" t="s">
        <v>28</v>
      </c>
      <c r="AL25" s="9" t="s">
        <v>789</v>
      </c>
      <c r="AM25" s="9" t="s">
        <v>28</v>
      </c>
      <c r="AO25" s="9" t="s">
        <v>973</v>
      </c>
      <c r="AS25" s="9" t="s">
        <v>25</v>
      </c>
      <c r="BF25" s="9" t="s">
        <v>25</v>
      </c>
      <c r="BR25" s="9" t="s">
        <v>607</v>
      </c>
      <c r="BT25" s="9" t="s">
        <v>742</v>
      </c>
      <c r="BU25" s="9" t="s">
        <v>609</v>
      </c>
      <c r="ED25" s="9" t="s">
        <v>618</v>
      </c>
      <c r="EE25" s="9" t="s">
        <v>619</v>
      </c>
      <c r="EF25" s="9" t="s">
        <v>25</v>
      </c>
      <c r="EH25" s="9" t="s">
        <v>25</v>
      </c>
      <c r="EL25" s="9" t="s">
        <v>25</v>
      </c>
      <c r="EM25" s="9" t="s">
        <v>25</v>
      </c>
      <c r="EN25" s="9" t="s">
        <v>748</v>
      </c>
      <c r="EP25" s="9" t="s">
        <v>28</v>
      </c>
      <c r="EQ25" s="9" t="s">
        <v>653</v>
      </c>
      <c r="ER25" s="9" t="s">
        <v>28</v>
      </c>
      <c r="ES25" s="9" t="s">
        <v>749</v>
      </c>
      <c r="ET25" s="9" t="s">
        <v>28</v>
      </c>
      <c r="EU25" s="9" t="s">
        <v>750</v>
      </c>
      <c r="EV25" s="39">
        <v>7500</v>
      </c>
      <c r="EX25" s="39">
        <v>7500</v>
      </c>
      <c r="EZ25" s="9" t="s">
        <v>607</v>
      </c>
      <c r="FB25" s="9" t="s">
        <v>28</v>
      </c>
      <c r="FF25" s="9" t="s">
        <v>13363</v>
      </c>
      <c r="FG25" s="9" t="s">
        <v>28</v>
      </c>
      <c r="FH25" s="9" t="s">
        <v>697</v>
      </c>
      <c r="FI25" s="42">
        <v>20000</v>
      </c>
      <c r="FJ25" s="9" t="s">
        <v>28</v>
      </c>
      <c r="FK25" s="9">
        <v>4</v>
      </c>
      <c r="FL25" s="9" t="s">
        <v>624</v>
      </c>
      <c r="FM25" s="9" t="s">
        <v>992</v>
      </c>
      <c r="FW25" s="39">
        <v>270</v>
      </c>
      <c r="FX25" s="9" t="s">
        <v>627</v>
      </c>
      <c r="FZ25" s="9" t="s">
        <v>25</v>
      </c>
      <c r="GB25" s="9" t="s">
        <v>628</v>
      </c>
      <c r="GC25" s="9" t="s">
        <v>28</v>
      </c>
      <c r="GD25" s="9" t="s">
        <v>664</v>
      </c>
      <c r="GE25" s="9" t="s">
        <v>28</v>
      </c>
      <c r="GF25" s="9" t="s">
        <v>28</v>
      </c>
      <c r="GG25" s="9" t="s">
        <v>25</v>
      </c>
      <c r="GH25" s="9" t="s">
        <v>28</v>
      </c>
      <c r="GI25" s="9" t="s">
        <v>664</v>
      </c>
      <c r="GJ25" s="9" t="s">
        <v>28</v>
      </c>
      <c r="GK25" s="9" t="s">
        <v>25</v>
      </c>
      <c r="GL25" s="9" t="s">
        <v>609</v>
      </c>
      <c r="GM25" s="9" t="s">
        <v>609</v>
      </c>
      <c r="GN25" s="9" t="s">
        <v>609</v>
      </c>
      <c r="GO25" s="9" t="s">
        <v>609</v>
      </c>
      <c r="GP25" s="9" t="s">
        <v>631</v>
      </c>
      <c r="GQ25" s="9" t="s">
        <v>631</v>
      </c>
      <c r="GR25" s="9" t="s">
        <v>609</v>
      </c>
      <c r="GS25" s="9" t="s">
        <v>609</v>
      </c>
      <c r="GT25" s="9" t="s">
        <v>631</v>
      </c>
      <c r="GU25" s="9" t="s">
        <v>631</v>
      </c>
      <c r="GV25" s="9" t="s">
        <v>631</v>
      </c>
      <c r="GW25" s="9" t="s">
        <v>609</v>
      </c>
      <c r="GX25" s="9" t="s">
        <v>609</v>
      </c>
      <c r="GY25" s="9" t="s">
        <v>631</v>
      </c>
      <c r="GZ25" s="9" t="s">
        <v>609</v>
      </c>
      <c r="HA25" s="9" t="s">
        <v>631</v>
      </c>
      <c r="HB25" s="9" t="s">
        <v>609</v>
      </c>
      <c r="HC25" s="9" t="s">
        <v>609</v>
      </c>
      <c r="HD25" s="9" t="s">
        <v>609</v>
      </c>
      <c r="HE25" s="9" t="s">
        <v>609</v>
      </c>
      <c r="HF25" s="9" t="s">
        <v>609</v>
      </c>
      <c r="HG25" s="9" t="s">
        <v>631</v>
      </c>
      <c r="HH25" s="9" t="s">
        <v>609</v>
      </c>
      <c r="HI25" s="9" t="s">
        <v>632</v>
      </c>
      <c r="HJ25" s="9" t="s">
        <v>727</v>
      </c>
      <c r="HO25" s="9" t="s">
        <v>993</v>
      </c>
      <c r="HP25" s="9" t="s">
        <v>28</v>
      </c>
      <c r="HQ25" s="9" t="s">
        <v>668</v>
      </c>
      <c r="HR25" s="9" t="s">
        <v>28</v>
      </c>
      <c r="HS25" s="9" t="s">
        <v>25</v>
      </c>
      <c r="HT25" s="9" t="s">
        <v>28</v>
      </c>
      <c r="HU25" s="9" t="s">
        <v>28</v>
      </c>
      <c r="HV25" s="9" t="s">
        <v>28</v>
      </c>
      <c r="HW25" s="9" t="s">
        <v>25</v>
      </c>
      <c r="HX25" s="9" t="s">
        <v>28</v>
      </c>
      <c r="HY25" s="9" t="s">
        <v>729</v>
      </c>
      <c r="HZ25" s="9" t="s">
        <v>635</v>
      </c>
      <c r="IA25" s="9" t="s">
        <v>669</v>
      </c>
      <c r="IB25" s="9" t="s">
        <v>636</v>
      </c>
      <c r="IC25" s="9" t="s">
        <v>13793</v>
      </c>
      <c r="ID25" s="9" t="s">
        <v>730</v>
      </c>
      <c r="IE25" s="11">
        <v>1</v>
      </c>
      <c r="IF25" s="11">
        <v>0.1</v>
      </c>
      <c r="IG25" s="9" t="s">
        <v>730</v>
      </c>
      <c r="IH25" s="11">
        <v>1</v>
      </c>
      <c r="II25" s="11">
        <v>0.27</v>
      </c>
      <c r="IJ25" s="9" t="s">
        <v>13400</v>
      </c>
      <c r="IK25" s="9" t="s">
        <v>805</v>
      </c>
      <c r="IL25" s="9" t="s">
        <v>731</v>
      </c>
      <c r="IM25" s="9" t="s">
        <v>731</v>
      </c>
      <c r="IN25" s="9" t="s">
        <v>731</v>
      </c>
      <c r="IO25" s="9" t="s">
        <v>730</v>
      </c>
      <c r="IP25" s="11">
        <v>1</v>
      </c>
      <c r="IQ25" s="11">
        <v>0.1</v>
      </c>
      <c r="IR25" s="9" t="s">
        <v>638</v>
      </c>
      <c r="IS25" s="9" t="s">
        <v>732</v>
      </c>
      <c r="IT25" s="9" t="s">
        <v>733</v>
      </c>
      <c r="IU25" s="49" t="s">
        <v>9336</v>
      </c>
      <c r="IV25" s="49" t="s">
        <v>9336</v>
      </c>
      <c r="IW25" s="9" t="s">
        <v>640</v>
      </c>
      <c r="IX25" s="9" t="s">
        <v>640</v>
      </c>
      <c r="IY25" s="9" t="s">
        <v>703</v>
      </c>
      <c r="IZ25" s="9" t="s">
        <v>703</v>
      </c>
      <c r="JA25" s="9" t="s">
        <v>641</v>
      </c>
      <c r="JB25" s="9" t="s">
        <v>705</v>
      </c>
    </row>
    <row r="26" spans="1:262" ht="63.75" x14ac:dyDescent="0.2">
      <c r="A26" s="8" t="s">
        <v>140</v>
      </c>
      <c r="B26" s="9" t="s">
        <v>28</v>
      </c>
      <c r="C26" s="9" t="s">
        <v>25</v>
      </c>
      <c r="D26" s="9" t="s">
        <v>25</v>
      </c>
      <c r="E26" s="9" t="s">
        <v>28</v>
      </c>
      <c r="F26" s="9" t="s">
        <v>25</v>
      </c>
      <c r="G26" s="9" t="s">
        <v>25</v>
      </c>
      <c r="H26" s="9" t="s">
        <v>25</v>
      </c>
      <c r="I26" s="9" t="s">
        <v>25</v>
      </c>
      <c r="J26" s="9" t="s">
        <v>28</v>
      </c>
      <c r="K26" s="9" t="s">
        <v>25</v>
      </c>
      <c r="L26" s="9" t="s">
        <v>25</v>
      </c>
      <c r="M26" s="9" t="s">
        <v>25</v>
      </c>
      <c r="N26" s="9" t="s">
        <v>25</v>
      </c>
      <c r="O26" s="9" t="s">
        <v>25</v>
      </c>
      <c r="P26" s="9" t="s">
        <v>25</v>
      </c>
      <c r="Q26" s="9" t="s">
        <v>25</v>
      </c>
      <c r="R26" s="9" t="s">
        <v>25</v>
      </c>
      <c r="S26" s="9" t="s">
        <v>13328</v>
      </c>
      <c r="T26" s="9" t="s">
        <v>595</v>
      </c>
      <c r="U26" s="9" t="s">
        <v>28</v>
      </c>
      <c r="V26" s="39">
        <v>5000</v>
      </c>
      <c r="W26" s="9" t="s">
        <v>808</v>
      </c>
      <c r="Y26" s="39">
        <v>5000</v>
      </c>
      <c r="AB26" s="9" t="s">
        <v>673</v>
      </c>
      <c r="AD26" s="9" t="s">
        <v>29</v>
      </c>
      <c r="AE26" s="9" t="s">
        <v>957</v>
      </c>
      <c r="AF26" s="9" t="s">
        <v>756</v>
      </c>
      <c r="AH26" s="9" t="s">
        <v>599</v>
      </c>
      <c r="AI26" s="9" t="s">
        <v>607</v>
      </c>
      <c r="AK26" s="9" t="s">
        <v>28</v>
      </c>
      <c r="AL26" s="9">
        <v>20</v>
      </c>
      <c r="AM26" s="9" t="s">
        <v>25</v>
      </c>
      <c r="AO26" s="9" t="s">
        <v>790</v>
      </c>
      <c r="AP26" s="9">
        <v>20</v>
      </c>
      <c r="AQ26" s="9" t="s">
        <v>958</v>
      </c>
      <c r="AS26" s="9" t="s">
        <v>25</v>
      </c>
      <c r="BF26" s="9" t="s">
        <v>25</v>
      </c>
      <c r="BR26" s="9" t="s">
        <v>607</v>
      </c>
      <c r="BT26" s="9" t="s">
        <v>742</v>
      </c>
      <c r="BU26" s="9" t="s">
        <v>609</v>
      </c>
      <c r="BW26" s="9" t="s">
        <v>959</v>
      </c>
      <c r="CM26" s="9" t="s">
        <v>13353</v>
      </c>
      <c r="CN26" s="9" t="s">
        <v>960</v>
      </c>
      <c r="CO26" s="9" t="s">
        <v>688</v>
      </c>
      <c r="CV26" s="9" t="s">
        <v>689</v>
      </c>
      <c r="DN26" s="9" t="s">
        <v>28</v>
      </c>
      <c r="DO26" s="9" t="s">
        <v>961</v>
      </c>
      <c r="DP26" s="9" t="s">
        <v>25</v>
      </c>
      <c r="DQ26" s="9" t="s">
        <v>962</v>
      </c>
      <c r="DS26" s="9" t="s">
        <v>692</v>
      </c>
      <c r="DU26" s="9" t="s">
        <v>689</v>
      </c>
      <c r="DW26" s="9" t="s">
        <v>759</v>
      </c>
      <c r="DX26" s="9" t="s">
        <v>963</v>
      </c>
      <c r="DY26" s="9" t="s">
        <v>607</v>
      </c>
      <c r="EA26" s="9" t="s">
        <v>964</v>
      </c>
      <c r="EB26" s="9" t="s">
        <v>25</v>
      </c>
      <c r="ED26" s="9" t="s">
        <v>618</v>
      </c>
      <c r="EE26" s="9" t="s">
        <v>650</v>
      </c>
      <c r="EF26" s="9" t="s">
        <v>25</v>
      </c>
      <c r="EG26" s="9" t="s">
        <v>25</v>
      </c>
      <c r="EH26" s="9" t="s">
        <v>25</v>
      </c>
      <c r="EL26" s="9" t="s">
        <v>25</v>
      </c>
      <c r="EM26" s="9" t="s">
        <v>25</v>
      </c>
      <c r="EN26" s="9" t="s">
        <v>761</v>
      </c>
      <c r="EP26" s="9" t="s">
        <v>25</v>
      </c>
      <c r="EQ26" s="9" t="s">
        <v>697</v>
      </c>
      <c r="ER26" s="9" t="s">
        <v>25</v>
      </c>
      <c r="ET26" s="9" t="s">
        <v>28</v>
      </c>
      <c r="EU26" s="9" t="s">
        <v>750</v>
      </c>
      <c r="EV26" s="39">
        <v>5250</v>
      </c>
      <c r="EW26" s="39">
        <v>5250</v>
      </c>
      <c r="EX26" s="39">
        <v>5250</v>
      </c>
      <c r="EY26" s="39">
        <v>5250</v>
      </c>
      <c r="EZ26" s="9" t="s">
        <v>28</v>
      </c>
      <c r="FB26" s="9" t="s">
        <v>28</v>
      </c>
      <c r="FF26" s="9" t="s">
        <v>13365</v>
      </c>
      <c r="FG26" s="9" t="s">
        <v>28</v>
      </c>
      <c r="FH26" s="9" t="s">
        <v>697</v>
      </c>
      <c r="FI26" s="42">
        <v>1000</v>
      </c>
      <c r="FJ26" s="9" t="s">
        <v>28</v>
      </c>
      <c r="FK26" s="9">
        <v>5</v>
      </c>
      <c r="FL26" s="9" t="s">
        <v>624</v>
      </c>
      <c r="FM26" s="9" t="s">
        <v>955</v>
      </c>
      <c r="FN26" s="9" t="s">
        <v>658</v>
      </c>
      <c r="FO26" s="9" t="s">
        <v>657</v>
      </c>
      <c r="FP26" s="9" t="s">
        <v>657</v>
      </c>
      <c r="FQ26" s="9" t="s">
        <v>658</v>
      </c>
      <c r="FS26" s="9" t="s">
        <v>658</v>
      </c>
      <c r="FT26" s="9" t="s">
        <v>658</v>
      </c>
      <c r="FU26" s="9" t="s">
        <v>659</v>
      </c>
      <c r="FV26" s="9" t="s">
        <v>965</v>
      </c>
      <c r="FW26" s="39">
        <v>270</v>
      </c>
      <c r="FX26" s="9" t="s">
        <v>661</v>
      </c>
      <c r="FY26" s="9" t="s">
        <v>633</v>
      </c>
      <c r="FZ26" s="9" t="s">
        <v>25</v>
      </c>
      <c r="GA26" s="9" t="s">
        <v>28</v>
      </c>
      <c r="GB26" s="9" t="s">
        <v>628</v>
      </c>
      <c r="GC26" s="9" t="s">
        <v>25</v>
      </c>
      <c r="GD26" s="9" t="s">
        <v>28</v>
      </c>
      <c r="GE26" s="9" t="s">
        <v>28</v>
      </c>
      <c r="GF26" s="9" t="s">
        <v>28</v>
      </c>
      <c r="GG26" s="9" t="s">
        <v>25</v>
      </c>
      <c r="GH26" s="9" t="s">
        <v>28</v>
      </c>
      <c r="GI26" s="9" t="s">
        <v>28</v>
      </c>
      <c r="GJ26" s="9" t="s">
        <v>28</v>
      </c>
      <c r="GK26" s="9" t="s">
        <v>664</v>
      </c>
      <c r="GL26" s="9" t="s">
        <v>630</v>
      </c>
      <c r="GM26" s="9" t="s">
        <v>629</v>
      </c>
      <c r="GN26" s="9" t="s">
        <v>630</v>
      </c>
      <c r="GO26" s="9" t="s">
        <v>630</v>
      </c>
      <c r="GP26" s="9" t="s">
        <v>631</v>
      </c>
      <c r="GQ26" s="9" t="s">
        <v>631</v>
      </c>
      <c r="GR26" s="9" t="s">
        <v>631</v>
      </c>
      <c r="GS26" s="9" t="s">
        <v>609</v>
      </c>
      <c r="GT26" s="9" t="s">
        <v>609</v>
      </c>
      <c r="GU26" s="9" t="s">
        <v>609</v>
      </c>
      <c r="GV26" s="9" t="s">
        <v>609</v>
      </c>
      <c r="GW26" s="9" t="s">
        <v>609</v>
      </c>
      <c r="GX26" s="9" t="s">
        <v>609</v>
      </c>
      <c r="GY26" s="9" t="s">
        <v>609</v>
      </c>
      <c r="GZ26" s="9" t="s">
        <v>609</v>
      </c>
      <c r="HA26" s="9" t="s">
        <v>631</v>
      </c>
      <c r="HB26" s="9" t="s">
        <v>609</v>
      </c>
      <c r="HC26" s="9" t="s">
        <v>631</v>
      </c>
      <c r="HD26" s="9" t="s">
        <v>609</v>
      </c>
      <c r="HE26" s="9" t="s">
        <v>630</v>
      </c>
      <c r="HF26" s="9" t="s">
        <v>630</v>
      </c>
      <c r="HG26" s="9" t="s">
        <v>631</v>
      </c>
      <c r="HH26" s="9" t="s">
        <v>609</v>
      </c>
      <c r="HI26" s="9" t="s">
        <v>632</v>
      </c>
      <c r="HJ26" s="9" t="s">
        <v>727</v>
      </c>
      <c r="HO26" s="9" t="s">
        <v>633</v>
      </c>
      <c r="HP26" s="9" t="s">
        <v>28</v>
      </c>
      <c r="HQ26" s="9" t="s">
        <v>804</v>
      </c>
      <c r="HR26" s="9" t="s">
        <v>25</v>
      </c>
      <c r="HS26" s="9" t="s">
        <v>25</v>
      </c>
      <c r="HT26" s="9" t="s">
        <v>28</v>
      </c>
      <c r="HU26" s="9" t="s">
        <v>28</v>
      </c>
      <c r="HV26" s="9" t="s">
        <v>25</v>
      </c>
      <c r="HW26" s="9" t="s">
        <v>25</v>
      </c>
      <c r="HX26" s="9" t="s">
        <v>25</v>
      </c>
      <c r="HZ26" s="9" t="s">
        <v>635</v>
      </c>
      <c r="IA26" s="9" t="s">
        <v>25</v>
      </c>
      <c r="IB26" s="9" t="s">
        <v>636</v>
      </c>
      <c r="IC26" s="9" t="s">
        <v>637</v>
      </c>
      <c r="IR26" s="9" t="s">
        <v>638</v>
      </c>
      <c r="IS26" s="9" t="s">
        <v>784</v>
      </c>
      <c r="IT26" s="9" t="s">
        <v>733</v>
      </c>
      <c r="IU26" s="49" t="s">
        <v>9339</v>
      </c>
      <c r="IV26" s="49" t="s">
        <v>9339</v>
      </c>
      <c r="IW26" s="9" t="s">
        <v>640</v>
      </c>
      <c r="IX26" s="9" t="s">
        <v>640</v>
      </c>
      <c r="IY26" s="9" t="s">
        <v>703</v>
      </c>
      <c r="IZ26" s="9" t="s">
        <v>703</v>
      </c>
      <c r="JA26" s="9" t="s">
        <v>704</v>
      </c>
      <c r="JB26" s="9" t="s">
        <v>642</v>
      </c>
    </row>
    <row r="27" spans="1:262" ht="76.5" x14ac:dyDescent="0.2">
      <c r="A27" s="8" t="s">
        <v>127</v>
      </c>
      <c r="B27" s="9" t="s">
        <v>28</v>
      </c>
      <c r="C27" s="9" t="s">
        <v>25</v>
      </c>
      <c r="D27" s="9" t="s">
        <v>25</v>
      </c>
      <c r="E27" s="9" t="s">
        <v>28</v>
      </c>
      <c r="F27" s="9" t="s">
        <v>25</v>
      </c>
      <c r="G27" s="9" t="s">
        <v>25</v>
      </c>
      <c r="H27" s="9" t="s">
        <v>32</v>
      </c>
      <c r="I27" s="9" t="s">
        <v>25</v>
      </c>
      <c r="J27" s="9" t="s">
        <v>25</v>
      </c>
      <c r="K27" s="9" t="s">
        <v>25</v>
      </c>
      <c r="L27" s="9" t="s">
        <v>25</v>
      </c>
      <c r="M27" s="9" t="s">
        <v>25</v>
      </c>
      <c r="N27" s="9" t="s">
        <v>25</v>
      </c>
      <c r="O27" s="9" t="s">
        <v>25</v>
      </c>
      <c r="P27" s="9" t="s">
        <v>25</v>
      </c>
      <c r="Q27" s="9" t="s">
        <v>25</v>
      </c>
      <c r="R27" s="9" t="s">
        <v>25</v>
      </c>
      <c r="S27" s="9" t="s">
        <v>13320</v>
      </c>
      <c r="T27" s="9" t="s">
        <v>770</v>
      </c>
      <c r="U27" s="9" t="s">
        <v>28</v>
      </c>
      <c r="V27" s="39">
        <v>20000</v>
      </c>
      <c r="W27" s="9" t="s">
        <v>29</v>
      </c>
      <c r="X27" s="9" t="s">
        <v>817</v>
      </c>
      <c r="Y27" s="39">
        <v>20000</v>
      </c>
      <c r="AB27" s="9" t="s">
        <v>673</v>
      </c>
      <c r="AD27" s="9" t="s">
        <v>29</v>
      </c>
      <c r="AE27" s="9" t="s">
        <v>818</v>
      </c>
      <c r="AF27" s="9" t="s">
        <v>598</v>
      </c>
      <c r="AH27" s="9" t="s">
        <v>736</v>
      </c>
      <c r="AI27" s="9" t="s">
        <v>819</v>
      </c>
      <c r="AK27" s="9" t="s">
        <v>28</v>
      </c>
      <c r="AL27" s="9">
        <v>20</v>
      </c>
      <c r="AM27" s="9" t="s">
        <v>28</v>
      </c>
      <c r="AN27" s="39">
        <v>1920</v>
      </c>
      <c r="AO27" s="9" t="s">
        <v>715</v>
      </c>
      <c r="AS27" s="9" t="s">
        <v>601</v>
      </c>
      <c r="AT27" s="9" t="s">
        <v>25</v>
      </c>
      <c r="AU27" s="9" t="s">
        <v>739</v>
      </c>
      <c r="AV27" s="9" t="s">
        <v>602</v>
      </c>
      <c r="AW27" s="9" t="s">
        <v>740</v>
      </c>
      <c r="AX27" s="39">
        <v>50000</v>
      </c>
      <c r="AZ27" s="9" t="s">
        <v>741</v>
      </c>
      <c r="BA27" s="9" t="s">
        <v>604</v>
      </c>
      <c r="BB27" s="9" t="s">
        <v>604</v>
      </c>
      <c r="BC27" s="9" t="s">
        <v>741</v>
      </c>
      <c r="BD27" s="9" t="s">
        <v>741</v>
      </c>
      <c r="BE27" s="9" t="s">
        <v>741</v>
      </c>
      <c r="BF27" s="9" t="s">
        <v>775</v>
      </c>
      <c r="BG27" s="9" t="s">
        <v>25</v>
      </c>
      <c r="BH27" s="9" t="s">
        <v>602</v>
      </c>
      <c r="BI27" s="9" t="s">
        <v>602</v>
      </c>
      <c r="BJ27" s="9" t="s">
        <v>28</v>
      </c>
      <c r="BK27" s="39">
        <v>50000</v>
      </c>
      <c r="BL27" s="9" t="s">
        <v>741</v>
      </c>
      <c r="BM27" s="9" t="s">
        <v>604</v>
      </c>
      <c r="BN27" s="9" t="s">
        <v>604</v>
      </c>
      <c r="BO27" s="9" t="s">
        <v>741</v>
      </c>
      <c r="BP27" s="9" t="s">
        <v>741</v>
      </c>
      <c r="BQ27" s="9" t="s">
        <v>741</v>
      </c>
      <c r="BR27" s="9" t="s">
        <v>607</v>
      </c>
      <c r="BW27" s="9" t="s">
        <v>820</v>
      </c>
      <c r="BX27" s="9" t="s">
        <v>28</v>
      </c>
      <c r="BY27" s="9" t="s">
        <v>29</v>
      </c>
      <c r="BZ27" s="9" t="s">
        <v>821</v>
      </c>
      <c r="CA27" s="39">
        <v>20000</v>
      </c>
      <c r="CD27" s="9" t="s">
        <v>673</v>
      </c>
      <c r="CF27" s="9" t="s">
        <v>29</v>
      </c>
      <c r="CG27" s="9" t="s">
        <v>822</v>
      </c>
      <c r="CH27" s="9" t="s">
        <v>610</v>
      </c>
      <c r="CJ27" s="9" t="s">
        <v>72</v>
      </c>
      <c r="CL27" s="9" t="s">
        <v>686</v>
      </c>
      <c r="DS27" s="9" t="s">
        <v>25</v>
      </c>
      <c r="DW27" s="9" t="s">
        <v>759</v>
      </c>
      <c r="ED27" s="9" t="s">
        <v>618</v>
      </c>
      <c r="EE27" s="9" t="s">
        <v>650</v>
      </c>
      <c r="EF27" s="9" t="s">
        <v>25</v>
      </c>
      <c r="EG27" s="9" t="s">
        <v>25</v>
      </c>
      <c r="EH27" s="9" t="s">
        <v>25</v>
      </c>
      <c r="EL27" s="9" t="s">
        <v>25</v>
      </c>
      <c r="EM27" s="9" t="s">
        <v>651</v>
      </c>
      <c r="EN27" s="9" t="s">
        <v>620</v>
      </c>
      <c r="EP27" s="9" t="s">
        <v>28</v>
      </c>
      <c r="EQ27" s="9" t="s">
        <v>653</v>
      </c>
      <c r="ER27" s="9" t="s">
        <v>25</v>
      </c>
      <c r="ET27" s="9" t="s">
        <v>28</v>
      </c>
      <c r="EU27" s="9" t="s">
        <v>622</v>
      </c>
      <c r="EV27" s="39">
        <v>7500</v>
      </c>
      <c r="EW27" s="39">
        <v>7500</v>
      </c>
      <c r="EX27" s="39">
        <v>10000</v>
      </c>
      <c r="EY27" s="39">
        <v>10000</v>
      </c>
      <c r="FB27" s="9" t="s">
        <v>28</v>
      </c>
      <c r="FF27" s="9" t="s">
        <v>13363</v>
      </c>
      <c r="FG27" s="9" t="s">
        <v>28</v>
      </c>
      <c r="FH27" s="9" t="s">
        <v>653</v>
      </c>
      <c r="FI27" s="42">
        <v>10000</v>
      </c>
      <c r="FJ27" s="9" t="s">
        <v>28</v>
      </c>
      <c r="FK27" s="9">
        <v>10</v>
      </c>
      <c r="FL27" s="9" t="s">
        <v>624</v>
      </c>
      <c r="FM27" s="9" t="s">
        <v>823</v>
      </c>
      <c r="FV27" s="9" t="s">
        <v>824</v>
      </c>
      <c r="FW27" s="39">
        <v>260</v>
      </c>
      <c r="FX27" s="9" t="s">
        <v>627</v>
      </c>
      <c r="FZ27" s="9" t="s">
        <v>28</v>
      </c>
      <c r="GA27" s="9" t="s">
        <v>28</v>
      </c>
      <c r="GB27" s="9" t="s">
        <v>663</v>
      </c>
      <c r="GC27" s="9" t="s">
        <v>28</v>
      </c>
      <c r="GD27" s="9" t="s">
        <v>28</v>
      </c>
      <c r="GE27" s="9" t="s">
        <v>28</v>
      </c>
      <c r="GF27" s="9" t="s">
        <v>25</v>
      </c>
      <c r="GG27" s="9" t="s">
        <v>28</v>
      </c>
      <c r="GH27" s="9" t="s">
        <v>28</v>
      </c>
      <c r="GI27" s="9" t="s">
        <v>664</v>
      </c>
      <c r="GJ27" s="9" t="s">
        <v>664</v>
      </c>
      <c r="GK27" s="9" t="s">
        <v>664</v>
      </c>
      <c r="GL27" s="9" t="s">
        <v>609</v>
      </c>
      <c r="GM27" s="9" t="s">
        <v>629</v>
      </c>
      <c r="GN27" s="9" t="s">
        <v>609</v>
      </c>
      <c r="GO27" s="9" t="s">
        <v>609</v>
      </c>
      <c r="GP27" s="9" t="s">
        <v>631</v>
      </c>
      <c r="GQ27" s="9" t="s">
        <v>631</v>
      </c>
      <c r="GR27" s="9" t="s">
        <v>609</v>
      </c>
      <c r="GS27" s="9" t="s">
        <v>609</v>
      </c>
      <c r="GT27" s="9" t="s">
        <v>609</v>
      </c>
      <c r="GU27" s="9" t="s">
        <v>631</v>
      </c>
      <c r="GV27" s="9" t="s">
        <v>609</v>
      </c>
      <c r="GW27" s="9" t="s">
        <v>631</v>
      </c>
      <c r="GX27" s="9" t="s">
        <v>629</v>
      </c>
      <c r="GY27" s="9" t="s">
        <v>631</v>
      </c>
      <c r="GZ27" s="9" t="s">
        <v>629</v>
      </c>
      <c r="HA27" s="9" t="s">
        <v>631</v>
      </c>
      <c r="HB27" s="9" t="s">
        <v>631</v>
      </c>
      <c r="HC27" s="9" t="s">
        <v>609</v>
      </c>
      <c r="HD27" s="9" t="s">
        <v>609</v>
      </c>
      <c r="HE27" s="9" t="s">
        <v>629</v>
      </c>
      <c r="HF27" s="9" t="s">
        <v>609</v>
      </c>
      <c r="HG27" s="9" t="s">
        <v>631</v>
      </c>
      <c r="HH27" s="9" t="s">
        <v>609</v>
      </c>
      <c r="HI27" s="9" t="s">
        <v>29</v>
      </c>
      <c r="HJ27" s="9" t="s">
        <v>727</v>
      </c>
      <c r="HM27" s="9" t="s">
        <v>825</v>
      </c>
      <c r="HO27" s="9" t="s">
        <v>767</v>
      </c>
      <c r="HP27" s="9" t="s">
        <v>28</v>
      </c>
      <c r="HQ27" s="9" t="s">
        <v>29</v>
      </c>
      <c r="HR27" s="9" t="s">
        <v>28</v>
      </c>
      <c r="HS27" s="9" t="s">
        <v>28</v>
      </c>
      <c r="HT27" s="9" t="s">
        <v>28</v>
      </c>
      <c r="HU27" s="9" t="s">
        <v>28</v>
      </c>
      <c r="HV27" s="9" t="s">
        <v>28</v>
      </c>
      <c r="HW27" s="9" t="s">
        <v>25</v>
      </c>
      <c r="HZ27" s="9" t="s">
        <v>635</v>
      </c>
      <c r="IC27" s="9" t="s">
        <v>826</v>
      </c>
      <c r="IG27" s="9" t="s">
        <v>827</v>
      </c>
      <c r="IH27" s="11">
        <v>1</v>
      </c>
      <c r="II27" s="11">
        <v>0.18</v>
      </c>
      <c r="IJ27" s="9" t="s">
        <v>13397</v>
      </c>
      <c r="IK27" s="9" t="s">
        <v>805</v>
      </c>
      <c r="IL27" s="9" t="s">
        <v>731</v>
      </c>
      <c r="IM27" s="9" t="s">
        <v>731</v>
      </c>
      <c r="IN27" s="9" t="s">
        <v>731</v>
      </c>
      <c r="IR27" s="9" t="s">
        <v>638</v>
      </c>
      <c r="IS27" s="9" t="s">
        <v>828</v>
      </c>
      <c r="IT27" s="9" t="s">
        <v>754</v>
      </c>
      <c r="IU27" s="49" t="s">
        <v>9337</v>
      </c>
      <c r="IV27" s="49" t="s">
        <v>9337</v>
      </c>
      <c r="IW27" s="9" t="s">
        <v>703</v>
      </c>
      <c r="IX27" s="9" t="s">
        <v>640</v>
      </c>
      <c r="IY27" s="9" t="s">
        <v>703</v>
      </c>
      <c r="IZ27" s="9" t="s">
        <v>703</v>
      </c>
      <c r="JA27" s="9" t="s">
        <v>704</v>
      </c>
      <c r="JB27" s="9" t="s">
        <v>642</v>
      </c>
    </row>
    <row r="28" spans="1:262" ht="89.25" x14ac:dyDescent="0.2">
      <c r="A28" s="8" t="s">
        <v>131</v>
      </c>
      <c r="B28" s="9" t="s">
        <v>28</v>
      </c>
      <c r="C28" s="9" t="s">
        <v>25</v>
      </c>
      <c r="D28" s="9" t="s">
        <v>25</v>
      </c>
      <c r="E28" s="9" t="s">
        <v>25</v>
      </c>
      <c r="F28" s="9" t="s">
        <v>25</v>
      </c>
      <c r="G28" s="9" t="s">
        <v>25</v>
      </c>
      <c r="H28" s="9" t="s">
        <v>25</v>
      </c>
      <c r="I28" s="9" t="s">
        <v>25</v>
      </c>
      <c r="J28" s="9" t="s">
        <v>25</v>
      </c>
      <c r="K28" s="9" t="s">
        <v>25</v>
      </c>
      <c r="L28" s="9" t="s">
        <v>25</v>
      </c>
      <c r="M28" s="9" t="s">
        <v>25</v>
      </c>
      <c r="N28" s="9" t="s">
        <v>25</v>
      </c>
      <c r="O28" s="9" t="s">
        <v>25</v>
      </c>
      <c r="P28" s="9" t="s">
        <v>25</v>
      </c>
      <c r="Q28" s="9" t="s">
        <v>28</v>
      </c>
      <c r="R28" s="9" t="s">
        <v>25</v>
      </c>
      <c r="S28" s="9" t="s">
        <v>13323</v>
      </c>
      <c r="T28" s="9" t="s">
        <v>595</v>
      </c>
      <c r="U28" s="9" t="s">
        <v>28</v>
      </c>
      <c r="V28" s="39">
        <v>5000</v>
      </c>
      <c r="W28" s="9" t="s">
        <v>808</v>
      </c>
      <c r="Y28" s="39">
        <v>5000</v>
      </c>
      <c r="AB28" s="9" t="s">
        <v>673</v>
      </c>
      <c r="AD28" s="9" t="s">
        <v>646</v>
      </c>
      <c r="AF28" s="9" t="s">
        <v>714</v>
      </c>
      <c r="AH28" s="9" t="s">
        <v>599</v>
      </c>
      <c r="AI28" s="9" t="s">
        <v>607</v>
      </c>
      <c r="AK28" s="9" t="s">
        <v>28</v>
      </c>
      <c r="AL28" s="9">
        <v>10</v>
      </c>
      <c r="AM28" s="9" t="s">
        <v>28</v>
      </c>
      <c r="AO28" s="9" t="s">
        <v>29</v>
      </c>
      <c r="AS28" s="9" t="s">
        <v>864</v>
      </c>
      <c r="AT28" s="9" t="s">
        <v>25</v>
      </c>
      <c r="AU28" s="9" t="s">
        <v>602</v>
      </c>
      <c r="AV28" s="9" t="s">
        <v>602</v>
      </c>
      <c r="AW28" s="9" t="s">
        <v>603</v>
      </c>
      <c r="AZ28" s="9" t="s">
        <v>741</v>
      </c>
      <c r="BA28" s="9" t="s">
        <v>604</v>
      </c>
      <c r="BB28" s="9" t="s">
        <v>604</v>
      </c>
      <c r="BC28" s="9" t="s">
        <v>741</v>
      </c>
      <c r="BD28" s="9" t="s">
        <v>679</v>
      </c>
      <c r="BE28" s="9" t="s">
        <v>604</v>
      </c>
      <c r="BF28" s="9" t="s">
        <v>864</v>
      </c>
      <c r="BG28" s="9" t="s">
        <v>25</v>
      </c>
      <c r="BI28" s="9" t="s">
        <v>602</v>
      </c>
      <c r="BJ28" s="9" t="s">
        <v>603</v>
      </c>
      <c r="BL28" s="9" t="s">
        <v>741</v>
      </c>
      <c r="BM28" s="9" t="s">
        <v>604</v>
      </c>
      <c r="BN28" s="9" t="s">
        <v>604</v>
      </c>
      <c r="BO28" s="9" t="s">
        <v>741</v>
      </c>
      <c r="BP28" s="9" t="s">
        <v>679</v>
      </c>
      <c r="BQ28" s="9" t="s">
        <v>604</v>
      </c>
      <c r="BR28" s="9" t="s">
        <v>607</v>
      </c>
      <c r="BS28" s="9" t="s">
        <v>865</v>
      </c>
      <c r="BT28" s="9" t="s">
        <v>866</v>
      </c>
      <c r="BX28" s="9" t="s">
        <v>28</v>
      </c>
      <c r="BY28" s="9" t="s">
        <v>808</v>
      </c>
      <c r="CD28" s="9" t="s">
        <v>29</v>
      </c>
      <c r="CE28" s="9" t="s">
        <v>867</v>
      </c>
      <c r="CF28" s="9" t="s">
        <v>29</v>
      </c>
      <c r="CG28" s="9" t="s">
        <v>867</v>
      </c>
      <c r="CJ28" s="9" t="s">
        <v>856</v>
      </c>
      <c r="CL28" s="9" t="s">
        <v>868</v>
      </c>
      <c r="ED28" s="9" t="s">
        <v>618</v>
      </c>
      <c r="EE28" s="9" t="s">
        <v>650</v>
      </c>
      <c r="EF28" s="9" t="s">
        <v>25</v>
      </c>
      <c r="EG28" s="9" t="s">
        <v>25</v>
      </c>
      <c r="EH28" s="9" t="s">
        <v>25</v>
      </c>
      <c r="EL28" s="9" t="s">
        <v>25</v>
      </c>
      <c r="EN28" s="9" t="s">
        <v>620</v>
      </c>
      <c r="EP28" s="9" t="s">
        <v>28</v>
      </c>
      <c r="EQ28" s="9" t="s">
        <v>653</v>
      </c>
      <c r="ER28" s="9" t="s">
        <v>25</v>
      </c>
      <c r="ET28" s="9" t="s">
        <v>28</v>
      </c>
      <c r="EU28" s="9" t="s">
        <v>622</v>
      </c>
      <c r="EV28" s="39">
        <v>5250</v>
      </c>
      <c r="EX28" s="39">
        <v>5250</v>
      </c>
      <c r="FB28" s="9" t="s">
        <v>28</v>
      </c>
      <c r="FF28" s="9" t="s">
        <v>869</v>
      </c>
      <c r="FG28" s="9" t="s">
        <v>28</v>
      </c>
      <c r="FH28" s="9" t="s">
        <v>653</v>
      </c>
      <c r="FI28" s="42">
        <v>2500</v>
      </c>
      <c r="FJ28" s="9" t="s">
        <v>25</v>
      </c>
      <c r="FL28" s="9" t="s">
        <v>624</v>
      </c>
      <c r="FM28" s="9" t="s">
        <v>870</v>
      </c>
      <c r="FV28" s="9" t="s">
        <v>871</v>
      </c>
      <c r="FW28" s="39">
        <v>125</v>
      </c>
      <c r="FX28" s="9" t="s">
        <v>25</v>
      </c>
      <c r="FY28" s="9" t="s">
        <v>633</v>
      </c>
      <c r="FZ28" s="9" t="s">
        <v>25</v>
      </c>
      <c r="GA28" s="9" t="s">
        <v>28</v>
      </c>
      <c r="GB28" s="9" t="s">
        <v>628</v>
      </c>
      <c r="GC28" s="9" t="s">
        <v>28</v>
      </c>
      <c r="GD28" s="9" t="s">
        <v>28</v>
      </c>
      <c r="GE28" s="9" t="s">
        <v>28</v>
      </c>
      <c r="GF28" s="9" t="s">
        <v>28</v>
      </c>
      <c r="GG28" s="9" t="s">
        <v>664</v>
      </c>
      <c r="GH28" s="9" t="s">
        <v>28</v>
      </c>
      <c r="GI28" s="9" t="s">
        <v>28</v>
      </c>
      <c r="GJ28" s="9" t="s">
        <v>28</v>
      </c>
      <c r="GK28" s="9" t="s">
        <v>25</v>
      </c>
      <c r="GL28" s="9" t="s">
        <v>629</v>
      </c>
      <c r="GM28" s="9" t="s">
        <v>629</v>
      </c>
      <c r="GN28" s="9" t="s">
        <v>629</v>
      </c>
      <c r="GO28" s="9" t="s">
        <v>631</v>
      </c>
      <c r="GP28" s="9" t="s">
        <v>631</v>
      </c>
      <c r="GQ28" s="9" t="s">
        <v>631</v>
      </c>
      <c r="GR28" s="9" t="s">
        <v>629</v>
      </c>
      <c r="GS28" s="9" t="s">
        <v>609</v>
      </c>
      <c r="GT28" s="9" t="s">
        <v>609</v>
      </c>
      <c r="GU28" s="9" t="s">
        <v>609</v>
      </c>
      <c r="GV28" s="9" t="s">
        <v>609</v>
      </c>
      <c r="GW28" s="9" t="s">
        <v>609</v>
      </c>
      <c r="GX28" s="9" t="s">
        <v>609</v>
      </c>
      <c r="GY28" s="9" t="s">
        <v>631</v>
      </c>
      <c r="GZ28" s="9" t="s">
        <v>631</v>
      </c>
      <c r="HA28" s="9" t="s">
        <v>631</v>
      </c>
      <c r="HB28" s="9" t="s">
        <v>631</v>
      </c>
      <c r="HC28" s="9" t="s">
        <v>609</v>
      </c>
      <c r="HD28" s="9" t="s">
        <v>630</v>
      </c>
      <c r="HE28" s="9" t="s">
        <v>609</v>
      </c>
      <c r="HF28" s="9" t="s">
        <v>629</v>
      </c>
      <c r="HG28" s="9" t="s">
        <v>631</v>
      </c>
      <c r="HH28" s="9" t="s">
        <v>609</v>
      </c>
      <c r="HO28" s="9" t="s">
        <v>872</v>
      </c>
      <c r="HP28" s="9" t="s">
        <v>28</v>
      </c>
      <c r="HQ28" s="9" t="s">
        <v>804</v>
      </c>
      <c r="HR28" s="9" t="s">
        <v>28</v>
      </c>
      <c r="HS28" s="9" t="s">
        <v>28</v>
      </c>
      <c r="HU28" s="9" t="s">
        <v>28</v>
      </c>
      <c r="HV28" s="9" t="s">
        <v>25</v>
      </c>
      <c r="HW28" s="9" t="s">
        <v>25</v>
      </c>
      <c r="HX28" s="9" t="s">
        <v>28</v>
      </c>
      <c r="HY28" s="9" t="s">
        <v>850</v>
      </c>
      <c r="HZ28" s="9" t="s">
        <v>635</v>
      </c>
      <c r="IA28" s="9" t="s">
        <v>25</v>
      </c>
      <c r="IB28" s="9" t="s">
        <v>636</v>
      </c>
      <c r="IC28" s="9" t="s">
        <v>637</v>
      </c>
      <c r="IR28" s="9" t="s">
        <v>638</v>
      </c>
      <c r="IS28" s="9" t="s">
        <v>784</v>
      </c>
      <c r="IT28" s="9" t="s">
        <v>13409</v>
      </c>
      <c r="IV28" s="9" t="s">
        <v>702</v>
      </c>
      <c r="IW28" s="9" t="s">
        <v>640</v>
      </c>
      <c r="IX28" s="9" t="s">
        <v>640</v>
      </c>
      <c r="IY28" s="9" t="s">
        <v>703</v>
      </c>
      <c r="IZ28" s="9" t="s">
        <v>703</v>
      </c>
      <c r="JA28" s="9" t="s">
        <v>873</v>
      </c>
      <c r="JB28" s="9" t="s">
        <v>642</v>
      </c>
    </row>
    <row r="29" spans="1:262" ht="89.25" x14ac:dyDescent="0.2">
      <c r="A29" s="8" t="s">
        <v>139</v>
      </c>
      <c r="B29" s="9" t="s">
        <v>28</v>
      </c>
      <c r="C29" s="9" t="s">
        <v>25</v>
      </c>
      <c r="D29" s="9" t="s">
        <v>28</v>
      </c>
      <c r="E29" s="9" t="s">
        <v>25</v>
      </c>
      <c r="N29" s="9" t="s">
        <v>25</v>
      </c>
      <c r="O29" s="9" t="s">
        <v>25</v>
      </c>
      <c r="P29" s="9" t="s">
        <v>25</v>
      </c>
      <c r="Q29" s="9" t="s">
        <v>25</v>
      </c>
      <c r="R29" s="9" t="s">
        <v>25</v>
      </c>
      <c r="S29" s="9" t="s">
        <v>13327</v>
      </c>
      <c r="T29" s="9" t="s">
        <v>770</v>
      </c>
      <c r="U29" s="9" t="s">
        <v>28</v>
      </c>
      <c r="V29" s="39">
        <v>30000</v>
      </c>
      <c r="W29" s="9" t="s">
        <v>644</v>
      </c>
      <c r="Y29" s="39">
        <v>30000</v>
      </c>
      <c r="Z29" s="39">
        <v>60000</v>
      </c>
      <c r="AA29" s="9">
        <v>2</v>
      </c>
      <c r="AB29" s="9" t="s">
        <v>673</v>
      </c>
      <c r="AD29" s="9" t="s">
        <v>13777</v>
      </c>
      <c r="AF29" s="9" t="s">
        <v>756</v>
      </c>
      <c r="AH29" s="9" t="s">
        <v>599</v>
      </c>
      <c r="AI29" s="9" t="s">
        <v>28</v>
      </c>
      <c r="AJ29" s="39">
        <v>650</v>
      </c>
      <c r="AK29" s="9" t="s">
        <v>28</v>
      </c>
      <c r="AL29" s="9">
        <v>20</v>
      </c>
      <c r="AM29" s="9" t="s">
        <v>28</v>
      </c>
      <c r="AN29" s="39">
        <v>400</v>
      </c>
      <c r="AO29" s="9" t="s">
        <v>948</v>
      </c>
      <c r="AP29" s="9">
        <v>20</v>
      </c>
      <c r="AQ29" s="9" t="s">
        <v>949</v>
      </c>
      <c r="AS29" s="9" t="s">
        <v>864</v>
      </c>
      <c r="AT29" s="9" t="s">
        <v>25</v>
      </c>
      <c r="AU29" s="9" t="s">
        <v>739</v>
      </c>
      <c r="AV29" s="9" t="s">
        <v>739</v>
      </c>
      <c r="AW29" s="9" t="s">
        <v>740</v>
      </c>
      <c r="AX29" s="39">
        <v>30000</v>
      </c>
      <c r="AZ29" s="9" t="s">
        <v>741</v>
      </c>
      <c r="BA29" s="9" t="s">
        <v>604</v>
      </c>
      <c r="BB29" s="9" t="s">
        <v>604</v>
      </c>
      <c r="BC29" s="9" t="s">
        <v>741</v>
      </c>
      <c r="BD29" s="9" t="s">
        <v>679</v>
      </c>
      <c r="BE29" s="9" t="s">
        <v>741</v>
      </c>
      <c r="BF29" s="9" t="s">
        <v>601</v>
      </c>
      <c r="BG29" s="9" t="s">
        <v>25</v>
      </c>
      <c r="BH29" s="9" t="s">
        <v>739</v>
      </c>
      <c r="BI29" s="9" t="s">
        <v>739</v>
      </c>
      <c r="BJ29" s="9" t="s">
        <v>28</v>
      </c>
      <c r="BK29" s="39">
        <v>30000</v>
      </c>
      <c r="BL29" s="9" t="s">
        <v>741</v>
      </c>
      <c r="BM29" s="9" t="s">
        <v>604</v>
      </c>
      <c r="BN29" s="9" t="s">
        <v>604</v>
      </c>
      <c r="BO29" s="9" t="s">
        <v>741</v>
      </c>
      <c r="BP29" s="9" t="s">
        <v>679</v>
      </c>
      <c r="BQ29" s="9" t="s">
        <v>741</v>
      </c>
      <c r="BR29" s="9" t="s">
        <v>607</v>
      </c>
      <c r="BT29" s="9" t="s">
        <v>950</v>
      </c>
      <c r="BU29" s="9" t="s">
        <v>609</v>
      </c>
      <c r="BW29" s="9" t="s">
        <v>951</v>
      </c>
      <c r="BX29" s="9" t="s">
        <v>28</v>
      </c>
      <c r="BY29" s="9" t="s">
        <v>644</v>
      </c>
      <c r="CA29" s="39">
        <v>30000</v>
      </c>
      <c r="CB29" s="39">
        <v>60000</v>
      </c>
      <c r="CC29" s="9">
        <v>2</v>
      </c>
      <c r="CD29" s="9" t="s">
        <v>673</v>
      </c>
      <c r="CF29" s="9" t="s">
        <v>13350</v>
      </c>
      <c r="CH29" s="9" t="s">
        <v>777</v>
      </c>
      <c r="CJ29" s="9" t="s">
        <v>72</v>
      </c>
      <c r="ED29" s="9" t="s">
        <v>618</v>
      </c>
      <c r="EE29" s="9" t="s">
        <v>650</v>
      </c>
      <c r="EF29" s="9" t="s">
        <v>25</v>
      </c>
      <c r="EG29" s="9" t="s">
        <v>25</v>
      </c>
      <c r="EH29" s="9" t="s">
        <v>28</v>
      </c>
      <c r="EK29" s="39">
        <v>650</v>
      </c>
      <c r="EL29" s="9" t="s">
        <v>25</v>
      </c>
      <c r="EM29" s="9" t="s">
        <v>25</v>
      </c>
      <c r="EN29" s="9" t="s">
        <v>952</v>
      </c>
      <c r="EO29" s="9" t="s">
        <v>953</v>
      </c>
      <c r="EP29" s="9" t="s">
        <v>28</v>
      </c>
      <c r="EQ29" s="9" t="s">
        <v>653</v>
      </c>
      <c r="ER29" s="9" t="s">
        <v>25</v>
      </c>
      <c r="ET29" s="9" t="s">
        <v>28</v>
      </c>
      <c r="EU29" s="9" t="s">
        <v>622</v>
      </c>
      <c r="EV29" s="39">
        <v>5000</v>
      </c>
      <c r="EX29" s="39">
        <v>5000</v>
      </c>
      <c r="EZ29" s="9" t="s">
        <v>28</v>
      </c>
      <c r="FA29" s="9" t="s">
        <v>954</v>
      </c>
      <c r="FB29" s="9" t="s">
        <v>28</v>
      </c>
      <c r="FC29" s="39">
        <v>600</v>
      </c>
      <c r="FD29" s="9" t="s">
        <v>762</v>
      </c>
      <c r="FF29" s="9" t="s">
        <v>13363</v>
      </c>
      <c r="FG29" s="9" t="s">
        <v>28</v>
      </c>
      <c r="FH29" s="9" t="s">
        <v>653</v>
      </c>
      <c r="FI29" s="42">
        <v>5000</v>
      </c>
      <c r="FJ29" s="9" t="s">
        <v>28</v>
      </c>
      <c r="FK29" s="9">
        <v>5</v>
      </c>
      <c r="FL29" s="9" t="s">
        <v>624</v>
      </c>
      <c r="FM29" s="9" t="s">
        <v>955</v>
      </c>
      <c r="FT29" s="9" t="s">
        <v>658</v>
      </c>
      <c r="FU29" s="9" t="s">
        <v>659</v>
      </c>
      <c r="FV29" s="9" t="s">
        <v>956</v>
      </c>
      <c r="FW29" s="39">
        <v>150</v>
      </c>
      <c r="FX29" s="9" t="s">
        <v>627</v>
      </c>
      <c r="FZ29" s="9" t="s">
        <v>25</v>
      </c>
      <c r="GB29" s="9" t="s">
        <v>628</v>
      </c>
      <c r="GC29" s="9" t="s">
        <v>28</v>
      </c>
      <c r="GD29" s="9" t="s">
        <v>28</v>
      </c>
      <c r="GE29" s="9" t="s">
        <v>28</v>
      </c>
      <c r="GF29" s="9" t="s">
        <v>28</v>
      </c>
      <c r="GG29" s="9" t="s">
        <v>28</v>
      </c>
      <c r="GH29" s="9" t="s">
        <v>28</v>
      </c>
      <c r="GI29" s="9" t="s">
        <v>28</v>
      </c>
      <c r="GJ29" s="9" t="s">
        <v>28</v>
      </c>
      <c r="GK29" s="9" t="s">
        <v>28</v>
      </c>
      <c r="GL29" s="9" t="s">
        <v>630</v>
      </c>
      <c r="GM29" s="9" t="s">
        <v>629</v>
      </c>
      <c r="GN29" s="9" t="s">
        <v>630</v>
      </c>
      <c r="GO29" s="9" t="s">
        <v>630</v>
      </c>
      <c r="GP29" s="9" t="s">
        <v>631</v>
      </c>
      <c r="GQ29" s="9" t="s">
        <v>631</v>
      </c>
      <c r="GR29" s="9" t="s">
        <v>609</v>
      </c>
      <c r="GS29" s="9" t="s">
        <v>609</v>
      </c>
      <c r="GT29" s="9" t="s">
        <v>609</v>
      </c>
      <c r="GU29" s="9" t="s">
        <v>609</v>
      </c>
      <c r="GV29" s="9" t="s">
        <v>609</v>
      </c>
      <c r="GW29" s="9" t="s">
        <v>609</v>
      </c>
      <c r="GX29" s="9" t="s">
        <v>609</v>
      </c>
      <c r="GY29" s="9" t="s">
        <v>609</v>
      </c>
      <c r="GZ29" s="9" t="s">
        <v>609</v>
      </c>
      <c r="HA29" s="9" t="s">
        <v>609</v>
      </c>
      <c r="HB29" s="9" t="s">
        <v>609</v>
      </c>
      <c r="HC29" s="9" t="s">
        <v>609</v>
      </c>
      <c r="HD29" s="9" t="s">
        <v>609</v>
      </c>
      <c r="HE29" s="9" t="s">
        <v>609</v>
      </c>
      <c r="HF29" s="9" t="s">
        <v>630</v>
      </c>
      <c r="HG29" s="9" t="s">
        <v>631</v>
      </c>
      <c r="HH29" s="9" t="s">
        <v>609</v>
      </c>
      <c r="HI29" s="9" t="s">
        <v>632</v>
      </c>
      <c r="HJ29" s="9" t="s">
        <v>701</v>
      </c>
      <c r="HL29" s="9" t="s">
        <v>1148</v>
      </c>
      <c r="HO29" s="9" t="s">
        <v>13390</v>
      </c>
      <c r="HP29" s="9" t="s">
        <v>28</v>
      </c>
      <c r="HQ29" s="9" t="s">
        <v>804</v>
      </c>
      <c r="HR29" s="9" t="s">
        <v>25</v>
      </c>
      <c r="HS29" s="9" t="s">
        <v>25</v>
      </c>
      <c r="HU29" s="9" t="s">
        <v>28</v>
      </c>
      <c r="HV29" s="9" t="s">
        <v>25</v>
      </c>
      <c r="HW29" s="9" t="s">
        <v>25</v>
      </c>
      <c r="HX29" s="9" t="s">
        <v>25</v>
      </c>
      <c r="HZ29" s="9" t="s">
        <v>635</v>
      </c>
      <c r="IA29" s="9" t="s">
        <v>25</v>
      </c>
      <c r="IB29" s="9" t="s">
        <v>636</v>
      </c>
      <c r="IC29" s="9" t="s">
        <v>637</v>
      </c>
      <c r="IR29" s="9" t="s">
        <v>638</v>
      </c>
      <c r="IS29" s="9" t="s">
        <v>784</v>
      </c>
      <c r="IT29" s="9" t="s">
        <v>733</v>
      </c>
      <c r="IU29" s="49" t="s">
        <v>9337</v>
      </c>
      <c r="IV29" s="49" t="s">
        <v>9337</v>
      </c>
      <c r="IW29" s="9" t="s">
        <v>640</v>
      </c>
      <c r="IX29" s="9" t="s">
        <v>640</v>
      </c>
      <c r="IY29" s="9" t="s">
        <v>640</v>
      </c>
      <c r="IZ29" s="9" t="s">
        <v>640</v>
      </c>
      <c r="JA29" s="9" t="s">
        <v>863</v>
      </c>
      <c r="JB29" s="9" t="s">
        <v>642</v>
      </c>
    </row>
    <row r="30" spans="1:262" ht="51" x14ac:dyDescent="0.2">
      <c r="A30" s="8" t="s">
        <v>120</v>
      </c>
      <c r="B30" s="9" t="s">
        <v>25</v>
      </c>
      <c r="S30" s="9" t="s">
        <v>635</v>
      </c>
      <c r="ED30" s="9" t="s">
        <v>649</v>
      </c>
      <c r="EE30" s="9" t="s">
        <v>619</v>
      </c>
      <c r="EF30" s="9" t="s">
        <v>25</v>
      </c>
      <c r="EL30" s="9" t="s">
        <v>28</v>
      </c>
      <c r="EM30" s="9" t="s">
        <v>25</v>
      </c>
      <c r="EN30" s="9" t="s">
        <v>620</v>
      </c>
      <c r="EP30" s="9" t="s">
        <v>25</v>
      </c>
      <c r="ER30" s="9" t="s">
        <v>25</v>
      </c>
      <c r="ET30" s="9" t="s">
        <v>25</v>
      </c>
      <c r="EX30" s="39">
        <v>800</v>
      </c>
      <c r="EZ30" s="9" t="s">
        <v>607</v>
      </c>
      <c r="FB30" s="9" t="s">
        <v>655</v>
      </c>
      <c r="FC30" s="39">
        <v>600</v>
      </c>
      <c r="FD30" s="9" t="s">
        <v>13359</v>
      </c>
      <c r="FF30" s="9" t="s">
        <v>13366</v>
      </c>
      <c r="FL30" s="9" t="s">
        <v>624</v>
      </c>
      <c r="FM30" s="9" t="s">
        <v>706</v>
      </c>
      <c r="FN30" s="9" t="s">
        <v>657</v>
      </c>
      <c r="FO30" s="9" t="s">
        <v>657</v>
      </c>
      <c r="FP30" s="9" t="s">
        <v>657</v>
      </c>
      <c r="FV30" s="9" t="s">
        <v>707</v>
      </c>
      <c r="FW30" s="39">
        <v>125</v>
      </c>
      <c r="FZ30" s="9" t="s">
        <v>25</v>
      </c>
      <c r="GB30" s="9" t="s">
        <v>628</v>
      </c>
      <c r="HI30" s="9" t="s">
        <v>29</v>
      </c>
      <c r="HJ30" s="9" t="s">
        <v>708</v>
      </c>
      <c r="HL30" s="9" t="s">
        <v>709</v>
      </c>
      <c r="HM30" s="9" t="s">
        <v>710</v>
      </c>
      <c r="HP30" s="9" t="s">
        <v>25</v>
      </c>
      <c r="IC30" s="9" t="s">
        <v>635</v>
      </c>
      <c r="IG30" s="9" t="s">
        <v>711</v>
      </c>
      <c r="IT30" s="9" t="s">
        <v>712</v>
      </c>
      <c r="IU30" s="9">
        <v>0</v>
      </c>
      <c r="IV30" s="49" t="s">
        <v>9340</v>
      </c>
      <c r="IW30" s="9" t="s">
        <v>679</v>
      </c>
      <c r="IX30" s="9" t="s">
        <v>679</v>
      </c>
      <c r="IY30" s="9" t="s">
        <v>679</v>
      </c>
      <c r="IZ30" s="9" t="s">
        <v>679</v>
      </c>
      <c r="JA30" s="9" t="s">
        <v>635</v>
      </c>
      <c r="JB30" s="9" t="s">
        <v>713</v>
      </c>
    </row>
    <row r="31" spans="1:262" ht="76.5" x14ac:dyDescent="0.2">
      <c r="A31" s="8" t="s">
        <v>174</v>
      </c>
      <c r="B31" s="9" t="s">
        <v>25</v>
      </c>
      <c r="S31" s="9" t="s">
        <v>13335</v>
      </c>
      <c r="T31" s="9" t="s">
        <v>770</v>
      </c>
      <c r="U31" s="9" t="s">
        <v>1072</v>
      </c>
      <c r="W31" s="9" t="s">
        <v>644</v>
      </c>
      <c r="AB31" s="9" t="s">
        <v>734</v>
      </c>
      <c r="AD31" s="9" t="s">
        <v>29</v>
      </c>
      <c r="AE31" s="9" t="s">
        <v>1214</v>
      </c>
      <c r="AF31" s="9" t="s">
        <v>829</v>
      </c>
      <c r="AH31" s="9" t="s">
        <v>599</v>
      </c>
      <c r="AI31" s="9" t="s">
        <v>607</v>
      </c>
      <c r="AK31" s="9" t="s">
        <v>28</v>
      </c>
      <c r="AL31" s="9">
        <v>5</v>
      </c>
      <c r="AM31" s="9" t="s">
        <v>28</v>
      </c>
      <c r="AN31" s="39">
        <v>1000</v>
      </c>
      <c r="AO31" s="9" t="s">
        <v>875</v>
      </c>
      <c r="AP31" s="9">
        <v>5</v>
      </c>
      <c r="AS31" s="9" t="s">
        <v>864</v>
      </c>
      <c r="AT31" s="9" t="s">
        <v>28</v>
      </c>
      <c r="AV31" s="9" t="s">
        <v>739</v>
      </c>
      <c r="AW31" s="9" t="s">
        <v>740</v>
      </c>
      <c r="AX31" s="39">
        <v>80000</v>
      </c>
      <c r="AZ31" s="9" t="s">
        <v>679</v>
      </c>
      <c r="BA31" s="9" t="s">
        <v>679</v>
      </c>
      <c r="BB31" s="9" t="s">
        <v>679</v>
      </c>
      <c r="BC31" s="9" t="s">
        <v>679</v>
      </c>
      <c r="BD31" s="9" t="s">
        <v>679</v>
      </c>
      <c r="BE31" s="9" t="s">
        <v>679</v>
      </c>
      <c r="BF31" s="9" t="s">
        <v>864</v>
      </c>
      <c r="BG31" s="9" t="s">
        <v>25</v>
      </c>
      <c r="BI31" s="9" t="s">
        <v>739</v>
      </c>
      <c r="BJ31" s="9" t="s">
        <v>28</v>
      </c>
      <c r="BK31" s="39">
        <v>80000</v>
      </c>
      <c r="BL31" s="9" t="s">
        <v>679</v>
      </c>
      <c r="BM31" s="9" t="s">
        <v>679</v>
      </c>
      <c r="BN31" s="9" t="s">
        <v>679</v>
      </c>
      <c r="BO31" s="9" t="s">
        <v>679</v>
      </c>
      <c r="BP31" s="9" t="s">
        <v>679</v>
      </c>
      <c r="BQ31" s="9" t="s">
        <v>679</v>
      </c>
      <c r="BR31" s="9" t="s">
        <v>28</v>
      </c>
      <c r="BT31" s="9" t="s">
        <v>742</v>
      </c>
      <c r="BU31" s="9" t="s">
        <v>609</v>
      </c>
      <c r="BX31" s="9" t="s">
        <v>28</v>
      </c>
      <c r="BY31" s="9" t="s">
        <v>644</v>
      </c>
      <c r="CB31" s="39">
        <v>80000</v>
      </c>
      <c r="CD31" s="9" t="s">
        <v>734</v>
      </c>
      <c r="CF31" s="9" t="s">
        <v>29</v>
      </c>
      <c r="CG31" s="9" t="s">
        <v>1214</v>
      </c>
      <c r="CH31" s="9" t="s">
        <v>777</v>
      </c>
      <c r="CJ31" s="9" t="s">
        <v>856</v>
      </c>
      <c r="CL31" s="9" t="s">
        <v>611</v>
      </c>
      <c r="ED31" s="9" t="s">
        <v>695</v>
      </c>
      <c r="EE31" s="9" t="s">
        <v>650</v>
      </c>
      <c r="EF31" s="9" t="s">
        <v>25</v>
      </c>
      <c r="EG31" s="9" t="s">
        <v>25</v>
      </c>
      <c r="EH31" s="9" t="s">
        <v>25</v>
      </c>
      <c r="EL31" s="9" t="s">
        <v>25</v>
      </c>
      <c r="EM31" s="9" t="s">
        <v>651</v>
      </c>
      <c r="FC31" s="39">
        <v>630</v>
      </c>
      <c r="FD31" s="9" t="s">
        <v>13359</v>
      </c>
      <c r="FF31" s="9" t="s">
        <v>13365</v>
      </c>
      <c r="FG31" s="9" t="s">
        <v>28</v>
      </c>
      <c r="FH31" s="9" t="s">
        <v>697</v>
      </c>
      <c r="FI31" s="42">
        <v>2000</v>
      </c>
      <c r="FJ31" s="9" t="s">
        <v>28</v>
      </c>
      <c r="FK31" s="9">
        <v>3</v>
      </c>
      <c r="FL31" s="9" t="s">
        <v>624</v>
      </c>
      <c r="FM31" s="9" t="s">
        <v>1215</v>
      </c>
      <c r="FN31" s="9" t="s">
        <v>659</v>
      </c>
      <c r="FO31" s="9" t="s">
        <v>657</v>
      </c>
      <c r="FQ31" s="9" t="s">
        <v>658</v>
      </c>
      <c r="FV31" s="9" t="s">
        <v>1216</v>
      </c>
      <c r="FW31" s="39">
        <v>270</v>
      </c>
      <c r="FX31" s="9" t="s">
        <v>627</v>
      </c>
      <c r="FZ31" s="9" t="s">
        <v>28</v>
      </c>
      <c r="GA31" s="9" t="s">
        <v>28</v>
      </c>
      <c r="GB31" s="9" t="s">
        <v>663</v>
      </c>
      <c r="GL31" s="9" t="s">
        <v>629</v>
      </c>
      <c r="GM31" s="9" t="s">
        <v>629</v>
      </c>
      <c r="GN31" s="9" t="s">
        <v>630</v>
      </c>
      <c r="GO31" s="9" t="s">
        <v>630</v>
      </c>
      <c r="GP31" s="9" t="s">
        <v>631</v>
      </c>
      <c r="GQ31" s="9" t="s">
        <v>631</v>
      </c>
      <c r="GR31" s="9" t="s">
        <v>631</v>
      </c>
      <c r="GS31" s="9" t="s">
        <v>631</v>
      </c>
      <c r="GT31" s="9" t="s">
        <v>631</v>
      </c>
      <c r="GU31" s="9" t="s">
        <v>631</v>
      </c>
      <c r="GV31" s="9" t="s">
        <v>609</v>
      </c>
      <c r="GW31" s="9" t="s">
        <v>631</v>
      </c>
      <c r="GX31" s="9" t="s">
        <v>631</v>
      </c>
      <c r="GY31" s="9" t="s">
        <v>631</v>
      </c>
      <c r="GZ31" s="9" t="s">
        <v>631</v>
      </c>
      <c r="HA31" s="9" t="s">
        <v>631</v>
      </c>
      <c r="HB31" s="9" t="s">
        <v>609</v>
      </c>
      <c r="HC31" s="9" t="s">
        <v>631</v>
      </c>
      <c r="HD31" s="9" t="s">
        <v>631</v>
      </c>
      <c r="HE31" s="9" t="s">
        <v>609</v>
      </c>
      <c r="HF31" s="9" t="s">
        <v>609</v>
      </c>
      <c r="HG31" s="9" t="s">
        <v>631</v>
      </c>
      <c r="HH31" s="9" t="s">
        <v>609</v>
      </c>
      <c r="HI31" s="9" t="s">
        <v>256</v>
      </c>
      <c r="HJ31" s="9" t="s">
        <v>29</v>
      </c>
      <c r="HN31" s="9" t="s">
        <v>1217</v>
      </c>
      <c r="HO31" s="9" t="s">
        <v>13393</v>
      </c>
      <c r="HP31" s="9" t="s">
        <v>28</v>
      </c>
      <c r="HQ31" s="9" t="s">
        <v>804</v>
      </c>
      <c r="HR31" s="9" t="s">
        <v>25</v>
      </c>
      <c r="HS31" s="9" t="s">
        <v>28</v>
      </c>
      <c r="HT31" s="9" t="s">
        <v>28</v>
      </c>
      <c r="HU31" s="9" t="s">
        <v>25</v>
      </c>
      <c r="HV31" s="9" t="s">
        <v>25</v>
      </c>
      <c r="HW31" s="9" t="s">
        <v>25</v>
      </c>
      <c r="HX31" s="9" t="s">
        <v>25</v>
      </c>
      <c r="HZ31" s="9" t="s">
        <v>635</v>
      </c>
      <c r="IA31" s="9" t="s">
        <v>25</v>
      </c>
      <c r="IB31" s="9" t="s">
        <v>636</v>
      </c>
      <c r="IC31" s="9" t="s">
        <v>637</v>
      </c>
      <c r="IR31" s="9" t="s">
        <v>768</v>
      </c>
      <c r="IS31" s="9" t="s">
        <v>784</v>
      </c>
      <c r="IT31" s="9" t="s">
        <v>754</v>
      </c>
      <c r="IU31" s="49" t="s">
        <v>9337</v>
      </c>
      <c r="IV31" s="49" t="s">
        <v>9339</v>
      </c>
      <c r="IW31" s="9" t="s">
        <v>640</v>
      </c>
      <c r="IX31" s="9" t="s">
        <v>640</v>
      </c>
      <c r="IY31" s="9" t="s">
        <v>703</v>
      </c>
      <c r="IZ31" s="9" t="s">
        <v>703</v>
      </c>
      <c r="JA31" s="9" t="s">
        <v>863</v>
      </c>
      <c r="JB31" s="9" t="s">
        <v>642</v>
      </c>
    </row>
    <row r="32" spans="1:262" ht="63.75" x14ac:dyDescent="0.2">
      <c r="A32" s="8" t="s">
        <v>124</v>
      </c>
      <c r="B32" s="9" t="s">
        <v>25</v>
      </c>
      <c r="S32" s="9" t="s">
        <v>13319</v>
      </c>
      <c r="T32" s="9" t="s">
        <v>770</v>
      </c>
      <c r="U32" s="9" t="s">
        <v>28</v>
      </c>
      <c r="V32" s="39">
        <v>10000</v>
      </c>
      <c r="W32" s="9" t="s">
        <v>644</v>
      </c>
      <c r="Y32" s="39">
        <v>10000</v>
      </c>
      <c r="AB32" s="9" t="s">
        <v>673</v>
      </c>
      <c r="AD32" s="9" t="s">
        <v>13777</v>
      </c>
      <c r="AF32" s="9" t="s">
        <v>771</v>
      </c>
      <c r="AO32" s="9" t="s">
        <v>772</v>
      </c>
      <c r="AP32" s="9" t="s">
        <v>773</v>
      </c>
      <c r="AQ32" s="9" t="s">
        <v>774</v>
      </c>
      <c r="AS32" s="9" t="s">
        <v>601</v>
      </c>
      <c r="AT32" s="9" t="s">
        <v>28</v>
      </c>
      <c r="AU32" s="9" t="s">
        <v>602</v>
      </c>
      <c r="AV32" s="9" t="s">
        <v>602</v>
      </c>
      <c r="AW32" s="9" t="s">
        <v>603</v>
      </c>
      <c r="AZ32" s="9" t="s">
        <v>606</v>
      </c>
      <c r="BA32" s="9" t="s">
        <v>604</v>
      </c>
      <c r="BB32" s="9" t="s">
        <v>604</v>
      </c>
      <c r="BC32" s="9" t="s">
        <v>606</v>
      </c>
      <c r="BD32" s="9" t="s">
        <v>606</v>
      </c>
      <c r="BE32" s="9" t="s">
        <v>606</v>
      </c>
      <c r="BF32" s="9" t="s">
        <v>775</v>
      </c>
      <c r="BG32" s="9" t="s">
        <v>28</v>
      </c>
      <c r="BH32" s="9" t="s">
        <v>602</v>
      </c>
      <c r="BI32" s="9" t="s">
        <v>602</v>
      </c>
      <c r="BJ32" s="9" t="s">
        <v>603</v>
      </c>
      <c r="BL32" s="9" t="s">
        <v>606</v>
      </c>
      <c r="BM32" s="9" t="s">
        <v>604</v>
      </c>
      <c r="BN32" s="9" t="s">
        <v>604</v>
      </c>
      <c r="BO32" s="9" t="s">
        <v>606</v>
      </c>
      <c r="BP32" s="9" t="s">
        <v>606</v>
      </c>
      <c r="BQ32" s="9" t="s">
        <v>606</v>
      </c>
      <c r="BR32" s="9" t="s">
        <v>607</v>
      </c>
      <c r="BT32" s="9" t="s">
        <v>776</v>
      </c>
      <c r="BU32" s="9" t="s">
        <v>609</v>
      </c>
      <c r="BX32" s="9" t="s">
        <v>28</v>
      </c>
      <c r="BY32" s="9" t="s">
        <v>644</v>
      </c>
      <c r="CA32" s="39">
        <v>10000</v>
      </c>
      <c r="CD32" s="9" t="s">
        <v>645</v>
      </c>
      <c r="CF32" s="9" t="s">
        <v>646</v>
      </c>
      <c r="CH32" s="9" t="s">
        <v>777</v>
      </c>
      <c r="CJ32" s="9" t="s">
        <v>72</v>
      </c>
      <c r="CL32" s="9" t="s">
        <v>611</v>
      </c>
      <c r="ED32" s="9" t="s">
        <v>649</v>
      </c>
      <c r="EE32" s="9" t="s">
        <v>650</v>
      </c>
      <c r="EF32" s="9" t="s">
        <v>25</v>
      </c>
      <c r="EG32" s="9" t="s">
        <v>25</v>
      </c>
      <c r="EH32" s="9" t="s">
        <v>28</v>
      </c>
      <c r="EK32" s="39">
        <v>1500</v>
      </c>
      <c r="EL32" s="9" t="s">
        <v>25</v>
      </c>
      <c r="EM32" s="9" t="s">
        <v>651</v>
      </c>
      <c r="EN32" s="9" t="s">
        <v>652</v>
      </c>
      <c r="EP32" s="9" t="s">
        <v>25</v>
      </c>
      <c r="ER32" s="9" t="s">
        <v>25</v>
      </c>
      <c r="ET32" s="9" t="s">
        <v>25</v>
      </c>
      <c r="EZ32" s="9" t="s">
        <v>28</v>
      </c>
      <c r="FA32" s="9" t="s">
        <v>778</v>
      </c>
      <c r="FB32" s="9" t="s">
        <v>28</v>
      </c>
      <c r="FC32" s="39">
        <v>500</v>
      </c>
      <c r="FD32" s="9" t="s">
        <v>724</v>
      </c>
      <c r="FF32" s="9" t="s">
        <v>13363</v>
      </c>
      <c r="FG32" s="9" t="s">
        <v>28</v>
      </c>
      <c r="FH32" s="9" t="s">
        <v>653</v>
      </c>
      <c r="FI32" s="42">
        <v>5000</v>
      </c>
      <c r="FJ32" s="9" t="s">
        <v>28</v>
      </c>
      <c r="FK32" s="9">
        <v>6</v>
      </c>
      <c r="FL32" s="9" t="s">
        <v>624</v>
      </c>
      <c r="FM32" s="9" t="s">
        <v>779</v>
      </c>
      <c r="FN32" s="9" t="s">
        <v>659</v>
      </c>
      <c r="FO32" s="9" t="s">
        <v>659</v>
      </c>
      <c r="FT32" s="9" t="s">
        <v>659</v>
      </c>
      <c r="FV32" s="9" t="s">
        <v>780</v>
      </c>
      <c r="FW32" s="39">
        <v>280</v>
      </c>
      <c r="FX32" s="9" t="s">
        <v>627</v>
      </c>
      <c r="FY32" s="9" t="s">
        <v>662</v>
      </c>
      <c r="FZ32" s="9" t="s">
        <v>25</v>
      </c>
      <c r="GA32" s="9" t="s">
        <v>28</v>
      </c>
      <c r="GB32" s="9" t="s">
        <v>628</v>
      </c>
      <c r="GC32" s="9" t="s">
        <v>28</v>
      </c>
      <c r="GD32" s="9" t="s">
        <v>28</v>
      </c>
      <c r="GE32" s="9" t="s">
        <v>28</v>
      </c>
      <c r="GF32" s="9" t="s">
        <v>28</v>
      </c>
      <c r="GG32" s="9" t="s">
        <v>25</v>
      </c>
      <c r="GH32" s="9" t="s">
        <v>28</v>
      </c>
      <c r="GI32" s="9" t="s">
        <v>28</v>
      </c>
      <c r="GJ32" s="9" t="s">
        <v>28</v>
      </c>
      <c r="GK32" s="9" t="s">
        <v>28</v>
      </c>
      <c r="GL32" s="9" t="s">
        <v>630</v>
      </c>
      <c r="GM32" s="9" t="s">
        <v>629</v>
      </c>
      <c r="GN32" s="9" t="s">
        <v>630</v>
      </c>
      <c r="GO32" s="9" t="s">
        <v>630</v>
      </c>
      <c r="GP32" s="9" t="s">
        <v>631</v>
      </c>
      <c r="GQ32" s="9" t="s">
        <v>630</v>
      </c>
      <c r="GR32" s="9" t="s">
        <v>609</v>
      </c>
      <c r="GS32" s="9" t="s">
        <v>631</v>
      </c>
      <c r="GT32" s="9" t="s">
        <v>631</v>
      </c>
      <c r="GU32" s="9" t="s">
        <v>631</v>
      </c>
      <c r="GV32" s="9" t="s">
        <v>631</v>
      </c>
      <c r="GW32" s="9" t="s">
        <v>631</v>
      </c>
      <c r="GX32" s="9" t="s">
        <v>609</v>
      </c>
      <c r="GY32" s="9" t="s">
        <v>631</v>
      </c>
      <c r="GZ32" s="9" t="s">
        <v>609</v>
      </c>
      <c r="HA32" s="9" t="s">
        <v>631</v>
      </c>
      <c r="HB32" s="9" t="s">
        <v>609</v>
      </c>
      <c r="HC32" s="9" t="s">
        <v>631</v>
      </c>
      <c r="HD32" s="9" t="s">
        <v>631</v>
      </c>
      <c r="HE32" s="9" t="s">
        <v>609</v>
      </c>
      <c r="HF32" s="9" t="s">
        <v>631</v>
      </c>
      <c r="HG32" s="9" t="s">
        <v>631</v>
      </c>
      <c r="HH32" s="9" t="s">
        <v>631</v>
      </c>
      <c r="HI32" s="9" t="s">
        <v>632</v>
      </c>
      <c r="HJ32" s="9" t="s">
        <v>727</v>
      </c>
      <c r="HM32" s="9" t="s">
        <v>781</v>
      </c>
      <c r="HO32" s="9" t="s">
        <v>13387</v>
      </c>
      <c r="HP32" s="9" t="s">
        <v>28</v>
      </c>
      <c r="HQ32" s="9" t="s">
        <v>634</v>
      </c>
      <c r="HR32" s="9" t="s">
        <v>28</v>
      </c>
      <c r="HS32" s="9" t="s">
        <v>28</v>
      </c>
      <c r="HU32" s="9" t="s">
        <v>28</v>
      </c>
      <c r="HV32" s="9" t="s">
        <v>25</v>
      </c>
      <c r="HW32" s="9" t="s">
        <v>25</v>
      </c>
      <c r="HX32" s="9" t="s">
        <v>28</v>
      </c>
      <c r="HY32" s="9" t="s">
        <v>782</v>
      </c>
      <c r="HZ32" s="9" t="s">
        <v>635</v>
      </c>
      <c r="IA32" s="9" t="s">
        <v>783</v>
      </c>
      <c r="IB32" s="9" t="s">
        <v>636</v>
      </c>
      <c r="IC32" s="9" t="s">
        <v>637</v>
      </c>
      <c r="IR32" s="9" t="s">
        <v>638</v>
      </c>
      <c r="IS32" s="9" t="s">
        <v>784</v>
      </c>
      <c r="IT32" s="9" t="s">
        <v>13410</v>
      </c>
      <c r="IV32" s="50" t="s">
        <v>9338</v>
      </c>
      <c r="IW32" s="9" t="s">
        <v>640</v>
      </c>
      <c r="IX32" s="9" t="s">
        <v>640</v>
      </c>
      <c r="IY32" s="9" t="s">
        <v>640</v>
      </c>
      <c r="IZ32" s="9" t="s">
        <v>640</v>
      </c>
      <c r="JA32" s="9" t="s">
        <v>704</v>
      </c>
      <c r="JB32" s="9" t="s">
        <v>642</v>
      </c>
    </row>
    <row r="33" spans="1:262" ht="76.5" x14ac:dyDescent="0.2">
      <c r="A33" s="8" t="s">
        <v>117</v>
      </c>
      <c r="B33" s="9" t="s">
        <v>28</v>
      </c>
      <c r="C33" s="9" t="s">
        <v>25</v>
      </c>
      <c r="D33" s="9" t="s">
        <v>25</v>
      </c>
      <c r="E33" s="9" t="s">
        <v>28</v>
      </c>
      <c r="F33" s="9" t="s">
        <v>25</v>
      </c>
      <c r="G33" s="9" t="s">
        <v>28</v>
      </c>
      <c r="H33" s="9" t="s">
        <v>25</v>
      </c>
      <c r="I33" s="9" t="s">
        <v>25</v>
      </c>
      <c r="J33" s="9" t="s">
        <v>25</v>
      </c>
      <c r="K33" s="9" t="s">
        <v>25</v>
      </c>
      <c r="L33" s="9" t="s">
        <v>28</v>
      </c>
      <c r="M33" s="9" t="s">
        <v>25</v>
      </c>
      <c r="N33" s="9" t="s">
        <v>25</v>
      </c>
      <c r="O33" s="9" t="s">
        <v>25</v>
      </c>
      <c r="P33" s="9" t="s">
        <v>25</v>
      </c>
      <c r="Q33" s="9" t="s">
        <v>28</v>
      </c>
      <c r="R33" s="9" t="s">
        <v>25</v>
      </c>
      <c r="S33" s="9" t="s">
        <v>13316</v>
      </c>
      <c r="T33" s="9" t="s">
        <v>595</v>
      </c>
      <c r="U33" s="9" t="s">
        <v>28</v>
      </c>
      <c r="V33" s="39">
        <v>25000</v>
      </c>
      <c r="W33" s="9" t="s">
        <v>29</v>
      </c>
      <c r="X33" s="9" t="s">
        <v>596</v>
      </c>
      <c r="Y33" s="39">
        <v>25000</v>
      </c>
      <c r="Z33" s="39">
        <v>50000</v>
      </c>
      <c r="AA33" s="9">
        <v>2</v>
      </c>
      <c r="AB33" s="9" t="s">
        <v>29</v>
      </c>
      <c r="AC33" s="9" t="s">
        <v>597</v>
      </c>
      <c r="AD33" s="9" t="s">
        <v>13349</v>
      </c>
      <c r="AE33" s="9" t="s">
        <v>597</v>
      </c>
      <c r="AF33" s="9" t="s">
        <v>598</v>
      </c>
      <c r="AH33" s="9" t="s">
        <v>599</v>
      </c>
      <c r="AI33" s="9" t="s">
        <v>28</v>
      </c>
      <c r="AJ33" s="39">
        <v>1200</v>
      </c>
      <c r="AK33" s="9" t="s">
        <v>28</v>
      </c>
      <c r="AL33" s="9">
        <v>20</v>
      </c>
      <c r="AM33" s="9" t="s">
        <v>28</v>
      </c>
      <c r="AN33" s="39">
        <v>800</v>
      </c>
      <c r="AO33" s="9" t="s">
        <v>600</v>
      </c>
      <c r="AP33" s="9">
        <v>20</v>
      </c>
      <c r="AS33" s="9" t="s">
        <v>601</v>
      </c>
      <c r="AT33" s="9" t="s">
        <v>25</v>
      </c>
      <c r="AU33" s="9" t="s">
        <v>602</v>
      </c>
      <c r="AV33" s="9" t="s">
        <v>602</v>
      </c>
      <c r="AW33" s="9" t="s">
        <v>603</v>
      </c>
      <c r="AZ33" s="9" t="s">
        <v>604</v>
      </c>
      <c r="BA33" s="9" t="s">
        <v>604</v>
      </c>
      <c r="BB33" s="9" t="s">
        <v>604</v>
      </c>
      <c r="BC33" s="9" t="s">
        <v>605</v>
      </c>
      <c r="BD33" s="9" t="s">
        <v>606</v>
      </c>
      <c r="BE33" s="9" t="s">
        <v>604</v>
      </c>
      <c r="BF33" s="9" t="s">
        <v>601</v>
      </c>
      <c r="BG33" s="9" t="s">
        <v>25</v>
      </c>
      <c r="BH33" s="9" t="s">
        <v>602</v>
      </c>
      <c r="BI33" s="9" t="s">
        <v>602</v>
      </c>
      <c r="BJ33" s="9" t="s">
        <v>603</v>
      </c>
      <c r="BO33" s="9" t="s">
        <v>605</v>
      </c>
      <c r="BP33" s="9" t="s">
        <v>606</v>
      </c>
      <c r="BR33" s="9" t="s">
        <v>607</v>
      </c>
      <c r="BS33" s="9" t="s">
        <v>13347</v>
      </c>
      <c r="BT33" s="9" t="s">
        <v>608</v>
      </c>
      <c r="BU33" s="9" t="s">
        <v>609</v>
      </c>
      <c r="BW33" s="9" t="s">
        <v>13348</v>
      </c>
      <c r="BX33" s="9" t="s">
        <v>28</v>
      </c>
      <c r="BY33" s="9" t="s">
        <v>29</v>
      </c>
      <c r="BZ33" s="9" t="s">
        <v>596</v>
      </c>
      <c r="CA33" s="39">
        <v>25000</v>
      </c>
      <c r="CB33" s="39">
        <v>50000</v>
      </c>
      <c r="CC33" s="9">
        <v>2</v>
      </c>
      <c r="CD33" s="9" t="s">
        <v>29</v>
      </c>
      <c r="CE33" s="9" t="s">
        <v>597</v>
      </c>
      <c r="CF33" s="9" t="s">
        <v>13349</v>
      </c>
      <c r="CG33" s="9" t="s">
        <v>597</v>
      </c>
      <c r="CH33" s="9" t="s">
        <v>610</v>
      </c>
      <c r="CJ33" s="9" t="s">
        <v>72</v>
      </c>
      <c r="CL33" s="9" t="s">
        <v>611</v>
      </c>
      <c r="CM33" s="9" t="s">
        <v>612</v>
      </c>
      <c r="CN33" s="9" t="s">
        <v>613</v>
      </c>
      <c r="DS33" s="9" t="s">
        <v>614</v>
      </c>
      <c r="DT33" s="9" t="s">
        <v>615</v>
      </c>
      <c r="DU33" s="9" t="s">
        <v>29</v>
      </c>
      <c r="DV33" s="9" t="s">
        <v>615</v>
      </c>
      <c r="DW33" s="9" t="s">
        <v>616</v>
      </c>
      <c r="DY33" s="9" t="s">
        <v>607</v>
      </c>
      <c r="EA33" s="9" t="s">
        <v>617</v>
      </c>
      <c r="EB33" s="9" t="s">
        <v>25</v>
      </c>
      <c r="ED33" s="9" t="s">
        <v>618</v>
      </c>
      <c r="EE33" s="9" t="s">
        <v>619</v>
      </c>
      <c r="EF33" s="9" t="s">
        <v>25</v>
      </c>
      <c r="EH33" s="9" t="s">
        <v>28</v>
      </c>
      <c r="EK33" s="39">
        <v>1200</v>
      </c>
      <c r="EL33" s="9" t="s">
        <v>25</v>
      </c>
      <c r="EM33" s="9" t="s">
        <v>25</v>
      </c>
      <c r="EN33" s="9" t="s">
        <v>620</v>
      </c>
      <c r="EP33" s="9" t="s">
        <v>28</v>
      </c>
      <c r="EQ33" s="9" t="s">
        <v>621</v>
      </c>
      <c r="ER33" s="9" t="s">
        <v>25</v>
      </c>
      <c r="ET33" s="9" t="s">
        <v>28</v>
      </c>
      <c r="EU33" s="9" t="s">
        <v>622</v>
      </c>
      <c r="EV33" s="39">
        <v>10000</v>
      </c>
      <c r="EX33" s="39">
        <v>10000</v>
      </c>
      <c r="EZ33" s="9" t="s">
        <v>28</v>
      </c>
      <c r="FA33" s="9" t="s">
        <v>623</v>
      </c>
      <c r="FB33" s="9" t="s">
        <v>28</v>
      </c>
      <c r="FF33" s="9" t="s">
        <v>13363</v>
      </c>
      <c r="FG33" s="9" t="s">
        <v>28</v>
      </c>
      <c r="FH33" s="9" t="s">
        <v>621</v>
      </c>
      <c r="FI33" s="42">
        <v>10000</v>
      </c>
      <c r="FJ33" s="9" t="s">
        <v>28</v>
      </c>
      <c r="FL33" s="9" t="s">
        <v>624</v>
      </c>
      <c r="FM33" s="9" t="s">
        <v>625</v>
      </c>
      <c r="FV33" s="9" t="s">
        <v>626</v>
      </c>
      <c r="FW33" s="39">
        <v>150</v>
      </c>
      <c r="FX33" s="9" t="s">
        <v>627</v>
      </c>
      <c r="FZ33" s="9" t="s">
        <v>28</v>
      </c>
      <c r="GA33" s="9" t="s">
        <v>28</v>
      </c>
      <c r="GB33" s="9" t="s">
        <v>628</v>
      </c>
      <c r="GC33" s="9" t="s">
        <v>28</v>
      </c>
      <c r="GD33" s="9" t="s">
        <v>28</v>
      </c>
      <c r="GE33" s="9" t="s">
        <v>28</v>
      </c>
      <c r="GF33" s="9" t="s">
        <v>28</v>
      </c>
      <c r="GG33" s="9" t="s">
        <v>25</v>
      </c>
      <c r="GH33" s="9" t="s">
        <v>28</v>
      </c>
      <c r="GI33" s="9" t="s">
        <v>25</v>
      </c>
      <c r="GJ33" s="9" t="s">
        <v>28</v>
      </c>
      <c r="GK33" s="9" t="s">
        <v>28</v>
      </c>
      <c r="GL33" s="9" t="s">
        <v>629</v>
      </c>
      <c r="GM33" s="9" t="s">
        <v>630</v>
      </c>
      <c r="GN33" s="9" t="s">
        <v>630</v>
      </c>
      <c r="GO33" s="9" t="s">
        <v>630</v>
      </c>
      <c r="GP33" s="9" t="s">
        <v>630</v>
      </c>
      <c r="GQ33" s="9" t="s">
        <v>630</v>
      </c>
      <c r="GR33" s="9" t="s">
        <v>629</v>
      </c>
      <c r="GS33" s="9" t="s">
        <v>609</v>
      </c>
      <c r="GT33" s="9" t="s">
        <v>609</v>
      </c>
      <c r="GU33" s="9" t="s">
        <v>609</v>
      </c>
      <c r="GV33" s="9" t="s">
        <v>609</v>
      </c>
      <c r="GW33" s="9" t="s">
        <v>609</v>
      </c>
      <c r="GX33" s="9" t="s">
        <v>609</v>
      </c>
      <c r="GY33" s="9" t="s">
        <v>609</v>
      </c>
      <c r="GZ33" s="9" t="s">
        <v>609</v>
      </c>
      <c r="HA33" s="9" t="s">
        <v>609</v>
      </c>
      <c r="HB33" s="9" t="s">
        <v>609</v>
      </c>
      <c r="HC33" s="9" t="s">
        <v>609</v>
      </c>
      <c r="HD33" s="9" t="s">
        <v>629</v>
      </c>
      <c r="HE33" s="9" t="s">
        <v>630</v>
      </c>
      <c r="HF33" s="9" t="s">
        <v>630</v>
      </c>
      <c r="HG33" s="9" t="s">
        <v>631</v>
      </c>
      <c r="HH33" s="9" t="s">
        <v>609</v>
      </c>
      <c r="HI33" s="9" t="s">
        <v>632</v>
      </c>
      <c r="HO33" s="9" t="s">
        <v>633</v>
      </c>
      <c r="HP33" s="9" t="s">
        <v>28</v>
      </c>
      <c r="HQ33" s="9" t="s">
        <v>634</v>
      </c>
      <c r="HR33" s="9" t="s">
        <v>28</v>
      </c>
      <c r="HS33" s="9" t="s">
        <v>28</v>
      </c>
      <c r="HU33" s="9" t="s">
        <v>28</v>
      </c>
      <c r="HV33" s="9" t="s">
        <v>25</v>
      </c>
      <c r="HW33" s="9" t="s">
        <v>25</v>
      </c>
      <c r="HX33" s="9" t="s">
        <v>25</v>
      </c>
      <c r="HZ33" s="9" t="s">
        <v>635</v>
      </c>
      <c r="IA33" s="9" t="s">
        <v>25</v>
      </c>
      <c r="IB33" s="9" t="s">
        <v>636</v>
      </c>
      <c r="IC33" s="9" t="s">
        <v>637</v>
      </c>
      <c r="IR33" s="9" t="s">
        <v>638</v>
      </c>
      <c r="IS33" s="9" t="s">
        <v>639</v>
      </c>
      <c r="IT33" s="9" t="s">
        <v>13410</v>
      </c>
      <c r="IV33" s="49" t="s">
        <v>9337</v>
      </c>
      <c r="IW33" s="9" t="s">
        <v>640</v>
      </c>
      <c r="IX33" s="9" t="s">
        <v>640</v>
      </c>
      <c r="IY33" s="9" t="s">
        <v>640</v>
      </c>
      <c r="IZ33" s="9" t="s">
        <v>640</v>
      </c>
      <c r="JA33" s="9" t="s">
        <v>641</v>
      </c>
      <c r="JB33" s="9" t="s">
        <v>642</v>
      </c>
    </row>
    <row r="34" spans="1:262" ht="102" x14ac:dyDescent="0.2">
      <c r="A34" s="8" t="s">
        <v>168</v>
      </c>
      <c r="B34" s="9" t="s">
        <v>25</v>
      </c>
      <c r="S34" s="9" t="s">
        <v>13335</v>
      </c>
      <c r="T34" s="9" t="s">
        <v>770</v>
      </c>
      <c r="U34" s="9" t="s">
        <v>28</v>
      </c>
      <c r="V34" s="39">
        <v>10000</v>
      </c>
      <c r="W34" s="9" t="s">
        <v>808</v>
      </c>
      <c r="Y34" s="39">
        <v>10000</v>
      </c>
      <c r="Z34" s="39">
        <v>40000</v>
      </c>
      <c r="AB34" s="9" t="s">
        <v>673</v>
      </c>
      <c r="AD34" s="9" t="s">
        <v>646</v>
      </c>
      <c r="AF34" s="9" t="s">
        <v>786</v>
      </c>
      <c r="AG34" s="9" t="s">
        <v>1178</v>
      </c>
      <c r="AH34" s="9" t="s">
        <v>599</v>
      </c>
      <c r="AI34" s="9" t="s">
        <v>607</v>
      </c>
      <c r="AK34" s="9" t="s">
        <v>28</v>
      </c>
      <c r="AL34" s="9">
        <v>15</v>
      </c>
      <c r="AM34" s="9" t="s">
        <v>28</v>
      </c>
      <c r="AN34" s="39">
        <v>375</v>
      </c>
      <c r="AO34" s="9" t="s">
        <v>29</v>
      </c>
      <c r="AR34" s="9" t="s">
        <v>1179</v>
      </c>
      <c r="AS34" s="9" t="s">
        <v>601</v>
      </c>
      <c r="AT34" s="9" t="s">
        <v>28</v>
      </c>
      <c r="AU34" s="9" t="s">
        <v>602</v>
      </c>
      <c r="AV34" s="9" t="s">
        <v>602</v>
      </c>
      <c r="AW34" s="9" t="s">
        <v>740</v>
      </c>
      <c r="AX34" s="39">
        <v>40000</v>
      </c>
      <c r="AZ34" s="9" t="s">
        <v>741</v>
      </c>
      <c r="BA34" s="9" t="s">
        <v>604</v>
      </c>
      <c r="BB34" s="9" t="s">
        <v>604</v>
      </c>
      <c r="BC34" s="9" t="s">
        <v>741</v>
      </c>
      <c r="BD34" s="9" t="s">
        <v>606</v>
      </c>
      <c r="BE34" s="9" t="s">
        <v>604</v>
      </c>
      <c r="BF34" s="9" t="s">
        <v>601</v>
      </c>
      <c r="BG34" s="9" t="s">
        <v>28</v>
      </c>
      <c r="BH34" s="9" t="s">
        <v>602</v>
      </c>
      <c r="BI34" s="9" t="s">
        <v>602</v>
      </c>
      <c r="BJ34" s="9" t="s">
        <v>28</v>
      </c>
      <c r="BK34" s="39">
        <v>40000</v>
      </c>
      <c r="BL34" s="9" t="s">
        <v>741</v>
      </c>
      <c r="BM34" s="9" t="s">
        <v>604</v>
      </c>
      <c r="BN34" s="9" t="s">
        <v>604</v>
      </c>
      <c r="BO34" s="9" t="s">
        <v>741</v>
      </c>
      <c r="BP34" s="9" t="s">
        <v>606</v>
      </c>
      <c r="BQ34" s="9" t="s">
        <v>604</v>
      </c>
      <c r="BR34" s="9" t="s">
        <v>607</v>
      </c>
      <c r="BT34" s="9" t="s">
        <v>1180</v>
      </c>
      <c r="BU34" s="9" t="s">
        <v>609</v>
      </c>
      <c r="BX34" s="9" t="s">
        <v>28</v>
      </c>
      <c r="BY34" s="9" t="s">
        <v>644</v>
      </c>
      <c r="CA34" s="39">
        <v>20000</v>
      </c>
      <c r="CB34" s="39">
        <v>20000</v>
      </c>
      <c r="CD34" s="9" t="s">
        <v>673</v>
      </c>
      <c r="CF34" s="9" t="s">
        <v>646</v>
      </c>
      <c r="CH34" s="9" t="s">
        <v>684</v>
      </c>
      <c r="CJ34" s="9" t="s">
        <v>856</v>
      </c>
      <c r="CL34" s="9" t="s">
        <v>611</v>
      </c>
      <c r="ED34" s="9" t="s">
        <v>618</v>
      </c>
      <c r="EE34" s="9" t="s">
        <v>650</v>
      </c>
      <c r="EF34" s="9" t="s">
        <v>25</v>
      </c>
      <c r="EG34" s="9" t="s">
        <v>25</v>
      </c>
      <c r="EH34" s="9" t="s">
        <v>25</v>
      </c>
      <c r="EL34" s="9" t="s">
        <v>25</v>
      </c>
      <c r="EM34" s="9" t="s">
        <v>651</v>
      </c>
      <c r="EN34" s="9" t="s">
        <v>761</v>
      </c>
      <c r="EP34" s="9" t="s">
        <v>28</v>
      </c>
      <c r="EQ34" s="9" t="s">
        <v>653</v>
      </c>
      <c r="ER34" s="9" t="s">
        <v>28</v>
      </c>
      <c r="ES34" s="9" t="s">
        <v>602</v>
      </c>
      <c r="ET34" s="9" t="s">
        <v>28</v>
      </c>
      <c r="EU34" s="9" t="s">
        <v>622</v>
      </c>
      <c r="EV34" s="39">
        <v>5250</v>
      </c>
      <c r="EW34" s="39">
        <v>5250</v>
      </c>
      <c r="EX34" s="39">
        <v>5250</v>
      </c>
      <c r="EY34" s="39">
        <v>5250</v>
      </c>
      <c r="EZ34" s="9" t="s">
        <v>28</v>
      </c>
      <c r="FA34" s="9" t="s">
        <v>1181</v>
      </c>
      <c r="FB34" s="9" t="s">
        <v>28</v>
      </c>
      <c r="FF34" s="9" t="s">
        <v>877</v>
      </c>
      <c r="FG34" s="9" t="s">
        <v>28</v>
      </c>
      <c r="FH34" s="9" t="s">
        <v>697</v>
      </c>
      <c r="FI34" s="42">
        <v>500</v>
      </c>
      <c r="FJ34" s="9" t="s">
        <v>28</v>
      </c>
      <c r="FK34" s="9">
        <v>5</v>
      </c>
      <c r="FL34" s="9" t="s">
        <v>624</v>
      </c>
      <c r="FM34" s="9" t="s">
        <v>1013</v>
      </c>
      <c r="FN34" s="9" t="s">
        <v>659</v>
      </c>
      <c r="FO34" s="9" t="s">
        <v>659</v>
      </c>
      <c r="FP34" s="9" t="s">
        <v>659</v>
      </c>
      <c r="FT34" s="9" t="s">
        <v>657</v>
      </c>
      <c r="FV34" s="9" t="s">
        <v>1182</v>
      </c>
      <c r="FW34" s="39">
        <v>270</v>
      </c>
      <c r="FX34" s="9" t="s">
        <v>25</v>
      </c>
      <c r="FZ34" s="9" t="s">
        <v>25</v>
      </c>
      <c r="GB34" s="9" t="s">
        <v>628</v>
      </c>
      <c r="GL34" s="9" t="s">
        <v>629</v>
      </c>
      <c r="GM34" s="9" t="s">
        <v>629</v>
      </c>
      <c r="GV34" s="9" t="s">
        <v>609</v>
      </c>
      <c r="HE34" s="9" t="s">
        <v>631</v>
      </c>
      <c r="HF34" s="9" t="s">
        <v>609</v>
      </c>
      <c r="HH34" s="9" t="s">
        <v>609</v>
      </c>
      <c r="HO34" s="9" t="s">
        <v>872</v>
      </c>
      <c r="HP34" s="9" t="s">
        <v>28</v>
      </c>
      <c r="HQ34" s="9" t="s">
        <v>668</v>
      </c>
      <c r="HR34" s="9" t="s">
        <v>25</v>
      </c>
      <c r="HS34" s="9" t="s">
        <v>28</v>
      </c>
      <c r="HT34" s="9" t="s">
        <v>25</v>
      </c>
      <c r="HU34" s="9" t="s">
        <v>28</v>
      </c>
      <c r="HV34" s="9" t="s">
        <v>25</v>
      </c>
      <c r="HW34" s="9" t="s">
        <v>25</v>
      </c>
      <c r="HX34" s="9" t="s">
        <v>25</v>
      </c>
      <c r="HZ34" s="9" t="s">
        <v>635</v>
      </c>
      <c r="IA34" s="9" t="s">
        <v>25</v>
      </c>
      <c r="IB34" s="9" t="s">
        <v>636</v>
      </c>
      <c r="IC34" s="9" t="s">
        <v>1183</v>
      </c>
      <c r="IG34" s="9" t="s">
        <v>730</v>
      </c>
      <c r="IH34" s="11">
        <v>1</v>
      </c>
      <c r="II34" s="11">
        <v>0.25</v>
      </c>
      <c r="IJ34" s="9" t="s">
        <v>13804</v>
      </c>
      <c r="IK34" s="9" t="s">
        <v>805</v>
      </c>
      <c r="IL34" s="9" t="s">
        <v>731</v>
      </c>
      <c r="IM34" s="9" t="s">
        <v>731</v>
      </c>
      <c r="IN34" s="9" t="s">
        <v>731</v>
      </c>
      <c r="IO34" s="9" t="s">
        <v>730</v>
      </c>
      <c r="IP34" s="11">
        <v>1</v>
      </c>
      <c r="IQ34" s="11">
        <v>0.13</v>
      </c>
      <c r="IT34" s="9" t="s">
        <v>712</v>
      </c>
      <c r="IU34" s="49" t="s">
        <v>9337</v>
      </c>
      <c r="IV34" s="9">
        <v>0</v>
      </c>
      <c r="IW34" s="9" t="s">
        <v>703</v>
      </c>
      <c r="IX34" s="9" t="s">
        <v>679</v>
      </c>
      <c r="IY34" s="9" t="s">
        <v>703</v>
      </c>
      <c r="IZ34" s="9" t="s">
        <v>703</v>
      </c>
      <c r="JA34" s="9" t="s">
        <v>671</v>
      </c>
      <c r="JB34" s="9" t="s">
        <v>705</v>
      </c>
    </row>
    <row r="35" spans="1:262" ht="102" x14ac:dyDescent="0.2">
      <c r="A35" s="8" t="s">
        <v>143</v>
      </c>
      <c r="B35" s="9" t="s">
        <v>28</v>
      </c>
      <c r="C35" s="9" t="s">
        <v>25</v>
      </c>
      <c r="D35" s="9" t="s">
        <v>25</v>
      </c>
      <c r="E35" s="9" t="s">
        <v>25</v>
      </c>
      <c r="F35" s="9" t="s">
        <v>25</v>
      </c>
      <c r="G35" s="9" t="s">
        <v>25</v>
      </c>
      <c r="H35" s="9" t="s">
        <v>25</v>
      </c>
      <c r="I35" s="9" t="s">
        <v>25</v>
      </c>
      <c r="J35" s="9" t="s">
        <v>25</v>
      </c>
      <c r="K35" s="9" t="s">
        <v>25</v>
      </c>
      <c r="L35" s="9" t="s">
        <v>25</v>
      </c>
      <c r="M35" s="9" t="s">
        <v>25</v>
      </c>
      <c r="N35" s="9" t="s">
        <v>28</v>
      </c>
      <c r="O35" s="9" t="s">
        <v>28</v>
      </c>
      <c r="P35" s="9" t="s">
        <v>28</v>
      </c>
      <c r="Q35" s="9" t="s">
        <v>25</v>
      </c>
      <c r="R35" s="9" t="s">
        <v>25</v>
      </c>
      <c r="S35" s="9" t="s">
        <v>13329</v>
      </c>
      <c r="T35" s="9" t="s">
        <v>595</v>
      </c>
      <c r="U35" s="9" t="s">
        <v>28</v>
      </c>
      <c r="V35" s="39">
        <v>10000</v>
      </c>
      <c r="W35" s="9" t="s">
        <v>644</v>
      </c>
      <c r="Y35" s="39">
        <v>10000</v>
      </c>
      <c r="AB35" s="9" t="s">
        <v>645</v>
      </c>
      <c r="AD35" s="9" t="s">
        <v>646</v>
      </c>
      <c r="AF35" s="9" t="s">
        <v>987</v>
      </c>
      <c r="AH35" s="9" t="s">
        <v>599</v>
      </c>
      <c r="AI35" s="9" t="s">
        <v>607</v>
      </c>
      <c r="AK35" s="9" t="s">
        <v>28</v>
      </c>
      <c r="AL35" s="9">
        <v>20</v>
      </c>
      <c r="AM35" s="9" t="s">
        <v>28</v>
      </c>
      <c r="AN35" s="39">
        <v>250</v>
      </c>
      <c r="AO35" s="9" t="s">
        <v>715</v>
      </c>
      <c r="AP35" s="9">
        <v>20</v>
      </c>
      <c r="AS35" s="9" t="s">
        <v>25</v>
      </c>
      <c r="BF35" s="9" t="s">
        <v>25</v>
      </c>
      <c r="BS35" s="9" t="s">
        <v>988</v>
      </c>
      <c r="BT35" s="9" t="s">
        <v>742</v>
      </c>
      <c r="BU35" s="9" t="s">
        <v>609</v>
      </c>
      <c r="ED35" s="9" t="s">
        <v>618</v>
      </c>
      <c r="EE35" s="9" t="s">
        <v>650</v>
      </c>
      <c r="EF35" s="9" t="s">
        <v>25</v>
      </c>
      <c r="EG35" s="9" t="s">
        <v>25</v>
      </c>
      <c r="EH35" s="9" t="s">
        <v>28</v>
      </c>
      <c r="EK35" s="39">
        <v>750</v>
      </c>
      <c r="EL35" s="9" t="s">
        <v>25</v>
      </c>
      <c r="EM35" s="9" t="s">
        <v>651</v>
      </c>
      <c r="EN35" s="9" t="s">
        <v>920</v>
      </c>
      <c r="EP35" s="9" t="s">
        <v>28</v>
      </c>
      <c r="EQ35" s="9" t="s">
        <v>697</v>
      </c>
      <c r="ER35" s="9" t="s">
        <v>28</v>
      </c>
      <c r="ES35" s="9" t="s">
        <v>981</v>
      </c>
      <c r="ET35" s="9" t="s">
        <v>28</v>
      </c>
      <c r="EU35" s="9" t="s">
        <v>622</v>
      </c>
      <c r="EV35" s="39">
        <v>15000</v>
      </c>
      <c r="EX35" s="39">
        <v>15000</v>
      </c>
      <c r="EY35" s="39">
        <v>80000</v>
      </c>
      <c r="FB35" s="9" t="s">
        <v>25</v>
      </c>
      <c r="FF35" s="9" t="s">
        <v>13363</v>
      </c>
      <c r="FG35" s="9" t="s">
        <v>28</v>
      </c>
      <c r="FH35" s="9" t="s">
        <v>697</v>
      </c>
      <c r="FI35" s="42">
        <v>2000</v>
      </c>
      <c r="FJ35" s="9" t="s">
        <v>28</v>
      </c>
      <c r="FK35" s="9">
        <v>0</v>
      </c>
      <c r="FL35" s="9" t="s">
        <v>624</v>
      </c>
      <c r="FM35" s="9" t="s">
        <v>989</v>
      </c>
      <c r="FR35" s="9" t="s">
        <v>658</v>
      </c>
      <c r="FS35" s="9" t="s">
        <v>658</v>
      </c>
      <c r="FT35" s="9" t="s">
        <v>658</v>
      </c>
      <c r="FV35" s="9" t="s">
        <v>990</v>
      </c>
      <c r="FW35" s="39">
        <v>120</v>
      </c>
      <c r="FX35" s="9" t="s">
        <v>661</v>
      </c>
      <c r="FY35" s="9" t="s">
        <v>633</v>
      </c>
      <c r="FZ35" s="9" t="s">
        <v>25</v>
      </c>
      <c r="GB35" s="9" t="s">
        <v>663</v>
      </c>
      <c r="GE35" s="9" t="s">
        <v>28</v>
      </c>
      <c r="GF35" s="9" t="s">
        <v>28</v>
      </c>
      <c r="GH35" s="9" t="s">
        <v>28</v>
      </c>
      <c r="GL35" s="9" t="s">
        <v>629</v>
      </c>
      <c r="GM35" s="9" t="s">
        <v>629</v>
      </c>
      <c r="GN35" s="9" t="s">
        <v>630</v>
      </c>
      <c r="GO35" s="9" t="s">
        <v>630</v>
      </c>
      <c r="GP35" s="9" t="s">
        <v>630</v>
      </c>
      <c r="GQ35" s="9" t="s">
        <v>630</v>
      </c>
      <c r="GR35" s="9" t="s">
        <v>631</v>
      </c>
      <c r="GS35" s="9" t="s">
        <v>631</v>
      </c>
      <c r="GT35" s="9" t="s">
        <v>631</v>
      </c>
      <c r="GU35" s="9" t="s">
        <v>631</v>
      </c>
      <c r="GV35" s="9" t="s">
        <v>609</v>
      </c>
      <c r="GW35" s="9" t="s">
        <v>609</v>
      </c>
      <c r="GX35" s="9" t="s">
        <v>630</v>
      </c>
      <c r="GY35" s="9" t="s">
        <v>631</v>
      </c>
      <c r="GZ35" s="9" t="s">
        <v>630</v>
      </c>
      <c r="HA35" s="9" t="s">
        <v>631</v>
      </c>
      <c r="HB35" s="9" t="s">
        <v>609</v>
      </c>
      <c r="HC35" s="9" t="s">
        <v>631</v>
      </c>
      <c r="HD35" s="9" t="s">
        <v>631</v>
      </c>
      <c r="HE35" s="9" t="s">
        <v>609</v>
      </c>
      <c r="HF35" s="9" t="s">
        <v>631</v>
      </c>
      <c r="HG35" s="9" t="s">
        <v>631</v>
      </c>
      <c r="HH35" s="9" t="s">
        <v>609</v>
      </c>
      <c r="HI35" s="9" t="s">
        <v>29</v>
      </c>
      <c r="HO35" s="9" t="s">
        <v>13391</v>
      </c>
      <c r="HP35" s="9" t="s">
        <v>25</v>
      </c>
      <c r="IC35" s="9" t="s">
        <v>13793</v>
      </c>
      <c r="ID35" s="9" t="s">
        <v>730</v>
      </c>
      <c r="IE35" s="11">
        <v>1</v>
      </c>
      <c r="IG35" s="9" t="s">
        <v>730</v>
      </c>
      <c r="IH35" s="11">
        <v>1</v>
      </c>
      <c r="IJ35" s="9" t="s">
        <v>13396</v>
      </c>
      <c r="IK35" s="9" t="s">
        <v>805</v>
      </c>
      <c r="IL35" s="9" t="s">
        <v>731</v>
      </c>
      <c r="IM35" s="9" t="s">
        <v>731</v>
      </c>
      <c r="IN35" s="9" t="s">
        <v>731</v>
      </c>
      <c r="IO35" s="9" t="s">
        <v>730</v>
      </c>
      <c r="IP35" s="11">
        <v>1</v>
      </c>
      <c r="IR35" s="9" t="s">
        <v>638</v>
      </c>
      <c r="IS35" s="9" t="s">
        <v>991</v>
      </c>
      <c r="IT35" s="9" t="s">
        <v>13410</v>
      </c>
      <c r="IV35" s="49" t="s">
        <v>9336</v>
      </c>
      <c r="IW35" s="9" t="s">
        <v>703</v>
      </c>
      <c r="IX35" s="9" t="s">
        <v>640</v>
      </c>
      <c r="IY35" s="9" t="s">
        <v>640</v>
      </c>
      <c r="IZ35" s="9" t="s">
        <v>640</v>
      </c>
      <c r="JA35" s="9" t="s">
        <v>900</v>
      </c>
      <c r="JB35" s="9" t="s">
        <v>642</v>
      </c>
    </row>
    <row r="36" spans="1:262" ht="89.25" x14ac:dyDescent="0.2">
      <c r="A36" s="8" t="s">
        <v>180</v>
      </c>
      <c r="B36" s="9" t="s">
        <v>25</v>
      </c>
      <c r="S36" s="9" t="s">
        <v>13339</v>
      </c>
      <c r="T36" s="9" t="s">
        <v>770</v>
      </c>
      <c r="U36" s="9" t="s">
        <v>28</v>
      </c>
      <c r="V36" s="39">
        <v>10000</v>
      </c>
      <c r="W36" s="9" t="s">
        <v>808</v>
      </c>
      <c r="Z36" s="39">
        <v>10000</v>
      </c>
      <c r="AB36" s="9" t="s">
        <v>673</v>
      </c>
      <c r="AD36" s="9" t="s">
        <v>29</v>
      </c>
      <c r="AE36" s="9" t="s">
        <v>1259</v>
      </c>
      <c r="AF36" s="9" t="s">
        <v>714</v>
      </c>
      <c r="AH36" s="9" t="s">
        <v>788</v>
      </c>
      <c r="AI36" s="9" t="s">
        <v>607</v>
      </c>
      <c r="AK36" s="9" t="s">
        <v>28</v>
      </c>
      <c r="AL36" s="9">
        <v>10</v>
      </c>
      <c r="AM36" s="9" t="s">
        <v>25</v>
      </c>
      <c r="AS36" s="9" t="s">
        <v>601</v>
      </c>
      <c r="AT36" s="9" t="s">
        <v>25</v>
      </c>
      <c r="AU36" s="9" t="s">
        <v>739</v>
      </c>
      <c r="AV36" s="9" t="s">
        <v>739</v>
      </c>
      <c r="AW36" s="9" t="s">
        <v>740</v>
      </c>
      <c r="AX36" s="39">
        <v>10000</v>
      </c>
      <c r="AZ36" s="9" t="s">
        <v>679</v>
      </c>
      <c r="BC36" s="9" t="s">
        <v>679</v>
      </c>
      <c r="BD36" s="9" t="s">
        <v>679</v>
      </c>
      <c r="BF36" s="9" t="s">
        <v>601</v>
      </c>
      <c r="BG36" s="9" t="s">
        <v>25</v>
      </c>
      <c r="BH36" s="9" t="s">
        <v>739</v>
      </c>
      <c r="BI36" s="9" t="s">
        <v>739</v>
      </c>
      <c r="BJ36" s="9" t="s">
        <v>28</v>
      </c>
      <c r="BK36" s="39">
        <v>10000</v>
      </c>
      <c r="BL36" s="9" t="s">
        <v>679</v>
      </c>
      <c r="BO36" s="9" t="s">
        <v>679</v>
      </c>
      <c r="BP36" s="9" t="s">
        <v>679</v>
      </c>
      <c r="BR36" s="9" t="s">
        <v>607</v>
      </c>
      <c r="BS36" s="9" t="s">
        <v>1260</v>
      </c>
      <c r="BT36" s="9" t="s">
        <v>1261</v>
      </c>
      <c r="BU36" s="9" t="s">
        <v>609</v>
      </c>
      <c r="BV36" s="9" t="s">
        <v>1262</v>
      </c>
      <c r="BX36" s="9" t="s">
        <v>28</v>
      </c>
      <c r="BY36" s="9" t="s">
        <v>644</v>
      </c>
      <c r="CB36" s="39">
        <v>10000</v>
      </c>
      <c r="CD36" s="9" t="s">
        <v>673</v>
      </c>
      <c r="CF36" s="9" t="s">
        <v>29</v>
      </c>
      <c r="CG36" s="9" t="s">
        <v>1263</v>
      </c>
      <c r="CH36" s="9" t="s">
        <v>777</v>
      </c>
      <c r="CJ36" s="9" t="s">
        <v>856</v>
      </c>
      <c r="CL36" s="9" t="s">
        <v>611</v>
      </c>
      <c r="ED36" s="9" t="s">
        <v>695</v>
      </c>
      <c r="EE36" s="9" t="s">
        <v>650</v>
      </c>
      <c r="EF36" s="9" t="s">
        <v>25</v>
      </c>
      <c r="EG36" s="9" t="s">
        <v>25</v>
      </c>
      <c r="EH36" s="9" t="s">
        <v>25</v>
      </c>
      <c r="EL36" s="9" t="s">
        <v>28</v>
      </c>
      <c r="EM36" s="9" t="s">
        <v>651</v>
      </c>
      <c r="FC36" s="39">
        <v>1500</v>
      </c>
      <c r="FD36" s="9" t="s">
        <v>1264</v>
      </c>
      <c r="FF36" s="9" t="s">
        <v>13379</v>
      </c>
      <c r="FL36" s="9" t="s">
        <v>624</v>
      </c>
      <c r="FM36" s="9" t="s">
        <v>706</v>
      </c>
      <c r="FN36" s="9" t="s">
        <v>657</v>
      </c>
      <c r="FO36" s="9" t="s">
        <v>657</v>
      </c>
      <c r="FP36" s="9" t="s">
        <v>657</v>
      </c>
      <c r="FV36" s="9" t="s">
        <v>1265</v>
      </c>
      <c r="FW36" s="39">
        <v>120</v>
      </c>
      <c r="FX36" s="9" t="s">
        <v>627</v>
      </c>
      <c r="FZ36" s="9" t="s">
        <v>25</v>
      </c>
      <c r="HO36" s="9" t="s">
        <v>13394</v>
      </c>
      <c r="HP36" s="9" t="s">
        <v>25</v>
      </c>
      <c r="IC36" s="9" t="s">
        <v>13796</v>
      </c>
      <c r="ID36" s="9" t="s">
        <v>730</v>
      </c>
      <c r="IE36" s="11">
        <v>1</v>
      </c>
      <c r="IF36" s="11">
        <v>7.0000000000000007E-2</v>
      </c>
      <c r="IG36" s="9" t="s">
        <v>730</v>
      </c>
      <c r="IH36" s="11">
        <v>1</v>
      </c>
      <c r="II36" s="11">
        <v>0.05</v>
      </c>
      <c r="IJ36" s="9" t="s">
        <v>13407</v>
      </c>
      <c r="IK36" s="9" t="s">
        <v>731</v>
      </c>
      <c r="IL36" s="9" t="s">
        <v>731</v>
      </c>
      <c r="IM36" s="9" t="s">
        <v>731</v>
      </c>
      <c r="IN36" s="9" t="s">
        <v>731</v>
      </c>
      <c r="IT36" s="9" t="s">
        <v>737</v>
      </c>
      <c r="IV36" s="49" t="s">
        <v>9339</v>
      </c>
      <c r="IX36" s="9" t="s">
        <v>640</v>
      </c>
      <c r="IY36" s="9" t="s">
        <v>703</v>
      </c>
      <c r="JA36" s="9" t="s">
        <v>1266</v>
      </c>
      <c r="JB36" s="9" t="s">
        <v>705</v>
      </c>
    </row>
    <row r="37" spans="1:262" ht="102" x14ac:dyDescent="0.2">
      <c r="A37" s="8" t="s">
        <v>158</v>
      </c>
      <c r="B37" s="9" t="s">
        <v>28</v>
      </c>
      <c r="C37" s="9" t="s">
        <v>25</v>
      </c>
      <c r="D37" s="9" t="s">
        <v>25</v>
      </c>
      <c r="E37" s="9" t="s">
        <v>28</v>
      </c>
      <c r="F37" s="9" t="s">
        <v>25</v>
      </c>
      <c r="G37" s="9" t="s">
        <v>28</v>
      </c>
      <c r="H37" s="9" t="s">
        <v>25</v>
      </c>
      <c r="I37" s="9" t="s">
        <v>25</v>
      </c>
      <c r="J37" s="9" t="s">
        <v>28</v>
      </c>
      <c r="K37" s="9" t="s">
        <v>28</v>
      </c>
      <c r="L37" s="9" t="s">
        <v>28</v>
      </c>
      <c r="M37" s="9" t="s">
        <v>25</v>
      </c>
      <c r="N37" s="9" t="s">
        <v>25</v>
      </c>
      <c r="O37" s="9" t="s">
        <v>25</v>
      </c>
      <c r="P37" s="9" t="s">
        <v>25</v>
      </c>
      <c r="Q37" s="9" t="s">
        <v>25</v>
      </c>
      <c r="R37" s="9" t="s">
        <v>25</v>
      </c>
      <c r="S37" s="9" t="s">
        <v>13335</v>
      </c>
      <c r="T37" s="9" t="s">
        <v>595</v>
      </c>
      <c r="U37" s="9" t="s">
        <v>28</v>
      </c>
      <c r="V37" s="39">
        <v>10000</v>
      </c>
      <c r="W37" s="9" t="s">
        <v>808</v>
      </c>
      <c r="Y37" s="39">
        <v>10000</v>
      </c>
      <c r="AB37" s="9" t="s">
        <v>734</v>
      </c>
      <c r="AD37" s="9" t="s">
        <v>646</v>
      </c>
      <c r="AF37" s="9" t="s">
        <v>714</v>
      </c>
      <c r="AH37" s="9" t="s">
        <v>599</v>
      </c>
      <c r="AI37" s="9" t="s">
        <v>607</v>
      </c>
      <c r="AK37" s="9" t="s">
        <v>28</v>
      </c>
      <c r="AL37" s="9">
        <v>30</v>
      </c>
      <c r="AM37" s="9" t="s">
        <v>25</v>
      </c>
      <c r="AO37" s="9" t="s">
        <v>715</v>
      </c>
      <c r="AP37" s="9">
        <v>30</v>
      </c>
      <c r="AS37" s="9" t="s">
        <v>864</v>
      </c>
      <c r="AT37" s="9" t="s">
        <v>25</v>
      </c>
      <c r="AU37" s="9" t="s">
        <v>996</v>
      </c>
      <c r="AV37" s="9" t="s">
        <v>602</v>
      </c>
      <c r="AW37" s="9" t="s">
        <v>678</v>
      </c>
      <c r="AY37" s="9">
        <v>4</v>
      </c>
      <c r="AZ37" s="9" t="s">
        <v>741</v>
      </c>
      <c r="BA37" s="9" t="s">
        <v>604</v>
      </c>
      <c r="BB37" s="9" t="s">
        <v>604</v>
      </c>
      <c r="BC37" s="9" t="s">
        <v>741</v>
      </c>
      <c r="BD37" s="9" t="s">
        <v>679</v>
      </c>
      <c r="BF37" s="9" t="s">
        <v>864</v>
      </c>
      <c r="BG37" s="9" t="s">
        <v>25</v>
      </c>
      <c r="BI37" s="9" t="s">
        <v>602</v>
      </c>
      <c r="BJ37" s="9" t="s">
        <v>603</v>
      </c>
      <c r="BL37" s="9" t="s">
        <v>741</v>
      </c>
      <c r="BM37" s="9" t="s">
        <v>679</v>
      </c>
      <c r="BN37" s="9" t="s">
        <v>679</v>
      </c>
      <c r="BO37" s="9" t="s">
        <v>741</v>
      </c>
      <c r="BP37" s="9" t="s">
        <v>679</v>
      </c>
      <c r="BQ37" s="9" t="s">
        <v>679</v>
      </c>
      <c r="BR37" s="9" t="s">
        <v>607</v>
      </c>
      <c r="BT37" s="9" t="s">
        <v>998</v>
      </c>
      <c r="BU37" s="9" t="s">
        <v>609</v>
      </c>
      <c r="BX37" s="9" t="s">
        <v>28</v>
      </c>
      <c r="BY37" s="9" t="s">
        <v>808</v>
      </c>
      <c r="CA37" s="39">
        <v>10000</v>
      </c>
      <c r="CD37" s="9" t="s">
        <v>673</v>
      </c>
      <c r="CF37" s="9" t="s">
        <v>646</v>
      </c>
      <c r="CH37" s="9" t="s">
        <v>610</v>
      </c>
      <c r="CJ37" s="9" t="s">
        <v>856</v>
      </c>
      <c r="CL37" s="9" t="s">
        <v>686</v>
      </c>
      <c r="ED37" s="9" t="s">
        <v>618</v>
      </c>
      <c r="EE37" s="9" t="s">
        <v>650</v>
      </c>
      <c r="EF37" s="9" t="s">
        <v>25</v>
      </c>
      <c r="EG37" s="9" t="s">
        <v>25</v>
      </c>
      <c r="EH37" s="9" t="s">
        <v>28</v>
      </c>
      <c r="EK37" s="39">
        <v>652</v>
      </c>
      <c r="EL37" s="9" t="s">
        <v>28</v>
      </c>
      <c r="EM37" s="9" t="s">
        <v>651</v>
      </c>
      <c r="EN37" s="9" t="s">
        <v>920</v>
      </c>
      <c r="EP37" s="9" t="s">
        <v>28</v>
      </c>
      <c r="EQ37" s="9" t="s">
        <v>653</v>
      </c>
      <c r="ER37" s="9" t="s">
        <v>25</v>
      </c>
      <c r="ET37" s="9" t="s">
        <v>28</v>
      </c>
      <c r="EU37" s="9" t="s">
        <v>622</v>
      </c>
      <c r="EV37" s="39">
        <v>5250</v>
      </c>
      <c r="EX37" s="39">
        <v>5250</v>
      </c>
      <c r="EZ37" s="9" t="s">
        <v>28</v>
      </c>
      <c r="FA37" s="9" t="s">
        <v>13789</v>
      </c>
      <c r="FB37" s="9" t="s">
        <v>28</v>
      </c>
      <c r="FF37" s="9" t="s">
        <v>1096</v>
      </c>
      <c r="FG37" s="9" t="s">
        <v>28</v>
      </c>
      <c r="FH37" s="9" t="s">
        <v>653</v>
      </c>
      <c r="FI37" s="42">
        <v>2500</v>
      </c>
      <c r="FJ37" s="9" t="s">
        <v>28</v>
      </c>
      <c r="FK37" s="9">
        <v>1</v>
      </c>
      <c r="FL37" s="9" t="s">
        <v>624</v>
      </c>
      <c r="FM37" s="9" t="s">
        <v>1097</v>
      </c>
      <c r="FV37" s="9" t="s">
        <v>1098</v>
      </c>
      <c r="FW37" s="39">
        <v>125</v>
      </c>
      <c r="FX37" s="9" t="s">
        <v>661</v>
      </c>
      <c r="FY37" s="9" t="s">
        <v>633</v>
      </c>
      <c r="FZ37" s="9" t="s">
        <v>28</v>
      </c>
      <c r="GA37" s="9" t="s">
        <v>28</v>
      </c>
      <c r="GB37" s="9" t="s">
        <v>663</v>
      </c>
      <c r="GC37" s="9" t="s">
        <v>28</v>
      </c>
      <c r="GD37" s="9" t="s">
        <v>28</v>
      </c>
      <c r="GE37" s="9" t="s">
        <v>28</v>
      </c>
      <c r="GF37" s="9" t="s">
        <v>28</v>
      </c>
      <c r="GG37" s="9" t="s">
        <v>25</v>
      </c>
      <c r="GH37" s="9" t="s">
        <v>28</v>
      </c>
      <c r="GI37" s="9" t="s">
        <v>28</v>
      </c>
      <c r="GJ37" s="9" t="s">
        <v>28</v>
      </c>
      <c r="GK37" s="9" t="s">
        <v>28</v>
      </c>
      <c r="GL37" s="9" t="s">
        <v>629</v>
      </c>
      <c r="GM37" s="9" t="s">
        <v>629</v>
      </c>
      <c r="GN37" s="9" t="s">
        <v>630</v>
      </c>
      <c r="GO37" s="9" t="s">
        <v>630</v>
      </c>
      <c r="GP37" s="9" t="s">
        <v>630</v>
      </c>
      <c r="GQ37" s="9" t="s">
        <v>631</v>
      </c>
      <c r="GR37" s="9" t="s">
        <v>629</v>
      </c>
      <c r="GS37" s="9" t="s">
        <v>609</v>
      </c>
      <c r="GT37" s="9" t="s">
        <v>609</v>
      </c>
      <c r="GU37" s="9" t="s">
        <v>631</v>
      </c>
      <c r="GV37" s="9" t="s">
        <v>609</v>
      </c>
      <c r="GW37" s="9" t="s">
        <v>609</v>
      </c>
      <c r="GX37" s="9" t="s">
        <v>609</v>
      </c>
      <c r="GY37" s="9" t="s">
        <v>631</v>
      </c>
      <c r="GZ37" s="9" t="s">
        <v>609</v>
      </c>
      <c r="HA37" s="9" t="s">
        <v>631</v>
      </c>
      <c r="HB37" s="9" t="s">
        <v>631</v>
      </c>
      <c r="HC37" s="9" t="s">
        <v>631</v>
      </c>
      <c r="HD37" s="9" t="s">
        <v>629</v>
      </c>
      <c r="HE37" s="9" t="s">
        <v>609</v>
      </c>
      <c r="HF37" s="9" t="s">
        <v>609</v>
      </c>
      <c r="HG37" s="9" t="s">
        <v>631</v>
      </c>
      <c r="HH37" s="9" t="s">
        <v>609</v>
      </c>
      <c r="HP37" s="9" t="s">
        <v>28</v>
      </c>
      <c r="HQ37" s="9" t="s">
        <v>634</v>
      </c>
      <c r="HR37" s="9" t="s">
        <v>28</v>
      </c>
      <c r="HS37" s="9" t="s">
        <v>28</v>
      </c>
      <c r="HT37" s="9" t="s">
        <v>25</v>
      </c>
      <c r="HU37" s="9" t="s">
        <v>28</v>
      </c>
      <c r="HV37" s="9" t="s">
        <v>28</v>
      </c>
      <c r="HW37" s="9" t="s">
        <v>25</v>
      </c>
      <c r="HX37" s="9" t="s">
        <v>28</v>
      </c>
      <c r="HY37" s="9" t="s">
        <v>850</v>
      </c>
      <c r="HZ37" s="9" t="s">
        <v>635</v>
      </c>
      <c r="IA37" s="9" t="s">
        <v>783</v>
      </c>
      <c r="IB37" s="9" t="s">
        <v>636</v>
      </c>
      <c r="IC37" s="9" t="s">
        <v>13793</v>
      </c>
      <c r="ID37" s="9" t="s">
        <v>730</v>
      </c>
      <c r="IE37" s="11">
        <v>1</v>
      </c>
      <c r="IG37" s="9" t="s">
        <v>730</v>
      </c>
      <c r="IH37" s="11">
        <v>1</v>
      </c>
      <c r="II37" s="11">
        <v>0.17</v>
      </c>
      <c r="IJ37" s="9" t="s">
        <v>13804</v>
      </c>
      <c r="IK37" s="9" t="s">
        <v>805</v>
      </c>
      <c r="IL37" s="9" t="s">
        <v>805</v>
      </c>
      <c r="IM37" s="9" t="s">
        <v>731</v>
      </c>
      <c r="IN37" s="9" t="s">
        <v>731</v>
      </c>
      <c r="IO37" s="9" t="s">
        <v>730</v>
      </c>
      <c r="IP37" s="11">
        <v>1</v>
      </c>
      <c r="IR37" s="9" t="s">
        <v>838</v>
      </c>
      <c r="IS37" s="9" t="s">
        <v>881</v>
      </c>
      <c r="IT37" s="9" t="s">
        <v>816</v>
      </c>
      <c r="IU37" s="49" t="s">
        <v>9337</v>
      </c>
      <c r="IV37" s="49" t="s">
        <v>9337</v>
      </c>
      <c r="IW37" s="9" t="s">
        <v>640</v>
      </c>
      <c r="IX37" s="9" t="s">
        <v>640</v>
      </c>
      <c r="IY37" s="9" t="s">
        <v>703</v>
      </c>
      <c r="IZ37" s="9" t="s">
        <v>640</v>
      </c>
      <c r="JA37" s="9" t="s">
        <v>704</v>
      </c>
      <c r="JB37" s="9" t="s">
        <v>672</v>
      </c>
    </row>
    <row r="38" spans="1:262" ht="63.75" x14ac:dyDescent="0.2">
      <c r="A38" s="8" t="s">
        <v>150</v>
      </c>
      <c r="B38" s="9" t="s">
        <v>28</v>
      </c>
      <c r="C38" s="9" t="s">
        <v>25</v>
      </c>
      <c r="D38" s="9" t="s">
        <v>28</v>
      </c>
      <c r="E38" s="9" t="s">
        <v>28</v>
      </c>
      <c r="F38" s="9" t="s">
        <v>25</v>
      </c>
      <c r="G38" s="9" t="s">
        <v>25</v>
      </c>
      <c r="H38" s="9" t="s">
        <v>25</v>
      </c>
      <c r="I38" s="9" t="s">
        <v>25</v>
      </c>
      <c r="J38" s="9" t="s">
        <v>25</v>
      </c>
      <c r="K38" s="9" t="s">
        <v>25</v>
      </c>
      <c r="L38" s="9" t="s">
        <v>25</v>
      </c>
      <c r="M38" s="9" t="s">
        <v>25</v>
      </c>
      <c r="N38" s="9" t="s">
        <v>25</v>
      </c>
      <c r="O38" s="9" t="s">
        <v>25</v>
      </c>
      <c r="P38" s="9" t="s">
        <v>25</v>
      </c>
      <c r="Q38" s="9" t="s">
        <v>25</v>
      </c>
      <c r="R38" s="9" t="s">
        <v>25</v>
      </c>
      <c r="S38" s="9" t="s">
        <v>13334</v>
      </c>
      <c r="T38" s="9" t="s">
        <v>595</v>
      </c>
      <c r="U38" s="9" t="s">
        <v>28</v>
      </c>
      <c r="V38" s="39">
        <v>20000</v>
      </c>
      <c r="W38" s="9" t="s">
        <v>644</v>
      </c>
      <c r="Z38" s="39">
        <v>20000</v>
      </c>
      <c r="AB38" s="9" t="s">
        <v>645</v>
      </c>
      <c r="AD38" s="9" t="s">
        <v>29</v>
      </c>
      <c r="AE38" s="9" t="s">
        <v>1049</v>
      </c>
      <c r="AF38" s="9" t="s">
        <v>987</v>
      </c>
      <c r="AH38" s="9" t="s">
        <v>599</v>
      </c>
      <c r="AI38" s="9" t="s">
        <v>607</v>
      </c>
      <c r="AK38" s="9" t="s">
        <v>28</v>
      </c>
      <c r="AL38" s="9">
        <v>10</v>
      </c>
      <c r="AM38" s="9" t="s">
        <v>25</v>
      </c>
      <c r="AO38" s="9" t="s">
        <v>715</v>
      </c>
      <c r="AP38" s="9">
        <v>10</v>
      </c>
      <c r="BT38" s="9" t="s">
        <v>975</v>
      </c>
      <c r="BU38" s="9" t="s">
        <v>609</v>
      </c>
      <c r="BX38" s="9" t="s">
        <v>28</v>
      </c>
      <c r="BY38" s="9" t="s">
        <v>644</v>
      </c>
      <c r="CA38" s="39">
        <v>20000</v>
      </c>
      <c r="CD38" s="9" t="s">
        <v>645</v>
      </c>
      <c r="CF38" s="9" t="s">
        <v>646</v>
      </c>
      <c r="CH38" s="9" t="s">
        <v>777</v>
      </c>
      <c r="CJ38" s="9" t="s">
        <v>72</v>
      </c>
      <c r="CM38" s="9" t="s">
        <v>612</v>
      </c>
      <c r="CN38" s="9" t="s">
        <v>1050</v>
      </c>
      <c r="DS38" s="9" t="s">
        <v>692</v>
      </c>
      <c r="DU38" s="9" t="s">
        <v>757</v>
      </c>
      <c r="DW38" s="9" t="s">
        <v>616</v>
      </c>
      <c r="DY38" s="9" t="s">
        <v>607</v>
      </c>
      <c r="EA38" s="9" t="s">
        <v>1041</v>
      </c>
      <c r="EB38" s="9" t="s">
        <v>25</v>
      </c>
      <c r="ED38" s="9" t="s">
        <v>649</v>
      </c>
      <c r="EE38" s="9" t="s">
        <v>650</v>
      </c>
      <c r="EF38" s="9" t="s">
        <v>25</v>
      </c>
      <c r="EG38" s="9" t="s">
        <v>25</v>
      </c>
      <c r="EH38" s="9" t="s">
        <v>25</v>
      </c>
      <c r="EL38" s="9" t="s">
        <v>25</v>
      </c>
      <c r="EM38" s="9" t="s">
        <v>651</v>
      </c>
      <c r="EN38" s="9" t="s">
        <v>652</v>
      </c>
      <c r="EP38" s="9" t="s">
        <v>28</v>
      </c>
      <c r="EQ38" s="9" t="s">
        <v>621</v>
      </c>
      <c r="ER38" s="9" t="s">
        <v>25</v>
      </c>
      <c r="ET38" s="9" t="s">
        <v>28</v>
      </c>
      <c r="EU38" s="9" t="s">
        <v>622</v>
      </c>
      <c r="EV38" s="39">
        <v>5250</v>
      </c>
      <c r="EW38" s="39">
        <v>0</v>
      </c>
      <c r="EX38" s="39">
        <v>5250</v>
      </c>
      <c r="EY38" s="39">
        <v>0</v>
      </c>
      <c r="EZ38" s="9" t="s">
        <v>607</v>
      </c>
      <c r="FB38" s="9" t="s">
        <v>28</v>
      </c>
      <c r="FC38" s="39">
        <v>600</v>
      </c>
      <c r="FD38" s="9" t="s">
        <v>13359</v>
      </c>
      <c r="FF38" s="9" t="s">
        <v>13372</v>
      </c>
      <c r="FG38" s="9" t="s">
        <v>28</v>
      </c>
      <c r="FH38" s="9" t="s">
        <v>621</v>
      </c>
      <c r="FI38" s="42">
        <v>500</v>
      </c>
      <c r="FJ38" s="9" t="s">
        <v>28</v>
      </c>
      <c r="FK38" s="9">
        <v>5</v>
      </c>
      <c r="FL38" s="9" t="s">
        <v>624</v>
      </c>
      <c r="FM38" s="9" t="s">
        <v>779</v>
      </c>
      <c r="FN38" s="9" t="s">
        <v>659</v>
      </c>
      <c r="FO38" s="9" t="s">
        <v>659</v>
      </c>
      <c r="FT38" s="9" t="s">
        <v>659</v>
      </c>
      <c r="FV38" s="9" t="s">
        <v>1051</v>
      </c>
      <c r="FW38" s="39">
        <v>270</v>
      </c>
      <c r="FX38" s="9" t="s">
        <v>661</v>
      </c>
      <c r="FY38" s="9" t="s">
        <v>662</v>
      </c>
      <c r="FZ38" s="9" t="s">
        <v>25</v>
      </c>
      <c r="GB38" s="9" t="s">
        <v>628</v>
      </c>
      <c r="GC38" s="9" t="s">
        <v>25</v>
      </c>
      <c r="GD38" s="9" t="s">
        <v>28</v>
      </c>
      <c r="GE38" s="9" t="s">
        <v>28</v>
      </c>
      <c r="GF38" s="9" t="s">
        <v>28</v>
      </c>
      <c r="GG38" s="9" t="s">
        <v>25</v>
      </c>
      <c r="GH38" s="9" t="s">
        <v>28</v>
      </c>
      <c r="GI38" s="9" t="s">
        <v>664</v>
      </c>
      <c r="GJ38" s="9" t="s">
        <v>664</v>
      </c>
      <c r="GK38" s="9" t="s">
        <v>25</v>
      </c>
      <c r="GL38" s="9" t="s">
        <v>630</v>
      </c>
      <c r="GM38" s="9" t="s">
        <v>629</v>
      </c>
      <c r="GN38" s="9" t="s">
        <v>630</v>
      </c>
      <c r="GO38" s="9" t="s">
        <v>630</v>
      </c>
      <c r="GP38" s="9" t="s">
        <v>631</v>
      </c>
      <c r="GQ38" s="9" t="s">
        <v>630</v>
      </c>
      <c r="GR38" s="9" t="s">
        <v>629</v>
      </c>
      <c r="GS38" s="9" t="s">
        <v>631</v>
      </c>
      <c r="GT38" s="9" t="s">
        <v>609</v>
      </c>
      <c r="GU38" s="9" t="s">
        <v>609</v>
      </c>
      <c r="GV38" s="9" t="s">
        <v>609</v>
      </c>
      <c r="GW38" s="9" t="s">
        <v>631</v>
      </c>
      <c r="GX38" s="9" t="s">
        <v>629</v>
      </c>
      <c r="GY38" s="9" t="s">
        <v>609</v>
      </c>
      <c r="GZ38" s="9" t="s">
        <v>609</v>
      </c>
      <c r="HA38" s="9" t="s">
        <v>631</v>
      </c>
      <c r="HB38" s="9" t="s">
        <v>609</v>
      </c>
      <c r="HC38" s="9" t="s">
        <v>609</v>
      </c>
      <c r="HD38" s="9" t="s">
        <v>629</v>
      </c>
      <c r="HE38" s="9" t="s">
        <v>630</v>
      </c>
      <c r="HF38" s="9" t="s">
        <v>630</v>
      </c>
      <c r="HG38" s="9" t="s">
        <v>631</v>
      </c>
      <c r="HH38" s="9" t="s">
        <v>609</v>
      </c>
      <c r="HO38" s="9" t="s">
        <v>1052</v>
      </c>
      <c r="HP38" s="9" t="s">
        <v>28</v>
      </c>
      <c r="HQ38" s="9" t="s">
        <v>804</v>
      </c>
      <c r="HR38" s="9" t="s">
        <v>25</v>
      </c>
      <c r="HS38" s="9" t="s">
        <v>28</v>
      </c>
      <c r="HT38" s="9" t="s">
        <v>25</v>
      </c>
      <c r="HU38" s="9" t="s">
        <v>28</v>
      </c>
      <c r="HV38" s="9" t="s">
        <v>25</v>
      </c>
      <c r="HW38" s="9" t="s">
        <v>25</v>
      </c>
      <c r="HX38" s="9" t="s">
        <v>25</v>
      </c>
      <c r="HZ38" s="9" t="s">
        <v>635</v>
      </c>
      <c r="IA38" s="9" t="s">
        <v>25</v>
      </c>
      <c r="IB38" s="9" t="s">
        <v>636</v>
      </c>
      <c r="IC38" s="9" t="s">
        <v>637</v>
      </c>
      <c r="IR38" s="9" t="s">
        <v>838</v>
      </c>
      <c r="IS38" s="9" t="s">
        <v>639</v>
      </c>
      <c r="IT38" s="9" t="s">
        <v>712</v>
      </c>
      <c r="IU38" s="9" t="s">
        <v>702</v>
      </c>
      <c r="IV38" s="49" t="s">
        <v>9339</v>
      </c>
      <c r="IW38" s="9" t="s">
        <v>679</v>
      </c>
      <c r="IX38" s="9" t="s">
        <v>679</v>
      </c>
      <c r="IY38" s="9" t="s">
        <v>769</v>
      </c>
      <c r="IZ38" s="9" t="s">
        <v>769</v>
      </c>
      <c r="JA38" s="9" t="s">
        <v>704</v>
      </c>
      <c r="JB38" s="9" t="s">
        <v>642</v>
      </c>
    </row>
    <row r="39" spans="1:262" ht="114.75" x14ac:dyDescent="0.2">
      <c r="A39" s="8" t="s">
        <v>135</v>
      </c>
      <c r="B39" s="9" t="s">
        <v>28</v>
      </c>
      <c r="C39" s="9" t="s">
        <v>25</v>
      </c>
      <c r="D39" s="9" t="s">
        <v>28</v>
      </c>
      <c r="E39" s="9" t="s">
        <v>28</v>
      </c>
      <c r="F39" s="9" t="s">
        <v>25</v>
      </c>
      <c r="G39" s="9" t="s">
        <v>28</v>
      </c>
      <c r="H39" s="9" t="s">
        <v>25</v>
      </c>
      <c r="I39" s="9" t="s">
        <v>25</v>
      </c>
      <c r="J39" s="9" t="s">
        <v>25</v>
      </c>
      <c r="K39" s="9" t="s">
        <v>28</v>
      </c>
      <c r="L39" s="9" t="s">
        <v>25</v>
      </c>
      <c r="M39" s="9" t="s">
        <v>25</v>
      </c>
      <c r="N39" s="9" t="s">
        <v>25</v>
      </c>
      <c r="O39" s="9" t="s">
        <v>25</v>
      </c>
      <c r="P39" s="9" t="s">
        <v>25</v>
      </c>
      <c r="Q39" s="9" t="s">
        <v>25</v>
      </c>
      <c r="R39" s="9" t="s">
        <v>25</v>
      </c>
      <c r="S39" s="9" t="s">
        <v>13320</v>
      </c>
      <c r="T39" s="9" t="s">
        <v>770</v>
      </c>
      <c r="U39" s="9" t="s">
        <v>28</v>
      </c>
      <c r="V39" s="39">
        <v>10000</v>
      </c>
      <c r="W39" s="9" t="s">
        <v>29</v>
      </c>
      <c r="X39" s="9" t="s">
        <v>909</v>
      </c>
      <c r="Y39" s="39">
        <v>10000</v>
      </c>
      <c r="AB39" s="9" t="s">
        <v>645</v>
      </c>
      <c r="AD39" s="9" t="s">
        <v>646</v>
      </c>
      <c r="AF39" s="9" t="s">
        <v>910</v>
      </c>
      <c r="AH39" s="9" t="s">
        <v>599</v>
      </c>
      <c r="AI39" s="9" t="s">
        <v>607</v>
      </c>
      <c r="AK39" s="9" t="s">
        <v>28</v>
      </c>
      <c r="AL39" s="9">
        <v>10</v>
      </c>
      <c r="AM39" s="9" t="s">
        <v>28</v>
      </c>
      <c r="AN39" s="39">
        <v>100</v>
      </c>
      <c r="AO39" s="9" t="s">
        <v>911</v>
      </c>
      <c r="AP39" s="9">
        <v>10</v>
      </c>
      <c r="AQ39" s="9" t="s">
        <v>13779</v>
      </c>
      <c r="AS39" s="9" t="s">
        <v>601</v>
      </c>
      <c r="AT39" s="9" t="s">
        <v>25</v>
      </c>
      <c r="AU39" s="9" t="s">
        <v>739</v>
      </c>
      <c r="AV39" s="9" t="s">
        <v>739</v>
      </c>
      <c r="AW39" s="9" t="s">
        <v>740</v>
      </c>
      <c r="AX39" s="39">
        <v>10000</v>
      </c>
      <c r="AZ39" s="9" t="s">
        <v>741</v>
      </c>
      <c r="BA39" s="9" t="s">
        <v>604</v>
      </c>
      <c r="BB39" s="9" t="s">
        <v>604</v>
      </c>
      <c r="BC39" s="9" t="s">
        <v>604</v>
      </c>
      <c r="BD39" s="9" t="s">
        <v>679</v>
      </c>
      <c r="BE39" s="9" t="s">
        <v>741</v>
      </c>
      <c r="BF39" s="9" t="s">
        <v>601</v>
      </c>
      <c r="BG39" s="9" t="s">
        <v>25</v>
      </c>
      <c r="BH39" s="9" t="s">
        <v>739</v>
      </c>
      <c r="BI39" s="9" t="s">
        <v>739</v>
      </c>
      <c r="BJ39" s="9" t="s">
        <v>28</v>
      </c>
      <c r="BK39" s="39">
        <v>10000</v>
      </c>
      <c r="BL39" s="9" t="s">
        <v>741</v>
      </c>
      <c r="BM39" s="9" t="s">
        <v>604</v>
      </c>
      <c r="BN39" s="9" t="s">
        <v>604</v>
      </c>
      <c r="BO39" s="9" t="s">
        <v>741</v>
      </c>
      <c r="BP39" s="9" t="s">
        <v>679</v>
      </c>
      <c r="BQ39" s="9" t="s">
        <v>741</v>
      </c>
      <c r="BR39" s="9" t="s">
        <v>607</v>
      </c>
      <c r="BS39" s="9" t="s">
        <v>912</v>
      </c>
      <c r="BW39" s="9" t="s">
        <v>913</v>
      </c>
      <c r="BX39" s="9" t="s">
        <v>28</v>
      </c>
      <c r="BY39" s="9" t="s">
        <v>29</v>
      </c>
      <c r="BZ39" s="9" t="s">
        <v>909</v>
      </c>
      <c r="CA39" s="39">
        <v>10000</v>
      </c>
      <c r="CD39" s="9" t="s">
        <v>645</v>
      </c>
      <c r="CF39" s="9" t="s">
        <v>646</v>
      </c>
      <c r="CH39" s="9" t="s">
        <v>777</v>
      </c>
      <c r="CJ39" s="9" t="s">
        <v>72</v>
      </c>
      <c r="CL39" s="9" t="s">
        <v>611</v>
      </c>
      <c r="CM39" s="9" t="s">
        <v>914</v>
      </c>
      <c r="CN39" s="9" t="s">
        <v>915</v>
      </c>
      <c r="CO39" s="9" t="s">
        <v>890</v>
      </c>
      <c r="CP39" s="9" t="s">
        <v>891</v>
      </c>
      <c r="CS39" s="9" t="s">
        <v>916</v>
      </c>
      <c r="CX39" s="9" t="s">
        <v>29</v>
      </c>
      <c r="CZ39" s="9" t="s">
        <v>629</v>
      </c>
      <c r="DQ39" s="9" t="s">
        <v>29</v>
      </c>
      <c r="DR39" s="9" t="s">
        <v>917</v>
      </c>
      <c r="DS39" s="9" t="s">
        <v>614</v>
      </c>
      <c r="DT39" s="9" t="s">
        <v>918</v>
      </c>
      <c r="DU39" s="9" t="s">
        <v>693</v>
      </c>
      <c r="DW39" s="9" t="s">
        <v>616</v>
      </c>
      <c r="DY39" s="9" t="s">
        <v>607</v>
      </c>
      <c r="EA39" s="9" t="s">
        <v>919</v>
      </c>
      <c r="EB39" s="9" t="s">
        <v>25</v>
      </c>
      <c r="ED39" s="9" t="s">
        <v>649</v>
      </c>
      <c r="EE39" s="9" t="s">
        <v>650</v>
      </c>
      <c r="EF39" s="9" t="s">
        <v>25</v>
      </c>
      <c r="EG39" s="9" t="s">
        <v>25</v>
      </c>
      <c r="EH39" s="9" t="s">
        <v>25</v>
      </c>
      <c r="EL39" s="9" t="s">
        <v>28</v>
      </c>
      <c r="EM39" s="9" t="s">
        <v>651</v>
      </c>
      <c r="EN39" s="9" t="s">
        <v>920</v>
      </c>
      <c r="EP39" s="9" t="s">
        <v>25</v>
      </c>
      <c r="EQ39" s="9" t="s">
        <v>653</v>
      </c>
      <c r="ER39" s="9" t="s">
        <v>28</v>
      </c>
      <c r="ES39" s="9" t="s">
        <v>602</v>
      </c>
      <c r="ET39" s="9" t="s">
        <v>28</v>
      </c>
      <c r="EU39" s="9" t="s">
        <v>622</v>
      </c>
      <c r="EV39" s="39">
        <v>5250</v>
      </c>
      <c r="EW39" s="39">
        <v>5250</v>
      </c>
      <c r="EX39" s="39">
        <v>5250</v>
      </c>
      <c r="EY39" s="39">
        <v>5250</v>
      </c>
      <c r="EZ39" s="9" t="s">
        <v>607</v>
      </c>
      <c r="FB39" s="9" t="s">
        <v>28</v>
      </c>
      <c r="FC39" s="39">
        <v>600</v>
      </c>
      <c r="FD39" s="9" t="s">
        <v>13361</v>
      </c>
      <c r="FE39" s="9" t="s">
        <v>921</v>
      </c>
      <c r="FF39" s="9" t="s">
        <v>13369</v>
      </c>
      <c r="FG39" s="9" t="s">
        <v>28</v>
      </c>
      <c r="FH39" s="9" t="s">
        <v>653</v>
      </c>
      <c r="FI39" s="42">
        <v>1000</v>
      </c>
      <c r="FJ39" s="9" t="s">
        <v>28</v>
      </c>
      <c r="FK39" s="9">
        <v>8</v>
      </c>
      <c r="FX39" s="9" t="s">
        <v>627</v>
      </c>
      <c r="FY39" s="9" t="s">
        <v>662</v>
      </c>
      <c r="FZ39" s="9" t="s">
        <v>25</v>
      </c>
      <c r="GB39" s="9" t="s">
        <v>628</v>
      </c>
      <c r="GC39" s="9" t="s">
        <v>28</v>
      </c>
      <c r="GD39" s="9" t="s">
        <v>28</v>
      </c>
      <c r="GE39" s="9" t="s">
        <v>28</v>
      </c>
      <c r="GF39" s="9" t="s">
        <v>25</v>
      </c>
      <c r="GG39" s="9" t="s">
        <v>664</v>
      </c>
      <c r="GH39" s="9" t="s">
        <v>28</v>
      </c>
      <c r="GI39" s="9" t="s">
        <v>28</v>
      </c>
      <c r="GJ39" s="9" t="s">
        <v>28</v>
      </c>
      <c r="GK39" s="9" t="s">
        <v>28</v>
      </c>
      <c r="GL39" s="9" t="s">
        <v>609</v>
      </c>
      <c r="GM39" s="9" t="s">
        <v>609</v>
      </c>
      <c r="GN39" s="9" t="s">
        <v>609</v>
      </c>
      <c r="GO39" s="9" t="s">
        <v>609</v>
      </c>
      <c r="GP39" s="9" t="s">
        <v>609</v>
      </c>
      <c r="GQ39" s="9" t="s">
        <v>631</v>
      </c>
      <c r="GR39" s="9" t="s">
        <v>631</v>
      </c>
      <c r="GS39" s="9" t="s">
        <v>631</v>
      </c>
      <c r="GT39" s="9" t="s">
        <v>631</v>
      </c>
      <c r="GU39" s="9" t="s">
        <v>631</v>
      </c>
      <c r="GV39" s="9" t="s">
        <v>630</v>
      </c>
      <c r="GW39" s="9" t="s">
        <v>609</v>
      </c>
      <c r="GX39" s="9" t="s">
        <v>609</v>
      </c>
      <c r="GY39" s="9" t="s">
        <v>609</v>
      </c>
      <c r="GZ39" s="9" t="s">
        <v>609</v>
      </c>
      <c r="HA39" s="9" t="s">
        <v>631</v>
      </c>
      <c r="HB39" s="9" t="s">
        <v>609</v>
      </c>
      <c r="HC39" s="9" t="s">
        <v>631</v>
      </c>
      <c r="HD39" s="9" t="s">
        <v>631</v>
      </c>
      <c r="HE39" s="9" t="s">
        <v>630</v>
      </c>
      <c r="HF39" s="9" t="s">
        <v>630</v>
      </c>
      <c r="HG39" s="9" t="s">
        <v>609</v>
      </c>
      <c r="HH39" s="9" t="s">
        <v>630</v>
      </c>
      <c r="HI39" s="9" t="s">
        <v>726</v>
      </c>
      <c r="HJ39" s="9" t="s">
        <v>708</v>
      </c>
      <c r="HL39" s="9" t="s">
        <v>922</v>
      </c>
      <c r="HM39" s="9" t="s">
        <v>923</v>
      </c>
      <c r="HO39" s="9" t="s">
        <v>767</v>
      </c>
      <c r="HP39" s="9" t="s">
        <v>28</v>
      </c>
      <c r="HQ39" s="9" t="s">
        <v>668</v>
      </c>
      <c r="HR39" s="9" t="s">
        <v>28</v>
      </c>
      <c r="HS39" s="9" t="s">
        <v>25</v>
      </c>
      <c r="HT39" s="9" t="s">
        <v>25</v>
      </c>
      <c r="HU39" s="9" t="s">
        <v>28</v>
      </c>
      <c r="HV39" s="9" t="s">
        <v>28</v>
      </c>
      <c r="HW39" s="9" t="s">
        <v>25</v>
      </c>
      <c r="HX39" s="9" t="s">
        <v>25</v>
      </c>
      <c r="HY39" s="9" t="s">
        <v>850</v>
      </c>
      <c r="HZ39" s="9" t="s">
        <v>924</v>
      </c>
      <c r="IA39" s="9" t="s">
        <v>783</v>
      </c>
      <c r="IB39" s="9" t="s">
        <v>925</v>
      </c>
      <c r="IC39" s="9" t="s">
        <v>13795</v>
      </c>
      <c r="ID39" s="9" t="s">
        <v>827</v>
      </c>
      <c r="IE39" s="11">
        <v>0</v>
      </c>
      <c r="IF39" s="11">
        <v>1</v>
      </c>
      <c r="IR39" s="9" t="s">
        <v>638</v>
      </c>
      <c r="IS39" s="9" t="s">
        <v>784</v>
      </c>
      <c r="IT39" s="9" t="s">
        <v>733</v>
      </c>
      <c r="IU39" s="49" t="s">
        <v>9336</v>
      </c>
      <c r="IV39" s="49" t="s">
        <v>9336</v>
      </c>
      <c r="IW39" s="9" t="s">
        <v>640</v>
      </c>
      <c r="IX39" s="9" t="s">
        <v>640</v>
      </c>
      <c r="IY39" s="9" t="s">
        <v>640</v>
      </c>
      <c r="IZ39" s="9" t="s">
        <v>640</v>
      </c>
      <c r="JA39" s="9" t="s">
        <v>851</v>
      </c>
      <c r="JB39" s="9" t="s">
        <v>642</v>
      </c>
    </row>
    <row r="40" spans="1:262" ht="89.25" x14ac:dyDescent="0.2">
      <c r="A40" s="8" t="s">
        <v>137</v>
      </c>
      <c r="B40" s="9" t="s">
        <v>28</v>
      </c>
      <c r="C40" s="9" t="s">
        <v>25</v>
      </c>
      <c r="D40" s="9" t="s">
        <v>25</v>
      </c>
      <c r="E40" s="9" t="s">
        <v>28</v>
      </c>
      <c r="F40" s="9" t="s">
        <v>25</v>
      </c>
      <c r="G40" s="9" t="s">
        <v>25</v>
      </c>
      <c r="H40" s="9" t="s">
        <v>25</v>
      </c>
      <c r="I40" s="9" t="s">
        <v>28</v>
      </c>
      <c r="J40" s="9" t="s">
        <v>28</v>
      </c>
      <c r="K40" s="9" t="s">
        <v>28</v>
      </c>
      <c r="L40" s="9" t="s">
        <v>25</v>
      </c>
      <c r="M40" s="9" t="s">
        <v>25</v>
      </c>
      <c r="N40" s="9" t="s">
        <v>25</v>
      </c>
      <c r="O40" s="9" t="s">
        <v>25</v>
      </c>
      <c r="P40" s="9" t="s">
        <v>25</v>
      </c>
      <c r="Q40" s="9" t="s">
        <v>28</v>
      </c>
      <c r="R40" s="9" t="s">
        <v>25</v>
      </c>
      <c r="S40" s="9" t="s">
        <v>13326</v>
      </c>
      <c r="T40" s="9" t="s">
        <v>595</v>
      </c>
      <c r="U40" s="9" t="s">
        <v>28</v>
      </c>
      <c r="V40" s="39">
        <v>5000</v>
      </c>
      <c r="W40" s="9" t="s">
        <v>644</v>
      </c>
      <c r="Y40" s="39">
        <v>5000</v>
      </c>
      <c r="Z40" s="39">
        <v>5000</v>
      </c>
      <c r="AB40" s="9" t="s">
        <v>734</v>
      </c>
      <c r="AD40" s="9" t="s">
        <v>13777</v>
      </c>
      <c r="AF40" s="9" t="s">
        <v>931</v>
      </c>
      <c r="AG40" s="9" t="s">
        <v>932</v>
      </c>
      <c r="AH40" s="9" t="s">
        <v>599</v>
      </c>
      <c r="AI40" s="9" t="s">
        <v>607</v>
      </c>
      <c r="AK40" s="9" t="s">
        <v>28</v>
      </c>
      <c r="AL40" s="9">
        <v>10</v>
      </c>
      <c r="AM40" s="9" t="s">
        <v>28</v>
      </c>
      <c r="AN40" s="39">
        <v>400</v>
      </c>
      <c r="AO40" s="9" t="s">
        <v>933</v>
      </c>
      <c r="AP40" s="9">
        <v>10</v>
      </c>
      <c r="AS40" s="9" t="s">
        <v>25</v>
      </c>
      <c r="BF40" s="9" t="s">
        <v>25</v>
      </c>
      <c r="BR40" s="9" t="s">
        <v>607</v>
      </c>
      <c r="BS40" s="9" t="s">
        <v>13781</v>
      </c>
      <c r="BT40" s="9" t="s">
        <v>608</v>
      </c>
      <c r="BU40" s="9" t="s">
        <v>609</v>
      </c>
      <c r="BW40" s="9" t="s">
        <v>934</v>
      </c>
      <c r="CM40" s="9" t="s">
        <v>935</v>
      </c>
      <c r="DQ40" s="9" t="s">
        <v>936</v>
      </c>
      <c r="DS40" s="9" t="s">
        <v>25</v>
      </c>
      <c r="DW40" s="9" t="s">
        <v>616</v>
      </c>
      <c r="DY40" s="9" t="s">
        <v>819</v>
      </c>
      <c r="EB40" s="9" t="s">
        <v>25</v>
      </c>
      <c r="ED40" s="9" t="s">
        <v>618</v>
      </c>
      <c r="EE40" s="9" t="s">
        <v>650</v>
      </c>
      <c r="EF40" s="9" t="s">
        <v>25</v>
      </c>
      <c r="EG40" s="9" t="s">
        <v>25</v>
      </c>
      <c r="EH40" s="9" t="s">
        <v>25</v>
      </c>
      <c r="EL40" s="9" t="s">
        <v>28</v>
      </c>
      <c r="EM40" s="9" t="s">
        <v>651</v>
      </c>
      <c r="EN40" s="9" t="s">
        <v>652</v>
      </c>
      <c r="EP40" s="9" t="s">
        <v>28</v>
      </c>
      <c r="EQ40" s="9" t="s">
        <v>697</v>
      </c>
      <c r="ER40" s="9" t="s">
        <v>25</v>
      </c>
      <c r="ET40" s="9" t="s">
        <v>25</v>
      </c>
      <c r="EV40" s="39">
        <v>5000</v>
      </c>
      <c r="EX40" s="39">
        <v>5000</v>
      </c>
      <c r="EZ40" s="9" t="s">
        <v>819</v>
      </c>
      <c r="FB40" s="9" t="s">
        <v>655</v>
      </c>
      <c r="FF40" s="9" t="s">
        <v>13370</v>
      </c>
      <c r="FG40" s="9" t="s">
        <v>28</v>
      </c>
      <c r="FH40" s="9" t="s">
        <v>697</v>
      </c>
      <c r="FI40" s="42">
        <v>2500</v>
      </c>
      <c r="FJ40" s="9" t="s">
        <v>28</v>
      </c>
      <c r="FK40" s="9">
        <v>6</v>
      </c>
      <c r="FX40" s="9" t="s">
        <v>25</v>
      </c>
      <c r="FY40" s="9" t="s">
        <v>662</v>
      </c>
      <c r="FZ40" s="9" t="s">
        <v>25</v>
      </c>
      <c r="GB40" s="9" t="s">
        <v>663</v>
      </c>
      <c r="GL40" s="9" t="s">
        <v>609</v>
      </c>
      <c r="GM40" s="9" t="s">
        <v>609</v>
      </c>
      <c r="GN40" s="9" t="s">
        <v>609</v>
      </c>
      <c r="GO40" s="9" t="s">
        <v>609</v>
      </c>
      <c r="GP40" s="9" t="s">
        <v>609</v>
      </c>
      <c r="GQ40" s="9" t="s">
        <v>631</v>
      </c>
      <c r="GR40" s="9" t="s">
        <v>631</v>
      </c>
      <c r="GS40" s="9" t="s">
        <v>631</v>
      </c>
      <c r="GT40" s="9" t="s">
        <v>609</v>
      </c>
      <c r="GU40" s="9" t="s">
        <v>631</v>
      </c>
      <c r="GV40" s="9" t="s">
        <v>609</v>
      </c>
      <c r="GW40" s="9" t="s">
        <v>609</v>
      </c>
      <c r="GX40" s="9" t="s">
        <v>629</v>
      </c>
      <c r="GY40" s="9" t="s">
        <v>631</v>
      </c>
      <c r="GZ40" s="9" t="s">
        <v>629</v>
      </c>
      <c r="HA40" s="9" t="s">
        <v>631</v>
      </c>
      <c r="HB40" s="9" t="s">
        <v>609</v>
      </c>
      <c r="HC40" s="9" t="s">
        <v>629</v>
      </c>
      <c r="HD40" s="9" t="s">
        <v>631</v>
      </c>
      <c r="HE40" s="9" t="s">
        <v>629</v>
      </c>
      <c r="HF40" s="9" t="s">
        <v>631</v>
      </c>
      <c r="HG40" s="9" t="s">
        <v>631</v>
      </c>
      <c r="HH40" s="9" t="s">
        <v>629</v>
      </c>
      <c r="HI40" s="9" t="s">
        <v>700</v>
      </c>
      <c r="HJ40" s="9" t="s">
        <v>708</v>
      </c>
      <c r="HL40" s="9" t="s">
        <v>937</v>
      </c>
      <c r="HM40" s="9" t="s">
        <v>938</v>
      </c>
      <c r="HP40" s="9" t="s">
        <v>25</v>
      </c>
      <c r="IC40" s="9" t="s">
        <v>637</v>
      </c>
      <c r="IR40" s="9" t="s">
        <v>638</v>
      </c>
      <c r="IS40" s="9" t="s">
        <v>881</v>
      </c>
      <c r="IT40" s="9" t="s">
        <v>13410</v>
      </c>
      <c r="IV40" s="49" t="s">
        <v>9336</v>
      </c>
      <c r="IW40" s="9" t="s">
        <v>640</v>
      </c>
      <c r="IX40" s="9" t="s">
        <v>640</v>
      </c>
      <c r="IY40" s="9" t="s">
        <v>640</v>
      </c>
      <c r="IZ40" s="9" t="s">
        <v>640</v>
      </c>
      <c r="JA40" s="9" t="s">
        <v>851</v>
      </c>
      <c r="JB40" s="9" t="s">
        <v>642</v>
      </c>
    </row>
    <row r="41" spans="1:262" ht="76.5" x14ac:dyDescent="0.2">
      <c r="A41" s="8" t="s">
        <v>142</v>
      </c>
      <c r="B41" s="9" t="s">
        <v>28</v>
      </c>
      <c r="C41" s="9" t="s">
        <v>25</v>
      </c>
      <c r="D41" s="9" t="s">
        <v>25</v>
      </c>
      <c r="E41" s="9" t="s">
        <v>25</v>
      </c>
      <c r="F41" s="9" t="s">
        <v>25</v>
      </c>
      <c r="G41" s="9" t="s">
        <v>25</v>
      </c>
      <c r="H41" s="9" t="s">
        <v>25</v>
      </c>
      <c r="I41" s="9" t="s">
        <v>28</v>
      </c>
      <c r="J41" s="9" t="s">
        <v>28</v>
      </c>
      <c r="K41" s="9" t="s">
        <v>28</v>
      </c>
      <c r="L41" s="9" t="s">
        <v>25</v>
      </c>
      <c r="M41" s="9" t="s">
        <v>25</v>
      </c>
      <c r="N41" s="9" t="s">
        <v>25</v>
      </c>
      <c r="O41" s="9" t="s">
        <v>25</v>
      </c>
      <c r="P41" s="9" t="s">
        <v>25</v>
      </c>
      <c r="Q41" s="9" t="s">
        <v>25</v>
      </c>
      <c r="R41" s="9" t="s">
        <v>25</v>
      </c>
      <c r="S41" s="9" t="s">
        <v>13328</v>
      </c>
      <c r="T41" s="9" t="s">
        <v>770</v>
      </c>
      <c r="U41" s="9" t="s">
        <v>28</v>
      </c>
      <c r="V41" s="39">
        <v>5000</v>
      </c>
      <c r="W41" s="9" t="s">
        <v>808</v>
      </c>
      <c r="Y41" s="39">
        <v>5000</v>
      </c>
      <c r="Z41" s="39">
        <v>5000</v>
      </c>
      <c r="AA41" s="9">
        <v>1</v>
      </c>
      <c r="AB41" s="9" t="s">
        <v>645</v>
      </c>
      <c r="AD41" s="9" t="s">
        <v>646</v>
      </c>
      <c r="AF41" s="9" t="s">
        <v>829</v>
      </c>
      <c r="AH41" s="9" t="s">
        <v>599</v>
      </c>
      <c r="AI41" s="9" t="s">
        <v>607</v>
      </c>
      <c r="AK41" s="9" t="s">
        <v>28</v>
      </c>
      <c r="AL41" s="9">
        <v>10</v>
      </c>
      <c r="AM41" s="9" t="s">
        <v>28</v>
      </c>
      <c r="AN41" s="39">
        <v>480</v>
      </c>
      <c r="AO41" s="9" t="s">
        <v>973</v>
      </c>
      <c r="AP41" s="9">
        <v>10</v>
      </c>
      <c r="AQ41" s="9" t="s">
        <v>974</v>
      </c>
      <c r="AS41" s="9" t="s">
        <v>775</v>
      </c>
      <c r="AT41" s="9" t="s">
        <v>25</v>
      </c>
      <c r="AU41" s="9" t="s">
        <v>602</v>
      </c>
      <c r="AW41" s="9" t="s">
        <v>678</v>
      </c>
      <c r="AY41" s="9">
        <v>2</v>
      </c>
      <c r="AZ41" s="9" t="s">
        <v>741</v>
      </c>
      <c r="BA41" s="9" t="s">
        <v>604</v>
      </c>
      <c r="BB41" s="9" t="s">
        <v>604</v>
      </c>
      <c r="BC41" s="9" t="s">
        <v>741</v>
      </c>
      <c r="BD41" s="9" t="s">
        <v>741</v>
      </c>
      <c r="BE41" s="9" t="s">
        <v>604</v>
      </c>
      <c r="BF41" s="9" t="s">
        <v>601</v>
      </c>
      <c r="BG41" s="9" t="s">
        <v>25</v>
      </c>
      <c r="BH41" s="9" t="s">
        <v>602</v>
      </c>
      <c r="BI41" s="9" t="s">
        <v>602</v>
      </c>
      <c r="BJ41" s="9" t="s">
        <v>28</v>
      </c>
      <c r="BK41" s="9">
        <v>2</v>
      </c>
      <c r="BL41" s="9" t="s">
        <v>741</v>
      </c>
      <c r="BM41" s="9" t="s">
        <v>604</v>
      </c>
      <c r="BN41" s="9" t="s">
        <v>604</v>
      </c>
      <c r="BO41" s="9" t="s">
        <v>741</v>
      </c>
      <c r="BP41" s="9" t="s">
        <v>741</v>
      </c>
      <c r="BQ41" s="9" t="s">
        <v>604</v>
      </c>
      <c r="BR41" s="9" t="s">
        <v>819</v>
      </c>
      <c r="BT41" s="9" t="s">
        <v>975</v>
      </c>
      <c r="BU41" s="9" t="s">
        <v>609</v>
      </c>
      <c r="BW41" s="9" t="s">
        <v>976</v>
      </c>
      <c r="CM41" s="9" t="s">
        <v>977</v>
      </c>
      <c r="DA41" s="9" t="s">
        <v>978</v>
      </c>
      <c r="DB41" s="9" t="s">
        <v>979</v>
      </c>
      <c r="DC41" s="9" t="s">
        <v>980</v>
      </c>
      <c r="DE41" s="9" t="s">
        <v>28</v>
      </c>
      <c r="DK41" s="9" t="s">
        <v>28</v>
      </c>
      <c r="DL41" s="9" t="s">
        <v>746</v>
      </c>
      <c r="DM41" s="9" t="s">
        <v>28</v>
      </c>
      <c r="DS41" s="9" t="s">
        <v>692</v>
      </c>
      <c r="DU41" s="9" t="s">
        <v>689</v>
      </c>
      <c r="DW41" s="9" t="s">
        <v>819</v>
      </c>
      <c r="DY41" s="9" t="s">
        <v>819</v>
      </c>
      <c r="EB41" s="9" t="s">
        <v>25</v>
      </c>
      <c r="ED41" s="9" t="s">
        <v>649</v>
      </c>
      <c r="EE41" s="9" t="s">
        <v>650</v>
      </c>
      <c r="EF41" s="9" t="s">
        <v>25</v>
      </c>
      <c r="EG41" s="9" t="s">
        <v>25</v>
      </c>
      <c r="EH41" s="9" t="s">
        <v>25</v>
      </c>
      <c r="EL41" s="9" t="s">
        <v>25</v>
      </c>
      <c r="EM41" s="9" t="s">
        <v>651</v>
      </c>
      <c r="EN41" s="9" t="s">
        <v>652</v>
      </c>
      <c r="EP41" s="9" t="s">
        <v>28</v>
      </c>
      <c r="EQ41" s="9" t="s">
        <v>799</v>
      </c>
      <c r="ER41" s="9" t="s">
        <v>28</v>
      </c>
      <c r="ES41" s="9" t="s">
        <v>981</v>
      </c>
      <c r="ET41" s="9" t="s">
        <v>28</v>
      </c>
      <c r="EU41" s="9" t="s">
        <v>622</v>
      </c>
      <c r="EV41" s="39">
        <v>9000</v>
      </c>
      <c r="EX41" s="39">
        <v>9000</v>
      </c>
      <c r="EZ41" s="9" t="s">
        <v>607</v>
      </c>
      <c r="FB41" s="9" t="s">
        <v>28</v>
      </c>
      <c r="FC41" s="39">
        <v>600</v>
      </c>
      <c r="FD41" s="9" t="s">
        <v>982</v>
      </c>
      <c r="FF41" s="9" t="s">
        <v>983</v>
      </c>
      <c r="FG41" s="9" t="s">
        <v>28</v>
      </c>
      <c r="FH41" s="9" t="s">
        <v>697</v>
      </c>
      <c r="FI41" s="42">
        <v>10000</v>
      </c>
      <c r="FJ41" s="9" t="s">
        <v>25</v>
      </c>
      <c r="FL41" s="9" t="s">
        <v>624</v>
      </c>
      <c r="FM41" s="9" t="s">
        <v>984</v>
      </c>
      <c r="FN41" s="9" t="s">
        <v>659</v>
      </c>
      <c r="FO41" s="9" t="s">
        <v>659</v>
      </c>
      <c r="FP41" s="9" t="s">
        <v>659</v>
      </c>
      <c r="FS41" s="9" t="s">
        <v>659</v>
      </c>
      <c r="FT41" s="9" t="s">
        <v>657</v>
      </c>
      <c r="FU41" s="9" t="s">
        <v>659</v>
      </c>
      <c r="FV41" s="9" t="s">
        <v>985</v>
      </c>
      <c r="FW41" s="39">
        <v>270</v>
      </c>
      <c r="FX41" s="9" t="s">
        <v>25</v>
      </c>
      <c r="FY41" s="9" t="s">
        <v>662</v>
      </c>
      <c r="FZ41" s="9" t="s">
        <v>25</v>
      </c>
      <c r="GL41" s="9" t="s">
        <v>630</v>
      </c>
      <c r="GM41" s="9" t="s">
        <v>630</v>
      </c>
      <c r="GN41" s="9" t="s">
        <v>630</v>
      </c>
      <c r="GO41" s="9" t="s">
        <v>630</v>
      </c>
      <c r="GP41" s="9" t="s">
        <v>631</v>
      </c>
      <c r="GQ41" s="9" t="s">
        <v>631</v>
      </c>
      <c r="GR41" s="9" t="s">
        <v>631</v>
      </c>
      <c r="GS41" s="9" t="s">
        <v>631</v>
      </c>
      <c r="GT41" s="9" t="s">
        <v>609</v>
      </c>
      <c r="GU41" s="9" t="s">
        <v>609</v>
      </c>
      <c r="GV41" s="9" t="s">
        <v>609</v>
      </c>
      <c r="GW41" s="9" t="s">
        <v>631</v>
      </c>
      <c r="GX41" s="9" t="s">
        <v>629</v>
      </c>
      <c r="GY41" s="9" t="s">
        <v>631</v>
      </c>
      <c r="GZ41" s="9" t="s">
        <v>630</v>
      </c>
      <c r="HA41" s="9" t="s">
        <v>631</v>
      </c>
      <c r="HB41" s="9" t="s">
        <v>609</v>
      </c>
      <c r="HC41" s="9" t="s">
        <v>609</v>
      </c>
      <c r="HD41" s="9" t="s">
        <v>631</v>
      </c>
      <c r="HE41" s="9" t="s">
        <v>609</v>
      </c>
      <c r="HF41" s="9" t="s">
        <v>609</v>
      </c>
      <c r="HG41" s="9" t="s">
        <v>631</v>
      </c>
      <c r="HH41" s="9" t="s">
        <v>609</v>
      </c>
      <c r="HI41" s="9" t="s">
        <v>256</v>
      </c>
      <c r="HO41" s="9" t="s">
        <v>872</v>
      </c>
      <c r="HP41" s="9" t="s">
        <v>28</v>
      </c>
      <c r="HQ41" s="9" t="s">
        <v>634</v>
      </c>
      <c r="HR41" s="9" t="s">
        <v>28</v>
      </c>
      <c r="HS41" s="9" t="s">
        <v>25</v>
      </c>
      <c r="HU41" s="9" t="s">
        <v>28</v>
      </c>
      <c r="HV41" s="9" t="s">
        <v>25</v>
      </c>
      <c r="HW41" s="9" t="s">
        <v>25</v>
      </c>
      <c r="HX41" s="9" t="s">
        <v>25</v>
      </c>
      <c r="HZ41" s="9" t="s">
        <v>635</v>
      </c>
      <c r="IA41" s="9" t="s">
        <v>25</v>
      </c>
      <c r="IB41" s="9" t="s">
        <v>636</v>
      </c>
      <c r="IC41" s="9" t="s">
        <v>13793</v>
      </c>
      <c r="ID41" s="9" t="s">
        <v>730</v>
      </c>
      <c r="IE41" s="11">
        <v>1</v>
      </c>
      <c r="IF41" s="11">
        <v>0.26</v>
      </c>
      <c r="IG41" s="9" t="s">
        <v>730</v>
      </c>
      <c r="IH41" s="11">
        <v>1</v>
      </c>
      <c r="II41" s="11">
        <v>0.13</v>
      </c>
      <c r="IJ41" s="9" t="s">
        <v>13399</v>
      </c>
      <c r="IK41" s="9" t="s">
        <v>805</v>
      </c>
      <c r="IL41" s="9" t="s">
        <v>731</v>
      </c>
      <c r="IM41" s="9" t="s">
        <v>731</v>
      </c>
      <c r="IN41" s="9" t="s">
        <v>731</v>
      </c>
      <c r="IO41" s="9" t="s">
        <v>730</v>
      </c>
      <c r="IP41" s="11">
        <v>1</v>
      </c>
      <c r="IQ41" s="11">
        <v>0.04</v>
      </c>
      <c r="IR41" s="9" t="s">
        <v>838</v>
      </c>
      <c r="IS41" s="9" t="s">
        <v>784</v>
      </c>
      <c r="IT41" s="9" t="s">
        <v>13410</v>
      </c>
      <c r="IU41" s="9">
        <v>0</v>
      </c>
      <c r="IV41" s="49" t="s">
        <v>9339</v>
      </c>
      <c r="IW41" s="9" t="s">
        <v>640</v>
      </c>
      <c r="IX41" s="9" t="s">
        <v>640</v>
      </c>
      <c r="IY41" s="9" t="s">
        <v>640</v>
      </c>
      <c r="IZ41" s="9" t="s">
        <v>640</v>
      </c>
      <c r="JA41" s="9" t="s">
        <v>986</v>
      </c>
      <c r="JB41" s="9" t="s">
        <v>642</v>
      </c>
    </row>
    <row r="42" spans="1:262" ht="89.25" x14ac:dyDescent="0.2">
      <c r="A42" s="8" t="s">
        <v>161</v>
      </c>
      <c r="B42" s="9" t="s">
        <v>28</v>
      </c>
      <c r="C42" s="9" t="s">
        <v>28</v>
      </c>
      <c r="D42" s="9" t="s">
        <v>25</v>
      </c>
      <c r="E42" s="9" t="s">
        <v>28</v>
      </c>
      <c r="F42" s="9" t="s">
        <v>25</v>
      </c>
      <c r="G42" s="9" t="s">
        <v>28</v>
      </c>
      <c r="H42" s="9" t="s">
        <v>25</v>
      </c>
      <c r="I42" s="9" t="s">
        <v>28</v>
      </c>
      <c r="J42" s="9" t="s">
        <v>28</v>
      </c>
      <c r="K42" s="9" t="s">
        <v>28</v>
      </c>
      <c r="L42" s="9" t="s">
        <v>25</v>
      </c>
      <c r="M42" s="9" t="s">
        <v>25</v>
      </c>
      <c r="N42" s="9" t="s">
        <v>28</v>
      </c>
      <c r="O42" s="9" t="s">
        <v>28</v>
      </c>
      <c r="P42" s="9" t="s">
        <v>28</v>
      </c>
      <c r="Q42" s="9" t="s">
        <v>25</v>
      </c>
      <c r="R42" s="9" t="s">
        <v>25</v>
      </c>
      <c r="S42" s="9" t="s">
        <v>13321</v>
      </c>
      <c r="T42" s="9" t="s">
        <v>595</v>
      </c>
      <c r="U42" s="9" t="s">
        <v>28</v>
      </c>
      <c r="V42" s="39">
        <v>15000</v>
      </c>
      <c r="W42" s="9" t="s">
        <v>29</v>
      </c>
      <c r="X42" s="9" t="s">
        <v>1115</v>
      </c>
      <c r="Y42" s="39">
        <v>15000</v>
      </c>
      <c r="AB42" s="9" t="s">
        <v>645</v>
      </c>
      <c r="AD42" s="9" t="s">
        <v>1100</v>
      </c>
      <c r="AE42" s="9" t="s">
        <v>1116</v>
      </c>
      <c r="AF42" s="9" t="s">
        <v>829</v>
      </c>
      <c r="AH42" s="9" t="s">
        <v>599</v>
      </c>
      <c r="AI42" s="9" t="s">
        <v>607</v>
      </c>
      <c r="AK42" s="9" t="s">
        <v>28</v>
      </c>
      <c r="AL42" s="9">
        <v>10</v>
      </c>
      <c r="AM42" s="9" t="s">
        <v>28</v>
      </c>
      <c r="AO42" s="9" t="s">
        <v>875</v>
      </c>
      <c r="AP42" s="9">
        <v>10</v>
      </c>
      <c r="AS42" s="9" t="s">
        <v>864</v>
      </c>
      <c r="AT42" s="9" t="s">
        <v>25</v>
      </c>
      <c r="AU42" s="9" t="s">
        <v>602</v>
      </c>
      <c r="AV42" s="9" t="s">
        <v>602</v>
      </c>
      <c r="AW42" s="9" t="s">
        <v>740</v>
      </c>
      <c r="AX42" s="39">
        <v>25000</v>
      </c>
      <c r="AZ42" s="9" t="s">
        <v>741</v>
      </c>
      <c r="BA42" s="9" t="s">
        <v>604</v>
      </c>
      <c r="BB42" s="9" t="s">
        <v>604</v>
      </c>
      <c r="BC42" s="9" t="s">
        <v>741</v>
      </c>
      <c r="BD42" s="9" t="s">
        <v>604</v>
      </c>
      <c r="BE42" s="9" t="s">
        <v>604</v>
      </c>
      <c r="BF42" s="9" t="s">
        <v>864</v>
      </c>
      <c r="BG42" s="9" t="s">
        <v>25</v>
      </c>
      <c r="BI42" s="9" t="s">
        <v>602</v>
      </c>
      <c r="BJ42" s="9" t="s">
        <v>28</v>
      </c>
      <c r="BK42" s="39">
        <v>25000</v>
      </c>
      <c r="BL42" s="9" t="s">
        <v>741</v>
      </c>
      <c r="BM42" s="9" t="s">
        <v>604</v>
      </c>
      <c r="BN42" s="9" t="s">
        <v>604</v>
      </c>
      <c r="BO42" s="9" t="s">
        <v>741</v>
      </c>
      <c r="BP42" s="9" t="s">
        <v>604</v>
      </c>
      <c r="BQ42" s="9" t="s">
        <v>604</v>
      </c>
      <c r="BR42" s="9" t="s">
        <v>607</v>
      </c>
      <c r="BS42" s="9" t="s">
        <v>1117</v>
      </c>
      <c r="BT42" s="9" t="s">
        <v>742</v>
      </c>
      <c r="BU42" s="9" t="s">
        <v>609</v>
      </c>
      <c r="BW42" s="9" t="s">
        <v>1064</v>
      </c>
      <c r="BX42" s="9" t="s">
        <v>28</v>
      </c>
      <c r="BY42" s="9" t="s">
        <v>644</v>
      </c>
      <c r="CA42" s="39">
        <v>15000</v>
      </c>
      <c r="CD42" s="9" t="s">
        <v>645</v>
      </c>
      <c r="CF42" s="9" t="s">
        <v>1108</v>
      </c>
      <c r="CG42" s="9" t="s">
        <v>1118</v>
      </c>
      <c r="CH42" s="9" t="s">
        <v>777</v>
      </c>
      <c r="CJ42" s="9" t="s">
        <v>856</v>
      </c>
      <c r="CL42" s="9" t="s">
        <v>868</v>
      </c>
      <c r="ED42" s="9" t="s">
        <v>649</v>
      </c>
      <c r="EE42" s="9" t="s">
        <v>650</v>
      </c>
      <c r="EF42" s="9" t="s">
        <v>25</v>
      </c>
      <c r="EG42" s="9" t="s">
        <v>25</v>
      </c>
      <c r="EH42" s="9" t="s">
        <v>25</v>
      </c>
      <c r="EL42" s="9" t="s">
        <v>28</v>
      </c>
      <c r="EM42" s="9" t="s">
        <v>651</v>
      </c>
      <c r="EN42" s="9" t="s">
        <v>652</v>
      </c>
      <c r="EP42" s="9" t="s">
        <v>25</v>
      </c>
      <c r="ER42" s="9" t="s">
        <v>25</v>
      </c>
      <c r="ET42" s="9" t="s">
        <v>28</v>
      </c>
      <c r="EU42" s="9" t="s">
        <v>622</v>
      </c>
      <c r="EV42" s="39">
        <v>5250</v>
      </c>
      <c r="EX42" s="39">
        <v>10125</v>
      </c>
      <c r="EZ42" s="9" t="s">
        <v>607</v>
      </c>
      <c r="FB42" s="9" t="s">
        <v>28</v>
      </c>
      <c r="FC42" s="39">
        <v>300</v>
      </c>
      <c r="FD42" s="9" t="s">
        <v>13358</v>
      </c>
      <c r="FF42" s="9" t="s">
        <v>13365</v>
      </c>
      <c r="FG42" s="9" t="s">
        <v>25</v>
      </c>
      <c r="FJ42" s="9" t="s">
        <v>28</v>
      </c>
      <c r="FK42" s="9">
        <v>1</v>
      </c>
      <c r="FL42" s="9" t="s">
        <v>624</v>
      </c>
      <c r="FM42" s="9" t="s">
        <v>625</v>
      </c>
      <c r="FN42" s="9" t="s">
        <v>657</v>
      </c>
      <c r="FO42" s="9" t="s">
        <v>657</v>
      </c>
      <c r="FP42" s="9" t="s">
        <v>657</v>
      </c>
      <c r="FQ42" s="9" t="s">
        <v>658</v>
      </c>
      <c r="FR42" s="9" t="s">
        <v>658</v>
      </c>
      <c r="FS42" s="9" t="s">
        <v>658</v>
      </c>
      <c r="FT42" s="9" t="s">
        <v>658</v>
      </c>
      <c r="FU42" s="9" t="s">
        <v>657</v>
      </c>
      <c r="FV42" s="9" t="s">
        <v>1119</v>
      </c>
      <c r="FX42" s="9" t="s">
        <v>25</v>
      </c>
      <c r="FZ42" s="9" t="s">
        <v>25</v>
      </c>
      <c r="GB42" s="9" t="s">
        <v>663</v>
      </c>
      <c r="GL42" s="9" t="s">
        <v>629</v>
      </c>
      <c r="GM42" s="9" t="s">
        <v>629</v>
      </c>
      <c r="GN42" s="9" t="s">
        <v>609</v>
      </c>
      <c r="GO42" s="9" t="s">
        <v>609</v>
      </c>
      <c r="GP42" s="9" t="s">
        <v>609</v>
      </c>
      <c r="GQ42" s="9" t="s">
        <v>609</v>
      </c>
      <c r="GR42" s="9" t="s">
        <v>631</v>
      </c>
      <c r="GS42" s="9" t="s">
        <v>631</v>
      </c>
      <c r="GT42" s="9" t="s">
        <v>631</v>
      </c>
      <c r="GU42" s="9" t="s">
        <v>631</v>
      </c>
      <c r="GV42" s="9" t="s">
        <v>609</v>
      </c>
      <c r="GW42" s="9" t="s">
        <v>609</v>
      </c>
      <c r="GX42" s="9" t="s">
        <v>609</v>
      </c>
      <c r="GY42" s="9" t="s">
        <v>609</v>
      </c>
      <c r="GZ42" s="9" t="s">
        <v>609</v>
      </c>
      <c r="HA42" s="9" t="s">
        <v>631</v>
      </c>
      <c r="HB42" s="9" t="s">
        <v>631</v>
      </c>
      <c r="HC42" s="9" t="s">
        <v>631</v>
      </c>
      <c r="HD42" s="9" t="s">
        <v>631</v>
      </c>
      <c r="HE42" s="9" t="s">
        <v>630</v>
      </c>
      <c r="HH42" s="9" t="s">
        <v>609</v>
      </c>
      <c r="HI42" s="9" t="s">
        <v>632</v>
      </c>
      <c r="HJ42" s="9" t="s">
        <v>727</v>
      </c>
      <c r="HM42" s="9" t="s">
        <v>766</v>
      </c>
      <c r="HO42" s="9" t="s">
        <v>13391</v>
      </c>
      <c r="HP42" s="9" t="s">
        <v>28</v>
      </c>
      <c r="HQ42" s="9" t="s">
        <v>804</v>
      </c>
      <c r="HR42" s="9" t="s">
        <v>25</v>
      </c>
      <c r="HS42" s="9" t="s">
        <v>25</v>
      </c>
      <c r="HT42" s="9" t="s">
        <v>28</v>
      </c>
      <c r="HU42" s="9" t="s">
        <v>28</v>
      </c>
      <c r="HV42" s="9" t="s">
        <v>25</v>
      </c>
      <c r="HW42" s="9" t="s">
        <v>25</v>
      </c>
      <c r="HX42" s="9" t="s">
        <v>28</v>
      </c>
      <c r="HZ42" s="9" t="s">
        <v>635</v>
      </c>
      <c r="IA42" s="9" t="s">
        <v>25</v>
      </c>
      <c r="IB42" s="9" t="s">
        <v>636</v>
      </c>
      <c r="IC42" s="9" t="s">
        <v>637</v>
      </c>
      <c r="IR42" s="9" t="s">
        <v>638</v>
      </c>
      <c r="IS42" s="9" t="s">
        <v>639</v>
      </c>
      <c r="IT42" s="9" t="s">
        <v>733</v>
      </c>
      <c r="IU42" s="50" t="s">
        <v>9338</v>
      </c>
      <c r="IV42" s="50" t="s">
        <v>9338</v>
      </c>
      <c r="IW42" s="9" t="s">
        <v>640</v>
      </c>
      <c r="IX42" s="9" t="s">
        <v>640</v>
      </c>
      <c r="IY42" s="9" t="s">
        <v>640</v>
      </c>
      <c r="IZ42" s="9" t="s">
        <v>640</v>
      </c>
      <c r="JA42" s="9" t="s">
        <v>900</v>
      </c>
      <c r="JB42" s="9" t="s">
        <v>642</v>
      </c>
    </row>
    <row r="43" spans="1:262" ht="63.75" x14ac:dyDescent="0.2">
      <c r="A43" s="8" t="s">
        <v>163</v>
      </c>
      <c r="B43" s="9" t="s">
        <v>25</v>
      </c>
      <c r="S43" s="9" t="s">
        <v>1132</v>
      </c>
      <c r="AH43" s="9" t="s">
        <v>788</v>
      </c>
      <c r="AI43" s="9" t="s">
        <v>607</v>
      </c>
      <c r="AK43" s="9" t="s">
        <v>28</v>
      </c>
      <c r="AL43" s="9">
        <v>5</v>
      </c>
      <c r="AM43" s="9" t="s">
        <v>25</v>
      </c>
      <c r="AS43" s="9" t="s">
        <v>25</v>
      </c>
      <c r="BF43" s="9" t="s">
        <v>25</v>
      </c>
      <c r="BR43" s="9" t="s">
        <v>607</v>
      </c>
      <c r="BS43" s="9" t="s">
        <v>1133</v>
      </c>
      <c r="BT43" s="9" t="s">
        <v>742</v>
      </c>
      <c r="BU43" s="9" t="s">
        <v>609</v>
      </c>
      <c r="ED43" s="9" t="s">
        <v>618</v>
      </c>
      <c r="EE43" s="9" t="s">
        <v>650</v>
      </c>
      <c r="EF43" s="9" t="s">
        <v>25</v>
      </c>
      <c r="EG43" s="9" t="s">
        <v>25</v>
      </c>
      <c r="EH43" s="9" t="s">
        <v>25</v>
      </c>
      <c r="EL43" s="9" t="s">
        <v>28</v>
      </c>
      <c r="EM43" s="9" t="s">
        <v>25</v>
      </c>
      <c r="EN43" s="9" t="s">
        <v>1022</v>
      </c>
      <c r="EP43" s="9" t="s">
        <v>25</v>
      </c>
      <c r="ER43" s="9" t="s">
        <v>28</v>
      </c>
      <c r="ES43" s="9" t="s">
        <v>602</v>
      </c>
      <c r="ET43" s="9" t="s">
        <v>28</v>
      </c>
      <c r="EU43" s="9" t="s">
        <v>622</v>
      </c>
      <c r="EV43" s="39">
        <v>5250</v>
      </c>
      <c r="EW43" s="39">
        <v>5250</v>
      </c>
      <c r="EX43" s="39">
        <v>5250</v>
      </c>
      <c r="EY43" s="39">
        <v>5250</v>
      </c>
      <c r="EZ43" s="9" t="s">
        <v>607</v>
      </c>
      <c r="FB43" s="9" t="s">
        <v>28</v>
      </c>
      <c r="FF43" s="9" t="s">
        <v>13376</v>
      </c>
      <c r="FG43" s="9" t="s">
        <v>28</v>
      </c>
      <c r="FH43" s="9" t="s">
        <v>697</v>
      </c>
      <c r="FI43" s="42">
        <v>1000</v>
      </c>
      <c r="FJ43" s="9" t="s">
        <v>28</v>
      </c>
      <c r="FK43" s="9">
        <v>2</v>
      </c>
      <c r="GB43" s="9" t="s">
        <v>628</v>
      </c>
      <c r="GL43" s="9" t="s">
        <v>609</v>
      </c>
      <c r="GM43" s="9" t="s">
        <v>609</v>
      </c>
      <c r="GN43" s="9" t="s">
        <v>630</v>
      </c>
      <c r="GO43" s="9" t="s">
        <v>630</v>
      </c>
      <c r="GP43" s="9" t="s">
        <v>630</v>
      </c>
      <c r="GQ43" s="9" t="s">
        <v>630</v>
      </c>
      <c r="GR43" s="9" t="s">
        <v>631</v>
      </c>
      <c r="GS43" s="9" t="s">
        <v>631</v>
      </c>
      <c r="GT43" s="9" t="s">
        <v>631</v>
      </c>
      <c r="GU43" s="9" t="s">
        <v>631</v>
      </c>
      <c r="GV43" s="9" t="s">
        <v>631</v>
      </c>
      <c r="GW43" s="9" t="s">
        <v>631</v>
      </c>
      <c r="GX43" s="9" t="s">
        <v>631</v>
      </c>
      <c r="GY43" s="9" t="s">
        <v>631</v>
      </c>
      <c r="GZ43" s="9" t="s">
        <v>609</v>
      </c>
      <c r="HA43" s="9" t="s">
        <v>631</v>
      </c>
      <c r="HB43" s="9" t="s">
        <v>609</v>
      </c>
      <c r="HC43" s="9" t="s">
        <v>631</v>
      </c>
      <c r="HD43" s="9" t="s">
        <v>631</v>
      </c>
      <c r="HE43" s="9" t="s">
        <v>630</v>
      </c>
      <c r="HF43" s="9" t="s">
        <v>630</v>
      </c>
      <c r="HG43" s="9" t="s">
        <v>631</v>
      </c>
      <c r="HH43" s="9" t="s">
        <v>609</v>
      </c>
      <c r="HI43" s="9" t="s">
        <v>726</v>
      </c>
      <c r="HJ43" s="9" t="s">
        <v>860</v>
      </c>
      <c r="HK43" s="9" t="s">
        <v>1134</v>
      </c>
      <c r="HO43" s="9" t="s">
        <v>872</v>
      </c>
      <c r="HP43" s="9" t="s">
        <v>25</v>
      </c>
      <c r="IC43" s="9" t="s">
        <v>13793</v>
      </c>
      <c r="ID43" s="9" t="s">
        <v>730</v>
      </c>
      <c r="IE43" s="11">
        <v>1</v>
      </c>
      <c r="IG43" s="9" t="s">
        <v>730</v>
      </c>
      <c r="IH43" s="11">
        <v>1</v>
      </c>
      <c r="IO43" s="9" t="s">
        <v>730</v>
      </c>
      <c r="IP43" s="11">
        <v>1</v>
      </c>
      <c r="IR43" s="9" t="s">
        <v>768</v>
      </c>
      <c r="IS43" s="9" t="s">
        <v>784</v>
      </c>
      <c r="IT43" s="9" t="s">
        <v>13408</v>
      </c>
      <c r="IV43" s="49" t="s">
        <v>9337</v>
      </c>
      <c r="IW43" s="9" t="s">
        <v>640</v>
      </c>
      <c r="IX43" s="9" t="s">
        <v>640</v>
      </c>
      <c r="IY43" s="9" t="s">
        <v>703</v>
      </c>
      <c r="IZ43" s="9" t="s">
        <v>703</v>
      </c>
      <c r="JA43" s="9" t="s">
        <v>1135</v>
      </c>
      <c r="JB43" s="9" t="s">
        <v>672</v>
      </c>
    </row>
    <row r="44" spans="1:262" ht="114.75" x14ac:dyDescent="0.2">
      <c r="A44" s="8" t="s">
        <v>165</v>
      </c>
      <c r="B44" s="9" t="s">
        <v>25</v>
      </c>
      <c r="S44" s="9" t="s">
        <v>1149</v>
      </c>
      <c r="T44" s="9" t="s">
        <v>595</v>
      </c>
      <c r="U44" s="9" t="s">
        <v>28</v>
      </c>
      <c r="V44" s="39">
        <v>5000</v>
      </c>
      <c r="W44" s="9" t="s">
        <v>644</v>
      </c>
      <c r="Y44" s="39">
        <v>5000</v>
      </c>
      <c r="AB44" s="9" t="s">
        <v>673</v>
      </c>
      <c r="AD44" s="9" t="s">
        <v>29</v>
      </c>
      <c r="AE44" s="9" t="s">
        <v>1150</v>
      </c>
      <c r="AF44" s="9" t="s">
        <v>1151</v>
      </c>
      <c r="AO44" s="9" t="s">
        <v>875</v>
      </c>
      <c r="AP44" s="9" t="s">
        <v>797</v>
      </c>
      <c r="ED44" s="9" t="s">
        <v>649</v>
      </c>
      <c r="EE44" s="9" t="s">
        <v>650</v>
      </c>
      <c r="EF44" s="9" t="s">
        <v>25</v>
      </c>
      <c r="EG44" s="9" t="s">
        <v>25</v>
      </c>
      <c r="EH44" s="9" t="s">
        <v>25</v>
      </c>
      <c r="EL44" s="9" t="s">
        <v>25</v>
      </c>
      <c r="EM44" s="9" t="s">
        <v>651</v>
      </c>
      <c r="EN44" s="9" t="s">
        <v>1152</v>
      </c>
      <c r="EP44" s="9" t="s">
        <v>28</v>
      </c>
      <c r="EQ44" s="9" t="s">
        <v>621</v>
      </c>
      <c r="ER44" s="9" t="s">
        <v>28</v>
      </c>
      <c r="ES44" s="9" t="s">
        <v>749</v>
      </c>
      <c r="ET44" s="9" t="s">
        <v>28</v>
      </c>
      <c r="EU44" s="9" t="s">
        <v>622</v>
      </c>
      <c r="EV44" s="39">
        <v>7500</v>
      </c>
      <c r="EX44" s="39">
        <v>7500</v>
      </c>
      <c r="EZ44" s="9" t="s">
        <v>607</v>
      </c>
      <c r="FB44" s="9" t="s">
        <v>655</v>
      </c>
      <c r="FC44" s="39">
        <v>300</v>
      </c>
      <c r="FD44" s="9" t="s">
        <v>762</v>
      </c>
      <c r="FF44" s="9" t="s">
        <v>13377</v>
      </c>
      <c r="FG44" s="9" t="s">
        <v>28</v>
      </c>
      <c r="FH44" s="9" t="s">
        <v>799</v>
      </c>
      <c r="FL44" s="9" t="s">
        <v>624</v>
      </c>
      <c r="FM44" s="9" t="s">
        <v>1153</v>
      </c>
      <c r="FN44" s="9" t="s">
        <v>659</v>
      </c>
      <c r="FO44" s="9" t="s">
        <v>659</v>
      </c>
      <c r="FP44" s="9" t="s">
        <v>659</v>
      </c>
      <c r="FS44" s="9" t="s">
        <v>658</v>
      </c>
      <c r="FT44" s="9" t="s">
        <v>657</v>
      </c>
      <c r="FV44" s="9" t="s">
        <v>1154</v>
      </c>
      <c r="FW44" s="39">
        <v>265</v>
      </c>
      <c r="FX44" s="9" t="s">
        <v>661</v>
      </c>
      <c r="FY44" s="9" t="s">
        <v>662</v>
      </c>
      <c r="FZ44" s="9" t="s">
        <v>25</v>
      </c>
      <c r="GA44" s="9" t="s">
        <v>28</v>
      </c>
      <c r="GB44" s="9" t="s">
        <v>628</v>
      </c>
      <c r="GL44" s="9" t="s">
        <v>629</v>
      </c>
      <c r="GM44" s="9" t="s">
        <v>609</v>
      </c>
      <c r="GN44" s="9" t="s">
        <v>609</v>
      </c>
      <c r="GO44" s="9" t="s">
        <v>609</v>
      </c>
      <c r="GP44" s="9" t="s">
        <v>631</v>
      </c>
      <c r="GQ44" s="9" t="s">
        <v>631</v>
      </c>
      <c r="GR44" s="9" t="s">
        <v>631</v>
      </c>
      <c r="GS44" s="9" t="s">
        <v>631</v>
      </c>
      <c r="GT44" s="9" t="s">
        <v>631</v>
      </c>
      <c r="GU44" s="9" t="s">
        <v>631</v>
      </c>
      <c r="GV44" s="9" t="s">
        <v>631</v>
      </c>
      <c r="GW44" s="9" t="s">
        <v>631</v>
      </c>
      <c r="GX44" s="9" t="s">
        <v>631</v>
      </c>
      <c r="GY44" s="9" t="s">
        <v>631</v>
      </c>
      <c r="GZ44" s="9" t="s">
        <v>609</v>
      </c>
      <c r="HA44" s="9" t="s">
        <v>631</v>
      </c>
      <c r="HB44" s="9" t="s">
        <v>609</v>
      </c>
      <c r="HC44" s="9" t="s">
        <v>631</v>
      </c>
      <c r="HD44" s="9" t="s">
        <v>631</v>
      </c>
      <c r="HE44" s="9" t="s">
        <v>609</v>
      </c>
      <c r="HF44" s="9" t="s">
        <v>631</v>
      </c>
      <c r="HG44" s="9" t="s">
        <v>631</v>
      </c>
      <c r="HH44" s="9" t="s">
        <v>609</v>
      </c>
      <c r="HI44" s="9" t="s">
        <v>632</v>
      </c>
      <c r="HJ44" s="9" t="s">
        <v>860</v>
      </c>
      <c r="HP44" s="9" t="s">
        <v>28</v>
      </c>
      <c r="HQ44" s="9" t="s">
        <v>668</v>
      </c>
      <c r="HR44" s="9" t="s">
        <v>28</v>
      </c>
      <c r="HS44" s="9" t="s">
        <v>25</v>
      </c>
      <c r="HU44" s="9" t="s">
        <v>28</v>
      </c>
      <c r="HV44" s="9" t="s">
        <v>25</v>
      </c>
      <c r="HW44" s="9" t="s">
        <v>25</v>
      </c>
      <c r="HX44" s="9" t="s">
        <v>28</v>
      </c>
      <c r="HY44" s="9" t="s">
        <v>850</v>
      </c>
      <c r="HZ44" s="9" t="s">
        <v>635</v>
      </c>
      <c r="IA44" s="9" t="s">
        <v>25</v>
      </c>
      <c r="IB44" s="9" t="s">
        <v>636</v>
      </c>
      <c r="IC44" s="9" t="s">
        <v>637</v>
      </c>
      <c r="IR44" s="9" t="s">
        <v>638</v>
      </c>
      <c r="IS44" s="9" t="s">
        <v>732</v>
      </c>
      <c r="IT44" s="9" t="s">
        <v>13409</v>
      </c>
      <c r="IV44" s="49" t="s">
        <v>9336</v>
      </c>
      <c r="IW44" s="9" t="s">
        <v>640</v>
      </c>
      <c r="IX44" s="9" t="s">
        <v>640</v>
      </c>
      <c r="IY44" s="9" t="s">
        <v>640</v>
      </c>
      <c r="IZ44" s="9" t="s">
        <v>640</v>
      </c>
      <c r="JA44" s="9" t="s">
        <v>704</v>
      </c>
      <c r="JB44" s="9" t="s">
        <v>672</v>
      </c>
    </row>
    <row r="45" spans="1:262" ht="127.5" x14ac:dyDescent="0.2">
      <c r="A45" s="8" t="s">
        <v>129</v>
      </c>
      <c r="B45" s="9" t="s">
        <v>28</v>
      </c>
      <c r="C45" s="9" t="s">
        <v>25</v>
      </c>
      <c r="D45" s="9" t="s">
        <v>25</v>
      </c>
      <c r="E45" s="9" t="s">
        <v>28</v>
      </c>
      <c r="F45" s="9" t="s">
        <v>25</v>
      </c>
      <c r="G45" s="9" t="s">
        <v>32</v>
      </c>
      <c r="H45" s="9" t="s">
        <v>25</v>
      </c>
      <c r="I45" s="9" t="s">
        <v>28</v>
      </c>
      <c r="J45" s="9" t="s">
        <v>28</v>
      </c>
      <c r="K45" s="9" t="s">
        <v>28</v>
      </c>
      <c r="L45" s="9" t="s">
        <v>32</v>
      </c>
      <c r="M45" s="9" t="s">
        <v>25</v>
      </c>
      <c r="N45" s="9" t="s">
        <v>25</v>
      </c>
      <c r="O45" s="9" t="s">
        <v>25</v>
      </c>
      <c r="P45" s="9" t="s">
        <v>25</v>
      </c>
      <c r="Q45" s="9" t="s">
        <v>25</v>
      </c>
      <c r="R45" s="9" t="s">
        <v>25</v>
      </c>
      <c r="S45" s="9" t="s">
        <v>13321</v>
      </c>
      <c r="T45" s="9" t="s">
        <v>770</v>
      </c>
      <c r="U45" s="9" t="s">
        <v>28</v>
      </c>
      <c r="V45" s="39">
        <v>10000</v>
      </c>
      <c r="W45" s="9" t="s">
        <v>644</v>
      </c>
      <c r="Y45" s="39">
        <v>10000</v>
      </c>
      <c r="Z45" s="39">
        <v>20000</v>
      </c>
      <c r="AB45" s="9" t="s">
        <v>673</v>
      </c>
      <c r="AD45" s="9" t="s">
        <v>13777</v>
      </c>
      <c r="AF45" s="9" t="s">
        <v>839</v>
      </c>
      <c r="AH45" s="9" t="s">
        <v>599</v>
      </c>
      <c r="AI45" s="9" t="s">
        <v>607</v>
      </c>
      <c r="AK45" s="9" t="s">
        <v>28</v>
      </c>
      <c r="AL45" s="9" t="s">
        <v>789</v>
      </c>
      <c r="AM45" s="9" t="s">
        <v>28</v>
      </c>
      <c r="AO45" s="9" t="s">
        <v>29</v>
      </c>
      <c r="AR45" s="9" t="s">
        <v>840</v>
      </c>
      <c r="AS45" s="9" t="s">
        <v>601</v>
      </c>
      <c r="AT45" s="9" t="s">
        <v>25</v>
      </c>
      <c r="AU45" s="9" t="s">
        <v>602</v>
      </c>
      <c r="AV45" s="9" t="s">
        <v>602</v>
      </c>
      <c r="AW45" s="9" t="s">
        <v>678</v>
      </c>
      <c r="AY45" s="9">
        <v>2</v>
      </c>
      <c r="AZ45" s="9" t="s">
        <v>605</v>
      </c>
      <c r="BA45" s="9" t="s">
        <v>604</v>
      </c>
      <c r="BB45" s="9" t="s">
        <v>604</v>
      </c>
      <c r="BC45" s="9" t="s">
        <v>605</v>
      </c>
      <c r="BD45" s="9" t="s">
        <v>606</v>
      </c>
      <c r="BE45" s="9" t="s">
        <v>604</v>
      </c>
      <c r="BF45" s="9" t="s">
        <v>601</v>
      </c>
      <c r="BG45" s="9" t="s">
        <v>28</v>
      </c>
      <c r="BH45" s="9" t="s">
        <v>602</v>
      </c>
      <c r="BI45" s="9" t="s">
        <v>602</v>
      </c>
      <c r="BJ45" s="9" t="s">
        <v>28</v>
      </c>
      <c r="BK45" s="9">
        <v>2</v>
      </c>
      <c r="BL45" s="9" t="s">
        <v>605</v>
      </c>
      <c r="BM45" s="9" t="s">
        <v>604</v>
      </c>
      <c r="BN45" s="9" t="s">
        <v>604</v>
      </c>
      <c r="BO45" s="9" t="s">
        <v>605</v>
      </c>
      <c r="BP45" s="9" t="s">
        <v>606</v>
      </c>
      <c r="BQ45" s="9" t="s">
        <v>604</v>
      </c>
      <c r="BR45" s="9" t="s">
        <v>607</v>
      </c>
      <c r="BS45" s="9" t="s">
        <v>841</v>
      </c>
      <c r="BT45" s="9" t="s">
        <v>742</v>
      </c>
      <c r="BU45" s="9" t="s">
        <v>609</v>
      </c>
      <c r="BW45" s="9" t="s">
        <v>842</v>
      </c>
      <c r="BX45" s="9" t="s">
        <v>28</v>
      </c>
      <c r="BY45" s="9" t="s">
        <v>644</v>
      </c>
      <c r="CA45" s="39">
        <v>10000</v>
      </c>
      <c r="CB45" s="39">
        <v>20000</v>
      </c>
      <c r="CD45" s="9" t="s">
        <v>645</v>
      </c>
      <c r="CF45" s="9" t="s">
        <v>646</v>
      </c>
      <c r="ED45" s="9" t="s">
        <v>649</v>
      </c>
      <c r="EE45" s="9" t="s">
        <v>650</v>
      </c>
      <c r="EF45" s="9" t="s">
        <v>25</v>
      </c>
      <c r="EG45" s="9" t="s">
        <v>25</v>
      </c>
      <c r="EH45" s="9" t="s">
        <v>25</v>
      </c>
      <c r="EL45" s="9" t="s">
        <v>25</v>
      </c>
      <c r="EM45" s="9" t="s">
        <v>651</v>
      </c>
      <c r="EN45" s="9" t="s">
        <v>748</v>
      </c>
      <c r="EP45" s="9" t="s">
        <v>28</v>
      </c>
      <c r="EQ45" s="9" t="s">
        <v>653</v>
      </c>
      <c r="ER45" s="9" t="s">
        <v>25</v>
      </c>
      <c r="ET45" s="9" t="s">
        <v>28</v>
      </c>
      <c r="EU45" s="9" t="s">
        <v>622</v>
      </c>
      <c r="EW45" s="39">
        <v>5250</v>
      </c>
      <c r="EZ45" s="9" t="s">
        <v>607</v>
      </c>
      <c r="FB45" s="9" t="s">
        <v>655</v>
      </c>
      <c r="FC45" s="39">
        <v>400</v>
      </c>
      <c r="FD45" s="9" t="s">
        <v>843</v>
      </c>
      <c r="FE45" s="9" t="s">
        <v>844</v>
      </c>
      <c r="FF45" s="9" t="s">
        <v>845</v>
      </c>
      <c r="FG45" s="9" t="s">
        <v>28</v>
      </c>
      <c r="FH45" s="9" t="s">
        <v>697</v>
      </c>
      <c r="FI45" s="42">
        <v>10000</v>
      </c>
      <c r="FJ45" s="9" t="s">
        <v>28</v>
      </c>
      <c r="FL45" s="9" t="s">
        <v>624</v>
      </c>
      <c r="FM45" s="9" t="s">
        <v>846</v>
      </c>
      <c r="FS45" s="9" t="s">
        <v>657</v>
      </c>
      <c r="FV45" s="9" t="s">
        <v>847</v>
      </c>
      <c r="FW45" s="39">
        <v>270</v>
      </c>
      <c r="FX45" s="9" t="s">
        <v>25</v>
      </c>
      <c r="FZ45" s="9" t="s">
        <v>25</v>
      </c>
      <c r="GC45" s="9" t="s">
        <v>25</v>
      </c>
      <c r="GD45" s="9" t="s">
        <v>25</v>
      </c>
      <c r="GE45" s="9" t="s">
        <v>25</v>
      </c>
      <c r="GF45" s="9" t="s">
        <v>25</v>
      </c>
      <c r="GG45" s="9" t="s">
        <v>25</v>
      </c>
      <c r="GH45" s="9" t="s">
        <v>28</v>
      </c>
      <c r="GJ45" s="9" t="s">
        <v>28</v>
      </c>
      <c r="GK45" s="9" t="s">
        <v>664</v>
      </c>
      <c r="GL45" s="9" t="s">
        <v>631</v>
      </c>
      <c r="GM45" s="9" t="s">
        <v>609</v>
      </c>
      <c r="GN45" s="9" t="s">
        <v>630</v>
      </c>
      <c r="GO45" s="9" t="s">
        <v>630</v>
      </c>
      <c r="GP45" s="9" t="s">
        <v>631</v>
      </c>
      <c r="GQ45" s="9" t="s">
        <v>631</v>
      </c>
      <c r="GR45" s="9" t="s">
        <v>631</v>
      </c>
      <c r="GS45" s="9" t="s">
        <v>631</v>
      </c>
      <c r="GT45" s="9" t="s">
        <v>631</v>
      </c>
      <c r="GU45" s="9" t="s">
        <v>631</v>
      </c>
      <c r="GV45" s="9" t="s">
        <v>631</v>
      </c>
      <c r="GW45" s="9" t="s">
        <v>631</v>
      </c>
      <c r="GX45" s="9" t="s">
        <v>629</v>
      </c>
      <c r="GY45" s="9" t="s">
        <v>631</v>
      </c>
      <c r="GZ45" s="9" t="s">
        <v>609</v>
      </c>
      <c r="HA45" s="9" t="s">
        <v>609</v>
      </c>
      <c r="HB45" s="9" t="s">
        <v>609</v>
      </c>
      <c r="HC45" s="9" t="s">
        <v>609</v>
      </c>
      <c r="HE45" s="9" t="s">
        <v>630</v>
      </c>
      <c r="HF45" s="9" t="s">
        <v>631</v>
      </c>
      <c r="HG45" s="9" t="s">
        <v>631</v>
      </c>
      <c r="HH45" s="9" t="s">
        <v>609</v>
      </c>
      <c r="HI45" s="9" t="s">
        <v>848</v>
      </c>
      <c r="HJ45" s="9" t="s">
        <v>29</v>
      </c>
      <c r="HN45" s="9" t="s">
        <v>849</v>
      </c>
      <c r="HO45" s="9" t="s">
        <v>13388</v>
      </c>
      <c r="HP45" s="9" t="s">
        <v>28</v>
      </c>
      <c r="HQ45" s="9" t="s">
        <v>668</v>
      </c>
      <c r="HR45" s="9" t="s">
        <v>25</v>
      </c>
      <c r="HS45" s="9" t="s">
        <v>28</v>
      </c>
      <c r="HT45" s="9" t="s">
        <v>25</v>
      </c>
      <c r="HU45" s="9" t="s">
        <v>28</v>
      </c>
      <c r="HV45" s="9" t="s">
        <v>25</v>
      </c>
      <c r="HW45" s="9" t="s">
        <v>25</v>
      </c>
      <c r="HX45" s="9" t="s">
        <v>28</v>
      </c>
      <c r="HY45" s="9" t="s">
        <v>850</v>
      </c>
      <c r="HZ45" s="9" t="s">
        <v>635</v>
      </c>
      <c r="IA45" s="9" t="s">
        <v>25</v>
      </c>
      <c r="IB45" s="9" t="s">
        <v>636</v>
      </c>
      <c r="IC45" s="9" t="s">
        <v>13794</v>
      </c>
      <c r="ID45" s="9" t="s">
        <v>730</v>
      </c>
      <c r="IE45" s="11">
        <v>1</v>
      </c>
      <c r="IG45" s="9" t="s">
        <v>730</v>
      </c>
      <c r="IH45" s="11">
        <v>1</v>
      </c>
      <c r="II45" s="11">
        <v>0.02</v>
      </c>
      <c r="IJ45" s="9" t="s">
        <v>13799</v>
      </c>
      <c r="IK45" s="9" t="s">
        <v>805</v>
      </c>
      <c r="IL45" s="9" t="s">
        <v>731</v>
      </c>
      <c r="IM45" s="9" t="s">
        <v>731</v>
      </c>
      <c r="IN45" s="9" t="s">
        <v>731</v>
      </c>
      <c r="IR45" s="9" t="s">
        <v>638</v>
      </c>
      <c r="IS45" s="9" t="s">
        <v>784</v>
      </c>
      <c r="IT45" s="9" t="s">
        <v>733</v>
      </c>
      <c r="IU45" s="49" t="s">
        <v>9337</v>
      </c>
      <c r="IV45" s="49" t="s">
        <v>9337</v>
      </c>
      <c r="IW45" s="9" t="s">
        <v>703</v>
      </c>
      <c r="IX45" s="9" t="s">
        <v>640</v>
      </c>
      <c r="IY45" s="9" t="s">
        <v>640</v>
      </c>
      <c r="IZ45" s="9" t="s">
        <v>640</v>
      </c>
      <c r="JA45" s="9" t="s">
        <v>851</v>
      </c>
      <c r="JB45" s="9" t="s">
        <v>672</v>
      </c>
    </row>
    <row r="46" spans="1:262" ht="63.75" x14ac:dyDescent="0.2">
      <c r="A46" s="8" t="s">
        <v>153</v>
      </c>
      <c r="B46" s="9" t="s">
        <v>25</v>
      </c>
      <c r="S46" s="9" t="s">
        <v>13336</v>
      </c>
      <c r="AS46" s="9" t="s">
        <v>25</v>
      </c>
      <c r="AT46" s="9" t="s">
        <v>25</v>
      </c>
      <c r="BF46" s="9" t="s">
        <v>864</v>
      </c>
      <c r="BG46" s="9" t="s">
        <v>25</v>
      </c>
      <c r="BJ46" s="9" t="s">
        <v>28</v>
      </c>
      <c r="BK46" s="39">
        <v>15000</v>
      </c>
      <c r="BL46" s="9" t="s">
        <v>679</v>
      </c>
      <c r="BM46" s="9" t="s">
        <v>679</v>
      </c>
      <c r="BN46" s="9" t="s">
        <v>604</v>
      </c>
      <c r="BO46" s="9" t="s">
        <v>679</v>
      </c>
      <c r="BP46" s="9" t="s">
        <v>679</v>
      </c>
      <c r="BQ46" s="9" t="s">
        <v>604</v>
      </c>
      <c r="BR46" s="9" t="s">
        <v>607</v>
      </c>
      <c r="BW46" s="9" t="s">
        <v>1064</v>
      </c>
      <c r="CM46" s="9" t="s">
        <v>1065</v>
      </c>
      <c r="CN46" s="9" t="s">
        <v>1066</v>
      </c>
      <c r="CO46" s="9" t="s">
        <v>688</v>
      </c>
      <c r="CV46" s="9" t="s">
        <v>1067</v>
      </c>
      <c r="DF46" s="9" t="s">
        <v>1068</v>
      </c>
      <c r="DH46" s="9" t="s">
        <v>961</v>
      </c>
      <c r="DQ46" s="9" t="s">
        <v>747</v>
      </c>
      <c r="DS46" s="9" t="s">
        <v>692</v>
      </c>
      <c r="DU46" s="9" t="s">
        <v>693</v>
      </c>
      <c r="DW46" s="9" t="s">
        <v>607</v>
      </c>
      <c r="DY46" s="9" t="s">
        <v>607</v>
      </c>
      <c r="EA46" s="9" t="s">
        <v>1041</v>
      </c>
      <c r="EB46" s="9" t="s">
        <v>25</v>
      </c>
      <c r="ED46" s="9" t="s">
        <v>695</v>
      </c>
      <c r="EE46" s="9" t="s">
        <v>650</v>
      </c>
      <c r="EF46" s="9" t="s">
        <v>25</v>
      </c>
      <c r="EG46" s="9" t="s">
        <v>25</v>
      </c>
      <c r="EH46" s="9" t="s">
        <v>25</v>
      </c>
      <c r="EL46" s="9" t="s">
        <v>28</v>
      </c>
      <c r="EM46" s="9" t="s">
        <v>1069</v>
      </c>
      <c r="FC46" s="39">
        <v>1080</v>
      </c>
      <c r="FD46" s="9" t="s">
        <v>843</v>
      </c>
      <c r="FE46" s="9" t="s">
        <v>1070</v>
      </c>
      <c r="FF46" s="9" t="s">
        <v>983</v>
      </c>
      <c r="FG46" s="9" t="s">
        <v>25</v>
      </c>
      <c r="FI46" s="42">
        <v>100</v>
      </c>
      <c r="FJ46" s="9" t="s">
        <v>28</v>
      </c>
      <c r="FK46" s="9">
        <v>3</v>
      </c>
      <c r="FL46" s="9" t="s">
        <v>624</v>
      </c>
      <c r="FM46" s="9" t="s">
        <v>984</v>
      </c>
      <c r="FN46" s="9" t="s">
        <v>659</v>
      </c>
      <c r="FO46" s="9" t="s">
        <v>659</v>
      </c>
      <c r="FP46" s="9" t="s">
        <v>659</v>
      </c>
      <c r="FS46" s="9" t="s">
        <v>658</v>
      </c>
      <c r="FT46" s="9" t="s">
        <v>659</v>
      </c>
      <c r="FU46" s="9" t="s">
        <v>659</v>
      </c>
      <c r="FV46" s="9" t="s">
        <v>834</v>
      </c>
      <c r="FW46" s="39">
        <v>270</v>
      </c>
      <c r="FX46" s="9" t="s">
        <v>627</v>
      </c>
      <c r="FZ46" s="9" t="s">
        <v>25</v>
      </c>
      <c r="GL46" s="9" t="s">
        <v>629</v>
      </c>
      <c r="GM46" s="9" t="s">
        <v>629</v>
      </c>
      <c r="GN46" s="9" t="s">
        <v>631</v>
      </c>
      <c r="GO46" s="9" t="s">
        <v>631</v>
      </c>
      <c r="GP46" s="9" t="s">
        <v>631</v>
      </c>
      <c r="GQ46" s="9" t="s">
        <v>631</v>
      </c>
      <c r="GR46" s="9" t="s">
        <v>629</v>
      </c>
      <c r="GS46" s="9" t="s">
        <v>609</v>
      </c>
      <c r="GT46" s="9" t="s">
        <v>631</v>
      </c>
      <c r="GU46" s="9" t="s">
        <v>609</v>
      </c>
      <c r="GV46" s="9" t="s">
        <v>609</v>
      </c>
      <c r="GW46" s="9" t="s">
        <v>631</v>
      </c>
      <c r="GX46" s="9" t="s">
        <v>631</v>
      </c>
      <c r="GY46" s="9" t="s">
        <v>631</v>
      </c>
      <c r="GZ46" s="9" t="s">
        <v>631</v>
      </c>
      <c r="HA46" s="9" t="s">
        <v>631</v>
      </c>
      <c r="HB46" s="9" t="s">
        <v>631</v>
      </c>
      <c r="HC46" s="9" t="s">
        <v>631</v>
      </c>
      <c r="HD46" s="9" t="s">
        <v>609</v>
      </c>
      <c r="HE46" s="9" t="s">
        <v>631</v>
      </c>
      <c r="HF46" s="9" t="s">
        <v>609</v>
      </c>
      <c r="HG46" s="9" t="s">
        <v>609</v>
      </c>
      <c r="HH46" s="9" t="s">
        <v>630</v>
      </c>
      <c r="HI46" s="9" t="s">
        <v>848</v>
      </c>
      <c r="HJ46" s="9" t="s">
        <v>727</v>
      </c>
      <c r="HM46" s="9" t="s">
        <v>1071</v>
      </c>
      <c r="HO46" s="9" t="s">
        <v>13387</v>
      </c>
      <c r="HP46" s="9" t="s">
        <v>25</v>
      </c>
      <c r="IC46" s="9" t="s">
        <v>635</v>
      </c>
      <c r="IT46" s="9" t="s">
        <v>733</v>
      </c>
      <c r="IU46" s="49" t="s">
        <v>9339</v>
      </c>
      <c r="IV46" s="49" t="s">
        <v>9339</v>
      </c>
      <c r="IW46" s="9" t="s">
        <v>640</v>
      </c>
      <c r="IX46" s="9" t="s">
        <v>640</v>
      </c>
      <c r="IY46" s="9" t="s">
        <v>769</v>
      </c>
      <c r="IZ46" s="9" t="s">
        <v>769</v>
      </c>
      <c r="JA46" s="9" t="s">
        <v>882</v>
      </c>
      <c r="JB46" s="9" t="s">
        <v>705</v>
      </c>
    </row>
    <row r="47" spans="1:262" ht="102" x14ac:dyDescent="0.2">
      <c r="A47" s="8" t="s">
        <v>164</v>
      </c>
      <c r="B47" s="9" t="s">
        <v>25</v>
      </c>
      <c r="S47" s="9" t="s">
        <v>13340</v>
      </c>
      <c r="T47" s="9" t="s">
        <v>770</v>
      </c>
      <c r="U47" s="9" t="s">
        <v>28</v>
      </c>
      <c r="V47" s="39">
        <v>10000</v>
      </c>
      <c r="W47" s="9" t="s">
        <v>808</v>
      </c>
      <c r="Z47" s="39">
        <v>10000</v>
      </c>
      <c r="AB47" s="9" t="s">
        <v>673</v>
      </c>
      <c r="AD47" s="9" t="s">
        <v>29</v>
      </c>
      <c r="AE47" s="9" t="s">
        <v>1136</v>
      </c>
      <c r="AF47" s="9" t="s">
        <v>1137</v>
      </c>
      <c r="AH47" s="9" t="s">
        <v>599</v>
      </c>
      <c r="AI47" s="9" t="s">
        <v>28</v>
      </c>
      <c r="AJ47" s="39">
        <v>500</v>
      </c>
      <c r="AK47" s="9" t="s">
        <v>28</v>
      </c>
      <c r="AL47" s="9">
        <v>4</v>
      </c>
      <c r="AM47" s="9" t="s">
        <v>28</v>
      </c>
      <c r="AN47" s="39">
        <v>500</v>
      </c>
      <c r="AO47" s="9" t="s">
        <v>1138</v>
      </c>
      <c r="AP47" s="9">
        <v>4</v>
      </c>
      <c r="AQ47" s="9" t="s">
        <v>1139</v>
      </c>
      <c r="AS47" s="9" t="s">
        <v>601</v>
      </c>
      <c r="AT47" s="9" t="s">
        <v>25</v>
      </c>
      <c r="AW47" s="9" t="s">
        <v>740</v>
      </c>
      <c r="AX47" s="39">
        <v>10000</v>
      </c>
      <c r="BF47" s="9" t="s">
        <v>601</v>
      </c>
      <c r="BG47" s="9" t="s">
        <v>25</v>
      </c>
      <c r="BJ47" s="9" t="s">
        <v>28</v>
      </c>
      <c r="BK47" s="39">
        <v>10000</v>
      </c>
      <c r="BR47" s="9" t="s">
        <v>819</v>
      </c>
      <c r="BW47" s="9" t="s">
        <v>1140</v>
      </c>
      <c r="BX47" s="9" t="s">
        <v>28</v>
      </c>
      <c r="BY47" s="9" t="s">
        <v>644</v>
      </c>
      <c r="CB47" s="39">
        <v>10000</v>
      </c>
      <c r="CD47" s="9" t="s">
        <v>673</v>
      </c>
      <c r="CF47" s="9" t="s">
        <v>29</v>
      </c>
      <c r="CG47" s="9" t="s">
        <v>1141</v>
      </c>
      <c r="CH47" s="9" t="s">
        <v>777</v>
      </c>
      <c r="CJ47" s="9" t="s">
        <v>856</v>
      </c>
      <c r="CL47" s="9" t="s">
        <v>686</v>
      </c>
      <c r="CM47" s="9" t="s">
        <v>13355</v>
      </c>
      <c r="CW47" s="9" t="s">
        <v>980</v>
      </c>
      <c r="CX47" s="9" t="s">
        <v>1142</v>
      </c>
      <c r="CZ47" s="9" t="s">
        <v>629</v>
      </c>
      <c r="DQ47" s="9" t="s">
        <v>29</v>
      </c>
      <c r="DR47" s="9" t="s">
        <v>1143</v>
      </c>
      <c r="DS47" s="9" t="s">
        <v>25</v>
      </c>
      <c r="DW47" s="9" t="s">
        <v>759</v>
      </c>
      <c r="DX47" s="9" t="s">
        <v>1144</v>
      </c>
      <c r="DY47" s="9" t="s">
        <v>819</v>
      </c>
      <c r="EA47" s="9" t="s">
        <v>797</v>
      </c>
      <c r="EB47" s="9" t="s">
        <v>25</v>
      </c>
      <c r="ED47" s="9" t="s">
        <v>618</v>
      </c>
      <c r="EE47" s="9" t="s">
        <v>650</v>
      </c>
      <c r="EF47" s="9" t="s">
        <v>25</v>
      </c>
      <c r="EG47" s="9" t="s">
        <v>25</v>
      </c>
      <c r="EH47" s="9" t="s">
        <v>25</v>
      </c>
      <c r="EL47" s="9" t="s">
        <v>25</v>
      </c>
      <c r="EM47" s="9" t="s">
        <v>1069</v>
      </c>
      <c r="EN47" s="9" t="s">
        <v>1145</v>
      </c>
      <c r="EP47" s="9" t="s">
        <v>25</v>
      </c>
      <c r="ER47" s="9" t="s">
        <v>28</v>
      </c>
      <c r="ES47" s="9" t="s">
        <v>749</v>
      </c>
      <c r="ET47" s="9" t="s">
        <v>28</v>
      </c>
      <c r="EU47" s="9" t="s">
        <v>622</v>
      </c>
      <c r="EV47" s="39">
        <v>5250</v>
      </c>
      <c r="EW47" s="39">
        <v>5250</v>
      </c>
      <c r="EX47" s="39">
        <v>5250</v>
      </c>
      <c r="EY47" s="39">
        <v>5250</v>
      </c>
      <c r="EZ47" s="9" t="s">
        <v>819</v>
      </c>
      <c r="FB47" s="9" t="s">
        <v>28</v>
      </c>
      <c r="FF47" s="9" t="s">
        <v>13365</v>
      </c>
      <c r="FG47" s="9" t="s">
        <v>25</v>
      </c>
      <c r="FI47" s="42">
        <v>2000</v>
      </c>
      <c r="FJ47" s="9" t="s">
        <v>25</v>
      </c>
      <c r="FL47" s="9" t="s">
        <v>624</v>
      </c>
      <c r="FM47" s="9" t="s">
        <v>779</v>
      </c>
      <c r="FN47" s="9" t="s">
        <v>659</v>
      </c>
      <c r="FO47" s="9" t="s">
        <v>659</v>
      </c>
      <c r="FT47" s="9" t="s">
        <v>658</v>
      </c>
      <c r="FV47" s="9" t="s">
        <v>1146</v>
      </c>
      <c r="FW47" s="39">
        <v>280</v>
      </c>
      <c r="FX47" s="9" t="s">
        <v>627</v>
      </c>
      <c r="FZ47" s="9" t="s">
        <v>28</v>
      </c>
      <c r="GA47" s="9" t="s">
        <v>28</v>
      </c>
      <c r="GB47" s="9" t="s">
        <v>628</v>
      </c>
      <c r="GL47" s="9" t="s">
        <v>629</v>
      </c>
      <c r="GM47" s="9" t="s">
        <v>629</v>
      </c>
      <c r="GN47" s="9" t="s">
        <v>630</v>
      </c>
      <c r="GO47" s="9" t="s">
        <v>629</v>
      </c>
      <c r="GP47" s="9" t="s">
        <v>630</v>
      </c>
      <c r="GQ47" s="9" t="s">
        <v>630</v>
      </c>
      <c r="GR47" s="9" t="s">
        <v>631</v>
      </c>
      <c r="GS47" s="9" t="s">
        <v>609</v>
      </c>
      <c r="GT47" s="9" t="s">
        <v>609</v>
      </c>
      <c r="GU47" s="9" t="s">
        <v>609</v>
      </c>
      <c r="GV47" s="9" t="s">
        <v>609</v>
      </c>
      <c r="GW47" s="9" t="s">
        <v>631</v>
      </c>
      <c r="GX47" s="9" t="s">
        <v>630</v>
      </c>
      <c r="GY47" s="9" t="s">
        <v>609</v>
      </c>
      <c r="GZ47" s="9" t="s">
        <v>609</v>
      </c>
      <c r="HA47" s="9" t="s">
        <v>609</v>
      </c>
      <c r="HB47" s="9" t="s">
        <v>631</v>
      </c>
      <c r="HC47" s="9" t="s">
        <v>609</v>
      </c>
      <c r="HD47" s="9" t="s">
        <v>631</v>
      </c>
      <c r="HE47" s="9" t="s">
        <v>630</v>
      </c>
      <c r="HF47" s="9" t="s">
        <v>630</v>
      </c>
      <c r="HG47" s="9" t="s">
        <v>631</v>
      </c>
      <c r="HH47" s="9" t="s">
        <v>631</v>
      </c>
      <c r="HI47" s="9" t="s">
        <v>726</v>
      </c>
      <c r="HJ47" s="9" t="s">
        <v>1147</v>
      </c>
      <c r="HK47" s="9" t="s">
        <v>13791</v>
      </c>
      <c r="HL47" s="9" t="s">
        <v>1148</v>
      </c>
      <c r="HO47" s="9" t="s">
        <v>872</v>
      </c>
      <c r="HP47" s="9" t="s">
        <v>28</v>
      </c>
      <c r="IC47" s="9" t="s">
        <v>13793</v>
      </c>
      <c r="ID47" s="9" t="s">
        <v>730</v>
      </c>
      <c r="IE47" s="11">
        <v>1</v>
      </c>
      <c r="IF47" s="11">
        <v>0.15</v>
      </c>
      <c r="IG47" s="9" t="s">
        <v>730</v>
      </c>
      <c r="IH47" s="11">
        <v>1</v>
      </c>
      <c r="II47" s="11">
        <v>0.15</v>
      </c>
      <c r="IJ47" s="9" t="s">
        <v>13402</v>
      </c>
      <c r="IK47" s="9" t="s">
        <v>805</v>
      </c>
      <c r="IL47" s="9" t="s">
        <v>805</v>
      </c>
      <c r="IM47" s="9" t="s">
        <v>731</v>
      </c>
      <c r="IN47" s="9" t="s">
        <v>731</v>
      </c>
      <c r="IO47" s="9" t="s">
        <v>730</v>
      </c>
      <c r="IP47" s="11">
        <v>1</v>
      </c>
      <c r="IQ47" s="11">
        <v>0.15</v>
      </c>
      <c r="IR47" s="9" t="s">
        <v>880</v>
      </c>
      <c r="IS47" s="9" t="s">
        <v>881</v>
      </c>
      <c r="IT47" s="9" t="s">
        <v>733</v>
      </c>
      <c r="IU47" s="49" t="s">
        <v>9336</v>
      </c>
      <c r="IV47" s="49" t="s">
        <v>9336</v>
      </c>
      <c r="IW47" s="9" t="s">
        <v>640</v>
      </c>
      <c r="IX47" s="9" t="s">
        <v>640</v>
      </c>
      <c r="IY47" s="9" t="s">
        <v>703</v>
      </c>
      <c r="IZ47" s="9" t="s">
        <v>703</v>
      </c>
      <c r="JA47" s="9" t="s">
        <v>704</v>
      </c>
      <c r="JB47" s="9" t="s">
        <v>642</v>
      </c>
    </row>
    <row r="48" spans="1:262" ht="89.25" x14ac:dyDescent="0.2">
      <c r="A48" s="8" t="s">
        <v>155</v>
      </c>
      <c r="B48" s="9" t="s">
        <v>28</v>
      </c>
      <c r="C48" s="9" t="s">
        <v>25</v>
      </c>
      <c r="D48" s="9" t="s">
        <v>25</v>
      </c>
      <c r="E48" s="9" t="s">
        <v>28</v>
      </c>
      <c r="F48" s="9" t="s">
        <v>25</v>
      </c>
      <c r="G48" s="9" t="s">
        <v>25</v>
      </c>
      <c r="H48" s="9" t="s">
        <v>25</v>
      </c>
      <c r="I48" s="9" t="s">
        <v>25</v>
      </c>
      <c r="J48" s="9" t="s">
        <v>25</v>
      </c>
      <c r="K48" s="9" t="s">
        <v>25</v>
      </c>
      <c r="L48" s="9" t="s">
        <v>25</v>
      </c>
      <c r="M48" s="9" t="s">
        <v>25</v>
      </c>
      <c r="N48" s="9" t="s">
        <v>25</v>
      </c>
      <c r="O48" s="9" t="s">
        <v>25</v>
      </c>
      <c r="P48" s="9" t="s">
        <v>28</v>
      </c>
      <c r="Q48" s="9" t="s">
        <v>25</v>
      </c>
      <c r="R48" s="9" t="s">
        <v>25</v>
      </c>
      <c r="S48" s="9" t="s">
        <v>13329</v>
      </c>
      <c r="T48" s="9" t="s">
        <v>595</v>
      </c>
      <c r="U48" s="9" t="s">
        <v>28</v>
      </c>
      <c r="V48" s="39">
        <v>8000</v>
      </c>
      <c r="W48" s="9" t="s">
        <v>644</v>
      </c>
      <c r="Y48" s="39">
        <v>8000</v>
      </c>
      <c r="AB48" s="9" t="s">
        <v>734</v>
      </c>
      <c r="AD48" s="9" t="s">
        <v>13777</v>
      </c>
      <c r="AF48" s="9" t="s">
        <v>714</v>
      </c>
      <c r="AH48" s="9" t="s">
        <v>599</v>
      </c>
      <c r="AI48" s="9" t="s">
        <v>607</v>
      </c>
      <c r="AK48" s="9" t="s">
        <v>28</v>
      </c>
      <c r="AL48" s="9">
        <v>5</v>
      </c>
      <c r="AM48" s="9" t="s">
        <v>28</v>
      </c>
      <c r="AN48" s="39">
        <v>75</v>
      </c>
      <c r="AO48" s="9" t="s">
        <v>715</v>
      </c>
      <c r="AP48" s="9">
        <v>5</v>
      </c>
      <c r="AS48" s="9" t="s">
        <v>25</v>
      </c>
      <c r="BF48" s="9" t="s">
        <v>25</v>
      </c>
      <c r="BR48" s="9" t="s">
        <v>607</v>
      </c>
      <c r="BS48" s="9" t="s">
        <v>1082</v>
      </c>
      <c r="BT48" s="9" t="s">
        <v>998</v>
      </c>
      <c r="BU48" s="9" t="s">
        <v>609</v>
      </c>
      <c r="ED48" s="9" t="s">
        <v>618</v>
      </c>
      <c r="EE48" s="9" t="s">
        <v>650</v>
      </c>
      <c r="EF48" s="9" t="s">
        <v>28</v>
      </c>
      <c r="EG48" s="9" t="s">
        <v>28</v>
      </c>
      <c r="EH48" s="9" t="s">
        <v>28</v>
      </c>
      <c r="EL48" s="9" t="s">
        <v>28</v>
      </c>
      <c r="EM48" s="9" t="s">
        <v>651</v>
      </c>
      <c r="EN48" s="9" t="s">
        <v>920</v>
      </c>
      <c r="EP48" s="9" t="s">
        <v>28</v>
      </c>
      <c r="EQ48" s="9" t="s">
        <v>653</v>
      </c>
      <c r="ER48" s="9" t="s">
        <v>25</v>
      </c>
      <c r="ET48" s="9" t="s">
        <v>28</v>
      </c>
      <c r="EU48" s="9" t="s">
        <v>622</v>
      </c>
      <c r="EV48" s="39">
        <v>5250</v>
      </c>
      <c r="EW48" s="39">
        <v>5250</v>
      </c>
      <c r="EX48" s="39">
        <v>5250</v>
      </c>
      <c r="EY48" s="39">
        <v>5250</v>
      </c>
      <c r="EZ48" s="9" t="s">
        <v>607</v>
      </c>
      <c r="FB48" s="9" t="s">
        <v>655</v>
      </c>
      <c r="FF48" s="9" t="s">
        <v>13375</v>
      </c>
      <c r="FG48" s="9" t="s">
        <v>25</v>
      </c>
      <c r="FJ48" s="9" t="s">
        <v>28</v>
      </c>
      <c r="FK48" s="9">
        <v>1</v>
      </c>
      <c r="FL48" s="9" t="s">
        <v>656</v>
      </c>
      <c r="FM48" s="9" t="s">
        <v>1083</v>
      </c>
      <c r="FN48" s="9" t="s">
        <v>657</v>
      </c>
      <c r="FO48" s="9" t="s">
        <v>657</v>
      </c>
      <c r="FP48" s="9" t="s">
        <v>657</v>
      </c>
      <c r="FQ48" s="9" t="s">
        <v>658</v>
      </c>
      <c r="FT48" s="9" t="s">
        <v>658</v>
      </c>
      <c r="FV48" s="9" t="s">
        <v>1084</v>
      </c>
      <c r="FW48" s="39">
        <v>50</v>
      </c>
      <c r="FX48" s="9" t="s">
        <v>661</v>
      </c>
      <c r="FY48" s="9" t="s">
        <v>662</v>
      </c>
      <c r="FZ48" s="9" t="s">
        <v>28</v>
      </c>
      <c r="GA48" s="9" t="s">
        <v>28</v>
      </c>
      <c r="GB48" s="9" t="s">
        <v>663</v>
      </c>
      <c r="HO48" s="9" t="s">
        <v>872</v>
      </c>
      <c r="HP48" s="9" t="s">
        <v>28</v>
      </c>
      <c r="HQ48" s="9" t="s">
        <v>804</v>
      </c>
      <c r="HR48" s="9" t="s">
        <v>28</v>
      </c>
      <c r="HS48" s="9" t="s">
        <v>28</v>
      </c>
      <c r="HT48" s="9" t="s">
        <v>25</v>
      </c>
      <c r="HU48" s="9" t="s">
        <v>28</v>
      </c>
      <c r="HV48" s="9" t="s">
        <v>28</v>
      </c>
      <c r="HW48" s="9" t="s">
        <v>25</v>
      </c>
      <c r="HX48" s="9" t="s">
        <v>25</v>
      </c>
      <c r="HZ48" s="9" t="s">
        <v>635</v>
      </c>
      <c r="IA48" s="9" t="s">
        <v>25</v>
      </c>
      <c r="IB48" s="9" t="s">
        <v>636</v>
      </c>
      <c r="IC48" s="9" t="s">
        <v>637</v>
      </c>
      <c r="IR48" s="9" t="s">
        <v>638</v>
      </c>
      <c r="IS48" s="9" t="s">
        <v>1085</v>
      </c>
      <c r="IT48" s="9" t="s">
        <v>733</v>
      </c>
      <c r="IU48" s="49" t="s">
        <v>9339</v>
      </c>
      <c r="IV48" s="49" t="s">
        <v>9339</v>
      </c>
      <c r="IW48" s="9" t="s">
        <v>640</v>
      </c>
      <c r="IX48" s="9" t="s">
        <v>640</v>
      </c>
      <c r="IY48" s="9" t="s">
        <v>640</v>
      </c>
      <c r="IZ48" s="9" t="s">
        <v>640</v>
      </c>
      <c r="JA48" s="9" t="s">
        <v>641</v>
      </c>
      <c r="JB48" s="9" t="s">
        <v>642</v>
      </c>
    </row>
    <row r="49" spans="1:262" ht="76.5" x14ac:dyDescent="0.2">
      <c r="A49" s="8" t="s">
        <v>128</v>
      </c>
      <c r="B49" s="9" t="s">
        <v>28</v>
      </c>
      <c r="C49" s="9" t="s">
        <v>25</v>
      </c>
      <c r="D49" s="9" t="s">
        <v>25</v>
      </c>
      <c r="E49" s="9" t="s">
        <v>28</v>
      </c>
      <c r="F49" s="9" t="s">
        <v>25</v>
      </c>
      <c r="G49" s="9" t="s">
        <v>25</v>
      </c>
      <c r="H49" s="9" t="s">
        <v>25</v>
      </c>
      <c r="I49" s="9" t="s">
        <v>28</v>
      </c>
      <c r="J49" s="9" t="s">
        <v>28</v>
      </c>
      <c r="K49" s="9" t="s">
        <v>28</v>
      </c>
      <c r="L49" s="9" t="s">
        <v>28</v>
      </c>
      <c r="M49" s="9" t="s">
        <v>25</v>
      </c>
      <c r="N49" s="9" t="s">
        <v>28</v>
      </c>
      <c r="O49" s="9" t="s">
        <v>28</v>
      </c>
      <c r="P49" s="9" t="s">
        <v>25</v>
      </c>
      <c r="Q49" s="9" t="s">
        <v>28</v>
      </c>
      <c r="R49" s="9" t="s">
        <v>25</v>
      </c>
      <c r="S49" s="9" t="s">
        <v>807</v>
      </c>
      <c r="T49" s="9" t="s">
        <v>595</v>
      </c>
      <c r="U49" s="9" t="s">
        <v>28</v>
      </c>
      <c r="V49" s="39">
        <v>5000</v>
      </c>
      <c r="W49" s="9" t="s">
        <v>644</v>
      </c>
      <c r="Z49" s="39">
        <v>5000</v>
      </c>
      <c r="AB49" s="9" t="s">
        <v>734</v>
      </c>
      <c r="AD49" s="9" t="s">
        <v>13777</v>
      </c>
      <c r="AF49" s="9" t="s">
        <v>829</v>
      </c>
      <c r="CM49" s="9" t="s">
        <v>830</v>
      </c>
      <c r="CW49" s="9" t="s">
        <v>743</v>
      </c>
      <c r="CX49" s="9" t="s">
        <v>831</v>
      </c>
      <c r="CY49" s="9" t="s">
        <v>832</v>
      </c>
      <c r="CZ49" s="9" t="s">
        <v>629</v>
      </c>
      <c r="DS49" s="9" t="s">
        <v>692</v>
      </c>
      <c r="DU49" s="9" t="s">
        <v>689</v>
      </c>
      <c r="DW49" s="9" t="s">
        <v>759</v>
      </c>
      <c r="DX49" s="9" t="s">
        <v>832</v>
      </c>
      <c r="DY49" s="9" t="s">
        <v>607</v>
      </c>
      <c r="EB49" s="9" t="s">
        <v>25</v>
      </c>
      <c r="ED49" s="9" t="s">
        <v>618</v>
      </c>
      <c r="EE49" s="9" t="s">
        <v>619</v>
      </c>
      <c r="EF49" s="9" t="s">
        <v>25</v>
      </c>
      <c r="EH49" s="9" t="s">
        <v>25</v>
      </c>
      <c r="EL49" s="9" t="s">
        <v>28</v>
      </c>
      <c r="EM49" s="9" t="s">
        <v>25</v>
      </c>
      <c r="EN49" s="9" t="s">
        <v>761</v>
      </c>
      <c r="EP49" s="9" t="s">
        <v>25</v>
      </c>
      <c r="ER49" s="9" t="s">
        <v>28</v>
      </c>
      <c r="ES49" s="9" t="s">
        <v>749</v>
      </c>
      <c r="ET49" s="9" t="s">
        <v>28</v>
      </c>
      <c r="EU49" s="9" t="s">
        <v>622</v>
      </c>
      <c r="EV49" s="39">
        <v>7500</v>
      </c>
      <c r="EW49" s="39">
        <v>7500</v>
      </c>
      <c r="EX49" s="39">
        <v>7500</v>
      </c>
      <c r="EY49" s="39">
        <v>7500</v>
      </c>
      <c r="EZ49" s="9" t="s">
        <v>607</v>
      </c>
      <c r="FB49" s="9" t="s">
        <v>28</v>
      </c>
      <c r="FF49" s="9" t="s">
        <v>833</v>
      </c>
      <c r="FG49" s="9" t="s">
        <v>28</v>
      </c>
      <c r="FH49" s="9" t="s">
        <v>799</v>
      </c>
      <c r="FI49" s="42">
        <v>2000</v>
      </c>
      <c r="FJ49" s="9" t="s">
        <v>28</v>
      </c>
      <c r="FK49" s="9">
        <v>2</v>
      </c>
      <c r="FL49" s="9" t="s">
        <v>624</v>
      </c>
      <c r="FM49" s="9" t="s">
        <v>802</v>
      </c>
      <c r="FT49" s="9" t="s">
        <v>658</v>
      </c>
      <c r="FV49" s="9" t="s">
        <v>834</v>
      </c>
      <c r="FW49" s="39">
        <v>270</v>
      </c>
      <c r="FX49" s="9" t="s">
        <v>627</v>
      </c>
      <c r="FZ49" s="9" t="s">
        <v>28</v>
      </c>
      <c r="GA49" s="9" t="s">
        <v>28</v>
      </c>
      <c r="GB49" s="9" t="s">
        <v>628</v>
      </c>
      <c r="HI49" s="9" t="s">
        <v>632</v>
      </c>
      <c r="HJ49" s="9" t="s">
        <v>708</v>
      </c>
      <c r="HL49" s="9" t="s">
        <v>835</v>
      </c>
      <c r="HM49" s="9" t="s">
        <v>836</v>
      </c>
      <c r="HO49" s="9" t="s">
        <v>633</v>
      </c>
      <c r="HP49" s="9" t="s">
        <v>28</v>
      </c>
      <c r="HQ49" s="9" t="s">
        <v>804</v>
      </c>
      <c r="HR49" s="9" t="s">
        <v>25</v>
      </c>
      <c r="HS49" s="9" t="s">
        <v>28</v>
      </c>
      <c r="HT49" s="9" t="s">
        <v>25</v>
      </c>
      <c r="HU49" s="9" t="s">
        <v>28</v>
      </c>
      <c r="HV49" s="9" t="s">
        <v>25</v>
      </c>
      <c r="HW49" s="9" t="s">
        <v>25</v>
      </c>
      <c r="HX49" s="9" t="s">
        <v>25</v>
      </c>
      <c r="HZ49" s="9" t="s">
        <v>837</v>
      </c>
      <c r="IA49" s="9" t="s">
        <v>25</v>
      </c>
      <c r="IB49" s="9" t="s">
        <v>636</v>
      </c>
      <c r="IC49" s="9" t="s">
        <v>637</v>
      </c>
      <c r="IR49" s="9" t="s">
        <v>838</v>
      </c>
      <c r="IS49" s="9" t="s">
        <v>784</v>
      </c>
      <c r="IT49" s="9" t="s">
        <v>13410</v>
      </c>
      <c r="IV49" s="49" t="s">
        <v>9336</v>
      </c>
      <c r="IW49" s="9" t="s">
        <v>640</v>
      </c>
      <c r="IX49" s="9" t="s">
        <v>640</v>
      </c>
      <c r="IY49" s="9" t="s">
        <v>703</v>
      </c>
      <c r="IZ49" s="9" t="s">
        <v>703</v>
      </c>
      <c r="JA49" s="9" t="s">
        <v>704</v>
      </c>
      <c r="JB49" s="9" t="s">
        <v>642</v>
      </c>
    </row>
    <row r="50" spans="1:262" ht="76.5" x14ac:dyDescent="0.2">
      <c r="A50" s="8" t="s">
        <v>126</v>
      </c>
      <c r="B50" s="9" t="s">
        <v>28</v>
      </c>
      <c r="C50" s="9" t="s">
        <v>25</v>
      </c>
      <c r="D50" s="9" t="s">
        <v>25</v>
      </c>
      <c r="E50" s="9" t="s">
        <v>28</v>
      </c>
      <c r="F50" s="9" t="s">
        <v>25</v>
      </c>
      <c r="G50" s="9" t="s">
        <v>25</v>
      </c>
      <c r="H50" s="9" t="s">
        <v>25</v>
      </c>
      <c r="I50" s="9" t="s">
        <v>28</v>
      </c>
      <c r="J50" s="9" t="s">
        <v>28</v>
      </c>
      <c r="K50" s="9" t="s">
        <v>28</v>
      </c>
      <c r="L50" s="9" t="s">
        <v>25</v>
      </c>
      <c r="M50" s="9" t="s">
        <v>25</v>
      </c>
      <c r="N50" s="9" t="s">
        <v>25</v>
      </c>
      <c r="O50" s="9" t="s">
        <v>25</v>
      </c>
      <c r="P50" s="9" t="s">
        <v>28</v>
      </c>
      <c r="Q50" s="9" t="s">
        <v>25</v>
      </c>
      <c r="R50" s="9" t="s">
        <v>25</v>
      </c>
      <c r="S50" s="9" t="s">
        <v>807</v>
      </c>
      <c r="T50" s="9" t="s">
        <v>595</v>
      </c>
      <c r="U50" s="9" t="s">
        <v>28</v>
      </c>
      <c r="V50" s="39">
        <v>10000</v>
      </c>
      <c r="W50" s="9" t="s">
        <v>808</v>
      </c>
      <c r="Y50" s="39">
        <v>10000</v>
      </c>
      <c r="AB50" s="9" t="s">
        <v>645</v>
      </c>
      <c r="AD50" s="9" t="s">
        <v>646</v>
      </c>
      <c r="AF50" s="9" t="s">
        <v>809</v>
      </c>
      <c r="CM50" s="9" t="s">
        <v>719</v>
      </c>
      <c r="CO50" s="9" t="s">
        <v>688</v>
      </c>
      <c r="CV50" s="9" t="s">
        <v>810</v>
      </c>
      <c r="DS50" s="9" t="s">
        <v>692</v>
      </c>
      <c r="DU50" s="9" t="s">
        <v>758</v>
      </c>
      <c r="DW50" s="9" t="s">
        <v>607</v>
      </c>
      <c r="DY50" s="9" t="s">
        <v>607</v>
      </c>
      <c r="EA50" s="9" t="s">
        <v>797</v>
      </c>
      <c r="EB50" s="9" t="s">
        <v>25</v>
      </c>
      <c r="ED50" s="9" t="s">
        <v>649</v>
      </c>
      <c r="EE50" s="9" t="s">
        <v>650</v>
      </c>
      <c r="EF50" s="9" t="s">
        <v>25</v>
      </c>
      <c r="EG50" s="9" t="s">
        <v>25</v>
      </c>
      <c r="EH50" s="9" t="s">
        <v>25</v>
      </c>
      <c r="EL50" s="9" t="s">
        <v>28</v>
      </c>
      <c r="EM50" s="9" t="s">
        <v>25</v>
      </c>
      <c r="EN50" s="9" t="s">
        <v>620</v>
      </c>
      <c r="EP50" s="9" t="s">
        <v>25</v>
      </c>
      <c r="ER50" s="9" t="s">
        <v>25</v>
      </c>
      <c r="ET50" s="9" t="s">
        <v>28</v>
      </c>
      <c r="EU50" s="9" t="s">
        <v>622</v>
      </c>
      <c r="EV50" s="39">
        <v>5250</v>
      </c>
      <c r="EX50" s="39">
        <v>5250</v>
      </c>
      <c r="EZ50" s="9" t="s">
        <v>607</v>
      </c>
      <c r="FB50" s="9" t="s">
        <v>28</v>
      </c>
      <c r="FC50" s="39">
        <v>1000</v>
      </c>
      <c r="FD50" s="9" t="s">
        <v>811</v>
      </c>
      <c r="FF50" s="9" t="s">
        <v>812</v>
      </c>
      <c r="FG50" s="9" t="s">
        <v>28</v>
      </c>
      <c r="FH50" s="9" t="s">
        <v>653</v>
      </c>
      <c r="FI50" s="42">
        <v>5000</v>
      </c>
      <c r="FJ50" s="9" t="s">
        <v>28</v>
      </c>
      <c r="FK50" s="9" t="s">
        <v>813</v>
      </c>
      <c r="FL50" s="9" t="s">
        <v>624</v>
      </c>
      <c r="FM50" s="9" t="s">
        <v>814</v>
      </c>
      <c r="FP50" s="9" t="s">
        <v>659</v>
      </c>
      <c r="FV50" s="9" t="s">
        <v>815</v>
      </c>
      <c r="FW50" s="39">
        <v>250</v>
      </c>
      <c r="FX50" s="9" t="s">
        <v>627</v>
      </c>
      <c r="FZ50" s="9" t="s">
        <v>28</v>
      </c>
      <c r="GA50" s="9" t="s">
        <v>28</v>
      </c>
      <c r="HO50" s="9" t="s">
        <v>667</v>
      </c>
      <c r="HP50" s="9" t="s">
        <v>28</v>
      </c>
      <c r="HQ50" s="9" t="s">
        <v>668</v>
      </c>
      <c r="HR50" s="9" t="s">
        <v>25</v>
      </c>
      <c r="HS50" s="9" t="s">
        <v>28</v>
      </c>
      <c r="HT50" s="9" t="s">
        <v>25</v>
      </c>
      <c r="HU50" s="9" t="s">
        <v>28</v>
      </c>
      <c r="HV50" s="9" t="s">
        <v>25</v>
      </c>
      <c r="HW50" s="9" t="s">
        <v>25</v>
      </c>
      <c r="HX50" s="9" t="s">
        <v>25</v>
      </c>
      <c r="HZ50" s="9" t="s">
        <v>635</v>
      </c>
      <c r="IA50" s="9" t="s">
        <v>25</v>
      </c>
      <c r="IB50" s="9" t="s">
        <v>636</v>
      </c>
      <c r="IC50" s="9" t="s">
        <v>13793</v>
      </c>
      <c r="ID50" s="9" t="s">
        <v>730</v>
      </c>
      <c r="IE50" s="11">
        <v>1</v>
      </c>
      <c r="IF50" s="11">
        <v>0.25</v>
      </c>
      <c r="IG50" s="9" t="s">
        <v>730</v>
      </c>
      <c r="IH50" s="11">
        <v>1</v>
      </c>
      <c r="II50" s="11">
        <v>0.25</v>
      </c>
      <c r="IJ50" s="9" t="s">
        <v>13798</v>
      </c>
      <c r="IK50" s="9" t="s">
        <v>731</v>
      </c>
      <c r="IL50" s="9" t="s">
        <v>731</v>
      </c>
      <c r="IM50" s="9" t="s">
        <v>731</v>
      </c>
      <c r="IN50" s="9" t="s">
        <v>731</v>
      </c>
      <c r="IO50" s="9" t="s">
        <v>730</v>
      </c>
      <c r="IP50" s="11">
        <v>1</v>
      </c>
      <c r="IQ50" s="11">
        <v>0.19</v>
      </c>
      <c r="IR50" s="9" t="s">
        <v>638</v>
      </c>
      <c r="IS50" s="9" t="s">
        <v>784</v>
      </c>
      <c r="IT50" s="9" t="s">
        <v>816</v>
      </c>
      <c r="IU50" s="49" t="s">
        <v>9336</v>
      </c>
      <c r="IV50" s="49" t="s">
        <v>9339</v>
      </c>
      <c r="IW50" s="9" t="s">
        <v>640</v>
      </c>
      <c r="IX50" s="9" t="s">
        <v>640</v>
      </c>
      <c r="IY50" s="9" t="s">
        <v>640</v>
      </c>
      <c r="IZ50" s="9" t="s">
        <v>640</v>
      </c>
      <c r="JA50" s="9" t="s">
        <v>806</v>
      </c>
      <c r="JB50" s="9" t="s">
        <v>642</v>
      </c>
    </row>
    <row r="51" spans="1:262" ht="89.25" x14ac:dyDescent="0.2">
      <c r="A51" s="8" t="s">
        <v>130</v>
      </c>
      <c r="B51" s="9" t="s">
        <v>25</v>
      </c>
      <c r="S51" s="9" t="s">
        <v>13322</v>
      </c>
      <c r="AH51" s="9" t="s">
        <v>599</v>
      </c>
      <c r="AI51" s="9" t="s">
        <v>607</v>
      </c>
      <c r="AK51" s="9" t="s">
        <v>28</v>
      </c>
      <c r="AL51" s="9">
        <v>5</v>
      </c>
      <c r="AM51" s="9" t="s">
        <v>28</v>
      </c>
      <c r="AO51" s="9" t="s">
        <v>29</v>
      </c>
      <c r="AR51" s="9" t="s">
        <v>852</v>
      </c>
      <c r="AS51" s="9" t="s">
        <v>25</v>
      </c>
      <c r="BF51" s="9" t="s">
        <v>25</v>
      </c>
      <c r="BL51" s="9" t="s">
        <v>679</v>
      </c>
      <c r="BM51" s="9" t="s">
        <v>604</v>
      </c>
      <c r="BN51" s="9" t="s">
        <v>604</v>
      </c>
      <c r="BO51" s="9" t="s">
        <v>679</v>
      </c>
      <c r="BP51" s="9" t="s">
        <v>679</v>
      </c>
      <c r="BQ51" s="9" t="s">
        <v>604</v>
      </c>
      <c r="BR51" s="9" t="s">
        <v>607</v>
      </c>
      <c r="BS51" s="9" t="s">
        <v>853</v>
      </c>
      <c r="BT51" s="9" t="s">
        <v>742</v>
      </c>
      <c r="BU51" s="9" t="s">
        <v>609</v>
      </c>
      <c r="BX51" s="9" t="s">
        <v>28</v>
      </c>
      <c r="BY51" s="9" t="s">
        <v>644</v>
      </c>
      <c r="CA51" s="39">
        <v>15000</v>
      </c>
      <c r="CB51" s="39">
        <v>30000</v>
      </c>
      <c r="CD51" s="9" t="s">
        <v>734</v>
      </c>
      <c r="CF51" s="9" t="s">
        <v>646</v>
      </c>
      <c r="CH51" s="9" t="s">
        <v>854</v>
      </c>
      <c r="CI51" s="9" t="s">
        <v>855</v>
      </c>
      <c r="CJ51" s="9" t="s">
        <v>856</v>
      </c>
      <c r="ED51" s="9" t="s">
        <v>618</v>
      </c>
      <c r="EE51" s="9" t="s">
        <v>650</v>
      </c>
      <c r="EF51" s="9" t="s">
        <v>25</v>
      </c>
      <c r="EG51" s="9" t="s">
        <v>25</v>
      </c>
      <c r="EH51" s="9" t="s">
        <v>25</v>
      </c>
      <c r="EL51" s="9" t="s">
        <v>28</v>
      </c>
      <c r="EM51" s="9" t="s">
        <v>25</v>
      </c>
      <c r="EN51" s="9" t="s">
        <v>652</v>
      </c>
      <c r="EP51" s="9" t="s">
        <v>28</v>
      </c>
      <c r="EQ51" s="9" t="s">
        <v>653</v>
      </c>
      <c r="ER51" s="9" t="s">
        <v>28</v>
      </c>
      <c r="ES51" s="9" t="s">
        <v>749</v>
      </c>
      <c r="ET51" s="9" t="s">
        <v>28</v>
      </c>
      <c r="EU51" s="9" t="s">
        <v>622</v>
      </c>
      <c r="EV51" s="39">
        <v>5000</v>
      </c>
      <c r="EX51" s="39">
        <v>5000</v>
      </c>
      <c r="EZ51" s="9" t="s">
        <v>28</v>
      </c>
      <c r="FA51" s="9" t="s">
        <v>13788</v>
      </c>
      <c r="FB51" s="9" t="s">
        <v>655</v>
      </c>
      <c r="FF51" s="9" t="s">
        <v>857</v>
      </c>
      <c r="FG51" s="9" t="s">
        <v>28</v>
      </c>
      <c r="FH51" s="9" t="s">
        <v>653</v>
      </c>
      <c r="FI51" s="42">
        <v>5000</v>
      </c>
      <c r="FJ51" s="9" t="s">
        <v>28</v>
      </c>
      <c r="FK51" s="9">
        <v>3</v>
      </c>
      <c r="FL51" s="9" t="s">
        <v>656</v>
      </c>
      <c r="FM51" s="9" t="s">
        <v>858</v>
      </c>
      <c r="FN51" s="9" t="s">
        <v>657</v>
      </c>
      <c r="FO51" s="9" t="s">
        <v>657</v>
      </c>
      <c r="FV51" s="9" t="s">
        <v>859</v>
      </c>
      <c r="FW51" s="39">
        <v>100</v>
      </c>
      <c r="GB51" s="9" t="s">
        <v>663</v>
      </c>
      <c r="HI51" s="9" t="s">
        <v>700</v>
      </c>
      <c r="HJ51" s="9" t="s">
        <v>860</v>
      </c>
      <c r="HK51" s="9" t="s">
        <v>861</v>
      </c>
      <c r="HO51" s="9" t="s">
        <v>633</v>
      </c>
      <c r="HP51" s="9" t="s">
        <v>25</v>
      </c>
      <c r="IC51" s="9" t="s">
        <v>13793</v>
      </c>
      <c r="ID51" s="9" t="s">
        <v>730</v>
      </c>
      <c r="IE51" s="11">
        <v>1</v>
      </c>
      <c r="IF51" s="11">
        <v>0.23</v>
      </c>
      <c r="IG51" s="9" t="s">
        <v>730</v>
      </c>
      <c r="IH51" s="11">
        <v>1</v>
      </c>
      <c r="II51" s="11">
        <v>0.1</v>
      </c>
      <c r="IJ51" s="9" t="s">
        <v>13800</v>
      </c>
      <c r="IK51" s="9" t="s">
        <v>805</v>
      </c>
      <c r="IL51" s="9" t="s">
        <v>731</v>
      </c>
      <c r="IM51" s="9" t="s">
        <v>731</v>
      </c>
      <c r="IN51" s="9" t="s">
        <v>731</v>
      </c>
      <c r="IO51" s="9" t="s">
        <v>730</v>
      </c>
      <c r="IP51" s="11">
        <v>1</v>
      </c>
      <c r="IQ51" s="11">
        <v>7.0000000000000007E-2</v>
      </c>
      <c r="IR51" s="9" t="s">
        <v>862</v>
      </c>
      <c r="IS51" s="9" t="s">
        <v>732</v>
      </c>
      <c r="IT51" s="9" t="s">
        <v>816</v>
      </c>
      <c r="IU51" s="49" t="s">
        <v>9339</v>
      </c>
      <c r="IV51" s="49" t="s">
        <v>9339</v>
      </c>
      <c r="IW51" s="9" t="s">
        <v>703</v>
      </c>
      <c r="IX51" s="9" t="s">
        <v>769</v>
      </c>
      <c r="IY51" s="9" t="s">
        <v>703</v>
      </c>
      <c r="IZ51" s="9" t="s">
        <v>703</v>
      </c>
      <c r="JA51" s="9" t="s">
        <v>863</v>
      </c>
      <c r="JB51" s="9" t="s">
        <v>672</v>
      </c>
    </row>
    <row r="52" spans="1:262" ht="63.75" x14ac:dyDescent="0.2">
      <c r="A52" s="8" t="s">
        <v>173</v>
      </c>
      <c r="B52" s="9" t="s">
        <v>25</v>
      </c>
      <c r="S52" s="9" t="s">
        <v>1210</v>
      </c>
      <c r="AH52" s="9" t="s">
        <v>1028</v>
      </c>
      <c r="AI52" s="9" t="s">
        <v>607</v>
      </c>
      <c r="AK52" s="9" t="s">
        <v>28</v>
      </c>
      <c r="AL52" s="9">
        <v>5</v>
      </c>
      <c r="AM52" s="9" t="s">
        <v>28</v>
      </c>
      <c r="AN52" s="39">
        <v>625</v>
      </c>
      <c r="AO52" s="9" t="s">
        <v>715</v>
      </c>
      <c r="AP52" s="9">
        <v>5</v>
      </c>
      <c r="AS52" s="9" t="s">
        <v>25</v>
      </c>
      <c r="BF52" s="9" t="s">
        <v>25</v>
      </c>
      <c r="BR52" s="9" t="s">
        <v>607</v>
      </c>
      <c r="BS52" s="9" t="s">
        <v>1211</v>
      </c>
      <c r="CM52" s="9" t="s">
        <v>612</v>
      </c>
      <c r="CN52" s="9" t="s">
        <v>1212</v>
      </c>
      <c r="DS52" s="9" t="s">
        <v>25</v>
      </c>
      <c r="DW52" s="9" t="s">
        <v>616</v>
      </c>
      <c r="DY52" s="9" t="s">
        <v>607</v>
      </c>
      <c r="EB52" s="9" t="s">
        <v>25</v>
      </c>
      <c r="ED52" s="9" t="s">
        <v>1058</v>
      </c>
      <c r="EE52" s="9" t="s">
        <v>619</v>
      </c>
      <c r="EF52" s="9" t="s">
        <v>25</v>
      </c>
      <c r="EG52" s="9" t="s">
        <v>28</v>
      </c>
      <c r="EH52" s="9" t="s">
        <v>25</v>
      </c>
      <c r="EL52" s="9" t="s">
        <v>28</v>
      </c>
      <c r="EM52" s="9" t="s">
        <v>25</v>
      </c>
      <c r="EP52" s="9" t="s">
        <v>25</v>
      </c>
      <c r="ER52" s="9" t="s">
        <v>25</v>
      </c>
      <c r="ET52" s="9" t="s">
        <v>25</v>
      </c>
      <c r="FB52" s="9" t="s">
        <v>25</v>
      </c>
      <c r="FF52" s="9" t="s">
        <v>13375</v>
      </c>
      <c r="FG52" s="9" t="s">
        <v>25</v>
      </c>
      <c r="FJ52" s="9" t="s">
        <v>28</v>
      </c>
      <c r="FL52" s="9" t="s">
        <v>656</v>
      </c>
      <c r="FM52" s="9" t="s">
        <v>1002</v>
      </c>
      <c r="FO52" s="9" t="s">
        <v>657</v>
      </c>
      <c r="FP52" s="9" t="s">
        <v>657</v>
      </c>
      <c r="FQ52" s="9" t="s">
        <v>658</v>
      </c>
      <c r="FR52" s="9" t="s">
        <v>658</v>
      </c>
      <c r="FS52" s="9" t="s">
        <v>658</v>
      </c>
      <c r="FT52" s="9" t="s">
        <v>658</v>
      </c>
      <c r="FU52" s="9" t="s">
        <v>657</v>
      </c>
      <c r="FV52" s="9" t="s">
        <v>1213</v>
      </c>
      <c r="FW52" s="39">
        <v>130</v>
      </c>
      <c r="FX52" s="9" t="s">
        <v>661</v>
      </c>
      <c r="FY52" s="9" t="s">
        <v>662</v>
      </c>
      <c r="FZ52" s="9" t="s">
        <v>28</v>
      </c>
      <c r="GA52" s="9" t="s">
        <v>28</v>
      </c>
      <c r="GB52" s="9" t="s">
        <v>628</v>
      </c>
      <c r="GC52" s="9" t="s">
        <v>28</v>
      </c>
      <c r="GD52" s="9" t="s">
        <v>28</v>
      </c>
      <c r="GE52" s="9" t="s">
        <v>28</v>
      </c>
      <c r="GF52" s="9" t="s">
        <v>28</v>
      </c>
      <c r="GG52" s="9" t="s">
        <v>28</v>
      </c>
      <c r="GH52" s="9" t="s">
        <v>28</v>
      </c>
      <c r="GI52" s="9" t="s">
        <v>28</v>
      </c>
      <c r="GJ52" s="9" t="s">
        <v>28</v>
      </c>
      <c r="GK52" s="9" t="s">
        <v>28</v>
      </c>
      <c r="GL52" s="9" t="s">
        <v>629</v>
      </c>
      <c r="GM52" s="9" t="s">
        <v>629</v>
      </c>
      <c r="GN52" s="9" t="s">
        <v>609</v>
      </c>
      <c r="GO52" s="9" t="s">
        <v>609</v>
      </c>
      <c r="GP52" s="9" t="s">
        <v>609</v>
      </c>
      <c r="GQ52" s="9" t="s">
        <v>609</v>
      </c>
      <c r="GR52" s="9" t="s">
        <v>609</v>
      </c>
      <c r="HE52" s="9" t="s">
        <v>629</v>
      </c>
      <c r="HO52" s="9" t="s">
        <v>13389</v>
      </c>
      <c r="HP52" s="9" t="s">
        <v>28</v>
      </c>
      <c r="HQ52" s="9" t="s">
        <v>668</v>
      </c>
      <c r="HR52" s="9" t="s">
        <v>25</v>
      </c>
      <c r="HS52" s="9" t="s">
        <v>28</v>
      </c>
      <c r="HT52" s="9" t="s">
        <v>25</v>
      </c>
      <c r="HU52" s="9" t="s">
        <v>25</v>
      </c>
      <c r="HV52" s="9" t="s">
        <v>25</v>
      </c>
      <c r="HW52" s="9" t="s">
        <v>25</v>
      </c>
      <c r="HX52" s="9" t="s">
        <v>25</v>
      </c>
      <c r="HZ52" s="9" t="s">
        <v>635</v>
      </c>
      <c r="IA52" s="9" t="s">
        <v>25</v>
      </c>
      <c r="IB52" s="9" t="s">
        <v>670</v>
      </c>
      <c r="IC52" s="9" t="s">
        <v>13793</v>
      </c>
      <c r="ID52" s="9" t="s">
        <v>730</v>
      </c>
      <c r="IE52" s="11">
        <v>1</v>
      </c>
      <c r="IF52" s="11">
        <v>0.28999999999999998</v>
      </c>
      <c r="IG52" s="9" t="s">
        <v>730</v>
      </c>
      <c r="IH52" s="11">
        <v>1</v>
      </c>
      <c r="II52" s="11">
        <v>0.25</v>
      </c>
      <c r="IJ52" s="9" t="s">
        <v>13806</v>
      </c>
      <c r="IK52" s="9" t="s">
        <v>805</v>
      </c>
      <c r="IL52" s="9" t="s">
        <v>731</v>
      </c>
      <c r="IM52" s="9" t="s">
        <v>731</v>
      </c>
      <c r="IN52" s="9" t="s">
        <v>731</v>
      </c>
      <c r="IO52" s="9" t="s">
        <v>730</v>
      </c>
      <c r="IP52" s="11">
        <v>1</v>
      </c>
      <c r="IQ52" s="11">
        <v>0.36</v>
      </c>
      <c r="IR52" s="9" t="s">
        <v>638</v>
      </c>
      <c r="IS52" s="9" t="s">
        <v>784</v>
      </c>
      <c r="IT52" s="9" t="s">
        <v>737</v>
      </c>
      <c r="IV52" s="9" t="s">
        <v>702</v>
      </c>
      <c r="IW52" s="9" t="s">
        <v>769</v>
      </c>
      <c r="IX52" s="9" t="s">
        <v>640</v>
      </c>
      <c r="IY52" s="9" t="s">
        <v>640</v>
      </c>
      <c r="IZ52" s="9" t="s">
        <v>640</v>
      </c>
      <c r="JA52" s="9" t="s">
        <v>873</v>
      </c>
      <c r="JB52" s="9" t="s">
        <v>642</v>
      </c>
    </row>
    <row r="53" spans="1:262" ht="140.25" x14ac:dyDescent="0.2">
      <c r="A53" s="8" t="s">
        <v>178</v>
      </c>
      <c r="B53" s="9" t="s">
        <v>28</v>
      </c>
      <c r="C53" s="9" t="s">
        <v>25</v>
      </c>
      <c r="D53" s="9" t="s">
        <v>25</v>
      </c>
      <c r="E53" s="9" t="s">
        <v>25</v>
      </c>
      <c r="F53" s="9" t="s">
        <v>25</v>
      </c>
      <c r="G53" s="9" t="s">
        <v>25</v>
      </c>
      <c r="H53" s="9" t="s">
        <v>25</v>
      </c>
      <c r="I53" s="9" t="s">
        <v>28</v>
      </c>
      <c r="J53" s="9" t="s">
        <v>28</v>
      </c>
      <c r="K53" s="9" t="s">
        <v>28</v>
      </c>
      <c r="L53" s="9" t="s">
        <v>28</v>
      </c>
      <c r="M53" s="9" t="s">
        <v>25</v>
      </c>
      <c r="N53" s="9" t="s">
        <v>25</v>
      </c>
      <c r="O53" s="9" t="s">
        <v>25</v>
      </c>
      <c r="P53" s="9" t="s">
        <v>28</v>
      </c>
      <c r="Q53" s="9" t="s">
        <v>25</v>
      </c>
      <c r="R53" s="9" t="s">
        <v>25</v>
      </c>
      <c r="S53" s="9" t="s">
        <v>966</v>
      </c>
      <c r="T53" s="9" t="s">
        <v>770</v>
      </c>
      <c r="U53" s="9" t="s">
        <v>28</v>
      </c>
      <c r="V53" s="39">
        <v>5000</v>
      </c>
      <c r="W53" s="9" t="s">
        <v>808</v>
      </c>
      <c r="Y53" s="39">
        <v>5000</v>
      </c>
      <c r="AB53" s="9" t="s">
        <v>673</v>
      </c>
      <c r="AD53" s="9" t="s">
        <v>13777</v>
      </c>
      <c r="AF53" s="9" t="s">
        <v>714</v>
      </c>
      <c r="AS53" s="9" t="s">
        <v>25</v>
      </c>
      <c r="BF53" s="9" t="s">
        <v>775</v>
      </c>
      <c r="BG53" s="9" t="s">
        <v>25</v>
      </c>
      <c r="BH53" s="9" t="s">
        <v>996</v>
      </c>
      <c r="BJ53" s="9" t="s">
        <v>603</v>
      </c>
      <c r="BL53" s="9" t="s">
        <v>604</v>
      </c>
      <c r="BM53" s="9" t="s">
        <v>604</v>
      </c>
      <c r="BN53" s="9" t="s">
        <v>604</v>
      </c>
      <c r="BO53" s="9" t="s">
        <v>605</v>
      </c>
      <c r="BP53" s="9" t="s">
        <v>604</v>
      </c>
      <c r="BQ53" s="9" t="s">
        <v>604</v>
      </c>
      <c r="BR53" s="9" t="s">
        <v>607</v>
      </c>
      <c r="BT53" s="9" t="s">
        <v>742</v>
      </c>
      <c r="BU53" s="9" t="s">
        <v>609</v>
      </c>
      <c r="ED53" s="9" t="s">
        <v>618</v>
      </c>
      <c r="EE53" s="9" t="s">
        <v>650</v>
      </c>
      <c r="EF53" s="9" t="s">
        <v>25</v>
      </c>
      <c r="EG53" s="9" t="s">
        <v>25</v>
      </c>
      <c r="EH53" s="9" t="s">
        <v>25</v>
      </c>
      <c r="EL53" s="9" t="s">
        <v>25</v>
      </c>
      <c r="EM53" s="9" t="s">
        <v>651</v>
      </c>
      <c r="EN53" s="9" t="s">
        <v>652</v>
      </c>
      <c r="EP53" s="9" t="s">
        <v>25</v>
      </c>
      <c r="EQ53" s="9" t="s">
        <v>653</v>
      </c>
      <c r="ER53" s="9" t="s">
        <v>25</v>
      </c>
      <c r="ES53" s="9" t="s">
        <v>981</v>
      </c>
      <c r="ET53" s="9" t="s">
        <v>28</v>
      </c>
      <c r="EU53" s="9" t="s">
        <v>750</v>
      </c>
      <c r="EV53" s="39">
        <v>5250</v>
      </c>
      <c r="EX53" s="39">
        <v>5250</v>
      </c>
      <c r="EZ53" s="9" t="s">
        <v>28</v>
      </c>
      <c r="FA53" s="9" t="s">
        <v>1250</v>
      </c>
      <c r="FB53" s="9" t="s">
        <v>28</v>
      </c>
      <c r="FF53" s="9" t="s">
        <v>13378</v>
      </c>
      <c r="FL53" s="9" t="s">
        <v>624</v>
      </c>
      <c r="FM53" s="9" t="s">
        <v>13386</v>
      </c>
      <c r="FO53" s="9" t="s">
        <v>657</v>
      </c>
      <c r="FU53" s="9" t="s">
        <v>657</v>
      </c>
      <c r="FV53" s="9" t="s">
        <v>1251</v>
      </c>
      <c r="FW53" s="39">
        <v>105</v>
      </c>
      <c r="FX53" s="9" t="s">
        <v>661</v>
      </c>
      <c r="FY53" s="9" t="s">
        <v>633</v>
      </c>
      <c r="FZ53" s="9" t="s">
        <v>28</v>
      </c>
      <c r="GA53" s="9" t="s">
        <v>28</v>
      </c>
      <c r="GB53" s="9" t="s">
        <v>663</v>
      </c>
      <c r="GL53" s="9" t="s">
        <v>631</v>
      </c>
      <c r="GM53" s="9" t="s">
        <v>629</v>
      </c>
      <c r="GN53" s="9" t="s">
        <v>630</v>
      </c>
      <c r="GO53" s="9" t="s">
        <v>631</v>
      </c>
      <c r="GP53" s="9" t="s">
        <v>631</v>
      </c>
      <c r="GQ53" s="9" t="s">
        <v>631</v>
      </c>
      <c r="GR53" s="9" t="s">
        <v>631</v>
      </c>
      <c r="GS53" s="9" t="s">
        <v>609</v>
      </c>
      <c r="GT53" s="9" t="s">
        <v>631</v>
      </c>
      <c r="GU53" s="9" t="s">
        <v>631</v>
      </c>
      <c r="GV53" s="9" t="s">
        <v>609</v>
      </c>
      <c r="GW53" s="9" t="s">
        <v>631</v>
      </c>
      <c r="GX53" s="9" t="s">
        <v>609</v>
      </c>
      <c r="GY53" s="9" t="s">
        <v>631</v>
      </c>
      <c r="GZ53" s="9" t="s">
        <v>629</v>
      </c>
      <c r="HA53" s="9" t="s">
        <v>631</v>
      </c>
      <c r="HB53" s="9" t="s">
        <v>631</v>
      </c>
      <c r="HC53" s="9" t="s">
        <v>631</v>
      </c>
      <c r="HD53" s="9" t="s">
        <v>629</v>
      </c>
      <c r="HE53" s="9" t="s">
        <v>630</v>
      </c>
      <c r="HF53" s="9" t="s">
        <v>630</v>
      </c>
      <c r="HG53" s="9" t="s">
        <v>631</v>
      </c>
      <c r="HH53" s="9" t="s">
        <v>609</v>
      </c>
      <c r="HP53" s="9" t="s">
        <v>28</v>
      </c>
      <c r="HQ53" s="9" t="s">
        <v>804</v>
      </c>
      <c r="HR53" s="9" t="s">
        <v>25</v>
      </c>
      <c r="HS53" s="9" t="s">
        <v>25</v>
      </c>
      <c r="HT53" s="9" t="s">
        <v>28</v>
      </c>
      <c r="HU53" s="9" t="s">
        <v>28</v>
      </c>
      <c r="HV53" s="9" t="s">
        <v>25</v>
      </c>
      <c r="HW53" s="9" t="s">
        <v>25</v>
      </c>
      <c r="HX53" s="9" t="s">
        <v>28</v>
      </c>
      <c r="HY53" s="9" t="s">
        <v>850</v>
      </c>
      <c r="HZ53" s="9" t="s">
        <v>635</v>
      </c>
      <c r="IA53" s="9" t="s">
        <v>25</v>
      </c>
      <c r="IB53" s="9" t="s">
        <v>636</v>
      </c>
      <c r="IC53" s="9" t="s">
        <v>13793</v>
      </c>
      <c r="ID53" s="9" t="s">
        <v>730</v>
      </c>
      <c r="IE53" s="11">
        <v>1</v>
      </c>
      <c r="IF53" s="11">
        <v>0.31</v>
      </c>
      <c r="IG53" s="9" t="s">
        <v>730</v>
      </c>
      <c r="IH53" s="11">
        <v>1</v>
      </c>
      <c r="II53" s="11">
        <v>7.0000000000000007E-2</v>
      </c>
      <c r="IJ53" s="9" t="s">
        <v>13406</v>
      </c>
      <c r="IK53" s="9" t="s">
        <v>805</v>
      </c>
      <c r="IM53" s="9" t="s">
        <v>805</v>
      </c>
      <c r="IO53" s="9" t="s">
        <v>730</v>
      </c>
      <c r="IP53" s="11">
        <v>1</v>
      </c>
      <c r="IQ53" s="11">
        <v>0.19</v>
      </c>
      <c r="IR53" s="9" t="s">
        <v>638</v>
      </c>
      <c r="IS53" s="9" t="s">
        <v>991</v>
      </c>
      <c r="IT53" s="9" t="s">
        <v>737</v>
      </c>
      <c r="IV53" s="49" t="s">
        <v>9340</v>
      </c>
      <c r="IW53" s="9" t="s">
        <v>703</v>
      </c>
      <c r="IX53" s="9" t="s">
        <v>640</v>
      </c>
      <c r="IY53" s="9" t="s">
        <v>640</v>
      </c>
      <c r="IZ53" s="9" t="s">
        <v>640</v>
      </c>
      <c r="JA53" s="9" t="s">
        <v>851</v>
      </c>
      <c r="JB53" s="9" t="s">
        <v>642</v>
      </c>
    </row>
    <row r="54" spans="1:262" ht="89.25" x14ac:dyDescent="0.2">
      <c r="A54" s="8" t="s">
        <v>151</v>
      </c>
      <c r="B54" s="9" t="s">
        <v>25</v>
      </c>
      <c r="S54" s="9" t="s">
        <v>13317</v>
      </c>
      <c r="T54" s="9" t="s">
        <v>770</v>
      </c>
      <c r="U54" s="9" t="s">
        <v>28</v>
      </c>
      <c r="V54" s="39">
        <v>75000</v>
      </c>
      <c r="W54" s="9" t="s">
        <v>808</v>
      </c>
      <c r="Z54" s="39">
        <v>75000</v>
      </c>
      <c r="AB54" s="9" t="s">
        <v>1053</v>
      </c>
      <c r="AC54" s="9" t="s">
        <v>1054</v>
      </c>
      <c r="AD54" s="9" t="s">
        <v>29</v>
      </c>
      <c r="AE54" s="9" t="s">
        <v>1055</v>
      </c>
      <c r="AF54" s="9" t="s">
        <v>786</v>
      </c>
      <c r="AH54" s="9" t="s">
        <v>1028</v>
      </c>
      <c r="AI54" s="9" t="s">
        <v>819</v>
      </c>
      <c r="AK54" s="9" t="s">
        <v>28</v>
      </c>
      <c r="AL54" s="9">
        <v>10</v>
      </c>
      <c r="AM54" s="9" t="s">
        <v>28</v>
      </c>
      <c r="AN54" s="39">
        <v>1250</v>
      </c>
      <c r="AO54" s="9" t="s">
        <v>790</v>
      </c>
      <c r="AP54" s="9">
        <v>10</v>
      </c>
      <c r="AQ54" s="9" t="s">
        <v>1056</v>
      </c>
      <c r="AS54" s="9" t="s">
        <v>864</v>
      </c>
      <c r="AT54" s="9" t="s">
        <v>25</v>
      </c>
      <c r="AU54" s="9" t="s">
        <v>739</v>
      </c>
      <c r="AV54" s="9" t="s">
        <v>739</v>
      </c>
      <c r="AW54" s="9" t="s">
        <v>740</v>
      </c>
      <c r="AX54" s="39">
        <v>75000</v>
      </c>
      <c r="AZ54" s="9" t="s">
        <v>679</v>
      </c>
      <c r="BA54" s="9" t="s">
        <v>604</v>
      </c>
      <c r="BB54" s="9" t="s">
        <v>604</v>
      </c>
      <c r="BC54" s="9" t="s">
        <v>679</v>
      </c>
      <c r="BD54" s="9" t="s">
        <v>679</v>
      </c>
      <c r="BE54" s="9" t="s">
        <v>604</v>
      </c>
      <c r="BF54" s="9" t="s">
        <v>864</v>
      </c>
      <c r="BG54" s="9" t="s">
        <v>25</v>
      </c>
      <c r="BI54" s="9" t="s">
        <v>739</v>
      </c>
      <c r="BJ54" s="9" t="s">
        <v>28</v>
      </c>
      <c r="BK54" s="39">
        <v>75000</v>
      </c>
      <c r="BL54" s="9" t="s">
        <v>679</v>
      </c>
      <c r="BM54" s="9" t="s">
        <v>604</v>
      </c>
      <c r="BN54" s="9" t="s">
        <v>604</v>
      </c>
      <c r="BO54" s="9" t="s">
        <v>679</v>
      </c>
      <c r="BP54" s="9" t="s">
        <v>679</v>
      </c>
      <c r="BQ54" s="9" t="s">
        <v>604</v>
      </c>
      <c r="BR54" s="9" t="s">
        <v>819</v>
      </c>
      <c r="BT54" s="9" t="s">
        <v>1057</v>
      </c>
      <c r="BX54" s="9" t="s">
        <v>28</v>
      </c>
      <c r="BY54" s="9" t="s">
        <v>808</v>
      </c>
      <c r="CB54" s="39">
        <v>75000</v>
      </c>
      <c r="CD54" s="9" t="s">
        <v>1053</v>
      </c>
      <c r="CE54" s="9" t="s">
        <v>1054</v>
      </c>
      <c r="CF54" s="9" t="s">
        <v>29</v>
      </c>
      <c r="CG54" s="9" t="s">
        <v>1055</v>
      </c>
      <c r="CH54" s="9" t="s">
        <v>684</v>
      </c>
      <c r="CJ54" s="9" t="s">
        <v>856</v>
      </c>
      <c r="CL54" s="9" t="s">
        <v>868</v>
      </c>
      <c r="DS54" s="9" t="s">
        <v>25</v>
      </c>
      <c r="DW54" s="9" t="s">
        <v>607</v>
      </c>
      <c r="DY54" s="9" t="s">
        <v>607</v>
      </c>
      <c r="EB54" s="9" t="s">
        <v>25</v>
      </c>
      <c r="ED54" s="9" t="s">
        <v>1058</v>
      </c>
      <c r="EE54" s="9" t="s">
        <v>650</v>
      </c>
      <c r="EF54" s="9" t="s">
        <v>25</v>
      </c>
      <c r="EG54" s="9" t="s">
        <v>25</v>
      </c>
      <c r="EH54" s="9" t="s">
        <v>25</v>
      </c>
      <c r="EL54" s="9" t="s">
        <v>25</v>
      </c>
      <c r="EM54" s="9" t="s">
        <v>651</v>
      </c>
      <c r="FF54" s="9" t="s">
        <v>13374</v>
      </c>
      <c r="FG54" s="9" t="s">
        <v>28</v>
      </c>
      <c r="FH54" s="9" t="s">
        <v>621</v>
      </c>
      <c r="FI54" s="42">
        <v>20000</v>
      </c>
      <c r="FJ54" s="9" t="s">
        <v>25</v>
      </c>
      <c r="FX54" s="9" t="s">
        <v>627</v>
      </c>
      <c r="FZ54" s="9" t="s">
        <v>28</v>
      </c>
      <c r="GA54" s="9" t="s">
        <v>28</v>
      </c>
      <c r="GB54" s="9" t="s">
        <v>663</v>
      </c>
      <c r="HO54" s="9" t="s">
        <v>13387</v>
      </c>
      <c r="HP54" s="9" t="s">
        <v>28</v>
      </c>
      <c r="HQ54" s="9" t="s">
        <v>971</v>
      </c>
      <c r="HR54" s="9" t="s">
        <v>25</v>
      </c>
      <c r="HS54" s="9" t="s">
        <v>25</v>
      </c>
      <c r="HT54" s="9" t="s">
        <v>25</v>
      </c>
      <c r="HU54" s="9" t="s">
        <v>25</v>
      </c>
      <c r="HV54" s="9" t="s">
        <v>25</v>
      </c>
      <c r="HW54" s="9" t="s">
        <v>25</v>
      </c>
      <c r="HX54" s="9" t="s">
        <v>28</v>
      </c>
      <c r="HY54" s="9" t="s">
        <v>850</v>
      </c>
      <c r="HZ54" s="9" t="s">
        <v>635</v>
      </c>
      <c r="IA54" s="9" t="s">
        <v>25</v>
      </c>
      <c r="IB54" s="9" t="s">
        <v>636</v>
      </c>
      <c r="IC54" s="9" t="s">
        <v>635</v>
      </c>
      <c r="IT54" s="9" t="s">
        <v>712</v>
      </c>
      <c r="IU54" s="9" t="s">
        <v>702</v>
      </c>
      <c r="IV54" s="9" t="s">
        <v>702</v>
      </c>
      <c r="IW54" s="9" t="s">
        <v>640</v>
      </c>
      <c r="IX54" s="9" t="s">
        <v>640</v>
      </c>
      <c r="IY54" s="9" t="s">
        <v>703</v>
      </c>
      <c r="IZ54" s="9" t="s">
        <v>703</v>
      </c>
      <c r="JA54" s="9" t="s">
        <v>704</v>
      </c>
      <c r="JB54" s="9" t="s">
        <v>642</v>
      </c>
    </row>
    <row r="55" spans="1:262" ht="63.75" x14ac:dyDescent="0.2">
      <c r="A55" s="8" t="s">
        <v>172</v>
      </c>
      <c r="B55" s="9" t="s">
        <v>28</v>
      </c>
      <c r="C55" s="9" t="s">
        <v>25</v>
      </c>
      <c r="D55" s="9" t="s">
        <v>25</v>
      </c>
      <c r="E55" s="9" t="s">
        <v>25</v>
      </c>
      <c r="F55" s="9" t="s">
        <v>25</v>
      </c>
      <c r="G55" s="9" t="s">
        <v>25</v>
      </c>
      <c r="H55" s="9" t="s">
        <v>25</v>
      </c>
      <c r="I55" s="9" t="s">
        <v>25</v>
      </c>
      <c r="J55" s="9" t="s">
        <v>25</v>
      </c>
      <c r="K55" s="9" t="s">
        <v>25</v>
      </c>
      <c r="L55" s="9" t="s">
        <v>25</v>
      </c>
      <c r="M55" s="9" t="s">
        <v>25</v>
      </c>
      <c r="N55" s="9" t="s">
        <v>25</v>
      </c>
      <c r="O55" s="9" t="s">
        <v>25</v>
      </c>
      <c r="P55" s="9" t="s">
        <v>25</v>
      </c>
      <c r="Q55" s="9" t="s">
        <v>25</v>
      </c>
      <c r="R55" s="9" t="s">
        <v>28</v>
      </c>
      <c r="S55" s="9" t="s">
        <v>635</v>
      </c>
      <c r="ED55" s="9" t="s">
        <v>1206</v>
      </c>
      <c r="FC55" s="39">
        <v>600</v>
      </c>
      <c r="FD55" s="9" t="s">
        <v>724</v>
      </c>
      <c r="FF55" s="9" t="s">
        <v>1207</v>
      </c>
      <c r="GL55" s="9" t="s">
        <v>629</v>
      </c>
      <c r="GM55" s="9" t="s">
        <v>629</v>
      </c>
      <c r="GO55" s="9" t="s">
        <v>629</v>
      </c>
      <c r="HI55" s="9" t="s">
        <v>256</v>
      </c>
      <c r="HJ55" s="9" t="s">
        <v>708</v>
      </c>
      <c r="HL55" s="9" t="s">
        <v>1208</v>
      </c>
      <c r="HO55" s="9" t="s">
        <v>13389</v>
      </c>
      <c r="HP55" s="9" t="s">
        <v>28</v>
      </c>
      <c r="IC55" s="9" t="s">
        <v>13793</v>
      </c>
      <c r="ID55" s="9" t="s">
        <v>730</v>
      </c>
      <c r="IE55" s="11">
        <v>1</v>
      </c>
      <c r="IF55" s="11">
        <v>0.4</v>
      </c>
      <c r="IG55" s="9" t="s">
        <v>827</v>
      </c>
      <c r="IH55" s="11">
        <v>1</v>
      </c>
      <c r="II55" s="11">
        <v>0.49</v>
      </c>
      <c r="IJ55" s="9" t="s">
        <v>1209</v>
      </c>
      <c r="IM55" s="9" t="s">
        <v>805</v>
      </c>
      <c r="IO55" s="9" t="s">
        <v>730</v>
      </c>
      <c r="IP55" s="11">
        <v>1</v>
      </c>
      <c r="IQ55" s="11">
        <v>0.24</v>
      </c>
      <c r="IR55" s="9" t="s">
        <v>838</v>
      </c>
      <c r="IS55" s="9" t="s">
        <v>784</v>
      </c>
      <c r="IT55" s="9" t="s">
        <v>737</v>
      </c>
      <c r="IV55" s="49" t="s">
        <v>9340</v>
      </c>
      <c r="IW55" s="9" t="s">
        <v>703</v>
      </c>
      <c r="IX55" s="9" t="s">
        <v>703</v>
      </c>
      <c r="IY55" s="9" t="s">
        <v>640</v>
      </c>
      <c r="IZ55" s="9" t="s">
        <v>640</v>
      </c>
      <c r="JA55" s="9" t="s">
        <v>882</v>
      </c>
      <c r="JB55" s="9" t="s">
        <v>705</v>
      </c>
    </row>
    <row r="56" spans="1:262" ht="89.25" x14ac:dyDescent="0.2">
      <c r="A56" s="8" t="s">
        <v>119</v>
      </c>
      <c r="B56" s="9" t="s">
        <v>25</v>
      </c>
      <c r="S56" s="9" t="s">
        <v>13316</v>
      </c>
      <c r="T56" s="9" t="s">
        <v>595</v>
      </c>
      <c r="U56" s="9" t="s">
        <v>28</v>
      </c>
      <c r="V56" s="39">
        <v>10000</v>
      </c>
      <c r="W56" s="9" t="s">
        <v>644</v>
      </c>
      <c r="Z56" s="39">
        <v>10000</v>
      </c>
      <c r="AB56" s="9" t="s">
        <v>673</v>
      </c>
      <c r="AD56" s="9" t="s">
        <v>674</v>
      </c>
      <c r="AF56" s="9" t="s">
        <v>675</v>
      </c>
      <c r="AG56" s="9" t="s">
        <v>676</v>
      </c>
      <c r="AH56" s="9" t="s">
        <v>599</v>
      </c>
      <c r="AI56" s="9" t="s">
        <v>607</v>
      </c>
      <c r="AK56" s="9" t="s">
        <v>28</v>
      </c>
      <c r="AL56" s="9">
        <v>20</v>
      </c>
      <c r="AM56" s="9" t="s">
        <v>28</v>
      </c>
      <c r="AN56" s="39">
        <v>100</v>
      </c>
      <c r="AO56" s="9" t="s">
        <v>677</v>
      </c>
      <c r="AP56" s="9">
        <v>20</v>
      </c>
      <c r="AS56" s="9" t="s">
        <v>601</v>
      </c>
      <c r="AT56" s="9" t="s">
        <v>25</v>
      </c>
      <c r="AU56" s="9" t="s">
        <v>602</v>
      </c>
      <c r="AV56" s="9" t="s">
        <v>602</v>
      </c>
      <c r="AW56" s="9" t="s">
        <v>678</v>
      </c>
      <c r="AY56" s="9">
        <v>2</v>
      </c>
      <c r="AZ56" s="9" t="s">
        <v>605</v>
      </c>
      <c r="BA56" s="9" t="s">
        <v>604</v>
      </c>
      <c r="BB56" s="9" t="s">
        <v>604</v>
      </c>
      <c r="BC56" s="9" t="s">
        <v>605</v>
      </c>
      <c r="BD56" s="9" t="s">
        <v>679</v>
      </c>
      <c r="BE56" s="9" t="s">
        <v>604</v>
      </c>
      <c r="BF56" s="9" t="s">
        <v>601</v>
      </c>
      <c r="BG56" s="9" t="s">
        <v>25</v>
      </c>
      <c r="BH56" s="9" t="s">
        <v>602</v>
      </c>
      <c r="BI56" s="9" t="s">
        <v>602</v>
      </c>
      <c r="BJ56" s="9" t="s">
        <v>28</v>
      </c>
      <c r="BL56" s="9" t="s">
        <v>605</v>
      </c>
      <c r="BM56" s="9" t="s">
        <v>604</v>
      </c>
      <c r="BN56" s="9" t="s">
        <v>604</v>
      </c>
      <c r="BO56" s="9" t="s">
        <v>605</v>
      </c>
      <c r="BP56" s="9" t="s">
        <v>679</v>
      </c>
      <c r="BQ56" s="9" t="s">
        <v>604</v>
      </c>
      <c r="BR56" s="9" t="s">
        <v>607</v>
      </c>
      <c r="BS56" s="9" t="s">
        <v>680</v>
      </c>
      <c r="BT56" s="9" t="s">
        <v>681</v>
      </c>
      <c r="BW56" s="9" t="s">
        <v>682</v>
      </c>
      <c r="BX56" s="9" t="s">
        <v>28</v>
      </c>
      <c r="BY56" s="9" t="s">
        <v>644</v>
      </c>
      <c r="CB56" s="39">
        <v>10000</v>
      </c>
      <c r="CD56" s="9" t="s">
        <v>673</v>
      </c>
      <c r="CF56" s="9" t="s">
        <v>683</v>
      </c>
      <c r="CH56" s="9" t="s">
        <v>684</v>
      </c>
      <c r="CI56" s="9" t="s">
        <v>13785</v>
      </c>
      <c r="CJ56" s="9" t="s">
        <v>685</v>
      </c>
      <c r="CK56" s="9" t="s">
        <v>13786</v>
      </c>
      <c r="CL56" s="9" t="s">
        <v>686</v>
      </c>
      <c r="CM56" s="9" t="s">
        <v>687</v>
      </c>
      <c r="CO56" s="9" t="s">
        <v>688</v>
      </c>
      <c r="CV56" s="9" t="s">
        <v>689</v>
      </c>
      <c r="CW56" s="9" t="s">
        <v>690</v>
      </c>
      <c r="CX56" s="9" t="s">
        <v>691</v>
      </c>
      <c r="CZ56" s="9" t="s">
        <v>629</v>
      </c>
      <c r="DS56" s="9" t="s">
        <v>692</v>
      </c>
      <c r="DU56" s="9" t="s">
        <v>693</v>
      </c>
      <c r="DW56" s="9" t="s">
        <v>607</v>
      </c>
      <c r="DY56" s="9" t="s">
        <v>607</v>
      </c>
      <c r="EB56" s="9" t="s">
        <v>28</v>
      </c>
      <c r="EC56" s="9" t="s">
        <v>694</v>
      </c>
      <c r="ED56" s="9" t="s">
        <v>695</v>
      </c>
      <c r="EE56" s="9" t="s">
        <v>650</v>
      </c>
      <c r="EF56" s="9" t="s">
        <v>25</v>
      </c>
      <c r="EG56" s="9" t="s">
        <v>25</v>
      </c>
      <c r="EH56" s="9" t="s">
        <v>25</v>
      </c>
      <c r="EL56" s="9" t="s">
        <v>25</v>
      </c>
      <c r="EM56" s="9" t="s">
        <v>651</v>
      </c>
      <c r="FC56" s="39">
        <v>600</v>
      </c>
      <c r="FD56" s="9" t="s">
        <v>13358</v>
      </c>
      <c r="FF56" s="9" t="s">
        <v>13365</v>
      </c>
      <c r="FG56" s="9" t="s">
        <v>28</v>
      </c>
      <c r="FH56" s="9" t="s">
        <v>697</v>
      </c>
      <c r="FI56" s="42">
        <v>1000</v>
      </c>
      <c r="FJ56" s="9" t="s">
        <v>28</v>
      </c>
      <c r="FK56" s="9">
        <v>6</v>
      </c>
      <c r="FL56" s="9" t="s">
        <v>624</v>
      </c>
      <c r="FM56" s="9" t="s">
        <v>698</v>
      </c>
      <c r="FN56" s="9" t="s">
        <v>657</v>
      </c>
      <c r="FO56" s="9" t="s">
        <v>657</v>
      </c>
      <c r="FP56" s="9" t="s">
        <v>657</v>
      </c>
      <c r="FS56" s="9" t="s">
        <v>657</v>
      </c>
      <c r="FU56" s="9" t="s">
        <v>657</v>
      </c>
      <c r="FV56" s="9" t="s">
        <v>699</v>
      </c>
      <c r="FW56" s="39">
        <v>100</v>
      </c>
      <c r="FX56" s="9" t="s">
        <v>627</v>
      </c>
      <c r="FZ56" s="9" t="s">
        <v>28</v>
      </c>
      <c r="GA56" s="9" t="s">
        <v>28</v>
      </c>
      <c r="GB56" s="9" t="s">
        <v>628</v>
      </c>
      <c r="GL56" s="9" t="s">
        <v>629</v>
      </c>
      <c r="GM56" s="9" t="s">
        <v>629</v>
      </c>
      <c r="GN56" s="9" t="s">
        <v>629</v>
      </c>
      <c r="GO56" s="9" t="s">
        <v>629</v>
      </c>
      <c r="GP56" s="9" t="s">
        <v>629</v>
      </c>
      <c r="HC56" s="9" t="s">
        <v>609</v>
      </c>
      <c r="HF56" s="9" t="s">
        <v>609</v>
      </c>
      <c r="HI56" s="9" t="s">
        <v>700</v>
      </c>
      <c r="HJ56" s="9" t="s">
        <v>701</v>
      </c>
      <c r="HL56" s="9" t="s">
        <v>994</v>
      </c>
      <c r="HO56" s="9" t="s">
        <v>633</v>
      </c>
      <c r="HP56" s="9" t="s">
        <v>25</v>
      </c>
      <c r="IC56" s="9" t="s">
        <v>635</v>
      </c>
      <c r="IT56" s="9" t="s">
        <v>13408</v>
      </c>
      <c r="IV56" s="9" t="s">
        <v>702</v>
      </c>
      <c r="IW56" s="9" t="s">
        <v>640</v>
      </c>
      <c r="IX56" s="9" t="s">
        <v>640</v>
      </c>
      <c r="IY56" s="9" t="s">
        <v>703</v>
      </c>
      <c r="IZ56" s="9" t="s">
        <v>703</v>
      </c>
      <c r="JA56" s="9" t="s">
        <v>704</v>
      </c>
      <c r="JB56" s="9" t="s">
        <v>705</v>
      </c>
    </row>
    <row r="57" spans="1:262" ht="102" x14ac:dyDescent="0.2">
      <c r="A57" s="8" t="s">
        <v>146</v>
      </c>
      <c r="B57" s="9" t="s">
        <v>25</v>
      </c>
      <c r="S57" s="9" t="s">
        <v>635</v>
      </c>
      <c r="ED57" s="9" t="s">
        <v>618</v>
      </c>
      <c r="EE57" s="9" t="s">
        <v>650</v>
      </c>
      <c r="EF57" s="9" t="s">
        <v>25</v>
      </c>
      <c r="EG57" s="9" t="s">
        <v>25</v>
      </c>
      <c r="EH57" s="9" t="s">
        <v>25</v>
      </c>
      <c r="EL57" s="9" t="s">
        <v>28</v>
      </c>
      <c r="EM57" s="9" t="s">
        <v>651</v>
      </c>
      <c r="EN57" s="9" t="s">
        <v>1006</v>
      </c>
      <c r="EO57" s="9" t="s">
        <v>1007</v>
      </c>
      <c r="EP57" s="9" t="s">
        <v>25</v>
      </c>
      <c r="ER57" s="9" t="s">
        <v>25</v>
      </c>
      <c r="ET57" s="9" t="s">
        <v>28</v>
      </c>
      <c r="EU57" s="9" t="s">
        <v>622</v>
      </c>
      <c r="EV57" s="39">
        <v>5000</v>
      </c>
      <c r="EW57" s="39">
        <v>5000</v>
      </c>
      <c r="EX57" s="39">
        <v>5000</v>
      </c>
      <c r="EY57" s="39">
        <v>5000</v>
      </c>
      <c r="EZ57" s="9" t="s">
        <v>28</v>
      </c>
      <c r="FA57" s="9" t="s">
        <v>1008</v>
      </c>
      <c r="FB57" s="9" t="s">
        <v>28</v>
      </c>
      <c r="FF57" s="9" t="s">
        <v>869</v>
      </c>
      <c r="FG57" s="9" t="s">
        <v>28</v>
      </c>
      <c r="FH57" s="9" t="s">
        <v>697</v>
      </c>
      <c r="FI57" s="42">
        <v>1000</v>
      </c>
      <c r="FJ57" s="9" t="s">
        <v>28</v>
      </c>
      <c r="FK57" s="9">
        <v>1</v>
      </c>
      <c r="FL57" s="9" t="s">
        <v>624</v>
      </c>
      <c r="FM57" s="9" t="s">
        <v>1009</v>
      </c>
      <c r="FO57" s="9" t="s">
        <v>659</v>
      </c>
      <c r="FP57" s="9" t="s">
        <v>659</v>
      </c>
      <c r="FS57" s="9" t="s">
        <v>658</v>
      </c>
      <c r="FT57" s="9" t="s">
        <v>659</v>
      </c>
      <c r="FU57" s="9" t="s">
        <v>659</v>
      </c>
      <c r="FV57" s="9" t="s">
        <v>13790</v>
      </c>
      <c r="FW57" s="39">
        <v>270</v>
      </c>
      <c r="FX57" s="9" t="s">
        <v>627</v>
      </c>
      <c r="FZ57" s="9" t="s">
        <v>28</v>
      </c>
      <c r="GA57" s="9" t="s">
        <v>28</v>
      </c>
      <c r="GB57" s="9" t="s">
        <v>628</v>
      </c>
      <c r="HO57" s="9" t="s">
        <v>872</v>
      </c>
      <c r="HP57" s="9" t="s">
        <v>28</v>
      </c>
      <c r="HQ57" s="9" t="s">
        <v>804</v>
      </c>
      <c r="HR57" s="9" t="s">
        <v>28</v>
      </c>
      <c r="HS57" s="9" t="s">
        <v>28</v>
      </c>
      <c r="HT57" s="9" t="s">
        <v>28</v>
      </c>
      <c r="HU57" s="9" t="s">
        <v>28</v>
      </c>
      <c r="HW57" s="9" t="s">
        <v>25</v>
      </c>
      <c r="HX57" s="9" t="s">
        <v>28</v>
      </c>
      <c r="HY57" s="9" t="s">
        <v>782</v>
      </c>
      <c r="HZ57" s="9" t="s">
        <v>635</v>
      </c>
      <c r="IA57" s="9" t="s">
        <v>25</v>
      </c>
      <c r="IB57" s="9" t="s">
        <v>636</v>
      </c>
      <c r="IC57" s="9" t="s">
        <v>13793</v>
      </c>
      <c r="ID57" s="9" t="s">
        <v>730</v>
      </c>
      <c r="IE57" s="11">
        <v>1</v>
      </c>
      <c r="IF57" s="11">
        <v>0.31</v>
      </c>
      <c r="IG57" s="9" t="s">
        <v>730</v>
      </c>
      <c r="IH57" s="11">
        <v>1</v>
      </c>
      <c r="II57" s="11">
        <v>0.18</v>
      </c>
      <c r="IJ57" s="9" t="s">
        <v>13401</v>
      </c>
      <c r="IK57" s="9" t="s">
        <v>805</v>
      </c>
      <c r="IL57" s="9" t="s">
        <v>805</v>
      </c>
      <c r="IM57" s="9" t="s">
        <v>731</v>
      </c>
      <c r="IN57" s="9" t="s">
        <v>731</v>
      </c>
      <c r="IO57" s="9" t="s">
        <v>730</v>
      </c>
      <c r="IP57" s="11">
        <v>1</v>
      </c>
      <c r="IQ57" s="11">
        <v>0.26</v>
      </c>
      <c r="IR57" s="9" t="s">
        <v>638</v>
      </c>
      <c r="IS57" s="9" t="s">
        <v>784</v>
      </c>
      <c r="IT57" s="9" t="s">
        <v>13410</v>
      </c>
      <c r="IV57" s="49" t="s">
        <v>9339</v>
      </c>
      <c r="IW57" s="9" t="s">
        <v>703</v>
      </c>
      <c r="IX57" s="9" t="s">
        <v>703</v>
      </c>
      <c r="IY57" s="9" t="s">
        <v>703</v>
      </c>
      <c r="IZ57" s="9" t="s">
        <v>703</v>
      </c>
      <c r="JA57" s="9" t="s">
        <v>1010</v>
      </c>
      <c r="JB57" s="9" t="s">
        <v>672</v>
      </c>
    </row>
    <row r="58" spans="1:262" ht="127.5" x14ac:dyDescent="0.2">
      <c r="A58" s="8" t="s">
        <v>149</v>
      </c>
      <c r="B58" s="9" t="s">
        <v>25</v>
      </c>
      <c r="S58" s="9" t="s">
        <v>13320</v>
      </c>
      <c r="T58" s="9" t="s">
        <v>770</v>
      </c>
      <c r="U58" s="9" t="s">
        <v>28</v>
      </c>
      <c r="V58" s="39">
        <v>10000</v>
      </c>
      <c r="W58" s="9" t="s">
        <v>29</v>
      </c>
      <c r="X58" s="9" t="s">
        <v>1026</v>
      </c>
      <c r="Y58" s="39">
        <v>10000</v>
      </c>
      <c r="Z58" s="39">
        <v>30000</v>
      </c>
      <c r="AB58" s="9" t="s">
        <v>673</v>
      </c>
      <c r="AD58" s="9" t="s">
        <v>29</v>
      </c>
      <c r="AE58" s="9" t="s">
        <v>1027</v>
      </c>
      <c r="AF58" s="9" t="s">
        <v>714</v>
      </c>
      <c r="AH58" s="9" t="s">
        <v>1028</v>
      </c>
      <c r="AI58" s="9" t="s">
        <v>28</v>
      </c>
      <c r="AJ58" s="39">
        <v>20000</v>
      </c>
      <c r="AK58" s="9" t="s">
        <v>28</v>
      </c>
      <c r="AL58" s="9">
        <v>19</v>
      </c>
      <c r="AM58" s="9" t="s">
        <v>28</v>
      </c>
      <c r="AN58" s="39">
        <v>5750</v>
      </c>
      <c r="AO58" s="9" t="s">
        <v>790</v>
      </c>
      <c r="AP58" s="9">
        <v>20</v>
      </c>
      <c r="AQ58" s="9" t="s">
        <v>1029</v>
      </c>
      <c r="AS58" s="9" t="s">
        <v>864</v>
      </c>
      <c r="AT58" s="9" t="s">
        <v>25</v>
      </c>
      <c r="AU58" s="9" t="s">
        <v>1030</v>
      </c>
      <c r="AV58" s="9" t="s">
        <v>1030</v>
      </c>
      <c r="AW58" s="9" t="s">
        <v>603</v>
      </c>
      <c r="AZ58" s="9" t="s">
        <v>741</v>
      </c>
      <c r="BA58" s="9" t="s">
        <v>604</v>
      </c>
      <c r="BB58" s="9" t="s">
        <v>604</v>
      </c>
      <c r="BC58" s="9" t="s">
        <v>741</v>
      </c>
      <c r="BD58" s="9" t="s">
        <v>741</v>
      </c>
      <c r="BE58" s="9" t="s">
        <v>604</v>
      </c>
      <c r="BF58" s="9" t="s">
        <v>864</v>
      </c>
      <c r="BG58" s="9" t="s">
        <v>25</v>
      </c>
      <c r="BI58" s="9" t="s">
        <v>1030</v>
      </c>
      <c r="BJ58" s="9" t="s">
        <v>603</v>
      </c>
      <c r="BL58" s="9" t="s">
        <v>741</v>
      </c>
      <c r="BM58" s="9" t="s">
        <v>604</v>
      </c>
      <c r="BN58" s="9" t="s">
        <v>604</v>
      </c>
      <c r="BO58" s="9" t="s">
        <v>741</v>
      </c>
      <c r="BP58" s="9" t="s">
        <v>741</v>
      </c>
      <c r="BQ58" s="9" t="s">
        <v>604</v>
      </c>
      <c r="BR58" s="9" t="s">
        <v>607</v>
      </c>
      <c r="BS58" s="9" t="s">
        <v>1031</v>
      </c>
      <c r="BW58" s="9" t="s">
        <v>1032</v>
      </c>
      <c r="BX58" s="9" t="s">
        <v>28</v>
      </c>
      <c r="BY58" s="9" t="s">
        <v>808</v>
      </c>
      <c r="CB58" s="39">
        <v>30000</v>
      </c>
      <c r="CD58" s="9" t="s">
        <v>673</v>
      </c>
      <c r="CF58" s="9" t="s">
        <v>29</v>
      </c>
      <c r="CG58" s="9" t="s">
        <v>1033</v>
      </c>
      <c r="CH58" s="9" t="s">
        <v>777</v>
      </c>
      <c r="CJ58" s="9" t="s">
        <v>1034</v>
      </c>
      <c r="CK58" s="9" t="s">
        <v>1035</v>
      </c>
      <c r="CL58" s="9" t="s">
        <v>686</v>
      </c>
      <c r="CM58" s="9" t="s">
        <v>13354</v>
      </c>
      <c r="CN58" s="9" t="s">
        <v>1036</v>
      </c>
      <c r="CO58" s="9" t="s">
        <v>1037</v>
      </c>
      <c r="CT58" s="9" t="s">
        <v>1038</v>
      </c>
      <c r="CW58" s="9" t="s">
        <v>1039</v>
      </c>
      <c r="CX58" s="9" t="s">
        <v>744</v>
      </c>
      <c r="CZ58" s="9" t="s">
        <v>629</v>
      </c>
      <c r="DA58" s="9" t="s">
        <v>1040</v>
      </c>
      <c r="DC58" s="9" t="s">
        <v>1039</v>
      </c>
      <c r="DE58" s="9" t="s">
        <v>28</v>
      </c>
      <c r="DK58" s="9" t="s">
        <v>28</v>
      </c>
      <c r="DL58" s="9" t="s">
        <v>746</v>
      </c>
      <c r="DM58" s="9" t="s">
        <v>25</v>
      </c>
      <c r="DQ58" s="9" t="s">
        <v>747</v>
      </c>
      <c r="DS58" s="9" t="s">
        <v>692</v>
      </c>
      <c r="DU58" s="9" t="s">
        <v>693</v>
      </c>
      <c r="DW58" s="9" t="s">
        <v>616</v>
      </c>
      <c r="DY58" s="9" t="s">
        <v>607</v>
      </c>
      <c r="EA58" s="9" t="s">
        <v>1041</v>
      </c>
      <c r="EB58" s="9" t="s">
        <v>25</v>
      </c>
      <c r="ED58" s="9" t="s">
        <v>618</v>
      </c>
      <c r="EE58" s="9" t="s">
        <v>650</v>
      </c>
      <c r="EF58" s="9" t="s">
        <v>25</v>
      </c>
      <c r="EG58" s="9" t="s">
        <v>25</v>
      </c>
      <c r="EH58" s="9" t="s">
        <v>25</v>
      </c>
      <c r="EL58" s="9" t="s">
        <v>25</v>
      </c>
      <c r="EM58" s="9" t="s">
        <v>651</v>
      </c>
      <c r="EN58" s="9" t="s">
        <v>1042</v>
      </c>
      <c r="EP58" s="9" t="s">
        <v>28</v>
      </c>
      <c r="EQ58" s="9" t="s">
        <v>653</v>
      </c>
      <c r="ER58" s="9" t="s">
        <v>25</v>
      </c>
      <c r="ET58" s="9" t="s">
        <v>28</v>
      </c>
      <c r="EU58" s="9" t="s">
        <v>1043</v>
      </c>
      <c r="EV58" s="39">
        <v>5250</v>
      </c>
      <c r="EX58" s="39">
        <v>10000</v>
      </c>
      <c r="EZ58" s="9" t="s">
        <v>607</v>
      </c>
      <c r="FB58" s="9" t="s">
        <v>25</v>
      </c>
      <c r="FF58" s="9" t="s">
        <v>13363</v>
      </c>
      <c r="FG58" s="9" t="s">
        <v>28</v>
      </c>
      <c r="FH58" s="9" t="s">
        <v>697</v>
      </c>
      <c r="FI58" s="42">
        <v>15000</v>
      </c>
      <c r="FJ58" s="9" t="s">
        <v>28</v>
      </c>
      <c r="FK58" s="9">
        <v>0</v>
      </c>
      <c r="FL58" s="9" t="s">
        <v>656</v>
      </c>
      <c r="FM58" s="9" t="s">
        <v>13382</v>
      </c>
      <c r="FN58" s="9" t="s">
        <v>659</v>
      </c>
      <c r="FO58" s="9" t="s">
        <v>657</v>
      </c>
      <c r="FQ58" s="9" t="s">
        <v>658</v>
      </c>
      <c r="FR58" s="9" t="s">
        <v>658</v>
      </c>
      <c r="FS58" s="9" t="s">
        <v>657</v>
      </c>
      <c r="FT58" s="9" t="s">
        <v>658</v>
      </c>
      <c r="FU58" s="9" t="s">
        <v>658</v>
      </c>
      <c r="FV58" s="9" t="s">
        <v>1044</v>
      </c>
      <c r="FW58" s="39">
        <v>100</v>
      </c>
      <c r="FX58" s="9" t="s">
        <v>627</v>
      </c>
      <c r="FZ58" s="9" t="s">
        <v>25</v>
      </c>
      <c r="GB58" s="9" t="s">
        <v>663</v>
      </c>
      <c r="GC58" s="9" t="s">
        <v>28</v>
      </c>
      <c r="GD58" s="9" t="s">
        <v>28</v>
      </c>
      <c r="GE58" s="9" t="s">
        <v>28</v>
      </c>
      <c r="GF58" s="9" t="s">
        <v>28</v>
      </c>
      <c r="GG58" s="9" t="s">
        <v>28</v>
      </c>
      <c r="GH58" s="9" t="s">
        <v>28</v>
      </c>
      <c r="GI58" s="9" t="s">
        <v>28</v>
      </c>
      <c r="GJ58" s="9" t="s">
        <v>28</v>
      </c>
      <c r="GK58" s="9" t="s">
        <v>25</v>
      </c>
      <c r="GL58" s="9" t="s">
        <v>629</v>
      </c>
      <c r="GM58" s="9" t="s">
        <v>630</v>
      </c>
      <c r="GN58" s="9" t="s">
        <v>630</v>
      </c>
      <c r="GO58" s="9" t="s">
        <v>630</v>
      </c>
      <c r="GP58" s="9" t="s">
        <v>630</v>
      </c>
      <c r="GQ58" s="9" t="s">
        <v>630</v>
      </c>
      <c r="GR58" s="9" t="s">
        <v>631</v>
      </c>
      <c r="GS58" s="9" t="s">
        <v>609</v>
      </c>
      <c r="GT58" s="9" t="s">
        <v>631</v>
      </c>
      <c r="GU58" s="9" t="s">
        <v>630</v>
      </c>
      <c r="GV58" s="9" t="s">
        <v>631</v>
      </c>
      <c r="GW58" s="9" t="s">
        <v>609</v>
      </c>
      <c r="GX58" s="9" t="s">
        <v>609</v>
      </c>
      <c r="GY58" s="9" t="s">
        <v>609</v>
      </c>
      <c r="GZ58" s="9" t="s">
        <v>630</v>
      </c>
      <c r="HA58" s="9" t="s">
        <v>609</v>
      </c>
      <c r="HB58" s="9" t="s">
        <v>609</v>
      </c>
      <c r="HC58" s="9" t="s">
        <v>609</v>
      </c>
      <c r="HD58" s="9" t="s">
        <v>629</v>
      </c>
      <c r="HE58" s="9" t="s">
        <v>629</v>
      </c>
      <c r="HF58" s="9" t="s">
        <v>630</v>
      </c>
      <c r="HG58" s="9" t="s">
        <v>609</v>
      </c>
      <c r="HH58" s="9" t="s">
        <v>609</v>
      </c>
      <c r="HI58" s="9" t="s">
        <v>632</v>
      </c>
      <c r="HJ58" s="9" t="s">
        <v>1045</v>
      </c>
      <c r="HK58" s="9" t="s">
        <v>1046</v>
      </c>
      <c r="HM58" s="9" t="s">
        <v>1047</v>
      </c>
      <c r="HN58" s="9" t="s">
        <v>1048</v>
      </c>
      <c r="HO58" s="9" t="s">
        <v>13387</v>
      </c>
      <c r="HP58" s="9" t="s">
        <v>28</v>
      </c>
      <c r="HQ58" s="9" t="s">
        <v>668</v>
      </c>
      <c r="HR58" s="9" t="s">
        <v>28</v>
      </c>
      <c r="HS58" s="9" t="s">
        <v>28</v>
      </c>
      <c r="HU58" s="9" t="s">
        <v>28</v>
      </c>
      <c r="HV58" s="9" t="s">
        <v>28</v>
      </c>
      <c r="HW58" s="9" t="s">
        <v>25</v>
      </c>
      <c r="HX58" s="9" t="s">
        <v>28</v>
      </c>
      <c r="HY58" s="9" t="s">
        <v>850</v>
      </c>
      <c r="HZ58" s="9" t="s">
        <v>635</v>
      </c>
      <c r="IA58" s="9" t="s">
        <v>25</v>
      </c>
      <c r="IB58" s="9" t="s">
        <v>636</v>
      </c>
      <c r="IC58" s="9" t="s">
        <v>826</v>
      </c>
      <c r="IG58" s="9" t="s">
        <v>827</v>
      </c>
      <c r="IH58" s="11">
        <v>1</v>
      </c>
      <c r="II58" s="11">
        <v>0.06</v>
      </c>
      <c r="IJ58" s="9" t="s">
        <v>13403</v>
      </c>
      <c r="IK58" s="9" t="s">
        <v>805</v>
      </c>
      <c r="IL58" s="9" t="s">
        <v>731</v>
      </c>
      <c r="IM58" s="9" t="s">
        <v>731</v>
      </c>
      <c r="IN58" s="9" t="s">
        <v>731</v>
      </c>
      <c r="IR58" s="9" t="s">
        <v>838</v>
      </c>
      <c r="IS58" s="9" t="s">
        <v>784</v>
      </c>
      <c r="IT58" s="9" t="s">
        <v>733</v>
      </c>
      <c r="IU58" s="9" t="s">
        <v>702</v>
      </c>
      <c r="IV58" s="9" t="s">
        <v>702</v>
      </c>
      <c r="IW58" s="9" t="s">
        <v>640</v>
      </c>
      <c r="IX58" s="9" t="s">
        <v>640</v>
      </c>
      <c r="IY58" s="9" t="s">
        <v>769</v>
      </c>
      <c r="IZ58" s="9" t="s">
        <v>769</v>
      </c>
      <c r="JA58" s="9" t="s">
        <v>1010</v>
      </c>
      <c r="JB58" s="9" t="s">
        <v>642</v>
      </c>
    </row>
    <row r="59" spans="1:262" ht="89.25" x14ac:dyDescent="0.2">
      <c r="A59" s="8" t="s">
        <v>145</v>
      </c>
      <c r="B59" s="9" t="s">
        <v>25</v>
      </c>
      <c r="S59" s="9" t="s">
        <v>13331</v>
      </c>
      <c r="T59" s="9" t="s">
        <v>770</v>
      </c>
      <c r="U59" s="9" t="s">
        <v>28</v>
      </c>
      <c r="V59" s="39">
        <v>10000</v>
      </c>
      <c r="W59" s="9" t="s">
        <v>644</v>
      </c>
      <c r="Y59" s="39">
        <v>10000</v>
      </c>
      <c r="AB59" s="9" t="s">
        <v>645</v>
      </c>
      <c r="AD59" s="9" t="s">
        <v>646</v>
      </c>
      <c r="AF59" s="9" t="s">
        <v>714</v>
      </c>
      <c r="AH59" s="9" t="s">
        <v>599</v>
      </c>
      <c r="AI59" s="9" t="s">
        <v>28</v>
      </c>
      <c r="AJ59" s="39">
        <v>2000</v>
      </c>
      <c r="AK59" s="9" t="s">
        <v>28</v>
      </c>
      <c r="AL59" s="9">
        <v>10</v>
      </c>
      <c r="AM59" s="9" t="s">
        <v>28</v>
      </c>
      <c r="AN59" s="39">
        <v>2000</v>
      </c>
      <c r="AO59" s="9" t="s">
        <v>14626</v>
      </c>
      <c r="AP59" s="9" t="s">
        <v>994</v>
      </c>
      <c r="AQ59" s="9" t="s">
        <v>995</v>
      </c>
      <c r="AS59" s="9" t="s">
        <v>601</v>
      </c>
      <c r="AT59" s="9" t="s">
        <v>25</v>
      </c>
      <c r="AU59" s="9" t="s">
        <v>996</v>
      </c>
      <c r="AV59" s="9" t="s">
        <v>996</v>
      </c>
      <c r="AW59" s="9" t="s">
        <v>603</v>
      </c>
      <c r="AZ59" s="9" t="s">
        <v>741</v>
      </c>
      <c r="BA59" s="9" t="s">
        <v>604</v>
      </c>
      <c r="BB59" s="9" t="s">
        <v>604</v>
      </c>
      <c r="BC59" s="9" t="s">
        <v>604</v>
      </c>
      <c r="BD59" s="9" t="s">
        <v>741</v>
      </c>
      <c r="BE59" s="9" t="s">
        <v>741</v>
      </c>
      <c r="BF59" s="9" t="s">
        <v>601</v>
      </c>
      <c r="BG59" s="9" t="s">
        <v>25</v>
      </c>
      <c r="BH59" s="9" t="s">
        <v>996</v>
      </c>
      <c r="BI59" s="9" t="s">
        <v>996</v>
      </c>
      <c r="BJ59" s="9" t="s">
        <v>603</v>
      </c>
      <c r="BL59" s="9" t="s">
        <v>741</v>
      </c>
      <c r="BM59" s="9" t="s">
        <v>604</v>
      </c>
      <c r="BN59" s="9" t="s">
        <v>604</v>
      </c>
      <c r="BO59" s="9" t="s">
        <v>604</v>
      </c>
      <c r="BP59" s="9" t="s">
        <v>741</v>
      </c>
      <c r="BQ59" s="9" t="s">
        <v>741</v>
      </c>
      <c r="BR59" s="9" t="s">
        <v>607</v>
      </c>
      <c r="BS59" s="9" t="s">
        <v>997</v>
      </c>
      <c r="BT59" s="9" t="s">
        <v>998</v>
      </c>
      <c r="BU59" s="9" t="s">
        <v>609</v>
      </c>
      <c r="BW59" s="9" t="s">
        <v>999</v>
      </c>
      <c r="BX59" s="9" t="s">
        <v>28</v>
      </c>
      <c r="BY59" s="9" t="s">
        <v>644</v>
      </c>
      <c r="CB59" s="39">
        <v>20000</v>
      </c>
      <c r="CD59" s="9" t="s">
        <v>645</v>
      </c>
      <c r="CF59" s="9" t="s">
        <v>646</v>
      </c>
      <c r="CH59" s="9" t="s">
        <v>777</v>
      </c>
      <c r="CJ59" s="9" t="s">
        <v>856</v>
      </c>
      <c r="CL59" s="9" t="s">
        <v>611</v>
      </c>
      <c r="CM59" s="9" t="s">
        <v>914</v>
      </c>
      <c r="CN59" s="9" t="s">
        <v>1000</v>
      </c>
      <c r="CO59" s="9" t="s">
        <v>890</v>
      </c>
      <c r="CP59" s="9" t="s">
        <v>891</v>
      </c>
      <c r="CS59" s="28">
        <v>10000</v>
      </c>
      <c r="DS59" s="9" t="s">
        <v>692</v>
      </c>
      <c r="DU59" s="9" t="s">
        <v>758</v>
      </c>
      <c r="DW59" s="9" t="s">
        <v>616</v>
      </c>
      <c r="DY59" s="9" t="s">
        <v>607</v>
      </c>
      <c r="EB59" s="9" t="s">
        <v>25</v>
      </c>
      <c r="ED59" s="9" t="s">
        <v>649</v>
      </c>
      <c r="EE59" s="9" t="s">
        <v>619</v>
      </c>
      <c r="EF59" s="9" t="s">
        <v>25</v>
      </c>
      <c r="EH59" s="9" t="s">
        <v>25</v>
      </c>
      <c r="EL59" s="9" t="s">
        <v>28</v>
      </c>
      <c r="EM59" s="9" t="s">
        <v>25</v>
      </c>
      <c r="EN59" s="9" t="s">
        <v>761</v>
      </c>
      <c r="EP59" s="9" t="s">
        <v>28</v>
      </c>
      <c r="EQ59" s="9" t="s">
        <v>653</v>
      </c>
      <c r="ER59" s="9" t="s">
        <v>25</v>
      </c>
      <c r="ET59" s="9" t="s">
        <v>28</v>
      </c>
      <c r="EU59" s="9" t="s">
        <v>622</v>
      </c>
      <c r="EV59" s="39">
        <v>5250</v>
      </c>
      <c r="EW59" s="39">
        <v>5250</v>
      </c>
      <c r="EX59" s="39">
        <v>5250</v>
      </c>
      <c r="EY59" s="39">
        <v>5250</v>
      </c>
      <c r="EZ59" s="9" t="s">
        <v>28</v>
      </c>
      <c r="FA59" s="9" t="s">
        <v>1001</v>
      </c>
      <c r="FB59" s="9" t="s">
        <v>28</v>
      </c>
      <c r="FD59" s="9" t="s">
        <v>13357</v>
      </c>
      <c r="FF59" s="9" t="s">
        <v>13372</v>
      </c>
      <c r="FG59" s="9" t="s">
        <v>28</v>
      </c>
      <c r="FH59" s="9" t="s">
        <v>653</v>
      </c>
      <c r="FI59" s="42">
        <v>15000</v>
      </c>
      <c r="FJ59" s="9" t="s">
        <v>28</v>
      </c>
      <c r="FK59" s="9" t="s">
        <v>813</v>
      </c>
      <c r="FL59" s="9" t="s">
        <v>624</v>
      </c>
      <c r="FM59" s="9" t="s">
        <v>1002</v>
      </c>
      <c r="FO59" s="9" t="s">
        <v>657</v>
      </c>
      <c r="FP59" s="9" t="s">
        <v>658</v>
      </c>
      <c r="FQ59" s="9" t="s">
        <v>658</v>
      </c>
      <c r="FR59" s="9" t="s">
        <v>658</v>
      </c>
      <c r="FS59" s="9" t="s">
        <v>658</v>
      </c>
      <c r="FT59" s="9" t="s">
        <v>658</v>
      </c>
      <c r="FU59" s="9" t="s">
        <v>657</v>
      </c>
      <c r="FV59" s="9" t="s">
        <v>1003</v>
      </c>
      <c r="FW59" s="39">
        <v>150</v>
      </c>
      <c r="FX59" s="9" t="s">
        <v>627</v>
      </c>
      <c r="FY59" s="9" t="s">
        <v>662</v>
      </c>
      <c r="FZ59" s="9" t="s">
        <v>28</v>
      </c>
      <c r="GA59" s="9" t="s">
        <v>28</v>
      </c>
      <c r="GB59" s="9" t="s">
        <v>628</v>
      </c>
      <c r="GC59" s="9" t="s">
        <v>28</v>
      </c>
      <c r="GD59" s="9" t="s">
        <v>28</v>
      </c>
      <c r="GE59" s="9" t="s">
        <v>28</v>
      </c>
      <c r="GF59" s="9" t="s">
        <v>28</v>
      </c>
      <c r="GG59" s="9" t="s">
        <v>28</v>
      </c>
      <c r="GH59" s="9" t="s">
        <v>28</v>
      </c>
      <c r="GI59" s="9" t="s">
        <v>28</v>
      </c>
      <c r="GJ59" s="9" t="s">
        <v>28</v>
      </c>
      <c r="GK59" s="9" t="s">
        <v>25</v>
      </c>
      <c r="GL59" s="9" t="s">
        <v>629</v>
      </c>
      <c r="GM59" s="9" t="s">
        <v>629</v>
      </c>
      <c r="GN59" s="9" t="s">
        <v>629</v>
      </c>
      <c r="GO59" s="9" t="s">
        <v>629</v>
      </c>
      <c r="GP59" s="9" t="s">
        <v>629</v>
      </c>
      <c r="GQ59" s="9" t="s">
        <v>631</v>
      </c>
      <c r="GR59" s="9" t="s">
        <v>631</v>
      </c>
      <c r="GS59" s="9" t="s">
        <v>609</v>
      </c>
      <c r="GT59" s="9" t="s">
        <v>609</v>
      </c>
      <c r="GU59" s="9" t="s">
        <v>609</v>
      </c>
      <c r="GV59" s="9" t="s">
        <v>609</v>
      </c>
      <c r="GW59" s="9" t="s">
        <v>631</v>
      </c>
      <c r="GX59" s="9" t="s">
        <v>631</v>
      </c>
      <c r="GY59" s="9" t="s">
        <v>630</v>
      </c>
      <c r="GZ59" s="9" t="s">
        <v>609</v>
      </c>
      <c r="HA59" s="9" t="s">
        <v>631</v>
      </c>
      <c r="HB59" s="9" t="s">
        <v>609</v>
      </c>
      <c r="HC59" s="9" t="s">
        <v>631</v>
      </c>
      <c r="HD59" s="9" t="s">
        <v>631</v>
      </c>
      <c r="HE59" s="9" t="s">
        <v>609</v>
      </c>
      <c r="HF59" s="9" t="s">
        <v>631</v>
      </c>
      <c r="HG59" s="9" t="s">
        <v>631</v>
      </c>
      <c r="HH59" s="9" t="s">
        <v>609</v>
      </c>
      <c r="HO59" s="9" t="s">
        <v>1004</v>
      </c>
      <c r="HP59" s="9" t="s">
        <v>28</v>
      </c>
      <c r="HQ59" s="9" t="s">
        <v>804</v>
      </c>
      <c r="HR59" s="9" t="s">
        <v>28</v>
      </c>
      <c r="HS59" s="9" t="s">
        <v>28</v>
      </c>
      <c r="HT59" s="9" t="s">
        <v>25</v>
      </c>
      <c r="HU59" s="9" t="s">
        <v>25</v>
      </c>
      <c r="HV59" s="9" t="s">
        <v>28</v>
      </c>
      <c r="HW59" s="9" t="s">
        <v>25</v>
      </c>
      <c r="HX59" s="9" t="s">
        <v>25</v>
      </c>
      <c r="HZ59" s="9" t="s">
        <v>635</v>
      </c>
      <c r="IA59" s="9" t="s">
        <v>25</v>
      </c>
      <c r="IB59" s="9" t="s">
        <v>636</v>
      </c>
      <c r="IC59" s="9" t="s">
        <v>637</v>
      </c>
      <c r="IR59" s="9" t="s">
        <v>638</v>
      </c>
      <c r="IS59" s="9" t="s">
        <v>784</v>
      </c>
      <c r="IT59" s="9" t="s">
        <v>754</v>
      </c>
      <c r="IU59" s="9" t="s">
        <v>702</v>
      </c>
      <c r="IV59" s="9" t="s">
        <v>702</v>
      </c>
      <c r="IW59" s="9" t="s">
        <v>640</v>
      </c>
      <c r="IX59" s="9" t="s">
        <v>640</v>
      </c>
      <c r="IY59" s="9" t="s">
        <v>703</v>
      </c>
      <c r="IZ59" s="9" t="s">
        <v>703</v>
      </c>
      <c r="JA59" s="9" t="s">
        <v>1005</v>
      </c>
      <c r="JB59" s="9" t="s">
        <v>642</v>
      </c>
    </row>
    <row r="60" spans="1:262" ht="89.25" x14ac:dyDescent="0.2">
      <c r="A60" s="8" t="s">
        <v>141</v>
      </c>
      <c r="B60" s="9" t="s">
        <v>28</v>
      </c>
      <c r="C60" s="9" t="s">
        <v>25</v>
      </c>
      <c r="D60" s="9" t="s">
        <v>25</v>
      </c>
      <c r="E60" s="9" t="s">
        <v>28</v>
      </c>
      <c r="F60" s="9" t="s">
        <v>28</v>
      </c>
      <c r="G60" s="9" t="s">
        <v>25</v>
      </c>
      <c r="H60" s="9" t="s">
        <v>25</v>
      </c>
      <c r="I60" s="9" t="s">
        <v>25</v>
      </c>
      <c r="J60" s="9" t="s">
        <v>28</v>
      </c>
      <c r="K60" s="9" t="s">
        <v>32</v>
      </c>
      <c r="L60" s="9" t="s">
        <v>25</v>
      </c>
      <c r="M60" s="9" t="s">
        <v>25</v>
      </c>
      <c r="N60" s="9" t="s">
        <v>25</v>
      </c>
      <c r="O60" s="9" t="s">
        <v>25</v>
      </c>
      <c r="P60" s="9" t="s">
        <v>25</v>
      </c>
      <c r="Q60" s="9" t="s">
        <v>25</v>
      </c>
      <c r="R60" s="9" t="s">
        <v>25</v>
      </c>
      <c r="S60" s="9" t="s">
        <v>966</v>
      </c>
      <c r="T60" s="9" t="s">
        <v>595</v>
      </c>
      <c r="U60" s="9" t="s">
        <v>28</v>
      </c>
      <c r="V60" s="39">
        <v>2500</v>
      </c>
      <c r="W60" s="9" t="s">
        <v>644</v>
      </c>
      <c r="Y60" s="39">
        <v>2500</v>
      </c>
      <c r="AB60" s="9" t="s">
        <v>645</v>
      </c>
      <c r="AD60" s="9" t="s">
        <v>646</v>
      </c>
      <c r="AF60" s="9" t="s">
        <v>967</v>
      </c>
      <c r="AS60" s="9" t="s">
        <v>775</v>
      </c>
      <c r="AT60" s="9" t="s">
        <v>25</v>
      </c>
      <c r="AU60" s="9" t="s">
        <v>602</v>
      </c>
      <c r="AW60" s="9" t="s">
        <v>603</v>
      </c>
      <c r="AZ60" s="9" t="s">
        <v>604</v>
      </c>
      <c r="BA60" s="9" t="s">
        <v>604</v>
      </c>
      <c r="BB60" s="9" t="s">
        <v>604</v>
      </c>
      <c r="BC60" s="9" t="s">
        <v>741</v>
      </c>
      <c r="BD60" s="9" t="s">
        <v>679</v>
      </c>
      <c r="BE60" s="9" t="s">
        <v>604</v>
      </c>
      <c r="BF60" s="9" t="s">
        <v>775</v>
      </c>
      <c r="BG60" s="9" t="s">
        <v>25</v>
      </c>
      <c r="BH60" s="9" t="s">
        <v>602</v>
      </c>
      <c r="BJ60" s="9" t="s">
        <v>603</v>
      </c>
      <c r="BL60" s="9" t="s">
        <v>604</v>
      </c>
      <c r="BM60" s="9" t="s">
        <v>604</v>
      </c>
      <c r="BN60" s="9" t="s">
        <v>604</v>
      </c>
      <c r="BO60" s="9" t="s">
        <v>741</v>
      </c>
      <c r="BP60" s="9" t="s">
        <v>606</v>
      </c>
      <c r="BQ60" s="9" t="s">
        <v>604</v>
      </c>
      <c r="BR60" s="9" t="s">
        <v>607</v>
      </c>
      <c r="BT60" s="9" t="s">
        <v>866</v>
      </c>
      <c r="ED60" s="9" t="s">
        <v>649</v>
      </c>
      <c r="EE60" s="9" t="s">
        <v>650</v>
      </c>
      <c r="EF60" s="9" t="s">
        <v>25</v>
      </c>
      <c r="EG60" s="9" t="s">
        <v>25</v>
      </c>
      <c r="EH60" s="9" t="s">
        <v>25</v>
      </c>
      <c r="EL60" s="9" t="s">
        <v>25</v>
      </c>
      <c r="EM60" s="9" t="s">
        <v>25</v>
      </c>
      <c r="EN60" s="9" t="s">
        <v>920</v>
      </c>
      <c r="EP60" s="9" t="s">
        <v>28</v>
      </c>
      <c r="EQ60" s="9" t="s">
        <v>653</v>
      </c>
      <c r="ER60" s="9" t="s">
        <v>25</v>
      </c>
      <c r="ET60" s="9" t="s">
        <v>25</v>
      </c>
      <c r="EZ60" s="9" t="s">
        <v>28</v>
      </c>
      <c r="FA60" s="9" t="s">
        <v>968</v>
      </c>
      <c r="FB60" s="9" t="s">
        <v>28</v>
      </c>
      <c r="FC60" s="39">
        <v>600</v>
      </c>
      <c r="FD60" s="9" t="s">
        <v>724</v>
      </c>
      <c r="FF60" s="9" t="s">
        <v>869</v>
      </c>
      <c r="FG60" s="9" t="s">
        <v>28</v>
      </c>
      <c r="FH60" s="9" t="s">
        <v>653</v>
      </c>
      <c r="FJ60" s="9" t="s">
        <v>28</v>
      </c>
      <c r="FK60" s="9">
        <v>6</v>
      </c>
      <c r="FL60" s="9" t="s">
        <v>656</v>
      </c>
      <c r="FM60" s="9" t="s">
        <v>969</v>
      </c>
      <c r="FV60" s="9" t="s">
        <v>970</v>
      </c>
      <c r="FX60" s="9" t="s">
        <v>25</v>
      </c>
      <c r="FY60" s="9" t="s">
        <v>633</v>
      </c>
      <c r="FZ60" s="9" t="s">
        <v>25</v>
      </c>
      <c r="GB60" s="9" t="s">
        <v>663</v>
      </c>
      <c r="HP60" s="9" t="s">
        <v>28</v>
      </c>
      <c r="HQ60" s="9" t="s">
        <v>971</v>
      </c>
      <c r="HR60" s="9" t="s">
        <v>28</v>
      </c>
      <c r="HS60" s="9" t="s">
        <v>25</v>
      </c>
      <c r="HU60" s="9" t="s">
        <v>28</v>
      </c>
      <c r="HV60" s="9" t="s">
        <v>25</v>
      </c>
      <c r="HW60" s="9" t="s">
        <v>25</v>
      </c>
      <c r="HX60" s="9" t="s">
        <v>25</v>
      </c>
      <c r="HZ60" s="9" t="s">
        <v>635</v>
      </c>
      <c r="IA60" s="9" t="s">
        <v>669</v>
      </c>
      <c r="IB60" s="9" t="s">
        <v>636</v>
      </c>
      <c r="IC60" s="9" t="s">
        <v>637</v>
      </c>
      <c r="IR60" s="9" t="s">
        <v>972</v>
      </c>
      <c r="IS60" s="9" t="s">
        <v>784</v>
      </c>
      <c r="IT60" s="9" t="s">
        <v>737</v>
      </c>
      <c r="IU60" s="49" t="s">
        <v>9336</v>
      </c>
      <c r="IV60" s="49" t="s">
        <v>9336</v>
      </c>
      <c r="IW60" s="9" t="s">
        <v>640</v>
      </c>
      <c r="IX60" s="9" t="s">
        <v>640</v>
      </c>
      <c r="IY60" s="9" t="s">
        <v>703</v>
      </c>
      <c r="IZ60" s="9" t="s">
        <v>703</v>
      </c>
      <c r="JA60" s="9" t="s">
        <v>851</v>
      </c>
      <c r="JB60" s="9" t="s">
        <v>642</v>
      </c>
    </row>
    <row r="61" spans="1:262" ht="76.5" x14ac:dyDescent="0.2">
      <c r="A61" s="8" t="s">
        <v>132</v>
      </c>
      <c r="B61" s="9" t="s">
        <v>28</v>
      </c>
      <c r="C61" s="9" t="s">
        <v>25</v>
      </c>
      <c r="D61" s="9" t="s">
        <v>25</v>
      </c>
      <c r="E61" s="9" t="s">
        <v>28</v>
      </c>
      <c r="F61" s="9" t="s">
        <v>25</v>
      </c>
      <c r="G61" s="9" t="s">
        <v>25</v>
      </c>
      <c r="H61" s="9" t="s">
        <v>25</v>
      </c>
      <c r="I61" s="9" t="s">
        <v>25</v>
      </c>
      <c r="J61" s="9" t="s">
        <v>25</v>
      </c>
      <c r="K61" s="9" t="s">
        <v>25</v>
      </c>
      <c r="L61" s="9" t="s">
        <v>25</v>
      </c>
      <c r="M61" s="9" t="s">
        <v>25</v>
      </c>
      <c r="N61" s="9" t="s">
        <v>25</v>
      </c>
      <c r="O61" s="9" t="s">
        <v>25</v>
      </c>
      <c r="P61" s="9" t="s">
        <v>25</v>
      </c>
      <c r="Q61" s="9" t="s">
        <v>25</v>
      </c>
      <c r="R61" s="9" t="s">
        <v>25</v>
      </c>
      <c r="S61" s="9" t="s">
        <v>13323</v>
      </c>
      <c r="T61" s="9" t="s">
        <v>770</v>
      </c>
      <c r="U61" s="9" t="s">
        <v>28</v>
      </c>
      <c r="V61" s="39">
        <v>3500</v>
      </c>
      <c r="W61" s="9" t="s">
        <v>644</v>
      </c>
      <c r="Y61" s="39">
        <v>3500</v>
      </c>
      <c r="AB61" s="9" t="s">
        <v>734</v>
      </c>
      <c r="AD61" s="9" t="s">
        <v>13777</v>
      </c>
      <c r="AF61" s="9" t="s">
        <v>874</v>
      </c>
      <c r="AH61" s="9" t="s">
        <v>599</v>
      </c>
      <c r="AI61" s="9" t="s">
        <v>607</v>
      </c>
      <c r="AK61" s="9" t="s">
        <v>28</v>
      </c>
      <c r="AL61" s="9" t="s">
        <v>789</v>
      </c>
      <c r="AM61" s="9" t="s">
        <v>28</v>
      </c>
      <c r="AN61" s="39">
        <v>350</v>
      </c>
      <c r="AO61" s="9" t="s">
        <v>875</v>
      </c>
      <c r="AP61" s="9" t="s">
        <v>797</v>
      </c>
      <c r="AS61" s="9" t="s">
        <v>601</v>
      </c>
      <c r="AT61" s="9" t="s">
        <v>25</v>
      </c>
      <c r="AU61" s="9" t="s">
        <v>602</v>
      </c>
      <c r="AW61" s="9" t="s">
        <v>678</v>
      </c>
      <c r="AY61" s="9">
        <v>3</v>
      </c>
      <c r="AZ61" s="9" t="s">
        <v>741</v>
      </c>
      <c r="BA61" s="9" t="s">
        <v>604</v>
      </c>
      <c r="BB61" s="9" t="s">
        <v>604</v>
      </c>
      <c r="BC61" s="9" t="s">
        <v>741</v>
      </c>
      <c r="BD61" s="9" t="s">
        <v>679</v>
      </c>
      <c r="BE61" s="9" t="s">
        <v>604</v>
      </c>
      <c r="BF61" s="9" t="s">
        <v>601</v>
      </c>
      <c r="BG61" s="9" t="s">
        <v>25</v>
      </c>
      <c r="BH61" s="9" t="s">
        <v>602</v>
      </c>
      <c r="BI61" s="9" t="s">
        <v>602</v>
      </c>
      <c r="BJ61" s="9" t="s">
        <v>28</v>
      </c>
      <c r="BL61" s="9" t="s">
        <v>741</v>
      </c>
      <c r="BM61" s="9" t="s">
        <v>604</v>
      </c>
      <c r="BN61" s="9" t="s">
        <v>604</v>
      </c>
      <c r="BO61" s="9" t="s">
        <v>741</v>
      </c>
      <c r="BP61" s="9" t="s">
        <v>679</v>
      </c>
      <c r="BQ61" s="9" t="s">
        <v>604</v>
      </c>
      <c r="BR61" s="9" t="s">
        <v>607</v>
      </c>
      <c r="BS61" s="9" t="s">
        <v>876</v>
      </c>
      <c r="BT61" s="9" t="s">
        <v>793</v>
      </c>
      <c r="BU61" s="9" t="s">
        <v>609</v>
      </c>
      <c r="BX61" s="9" t="s">
        <v>25</v>
      </c>
      <c r="ED61" s="9" t="s">
        <v>649</v>
      </c>
      <c r="EE61" s="9" t="s">
        <v>650</v>
      </c>
      <c r="EF61" s="9" t="s">
        <v>25</v>
      </c>
      <c r="EG61" s="9" t="s">
        <v>25</v>
      </c>
      <c r="EH61" s="9" t="s">
        <v>25</v>
      </c>
      <c r="EL61" s="9" t="s">
        <v>25</v>
      </c>
      <c r="EM61" s="9" t="s">
        <v>651</v>
      </c>
      <c r="EN61" s="9" t="s">
        <v>652</v>
      </c>
      <c r="EP61" s="9" t="s">
        <v>25</v>
      </c>
      <c r="EQ61" s="9" t="s">
        <v>653</v>
      </c>
      <c r="ER61" s="9" t="s">
        <v>25</v>
      </c>
      <c r="ET61" s="9" t="s">
        <v>28</v>
      </c>
      <c r="EU61" s="9" t="s">
        <v>750</v>
      </c>
      <c r="EV61" s="39">
        <v>5250</v>
      </c>
      <c r="EX61" s="39">
        <v>5250</v>
      </c>
      <c r="EZ61" s="9" t="s">
        <v>607</v>
      </c>
      <c r="FB61" s="9" t="s">
        <v>28</v>
      </c>
      <c r="FC61" s="39">
        <v>1996</v>
      </c>
      <c r="FD61" s="9" t="s">
        <v>13360</v>
      </c>
      <c r="FF61" s="9" t="s">
        <v>877</v>
      </c>
      <c r="FG61" s="9" t="s">
        <v>25</v>
      </c>
      <c r="FI61" s="42">
        <v>5000</v>
      </c>
      <c r="FJ61" s="9" t="s">
        <v>28</v>
      </c>
      <c r="FL61" s="9" t="s">
        <v>624</v>
      </c>
      <c r="FM61" s="9" t="s">
        <v>878</v>
      </c>
      <c r="FN61" s="9" t="s">
        <v>659</v>
      </c>
      <c r="FP61" s="9" t="s">
        <v>659</v>
      </c>
      <c r="FQ61" s="9" t="s">
        <v>658</v>
      </c>
      <c r="FT61" s="9" t="s">
        <v>658</v>
      </c>
      <c r="FV61" s="9" t="s">
        <v>879</v>
      </c>
      <c r="FW61" s="39">
        <v>280</v>
      </c>
      <c r="FX61" s="9" t="s">
        <v>627</v>
      </c>
      <c r="FZ61" s="9" t="s">
        <v>25</v>
      </c>
      <c r="GB61" s="9" t="s">
        <v>663</v>
      </c>
      <c r="GL61" s="9" t="s">
        <v>629</v>
      </c>
      <c r="GM61" s="9" t="s">
        <v>609</v>
      </c>
      <c r="GN61" s="9" t="s">
        <v>630</v>
      </c>
      <c r="GO61" s="9" t="s">
        <v>630</v>
      </c>
      <c r="GP61" s="9" t="s">
        <v>631</v>
      </c>
      <c r="GQ61" s="9" t="s">
        <v>609</v>
      </c>
      <c r="GR61" s="9" t="s">
        <v>609</v>
      </c>
      <c r="GS61" s="9" t="s">
        <v>609</v>
      </c>
      <c r="GT61" s="9" t="s">
        <v>609</v>
      </c>
      <c r="GU61" s="9" t="s">
        <v>631</v>
      </c>
      <c r="GV61" s="9" t="s">
        <v>609</v>
      </c>
      <c r="GW61" s="9" t="s">
        <v>631</v>
      </c>
      <c r="GX61" s="9" t="s">
        <v>609</v>
      </c>
      <c r="GY61" s="9" t="s">
        <v>631</v>
      </c>
      <c r="GZ61" s="9" t="s">
        <v>609</v>
      </c>
      <c r="HA61" s="9" t="s">
        <v>631</v>
      </c>
      <c r="HB61" s="9" t="s">
        <v>609</v>
      </c>
      <c r="HC61" s="9" t="s">
        <v>609</v>
      </c>
      <c r="HD61" s="9" t="s">
        <v>629</v>
      </c>
      <c r="HE61" s="9" t="s">
        <v>630</v>
      </c>
      <c r="HF61" s="9" t="s">
        <v>609</v>
      </c>
      <c r="HG61" s="9" t="s">
        <v>631</v>
      </c>
      <c r="HH61" s="9" t="s">
        <v>609</v>
      </c>
      <c r="HO61" s="9" t="s">
        <v>13389</v>
      </c>
      <c r="HP61" s="9" t="s">
        <v>28</v>
      </c>
      <c r="HQ61" s="9" t="s">
        <v>29</v>
      </c>
      <c r="HR61" s="9" t="s">
        <v>28</v>
      </c>
      <c r="HS61" s="9" t="s">
        <v>28</v>
      </c>
      <c r="HT61" s="9" t="s">
        <v>25</v>
      </c>
      <c r="HU61" s="9" t="s">
        <v>28</v>
      </c>
      <c r="HV61" s="9" t="s">
        <v>25</v>
      </c>
      <c r="HW61" s="9" t="s">
        <v>25</v>
      </c>
      <c r="HX61" s="9" t="s">
        <v>25</v>
      </c>
      <c r="HZ61" s="9" t="s">
        <v>635</v>
      </c>
      <c r="IA61" s="9" t="s">
        <v>25</v>
      </c>
      <c r="IB61" s="9" t="s">
        <v>636</v>
      </c>
      <c r="IC61" s="9" t="s">
        <v>13793</v>
      </c>
      <c r="ID61" s="9" t="s">
        <v>730</v>
      </c>
      <c r="IE61" s="11">
        <v>1</v>
      </c>
      <c r="IF61" s="11">
        <v>0.42</v>
      </c>
      <c r="IG61" s="9" t="s">
        <v>827</v>
      </c>
      <c r="IH61" s="11">
        <v>1</v>
      </c>
      <c r="II61" s="11">
        <v>0.35</v>
      </c>
      <c r="IJ61" s="9" t="s">
        <v>13397</v>
      </c>
      <c r="IK61" s="9" t="s">
        <v>805</v>
      </c>
      <c r="IL61" s="9" t="s">
        <v>805</v>
      </c>
      <c r="IM61" s="9" t="s">
        <v>731</v>
      </c>
      <c r="IN61" s="9" t="s">
        <v>731</v>
      </c>
      <c r="IO61" s="9" t="s">
        <v>730</v>
      </c>
      <c r="IP61" s="11">
        <v>1</v>
      </c>
      <c r="IQ61" s="11">
        <v>0.16</v>
      </c>
      <c r="IR61" s="9" t="s">
        <v>880</v>
      </c>
      <c r="IS61" s="9" t="s">
        <v>881</v>
      </c>
      <c r="IT61" s="9" t="s">
        <v>737</v>
      </c>
      <c r="IV61" s="50" t="s">
        <v>9338</v>
      </c>
      <c r="IW61" s="9" t="s">
        <v>640</v>
      </c>
      <c r="IX61" s="9" t="s">
        <v>640</v>
      </c>
      <c r="IY61" s="9" t="s">
        <v>769</v>
      </c>
      <c r="IZ61" s="9" t="s">
        <v>640</v>
      </c>
      <c r="JA61" s="9" t="s">
        <v>882</v>
      </c>
      <c r="JB61" s="9" t="s">
        <v>642</v>
      </c>
    </row>
    <row r="62" spans="1:262" ht="76.5" x14ac:dyDescent="0.2">
      <c r="A62" s="8" t="s">
        <v>136</v>
      </c>
      <c r="B62" s="9" t="s">
        <v>28</v>
      </c>
      <c r="C62" s="9" t="s">
        <v>25</v>
      </c>
      <c r="D62" s="9" t="s">
        <v>25</v>
      </c>
      <c r="E62" s="9" t="s">
        <v>25</v>
      </c>
      <c r="F62" s="9" t="s">
        <v>25</v>
      </c>
      <c r="G62" s="9" t="s">
        <v>25</v>
      </c>
      <c r="H62" s="9" t="s">
        <v>25</v>
      </c>
      <c r="I62" s="9" t="s">
        <v>25</v>
      </c>
      <c r="J62" s="9" t="s">
        <v>25</v>
      </c>
      <c r="K62" s="9" t="s">
        <v>25</v>
      </c>
      <c r="L62" s="9" t="s">
        <v>25</v>
      </c>
      <c r="M62" s="9" t="s">
        <v>25</v>
      </c>
      <c r="N62" s="9" t="s">
        <v>28</v>
      </c>
      <c r="O62" s="9" t="s">
        <v>28</v>
      </c>
      <c r="P62" s="9" t="s">
        <v>25</v>
      </c>
      <c r="Q62" s="9" t="s">
        <v>28</v>
      </c>
      <c r="R62" s="9" t="s">
        <v>28</v>
      </c>
      <c r="S62" s="9" t="s">
        <v>13325</v>
      </c>
      <c r="T62" s="9" t="s">
        <v>595</v>
      </c>
      <c r="U62" s="9" t="s">
        <v>28</v>
      </c>
      <c r="V62" s="39">
        <v>5000</v>
      </c>
      <c r="W62" s="9" t="s">
        <v>644</v>
      </c>
      <c r="Y62" s="39">
        <v>5000</v>
      </c>
      <c r="AB62" s="9" t="s">
        <v>645</v>
      </c>
      <c r="AD62" s="9" t="s">
        <v>674</v>
      </c>
      <c r="AF62" s="9" t="s">
        <v>926</v>
      </c>
      <c r="AH62" s="9" t="s">
        <v>599</v>
      </c>
      <c r="AI62" s="9" t="s">
        <v>607</v>
      </c>
      <c r="AK62" s="9" t="s">
        <v>28</v>
      </c>
      <c r="AL62" s="9">
        <v>7</v>
      </c>
      <c r="AM62" s="9" t="s">
        <v>28</v>
      </c>
      <c r="AN62" s="39">
        <v>25</v>
      </c>
      <c r="AO62" s="9" t="s">
        <v>715</v>
      </c>
      <c r="AP62" s="9">
        <v>7</v>
      </c>
      <c r="BT62" s="9" t="s">
        <v>742</v>
      </c>
      <c r="BU62" s="9" t="s">
        <v>609</v>
      </c>
      <c r="BW62" s="9" t="s">
        <v>927</v>
      </c>
      <c r="ED62" s="9" t="s">
        <v>618</v>
      </c>
      <c r="EE62" s="9" t="s">
        <v>650</v>
      </c>
      <c r="EF62" s="9" t="s">
        <v>25</v>
      </c>
      <c r="EG62" s="9" t="s">
        <v>25</v>
      </c>
      <c r="EH62" s="9" t="s">
        <v>25</v>
      </c>
      <c r="EL62" s="9" t="s">
        <v>25</v>
      </c>
      <c r="EM62" s="9" t="s">
        <v>25</v>
      </c>
      <c r="EN62" s="9" t="s">
        <v>761</v>
      </c>
      <c r="EP62" s="9" t="s">
        <v>28</v>
      </c>
      <c r="EQ62" s="9" t="s">
        <v>697</v>
      </c>
      <c r="ER62" s="9" t="s">
        <v>28</v>
      </c>
      <c r="ES62" s="9" t="s">
        <v>749</v>
      </c>
      <c r="ET62" s="9" t="s">
        <v>28</v>
      </c>
      <c r="EU62" s="9" t="s">
        <v>622</v>
      </c>
      <c r="EV62" s="39">
        <v>6000</v>
      </c>
      <c r="EX62" s="39">
        <v>6000</v>
      </c>
      <c r="EZ62" s="9" t="s">
        <v>607</v>
      </c>
      <c r="FB62" s="9" t="s">
        <v>28</v>
      </c>
      <c r="FF62" s="9" t="s">
        <v>928</v>
      </c>
      <c r="FG62" s="9" t="s">
        <v>25</v>
      </c>
      <c r="FJ62" s="9" t="s">
        <v>28</v>
      </c>
      <c r="FK62" s="9">
        <v>1</v>
      </c>
      <c r="FL62" s="9" t="s">
        <v>624</v>
      </c>
      <c r="FM62" s="9" t="s">
        <v>814</v>
      </c>
      <c r="FP62" s="9" t="s">
        <v>659</v>
      </c>
      <c r="FV62" s="9" t="s">
        <v>929</v>
      </c>
      <c r="FW62" s="39">
        <v>280</v>
      </c>
      <c r="FX62" s="9" t="s">
        <v>627</v>
      </c>
      <c r="FZ62" s="9" t="s">
        <v>28</v>
      </c>
      <c r="GA62" s="9" t="s">
        <v>28</v>
      </c>
      <c r="GB62" s="9" t="s">
        <v>663</v>
      </c>
      <c r="HI62" s="9" t="s">
        <v>632</v>
      </c>
      <c r="HJ62" s="9" t="s">
        <v>727</v>
      </c>
      <c r="HM62" s="9" t="s">
        <v>930</v>
      </c>
      <c r="HP62" s="9" t="s">
        <v>28</v>
      </c>
      <c r="HQ62" s="9" t="s">
        <v>668</v>
      </c>
      <c r="HR62" s="9" t="s">
        <v>25</v>
      </c>
      <c r="HS62" s="9" t="s">
        <v>28</v>
      </c>
      <c r="HT62" s="9" t="s">
        <v>25</v>
      </c>
      <c r="HU62" s="9" t="s">
        <v>28</v>
      </c>
      <c r="HV62" s="9" t="s">
        <v>25</v>
      </c>
      <c r="HW62" s="9" t="s">
        <v>25</v>
      </c>
      <c r="HX62" s="9" t="s">
        <v>28</v>
      </c>
      <c r="HY62" s="9" t="s">
        <v>850</v>
      </c>
      <c r="HZ62" s="9" t="s">
        <v>635</v>
      </c>
      <c r="IA62" s="9" t="s">
        <v>25</v>
      </c>
      <c r="IB62" s="9" t="s">
        <v>636</v>
      </c>
      <c r="IC62" s="9" t="s">
        <v>13793</v>
      </c>
      <c r="ID62" s="9" t="s">
        <v>730</v>
      </c>
      <c r="IE62" s="11">
        <v>1</v>
      </c>
      <c r="IF62" s="11">
        <v>0.22</v>
      </c>
      <c r="IG62" s="9" t="s">
        <v>730</v>
      </c>
      <c r="IH62" s="11">
        <v>1</v>
      </c>
      <c r="II62" s="11">
        <v>0.19</v>
      </c>
      <c r="IJ62" s="9" t="s">
        <v>13801</v>
      </c>
      <c r="IK62" s="9" t="s">
        <v>805</v>
      </c>
      <c r="IL62" s="9" t="s">
        <v>731</v>
      </c>
      <c r="IM62" s="9" t="s">
        <v>731</v>
      </c>
      <c r="IN62" s="9" t="s">
        <v>731</v>
      </c>
      <c r="IO62" s="9" t="s">
        <v>730</v>
      </c>
      <c r="IP62" s="11">
        <v>1</v>
      </c>
      <c r="IQ62" s="11">
        <v>0.09</v>
      </c>
      <c r="IR62" s="9" t="s">
        <v>638</v>
      </c>
      <c r="IS62" s="9" t="s">
        <v>732</v>
      </c>
      <c r="IT62" s="9" t="s">
        <v>737</v>
      </c>
      <c r="IV62" s="49" t="s">
        <v>9336</v>
      </c>
      <c r="IW62" s="9" t="s">
        <v>640</v>
      </c>
      <c r="IX62" s="9" t="s">
        <v>640</v>
      </c>
      <c r="IY62" s="9" t="s">
        <v>640</v>
      </c>
      <c r="IZ62" s="9" t="s">
        <v>640</v>
      </c>
      <c r="JA62" s="9" t="s">
        <v>641</v>
      </c>
      <c r="JB62" s="9" t="s">
        <v>713</v>
      </c>
    </row>
    <row r="63" spans="1:262" ht="102" x14ac:dyDescent="0.2">
      <c r="A63" s="8" t="s">
        <v>177</v>
      </c>
      <c r="B63" s="9" t="s">
        <v>28</v>
      </c>
      <c r="C63" s="9" t="s">
        <v>25</v>
      </c>
      <c r="D63" s="9" t="s">
        <v>25</v>
      </c>
      <c r="E63" s="9" t="s">
        <v>28</v>
      </c>
      <c r="F63" s="9" t="s">
        <v>25</v>
      </c>
      <c r="G63" s="9" t="s">
        <v>25</v>
      </c>
      <c r="H63" s="9" t="s">
        <v>25</v>
      </c>
      <c r="I63" s="9" t="s">
        <v>25</v>
      </c>
      <c r="J63" s="9" t="s">
        <v>25</v>
      </c>
      <c r="K63" s="9" t="s">
        <v>25</v>
      </c>
      <c r="L63" s="9" t="s">
        <v>25</v>
      </c>
      <c r="M63" s="9" t="s">
        <v>25</v>
      </c>
      <c r="N63" s="9" t="s">
        <v>25</v>
      </c>
      <c r="O63" s="9" t="s">
        <v>25</v>
      </c>
      <c r="P63" s="9" t="s">
        <v>25</v>
      </c>
      <c r="Q63" s="9" t="s">
        <v>25</v>
      </c>
      <c r="R63" s="9" t="s">
        <v>25</v>
      </c>
      <c r="S63" s="9" t="s">
        <v>13324</v>
      </c>
      <c r="T63" s="9" t="s">
        <v>770</v>
      </c>
      <c r="U63" s="9" t="s">
        <v>28</v>
      </c>
      <c r="V63" s="39">
        <v>12000</v>
      </c>
      <c r="W63" s="9" t="s">
        <v>808</v>
      </c>
      <c r="Y63" s="39">
        <v>12000</v>
      </c>
      <c r="AB63" s="9" t="s">
        <v>734</v>
      </c>
      <c r="AD63" s="9" t="s">
        <v>646</v>
      </c>
      <c r="AF63" s="9" t="s">
        <v>1238</v>
      </c>
      <c r="AH63" s="9" t="s">
        <v>599</v>
      </c>
      <c r="AI63" s="9" t="s">
        <v>607</v>
      </c>
      <c r="AK63" s="9" t="s">
        <v>28</v>
      </c>
      <c r="AL63" s="9">
        <v>20</v>
      </c>
      <c r="AM63" s="9" t="s">
        <v>25</v>
      </c>
      <c r="AO63" s="9" t="s">
        <v>790</v>
      </c>
      <c r="AP63" s="9">
        <v>20</v>
      </c>
      <c r="AQ63" s="9" t="s">
        <v>13780</v>
      </c>
      <c r="AS63" s="9" t="s">
        <v>864</v>
      </c>
      <c r="AT63" s="9" t="s">
        <v>28</v>
      </c>
      <c r="AU63" s="9" t="s">
        <v>602</v>
      </c>
      <c r="AV63" s="9" t="s">
        <v>602</v>
      </c>
      <c r="AW63" s="9" t="s">
        <v>603</v>
      </c>
      <c r="AZ63" s="9" t="s">
        <v>605</v>
      </c>
      <c r="BA63" s="9" t="s">
        <v>604</v>
      </c>
      <c r="BB63" s="9" t="s">
        <v>604</v>
      </c>
      <c r="BC63" s="9" t="s">
        <v>605</v>
      </c>
      <c r="BD63" s="9" t="s">
        <v>679</v>
      </c>
      <c r="BE63" s="9" t="s">
        <v>604</v>
      </c>
      <c r="BF63" s="9" t="s">
        <v>864</v>
      </c>
      <c r="BG63" s="9" t="s">
        <v>28</v>
      </c>
      <c r="BI63" s="9" t="s">
        <v>602</v>
      </c>
      <c r="BJ63" s="9" t="s">
        <v>603</v>
      </c>
      <c r="BL63" s="9" t="s">
        <v>605</v>
      </c>
      <c r="BM63" s="9" t="s">
        <v>604</v>
      </c>
      <c r="BN63" s="9" t="s">
        <v>604</v>
      </c>
      <c r="BO63" s="9" t="s">
        <v>605</v>
      </c>
      <c r="BP63" s="9" t="s">
        <v>679</v>
      </c>
      <c r="BQ63" s="9" t="s">
        <v>604</v>
      </c>
      <c r="BR63" s="9" t="s">
        <v>607</v>
      </c>
      <c r="BS63" s="9" t="s">
        <v>1239</v>
      </c>
      <c r="BX63" s="9" t="s">
        <v>28</v>
      </c>
      <c r="BY63" s="9" t="s">
        <v>808</v>
      </c>
      <c r="CA63" s="39">
        <v>12000</v>
      </c>
      <c r="CD63" s="9" t="s">
        <v>734</v>
      </c>
      <c r="CF63" s="9" t="s">
        <v>646</v>
      </c>
      <c r="CH63" s="9" t="s">
        <v>777</v>
      </c>
      <c r="CJ63" s="9" t="s">
        <v>856</v>
      </c>
      <c r="CL63" s="9" t="s">
        <v>868</v>
      </c>
      <c r="CM63" s="9" t="s">
        <v>1240</v>
      </c>
      <c r="CN63" s="9" t="s">
        <v>1241</v>
      </c>
      <c r="CO63" s="9" t="s">
        <v>1242</v>
      </c>
      <c r="CT63" s="9" t="s">
        <v>1038</v>
      </c>
      <c r="CV63" s="9" t="s">
        <v>1243</v>
      </c>
      <c r="DK63" s="9" t="s">
        <v>28</v>
      </c>
      <c r="DL63" s="9" t="s">
        <v>1244</v>
      </c>
      <c r="DM63" s="9" t="s">
        <v>28</v>
      </c>
      <c r="DQ63" s="9" t="s">
        <v>747</v>
      </c>
      <c r="DS63" s="9" t="s">
        <v>692</v>
      </c>
      <c r="DU63" s="9" t="s">
        <v>689</v>
      </c>
      <c r="DW63" s="9" t="s">
        <v>607</v>
      </c>
      <c r="DY63" s="9" t="s">
        <v>607</v>
      </c>
      <c r="EB63" s="9" t="s">
        <v>25</v>
      </c>
      <c r="ED63" s="9" t="s">
        <v>649</v>
      </c>
      <c r="EE63" s="9" t="s">
        <v>650</v>
      </c>
      <c r="EF63" s="9" t="s">
        <v>25</v>
      </c>
      <c r="EG63" s="9" t="s">
        <v>25</v>
      </c>
      <c r="EH63" s="9" t="s">
        <v>25</v>
      </c>
      <c r="EL63" s="9" t="s">
        <v>25</v>
      </c>
      <c r="EM63" s="9" t="s">
        <v>651</v>
      </c>
      <c r="EN63" s="9" t="s">
        <v>1145</v>
      </c>
      <c r="EP63" s="9" t="s">
        <v>28</v>
      </c>
      <c r="EQ63" s="9" t="s">
        <v>697</v>
      </c>
      <c r="ER63" s="9" t="s">
        <v>28</v>
      </c>
      <c r="ES63" s="9" t="s">
        <v>602</v>
      </c>
      <c r="ET63" s="9" t="s">
        <v>25</v>
      </c>
      <c r="EV63" s="39">
        <v>5000</v>
      </c>
      <c r="EX63" s="39">
        <v>5000</v>
      </c>
      <c r="EZ63" s="9" t="s">
        <v>28</v>
      </c>
      <c r="FA63" s="9" t="s">
        <v>1245</v>
      </c>
      <c r="FB63" s="9" t="s">
        <v>28</v>
      </c>
      <c r="FC63" s="39">
        <v>550</v>
      </c>
      <c r="FD63" s="9" t="s">
        <v>1246</v>
      </c>
      <c r="FE63" s="9" t="s">
        <v>1247</v>
      </c>
      <c r="FF63" s="9" t="s">
        <v>869</v>
      </c>
      <c r="FG63" s="9" t="s">
        <v>28</v>
      </c>
      <c r="FH63" s="9" t="s">
        <v>697</v>
      </c>
      <c r="FI63" s="42">
        <v>3141.59</v>
      </c>
      <c r="FJ63" s="9" t="s">
        <v>28</v>
      </c>
      <c r="FK63" s="9">
        <v>5</v>
      </c>
      <c r="FL63" s="9" t="s">
        <v>656</v>
      </c>
      <c r="FM63" s="9" t="s">
        <v>1248</v>
      </c>
      <c r="FN63" s="9" t="s">
        <v>659</v>
      </c>
      <c r="FP63" s="9" t="s">
        <v>659</v>
      </c>
      <c r="FQ63" s="9" t="s">
        <v>659</v>
      </c>
      <c r="FR63" s="9" t="s">
        <v>658</v>
      </c>
      <c r="FS63" s="9" t="s">
        <v>658</v>
      </c>
      <c r="FT63" s="9" t="s">
        <v>657</v>
      </c>
      <c r="FU63" s="9" t="s">
        <v>659</v>
      </c>
      <c r="FV63" s="9" t="s">
        <v>1249</v>
      </c>
      <c r="FW63" s="39">
        <v>270</v>
      </c>
      <c r="FX63" s="9" t="s">
        <v>627</v>
      </c>
      <c r="FZ63" s="9" t="s">
        <v>28</v>
      </c>
      <c r="GA63" s="9" t="s">
        <v>28</v>
      </c>
      <c r="GB63" s="9" t="s">
        <v>663</v>
      </c>
      <c r="GC63" s="9" t="s">
        <v>28</v>
      </c>
      <c r="GD63" s="9" t="s">
        <v>28</v>
      </c>
      <c r="GE63" s="9" t="s">
        <v>28</v>
      </c>
      <c r="GF63" s="9" t="s">
        <v>28</v>
      </c>
      <c r="GG63" s="9" t="s">
        <v>28</v>
      </c>
      <c r="GH63" s="9" t="s">
        <v>28</v>
      </c>
      <c r="GI63" s="9" t="s">
        <v>28</v>
      </c>
      <c r="GJ63" s="9" t="s">
        <v>28</v>
      </c>
      <c r="GK63" s="9" t="s">
        <v>28</v>
      </c>
      <c r="HO63" s="9" t="s">
        <v>667</v>
      </c>
      <c r="HP63" s="9" t="s">
        <v>25</v>
      </c>
      <c r="IC63" s="9" t="s">
        <v>13793</v>
      </c>
      <c r="ID63" s="9" t="s">
        <v>730</v>
      </c>
      <c r="IE63" s="11">
        <v>1</v>
      </c>
      <c r="IF63" s="11">
        <v>0.33</v>
      </c>
      <c r="IG63" s="9" t="s">
        <v>730</v>
      </c>
      <c r="IH63" s="11">
        <v>1</v>
      </c>
      <c r="II63" s="11">
        <v>0.15</v>
      </c>
      <c r="IJ63" s="9" t="s">
        <v>13807</v>
      </c>
      <c r="IK63" s="9" t="s">
        <v>805</v>
      </c>
      <c r="IL63" s="9" t="s">
        <v>731</v>
      </c>
      <c r="IM63" s="9" t="s">
        <v>731</v>
      </c>
      <c r="IN63" s="9" t="s">
        <v>731</v>
      </c>
      <c r="IO63" s="9" t="s">
        <v>730</v>
      </c>
      <c r="IP63" s="11">
        <v>1</v>
      </c>
      <c r="IQ63" s="11">
        <v>0.18</v>
      </c>
      <c r="IR63" s="9" t="s">
        <v>838</v>
      </c>
      <c r="IS63" s="9" t="s">
        <v>784</v>
      </c>
      <c r="IT63" s="9" t="s">
        <v>733</v>
      </c>
      <c r="IU63" s="49" t="s">
        <v>9337</v>
      </c>
      <c r="IV63" s="49" t="s">
        <v>9337</v>
      </c>
      <c r="IW63" s="9" t="s">
        <v>640</v>
      </c>
      <c r="IX63" s="9" t="s">
        <v>640</v>
      </c>
      <c r="IY63" s="9" t="s">
        <v>640</v>
      </c>
      <c r="IZ63" s="9" t="s">
        <v>640</v>
      </c>
      <c r="JA63" s="9" t="s">
        <v>704</v>
      </c>
      <c r="JB63" s="9" t="s">
        <v>642</v>
      </c>
    </row>
    <row r="64" spans="1:262" ht="102" x14ac:dyDescent="0.2">
      <c r="A64" s="8" t="s">
        <v>162</v>
      </c>
      <c r="B64" s="9" t="s">
        <v>28</v>
      </c>
      <c r="C64" s="9" t="s">
        <v>25</v>
      </c>
      <c r="D64" s="9" t="s">
        <v>25</v>
      </c>
      <c r="E64" s="9" t="s">
        <v>25</v>
      </c>
      <c r="F64" s="9" t="s">
        <v>25</v>
      </c>
      <c r="G64" s="9" t="s">
        <v>25</v>
      </c>
      <c r="H64" s="9" t="s">
        <v>25</v>
      </c>
      <c r="I64" s="9" t="s">
        <v>25</v>
      </c>
      <c r="J64" s="9" t="s">
        <v>28</v>
      </c>
      <c r="K64" s="9" t="s">
        <v>25</v>
      </c>
      <c r="L64" s="9" t="s">
        <v>25</v>
      </c>
      <c r="M64" s="9" t="s">
        <v>25</v>
      </c>
      <c r="N64" s="9" t="s">
        <v>25</v>
      </c>
      <c r="O64" s="9" t="s">
        <v>25</v>
      </c>
      <c r="P64" s="9" t="s">
        <v>25</v>
      </c>
      <c r="Q64" s="9" t="s">
        <v>28</v>
      </c>
      <c r="R64" s="9" t="s">
        <v>25</v>
      </c>
      <c r="S64" s="9" t="s">
        <v>13323</v>
      </c>
      <c r="T64" s="9" t="s">
        <v>770</v>
      </c>
      <c r="U64" s="9" t="s">
        <v>28</v>
      </c>
      <c r="V64" s="39">
        <v>40000</v>
      </c>
      <c r="W64" s="9" t="s">
        <v>644</v>
      </c>
      <c r="Z64" s="39">
        <v>40000</v>
      </c>
      <c r="AB64" s="9" t="s">
        <v>673</v>
      </c>
      <c r="AD64" s="9" t="s">
        <v>13777</v>
      </c>
      <c r="AF64" s="9" t="s">
        <v>786</v>
      </c>
      <c r="AG64" s="9" t="s">
        <v>1120</v>
      </c>
      <c r="AH64" s="9" t="s">
        <v>1121</v>
      </c>
      <c r="AI64" s="9" t="s">
        <v>819</v>
      </c>
      <c r="AK64" s="9" t="s">
        <v>28</v>
      </c>
      <c r="AL64" s="9">
        <v>15</v>
      </c>
      <c r="AM64" s="9" t="s">
        <v>28</v>
      </c>
      <c r="AN64" s="39">
        <v>6000</v>
      </c>
      <c r="AO64" s="9" t="s">
        <v>1122</v>
      </c>
      <c r="AP64" s="9">
        <v>15</v>
      </c>
      <c r="AQ64" s="9" t="s">
        <v>1123</v>
      </c>
      <c r="AR64" s="9" t="s">
        <v>1124</v>
      </c>
      <c r="AS64" s="9" t="s">
        <v>864</v>
      </c>
      <c r="AT64" s="9" t="s">
        <v>25</v>
      </c>
      <c r="AU64" s="9" t="s">
        <v>602</v>
      </c>
      <c r="AV64" s="9" t="s">
        <v>602</v>
      </c>
      <c r="AW64" s="9" t="s">
        <v>678</v>
      </c>
      <c r="AY64" s="9">
        <v>3</v>
      </c>
      <c r="AZ64" s="9" t="s">
        <v>741</v>
      </c>
      <c r="BA64" s="9" t="s">
        <v>604</v>
      </c>
      <c r="BB64" s="9" t="s">
        <v>604</v>
      </c>
      <c r="BC64" s="9" t="s">
        <v>741</v>
      </c>
      <c r="BD64" s="9" t="s">
        <v>679</v>
      </c>
      <c r="BE64" s="9" t="s">
        <v>741</v>
      </c>
      <c r="BF64" s="9" t="s">
        <v>864</v>
      </c>
      <c r="BG64" s="9" t="s">
        <v>25</v>
      </c>
      <c r="BI64" s="9" t="s">
        <v>602</v>
      </c>
      <c r="BJ64" s="9" t="s">
        <v>603</v>
      </c>
      <c r="BL64" s="9" t="s">
        <v>741</v>
      </c>
      <c r="BM64" s="9" t="s">
        <v>604</v>
      </c>
      <c r="BN64" s="9" t="s">
        <v>604</v>
      </c>
      <c r="BO64" s="9" t="s">
        <v>741</v>
      </c>
      <c r="BP64" s="9" t="s">
        <v>679</v>
      </c>
      <c r="BQ64" s="9" t="s">
        <v>741</v>
      </c>
      <c r="BR64" s="9" t="s">
        <v>607</v>
      </c>
      <c r="BS64" s="9" t="s">
        <v>1125</v>
      </c>
      <c r="BT64" s="9" t="s">
        <v>608</v>
      </c>
      <c r="BU64" s="9" t="s">
        <v>609</v>
      </c>
      <c r="BX64" s="9" t="s">
        <v>28</v>
      </c>
      <c r="BY64" s="9" t="s">
        <v>644</v>
      </c>
      <c r="CB64" s="39">
        <v>40000</v>
      </c>
      <c r="CD64" s="9" t="s">
        <v>673</v>
      </c>
      <c r="CF64" s="9" t="s">
        <v>646</v>
      </c>
      <c r="CH64" s="9" t="s">
        <v>854</v>
      </c>
      <c r="CI64" s="9" t="s">
        <v>1126</v>
      </c>
      <c r="CJ64" s="9" t="s">
        <v>856</v>
      </c>
      <c r="CL64" s="9" t="s">
        <v>686</v>
      </c>
      <c r="ED64" s="9" t="s">
        <v>649</v>
      </c>
      <c r="EE64" s="9" t="s">
        <v>650</v>
      </c>
      <c r="EF64" s="9" t="s">
        <v>25</v>
      </c>
      <c r="EG64" s="9" t="s">
        <v>25</v>
      </c>
      <c r="EH64" s="9" t="s">
        <v>25</v>
      </c>
      <c r="EL64" s="9" t="s">
        <v>28</v>
      </c>
      <c r="EM64" s="9" t="s">
        <v>651</v>
      </c>
      <c r="EN64" s="9" t="s">
        <v>1042</v>
      </c>
      <c r="EP64" s="9" t="s">
        <v>28</v>
      </c>
      <c r="EQ64" s="9" t="s">
        <v>653</v>
      </c>
      <c r="ER64" s="9" t="s">
        <v>25</v>
      </c>
      <c r="ET64" s="9" t="s">
        <v>28</v>
      </c>
      <c r="EU64" s="9" t="s">
        <v>622</v>
      </c>
      <c r="EV64" s="39">
        <v>5250</v>
      </c>
      <c r="EW64" s="39">
        <v>5250</v>
      </c>
      <c r="EX64" s="39">
        <v>5250</v>
      </c>
      <c r="EY64" s="39">
        <v>5250</v>
      </c>
      <c r="EZ64" s="9" t="s">
        <v>28</v>
      </c>
      <c r="FA64" s="9" t="s">
        <v>1127</v>
      </c>
      <c r="FB64" s="9" t="s">
        <v>28</v>
      </c>
      <c r="FC64" s="39">
        <v>250</v>
      </c>
      <c r="FD64" s="9" t="s">
        <v>13357</v>
      </c>
      <c r="FF64" s="9" t="s">
        <v>13363</v>
      </c>
      <c r="FG64" s="9" t="s">
        <v>28</v>
      </c>
      <c r="FH64" s="9" t="s">
        <v>697</v>
      </c>
      <c r="FI64" s="42">
        <v>5000</v>
      </c>
      <c r="FJ64" s="9" t="s">
        <v>28</v>
      </c>
      <c r="FK64" s="9">
        <v>7</v>
      </c>
      <c r="FL64" s="9" t="s">
        <v>656</v>
      </c>
      <c r="FM64" s="9" t="s">
        <v>13384</v>
      </c>
      <c r="FN64" s="9" t="s">
        <v>659</v>
      </c>
      <c r="FO64" s="9" t="s">
        <v>659</v>
      </c>
      <c r="FP64" s="9" t="s">
        <v>659</v>
      </c>
      <c r="FU64" s="9" t="s">
        <v>659</v>
      </c>
      <c r="FV64" s="9" t="s">
        <v>1128</v>
      </c>
      <c r="FW64" s="39">
        <v>275</v>
      </c>
      <c r="FX64" s="9" t="s">
        <v>627</v>
      </c>
      <c r="FZ64" s="9" t="s">
        <v>25</v>
      </c>
      <c r="GB64" s="9" t="s">
        <v>628</v>
      </c>
      <c r="GC64" s="9" t="s">
        <v>28</v>
      </c>
      <c r="GD64" s="9" t="s">
        <v>28</v>
      </c>
      <c r="GE64" s="9" t="s">
        <v>28</v>
      </c>
      <c r="GF64" s="9" t="s">
        <v>25</v>
      </c>
      <c r="GG64" s="9" t="s">
        <v>28</v>
      </c>
      <c r="GH64" s="9" t="s">
        <v>28</v>
      </c>
      <c r="GI64" s="9" t="s">
        <v>28</v>
      </c>
      <c r="GJ64" s="9" t="s">
        <v>28</v>
      </c>
      <c r="GK64" s="9" t="s">
        <v>28</v>
      </c>
      <c r="GL64" s="9" t="s">
        <v>629</v>
      </c>
      <c r="GM64" s="9" t="s">
        <v>629</v>
      </c>
      <c r="GN64" s="9" t="s">
        <v>631</v>
      </c>
      <c r="GO64" s="9" t="s">
        <v>631</v>
      </c>
      <c r="GP64" s="9" t="s">
        <v>631</v>
      </c>
      <c r="GQ64" s="9" t="s">
        <v>631</v>
      </c>
      <c r="GR64" s="9" t="s">
        <v>629</v>
      </c>
      <c r="GS64" s="9" t="s">
        <v>631</v>
      </c>
      <c r="GT64" s="9" t="s">
        <v>631</v>
      </c>
      <c r="GU64" s="9" t="s">
        <v>631</v>
      </c>
      <c r="GV64" s="9" t="s">
        <v>609</v>
      </c>
      <c r="GW64" s="9" t="s">
        <v>631</v>
      </c>
      <c r="GX64" s="9" t="s">
        <v>631</v>
      </c>
      <c r="GY64" s="9" t="s">
        <v>631</v>
      </c>
      <c r="GZ64" s="9" t="s">
        <v>609</v>
      </c>
      <c r="HA64" s="9" t="s">
        <v>631</v>
      </c>
      <c r="HB64" s="9" t="s">
        <v>631</v>
      </c>
      <c r="HC64" s="9" t="s">
        <v>609</v>
      </c>
      <c r="HD64" s="9" t="s">
        <v>631</v>
      </c>
      <c r="HE64" s="9" t="s">
        <v>609</v>
      </c>
      <c r="HF64" s="9" t="s">
        <v>609</v>
      </c>
      <c r="HG64" s="9" t="s">
        <v>631</v>
      </c>
      <c r="HH64" s="9" t="s">
        <v>630</v>
      </c>
      <c r="HI64" s="9" t="s">
        <v>848</v>
      </c>
      <c r="HJ64" s="9" t="s">
        <v>1129</v>
      </c>
      <c r="HM64" s="9" t="s">
        <v>1130</v>
      </c>
      <c r="HN64" s="9" t="s">
        <v>1131</v>
      </c>
      <c r="HO64" s="9" t="s">
        <v>872</v>
      </c>
      <c r="HP64" s="9" t="s">
        <v>28</v>
      </c>
      <c r="HQ64" s="9" t="s">
        <v>634</v>
      </c>
      <c r="HR64" s="9" t="s">
        <v>25</v>
      </c>
      <c r="HS64" s="9" t="s">
        <v>28</v>
      </c>
      <c r="HT64" s="9" t="s">
        <v>25</v>
      </c>
      <c r="HU64" s="9" t="s">
        <v>28</v>
      </c>
      <c r="HV64" s="9" t="s">
        <v>25</v>
      </c>
      <c r="HW64" s="9" t="s">
        <v>25</v>
      </c>
      <c r="HX64" s="9" t="s">
        <v>28</v>
      </c>
      <c r="HY64" s="9" t="s">
        <v>850</v>
      </c>
      <c r="HZ64" s="9" t="s">
        <v>635</v>
      </c>
      <c r="IA64" s="9" t="s">
        <v>25</v>
      </c>
      <c r="IB64" s="9" t="s">
        <v>636</v>
      </c>
      <c r="IC64" s="9" t="s">
        <v>637</v>
      </c>
      <c r="IR64" s="9" t="s">
        <v>907</v>
      </c>
      <c r="IS64" s="9" t="s">
        <v>639</v>
      </c>
      <c r="IT64" s="9" t="s">
        <v>733</v>
      </c>
      <c r="IU64" s="49" t="s">
        <v>9337</v>
      </c>
      <c r="IV64" s="49" t="s">
        <v>9336</v>
      </c>
      <c r="IW64" s="9" t="s">
        <v>640</v>
      </c>
      <c r="IX64" s="9" t="s">
        <v>640</v>
      </c>
      <c r="IY64" s="9" t="s">
        <v>703</v>
      </c>
      <c r="IZ64" s="9" t="s">
        <v>703</v>
      </c>
      <c r="JA64" s="9" t="s">
        <v>704</v>
      </c>
      <c r="JB64" s="9" t="s">
        <v>672</v>
      </c>
    </row>
    <row r="65" spans="1:262" ht="102" x14ac:dyDescent="0.2">
      <c r="A65" s="8" t="s">
        <v>148</v>
      </c>
      <c r="B65" s="9" t="s">
        <v>1015</v>
      </c>
      <c r="S65" s="9" t="s">
        <v>13333</v>
      </c>
      <c r="T65" s="9" t="s">
        <v>595</v>
      </c>
      <c r="U65" s="9" t="s">
        <v>28</v>
      </c>
      <c r="V65" s="39">
        <v>20000</v>
      </c>
      <c r="W65" s="9" t="s">
        <v>644</v>
      </c>
      <c r="Y65" s="39">
        <v>5000</v>
      </c>
      <c r="Z65" s="39">
        <v>20000</v>
      </c>
      <c r="AB65" s="9" t="s">
        <v>673</v>
      </c>
      <c r="AF65" s="9" t="s">
        <v>714</v>
      </c>
      <c r="AH65" s="9" t="s">
        <v>599</v>
      </c>
      <c r="AI65" s="9" t="s">
        <v>819</v>
      </c>
      <c r="AK65" s="9" t="s">
        <v>28</v>
      </c>
      <c r="AL65" s="9">
        <v>10</v>
      </c>
      <c r="AM65" s="9" t="s">
        <v>25</v>
      </c>
      <c r="AO65" s="9" t="s">
        <v>1016</v>
      </c>
      <c r="AQ65" s="9" t="s">
        <v>1017</v>
      </c>
      <c r="AR65" s="9" t="s">
        <v>1018</v>
      </c>
      <c r="AS65" s="9" t="s">
        <v>25</v>
      </c>
      <c r="BF65" s="9" t="s">
        <v>25</v>
      </c>
      <c r="BR65" s="9" t="s">
        <v>607</v>
      </c>
      <c r="BS65" s="9" t="s">
        <v>1019</v>
      </c>
      <c r="CM65" s="9" t="s">
        <v>635</v>
      </c>
      <c r="DS65" s="9" t="s">
        <v>614</v>
      </c>
      <c r="DT65" s="9" t="s">
        <v>1020</v>
      </c>
      <c r="DU65" s="9" t="s">
        <v>689</v>
      </c>
      <c r="DW65" s="9" t="s">
        <v>607</v>
      </c>
      <c r="DY65" s="9" t="s">
        <v>607</v>
      </c>
      <c r="EA65" s="9" t="s">
        <v>1021</v>
      </c>
      <c r="EB65" s="9" t="s">
        <v>25</v>
      </c>
      <c r="ED65" s="9" t="s">
        <v>618</v>
      </c>
      <c r="EE65" s="9" t="s">
        <v>650</v>
      </c>
      <c r="EF65" s="9" t="s">
        <v>25</v>
      </c>
      <c r="EG65" s="9" t="s">
        <v>25</v>
      </c>
      <c r="EH65" s="9" t="s">
        <v>25</v>
      </c>
      <c r="EL65" s="9" t="s">
        <v>25</v>
      </c>
      <c r="EM65" s="9" t="s">
        <v>651</v>
      </c>
      <c r="EN65" s="9" t="s">
        <v>1022</v>
      </c>
      <c r="EP65" s="9" t="s">
        <v>28</v>
      </c>
      <c r="EQ65" s="9" t="s">
        <v>697</v>
      </c>
      <c r="ER65" s="9" t="s">
        <v>28</v>
      </c>
      <c r="ES65" s="9" t="s">
        <v>602</v>
      </c>
      <c r="ET65" s="9" t="s">
        <v>28</v>
      </c>
      <c r="EU65" s="9" t="s">
        <v>622</v>
      </c>
      <c r="EV65" s="39">
        <v>10000</v>
      </c>
      <c r="EX65" s="39">
        <v>10000</v>
      </c>
      <c r="EZ65" s="9" t="s">
        <v>819</v>
      </c>
      <c r="FB65" s="9" t="s">
        <v>28</v>
      </c>
      <c r="FF65" s="9" t="s">
        <v>833</v>
      </c>
      <c r="FG65" s="9" t="s">
        <v>28</v>
      </c>
      <c r="FH65" s="9" t="s">
        <v>697</v>
      </c>
      <c r="FI65" s="42">
        <v>2000</v>
      </c>
      <c r="FJ65" s="9" t="s">
        <v>28</v>
      </c>
      <c r="FK65" s="9">
        <v>2</v>
      </c>
      <c r="FL65" s="9" t="s">
        <v>656</v>
      </c>
      <c r="FM65" s="9" t="s">
        <v>1023</v>
      </c>
      <c r="FU65" s="9" t="s">
        <v>657</v>
      </c>
      <c r="FV65" s="9" t="s">
        <v>1024</v>
      </c>
      <c r="FW65" s="39">
        <v>265</v>
      </c>
      <c r="FX65" s="9" t="s">
        <v>25</v>
      </c>
      <c r="FY65" s="9" t="s">
        <v>662</v>
      </c>
      <c r="FZ65" s="9" t="s">
        <v>25</v>
      </c>
      <c r="GB65" s="9" t="s">
        <v>628</v>
      </c>
      <c r="HI65" s="9" t="s">
        <v>632</v>
      </c>
      <c r="HJ65" s="9" t="s">
        <v>29</v>
      </c>
      <c r="HN65" s="9" t="s">
        <v>1025</v>
      </c>
      <c r="HO65" s="9" t="s">
        <v>667</v>
      </c>
      <c r="HP65" s="9" t="s">
        <v>25</v>
      </c>
      <c r="IC65" s="9" t="s">
        <v>13796</v>
      </c>
      <c r="ID65" s="9" t="s">
        <v>730</v>
      </c>
      <c r="IE65" s="11">
        <v>1</v>
      </c>
      <c r="IF65" s="11">
        <v>0.3</v>
      </c>
      <c r="IG65" s="9" t="s">
        <v>730</v>
      </c>
      <c r="IH65" s="11">
        <v>1</v>
      </c>
      <c r="II65" s="11">
        <v>0.25</v>
      </c>
      <c r="IJ65" s="9" t="s">
        <v>13402</v>
      </c>
      <c r="IK65" s="9" t="s">
        <v>805</v>
      </c>
      <c r="IL65" s="9" t="s">
        <v>731</v>
      </c>
      <c r="IM65" s="9" t="s">
        <v>731</v>
      </c>
      <c r="IN65" s="9" t="s">
        <v>731</v>
      </c>
      <c r="IT65" s="9" t="s">
        <v>733</v>
      </c>
      <c r="IU65" s="49" t="s">
        <v>9336</v>
      </c>
      <c r="IV65" s="49" t="s">
        <v>9336</v>
      </c>
      <c r="IW65" s="9" t="s">
        <v>640</v>
      </c>
      <c r="IX65" s="9" t="s">
        <v>640</v>
      </c>
      <c r="IY65" s="9" t="s">
        <v>703</v>
      </c>
      <c r="IZ65" s="9" t="s">
        <v>640</v>
      </c>
      <c r="JA65" s="9" t="s">
        <v>851</v>
      </c>
      <c r="JB65" s="9" t="s">
        <v>705</v>
      </c>
    </row>
    <row r="66" spans="1:262" ht="102" x14ac:dyDescent="0.2">
      <c r="A66" s="8" t="s">
        <v>167</v>
      </c>
      <c r="B66" s="9" t="s">
        <v>28</v>
      </c>
      <c r="C66" s="9" t="s">
        <v>25</v>
      </c>
      <c r="D66" s="9" t="s">
        <v>25</v>
      </c>
      <c r="E66" s="9" t="s">
        <v>28</v>
      </c>
      <c r="F66" s="9" t="s">
        <v>25</v>
      </c>
      <c r="G66" s="9" t="s">
        <v>25</v>
      </c>
      <c r="H66" s="9" t="s">
        <v>25</v>
      </c>
      <c r="I66" s="9" t="s">
        <v>28</v>
      </c>
      <c r="J66" s="9" t="s">
        <v>28</v>
      </c>
      <c r="K66" s="9" t="s">
        <v>28</v>
      </c>
      <c r="L66" s="9" t="s">
        <v>28</v>
      </c>
      <c r="M66" s="9" t="s">
        <v>25</v>
      </c>
      <c r="N66" s="9" t="s">
        <v>25</v>
      </c>
      <c r="O66" s="9" t="s">
        <v>25</v>
      </c>
      <c r="P66" s="9" t="s">
        <v>25</v>
      </c>
      <c r="Q66" s="9" t="s">
        <v>28</v>
      </c>
      <c r="R66" s="9" t="s">
        <v>25</v>
      </c>
      <c r="S66" s="9" t="s">
        <v>13316</v>
      </c>
      <c r="T66" s="9" t="s">
        <v>770</v>
      </c>
      <c r="U66" s="9" t="s">
        <v>28</v>
      </c>
      <c r="V66" s="39">
        <v>20000</v>
      </c>
      <c r="W66" s="9" t="s">
        <v>29</v>
      </c>
      <c r="X66" s="9" t="s">
        <v>1167</v>
      </c>
      <c r="Y66" s="39">
        <v>20000</v>
      </c>
      <c r="AB66" s="9" t="s">
        <v>645</v>
      </c>
      <c r="AD66" s="9" t="s">
        <v>646</v>
      </c>
      <c r="AF66" s="9" t="s">
        <v>1168</v>
      </c>
      <c r="AH66" s="9" t="s">
        <v>599</v>
      </c>
      <c r="AI66" s="9" t="s">
        <v>607</v>
      </c>
      <c r="AK66" s="9" t="s">
        <v>28</v>
      </c>
      <c r="AL66" s="9">
        <v>20</v>
      </c>
      <c r="AM66" s="9" t="s">
        <v>25</v>
      </c>
      <c r="AO66" s="9" t="s">
        <v>1169</v>
      </c>
      <c r="AP66" s="9">
        <v>20</v>
      </c>
      <c r="AS66" s="9" t="s">
        <v>864</v>
      </c>
      <c r="AT66" s="9" t="s">
        <v>25</v>
      </c>
      <c r="AU66" s="9" t="s">
        <v>1030</v>
      </c>
      <c r="AV66" s="9" t="s">
        <v>1030</v>
      </c>
      <c r="AW66" s="9" t="s">
        <v>678</v>
      </c>
      <c r="AY66" s="9">
        <v>4</v>
      </c>
      <c r="AZ66" s="9" t="s">
        <v>741</v>
      </c>
      <c r="BA66" s="9" t="s">
        <v>604</v>
      </c>
      <c r="BB66" s="9" t="s">
        <v>604</v>
      </c>
      <c r="BC66" s="9" t="s">
        <v>741</v>
      </c>
      <c r="BD66" s="9" t="s">
        <v>679</v>
      </c>
      <c r="BE66" s="9" t="s">
        <v>604</v>
      </c>
      <c r="BF66" s="9" t="s">
        <v>864</v>
      </c>
      <c r="BG66" s="9" t="s">
        <v>25</v>
      </c>
      <c r="BI66" s="9" t="s">
        <v>1030</v>
      </c>
      <c r="BJ66" s="9" t="s">
        <v>603</v>
      </c>
      <c r="BL66" s="9" t="s">
        <v>741</v>
      </c>
      <c r="BM66" s="9" t="s">
        <v>604</v>
      </c>
      <c r="BN66" s="9" t="s">
        <v>604</v>
      </c>
      <c r="BO66" s="9" t="s">
        <v>741</v>
      </c>
      <c r="BP66" s="9" t="s">
        <v>679</v>
      </c>
      <c r="BQ66" s="9" t="s">
        <v>604</v>
      </c>
      <c r="BR66" s="9" t="s">
        <v>607</v>
      </c>
      <c r="BS66" s="9" t="s">
        <v>1170</v>
      </c>
      <c r="BT66" s="9" t="s">
        <v>1171</v>
      </c>
      <c r="BU66" s="9" t="s">
        <v>609</v>
      </c>
      <c r="BV66" s="9" t="s">
        <v>1172</v>
      </c>
      <c r="BW66" s="9" t="s">
        <v>1173</v>
      </c>
      <c r="BX66" s="9" t="s">
        <v>28</v>
      </c>
      <c r="BY66" s="9" t="s">
        <v>644</v>
      </c>
      <c r="CA66" s="39">
        <v>20000</v>
      </c>
      <c r="CD66" s="9" t="s">
        <v>645</v>
      </c>
      <c r="CF66" s="9" t="s">
        <v>646</v>
      </c>
      <c r="CH66" s="9" t="s">
        <v>777</v>
      </c>
      <c r="CJ66" s="9" t="s">
        <v>856</v>
      </c>
      <c r="CL66" s="9" t="s">
        <v>611</v>
      </c>
      <c r="CM66" s="9" t="s">
        <v>914</v>
      </c>
      <c r="CN66" s="9" t="s">
        <v>1174</v>
      </c>
      <c r="CO66" s="9" t="s">
        <v>1037</v>
      </c>
      <c r="CT66" s="9" t="s">
        <v>1038</v>
      </c>
      <c r="DS66" s="9" t="s">
        <v>692</v>
      </c>
      <c r="DU66" s="9" t="s">
        <v>693</v>
      </c>
      <c r="DW66" s="9" t="s">
        <v>607</v>
      </c>
      <c r="DY66" s="9" t="s">
        <v>607</v>
      </c>
      <c r="EB66" s="9" t="s">
        <v>25</v>
      </c>
      <c r="ED66" s="9" t="s">
        <v>649</v>
      </c>
      <c r="EE66" s="9" t="s">
        <v>650</v>
      </c>
      <c r="EF66" s="9" t="s">
        <v>25</v>
      </c>
      <c r="EG66" s="9" t="s">
        <v>25</v>
      </c>
      <c r="EH66" s="9" t="s">
        <v>25</v>
      </c>
      <c r="EL66" s="9" t="s">
        <v>25</v>
      </c>
      <c r="EM66" s="9" t="s">
        <v>651</v>
      </c>
      <c r="EN66" s="9" t="s">
        <v>1022</v>
      </c>
      <c r="EP66" s="9" t="s">
        <v>28</v>
      </c>
      <c r="EQ66" s="9" t="s">
        <v>653</v>
      </c>
      <c r="ER66" s="9" t="s">
        <v>25</v>
      </c>
      <c r="ET66" s="9" t="s">
        <v>28</v>
      </c>
      <c r="EU66" s="9" t="s">
        <v>622</v>
      </c>
      <c r="EV66" s="39">
        <v>7500</v>
      </c>
      <c r="EX66" s="39">
        <v>9000</v>
      </c>
      <c r="EZ66" s="9" t="s">
        <v>819</v>
      </c>
      <c r="FB66" s="9" t="s">
        <v>28</v>
      </c>
      <c r="FC66" s="39">
        <v>600</v>
      </c>
      <c r="FD66" s="9" t="s">
        <v>13362</v>
      </c>
      <c r="FF66" s="9" t="s">
        <v>13365</v>
      </c>
      <c r="FG66" s="9" t="s">
        <v>28</v>
      </c>
      <c r="FH66" s="9" t="s">
        <v>799</v>
      </c>
      <c r="FI66" s="42">
        <v>2000</v>
      </c>
      <c r="FJ66" s="9" t="s">
        <v>25</v>
      </c>
      <c r="FL66" s="9" t="s">
        <v>624</v>
      </c>
      <c r="FM66" s="9" t="s">
        <v>779</v>
      </c>
      <c r="FN66" s="9" t="s">
        <v>657</v>
      </c>
      <c r="FO66" s="9" t="s">
        <v>657</v>
      </c>
      <c r="FT66" s="9" t="s">
        <v>657</v>
      </c>
      <c r="FV66" s="9" t="s">
        <v>1175</v>
      </c>
      <c r="FW66" s="39">
        <v>140</v>
      </c>
      <c r="FX66" s="9" t="s">
        <v>627</v>
      </c>
      <c r="FZ66" s="9" t="s">
        <v>25</v>
      </c>
      <c r="GB66" s="9" t="s">
        <v>663</v>
      </c>
      <c r="GL66" s="9" t="s">
        <v>629</v>
      </c>
      <c r="GM66" s="9" t="s">
        <v>629</v>
      </c>
      <c r="GN66" s="9" t="s">
        <v>630</v>
      </c>
      <c r="GO66" s="9" t="s">
        <v>630</v>
      </c>
      <c r="GP66" s="9" t="s">
        <v>631</v>
      </c>
      <c r="GQ66" s="9" t="s">
        <v>630</v>
      </c>
      <c r="GR66" s="9" t="s">
        <v>631</v>
      </c>
      <c r="GS66" s="9" t="s">
        <v>631</v>
      </c>
      <c r="GT66" s="9" t="s">
        <v>631</v>
      </c>
      <c r="GU66" s="9" t="s">
        <v>631</v>
      </c>
      <c r="GV66" s="9" t="s">
        <v>609</v>
      </c>
      <c r="GW66" s="9" t="s">
        <v>631</v>
      </c>
      <c r="GX66" s="9" t="s">
        <v>609</v>
      </c>
      <c r="GY66" s="9" t="s">
        <v>631</v>
      </c>
      <c r="GZ66" s="9" t="s">
        <v>629</v>
      </c>
      <c r="HA66" s="9" t="s">
        <v>631</v>
      </c>
      <c r="HB66" s="9" t="s">
        <v>609</v>
      </c>
      <c r="HC66" s="9" t="s">
        <v>609</v>
      </c>
      <c r="HD66" s="9" t="s">
        <v>631</v>
      </c>
      <c r="HE66" s="9" t="s">
        <v>630</v>
      </c>
      <c r="HF66" s="9" t="s">
        <v>630</v>
      </c>
      <c r="HG66" s="9" t="s">
        <v>631</v>
      </c>
      <c r="HH66" s="9" t="s">
        <v>609</v>
      </c>
      <c r="HI66" s="9" t="s">
        <v>632</v>
      </c>
      <c r="HJ66" s="9" t="s">
        <v>665</v>
      </c>
      <c r="HK66" s="9" t="s">
        <v>1176</v>
      </c>
      <c r="HM66" s="9" t="s">
        <v>13792</v>
      </c>
      <c r="HO66" s="9" t="s">
        <v>872</v>
      </c>
      <c r="HP66" s="9" t="s">
        <v>28</v>
      </c>
      <c r="HQ66" s="9" t="s">
        <v>29</v>
      </c>
      <c r="HR66" s="9" t="s">
        <v>25</v>
      </c>
      <c r="HS66" s="9" t="s">
        <v>25</v>
      </c>
      <c r="HT66" s="9" t="s">
        <v>28</v>
      </c>
      <c r="HU66" s="9" t="s">
        <v>28</v>
      </c>
      <c r="HV66" s="9" t="s">
        <v>25</v>
      </c>
      <c r="HW66" s="9" t="s">
        <v>25</v>
      </c>
      <c r="HX66" s="9" t="s">
        <v>25</v>
      </c>
      <c r="HZ66" s="9" t="s">
        <v>635</v>
      </c>
      <c r="IA66" s="9" t="s">
        <v>25</v>
      </c>
      <c r="IC66" s="9" t="s">
        <v>13797</v>
      </c>
      <c r="ID66" s="9" t="s">
        <v>730</v>
      </c>
      <c r="IE66" s="11">
        <v>1</v>
      </c>
      <c r="IF66" s="11">
        <v>0.24</v>
      </c>
      <c r="IO66" s="9" t="s">
        <v>730</v>
      </c>
      <c r="IP66" s="11">
        <v>1</v>
      </c>
      <c r="IQ66" s="11">
        <v>0.15</v>
      </c>
      <c r="IR66" s="9" t="s">
        <v>638</v>
      </c>
      <c r="IS66" s="9" t="s">
        <v>1177</v>
      </c>
      <c r="IT66" s="9" t="s">
        <v>13409</v>
      </c>
      <c r="IV66" s="49" t="s">
        <v>9336</v>
      </c>
      <c r="IW66" s="9" t="s">
        <v>640</v>
      </c>
      <c r="IX66" s="9" t="s">
        <v>640</v>
      </c>
      <c r="IY66" s="9" t="s">
        <v>703</v>
      </c>
      <c r="IZ66" s="9" t="s">
        <v>703</v>
      </c>
      <c r="JA66" s="9" t="s">
        <v>900</v>
      </c>
      <c r="JB66" s="9" t="s">
        <v>642</v>
      </c>
    </row>
    <row r="67" spans="1:262" x14ac:dyDescent="0.2">
      <c r="A67" s="71" t="s">
        <v>14025</v>
      </c>
      <c r="B67" s="72">
        <f>COUNTA(B3:B66)</f>
        <v>64</v>
      </c>
      <c r="C67" s="72">
        <f t="shared" ref="C67:BN67" si="0">COUNTA(C3:C66)</f>
        <v>28</v>
      </c>
      <c r="D67" s="72">
        <f t="shared" si="0"/>
        <v>28</v>
      </c>
      <c r="E67" s="72">
        <f t="shared" si="0"/>
        <v>28</v>
      </c>
      <c r="F67" s="72">
        <f t="shared" si="0"/>
        <v>27</v>
      </c>
      <c r="G67" s="72">
        <f t="shared" si="0"/>
        <v>27</v>
      </c>
      <c r="H67" s="72">
        <f t="shared" si="0"/>
        <v>27</v>
      </c>
      <c r="I67" s="72">
        <f t="shared" si="0"/>
        <v>27</v>
      </c>
      <c r="J67" s="72">
        <f t="shared" si="0"/>
        <v>27</v>
      </c>
      <c r="K67" s="72">
        <f t="shared" si="0"/>
        <v>27</v>
      </c>
      <c r="L67" s="72">
        <f t="shared" si="0"/>
        <v>27</v>
      </c>
      <c r="M67" s="72">
        <f t="shared" si="0"/>
        <v>27</v>
      </c>
      <c r="N67" s="72">
        <f t="shared" si="0"/>
        <v>28</v>
      </c>
      <c r="O67" s="72">
        <f t="shared" si="0"/>
        <v>28</v>
      </c>
      <c r="P67" s="72">
        <f t="shared" si="0"/>
        <v>28</v>
      </c>
      <c r="Q67" s="72">
        <f t="shared" si="0"/>
        <v>28</v>
      </c>
      <c r="R67" s="72">
        <f t="shared" si="0"/>
        <v>28</v>
      </c>
      <c r="S67" s="72">
        <f t="shared" si="0"/>
        <v>64</v>
      </c>
      <c r="T67" s="72">
        <f t="shared" si="0"/>
        <v>57</v>
      </c>
      <c r="U67" s="72">
        <f t="shared" si="0"/>
        <v>56</v>
      </c>
      <c r="V67" s="72">
        <f t="shared" si="0"/>
        <v>53</v>
      </c>
      <c r="W67" s="72">
        <f t="shared" si="0"/>
        <v>56</v>
      </c>
      <c r="X67" s="72">
        <f t="shared" si="0"/>
        <v>11</v>
      </c>
      <c r="Y67" s="72">
        <f t="shared" si="0"/>
        <v>44</v>
      </c>
      <c r="Z67" s="72">
        <f t="shared" si="0"/>
        <v>19</v>
      </c>
      <c r="AA67" s="72">
        <f t="shared" si="0"/>
        <v>6</v>
      </c>
      <c r="AB67" s="72">
        <f t="shared" si="0"/>
        <v>56</v>
      </c>
      <c r="AC67" s="72">
        <f t="shared" si="0"/>
        <v>3</v>
      </c>
      <c r="AD67" s="72">
        <f t="shared" si="0"/>
        <v>55</v>
      </c>
      <c r="AE67" s="72">
        <f t="shared" si="0"/>
        <v>15</v>
      </c>
      <c r="AF67" s="72">
        <f t="shared" si="0"/>
        <v>56</v>
      </c>
      <c r="AG67" s="72">
        <f t="shared" si="0"/>
        <v>9</v>
      </c>
      <c r="AH67" s="72">
        <f t="shared" si="0"/>
        <v>50</v>
      </c>
      <c r="AI67" s="72">
        <f t="shared" si="0"/>
        <v>50</v>
      </c>
      <c r="AJ67" s="72">
        <f t="shared" si="0"/>
        <v>6</v>
      </c>
      <c r="AK67" s="72">
        <f t="shared" si="0"/>
        <v>50</v>
      </c>
      <c r="AL67" s="72">
        <f t="shared" si="0"/>
        <v>47</v>
      </c>
      <c r="AM67" s="72">
        <f t="shared" si="0"/>
        <v>48</v>
      </c>
      <c r="AN67" s="72">
        <f t="shared" si="0"/>
        <v>24</v>
      </c>
      <c r="AO67" s="72">
        <f t="shared" si="0"/>
        <v>49</v>
      </c>
      <c r="AP67" s="72">
        <f t="shared" si="0"/>
        <v>37</v>
      </c>
      <c r="AQ67" s="72">
        <f t="shared" si="0"/>
        <v>20</v>
      </c>
      <c r="AR67" s="72">
        <f t="shared" si="0"/>
        <v>7</v>
      </c>
      <c r="AS67" s="72">
        <f t="shared" si="0"/>
        <v>51</v>
      </c>
      <c r="AT67" s="72">
        <f t="shared" si="0"/>
        <v>38</v>
      </c>
      <c r="AU67" s="72">
        <f t="shared" si="0"/>
        <v>33</v>
      </c>
      <c r="AV67" s="72">
        <f t="shared" si="0"/>
        <v>32</v>
      </c>
      <c r="AW67" s="72">
        <f t="shared" si="0"/>
        <v>36</v>
      </c>
      <c r="AX67" s="72">
        <f t="shared" si="0"/>
        <v>16</v>
      </c>
      <c r="AY67" s="72">
        <f t="shared" si="0"/>
        <v>11</v>
      </c>
      <c r="AZ67" s="72">
        <f t="shared" si="0"/>
        <v>36</v>
      </c>
      <c r="BA67" s="72">
        <f t="shared" si="0"/>
        <v>30</v>
      </c>
      <c r="BB67" s="72">
        <f t="shared" si="0"/>
        <v>29</v>
      </c>
      <c r="BC67" s="72">
        <f t="shared" si="0"/>
        <v>36</v>
      </c>
      <c r="BD67" s="72">
        <f t="shared" si="0"/>
        <v>35</v>
      </c>
      <c r="BE67" s="72">
        <f t="shared" si="0"/>
        <v>29</v>
      </c>
      <c r="BF67" s="72">
        <f t="shared" si="0"/>
        <v>51</v>
      </c>
      <c r="BG67" s="72">
        <f t="shared" si="0"/>
        <v>40</v>
      </c>
      <c r="BH67" s="72">
        <f t="shared" si="0"/>
        <v>25</v>
      </c>
      <c r="BI67" s="72">
        <f t="shared" si="0"/>
        <v>33</v>
      </c>
      <c r="BJ67" s="72">
        <f t="shared" si="0"/>
        <v>40</v>
      </c>
      <c r="BK67" s="72">
        <f t="shared" si="0"/>
        <v>17</v>
      </c>
      <c r="BL67" s="72">
        <f t="shared" si="0"/>
        <v>39</v>
      </c>
      <c r="BM67" s="72">
        <f t="shared" si="0"/>
        <v>32</v>
      </c>
      <c r="BN67" s="72">
        <f t="shared" si="0"/>
        <v>32</v>
      </c>
      <c r="BO67" s="72">
        <f t="shared" ref="BO67:DZ67" si="1">COUNTA(BO3:BO66)</f>
        <v>40</v>
      </c>
      <c r="BP67" s="72">
        <f t="shared" si="1"/>
        <v>38</v>
      </c>
      <c r="BQ67" s="72">
        <f t="shared" si="1"/>
        <v>33</v>
      </c>
      <c r="BR67" s="72">
        <f t="shared" si="1"/>
        <v>49</v>
      </c>
      <c r="BS67" s="72">
        <f t="shared" si="1"/>
        <v>33</v>
      </c>
      <c r="BT67" s="72">
        <f t="shared" si="1"/>
        <v>44</v>
      </c>
      <c r="BU67" s="72">
        <f t="shared" si="1"/>
        <v>36</v>
      </c>
      <c r="BV67" s="72">
        <f t="shared" si="1"/>
        <v>4</v>
      </c>
      <c r="BW67" s="72">
        <f t="shared" si="1"/>
        <v>25</v>
      </c>
      <c r="BX67" s="72">
        <f t="shared" si="1"/>
        <v>39</v>
      </c>
      <c r="BY67" s="72">
        <f t="shared" si="1"/>
        <v>37</v>
      </c>
      <c r="BZ67" s="72">
        <f t="shared" si="1"/>
        <v>5</v>
      </c>
      <c r="CA67" s="72">
        <f t="shared" si="1"/>
        <v>23</v>
      </c>
      <c r="CB67" s="72">
        <f t="shared" si="1"/>
        <v>21</v>
      </c>
      <c r="CC67" s="72">
        <f t="shared" si="1"/>
        <v>4</v>
      </c>
      <c r="CD67" s="72">
        <f t="shared" si="1"/>
        <v>37</v>
      </c>
      <c r="CE67" s="72">
        <f t="shared" si="1"/>
        <v>4</v>
      </c>
      <c r="CF67" s="72">
        <f t="shared" si="1"/>
        <v>37</v>
      </c>
      <c r="CG67" s="72">
        <f t="shared" si="1"/>
        <v>12</v>
      </c>
      <c r="CH67" s="72">
        <f t="shared" si="1"/>
        <v>33</v>
      </c>
      <c r="CI67" s="72">
        <f t="shared" si="1"/>
        <v>6</v>
      </c>
      <c r="CJ67" s="72">
        <f t="shared" si="1"/>
        <v>35</v>
      </c>
      <c r="CK67" s="72">
        <f t="shared" si="1"/>
        <v>2</v>
      </c>
      <c r="CL67" s="72">
        <f t="shared" si="1"/>
        <v>31</v>
      </c>
      <c r="CM67" s="72">
        <f t="shared" si="1"/>
        <v>32</v>
      </c>
      <c r="CN67" s="72">
        <f t="shared" si="1"/>
        <v>18</v>
      </c>
      <c r="CO67" s="72">
        <f t="shared" si="1"/>
        <v>16</v>
      </c>
      <c r="CP67" s="72">
        <f t="shared" si="1"/>
        <v>6</v>
      </c>
      <c r="CQ67" s="72">
        <f t="shared" si="1"/>
        <v>0</v>
      </c>
      <c r="CR67" s="72">
        <f t="shared" si="1"/>
        <v>1</v>
      </c>
      <c r="CS67" s="72">
        <f t="shared" si="1"/>
        <v>6</v>
      </c>
      <c r="CT67" s="72">
        <f t="shared" si="1"/>
        <v>4</v>
      </c>
      <c r="CU67" s="72">
        <f t="shared" si="1"/>
        <v>0</v>
      </c>
      <c r="CV67" s="72">
        <f t="shared" si="1"/>
        <v>8</v>
      </c>
      <c r="CW67" s="72">
        <f t="shared" si="1"/>
        <v>9</v>
      </c>
      <c r="CX67" s="72">
        <f t="shared" si="1"/>
        <v>10</v>
      </c>
      <c r="CY67" s="72">
        <f t="shared" si="1"/>
        <v>1</v>
      </c>
      <c r="CZ67" s="72">
        <f t="shared" si="1"/>
        <v>10</v>
      </c>
      <c r="DA67" s="72">
        <f t="shared" si="1"/>
        <v>5</v>
      </c>
      <c r="DB67" s="72">
        <f t="shared" si="1"/>
        <v>1</v>
      </c>
      <c r="DC67" s="72">
        <f t="shared" si="1"/>
        <v>5</v>
      </c>
      <c r="DD67" s="72">
        <f t="shared" si="1"/>
        <v>0</v>
      </c>
      <c r="DE67" s="72">
        <f t="shared" si="1"/>
        <v>5</v>
      </c>
      <c r="DF67" s="72">
        <f t="shared" si="1"/>
        <v>1</v>
      </c>
      <c r="DG67" s="72">
        <f t="shared" si="1"/>
        <v>0</v>
      </c>
      <c r="DH67" s="72">
        <f t="shared" si="1"/>
        <v>1</v>
      </c>
      <c r="DI67" s="72">
        <f t="shared" si="1"/>
        <v>0</v>
      </c>
      <c r="DJ67" s="72">
        <f t="shared" si="1"/>
        <v>0</v>
      </c>
      <c r="DK67" s="72">
        <f t="shared" si="1"/>
        <v>4</v>
      </c>
      <c r="DL67" s="72">
        <f t="shared" si="1"/>
        <v>4</v>
      </c>
      <c r="DM67" s="72">
        <f t="shared" si="1"/>
        <v>4</v>
      </c>
      <c r="DN67" s="72">
        <f t="shared" si="1"/>
        <v>1</v>
      </c>
      <c r="DO67" s="72">
        <f t="shared" si="1"/>
        <v>1</v>
      </c>
      <c r="DP67" s="72">
        <f t="shared" si="1"/>
        <v>1</v>
      </c>
      <c r="DQ67" s="72">
        <f t="shared" si="1"/>
        <v>11</v>
      </c>
      <c r="DR67" s="72">
        <f t="shared" si="1"/>
        <v>3</v>
      </c>
      <c r="DS67" s="72">
        <f t="shared" si="1"/>
        <v>32</v>
      </c>
      <c r="DT67" s="72">
        <f t="shared" si="1"/>
        <v>4</v>
      </c>
      <c r="DU67" s="72">
        <f t="shared" si="1"/>
        <v>26</v>
      </c>
      <c r="DV67" s="72">
        <f t="shared" si="1"/>
        <v>1</v>
      </c>
      <c r="DW67" s="72">
        <f t="shared" si="1"/>
        <v>32</v>
      </c>
      <c r="DX67" s="72">
        <f t="shared" si="1"/>
        <v>8</v>
      </c>
      <c r="DY67" s="72">
        <f t="shared" si="1"/>
        <v>30</v>
      </c>
      <c r="DZ67" s="72">
        <f t="shared" si="1"/>
        <v>0</v>
      </c>
      <c r="EA67" s="72">
        <f t="shared" ref="EA67:GL67" si="2">COUNTA(EA3:EA66)</f>
        <v>14</v>
      </c>
      <c r="EB67" s="72">
        <f t="shared" si="2"/>
        <v>31</v>
      </c>
      <c r="EC67" s="72">
        <f t="shared" si="2"/>
        <v>3</v>
      </c>
      <c r="ED67" s="72">
        <f t="shared" si="2"/>
        <v>64</v>
      </c>
      <c r="EE67" s="72">
        <f t="shared" si="2"/>
        <v>63</v>
      </c>
      <c r="EF67" s="72">
        <f t="shared" si="2"/>
        <v>63</v>
      </c>
      <c r="EG67" s="72">
        <f t="shared" si="2"/>
        <v>58</v>
      </c>
      <c r="EH67" s="72">
        <f t="shared" si="2"/>
        <v>62</v>
      </c>
      <c r="EI67" s="72">
        <f t="shared" si="2"/>
        <v>1</v>
      </c>
      <c r="EJ67" s="72">
        <f t="shared" si="2"/>
        <v>1</v>
      </c>
      <c r="EK67" s="72">
        <f t="shared" si="2"/>
        <v>6</v>
      </c>
      <c r="EL67" s="72">
        <f t="shared" si="2"/>
        <v>63</v>
      </c>
      <c r="EM67" s="72">
        <f t="shared" si="2"/>
        <v>62</v>
      </c>
      <c r="EN67" s="72">
        <f t="shared" si="2"/>
        <v>48</v>
      </c>
      <c r="EO67" s="72">
        <f t="shared" si="2"/>
        <v>4</v>
      </c>
      <c r="EP67" s="72">
        <f t="shared" si="2"/>
        <v>51</v>
      </c>
      <c r="EQ67" s="72">
        <f t="shared" si="2"/>
        <v>37</v>
      </c>
      <c r="ER67" s="72">
        <f t="shared" si="2"/>
        <v>51</v>
      </c>
      <c r="ES67" s="72">
        <f t="shared" si="2"/>
        <v>17</v>
      </c>
      <c r="ET67" s="72">
        <f t="shared" si="2"/>
        <v>51</v>
      </c>
      <c r="EU67" s="72">
        <f t="shared" si="2"/>
        <v>43</v>
      </c>
      <c r="EV67" s="72">
        <f t="shared" si="2"/>
        <v>44</v>
      </c>
      <c r="EW67" s="72">
        <f t="shared" si="2"/>
        <v>21</v>
      </c>
      <c r="EX67" s="72">
        <f t="shared" si="2"/>
        <v>46</v>
      </c>
      <c r="EY67" s="72">
        <f t="shared" si="2"/>
        <v>21</v>
      </c>
      <c r="EZ67" s="72">
        <f t="shared" si="2"/>
        <v>44</v>
      </c>
      <c r="FA67" s="72">
        <f t="shared" si="2"/>
        <v>19</v>
      </c>
      <c r="FB67" s="72">
        <f t="shared" si="2"/>
        <v>51</v>
      </c>
      <c r="FC67" s="72">
        <f t="shared" si="2"/>
        <v>33</v>
      </c>
      <c r="FD67" s="72">
        <f t="shared" si="2"/>
        <v>34</v>
      </c>
      <c r="FE67" s="72">
        <f t="shared" si="2"/>
        <v>4</v>
      </c>
      <c r="FF67" s="72">
        <f t="shared" si="2"/>
        <v>64</v>
      </c>
      <c r="FG67" s="72">
        <f t="shared" si="2"/>
        <v>56</v>
      </c>
      <c r="FH67" s="72">
        <f t="shared" si="2"/>
        <v>46</v>
      </c>
      <c r="FI67" s="72">
        <f t="shared" si="2"/>
        <v>48</v>
      </c>
      <c r="FJ67" s="72">
        <f t="shared" si="2"/>
        <v>55</v>
      </c>
      <c r="FK67" s="72">
        <f t="shared" si="2"/>
        <v>39</v>
      </c>
      <c r="FL67" s="72">
        <f t="shared" si="2"/>
        <v>59</v>
      </c>
      <c r="FM67" s="72">
        <f t="shared" si="2"/>
        <v>58</v>
      </c>
      <c r="FN67" s="72">
        <f t="shared" si="2"/>
        <v>31</v>
      </c>
      <c r="FO67" s="72">
        <f t="shared" si="2"/>
        <v>33</v>
      </c>
      <c r="FP67" s="72">
        <f t="shared" si="2"/>
        <v>25</v>
      </c>
      <c r="FQ67" s="72">
        <f t="shared" si="2"/>
        <v>14</v>
      </c>
      <c r="FR67" s="72">
        <f t="shared" si="2"/>
        <v>11</v>
      </c>
      <c r="FS67" s="72">
        <f t="shared" si="2"/>
        <v>17</v>
      </c>
      <c r="FT67" s="72">
        <f t="shared" si="2"/>
        <v>31</v>
      </c>
      <c r="FU67" s="72">
        <f t="shared" si="2"/>
        <v>20</v>
      </c>
      <c r="FV67" s="72">
        <f t="shared" si="2"/>
        <v>57</v>
      </c>
      <c r="FW67" s="72">
        <f t="shared" si="2"/>
        <v>57</v>
      </c>
      <c r="FX67" s="72">
        <f t="shared" si="2"/>
        <v>57</v>
      </c>
      <c r="FY67" s="72">
        <f t="shared" si="2"/>
        <v>24</v>
      </c>
      <c r="FZ67" s="72">
        <f t="shared" si="2"/>
        <v>59</v>
      </c>
      <c r="GA67" s="72">
        <f t="shared" si="2"/>
        <v>32</v>
      </c>
      <c r="GB67" s="72">
        <f t="shared" si="2"/>
        <v>56</v>
      </c>
      <c r="GC67" s="72">
        <f t="shared" si="2"/>
        <v>28</v>
      </c>
      <c r="GD67" s="72">
        <f t="shared" si="2"/>
        <v>28</v>
      </c>
      <c r="GE67" s="72">
        <f t="shared" si="2"/>
        <v>29</v>
      </c>
      <c r="GF67" s="72">
        <f t="shared" si="2"/>
        <v>29</v>
      </c>
      <c r="GG67" s="72">
        <f t="shared" si="2"/>
        <v>27</v>
      </c>
      <c r="GH67" s="72">
        <f t="shared" si="2"/>
        <v>28</v>
      </c>
      <c r="GI67" s="72">
        <f t="shared" si="2"/>
        <v>26</v>
      </c>
      <c r="GJ67" s="72">
        <f t="shared" si="2"/>
        <v>27</v>
      </c>
      <c r="GK67" s="72">
        <f t="shared" si="2"/>
        <v>28</v>
      </c>
      <c r="GL67" s="72">
        <f t="shared" si="2"/>
        <v>46</v>
      </c>
      <c r="GM67" s="72">
        <f t="shared" ref="GM67:IX67" si="3">COUNTA(GM3:GM66)</f>
        <v>46</v>
      </c>
      <c r="GN67" s="72">
        <f t="shared" si="3"/>
        <v>44</v>
      </c>
      <c r="GO67" s="72">
        <f t="shared" si="3"/>
        <v>45</v>
      </c>
      <c r="GP67" s="72">
        <f t="shared" si="3"/>
        <v>44</v>
      </c>
      <c r="GQ67" s="72">
        <f t="shared" si="3"/>
        <v>43</v>
      </c>
      <c r="GR67" s="72">
        <f t="shared" si="3"/>
        <v>43</v>
      </c>
      <c r="GS67" s="72">
        <f t="shared" si="3"/>
        <v>42</v>
      </c>
      <c r="GT67" s="72">
        <f t="shared" si="3"/>
        <v>42</v>
      </c>
      <c r="GU67" s="72">
        <f t="shared" si="3"/>
        <v>42</v>
      </c>
      <c r="GV67" s="72">
        <f t="shared" si="3"/>
        <v>43</v>
      </c>
      <c r="GW67" s="72">
        <f t="shared" si="3"/>
        <v>41</v>
      </c>
      <c r="GX67" s="72">
        <f t="shared" si="3"/>
        <v>41</v>
      </c>
      <c r="GY67" s="72">
        <f t="shared" si="3"/>
        <v>40</v>
      </c>
      <c r="GZ67" s="72">
        <f t="shared" si="3"/>
        <v>40</v>
      </c>
      <c r="HA67" s="72">
        <f t="shared" si="3"/>
        <v>40</v>
      </c>
      <c r="HB67" s="72">
        <f t="shared" si="3"/>
        <v>41</v>
      </c>
      <c r="HC67" s="72">
        <f t="shared" si="3"/>
        <v>41</v>
      </c>
      <c r="HD67" s="72">
        <f t="shared" si="3"/>
        <v>39</v>
      </c>
      <c r="HE67" s="72">
        <f t="shared" si="3"/>
        <v>43</v>
      </c>
      <c r="HF67" s="72">
        <f t="shared" si="3"/>
        <v>41</v>
      </c>
      <c r="HG67" s="72">
        <f t="shared" si="3"/>
        <v>39</v>
      </c>
      <c r="HH67" s="72">
        <f t="shared" si="3"/>
        <v>41</v>
      </c>
      <c r="HI67" s="72">
        <f t="shared" si="3"/>
        <v>39</v>
      </c>
      <c r="HJ67" s="72">
        <f t="shared" si="3"/>
        <v>34</v>
      </c>
      <c r="HK67" s="72">
        <f t="shared" si="3"/>
        <v>6</v>
      </c>
      <c r="HL67" s="72">
        <f t="shared" si="3"/>
        <v>9</v>
      </c>
      <c r="HM67" s="72">
        <f t="shared" si="3"/>
        <v>18</v>
      </c>
      <c r="HN67" s="72">
        <f t="shared" si="3"/>
        <v>6</v>
      </c>
      <c r="HO67" s="72">
        <f t="shared" si="3"/>
        <v>55</v>
      </c>
      <c r="HP67" s="72">
        <f t="shared" si="3"/>
        <v>64</v>
      </c>
      <c r="HQ67" s="72">
        <f t="shared" si="3"/>
        <v>47</v>
      </c>
      <c r="HR67" s="72">
        <f t="shared" si="3"/>
        <v>46</v>
      </c>
      <c r="HS67" s="72">
        <f t="shared" si="3"/>
        <v>47</v>
      </c>
      <c r="HT67" s="72">
        <f t="shared" si="3"/>
        <v>36</v>
      </c>
      <c r="HU67" s="72">
        <f t="shared" si="3"/>
        <v>47</v>
      </c>
      <c r="HV67" s="72">
        <f t="shared" si="3"/>
        <v>45</v>
      </c>
      <c r="HW67" s="72">
        <f t="shared" si="3"/>
        <v>47</v>
      </c>
      <c r="HX67" s="72">
        <f t="shared" si="3"/>
        <v>46</v>
      </c>
      <c r="HY67" s="72">
        <f t="shared" si="3"/>
        <v>19</v>
      </c>
      <c r="HZ67" s="72">
        <f t="shared" si="3"/>
        <v>47</v>
      </c>
      <c r="IA67" s="72">
        <f t="shared" si="3"/>
        <v>46</v>
      </c>
      <c r="IB67" s="72">
        <f t="shared" si="3"/>
        <v>44</v>
      </c>
      <c r="IC67" s="72">
        <f t="shared" si="3"/>
        <v>64</v>
      </c>
      <c r="ID67" s="72">
        <f t="shared" si="3"/>
        <v>28</v>
      </c>
      <c r="IE67" s="72">
        <f t="shared" si="3"/>
        <v>28</v>
      </c>
      <c r="IF67" s="72">
        <f t="shared" si="3"/>
        <v>22</v>
      </c>
      <c r="IG67" s="72">
        <f t="shared" si="3"/>
        <v>34</v>
      </c>
      <c r="IH67" s="72">
        <f t="shared" si="3"/>
        <v>33</v>
      </c>
      <c r="II67" s="72">
        <f t="shared" si="3"/>
        <v>29</v>
      </c>
      <c r="IJ67" s="72">
        <f t="shared" si="3"/>
        <v>32</v>
      </c>
      <c r="IK67" s="72">
        <f t="shared" si="3"/>
        <v>31</v>
      </c>
      <c r="IL67" s="72">
        <f t="shared" si="3"/>
        <v>30</v>
      </c>
      <c r="IM67" s="72">
        <f t="shared" si="3"/>
        <v>32</v>
      </c>
      <c r="IN67" s="72">
        <f t="shared" si="3"/>
        <v>30</v>
      </c>
      <c r="IO67" s="72">
        <f t="shared" si="3"/>
        <v>23</v>
      </c>
      <c r="IP67" s="72">
        <f t="shared" si="3"/>
        <v>23</v>
      </c>
      <c r="IQ67" s="72">
        <f t="shared" si="3"/>
        <v>19</v>
      </c>
      <c r="IR67" s="72">
        <f t="shared" si="3"/>
        <v>54</v>
      </c>
      <c r="IS67" s="72">
        <f t="shared" si="3"/>
        <v>54</v>
      </c>
      <c r="IT67" s="72">
        <f t="shared" si="3"/>
        <v>64</v>
      </c>
      <c r="IU67" s="72">
        <f t="shared" si="3"/>
        <v>40</v>
      </c>
      <c r="IV67" s="72">
        <f t="shared" si="3"/>
        <v>64</v>
      </c>
      <c r="IW67" s="72">
        <f t="shared" si="3"/>
        <v>63</v>
      </c>
      <c r="IX67" s="72">
        <f t="shared" si="3"/>
        <v>64</v>
      </c>
      <c r="IY67" s="72">
        <f t="shared" ref="IY67:JB67" si="4">COUNTA(IY3:IY66)</f>
        <v>64</v>
      </c>
      <c r="IZ67" s="72">
        <f t="shared" si="4"/>
        <v>63</v>
      </c>
      <c r="JA67" s="72">
        <f t="shared" si="4"/>
        <v>64</v>
      </c>
      <c r="JB67" s="72">
        <f t="shared" si="4"/>
        <v>64</v>
      </c>
    </row>
  </sheetData>
  <autoFilter ref="A2:JB67" xr:uid="{0CE71D1F-D18B-489C-B652-F17FC1AE07C1}">
    <sortState xmlns:xlrd2="http://schemas.microsoft.com/office/spreadsheetml/2017/richdata2" ref="A3:JB66">
      <sortCondition ref="A3:A66"/>
    </sortState>
  </autoFilter>
  <conditionalFormatting sqref="A3:A66">
    <cfRule type="duplicateValues" dxfId="8" priority="1"/>
    <cfRule type="duplicateValues" dxfId="7" priority="2"/>
    <cfRule type="duplicateValues" dxfId="6" priority="3"/>
  </conditionalFormatting>
  <hyperlinks>
    <hyperlink ref="A1" location="Index!A1" display="Index" xr:uid="{00000000-0004-0000-0500-000000000000}"/>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RE67"/>
  <sheetViews>
    <sheetView workbookViewId="0">
      <pane xSplit="1" ySplit="2" topLeftCell="B3" activePane="bottomRight" state="frozen"/>
      <selection activeCell="O59" sqref="O59"/>
      <selection pane="topRight" activeCell="O59" sqref="O59"/>
      <selection pane="bottomLeft" activeCell="O59" sqref="O59"/>
      <selection pane="bottomRight" activeCell="B3" sqref="B3"/>
    </sheetView>
  </sheetViews>
  <sheetFormatPr defaultRowHeight="12.75" x14ac:dyDescent="0.2"/>
  <cols>
    <col min="1" max="1" width="11.42578125" style="20" bestFit="1" customWidth="1"/>
    <col min="2" max="5" width="30.7109375" style="25" customWidth="1"/>
    <col min="6" max="12" width="30.7109375" style="26" customWidth="1"/>
    <col min="13" max="17" width="30.7109375" style="25" customWidth="1"/>
    <col min="18" max="24" width="30.7109375" style="26" customWidth="1"/>
    <col min="25" max="28" width="30.7109375" style="25" customWidth="1"/>
    <col min="29" max="34" width="30.7109375" style="56" customWidth="1"/>
    <col min="35" max="35" width="30.7109375" style="25" customWidth="1"/>
    <col min="36" max="39" width="30.7109375" style="56" customWidth="1"/>
    <col min="40" max="75" width="30.7109375" style="25" customWidth="1"/>
    <col min="76" max="76" width="30.7109375" style="56" customWidth="1"/>
    <col min="77" max="88" width="30.7109375" style="25" customWidth="1"/>
    <col min="89" max="89" width="30.7109375" style="56" customWidth="1"/>
    <col min="90" max="99" width="30.7109375" style="25" customWidth="1"/>
    <col min="100" max="105" width="30.7109375" style="56" customWidth="1"/>
    <col min="106" max="106" width="30.7109375" style="53" customWidth="1"/>
    <col min="107" max="118" width="30.7109375" style="56" customWidth="1"/>
    <col min="119" max="125" width="30.7109375" style="25" customWidth="1"/>
    <col min="126" max="132" width="30.7109375" style="56" customWidth="1"/>
    <col min="133" max="139" width="30.7109375" style="25" customWidth="1"/>
    <col min="140" max="146" width="30.7109375" style="56" customWidth="1"/>
    <col min="147" max="186" width="30.7109375" style="25" customWidth="1"/>
    <col min="187" max="214" width="30.7109375" style="56" customWidth="1"/>
    <col min="215" max="221" width="30.7109375" style="25" customWidth="1"/>
    <col min="222" max="235" width="30.7109375" style="56" customWidth="1"/>
    <col min="236" max="242" width="30.7109375" style="25" customWidth="1"/>
    <col min="243" max="256" width="30.7109375" style="56" customWidth="1"/>
    <col min="257" max="263" width="30.7109375" style="25" customWidth="1"/>
    <col min="264" max="277" width="30.7109375" style="56" customWidth="1"/>
    <col min="278" max="284" width="30.7109375" style="25" customWidth="1"/>
    <col min="285" max="298" width="30.7109375" style="56" customWidth="1"/>
    <col min="299" max="304" width="30.7109375" style="25" customWidth="1"/>
    <col min="305" max="310" width="30.7109375" style="56" customWidth="1"/>
    <col min="311" max="311" width="30.7109375" style="25" customWidth="1"/>
    <col min="312" max="315" width="30.7109375" style="56" customWidth="1"/>
    <col min="316" max="390" width="30.7109375" style="25" customWidth="1"/>
    <col min="391" max="391" width="30.7109375" style="56" customWidth="1"/>
    <col min="392" max="401" width="30.7109375" style="25" customWidth="1"/>
    <col min="402" max="408" width="30.7109375" style="56" customWidth="1"/>
    <col min="409" max="415" width="30.7109375" style="25" customWidth="1"/>
    <col min="416" max="422" width="30.7109375" style="56" customWidth="1"/>
    <col min="423" max="462" width="30.7109375" style="25" customWidth="1"/>
    <col min="463" max="490" width="30.7109375" style="56" customWidth="1"/>
    <col min="491" max="497" width="30.7109375" style="25" customWidth="1"/>
    <col min="498" max="511" width="30.7109375" style="56" customWidth="1"/>
    <col min="512" max="518" width="30.7109375" style="25" customWidth="1"/>
    <col min="519" max="532" width="30.7109375" style="56" customWidth="1"/>
    <col min="533" max="539" width="30.7109375" style="25" customWidth="1"/>
    <col min="540" max="553" width="30.7109375" style="56" customWidth="1"/>
    <col min="554" max="560" width="30.7109375" style="25" customWidth="1"/>
    <col min="561" max="574" width="30.7109375" style="56" customWidth="1"/>
    <col min="575" max="580" width="30.7109375" style="25" customWidth="1"/>
    <col min="581" max="586" width="30.7109375" style="56" customWidth="1"/>
    <col min="587" max="587" width="30.7109375" style="25" customWidth="1"/>
    <col min="588" max="591" width="30.7109375" style="56" customWidth="1"/>
    <col min="592" max="676" width="30.7109375" style="25" customWidth="1"/>
    <col min="677" max="683" width="30.7109375" style="56" customWidth="1"/>
    <col min="684" max="690" width="30.7109375" style="25" customWidth="1"/>
    <col min="691" max="697" width="30.7109375" style="56" customWidth="1"/>
    <col min="698" max="737" width="30.7109375" style="25" customWidth="1"/>
    <col min="738" max="765" width="30.7109375" style="56" customWidth="1"/>
    <col min="766" max="772" width="30.7109375" style="25" customWidth="1"/>
    <col min="773" max="786" width="30.7109375" style="56" customWidth="1"/>
    <col min="787" max="793" width="30.7109375" style="25" customWidth="1"/>
    <col min="794" max="807" width="30.7109375" style="56" customWidth="1"/>
    <col min="808" max="814" width="30.7109375" style="25" customWidth="1"/>
    <col min="815" max="828" width="30.7109375" style="56" customWidth="1"/>
    <col min="829" max="835" width="30.7109375" style="25" customWidth="1"/>
    <col min="836" max="849" width="30.7109375" style="56" customWidth="1"/>
    <col min="850" max="855" width="30.7109375" style="25" customWidth="1"/>
    <col min="856" max="861" width="30.7109375" style="56" customWidth="1"/>
    <col min="862" max="862" width="30.7109375" style="25" customWidth="1"/>
    <col min="863" max="866" width="30.7109375" style="56" customWidth="1"/>
    <col min="867" max="951" width="30.7109375" style="25" customWidth="1"/>
    <col min="952" max="958" width="30.7109375" style="56" customWidth="1"/>
    <col min="959" max="965" width="30.7109375" style="25" customWidth="1"/>
    <col min="966" max="972" width="30.7109375" style="56" customWidth="1"/>
    <col min="973" max="1012" width="30.7109375" style="25" customWidth="1"/>
    <col min="1013" max="1040" width="30.7109375" style="56" customWidth="1"/>
    <col min="1041" max="1047" width="30.7109375" style="25" customWidth="1"/>
    <col min="1048" max="1061" width="30.7109375" style="56" customWidth="1"/>
    <col min="1062" max="1068" width="30.7109375" style="25" customWidth="1"/>
    <col min="1069" max="1082" width="30.7109375" style="56" customWidth="1"/>
    <col min="1083" max="1089" width="30.7109375" style="25" customWidth="1"/>
    <col min="1090" max="1103" width="30.7109375" style="56" customWidth="1"/>
    <col min="1104" max="1110" width="30.7109375" style="25" customWidth="1"/>
    <col min="1111" max="1124" width="30.7109375" style="56" customWidth="1"/>
    <col min="1125" max="1130" width="30.7109375" style="25" customWidth="1"/>
    <col min="1131" max="1136" width="30.7109375" style="56" customWidth="1"/>
    <col min="1137" max="1137" width="30.7109375" style="25" customWidth="1"/>
    <col min="1138" max="1141" width="30.7109375" style="56" customWidth="1"/>
    <col min="1142" max="1226" width="30.7109375" style="25" customWidth="1"/>
    <col min="1227" max="1233" width="30.7109375" style="56" customWidth="1"/>
    <col min="1234" max="1240" width="30.7109375" style="25" customWidth="1"/>
    <col min="1241" max="1247" width="30.7109375" style="56" customWidth="1"/>
    <col min="1248" max="1287" width="30.7109375" style="25" customWidth="1"/>
    <col min="1288" max="1315" width="30.7109375" style="56" customWidth="1"/>
    <col min="1316" max="1322" width="30.7109375" style="25" customWidth="1"/>
    <col min="1323" max="1336" width="30.7109375" style="56" customWidth="1"/>
    <col min="1337" max="1364" width="30.7109375" style="25" customWidth="1"/>
    <col min="1365" max="1378" width="30.7109375" style="56" customWidth="1"/>
    <col min="1379" max="1395" width="30.7109375" style="25" customWidth="1"/>
    <col min="1396" max="1399" width="30.7109375" style="56" customWidth="1"/>
    <col min="1400" max="1405" width="30.7109375" style="25" customWidth="1"/>
    <col min="1406" max="1411" width="30.7109375" style="56" customWidth="1"/>
    <col min="1412" max="1412" width="30.7109375" style="25" customWidth="1"/>
    <col min="1413" max="1416" width="30.7109375" style="56" customWidth="1"/>
    <col min="1417" max="1501" width="30.7109375" style="25" customWidth="1"/>
    <col min="1502" max="1508" width="30.7109375" style="56" customWidth="1"/>
    <col min="1509" max="1515" width="30.7109375" style="25" customWidth="1"/>
    <col min="1516" max="1522" width="30.7109375" style="56" customWidth="1"/>
    <col min="1523" max="1562" width="30.7109375" style="25" customWidth="1"/>
    <col min="1563" max="1590" width="30.7109375" style="56" customWidth="1"/>
    <col min="1591" max="1597" width="30.7109375" style="25" customWidth="1"/>
    <col min="1598" max="1611" width="30.7109375" style="56" customWidth="1"/>
    <col min="1612" max="1618" width="30.7109375" style="25" customWidth="1"/>
    <col min="1619" max="1632" width="30.7109375" style="56" customWidth="1"/>
    <col min="1633" max="1639" width="30.7109375" style="25" customWidth="1"/>
    <col min="1640" max="1653" width="30.7109375" style="56" customWidth="1"/>
    <col min="1654" max="1660" width="30.7109375" style="25" customWidth="1"/>
    <col min="1661" max="1674" width="30.7109375" style="56" customWidth="1"/>
    <col min="1675" max="1680" width="30.7109375" style="25" customWidth="1"/>
    <col min="1681" max="1686" width="30.7109375" style="56" customWidth="1"/>
    <col min="1687" max="1687" width="30.7109375" style="25" customWidth="1"/>
    <col min="1688" max="1691" width="30.7109375" style="56" customWidth="1"/>
    <col min="1692" max="1776" width="30.7109375" style="25" customWidth="1"/>
    <col min="1777" max="1783" width="30.7109375" style="56" customWidth="1"/>
    <col min="1784" max="1790" width="30.7109375" style="25" customWidth="1"/>
    <col min="1791" max="1797" width="30.7109375" style="56" customWidth="1"/>
    <col min="1798" max="1837" width="30.7109375" style="25" customWidth="1"/>
    <col min="1838" max="1865" width="30.7109375" style="56" customWidth="1"/>
    <col min="1866" max="1872" width="30.7109375" style="25" customWidth="1"/>
    <col min="1873" max="1886" width="30.7109375" style="56" customWidth="1"/>
    <col min="1887" max="1914" width="30.7109375" style="25" customWidth="1"/>
    <col min="1915" max="1928" width="30.7109375" style="56" customWidth="1"/>
    <col min="1929" max="1955" width="30.7109375" style="25" customWidth="1"/>
    <col min="1956" max="1956" width="80.7109375" style="25" customWidth="1"/>
    <col min="1957" max="1961" width="30.7109375" style="25" customWidth="1"/>
    <col min="1962" max="1962" width="30.7109375" style="56" customWidth="1"/>
    <col min="1963" max="1963" width="30.7109375" style="25" customWidth="1"/>
    <col min="1964" max="1964" width="30.7109375" style="56" customWidth="1"/>
    <col min="1965" max="1970" width="30.7109375" style="25" customWidth="1"/>
    <col min="1971" max="1971" width="30.7109375" style="56" customWidth="1"/>
    <col min="1972" max="1976" width="30.7109375" style="25" customWidth="1"/>
    <col min="1977" max="1977" width="30.7109375" style="56" customWidth="1"/>
    <col min="1978" max="1978" width="30.7109375" style="25" customWidth="1"/>
    <col min="1979" max="1979" width="30.7109375" style="56" customWidth="1"/>
    <col min="1980" max="1982" width="30.7109375" style="25" customWidth="1"/>
    <col min="1983" max="1983" width="30.7109375" style="56" customWidth="1"/>
    <col min="1984" max="1984" width="30.7109375" style="25" customWidth="1"/>
    <col min="1985" max="1985" width="30.7109375" style="56" customWidth="1"/>
    <col min="1986" max="1986" width="30.7109375" style="25" customWidth="1"/>
    <col min="1987" max="1988" width="60.7109375" style="25" customWidth="1"/>
    <col min="1989" max="1995" width="30.7109375" style="25" customWidth="1"/>
    <col min="1996" max="1996" width="60.7109375" style="25" customWidth="1"/>
    <col min="1997" max="1997" width="30.7109375" style="25" customWidth="1"/>
    <col min="1998" max="1998" width="100.7109375" style="25" customWidth="1"/>
    <col min="1999" max="2006" width="30.7109375" style="25" customWidth="1"/>
    <col min="2007" max="2007" width="50.7109375" style="25" customWidth="1"/>
    <col min="2008" max="2009" width="30.7109375" style="25" customWidth="1"/>
    <col min="2010" max="2010" width="60.7109375" style="25" customWidth="1"/>
    <col min="2011" max="2012" width="30.7109375" style="56" customWidth="1"/>
    <col min="2013" max="2025" width="30.7109375" style="25" customWidth="1"/>
    <col min="2026" max="2027" width="30.7109375" style="56" customWidth="1"/>
    <col min="2028" max="2028" width="30.7109375" style="25" customWidth="1"/>
    <col min="2029" max="2029" width="150.7109375" style="25" customWidth="1"/>
    <col min="2030" max="2035" width="30.7109375" style="25" customWidth="1"/>
    <col min="2036" max="2037" width="30.7109375" style="56" customWidth="1"/>
    <col min="2038" max="2044" width="30.7109375" style="25" customWidth="1"/>
    <col min="2045" max="2045" width="30.7109375" style="56" customWidth="1"/>
    <col min="2046" max="2051" width="30.7109375" style="25" customWidth="1"/>
    <col min="2052" max="2052" width="60.7109375" style="25" customWidth="1"/>
    <col min="2053" max="2057" width="30.7109375" style="25" customWidth="1"/>
    <col min="2058" max="2058" width="50.7109375" style="25" customWidth="1"/>
    <col min="2059" max="2084" width="30.7109375" style="25" customWidth="1"/>
    <col min="2085" max="2092" width="30.7109375" style="56" customWidth="1"/>
    <col min="2093" max="2103" width="30.7109375" style="27" customWidth="1"/>
    <col min="2104" max="2104" width="90.7109375" style="27" customWidth="1"/>
    <col min="2105" max="2212" width="30.7109375" style="27" customWidth="1"/>
    <col min="2213" max="2220" width="30.7109375" style="56" customWidth="1"/>
    <col min="2221" max="2230" width="30.7109375" style="27" customWidth="1"/>
    <col min="2231" max="2231" width="70.7109375" style="27" customWidth="1"/>
    <col min="2232" max="2339" width="30.7109375" style="27" customWidth="1"/>
    <col min="2340" max="2347" width="30.7109375" style="56" customWidth="1"/>
    <col min="2348" max="2357" width="30.7109375" style="27" customWidth="1"/>
    <col min="2358" max="2358" width="60.7109375" style="27" customWidth="1"/>
    <col min="2359" max="2467" width="30.7109375" style="27" customWidth="1"/>
    <col min="2468" max="2468" width="30.7109375" style="56" customWidth="1"/>
    <col min="2469" max="2469" width="30.7109375" style="27" customWidth="1"/>
    <col min="2470" max="2470" width="30.7109375" style="56" customWidth="1"/>
    <col min="2471" max="2471" width="30.7109375" style="27" customWidth="1"/>
    <col min="2472" max="2476" width="30.7109375" style="25" customWidth="1"/>
    <col min="2477" max="2481" width="30.7109375" style="56" customWidth="1"/>
    <col min="2482" max="2482" width="60.7109375" style="25" customWidth="1"/>
    <col min="2483" max="2485" width="30.7109375" style="25" customWidth="1"/>
    <col min="2486" max="2486" width="30.7109375" style="56" customWidth="1"/>
    <col min="2487" max="2487" width="50.7109375" style="25" customWidth="1"/>
    <col min="2488" max="2500" width="30.7109375" style="25" customWidth="1"/>
    <col min="2501" max="2501" width="30.7109375" style="27" customWidth="1"/>
    <col min="2502" max="16384" width="9.140625" style="20"/>
  </cols>
  <sheetData>
    <row r="1" spans="1:2501" s="22" customFormat="1" x14ac:dyDescent="0.2">
      <c r="A1" s="69" t="s">
        <v>181</v>
      </c>
      <c r="B1" s="23" t="s">
        <v>5744</v>
      </c>
      <c r="C1" s="23" t="s">
        <v>5745</v>
      </c>
      <c r="D1" s="23" t="s">
        <v>5746</v>
      </c>
      <c r="E1" s="23" t="s">
        <v>5747</v>
      </c>
      <c r="F1" s="51" t="s">
        <v>5748</v>
      </c>
      <c r="G1" s="51" t="s">
        <v>5749</v>
      </c>
      <c r="H1" s="51" t="s">
        <v>5750</v>
      </c>
      <c r="I1" s="51" t="s">
        <v>5751</v>
      </c>
      <c r="J1" s="51" t="s">
        <v>5752</v>
      </c>
      <c r="K1" s="51" t="s">
        <v>5753</v>
      </c>
      <c r="L1" s="51" t="s">
        <v>5754</v>
      </c>
      <c r="M1" s="23" t="s">
        <v>5755</v>
      </c>
      <c r="N1" s="23" t="s">
        <v>5756</v>
      </c>
      <c r="O1" s="23" t="s">
        <v>5757</v>
      </c>
      <c r="P1" s="23" t="s">
        <v>5758</v>
      </c>
      <c r="Q1" s="23" t="s">
        <v>5759</v>
      </c>
      <c r="R1" s="51" t="s">
        <v>5760</v>
      </c>
      <c r="S1" s="51" t="s">
        <v>5761</v>
      </c>
      <c r="T1" s="51" t="s">
        <v>5762</v>
      </c>
      <c r="U1" s="51" t="s">
        <v>5763</v>
      </c>
      <c r="V1" s="51" t="s">
        <v>5764</v>
      </c>
      <c r="W1" s="51" t="s">
        <v>5765</v>
      </c>
      <c r="X1" s="51" t="s">
        <v>5766</v>
      </c>
      <c r="Y1" s="23" t="s">
        <v>5767</v>
      </c>
      <c r="Z1" s="23" t="s">
        <v>5768</v>
      </c>
      <c r="AA1" s="23" t="s">
        <v>5769</v>
      </c>
      <c r="AB1" s="23" t="s">
        <v>5770</v>
      </c>
      <c r="AC1" s="55" t="s">
        <v>5771</v>
      </c>
      <c r="AD1" s="55" t="s">
        <v>5772</v>
      </c>
      <c r="AE1" s="55" t="s">
        <v>5773</v>
      </c>
      <c r="AF1" s="55" t="s">
        <v>5774</v>
      </c>
      <c r="AG1" s="55" t="s">
        <v>5775</v>
      </c>
      <c r="AH1" s="55" t="s">
        <v>5776</v>
      </c>
      <c r="AI1" s="23" t="s">
        <v>5777</v>
      </c>
      <c r="AJ1" s="55" t="s">
        <v>5778</v>
      </c>
      <c r="AK1" s="55" t="s">
        <v>5779</v>
      </c>
      <c r="AL1" s="55" t="s">
        <v>5780</v>
      </c>
      <c r="AM1" s="55" t="s">
        <v>5781</v>
      </c>
      <c r="AN1" s="23" t="s">
        <v>5782</v>
      </c>
      <c r="AO1" s="23" t="s">
        <v>5783</v>
      </c>
      <c r="AP1" s="23" t="s">
        <v>5784</v>
      </c>
      <c r="AQ1" s="23" t="s">
        <v>5785</v>
      </c>
      <c r="AR1" s="23" t="s">
        <v>5786</v>
      </c>
      <c r="AS1" s="23" t="s">
        <v>5787</v>
      </c>
      <c r="AT1" s="23" t="s">
        <v>5788</v>
      </c>
      <c r="AU1" s="23" t="s">
        <v>5789</v>
      </c>
      <c r="AV1" s="23" t="s">
        <v>5790</v>
      </c>
      <c r="AW1" s="23" t="s">
        <v>5791</v>
      </c>
      <c r="AX1" s="23" t="s">
        <v>5792</v>
      </c>
      <c r="AY1" s="23" t="s">
        <v>5793</v>
      </c>
      <c r="AZ1" s="23" t="s">
        <v>5794</v>
      </c>
      <c r="BA1" s="23" t="s">
        <v>5795</v>
      </c>
      <c r="BB1" s="23" t="s">
        <v>5796</v>
      </c>
      <c r="BC1" s="23" t="s">
        <v>5797</v>
      </c>
      <c r="BD1" s="23" t="s">
        <v>5798</v>
      </c>
      <c r="BE1" s="23" t="s">
        <v>5799</v>
      </c>
      <c r="BF1" s="23" t="s">
        <v>5800</v>
      </c>
      <c r="BG1" s="23" t="s">
        <v>5801</v>
      </c>
      <c r="BH1" s="23" t="s">
        <v>5802</v>
      </c>
      <c r="BI1" s="23" t="s">
        <v>5803</v>
      </c>
      <c r="BJ1" s="23" t="s">
        <v>5804</v>
      </c>
      <c r="BK1" s="23" t="s">
        <v>5805</v>
      </c>
      <c r="BL1" s="23" t="s">
        <v>5806</v>
      </c>
      <c r="BM1" s="23" t="s">
        <v>5807</v>
      </c>
      <c r="BN1" s="23" t="s">
        <v>5808</v>
      </c>
      <c r="BO1" s="23" t="s">
        <v>5809</v>
      </c>
      <c r="BP1" s="23" t="s">
        <v>5810</v>
      </c>
      <c r="BQ1" s="23" t="s">
        <v>5811</v>
      </c>
      <c r="BR1" s="23" t="s">
        <v>5812</v>
      </c>
      <c r="BS1" s="23" t="s">
        <v>5813</v>
      </c>
      <c r="BT1" s="23" t="s">
        <v>5814</v>
      </c>
      <c r="BU1" s="23" t="s">
        <v>5815</v>
      </c>
      <c r="BV1" s="23" t="s">
        <v>5816</v>
      </c>
      <c r="BW1" s="23" t="s">
        <v>5817</v>
      </c>
      <c r="BX1" s="55" t="s">
        <v>5818</v>
      </c>
      <c r="BY1" s="23" t="s">
        <v>5819</v>
      </c>
      <c r="BZ1" s="23" t="s">
        <v>5820</v>
      </c>
      <c r="CA1" s="23" t="s">
        <v>5821</v>
      </c>
      <c r="CB1" s="23" t="s">
        <v>5822</v>
      </c>
      <c r="CC1" s="23" t="s">
        <v>5823</v>
      </c>
      <c r="CD1" s="23" t="s">
        <v>5824</v>
      </c>
      <c r="CE1" s="23" t="s">
        <v>5825</v>
      </c>
      <c r="CF1" s="23" t="s">
        <v>5826</v>
      </c>
      <c r="CG1" s="23" t="s">
        <v>5827</v>
      </c>
      <c r="CH1" s="23" t="s">
        <v>5828</v>
      </c>
      <c r="CI1" s="23" t="s">
        <v>5829</v>
      </c>
      <c r="CJ1" s="23" t="s">
        <v>5830</v>
      </c>
      <c r="CK1" s="55" t="s">
        <v>5831</v>
      </c>
      <c r="CL1" s="23" t="s">
        <v>5832</v>
      </c>
      <c r="CM1" s="23" t="s">
        <v>5833</v>
      </c>
      <c r="CN1" s="23" t="s">
        <v>5834</v>
      </c>
      <c r="CO1" s="23" t="s">
        <v>5835</v>
      </c>
      <c r="CP1" s="23" t="s">
        <v>5836</v>
      </c>
      <c r="CQ1" s="23" t="s">
        <v>5837</v>
      </c>
      <c r="CR1" s="23" t="s">
        <v>5838</v>
      </c>
      <c r="CS1" s="23" t="s">
        <v>5839</v>
      </c>
      <c r="CT1" s="23" t="s">
        <v>5840</v>
      </c>
      <c r="CU1" s="23" t="s">
        <v>5841</v>
      </c>
      <c r="CV1" s="55" t="s">
        <v>5842</v>
      </c>
      <c r="CW1" s="55" t="s">
        <v>5843</v>
      </c>
      <c r="CX1" s="55" t="s">
        <v>5844</v>
      </c>
      <c r="CY1" s="55" t="s">
        <v>5845</v>
      </c>
      <c r="CZ1" s="55" t="s">
        <v>5846</v>
      </c>
      <c r="DA1" s="55" t="s">
        <v>5847</v>
      </c>
      <c r="DB1" s="52" t="s">
        <v>5848</v>
      </c>
      <c r="DC1" s="55" t="s">
        <v>5849</v>
      </c>
      <c r="DD1" s="55" t="s">
        <v>5850</v>
      </c>
      <c r="DE1" s="55" t="s">
        <v>5851</v>
      </c>
      <c r="DF1" s="55" t="s">
        <v>5852</v>
      </c>
      <c r="DG1" s="55" t="s">
        <v>5853</v>
      </c>
      <c r="DH1" s="55" t="s">
        <v>5854</v>
      </c>
      <c r="DI1" s="55" t="s">
        <v>5855</v>
      </c>
      <c r="DJ1" s="55" t="s">
        <v>5856</v>
      </c>
      <c r="DK1" s="55" t="s">
        <v>5857</v>
      </c>
      <c r="DL1" s="55" t="s">
        <v>5858</v>
      </c>
      <c r="DM1" s="55" t="s">
        <v>5859</v>
      </c>
      <c r="DN1" s="55" t="s">
        <v>5860</v>
      </c>
      <c r="DO1" s="23" t="s">
        <v>5861</v>
      </c>
      <c r="DP1" s="23" t="s">
        <v>5862</v>
      </c>
      <c r="DQ1" s="23" t="s">
        <v>5863</v>
      </c>
      <c r="DR1" s="23" t="s">
        <v>5864</v>
      </c>
      <c r="DS1" s="23" t="s">
        <v>5865</v>
      </c>
      <c r="DT1" s="23" t="s">
        <v>5866</v>
      </c>
      <c r="DU1" s="23" t="s">
        <v>5867</v>
      </c>
      <c r="DV1" s="55" t="s">
        <v>5868</v>
      </c>
      <c r="DW1" s="55" t="s">
        <v>5869</v>
      </c>
      <c r="DX1" s="55" t="s">
        <v>5870</v>
      </c>
      <c r="DY1" s="55" t="s">
        <v>5871</v>
      </c>
      <c r="DZ1" s="55" t="s">
        <v>5872</v>
      </c>
      <c r="EA1" s="55" t="s">
        <v>5873</v>
      </c>
      <c r="EB1" s="55" t="s">
        <v>5874</v>
      </c>
      <c r="EC1" s="23" t="s">
        <v>5875</v>
      </c>
      <c r="ED1" s="23" t="s">
        <v>5876</v>
      </c>
      <c r="EE1" s="23" t="s">
        <v>5877</v>
      </c>
      <c r="EF1" s="23" t="s">
        <v>5878</v>
      </c>
      <c r="EG1" s="23" t="s">
        <v>5879</v>
      </c>
      <c r="EH1" s="23" t="s">
        <v>5880</v>
      </c>
      <c r="EI1" s="23" t="s">
        <v>5881</v>
      </c>
      <c r="EJ1" s="55" t="s">
        <v>5882</v>
      </c>
      <c r="EK1" s="55" t="s">
        <v>5883</v>
      </c>
      <c r="EL1" s="55" t="s">
        <v>5884</v>
      </c>
      <c r="EM1" s="55" t="s">
        <v>5885</v>
      </c>
      <c r="EN1" s="55" t="s">
        <v>5886</v>
      </c>
      <c r="EO1" s="55" t="s">
        <v>5887</v>
      </c>
      <c r="EP1" s="55" t="s">
        <v>5888</v>
      </c>
      <c r="EQ1" s="23" t="s">
        <v>5889</v>
      </c>
      <c r="ER1" s="23" t="s">
        <v>5890</v>
      </c>
      <c r="ES1" s="23" t="s">
        <v>5891</v>
      </c>
      <c r="ET1" s="23" t="s">
        <v>5892</v>
      </c>
      <c r="EU1" s="23" t="s">
        <v>5893</v>
      </c>
      <c r="EV1" s="23" t="s">
        <v>5894</v>
      </c>
      <c r="EW1" s="23" t="s">
        <v>5895</v>
      </c>
      <c r="EX1" s="23" t="s">
        <v>5896</v>
      </c>
      <c r="EY1" s="23" t="s">
        <v>5897</v>
      </c>
      <c r="EZ1" s="23" t="s">
        <v>5898</v>
      </c>
      <c r="FA1" s="23" t="s">
        <v>5899</v>
      </c>
      <c r="FB1" s="23" t="s">
        <v>5900</v>
      </c>
      <c r="FC1" s="23" t="s">
        <v>5901</v>
      </c>
      <c r="FD1" s="23" t="s">
        <v>5902</v>
      </c>
      <c r="FE1" s="23" t="s">
        <v>5903</v>
      </c>
      <c r="FF1" s="23" t="s">
        <v>5904</v>
      </c>
      <c r="FG1" s="23" t="s">
        <v>5905</v>
      </c>
      <c r="FH1" s="23" t="s">
        <v>5906</v>
      </c>
      <c r="FI1" s="23" t="s">
        <v>5907</v>
      </c>
      <c r="FJ1" s="23" t="s">
        <v>5908</v>
      </c>
      <c r="FK1" s="23" t="s">
        <v>5909</v>
      </c>
      <c r="FL1" s="23" t="s">
        <v>5910</v>
      </c>
      <c r="FM1" s="23" t="s">
        <v>5911</v>
      </c>
      <c r="FN1" s="23" t="s">
        <v>5912</v>
      </c>
      <c r="FO1" s="23" t="s">
        <v>5913</v>
      </c>
      <c r="FP1" s="23" t="s">
        <v>5914</v>
      </c>
      <c r="FQ1" s="23" t="s">
        <v>5915</v>
      </c>
      <c r="FR1" s="23" t="s">
        <v>5916</v>
      </c>
      <c r="FS1" s="23" t="s">
        <v>5917</v>
      </c>
      <c r="FT1" s="23" t="s">
        <v>5918</v>
      </c>
      <c r="FU1" s="23" t="s">
        <v>5919</v>
      </c>
      <c r="FV1" s="23" t="s">
        <v>5920</v>
      </c>
      <c r="FW1" s="23" t="s">
        <v>5921</v>
      </c>
      <c r="FX1" s="23" t="s">
        <v>5922</v>
      </c>
      <c r="FY1" s="23" t="s">
        <v>5923</v>
      </c>
      <c r="FZ1" s="23" t="s">
        <v>5924</v>
      </c>
      <c r="GA1" s="23" t="s">
        <v>5925</v>
      </c>
      <c r="GB1" s="23" t="s">
        <v>5926</v>
      </c>
      <c r="GC1" s="23" t="s">
        <v>5927</v>
      </c>
      <c r="GD1" s="23" t="s">
        <v>5928</v>
      </c>
      <c r="GE1" s="55" t="s">
        <v>5929</v>
      </c>
      <c r="GF1" s="55" t="s">
        <v>5930</v>
      </c>
      <c r="GG1" s="55" t="s">
        <v>5931</v>
      </c>
      <c r="GH1" s="55" t="s">
        <v>5932</v>
      </c>
      <c r="GI1" s="55" t="s">
        <v>5933</v>
      </c>
      <c r="GJ1" s="55" t="s">
        <v>5934</v>
      </c>
      <c r="GK1" s="55" t="s">
        <v>5935</v>
      </c>
      <c r="GL1" s="55" t="s">
        <v>5936</v>
      </c>
      <c r="GM1" s="55" t="s">
        <v>5937</v>
      </c>
      <c r="GN1" s="55" t="s">
        <v>5938</v>
      </c>
      <c r="GO1" s="55" t="s">
        <v>5939</v>
      </c>
      <c r="GP1" s="55" t="s">
        <v>5940</v>
      </c>
      <c r="GQ1" s="55" t="s">
        <v>5941</v>
      </c>
      <c r="GR1" s="55" t="s">
        <v>5942</v>
      </c>
      <c r="GS1" s="55" t="s">
        <v>5943</v>
      </c>
      <c r="GT1" s="55" t="s">
        <v>5944</v>
      </c>
      <c r="GU1" s="55" t="s">
        <v>5945</v>
      </c>
      <c r="GV1" s="55" t="s">
        <v>5946</v>
      </c>
      <c r="GW1" s="55" t="s">
        <v>5947</v>
      </c>
      <c r="GX1" s="55" t="s">
        <v>5948</v>
      </c>
      <c r="GY1" s="55" t="s">
        <v>5949</v>
      </c>
      <c r="GZ1" s="55" t="s">
        <v>5950</v>
      </c>
      <c r="HA1" s="55" t="s">
        <v>5951</v>
      </c>
      <c r="HB1" s="55" t="s">
        <v>5952</v>
      </c>
      <c r="HC1" s="55" t="s">
        <v>5953</v>
      </c>
      <c r="HD1" s="55" t="s">
        <v>5954</v>
      </c>
      <c r="HE1" s="55" t="s">
        <v>5955</v>
      </c>
      <c r="HF1" s="55" t="s">
        <v>5956</v>
      </c>
      <c r="HG1" s="23" t="s">
        <v>5957</v>
      </c>
      <c r="HH1" s="23" t="s">
        <v>5958</v>
      </c>
      <c r="HI1" s="23" t="s">
        <v>5959</v>
      </c>
      <c r="HJ1" s="23" t="s">
        <v>5960</v>
      </c>
      <c r="HK1" s="23" t="s">
        <v>5961</v>
      </c>
      <c r="HL1" s="23" t="s">
        <v>5962</v>
      </c>
      <c r="HM1" s="23" t="s">
        <v>5963</v>
      </c>
      <c r="HN1" s="55" t="s">
        <v>5964</v>
      </c>
      <c r="HO1" s="55" t="s">
        <v>5965</v>
      </c>
      <c r="HP1" s="55" t="s">
        <v>5966</v>
      </c>
      <c r="HQ1" s="55" t="s">
        <v>5967</v>
      </c>
      <c r="HR1" s="55" t="s">
        <v>5968</v>
      </c>
      <c r="HS1" s="55" t="s">
        <v>5969</v>
      </c>
      <c r="HT1" s="55" t="s">
        <v>5970</v>
      </c>
      <c r="HU1" s="55" t="s">
        <v>5971</v>
      </c>
      <c r="HV1" s="55" t="s">
        <v>5972</v>
      </c>
      <c r="HW1" s="55" t="s">
        <v>5973</v>
      </c>
      <c r="HX1" s="55" t="s">
        <v>5974</v>
      </c>
      <c r="HY1" s="55" t="s">
        <v>5975</v>
      </c>
      <c r="HZ1" s="55" t="s">
        <v>5976</v>
      </c>
      <c r="IA1" s="55" t="s">
        <v>5977</v>
      </c>
      <c r="IB1" s="23" t="s">
        <v>5978</v>
      </c>
      <c r="IC1" s="23" t="s">
        <v>5979</v>
      </c>
      <c r="ID1" s="23" t="s">
        <v>5980</v>
      </c>
      <c r="IE1" s="23" t="s">
        <v>5981</v>
      </c>
      <c r="IF1" s="23" t="s">
        <v>5982</v>
      </c>
      <c r="IG1" s="23" t="s">
        <v>5983</v>
      </c>
      <c r="IH1" s="23" t="s">
        <v>5984</v>
      </c>
      <c r="II1" s="55" t="s">
        <v>5985</v>
      </c>
      <c r="IJ1" s="55" t="s">
        <v>5986</v>
      </c>
      <c r="IK1" s="55" t="s">
        <v>5987</v>
      </c>
      <c r="IL1" s="55" t="s">
        <v>5988</v>
      </c>
      <c r="IM1" s="55" t="s">
        <v>5989</v>
      </c>
      <c r="IN1" s="55" t="s">
        <v>5990</v>
      </c>
      <c r="IO1" s="55" t="s">
        <v>5991</v>
      </c>
      <c r="IP1" s="55" t="s">
        <v>5992</v>
      </c>
      <c r="IQ1" s="55" t="s">
        <v>5993</v>
      </c>
      <c r="IR1" s="55" t="s">
        <v>5994</v>
      </c>
      <c r="IS1" s="55" t="s">
        <v>5995</v>
      </c>
      <c r="IT1" s="55" t="s">
        <v>5996</v>
      </c>
      <c r="IU1" s="55" t="s">
        <v>5997</v>
      </c>
      <c r="IV1" s="55" t="s">
        <v>5998</v>
      </c>
      <c r="IW1" s="23" t="s">
        <v>5999</v>
      </c>
      <c r="IX1" s="23" t="s">
        <v>6000</v>
      </c>
      <c r="IY1" s="23" t="s">
        <v>6001</v>
      </c>
      <c r="IZ1" s="23" t="s">
        <v>6002</v>
      </c>
      <c r="JA1" s="23" t="s">
        <v>6003</v>
      </c>
      <c r="JB1" s="23" t="s">
        <v>6004</v>
      </c>
      <c r="JC1" s="23" t="s">
        <v>6005</v>
      </c>
      <c r="JD1" s="55" t="s">
        <v>6006</v>
      </c>
      <c r="JE1" s="55" t="s">
        <v>6007</v>
      </c>
      <c r="JF1" s="55" t="s">
        <v>6008</v>
      </c>
      <c r="JG1" s="55" t="s">
        <v>6009</v>
      </c>
      <c r="JH1" s="55" t="s">
        <v>6010</v>
      </c>
      <c r="JI1" s="55" t="s">
        <v>6011</v>
      </c>
      <c r="JJ1" s="55" t="s">
        <v>6012</v>
      </c>
      <c r="JK1" s="55" t="s">
        <v>6013</v>
      </c>
      <c r="JL1" s="55" t="s">
        <v>6014</v>
      </c>
      <c r="JM1" s="55" t="s">
        <v>6015</v>
      </c>
      <c r="JN1" s="55" t="s">
        <v>6016</v>
      </c>
      <c r="JO1" s="55" t="s">
        <v>6017</v>
      </c>
      <c r="JP1" s="55" t="s">
        <v>6018</v>
      </c>
      <c r="JQ1" s="55" t="s">
        <v>6019</v>
      </c>
      <c r="JR1" s="23" t="s">
        <v>6020</v>
      </c>
      <c r="JS1" s="23" t="s">
        <v>6021</v>
      </c>
      <c r="JT1" s="23" t="s">
        <v>6022</v>
      </c>
      <c r="JU1" s="23" t="s">
        <v>6023</v>
      </c>
      <c r="JV1" s="23" t="s">
        <v>6024</v>
      </c>
      <c r="JW1" s="23" t="s">
        <v>6025</v>
      </c>
      <c r="JX1" s="23" t="s">
        <v>6026</v>
      </c>
      <c r="JY1" s="55" t="s">
        <v>6027</v>
      </c>
      <c r="JZ1" s="55" t="s">
        <v>6028</v>
      </c>
      <c r="KA1" s="55" t="s">
        <v>6029</v>
      </c>
      <c r="KB1" s="55" t="s">
        <v>6030</v>
      </c>
      <c r="KC1" s="55" t="s">
        <v>6031</v>
      </c>
      <c r="KD1" s="55" t="s">
        <v>6032</v>
      </c>
      <c r="KE1" s="55" t="s">
        <v>6033</v>
      </c>
      <c r="KF1" s="55" t="s">
        <v>6034</v>
      </c>
      <c r="KG1" s="55" t="s">
        <v>6035</v>
      </c>
      <c r="KH1" s="55" t="s">
        <v>6036</v>
      </c>
      <c r="KI1" s="55" t="s">
        <v>6037</v>
      </c>
      <c r="KJ1" s="55" t="s">
        <v>6038</v>
      </c>
      <c r="KK1" s="55" t="s">
        <v>6039</v>
      </c>
      <c r="KL1" s="55" t="s">
        <v>6040</v>
      </c>
      <c r="KM1" s="23" t="s">
        <v>6041</v>
      </c>
      <c r="KN1" s="23" t="s">
        <v>6042</v>
      </c>
      <c r="KO1" s="23" t="s">
        <v>6043</v>
      </c>
      <c r="KP1" s="23" t="s">
        <v>6044</v>
      </c>
      <c r="KQ1" s="23" t="s">
        <v>6045</v>
      </c>
      <c r="KR1" s="23" t="s">
        <v>6046</v>
      </c>
      <c r="KS1" s="55" t="s">
        <v>6047</v>
      </c>
      <c r="KT1" s="55" t="s">
        <v>6048</v>
      </c>
      <c r="KU1" s="55" t="s">
        <v>6049</v>
      </c>
      <c r="KV1" s="55" t="s">
        <v>6050</v>
      </c>
      <c r="KW1" s="55" t="s">
        <v>6051</v>
      </c>
      <c r="KX1" s="55" t="s">
        <v>6052</v>
      </c>
      <c r="KY1" s="23" t="s">
        <v>6053</v>
      </c>
      <c r="KZ1" s="55" t="s">
        <v>6054</v>
      </c>
      <c r="LA1" s="55" t="s">
        <v>6055</v>
      </c>
      <c r="LB1" s="55" t="s">
        <v>6056</v>
      </c>
      <c r="LC1" s="55" t="s">
        <v>6057</v>
      </c>
      <c r="LD1" s="23" t="s">
        <v>6058</v>
      </c>
      <c r="LE1" s="23" t="s">
        <v>6059</v>
      </c>
      <c r="LF1" s="23" t="s">
        <v>6060</v>
      </c>
      <c r="LG1" s="23" t="s">
        <v>6061</v>
      </c>
      <c r="LH1" s="23" t="s">
        <v>6062</v>
      </c>
      <c r="LI1" s="23" t="s">
        <v>6063</v>
      </c>
      <c r="LJ1" s="23" t="s">
        <v>6064</v>
      </c>
      <c r="LK1" s="23" t="s">
        <v>6065</v>
      </c>
      <c r="LL1" s="23" t="s">
        <v>6066</v>
      </c>
      <c r="LM1" s="23" t="s">
        <v>6067</v>
      </c>
      <c r="LN1" s="23" t="s">
        <v>6068</v>
      </c>
      <c r="LO1" s="23" t="s">
        <v>6069</v>
      </c>
      <c r="LP1" s="23" t="s">
        <v>6070</v>
      </c>
      <c r="LQ1" s="23" t="s">
        <v>6071</v>
      </c>
      <c r="LR1" s="23" t="s">
        <v>6072</v>
      </c>
      <c r="LS1" s="23" t="s">
        <v>6073</v>
      </c>
      <c r="LT1" s="23" t="s">
        <v>6074</v>
      </c>
      <c r="LU1" s="23" t="s">
        <v>6075</v>
      </c>
      <c r="LV1" s="23" t="s">
        <v>6076</v>
      </c>
      <c r="LW1" s="23" t="s">
        <v>6077</v>
      </c>
      <c r="LX1" s="23" t="s">
        <v>6078</v>
      </c>
      <c r="LY1" s="23" t="s">
        <v>6079</v>
      </c>
      <c r="LZ1" s="23" t="s">
        <v>6080</v>
      </c>
      <c r="MA1" s="23" t="s">
        <v>6081</v>
      </c>
      <c r="MB1" s="23" t="s">
        <v>6082</v>
      </c>
      <c r="MC1" s="23" t="s">
        <v>6083</v>
      </c>
      <c r="MD1" s="23" t="s">
        <v>6084</v>
      </c>
      <c r="ME1" s="23" t="s">
        <v>6085</v>
      </c>
      <c r="MF1" s="23" t="s">
        <v>6086</v>
      </c>
      <c r="MG1" s="23" t="s">
        <v>6087</v>
      </c>
      <c r="MH1" s="23" t="s">
        <v>6088</v>
      </c>
      <c r="MI1" s="23" t="s">
        <v>6089</v>
      </c>
      <c r="MJ1" s="23" t="s">
        <v>6090</v>
      </c>
      <c r="MK1" s="23" t="s">
        <v>6091</v>
      </c>
      <c r="ML1" s="23" t="s">
        <v>6092</v>
      </c>
      <c r="MM1" s="23" t="s">
        <v>6093</v>
      </c>
      <c r="MN1" s="23" t="s">
        <v>6094</v>
      </c>
      <c r="MO1" s="23" t="s">
        <v>6095</v>
      </c>
      <c r="MP1" s="23" t="s">
        <v>6096</v>
      </c>
      <c r="MQ1" s="23" t="s">
        <v>6097</v>
      </c>
      <c r="MR1" s="23" t="s">
        <v>6098</v>
      </c>
      <c r="MS1" s="23" t="s">
        <v>6099</v>
      </c>
      <c r="MT1" s="23" t="s">
        <v>6100</v>
      </c>
      <c r="MU1" s="23" t="s">
        <v>6101</v>
      </c>
      <c r="MV1" s="23" t="s">
        <v>6102</v>
      </c>
      <c r="MW1" s="23" t="s">
        <v>6103</v>
      </c>
      <c r="MX1" s="23" t="s">
        <v>6104</v>
      </c>
      <c r="MY1" s="23" t="s">
        <v>6105</v>
      </c>
      <c r="MZ1" s="23" t="s">
        <v>6106</v>
      </c>
      <c r="NA1" s="23" t="s">
        <v>6107</v>
      </c>
      <c r="NB1" s="23" t="s">
        <v>6108</v>
      </c>
      <c r="NC1" s="23" t="s">
        <v>6109</v>
      </c>
      <c r="ND1" s="23" t="s">
        <v>6110</v>
      </c>
      <c r="NE1" s="23" t="s">
        <v>6111</v>
      </c>
      <c r="NF1" s="23" t="s">
        <v>6112</v>
      </c>
      <c r="NG1" s="23" t="s">
        <v>6113</v>
      </c>
      <c r="NH1" s="23" t="s">
        <v>6114</v>
      </c>
      <c r="NI1" s="23" t="s">
        <v>6115</v>
      </c>
      <c r="NJ1" s="23" t="s">
        <v>6116</v>
      </c>
      <c r="NK1" s="23" t="s">
        <v>6117</v>
      </c>
      <c r="NL1" s="23" t="s">
        <v>6118</v>
      </c>
      <c r="NM1" s="23" t="s">
        <v>6119</v>
      </c>
      <c r="NN1" s="23" t="s">
        <v>6120</v>
      </c>
      <c r="NO1" s="23" t="s">
        <v>6121</v>
      </c>
      <c r="NP1" s="23" t="s">
        <v>6122</v>
      </c>
      <c r="NQ1" s="23" t="s">
        <v>6123</v>
      </c>
      <c r="NR1" s="23" t="s">
        <v>6124</v>
      </c>
      <c r="NS1" s="23" t="s">
        <v>6125</v>
      </c>
      <c r="NT1" s="23" t="s">
        <v>6126</v>
      </c>
      <c r="NU1" s="23" t="s">
        <v>6127</v>
      </c>
      <c r="NV1" s="23" t="s">
        <v>6128</v>
      </c>
      <c r="NW1" s="23" t="s">
        <v>6129</v>
      </c>
      <c r="NX1" s="23" t="s">
        <v>6130</v>
      </c>
      <c r="NY1" s="23" t="s">
        <v>6131</v>
      </c>
      <c r="NZ1" s="23" t="s">
        <v>6132</v>
      </c>
      <c r="OA1" s="55" t="s">
        <v>6133</v>
      </c>
      <c r="OB1" s="23" t="s">
        <v>6134</v>
      </c>
      <c r="OC1" s="23" t="s">
        <v>6135</v>
      </c>
      <c r="OD1" s="23" t="s">
        <v>6136</v>
      </c>
      <c r="OE1" s="23" t="s">
        <v>6137</v>
      </c>
      <c r="OF1" s="23" t="s">
        <v>6138</v>
      </c>
      <c r="OG1" s="23" t="s">
        <v>6139</v>
      </c>
      <c r="OH1" s="23" t="s">
        <v>6140</v>
      </c>
      <c r="OI1" s="23" t="s">
        <v>6141</v>
      </c>
      <c r="OJ1" s="23" t="s">
        <v>6142</v>
      </c>
      <c r="OK1" s="23" t="s">
        <v>6143</v>
      </c>
      <c r="OL1" s="55" t="s">
        <v>6144</v>
      </c>
      <c r="OM1" s="55" t="s">
        <v>6145</v>
      </c>
      <c r="ON1" s="55" t="s">
        <v>6146</v>
      </c>
      <c r="OO1" s="55" t="s">
        <v>6147</v>
      </c>
      <c r="OP1" s="55" t="s">
        <v>6148</v>
      </c>
      <c r="OQ1" s="55" t="s">
        <v>6149</v>
      </c>
      <c r="OR1" s="55" t="s">
        <v>6150</v>
      </c>
      <c r="OS1" s="23" t="s">
        <v>6151</v>
      </c>
      <c r="OT1" s="23" t="s">
        <v>6152</v>
      </c>
      <c r="OU1" s="23" t="s">
        <v>6153</v>
      </c>
      <c r="OV1" s="23" t="s">
        <v>6154</v>
      </c>
      <c r="OW1" s="23" t="s">
        <v>6155</v>
      </c>
      <c r="OX1" s="23" t="s">
        <v>6156</v>
      </c>
      <c r="OY1" s="23" t="s">
        <v>6157</v>
      </c>
      <c r="OZ1" s="55" t="s">
        <v>6158</v>
      </c>
      <c r="PA1" s="55" t="s">
        <v>6159</v>
      </c>
      <c r="PB1" s="55" t="s">
        <v>6160</v>
      </c>
      <c r="PC1" s="55" t="s">
        <v>6161</v>
      </c>
      <c r="PD1" s="55" t="s">
        <v>6162</v>
      </c>
      <c r="PE1" s="55" t="s">
        <v>6163</v>
      </c>
      <c r="PF1" s="55" t="s">
        <v>6164</v>
      </c>
      <c r="PG1" s="23" t="s">
        <v>6165</v>
      </c>
      <c r="PH1" s="23" t="s">
        <v>6166</v>
      </c>
      <c r="PI1" s="23" t="s">
        <v>6167</v>
      </c>
      <c r="PJ1" s="23" t="s">
        <v>6168</v>
      </c>
      <c r="PK1" s="23" t="s">
        <v>6169</v>
      </c>
      <c r="PL1" s="23" t="s">
        <v>6170</v>
      </c>
      <c r="PM1" s="23" t="s">
        <v>6171</v>
      </c>
      <c r="PN1" s="23" t="s">
        <v>6172</v>
      </c>
      <c r="PO1" s="23" t="s">
        <v>6173</v>
      </c>
      <c r="PP1" s="23" t="s">
        <v>6174</v>
      </c>
      <c r="PQ1" s="23" t="s">
        <v>6175</v>
      </c>
      <c r="PR1" s="23" t="s">
        <v>6176</v>
      </c>
      <c r="PS1" s="23" t="s">
        <v>6177</v>
      </c>
      <c r="PT1" s="23" t="s">
        <v>6178</v>
      </c>
      <c r="PU1" s="23" t="s">
        <v>6179</v>
      </c>
      <c r="PV1" s="23" t="s">
        <v>6180</v>
      </c>
      <c r="PW1" s="23" t="s">
        <v>6181</v>
      </c>
      <c r="PX1" s="23" t="s">
        <v>6182</v>
      </c>
      <c r="PY1" s="23" t="s">
        <v>6183</v>
      </c>
      <c r="PZ1" s="23" t="s">
        <v>6184</v>
      </c>
      <c r="QA1" s="23" t="s">
        <v>6185</v>
      </c>
      <c r="QB1" s="23" t="s">
        <v>6186</v>
      </c>
      <c r="QC1" s="23" t="s">
        <v>6187</v>
      </c>
      <c r="QD1" s="23" t="s">
        <v>6188</v>
      </c>
      <c r="QE1" s="23" t="s">
        <v>6189</v>
      </c>
      <c r="QF1" s="23" t="s">
        <v>6190</v>
      </c>
      <c r="QG1" s="23" t="s">
        <v>6191</v>
      </c>
      <c r="QH1" s="23" t="s">
        <v>6192</v>
      </c>
      <c r="QI1" s="23" t="s">
        <v>6193</v>
      </c>
      <c r="QJ1" s="23" t="s">
        <v>6194</v>
      </c>
      <c r="QK1" s="23" t="s">
        <v>6195</v>
      </c>
      <c r="QL1" s="23" t="s">
        <v>6196</v>
      </c>
      <c r="QM1" s="23" t="s">
        <v>6197</v>
      </c>
      <c r="QN1" s="23" t="s">
        <v>6198</v>
      </c>
      <c r="QO1" s="23" t="s">
        <v>6199</v>
      </c>
      <c r="QP1" s="23" t="s">
        <v>6200</v>
      </c>
      <c r="QQ1" s="23" t="s">
        <v>6201</v>
      </c>
      <c r="QR1" s="23" t="s">
        <v>6202</v>
      </c>
      <c r="QS1" s="23" t="s">
        <v>6203</v>
      </c>
      <c r="QT1" s="23" t="s">
        <v>6204</v>
      </c>
      <c r="QU1" s="55" t="s">
        <v>6205</v>
      </c>
      <c r="QV1" s="55" t="s">
        <v>6206</v>
      </c>
      <c r="QW1" s="55" t="s">
        <v>6207</v>
      </c>
      <c r="QX1" s="55" t="s">
        <v>6208</v>
      </c>
      <c r="QY1" s="55" t="s">
        <v>6209</v>
      </c>
      <c r="QZ1" s="55" t="s">
        <v>6210</v>
      </c>
      <c r="RA1" s="55" t="s">
        <v>6211</v>
      </c>
      <c r="RB1" s="55" t="s">
        <v>6212</v>
      </c>
      <c r="RC1" s="55" t="s">
        <v>6213</v>
      </c>
      <c r="RD1" s="55" t="s">
        <v>6214</v>
      </c>
      <c r="RE1" s="55" t="s">
        <v>6215</v>
      </c>
      <c r="RF1" s="55" t="s">
        <v>6216</v>
      </c>
      <c r="RG1" s="55" t="s">
        <v>6217</v>
      </c>
      <c r="RH1" s="55" t="s">
        <v>6218</v>
      </c>
      <c r="RI1" s="55" t="s">
        <v>6219</v>
      </c>
      <c r="RJ1" s="55" t="s">
        <v>6220</v>
      </c>
      <c r="RK1" s="55" t="s">
        <v>6221</v>
      </c>
      <c r="RL1" s="55" t="s">
        <v>6222</v>
      </c>
      <c r="RM1" s="55" t="s">
        <v>6223</v>
      </c>
      <c r="RN1" s="55" t="s">
        <v>6224</v>
      </c>
      <c r="RO1" s="55" t="s">
        <v>6225</v>
      </c>
      <c r="RP1" s="55" t="s">
        <v>6226</v>
      </c>
      <c r="RQ1" s="55" t="s">
        <v>6227</v>
      </c>
      <c r="RR1" s="55" t="s">
        <v>6228</v>
      </c>
      <c r="RS1" s="55" t="s">
        <v>6229</v>
      </c>
      <c r="RT1" s="55" t="s">
        <v>6230</v>
      </c>
      <c r="RU1" s="55" t="s">
        <v>6231</v>
      </c>
      <c r="RV1" s="55" t="s">
        <v>6232</v>
      </c>
      <c r="RW1" s="23" t="s">
        <v>6233</v>
      </c>
      <c r="RX1" s="23" t="s">
        <v>6234</v>
      </c>
      <c r="RY1" s="23" t="s">
        <v>6235</v>
      </c>
      <c r="RZ1" s="23" t="s">
        <v>6236</v>
      </c>
      <c r="SA1" s="23" t="s">
        <v>6237</v>
      </c>
      <c r="SB1" s="23" t="s">
        <v>6238</v>
      </c>
      <c r="SC1" s="23" t="s">
        <v>6239</v>
      </c>
      <c r="SD1" s="55" t="s">
        <v>6240</v>
      </c>
      <c r="SE1" s="55" t="s">
        <v>6241</v>
      </c>
      <c r="SF1" s="55" t="s">
        <v>6242</v>
      </c>
      <c r="SG1" s="55" t="s">
        <v>6243</v>
      </c>
      <c r="SH1" s="55" t="s">
        <v>6244</v>
      </c>
      <c r="SI1" s="55" t="s">
        <v>6245</v>
      </c>
      <c r="SJ1" s="55" t="s">
        <v>6246</v>
      </c>
      <c r="SK1" s="55" t="s">
        <v>6247</v>
      </c>
      <c r="SL1" s="55" t="s">
        <v>6248</v>
      </c>
      <c r="SM1" s="55" t="s">
        <v>6249</v>
      </c>
      <c r="SN1" s="55" t="s">
        <v>6250</v>
      </c>
      <c r="SO1" s="55" t="s">
        <v>6251</v>
      </c>
      <c r="SP1" s="55" t="s">
        <v>6252</v>
      </c>
      <c r="SQ1" s="55" t="s">
        <v>6253</v>
      </c>
      <c r="SR1" s="23" t="s">
        <v>6254</v>
      </c>
      <c r="SS1" s="23" t="s">
        <v>6255</v>
      </c>
      <c r="ST1" s="23" t="s">
        <v>6256</v>
      </c>
      <c r="SU1" s="23" t="s">
        <v>6257</v>
      </c>
      <c r="SV1" s="23" t="s">
        <v>6258</v>
      </c>
      <c r="SW1" s="23" t="s">
        <v>6259</v>
      </c>
      <c r="SX1" s="23" t="s">
        <v>6260</v>
      </c>
      <c r="SY1" s="55" t="s">
        <v>6261</v>
      </c>
      <c r="SZ1" s="55" t="s">
        <v>6262</v>
      </c>
      <c r="TA1" s="55" t="s">
        <v>6263</v>
      </c>
      <c r="TB1" s="55" t="s">
        <v>6264</v>
      </c>
      <c r="TC1" s="55" t="s">
        <v>6265</v>
      </c>
      <c r="TD1" s="55" t="s">
        <v>6266</v>
      </c>
      <c r="TE1" s="55" t="s">
        <v>6267</v>
      </c>
      <c r="TF1" s="55" t="s">
        <v>6268</v>
      </c>
      <c r="TG1" s="55" t="s">
        <v>6269</v>
      </c>
      <c r="TH1" s="55" t="s">
        <v>6270</v>
      </c>
      <c r="TI1" s="55" t="s">
        <v>6271</v>
      </c>
      <c r="TJ1" s="55" t="s">
        <v>6272</v>
      </c>
      <c r="TK1" s="55" t="s">
        <v>6273</v>
      </c>
      <c r="TL1" s="55" t="s">
        <v>6274</v>
      </c>
      <c r="TM1" s="23" t="s">
        <v>6275</v>
      </c>
      <c r="TN1" s="23" t="s">
        <v>6276</v>
      </c>
      <c r="TO1" s="23" t="s">
        <v>6277</v>
      </c>
      <c r="TP1" s="23" t="s">
        <v>6278</v>
      </c>
      <c r="TQ1" s="23" t="s">
        <v>6279</v>
      </c>
      <c r="TR1" s="23" t="s">
        <v>6280</v>
      </c>
      <c r="TS1" s="23" t="s">
        <v>6281</v>
      </c>
      <c r="TT1" s="55" t="s">
        <v>6282</v>
      </c>
      <c r="TU1" s="55" t="s">
        <v>6283</v>
      </c>
      <c r="TV1" s="55" t="s">
        <v>6284</v>
      </c>
      <c r="TW1" s="55" t="s">
        <v>6285</v>
      </c>
      <c r="TX1" s="55" t="s">
        <v>6286</v>
      </c>
      <c r="TY1" s="55" t="s">
        <v>6287</v>
      </c>
      <c r="TZ1" s="55" t="s">
        <v>6288</v>
      </c>
      <c r="UA1" s="55" t="s">
        <v>6289</v>
      </c>
      <c r="UB1" s="55" t="s">
        <v>6290</v>
      </c>
      <c r="UC1" s="55" t="s">
        <v>6291</v>
      </c>
      <c r="UD1" s="55" t="s">
        <v>6292</v>
      </c>
      <c r="UE1" s="55" t="s">
        <v>6293</v>
      </c>
      <c r="UF1" s="55" t="s">
        <v>6294</v>
      </c>
      <c r="UG1" s="55" t="s">
        <v>6295</v>
      </c>
      <c r="UH1" s="23" t="s">
        <v>6296</v>
      </c>
      <c r="UI1" s="23" t="s">
        <v>6297</v>
      </c>
      <c r="UJ1" s="23" t="s">
        <v>6298</v>
      </c>
      <c r="UK1" s="23" t="s">
        <v>6299</v>
      </c>
      <c r="UL1" s="23" t="s">
        <v>6300</v>
      </c>
      <c r="UM1" s="23" t="s">
        <v>6301</v>
      </c>
      <c r="UN1" s="23" t="s">
        <v>6302</v>
      </c>
      <c r="UO1" s="55" t="s">
        <v>6303</v>
      </c>
      <c r="UP1" s="55" t="s">
        <v>6304</v>
      </c>
      <c r="UQ1" s="55" t="s">
        <v>6305</v>
      </c>
      <c r="UR1" s="55" t="s">
        <v>6306</v>
      </c>
      <c r="US1" s="55" t="s">
        <v>6307</v>
      </c>
      <c r="UT1" s="55" t="s">
        <v>6308</v>
      </c>
      <c r="UU1" s="55" t="s">
        <v>6309</v>
      </c>
      <c r="UV1" s="55" t="s">
        <v>6310</v>
      </c>
      <c r="UW1" s="55" t="s">
        <v>6311</v>
      </c>
      <c r="UX1" s="55" t="s">
        <v>6312</v>
      </c>
      <c r="UY1" s="55" t="s">
        <v>6313</v>
      </c>
      <c r="UZ1" s="55" t="s">
        <v>6314</v>
      </c>
      <c r="VA1" s="55" t="s">
        <v>6315</v>
      </c>
      <c r="VB1" s="55" t="s">
        <v>6316</v>
      </c>
      <c r="VC1" s="23" t="s">
        <v>6317</v>
      </c>
      <c r="VD1" s="23" t="s">
        <v>6318</v>
      </c>
      <c r="VE1" s="23" t="s">
        <v>6319</v>
      </c>
      <c r="VF1" s="23" t="s">
        <v>6320</v>
      </c>
      <c r="VG1" s="23" t="s">
        <v>6321</v>
      </c>
      <c r="VH1" s="23" t="s">
        <v>6322</v>
      </c>
      <c r="VI1" s="55" t="s">
        <v>6323</v>
      </c>
      <c r="VJ1" s="55" t="s">
        <v>6324</v>
      </c>
      <c r="VK1" s="55" t="s">
        <v>6325</v>
      </c>
      <c r="VL1" s="55" t="s">
        <v>6326</v>
      </c>
      <c r="VM1" s="55" t="s">
        <v>6327</v>
      </c>
      <c r="VN1" s="55" t="s">
        <v>6328</v>
      </c>
      <c r="VO1" s="23" t="s">
        <v>6329</v>
      </c>
      <c r="VP1" s="55" t="s">
        <v>6330</v>
      </c>
      <c r="VQ1" s="55" t="s">
        <v>6331</v>
      </c>
      <c r="VR1" s="55" t="s">
        <v>6332</v>
      </c>
      <c r="VS1" s="55" t="s">
        <v>6333</v>
      </c>
      <c r="VT1" s="23" t="s">
        <v>6334</v>
      </c>
      <c r="VU1" s="23" t="s">
        <v>6335</v>
      </c>
      <c r="VV1" s="23" t="s">
        <v>6336</v>
      </c>
      <c r="VW1" s="23" t="s">
        <v>6337</v>
      </c>
      <c r="VX1" s="23" t="s">
        <v>6338</v>
      </c>
      <c r="VY1" s="23" t="s">
        <v>6339</v>
      </c>
      <c r="VZ1" s="23" t="s">
        <v>6340</v>
      </c>
      <c r="WA1" s="23" t="s">
        <v>6341</v>
      </c>
      <c r="WB1" s="23" t="s">
        <v>6342</v>
      </c>
      <c r="WC1" s="23" t="s">
        <v>6343</v>
      </c>
      <c r="WD1" s="23" t="s">
        <v>6344</v>
      </c>
      <c r="WE1" s="23" t="s">
        <v>6345</v>
      </c>
      <c r="WF1" s="23" t="s">
        <v>6346</v>
      </c>
      <c r="WG1" s="23" t="s">
        <v>6347</v>
      </c>
      <c r="WH1" s="23" t="s">
        <v>6348</v>
      </c>
      <c r="WI1" s="23" t="s">
        <v>6349</v>
      </c>
      <c r="WJ1" s="23" t="s">
        <v>6350</v>
      </c>
      <c r="WK1" s="23" t="s">
        <v>6351</v>
      </c>
      <c r="WL1" s="23" t="s">
        <v>6352</v>
      </c>
      <c r="WM1" s="23" t="s">
        <v>6353</v>
      </c>
      <c r="WN1" s="23" t="s">
        <v>6354</v>
      </c>
      <c r="WO1" s="23" t="s">
        <v>6355</v>
      </c>
      <c r="WP1" s="23" t="s">
        <v>6356</v>
      </c>
      <c r="WQ1" s="23" t="s">
        <v>6357</v>
      </c>
      <c r="WR1" s="23" t="s">
        <v>6358</v>
      </c>
      <c r="WS1" s="23" t="s">
        <v>6359</v>
      </c>
      <c r="WT1" s="23" t="s">
        <v>6360</v>
      </c>
      <c r="WU1" s="23" t="s">
        <v>6361</v>
      </c>
      <c r="WV1" s="23" t="s">
        <v>6362</v>
      </c>
      <c r="WW1" s="23" t="s">
        <v>6363</v>
      </c>
      <c r="WX1" s="23" t="s">
        <v>6364</v>
      </c>
      <c r="WY1" s="23" t="s">
        <v>6365</v>
      </c>
      <c r="WZ1" s="23" t="s">
        <v>6366</v>
      </c>
      <c r="XA1" s="23" t="s">
        <v>6367</v>
      </c>
      <c r="XB1" s="23" t="s">
        <v>6368</v>
      </c>
      <c r="XC1" s="23" t="s">
        <v>6369</v>
      </c>
      <c r="XD1" s="23" t="s">
        <v>6370</v>
      </c>
      <c r="XE1" s="23" t="s">
        <v>6371</v>
      </c>
      <c r="XF1" s="23" t="s">
        <v>6372</v>
      </c>
      <c r="XG1" s="23" t="s">
        <v>6373</v>
      </c>
      <c r="XH1" s="23" t="s">
        <v>6374</v>
      </c>
      <c r="XI1" s="23" t="s">
        <v>6375</v>
      </c>
      <c r="XJ1" s="23" t="s">
        <v>6376</v>
      </c>
      <c r="XK1" s="23" t="s">
        <v>6377</v>
      </c>
      <c r="XL1" s="23" t="s">
        <v>6378</v>
      </c>
      <c r="XM1" s="23" t="s">
        <v>6379</v>
      </c>
      <c r="XN1" s="23" t="s">
        <v>6380</v>
      </c>
      <c r="XO1" s="23" t="s">
        <v>6381</v>
      </c>
      <c r="XP1" s="23" t="s">
        <v>6382</v>
      </c>
      <c r="XQ1" s="23" t="s">
        <v>6383</v>
      </c>
      <c r="XR1" s="23" t="s">
        <v>6384</v>
      </c>
      <c r="XS1" s="23" t="s">
        <v>6385</v>
      </c>
      <c r="XT1" s="23" t="s">
        <v>6386</v>
      </c>
      <c r="XU1" s="23" t="s">
        <v>6387</v>
      </c>
      <c r="XV1" s="23" t="s">
        <v>6388</v>
      </c>
      <c r="XW1" s="23" t="s">
        <v>6389</v>
      </c>
      <c r="XX1" s="23" t="s">
        <v>6390</v>
      </c>
      <c r="XY1" s="23" t="s">
        <v>6391</v>
      </c>
      <c r="XZ1" s="23" t="s">
        <v>6392</v>
      </c>
      <c r="YA1" s="23" t="s">
        <v>6393</v>
      </c>
      <c r="YB1" s="23" t="s">
        <v>6394</v>
      </c>
      <c r="YC1" s="23" t="s">
        <v>6395</v>
      </c>
      <c r="YD1" s="23" t="s">
        <v>6396</v>
      </c>
      <c r="YE1" s="23" t="s">
        <v>6397</v>
      </c>
      <c r="YF1" s="23" t="s">
        <v>6398</v>
      </c>
      <c r="YG1" s="23" t="s">
        <v>6399</v>
      </c>
      <c r="YH1" s="23" t="s">
        <v>6400</v>
      </c>
      <c r="YI1" s="23" t="s">
        <v>6401</v>
      </c>
      <c r="YJ1" s="23" t="s">
        <v>6402</v>
      </c>
      <c r="YK1" s="23" t="s">
        <v>6403</v>
      </c>
      <c r="YL1" s="23" t="s">
        <v>6404</v>
      </c>
      <c r="YM1" s="23" t="s">
        <v>6405</v>
      </c>
      <c r="YN1" s="23" t="s">
        <v>6406</v>
      </c>
      <c r="YO1" s="23" t="s">
        <v>6407</v>
      </c>
      <c r="YP1" s="23" t="s">
        <v>6408</v>
      </c>
      <c r="YQ1" s="23" t="s">
        <v>6409</v>
      </c>
      <c r="YR1" s="23" t="s">
        <v>6410</v>
      </c>
      <c r="YS1" s="23" t="s">
        <v>6411</v>
      </c>
      <c r="YT1" s="23" t="s">
        <v>6412</v>
      </c>
      <c r="YU1" s="23" t="s">
        <v>6413</v>
      </c>
      <c r="YV1" s="23" t="s">
        <v>6414</v>
      </c>
      <c r="YW1" s="23" t="s">
        <v>6415</v>
      </c>
      <c r="YX1" s="23" t="s">
        <v>6416</v>
      </c>
      <c r="YY1" s="23" t="s">
        <v>6417</v>
      </c>
      <c r="YZ1" s="23" t="s">
        <v>6418</v>
      </c>
      <c r="ZA1" s="55" t="s">
        <v>6419</v>
      </c>
      <c r="ZB1" s="55" t="s">
        <v>6420</v>
      </c>
      <c r="ZC1" s="55" t="s">
        <v>6421</v>
      </c>
      <c r="ZD1" s="55" t="s">
        <v>6422</v>
      </c>
      <c r="ZE1" s="55" t="s">
        <v>6423</v>
      </c>
      <c r="ZF1" s="55" t="s">
        <v>6424</v>
      </c>
      <c r="ZG1" s="55" t="s">
        <v>6425</v>
      </c>
      <c r="ZH1" s="23" t="s">
        <v>6426</v>
      </c>
      <c r="ZI1" s="23" t="s">
        <v>6427</v>
      </c>
      <c r="ZJ1" s="23" t="s">
        <v>6428</v>
      </c>
      <c r="ZK1" s="23" t="s">
        <v>6429</v>
      </c>
      <c r="ZL1" s="23" t="s">
        <v>6430</v>
      </c>
      <c r="ZM1" s="23" t="s">
        <v>6431</v>
      </c>
      <c r="ZN1" s="23" t="s">
        <v>6432</v>
      </c>
      <c r="ZO1" s="55" t="s">
        <v>6433</v>
      </c>
      <c r="ZP1" s="55" t="s">
        <v>6434</v>
      </c>
      <c r="ZQ1" s="55" t="s">
        <v>6435</v>
      </c>
      <c r="ZR1" s="55" t="s">
        <v>6436</v>
      </c>
      <c r="ZS1" s="55" t="s">
        <v>6437</v>
      </c>
      <c r="ZT1" s="55" t="s">
        <v>6438</v>
      </c>
      <c r="ZU1" s="55" t="s">
        <v>6439</v>
      </c>
      <c r="ZV1" s="23" t="s">
        <v>6440</v>
      </c>
      <c r="ZW1" s="23" t="s">
        <v>6441</v>
      </c>
      <c r="ZX1" s="23" t="s">
        <v>6442</v>
      </c>
      <c r="ZY1" s="23" t="s">
        <v>6443</v>
      </c>
      <c r="ZZ1" s="23" t="s">
        <v>6444</v>
      </c>
      <c r="AAA1" s="23" t="s">
        <v>6445</v>
      </c>
      <c r="AAB1" s="23" t="s">
        <v>6446</v>
      </c>
      <c r="AAC1" s="23" t="s">
        <v>6447</v>
      </c>
      <c r="AAD1" s="23" t="s">
        <v>6448</v>
      </c>
      <c r="AAE1" s="23" t="s">
        <v>6449</v>
      </c>
      <c r="AAF1" s="23" t="s">
        <v>6450</v>
      </c>
      <c r="AAG1" s="23" t="s">
        <v>6451</v>
      </c>
      <c r="AAH1" s="23" t="s">
        <v>6452</v>
      </c>
      <c r="AAI1" s="23" t="s">
        <v>6453</v>
      </c>
      <c r="AAJ1" s="23" t="s">
        <v>6454</v>
      </c>
      <c r="AAK1" s="23" t="s">
        <v>6455</v>
      </c>
      <c r="AAL1" s="23" t="s">
        <v>6456</v>
      </c>
      <c r="AAM1" s="23" t="s">
        <v>6457</v>
      </c>
      <c r="AAN1" s="23" t="s">
        <v>6458</v>
      </c>
      <c r="AAO1" s="23" t="s">
        <v>6459</v>
      </c>
      <c r="AAP1" s="23" t="s">
        <v>6460</v>
      </c>
      <c r="AAQ1" s="23" t="s">
        <v>6461</v>
      </c>
      <c r="AAR1" s="23" t="s">
        <v>6462</v>
      </c>
      <c r="AAS1" s="23" t="s">
        <v>6463</v>
      </c>
      <c r="AAT1" s="23" t="s">
        <v>6464</v>
      </c>
      <c r="AAU1" s="23" t="s">
        <v>6465</v>
      </c>
      <c r="AAV1" s="23" t="s">
        <v>6466</v>
      </c>
      <c r="AAW1" s="23" t="s">
        <v>6467</v>
      </c>
      <c r="AAX1" s="23" t="s">
        <v>6468</v>
      </c>
      <c r="AAY1" s="23" t="s">
        <v>6469</v>
      </c>
      <c r="AAZ1" s="23" t="s">
        <v>6470</v>
      </c>
      <c r="ABA1" s="23" t="s">
        <v>6471</v>
      </c>
      <c r="ABB1" s="23" t="s">
        <v>6472</v>
      </c>
      <c r="ABC1" s="23" t="s">
        <v>6473</v>
      </c>
      <c r="ABD1" s="23" t="s">
        <v>6474</v>
      </c>
      <c r="ABE1" s="23" t="s">
        <v>6475</v>
      </c>
      <c r="ABF1" s="23" t="s">
        <v>6476</v>
      </c>
      <c r="ABG1" s="23" t="s">
        <v>6477</v>
      </c>
      <c r="ABH1" s="23" t="s">
        <v>6478</v>
      </c>
      <c r="ABI1" s="23" t="s">
        <v>6479</v>
      </c>
      <c r="ABJ1" s="55" t="s">
        <v>6480</v>
      </c>
      <c r="ABK1" s="55" t="s">
        <v>6481</v>
      </c>
      <c r="ABL1" s="55" t="s">
        <v>6482</v>
      </c>
      <c r="ABM1" s="55" t="s">
        <v>6483</v>
      </c>
      <c r="ABN1" s="55" t="s">
        <v>6484</v>
      </c>
      <c r="ABO1" s="55" t="s">
        <v>6485</v>
      </c>
      <c r="ABP1" s="55" t="s">
        <v>6486</v>
      </c>
      <c r="ABQ1" s="55" t="s">
        <v>6487</v>
      </c>
      <c r="ABR1" s="55" t="s">
        <v>6488</v>
      </c>
      <c r="ABS1" s="55" t="s">
        <v>6489</v>
      </c>
      <c r="ABT1" s="55" t="s">
        <v>6490</v>
      </c>
      <c r="ABU1" s="55" t="s">
        <v>6491</v>
      </c>
      <c r="ABV1" s="55" t="s">
        <v>6492</v>
      </c>
      <c r="ABW1" s="55" t="s">
        <v>6493</v>
      </c>
      <c r="ABX1" s="55" t="s">
        <v>6494</v>
      </c>
      <c r="ABY1" s="55" t="s">
        <v>6495</v>
      </c>
      <c r="ABZ1" s="55" t="s">
        <v>6496</v>
      </c>
      <c r="ACA1" s="55" t="s">
        <v>6497</v>
      </c>
      <c r="ACB1" s="55" t="s">
        <v>6498</v>
      </c>
      <c r="ACC1" s="55" t="s">
        <v>6499</v>
      </c>
      <c r="ACD1" s="55" t="s">
        <v>6500</v>
      </c>
      <c r="ACE1" s="55" t="s">
        <v>6501</v>
      </c>
      <c r="ACF1" s="55" t="s">
        <v>6502</v>
      </c>
      <c r="ACG1" s="55" t="s">
        <v>6503</v>
      </c>
      <c r="ACH1" s="55" t="s">
        <v>6504</v>
      </c>
      <c r="ACI1" s="55" t="s">
        <v>6505</v>
      </c>
      <c r="ACJ1" s="55" t="s">
        <v>6506</v>
      </c>
      <c r="ACK1" s="55" t="s">
        <v>6507</v>
      </c>
      <c r="ACL1" s="23" t="s">
        <v>6508</v>
      </c>
      <c r="ACM1" s="23" t="s">
        <v>6509</v>
      </c>
      <c r="ACN1" s="23" t="s">
        <v>6510</v>
      </c>
      <c r="ACO1" s="23" t="s">
        <v>6511</v>
      </c>
      <c r="ACP1" s="23" t="s">
        <v>6512</v>
      </c>
      <c r="ACQ1" s="23" t="s">
        <v>6513</v>
      </c>
      <c r="ACR1" s="23" t="s">
        <v>6514</v>
      </c>
      <c r="ACS1" s="55" t="s">
        <v>6515</v>
      </c>
      <c r="ACT1" s="55" t="s">
        <v>6516</v>
      </c>
      <c r="ACU1" s="55" t="s">
        <v>6517</v>
      </c>
      <c r="ACV1" s="55" t="s">
        <v>6518</v>
      </c>
      <c r="ACW1" s="55" t="s">
        <v>6519</v>
      </c>
      <c r="ACX1" s="55" t="s">
        <v>6520</v>
      </c>
      <c r="ACY1" s="55" t="s">
        <v>6521</v>
      </c>
      <c r="ACZ1" s="55" t="s">
        <v>6522</v>
      </c>
      <c r="ADA1" s="55" t="s">
        <v>6523</v>
      </c>
      <c r="ADB1" s="55" t="s">
        <v>6524</v>
      </c>
      <c r="ADC1" s="55" t="s">
        <v>6525</v>
      </c>
      <c r="ADD1" s="55" t="s">
        <v>6526</v>
      </c>
      <c r="ADE1" s="55" t="s">
        <v>6527</v>
      </c>
      <c r="ADF1" s="55" t="s">
        <v>6528</v>
      </c>
      <c r="ADG1" s="23" t="s">
        <v>6529</v>
      </c>
      <c r="ADH1" s="23" t="s">
        <v>6530</v>
      </c>
      <c r="ADI1" s="23" t="s">
        <v>6531</v>
      </c>
      <c r="ADJ1" s="23" t="s">
        <v>6532</v>
      </c>
      <c r="ADK1" s="23" t="s">
        <v>6533</v>
      </c>
      <c r="ADL1" s="23" t="s">
        <v>6534</v>
      </c>
      <c r="ADM1" s="23" t="s">
        <v>6535</v>
      </c>
      <c r="ADN1" s="55" t="s">
        <v>6536</v>
      </c>
      <c r="ADO1" s="55" t="s">
        <v>6537</v>
      </c>
      <c r="ADP1" s="55" t="s">
        <v>6538</v>
      </c>
      <c r="ADQ1" s="55" t="s">
        <v>6539</v>
      </c>
      <c r="ADR1" s="55" t="s">
        <v>6540</v>
      </c>
      <c r="ADS1" s="55" t="s">
        <v>6541</v>
      </c>
      <c r="ADT1" s="55" t="s">
        <v>6542</v>
      </c>
      <c r="ADU1" s="55" t="s">
        <v>6543</v>
      </c>
      <c r="ADV1" s="55" t="s">
        <v>6544</v>
      </c>
      <c r="ADW1" s="55" t="s">
        <v>6545</v>
      </c>
      <c r="ADX1" s="55" t="s">
        <v>6546</v>
      </c>
      <c r="ADY1" s="55" t="s">
        <v>6547</v>
      </c>
      <c r="ADZ1" s="55" t="s">
        <v>6548</v>
      </c>
      <c r="AEA1" s="55" t="s">
        <v>6549</v>
      </c>
      <c r="AEB1" s="23" t="s">
        <v>6550</v>
      </c>
      <c r="AEC1" s="23" t="s">
        <v>6551</v>
      </c>
      <c r="AED1" s="23" t="s">
        <v>6552</v>
      </c>
      <c r="AEE1" s="23" t="s">
        <v>6553</v>
      </c>
      <c r="AEF1" s="23" t="s">
        <v>6554</v>
      </c>
      <c r="AEG1" s="23" t="s">
        <v>6555</v>
      </c>
      <c r="AEH1" s="23" t="s">
        <v>6556</v>
      </c>
      <c r="AEI1" s="55" t="s">
        <v>6557</v>
      </c>
      <c r="AEJ1" s="55" t="s">
        <v>6558</v>
      </c>
      <c r="AEK1" s="55" t="s">
        <v>6559</v>
      </c>
      <c r="AEL1" s="55" t="s">
        <v>6560</v>
      </c>
      <c r="AEM1" s="55" t="s">
        <v>6561</v>
      </c>
      <c r="AEN1" s="55" t="s">
        <v>6562</v>
      </c>
      <c r="AEO1" s="55" t="s">
        <v>6563</v>
      </c>
      <c r="AEP1" s="55" t="s">
        <v>6564</v>
      </c>
      <c r="AEQ1" s="55" t="s">
        <v>6565</v>
      </c>
      <c r="AER1" s="55" t="s">
        <v>6566</v>
      </c>
      <c r="AES1" s="55" t="s">
        <v>6567</v>
      </c>
      <c r="AET1" s="55" t="s">
        <v>6568</v>
      </c>
      <c r="AEU1" s="55" t="s">
        <v>6569</v>
      </c>
      <c r="AEV1" s="55" t="s">
        <v>6570</v>
      </c>
      <c r="AEW1" s="23" t="s">
        <v>6571</v>
      </c>
      <c r="AEX1" s="23" t="s">
        <v>6572</v>
      </c>
      <c r="AEY1" s="23" t="s">
        <v>6573</v>
      </c>
      <c r="AEZ1" s="23" t="s">
        <v>6574</v>
      </c>
      <c r="AFA1" s="23" t="s">
        <v>6575</v>
      </c>
      <c r="AFB1" s="23" t="s">
        <v>6576</v>
      </c>
      <c r="AFC1" s="23" t="s">
        <v>6577</v>
      </c>
      <c r="AFD1" s="55" t="s">
        <v>6578</v>
      </c>
      <c r="AFE1" s="55" t="s">
        <v>6579</v>
      </c>
      <c r="AFF1" s="55" t="s">
        <v>6580</v>
      </c>
      <c r="AFG1" s="55" t="s">
        <v>6581</v>
      </c>
      <c r="AFH1" s="55" t="s">
        <v>6582</v>
      </c>
      <c r="AFI1" s="55" t="s">
        <v>6583</v>
      </c>
      <c r="AFJ1" s="55" t="s">
        <v>6584</v>
      </c>
      <c r="AFK1" s="55" t="s">
        <v>6585</v>
      </c>
      <c r="AFL1" s="55" t="s">
        <v>6586</v>
      </c>
      <c r="AFM1" s="55" t="s">
        <v>6587</v>
      </c>
      <c r="AFN1" s="55" t="s">
        <v>6588</v>
      </c>
      <c r="AFO1" s="55" t="s">
        <v>6589</v>
      </c>
      <c r="AFP1" s="55" t="s">
        <v>6590</v>
      </c>
      <c r="AFQ1" s="55" t="s">
        <v>6591</v>
      </c>
      <c r="AFR1" s="23" t="s">
        <v>6592</v>
      </c>
      <c r="AFS1" s="23" t="s">
        <v>6593</v>
      </c>
      <c r="AFT1" s="23" t="s">
        <v>6594</v>
      </c>
      <c r="AFU1" s="23" t="s">
        <v>6595</v>
      </c>
      <c r="AFV1" s="23" t="s">
        <v>6596</v>
      </c>
      <c r="AFW1" s="23" t="s">
        <v>6597</v>
      </c>
      <c r="AFX1" s="55" t="s">
        <v>6598</v>
      </c>
      <c r="AFY1" s="55" t="s">
        <v>6599</v>
      </c>
      <c r="AFZ1" s="55" t="s">
        <v>6600</v>
      </c>
      <c r="AGA1" s="55" t="s">
        <v>6601</v>
      </c>
      <c r="AGB1" s="55" t="s">
        <v>6602</v>
      </c>
      <c r="AGC1" s="55" t="s">
        <v>6603</v>
      </c>
      <c r="AGD1" s="23" t="s">
        <v>6604</v>
      </c>
      <c r="AGE1" s="55" t="s">
        <v>6605</v>
      </c>
      <c r="AGF1" s="55" t="s">
        <v>6606</v>
      </c>
      <c r="AGG1" s="55" t="s">
        <v>6607</v>
      </c>
      <c r="AGH1" s="55" t="s">
        <v>6608</v>
      </c>
      <c r="AGI1" s="23" t="s">
        <v>6609</v>
      </c>
      <c r="AGJ1" s="23" t="s">
        <v>6610</v>
      </c>
      <c r="AGK1" s="23" t="s">
        <v>6611</v>
      </c>
      <c r="AGL1" s="23" t="s">
        <v>6612</v>
      </c>
      <c r="AGM1" s="23" t="s">
        <v>6613</v>
      </c>
      <c r="AGN1" s="23" t="s">
        <v>6614</v>
      </c>
      <c r="AGO1" s="23" t="s">
        <v>6615</v>
      </c>
      <c r="AGP1" s="23" t="s">
        <v>6616</v>
      </c>
      <c r="AGQ1" s="23" t="s">
        <v>6617</v>
      </c>
      <c r="AGR1" s="23" t="s">
        <v>6618</v>
      </c>
      <c r="AGS1" s="23" t="s">
        <v>6619</v>
      </c>
      <c r="AGT1" s="23" t="s">
        <v>6620</v>
      </c>
      <c r="AGU1" s="23" t="s">
        <v>6621</v>
      </c>
      <c r="AGV1" s="23" t="s">
        <v>6622</v>
      </c>
      <c r="AGW1" s="23" t="s">
        <v>6623</v>
      </c>
      <c r="AGX1" s="23" t="s">
        <v>6624</v>
      </c>
      <c r="AGY1" s="23" t="s">
        <v>6625</v>
      </c>
      <c r="AGZ1" s="23" t="s">
        <v>6626</v>
      </c>
      <c r="AHA1" s="23" t="s">
        <v>6627</v>
      </c>
      <c r="AHB1" s="23" t="s">
        <v>6628</v>
      </c>
      <c r="AHC1" s="23" t="s">
        <v>6629</v>
      </c>
      <c r="AHD1" s="23" t="s">
        <v>6630</v>
      </c>
      <c r="AHE1" s="23" t="s">
        <v>6631</v>
      </c>
      <c r="AHF1" s="23" t="s">
        <v>6632</v>
      </c>
      <c r="AHG1" s="23" t="s">
        <v>6633</v>
      </c>
      <c r="AHH1" s="23" t="s">
        <v>6634</v>
      </c>
      <c r="AHI1" s="23" t="s">
        <v>6635</v>
      </c>
      <c r="AHJ1" s="23" t="s">
        <v>6636</v>
      </c>
      <c r="AHK1" s="23" t="s">
        <v>6637</v>
      </c>
      <c r="AHL1" s="23" t="s">
        <v>6638</v>
      </c>
      <c r="AHM1" s="23" t="s">
        <v>6639</v>
      </c>
      <c r="AHN1" s="23" t="s">
        <v>6640</v>
      </c>
      <c r="AHO1" s="23" t="s">
        <v>6641</v>
      </c>
      <c r="AHP1" s="23" t="s">
        <v>6642</v>
      </c>
      <c r="AHQ1" s="23" t="s">
        <v>6643</v>
      </c>
      <c r="AHR1" s="23" t="s">
        <v>6644</v>
      </c>
      <c r="AHS1" s="23" t="s">
        <v>6645</v>
      </c>
      <c r="AHT1" s="23" t="s">
        <v>6646</v>
      </c>
      <c r="AHU1" s="23" t="s">
        <v>6647</v>
      </c>
      <c r="AHV1" s="23" t="s">
        <v>6648</v>
      </c>
      <c r="AHW1" s="23" t="s">
        <v>6649</v>
      </c>
      <c r="AHX1" s="23" t="s">
        <v>6650</v>
      </c>
      <c r="AHY1" s="23" t="s">
        <v>6651</v>
      </c>
      <c r="AHZ1" s="23" t="s">
        <v>6652</v>
      </c>
      <c r="AIA1" s="23" t="s">
        <v>6653</v>
      </c>
      <c r="AIB1" s="23" t="s">
        <v>6654</v>
      </c>
      <c r="AIC1" s="23" t="s">
        <v>6655</v>
      </c>
      <c r="AID1" s="23" t="s">
        <v>6656</v>
      </c>
      <c r="AIE1" s="23" t="s">
        <v>6657</v>
      </c>
      <c r="AIF1" s="23" t="s">
        <v>6658</v>
      </c>
      <c r="AIG1" s="23" t="s">
        <v>6659</v>
      </c>
      <c r="AIH1" s="23" t="s">
        <v>6660</v>
      </c>
      <c r="AII1" s="23" t="s">
        <v>6661</v>
      </c>
      <c r="AIJ1" s="23" t="s">
        <v>6662</v>
      </c>
      <c r="AIK1" s="23" t="s">
        <v>6663</v>
      </c>
      <c r="AIL1" s="23" t="s">
        <v>6664</v>
      </c>
      <c r="AIM1" s="23" t="s">
        <v>6665</v>
      </c>
      <c r="AIN1" s="23" t="s">
        <v>6666</v>
      </c>
      <c r="AIO1" s="23" t="s">
        <v>6667</v>
      </c>
      <c r="AIP1" s="23" t="s">
        <v>6668</v>
      </c>
      <c r="AIQ1" s="23" t="s">
        <v>6669</v>
      </c>
      <c r="AIR1" s="23" t="s">
        <v>6670</v>
      </c>
      <c r="AIS1" s="23" t="s">
        <v>6671</v>
      </c>
      <c r="AIT1" s="23" t="s">
        <v>6672</v>
      </c>
      <c r="AIU1" s="23" t="s">
        <v>6673</v>
      </c>
      <c r="AIV1" s="23" t="s">
        <v>6674</v>
      </c>
      <c r="AIW1" s="23" t="s">
        <v>6675</v>
      </c>
      <c r="AIX1" s="23" t="s">
        <v>6676</v>
      </c>
      <c r="AIY1" s="23" t="s">
        <v>6677</v>
      </c>
      <c r="AIZ1" s="23" t="s">
        <v>6678</v>
      </c>
      <c r="AJA1" s="23" t="s">
        <v>6679</v>
      </c>
      <c r="AJB1" s="23" t="s">
        <v>6680</v>
      </c>
      <c r="AJC1" s="23" t="s">
        <v>6681</v>
      </c>
      <c r="AJD1" s="23" t="s">
        <v>6682</v>
      </c>
      <c r="AJE1" s="23" t="s">
        <v>6683</v>
      </c>
      <c r="AJF1" s="23" t="s">
        <v>6684</v>
      </c>
      <c r="AJG1" s="23" t="s">
        <v>6685</v>
      </c>
      <c r="AJH1" s="23" t="s">
        <v>6686</v>
      </c>
      <c r="AJI1" s="23" t="s">
        <v>6687</v>
      </c>
      <c r="AJJ1" s="23" t="s">
        <v>6688</v>
      </c>
      <c r="AJK1" s="23" t="s">
        <v>6689</v>
      </c>
      <c r="AJL1" s="23" t="s">
        <v>6690</v>
      </c>
      <c r="AJM1" s="23" t="s">
        <v>6691</v>
      </c>
      <c r="AJN1" s="23" t="s">
        <v>6692</v>
      </c>
      <c r="AJO1" s="23" t="s">
        <v>6693</v>
      </c>
      <c r="AJP1" s="55" t="s">
        <v>6694</v>
      </c>
      <c r="AJQ1" s="55" t="s">
        <v>6695</v>
      </c>
      <c r="AJR1" s="55" t="s">
        <v>6696</v>
      </c>
      <c r="AJS1" s="55" t="s">
        <v>6697</v>
      </c>
      <c r="AJT1" s="55" t="s">
        <v>6698</v>
      </c>
      <c r="AJU1" s="55" t="s">
        <v>6699</v>
      </c>
      <c r="AJV1" s="55" t="s">
        <v>6700</v>
      </c>
      <c r="AJW1" s="23" t="s">
        <v>6701</v>
      </c>
      <c r="AJX1" s="23" t="s">
        <v>6702</v>
      </c>
      <c r="AJY1" s="23" t="s">
        <v>6703</v>
      </c>
      <c r="AJZ1" s="23" t="s">
        <v>6704</v>
      </c>
      <c r="AKA1" s="23" t="s">
        <v>6705</v>
      </c>
      <c r="AKB1" s="23" t="s">
        <v>6706</v>
      </c>
      <c r="AKC1" s="23" t="s">
        <v>6707</v>
      </c>
      <c r="AKD1" s="55" t="s">
        <v>6708</v>
      </c>
      <c r="AKE1" s="55" t="s">
        <v>6709</v>
      </c>
      <c r="AKF1" s="55" t="s">
        <v>6710</v>
      </c>
      <c r="AKG1" s="55" t="s">
        <v>6711</v>
      </c>
      <c r="AKH1" s="55" t="s">
        <v>6712</v>
      </c>
      <c r="AKI1" s="55" t="s">
        <v>6713</v>
      </c>
      <c r="AKJ1" s="55" t="s">
        <v>6714</v>
      </c>
      <c r="AKK1" s="23" t="s">
        <v>6715</v>
      </c>
      <c r="AKL1" s="23" t="s">
        <v>6716</v>
      </c>
      <c r="AKM1" s="23" t="s">
        <v>6717</v>
      </c>
      <c r="AKN1" s="23" t="s">
        <v>6718</v>
      </c>
      <c r="AKO1" s="23" t="s">
        <v>6719</v>
      </c>
      <c r="AKP1" s="23" t="s">
        <v>6720</v>
      </c>
      <c r="AKQ1" s="23" t="s">
        <v>6721</v>
      </c>
      <c r="AKR1" s="23" t="s">
        <v>6722</v>
      </c>
      <c r="AKS1" s="23" t="s">
        <v>6723</v>
      </c>
      <c r="AKT1" s="23" t="s">
        <v>6724</v>
      </c>
      <c r="AKU1" s="23" t="s">
        <v>6725</v>
      </c>
      <c r="AKV1" s="23" t="s">
        <v>6726</v>
      </c>
      <c r="AKW1" s="23" t="s">
        <v>6727</v>
      </c>
      <c r="AKX1" s="23" t="s">
        <v>6728</v>
      </c>
      <c r="AKY1" s="23" t="s">
        <v>6729</v>
      </c>
      <c r="AKZ1" s="23" t="s">
        <v>6730</v>
      </c>
      <c r="ALA1" s="23" t="s">
        <v>6731</v>
      </c>
      <c r="ALB1" s="23" t="s">
        <v>6732</v>
      </c>
      <c r="ALC1" s="23" t="s">
        <v>6733</v>
      </c>
      <c r="ALD1" s="23" t="s">
        <v>6734</v>
      </c>
      <c r="ALE1" s="23" t="s">
        <v>6735</v>
      </c>
      <c r="ALF1" s="23" t="s">
        <v>6736</v>
      </c>
      <c r="ALG1" s="23" t="s">
        <v>6737</v>
      </c>
      <c r="ALH1" s="23" t="s">
        <v>6738</v>
      </c>
      <c r="ALI1" s="23" t="s">
        <v>6739</v>
      </c>
      <c r="ALJ1" s="23" t="s">
        <v>6740</v>
      </c>
      <c r="ALK1" s="23" t="s">
        <v>6741</v>
      </c>
      <c r="ALL1" s="23" t="s">
        <v>6742</v>
      </c>
      <c r="ALM1" s="23" t="s">
        <v>6743</v>
      </c>
      <c r="ALN1" s="23" t="s">
        <v>6744</v>
      </c>
      <c r="ALO1" s="23" t="s">
        <v>6745</v>
      </c>
      <c r="ALP1" s="23" t="s">
        <v>6746</v>
      </c>
      <c r="ALQ1" s="23" t="s">
        <v>6747</v>
      </c>
      <c r="ALR1" s="23" t="s">
        <v>6748</v>
      </c>
      <c r="ALS1" s="23" t="s">
        <v>6749</v>
      </c>
      <c r="ALT1" s="23" t="s">
        <v>6750</v>
      </c>
      <c r="ALU1" s="23" t="s">
        <v>6751</v>
      </c>
      <c r="ALV1" s="23" t="s">
        <v>6752</v>
      </c>
      <c r="ALW1" s="23" t="s">
        <v>6753</v>
      </c>
      <c r="ALX1" s="23" t="s">
        <v>6754</v>
      </c>
      <c r="ALY1" s="55" t="s">
        <v>6755</v>
      </c>
      <c r="ALZ1" s="55" t="s">
        <v>6756</v>
      </c>
      <c r="AMA1" s="55" t="s">
        <v>6757</v>
      </c>
      <c r="AMB1" s="55" t="s">
        <v>6758</v>
      </c>
      <c r="AMC1" s="55" t="s">
        <v>6759</v>
      </c>
      <c r="AMD1" s="55" t="s">
        <v>6760</v>
      </c>
      <c r="AME1" s="55" t="s">
        <v>6761</v>
      </c>
      <c r="AMF1" s="55" t="s">
        <v>6762</v>
      </c>
      <c r="AMG1" s="55" t="s">
        <v>6763</v>
      </c>
      <c r="AMH1" s="55" t="s">
        <v>6764</v>
      </c>
      <c r="AMI1" s="55" t="s">
        <v>6765</v>
      </c>
      <c r="AMJ1" s="55" t="s">
        <v>6766</v>
      </c>
      <c r="AMK1" s="55" t="s">
        <v>6767</v>
      </c>
      <c r="AML1" s="55" t="s">
        <v>6768</v>
      </c>
      <c r="AMM1" s="55" t="s">
        <v>6769</v>
      </c>
      <c r="AMN1" s="55" t="s">
        <v>6770</v>
      </c>
      <c r="AMO1" s="55" t="s">
        <v>6771</v>
      </c>
      <c r="AMP1" s="55" t="s">
        <v>6772</v>
      </c>
      <c r="AMQ1" s="55" t="s">
        <v>6773</v>
      </c>
      <c r="AMR1" s="55" t="s">
        <v>6774</v>
      </c>
      <c r="AMS1" s="55" t="s">
        <v>6775</v>
      </c>
      <c r="AMT1" s="55" t="s">
        <v>6776</v>
      </c>
      <c r="AMU1" s="55" t="s">
        <v>6777</v>
      </c>
      <c r="AMV1" s="55" t="s">
        <v>6778</v>
      </c>
      <c r="AMW1" s="55" t="s">
        <v>6779</v>
      </c>
      <c r="AMX1" s="55" t="s">
        <v>6780</v>
      </c>
      <c r="AMY1" s="55" t="s">
        <v>6781</v>
      </c>
      <c r="AMZ1" s="55" t="s">
        <v>6782</v>
      </c>
      <c r="ANA1" s="23" t="s">
        <v>6783</v>
      </c>
      <c r="ANB1" s="23" t="s">
        <v>6784</v>
      </c>
      <c r="ANC1" s="23" t="s">
        <v>6785</v>
      </c>
      <c r="AND1" s="23" t="s">
        <v>6786</v>
      </c>
      <c r="ANE1" s="23" t="s">
        <v>6787</v>
      </c>
      <c r="ANF1" s="23" t="s">
        <v>6788</v>
      </c>
      <c r="ANG1" s="23" t="s">
        <v>6789</v>
      </c>
      <c r="ANH1" s="55" t="s">
        <v>6790</v>
      </c>
      <c r="ANI1" s="55" t="s">
        <v>6791</v>
      </c>
      <c r="ANJ1" s="55" t="s">
        <v>6792</v>
      </c>
      <c r="ANK1" s="55" t="s">
        <v>6793</v>
      </c>
      <c r="ANL1" s="55" t="s">
        <v>6794</v>
      </c>
      <c r="ANM1" s="55" t="s">
        <v>6795</v>
      </c>
      <c r="ANN1" s="55" t="s">
        <v>6796</v>
      </c>
      <c r="ANO1" s="55" t="s">
        <v>6797</v>
      </c>
      <c r="ANP1" s="55" t="s">
        <v>6798</v>
      </c>
      <c r="ANQ1" s="55" t="s">
        <v>6799</v>
      </c>
      <c r="ANR1" s="55" t="s">
        <v>6800</v>
      </c>
      <c r="ANS1" s="55" t="s">
        <v>6801</v>
      </c>
      <c r="ANT1" s="55" t="s">
        <v>6802</v>
      </c>
      <c r="ANU1" s="55" t="s">
        <v>6803</v>
      </c>
      <c r="ANV1" s="23" t="s">
        <v>6804</v>
      </c>
      <c r="ANW1" s="23" t="s">
        <v>6805</v>
      </c>
      <c r="ANX1" s="23" t="s">
        <v>6806</v>
      </c>
      <c r="ANY1" s="23" t="s">
        <v>6807</v>
      </c>
      <c r="ANZ1" s="23" t="s">
        <v>6808</v>
      </c>
      <c r="AOA1" s="23" t="s">
        <v>6809</v>
      </c>
      <c r="AOB1" s="23" t="s">
        <v>6810</v>
      </c>
      <c r="AOC1" s="55" t="s">
        <v>6811</v>
      </c>
      <c r="AOD1" s="55" t="s">
        <v>6812</v>
      </c>
      <c r="AOE1" s="55" t="s">
        <v>6813</v>
      </c>
      <c r="AOF1" s="55" t="s">
        <v>6814</v>
      </c>
      <c r="AOG1" s="55" t="s">
        <v>6815</v>
      </c>
      <c r="AOH1" s="55" t="s">
        <v>6816</v>
      </c>
      <c r="AOI1" s="55" t="s">
        <v>6817</v>
      </c>
      <c r="AOJ1" s="55" t="s">
        <v>6818</v>
      </c>
      <c r="AOK1" s="55" t="s">
        <v>6819</v>
      </c>
      <c r="AOL1" s="55" t="s">
        <v>6820</v>
      </c>
      <c r="AOM1" s="55" t="s">
        <v>6821</v>
      </c>
      <c r="AON1" s="55" t="s">
        <v>6822</v>
      </c>
      <c r="AOO1" s="55" t="s">
        <v>6823</v>
      </c>
      <c r="AOP1" s="55" t="s">
        <v>6824</v>
      </c>
      <c r="AOQ1" s="23" t="s">
        <v>6825</v>
      </c>
      <c r="AOR1" s="23" t="s">
        <v>6826</v>
      </c>
      <c r="AOS1" s="23" t="s">
        <v>6827</v>
      </c>
      <c r="AOT1" s="23" t="s">
        <v>6828</v>
      </c>
      <c r="AOU1" s="23" t="s">
        <v>6829</v>
      </c>
      <c r="AOV1" s="23" t="s">
        <v>6830</v>
      </c>
      <c r="AOW1" s="23" t="s">
        <v>6831</v>
      </c>
      <c r="AOX1" s="55" t="s">
        <v>6832</v>
      </c>
      <c r="AOY1" s="55" t="s">
        <v>6833</v>
      </c>
      <c r="AOZ1" s="55" t="s">
        <v>6834</v>
      </c>
      <c r="APA1" s="55" t="s">
        <v>6835</v>
      </c>
      <c r="APB1" s="55" t="s">
        <v>6836</v>
      </c>
      <c r="APC1" s="55" t="s">
        <v>6837</v>
      </c>
      <c r="APD1" s="55" t="s">
        <v>6838</v>
      </c>
      <c r="APE1" s="55" t="s">
        <v>6839</v>
      </c>
      <c r="APF1" s="55" t="s">
        <v>6840</v>
      </c>
      <c r="APG1" s="55" t="s">
        <v>6841</v>
      </c>
      <c r="APH1" s="55" t="s">
        <v>6842</v>
      </c>
      <c r="API1" s="55" t="s">
        <v>6843</v>
      </c>
      <c r="APJ1" s="55" t="s">
        <v>6844</v>
      </c>
      <c r="APK1" s="55" t="s">
        <v>6845</v>
      </c>
      <c r="APL1" s="23" t="s">
        <v>6846</v>
      </c>
      <c r="APM1" s="23" t="s">
        <v>6847</v>
      </c>
      <c r="APN1" s="23" t="s">
        <v>6848</v>
      </c>
      <c r="APO1" s="23" t="s">
        <v>6849</v>
      </c>
      <c r="APP1" s="23" t="s">
        <v>6850</v>
      </c>
      <c r="APQ1" s="23" t="s">
        <v>6851</v>
      </c>
      <c r="APR1" s="23" t="s">
        <v>6852</v>
      </c>
      <c r="APS1" s="55" t="s">
        <v>6853</v>
      </c>
      <c r="APT1" s="55" t="s">
        <v>6854</v>
      </c>
      <c r="APU1" s="55" t="s">
        <v>6855</v>
      </c>
      <c r="APV1" s="55" t="s">
        <v>6856</v>
      </c>
      <c r="APW1" s="55" t="s">
        <v>6857</v>
      </c>
      <c r="APX1" s="55" t="s">
        <v>6858</v>
      </c>
      <c r="APY1" s="55" t="s">
        <v>6859</v>
      </c>
      <c r="APZ1" s="55" t="s">
        <v>6860</v>
      </c>
      <c r="AQA1" s="55" t="s">
        <v>6861</v>
      </c>
      <c r="AQB1" s="55" t="s">
        <v>6862</v>
      </c>
      <c r="AQC1" s="55" t="s">
        <v>6863</v>
      </c>
      <c r="AQD1" s="55" t="s">
        <v>6864</v>
      </c>
      <c r="AQE1" s="55" t="s">
        <v>6865</v>
      </c>
      <c r="AQF1" s="55" t="s">
        <v>6866</v>
      </c>
      <c r="AQG1" s="23" t="s">
        <v>6867</v>
      </c>
      <c r="AQH1" s="23" t="s">
        <v>6868</v>
      </c>
      <c r="AQI1" s="23" t="s">
        <v>6869</v>
      </c>
      <c r="AQJ1" s="23" t="s">
        <v>6870</v>
      </c>
      <c r="AQK1" s="23" t="s">
        <v>6871</v>
      </c>
      <c r="AQL1" s="23" t="s">
        <v>6872</v>
      </c>
      <c r="AQM1" s="55" t="s">
        <v>6873</v>
      </c>
      <c r="AQN1" s="55" t="s">
        <v>6874</v>
      </c>
      <c r="AQO1" s="55" t="s">
        <v>6875</v>
      </c>
      <c r="AQP1" s="55" t="s">
        <v>6876</v>
      </c>
      <c r="AQQ1" s="55" t="s">
        <v>6877</v>
      </c>
      <c r="AQR1" s="55" t="s">
        <v>6878</v>
      </c>
      <c r="AQS1" s="23" t="s">
        <v>6879</v>
      </c>
      <c r="AQT1" s="55" t="s">
        <v>6880</v>
      </c>
      <c r="AQU1" s="55" t="s">
        <v>6881</v>
      </c>
      <c r="AQV1" s="55" t="s">
        <v>6882</v>
      </c>
      <c r="AQW1" s="55" t="s">
        <v>6883</v>
      </c>
      <c r="AQX1" s="23" t="s">
        <v>6884</v>
      </c>
      <c r="AQY1" s="23" t="s">
        <v>6885</v>
      </c>
      <c r="AQZ1" s="23" t="s">
        <v>6886</v>
      </c>
      <c r="ARA1" s="23" t="s">
        <v>6887</v>
      </c>
      <c r="ARB1" s="23" t="s">
        <v>6888</v>
      </c>
      <c r="ARC1" s="23" t="s">
        <v>6889</v>
      </c>
      <c r="ARD1" s="23" t="s">
        <v>6890</v>
      </c>
      <c r="ARE1" s="23" t="s">
        <v>6891</v>
      </c>
      <c r="ARF1" s="23" t="s">
        <v>6892</v>
      </c>
      <c r="ARG1" s="23" t="s">
        <v>6893</v>
      </c>
      <c r="ARH1" s="23" t="s">
        <v>6894</v>
      </c>
      <c r="ARI1" s="23" t="s">
        <v>6895</v>
      </c>
      <c r="ARJ1" s="23" t="s">
        <v>6896</v>
      </c>
      <c r="ARK1" s="23" t="s">
        <v>6897</v>
      </c>
      <c r="ARL1" s="23" t="s">
        <v>6898</v>
      </c>
      <c r="ARM1" s="23" t="s">
        <v>6899</v>
      </c>
      <c r="ARN1" s="23" t="s">
        <v>6900</v>
      </c>
      <c r="ARO1" s="23" t="s">
        <v>6901</v>
      </c>
      <c r="ARP1" s="23" t="s">
        <v>6902</v>
      </c>
      <c r="ARQ1" s="23" t="s">
        <v>6903</v>
      </c>
      <c r="ARR1" s="23" t="s">
        <v>6904</v>
      </c>
      <c r="ARS1" s="23" t="s">
        <v>6905</v>
      </c>
      <c r="ART1" s="23" t="s">
        <v>6906</v>
      </c>
      <c r="ARU1" s="23" t="s">
        <v>6907</v>
      </c>
      <c r="ARV1" s="23" t="s">
        <v>6908</v>
      </c>
      <c r="ARW1" s="23" t="s">
        <v>6909</v>
      </c>
      <c r="ARX1" s="23" t="s">
        <v>6910</v>
      </c>
      <c r="ARY1" s="23" t="s">
        <v>6911</v>
      </c>
      <c r="ARZ1" s="23" t="s">
        <v>6912</v>
      </c>
      <c r="ASA1" s="23" t="s">
        <v>6913</v>
      </c>
      <c r="ASB1" s="23" t="s">
        <v>6914</v>
      </c>
      <c r="ASC1" s="23" t="s">
        <v>6915</v>
      </c>
      <c r="ASD1" s="23" t="s">
        <v>6916</v>
      </c>
      <c r="ASE1" s="23" t="s">
        <v>6917</v>
      </c>
      <c r="ASF1" s="23" t="s">
        <v>6918</v>
      </c>
      <c r="ASG1" s="23" t="s">
        <v>6919</v>
      </c>
      <c r="ASH1" s="23" t="s">
        <v>6920</v>
      </c>
      <c r="ASI1" s="23" t="s">
        <v>6921</v>
      </c>
      <c r="ASJ1" s="23" t="s">
        <v>6922</v>
      </c>
      <c r="ASK1" s="23" t="s">
        <v>6923</v>
      </c>
      <c r="ASL1" s="23" t="s">
        <v>6924</v>
      </c>
      <c r="ASM1" s="23" t="s">
        <v>6925</v>
      </c>
      <c r="ASN1" s="23" t="s">
        <v>6926</v>
      </c>
      <c r="ASO1" s="23" t="s">
        <v>6927</v>
      </c>
      <c r="ASP1" s="23" t="s">
        <v>6928</v>
      </c>
      <c r="ASQ1" s="23" t="s">
        <v>6929</v>
      </c>
      <c r="ASR1" s="23" t="s">
        <v>6930</v>
      </c>
      <c r="ASS1" s="23" t="s">
        <v>6931</v>
      </c>
      <c r="AST1" s="23" t="s">
        <v>6932</v>
      </c>
      <c r="ASU1" s="23" t="s">
        <v>6933</v>
      </c>
      <c r="ASV1" s="23" t="s">
        <v>6934</v>
      </c>
      <c r="ASW1" s="23" t="s">
        <v>6935</v>
      </c>
      <c r="ASX1" s="23" t="s">
        <v>6936</v>
      </c>
      <c r="ASY1" s="23" t="s">
        <v>6937</v>
      </c>
      <c r="ASZ1" s="23" t="s">
        <v>6938</v>
      </c>
      <c r="ATA1" s="23" t="s">
        <v>6939</v>
      </c>
      <c r="ATB1" s="23" t="s">
        <v>6940</v>
      </c>
      <c r="ATC1" s="23" t="s">
        <v>6941</v>
      </c>
      <c r="ATD1" s="23" t="s">
        <v>6942</v>
      </c>
      <c r="ATE1" s="23" t="s">
        <v>6943</v>
      </c>
      <c r="ATF1" s="23" t="s">
        <v>6944</v>
      </c>
      <c r="ATG1" s="23" t="s">
        <v>6945</v>
      </c>
      <c r="ATH1" s="23" t="s">
        <v>6946</v>
      </c>
      <c r="ATI1" s="23" t="s">
        <v>6947</v>
      </c>
      <c r="ATJ1" s="23" t="s">
        <v>6948</v>
      </c>
      <c r="ATK1" s="23" t="s">
        <v>6949</v>
      </c>
      <c r="ATL1" s="23" t="s">
        <v>6950</v>
      </c>
      <c r="ATM1" s="23" t="s">
        <v>6951</v>
      </c>
      <c r="ATN1" s="23" t="s">
        <v>6952</v>
      </c>
      <c r="ATO1" s="23" t="s">
        <v>6953</v>
      </c>
      <c r="ATP1" s="23" t="s">
        <v>6954</v>
      </c>
      <c r="ATQ1" s="23" t="s">
        <v>6955</v>
      </c>
      <c r="ATR1" s="23" t="s">
        <v>6956</v>
      </c>
      <c r="ATS1" s="23" t="s">
        <v>6957</v>
      </c>
      <c r="ATT1" s="23" t="s">
        <v>6958</v>
      </c>
      <c r="ATU1" s="23" t="s">
        <v>6959</v>
      </c>
      <c r="ATV1" s="23" t="s">
        <v>6960</v>
      </c>
      <c r="ATW1" s="23" t="s">
        <v>6961</v>
      </c>
      <c r="ATX1" s="23" t="s">
        <v>6962</v>
      </c>
      <c r="ATY1" s="23" t="s">
        <v>6963</v>
      </c>
      <c r="ATZ1" s="23" t="s">
        <v>6964</v>
      </c>
      <c r="AUA1" s="23" t="s">
        <v>6965</v>
      </c>
      <c r="AUB1" s="23" t="s">
        <v>6966</v>
      </c>
      <c r="AUC1" s="23" t="s">
        <v>6967</v>
      </c>
      <c r="AUD1" s="23" t="s">
        <v>6968</v>
      </c>
      <c r="AUE1" s="55" t="s">
        <v>6969</v>
      </c>
      <c r="AUF1" s="55" t="s">
        <v>6970</v>
      </c>
      <c r="AUG1" s="55" t="s">
        <v>6971</v>
      </c>
      <c r="AUH1" s="55" t="s">
        <v>6972</v>
      </c>
      <c r="AUI1" s="55" t="s">
        <v>6973</v>
      </c>
      <c r="AUJ1" s="55" t="s">
        <v>6974</v>
      </c>
      <c r="AUK1" s="55" t="s">
        <v>6975</v>
      </c>
      <c r="AUL1" s="23" t="s">
        <v>6976</v>
      </c>
      <c r="AUM1" s="23" t="s">
        <v>6977</v>
      </c>
      <c r="AUN1" s="23" t="s">
        <v>6978</v>
      </c>
      <c r="AUO1" s="23" t="s">
        <v>6979</v>
      </c>
      <c r="AUP1" s="23" t="s">
        <v>6980</v>
      </c>
      <c r="AUQ1" s="23" t="s">
        <v>6981</v>
      </c>
      <c r="AUR1" s="23" t="s">
        <v>6982</v>
      </c>
      <c r="AUS1" s="55" t="s">
        <v>6983</v>
      </c>
      <c r="AUT1" s="55" t="s">
        <v>6984</v>
      </c>
      <c r="AUU1" s="55" t="s">
        <v>6985</v>
      </c>
      <c r="AUV1" s="55" t="s">
        <v>6986</v>
      </c>
      <c r="AUW1" s="55" t="s">
        <v>6987</v>
      </c>
      <c r="AUX1" s="55" t="s">
        <v>6988</v>
      </c>
      <c r="AUY1" s="55" t="s">
        <v>6989</v>
      </c>
      <c r="AUZ1" s="23" t="s">
        <v>6990</v>
      </c>
      <c r="AVA1" s="23" t="s">
        <v>6991</v>
      </c>
      <c r="AVB1" s="23" t="s">
        <v>6992</v>
      </c>
      <c r="AVC1" s="23" t="s">
        <v>6993</v>
      </c>
      <c r="AVD1" s="23" t="s">
        <v>6994</v>
      </c>
      <c r="AVE1" s="23" t="s">
        <v>6995</v>
      </c>
      <c r="AVF1" s="23" t="s">
        <v>6996</v>
      </c>
      <c r="AVG1" s="23" t="s">
        <v>6997</v>
      </c>
      <c r="AVH1" s="23" t="s">
        <v>6998</v>
      </c>
      <c r="AVI1" s="23" t="s">
        <v>6999</v>
      </c>
      <c r="AVJ1" s="23" t="s">
        <v>7000</v>
      </c>
      <c r="AVK1" s="23" t="s">
        <v>7001</v>
      </c>
      <c r="AVL1" s="23" t="s">
        <v>7002</v>
      </c>
      <c r="AVM1" s="23" t="s">
        <v>7003</v>
      </c>
      <c r="AVN1" s="23" t="s">
        <v>7004</v>
      </c>
      <c r="AVO1" s="23" t="s">
        <v>7005</v>
      </c>
      <c r="AVP1" s="23" t="s">
        <v>7006</v>
      </c>
      <c r="AVQ1" s="23" t="s">
        <v>7007</v>
      </c>
      <c r="AVR1" s="23" t="s">
        <v>7008</v>
      </c>
      <c r="AVS1" s="23" t="s">
        <v>7009</v>
      </c>
      <c r="AVT1" s="23" t="s">
        <v>7010</v>
      </c>
      <c r="AVU1" s="23" t="s">
        <v>7011</v>
      </c>
      <c r="AVV1" s="23" t="s">
        <v>7012</v>
      </c>
      <c r="AVW1" s="23" t="s">
        <v>7013</v>
      </c>
      <c r="AVX1" s="23" t="s">
        <v>7014</v>
      </c>
      <c r="AVY1" s="23" t="s">
        <v>7015</v>
      </c>
      <c r="AVZ1" s="23" t="s">
        <v>7016</v>
      </c>
      <c r="AWA1" s="23" t="s">
        <v>7017</v>
      </c>
      <c r="AWB1" s="23" t="s">
        <v>7018</v>
      </c>
      <c r="AWC1" s="23" t="s">
        <v>7019</v>
      </c>
      <c r="AWD1" s="23" t="s">
        <v>7020</v>
      </c>
      <c r="AWE1" s="23" t="s">
        <v>7021</v>
      </c>
      <c r="AWF1" s="23" t="s">
        <v>7022</v>
      </c>
      <c r="AWG1" s="23" t="s">
        <v>7023</v>
      </c>
      <c r="AWH1" s="23" t="s">
        <v>7024</v>
      </c>
      <c r="AWI1" s="23" t="s">
        <v>7025</v>
      </c>
      <c r="AWJ1" s="23" t="s">
        <v>7026</v>
      </c>
      <c r="AWK1" s="23" t="s">
        <v>7027</v>
      </c>
      <c r="AWL1" s="23" t="s">
        <v>7028</v>
      </c>
      <c r="AWM1" s="23" t="s">
        <v>7029</v>
      </c>
      <c r="AWN1" s="55" t="s">
        <v>7030</v>
      </c>
      <c r="AWO1" s="55" t="s">
        <v>7031</v>
      </c>
      <c r="AWP1" s="55" t="s">
        <v>7032</v>
      </c>
      <c r="AWQ1" s="55" t="s">
        <v>7033</v>
      </c>
      <c r="AWR1" s="55" t="s">
        <v>7034</v>
      </c>
      <c r="AWS1" s="55" t="s">
        <v>7035</v>
      </c>
      <c r="AWT1" s="55" t="s">
        <v>7036</v>
      </c>
      <c r="AWU1" s="55" t="s">
        <v>7037</v>
      </c>
      <c r="AWV1" s="55" t="s">
        <v>7038</v>
      </c>
      <c r="AWW1" s="55" t="s">
        <v>7039</v>
      </c>
      <c r="AWX1" s="55" t="s">
        <v>7040</v>
      </c>
      <c r="AWY1" s="55" t="s">
        <v>7041</v>
      </c>
      <c r="AWZ1" s="55" t="s">
        <v>7042</v>
      </c>
      <c r="AXA1" s="55" t="s">
        <v>7043</v>
      </c>
      <c r="AXB1" s="55" t="s">
        <v>7044</v>
      </c>
      <c r="AXC1" s="55" t="s">
        <v>7045</v>
      </c>
      <c r="AXD1" s="55" t="s">
        <v>7046</v>
      </c>
      <c r="AXE1" s="55" t="s">
        <v>7047</v>
      </c>
      <c r="AXF1" s="55" t="s">
        <v>7048</v>
      </c>
      <c r="AXG1" s="55" t="s">
        <v>7049</v>
      </c>
      <c r="AXH1" s="55" t="s">
        <v>7050</v>
      </c>
      <c r="AXI1" s="55" t="s">
        <v>7051</v>
      </c>
      <c r="AXJ1" s="55" t="s">
        <v>7052</v>
      </c>
      <c r="AXK1" s="55" t="s">
        <v>7053</v>
      </c>
      <c r="AXL1" s="55" t="s">
        <v>7054</v>
      </c>
      <c r="AXM1" s="55" t="s">
        <v>7055</v>
      </c>
      <c r="AXN1" s="55" t="s">
        <v>7056</v>
      </c>
      <c r="AXO1" s="55" t="s">
        <v>7057</v>
      </c>
      <c r="AXP1" s="23" t="s">
        <v>7058</v>
      </c>
      <c r="AXQ1" s="23" t="s">
        <v>7059</v>
      </c>
      <c r="AXR1" s="23" t="s">
        <v>7060</v>
      </c>
      <c r="AXS1" s="23" t="s">
        <v>7061</v>
      </c>
      <c r="AXT1" s="23" t="s">
        <v>7062</v>
      </c>
      <c r="AXU1" s="23" t="s">
        <v>7063</v>
      </c>
      <c r="AXV1" s="23" t="s">
        <v>7064</v>
      </c>
      <c r="AXW1" s="55" t="s">
        <v>7065</v>
      </c>
      <c r="AXX1" s="55" t="s">
        <v>7066</v>
      </c>
      <c r="AXY1" s="55" t="s">
        <v>7067</v>
      </c>
      <c r="AXZ1" s="55" t="s">
        <v>7068</v>
      </c>
      <c r="AYA1" s="55" t="s">
        <v>7069</v>
      </c>
      <c r="AYB1" s="55" t="s">
        <v>7070</v>
      </c>
      <c r="AYC1" s="55" t="s">
        <v>7071</v>
      </c>
      <c r="AYD1" s="55" t="s">
        <v>7072</v>
      </c>
      <c r="AYE1" s="55" t="s">
        <v>7073</v>
      </c>
      <c r="AYF1" s="55" t="s">
        <v>7074</v>
      </c>
      <c r="AYG1" s="55" t="s">
        <v>7075</v>
      </c>
      <c r="AYH1" s="55" t="s">
        <v>7076</v>
      </c>
      <c r="AYI1" s="55" t="s">
        <v>7077</v>
      </c>
      <c r="AYJ1" s="55" t="s">
        <v>7078</v>
      </c>
      <c r="AYK1" s="23" t="s">
        <v>7079</v>
      </c>
      <c r="AYL1" s="23" t="s">
        <v>7080</v>
      </c>
      <c r="AYM1" s="23" t="s">
        <v>7081</v>
      </c>
      <c r="AYN1" s="23" t="s">
        <v>7082</v>
      </c>
      <c r="AYO1" s="23" t="s">
        <v>7083</v>
      </c>
      <c r="AYP1" s="23" t="s">
        <v>7084</v>
      </c>
      <c r="AYQ1" s="23" t="s">
        <v>7085</v>
      </c>
      <c r="AYR1" s="23" t="s">
        <v>7086</v>
      </c>
      <c r="AYS1" s="23" t="s">
        <v>7087</v>
      </c>
      <c r="AYT1" s="23" t="s">
        <v>7088</v>
      </c>
      <c r="AYU1" s="23" t="s">
        <v>7089</v>
      </c>
      <c r="AYV1" s="23" t="s">
        <v>7090</v>
      </c>
      <c r="AYW1" s="23" t="s">
        <v>7091</v>
      </c>
      <c r="AYX1" s="23" t="s">
        <v>7092</v>
      </c>
      <c r="AYY1" s="23" t="s">
        <v>7093</v>
      </c>
      <c r="AYZ1" s="23" t="s">
        <v>7094</v>
      </c>
      <c r="AZA1" s="23" t="s">
        <v>7095</v>
      </c>
      <c r="AZB1" s="23" t="s">
        <v>7096</v>
      </c>
      <c r="AZC1" s="23" t="s">
        <v>7097</v>
      </c>
      <c r="AZD1" s="23" t="s">
        <v>7098</v>
      </c>
      <c r="AZE1" s="23" t="s">
        <v>7099</v>
      </c>
      <c r="AZF1" s="23" t="s">
        <v>7100</v>
      </c>
      <c r="AZG1" s="23" t="s">
        <v>7101</v>
      </c>
      <c r="AZH1" s="23" t="s">
        <v>7102</v>
      </c>
      <c r="AZI1" s="23" t="s">
        <v>7103</v>
      </c>
      <c r="AZJ1" s="23" t="s">
        <v>7104</v>
      </c>
      <c r="AZK1" s="23" t="s">
        <v>7105</v>
      </c>
      <c r="AZL1" s="23" t="s">
        <v>7106</v>
      </c>
      <c r="AZM1" s="55" t="s">
        <v>7107</v>
      </c>
      <c r="AZN1" s="55" t="s">
        <v>7108</v>
      </c>
      <c r="AZO1" s="55" t="s">
        <v>7109</v>
      </c>
      <c r="AZP1" s="55" t="s">
        <v>7110</v>
      </c>
      <c r="AZQ1" s="55" t="s">
        <v>7111</v>
      </c>
      <c r="AZR1" s="55" t="s">
        <v>7112</v>
      </c>
      <c r="AZS1" s="55" t="s">
        <v>7113</v>
      </c>
      <c r="AZT1" s="55" t="s">
        <v>7114</v>
      </c>
      <c r="AZU1" s="55" t="s">
        <v>7115</v>
      </c>
      <c r="AZV1" s="55" t="s">
        <v>7116</v>
      </c>
      <c r="AZW1" s="55" t="s">
        <v>7117</v>
      </c>
      <c r="AZX1" s="55" t="s">
        <v>7118</v>
      </c>
      <c r="AZY1" s="55" t="s">
        <v>7119</v>
      </c>
      <c r="AZZ1" s="55" t="s">
        <v>7120</v>
      </c>
      <c r="BAA1" s="23" t="s">
        <v>7121</v>
      </c>
      <c r="BAB1" s="23" t="s">
        <v>7122</v>
      </c>
      <c r="BAC1" s="23" t="s">
        <v>7123</v>
      </c>
      <c r="BAD1" s="23" t="s">
        <v>7124</v>
      </c>
      <c r="BAE1" s="23" t="s">
        <v>7125</v>
      </c>
      <c r="BAF1" s="23" t="s">
        <v>7126</v>
      </c>
      <c r="BAG1" s="23" t="s">
        <v>7127</v>
      </c>
      <c r="BAH1" s="23" t="s">
        <v>7128</v>
      </c>
      <c r="BAI1" s="23" t="s">
        <v>7129</v>
      </c>
      <c r="BAJ1" s="23" t="s">
        <v>7130</v>
      </c>
      <c r="BAK1" s="23" t="s">
        <v>7131</v>
      </c>
      <c r="BAL1" s="23" t="s">
        <v>7132</v>
      </c>
      <c r="BAM1" s="23" t="s">
        <v>7133</v>
      </c>
      <c r="BAN1" s="23" t="s">
        <v>7134</v>
      </c>
      <c r="BAO1" s="23" t="s">
        <v>7135</v>
      </c>
      <c r="BAP1" s="23" t="s">
        <v>7136</v>
      </c>
      <c r="BAQ1" s="23" t="s">
        <v>7137</v>
      </c>
      <c r="BAR1" s="55" t="s">
        <v>7138</v>
      </c>
      <c r="BAS1" s="55" t="s">
        <v>7139</v>
      </c>
      <c r="BAT1" s="55" t="s">
        <v>7140</v>
      </c>
      <c r="BAU1" s="55" t="s">
        <v>7141</v>
      </c>
      <c r="BAV1" s="23" t="s">
        <v>7142</v>
      </c>
      <c r="BAW1" s="23" t="s">
        <v>7143</v>
      </c>
      <c r="BAX1" s="23" t="s">
        <v>7144</v>
      </c>
      <c r="BAY1" s="23" t="s">
        <v>7145</v>
      </c>
      <c r="BAZ1" s="23" t="s">
        <v>7146</v>
      </c>
      <c r="BBA1" s="23" t="s">
        <v>7147</v>
      </c>
      <c r="BBB1" s="55" t="s">
        <v>7148</v>
      </c>
      <c r="BBC1" s="55" t="s">
        <v>7149</v>
      </c>
      <c r="BBD1" s="55" t="s">
        <v>7150</v>
      </c>
      <c r="BBE1" s="55" t="s">
        <v>7151</v>
      </c>
      <c r="BBF1" s="55" t="s">
        <v>7152</v>
      </c>
      <c r="BBG1" s="55" t="s">
        <v>7153</v>
      </c>
      <c r="BBH1" s="23" t="s">
        <v>7154</v>
      </c>
      <c r="BBI1" s="55" t="s">
        <v>7155</v>
      </c>
      <c r="BBJ1" s="55" t="s">
        <v>7156</v>
      </c>
      <c r="BBK1" s="55" t="s">
        <v>7157</v>
      </c>
      <c r="BBL1" s="55" t="s">
        <v>7158</v>
      </c>
      <c r="BBM1" s="23" t="s">
        <v>7159</v>
      </c>
      <c r="BBN1" s="23" t="s">
        <v>7160</v>
      </c>
      <c r="BBO1" s="23" t="s">
        <v>7161</v>
      </c>
      <c r="BBP1" s="23" t="s">
        <v>7162</v>
      </c>
      <c r="BBQ1" s="23" t="s">
        <v>7163</v>
      </c>
      <c r="BBR1" s="23" t="s">
        <v>7164</v>
      </c>
      <c r="BBS1" s="23" t="s">
        <v>7165</v>
      </c>
      <c r="BBT1" s="23" t="s">
        <v>7166</v>
      </c>
      <c r="BBU1" s="23" t="s">
        <v>7167</v>
      </c>
      <c r="BBV1" s="23" t="s">
        <v>7168</v>
      </c>
      <c r="BBW1" s="23" t="s">
        <v>7169</v>
      </c>
      <c r="BBX1" s="23" t="s">
        <v>7170</v>
      </c>
      <c r="BBY1" s="23" t="s">
        <v>7171</v>
      </c>
      <c r="BBZ1" s="23" t="s">
        <v>7172</v>
      </c>
      <c r="BCA1" s="23" t="s">
        <v>7173</v>
      </c>
      <c r="BCB1" s="23" t="s">
        <v>7174</v>
      </c>
      <c r="BCC1" s="23" t="s">
        <v>7175</v>
      </c>
      <c r="BCD1" s="23" t="s">
        <v>7176</v>
      </c>
      <c r="BCE1" s="23" t="s">
        <v>7177</v>
      </c>
      <c r="BCF1" s="23" t="s">
        <v>7178</v>
      </c>
      <c r="BCG1" s="23" t="s">
        <v>7179</v>
      </c>
      <c r="BCH1" s="23" t="s">
        <v>7180</v>
      </c>
      <c r="BCI1" s="23" t="s">
        <v>7181</v>
      </c>
      <c r="BCJ1" s="23" t="s">
        <v>7182</v>
      </c>
      <c r="BCK1" s="23" t="s">
        <v>7183</v>
      </c>
      <c r="BCL1" s="23" t="s">
        <v>7184</v>
      </c>
      <c r="BCM1" s="23" t="s">
        <v>7185</v>
      </c>
      <c r="BCN1" s="23" t="s">
        <v>7186</v>
      </c>
      <c r="BCO1" s="23" t="s">
        <v>7187</v>
      </c>
      <c r="BCP1" s="23" t="s">
        <v>7188</v>
      </c>
      <c r="BCQ1" s="23" t="s">
        <v>7189</v>
      </c>
      <c r="BCR1" s="23" t="s">
        <v>7190</v>
      </c>
      <c r="BCS1" s="23" t="s">
        <v>7191</v>
      </c>
      <c r="BCT1" s="23" t="s">
        <v>7192</v>
      </c>
      <c r="BCU1" s="23" t="s">
        <v>7193</v>
      </c>
      <c r="BCV1" s="23" t="s">
        <v>7194</v>
      </c>
      <c r="BCW1" s="23" t="s">
        <v>7195</v>
      </c>
      <c r="BCX1" s="23" t="s">
        <v>7196</v>
      </c>
      <c r="BCY1" s="23" t="s">
        <v>7197</v>
      </c>
      <c r="BCZ1" s="23" t="s">
        <v>7198</v>
      </c>
      <c r="BDA1" s="23" t="s">
        <v>7199</v>
      </c>
      <c r="BDB1" s="23" t="s">
        <v>7200</v>
      </c>
      <c r="BDC1" s="23" t="s">
        <v>7201</v>
      </c>
      <c r="BDD1" s="23" t="s">
        <v>7202</v>
      </c>
      <c r="BDE1" s="23" t="s">
        <v>7203</v>
      </c>
      <c r="BDF1" s="23" t="s">
        <v>7204</v>
      </c>
      <c r="BDG1" s="23" t="s">
        <v>7205</v>
      </c>
      <c r="BDH1" s="23" t="s">
        <v>7206</v>
      </c>
      <c r="BDI1" s="23" t="s">
        <v>7207</v>
      </c>
      <c r="BDJ1" s="23" t="s">
        <v>7208</v>
      </c>
      <c r="BDK1" s="23" t="s">
        <v>7209</v>
      </c>
      <c r="BDL1" s="23" t="s">
        <v>7210</v>
      </c>
      <c r="BDM1" s="23" t="s">
        <v>7211</v>
      </c>
      <c r="BDN1" s="23" t="s">
        <v>7212</v>
      </c>
      <c r="BDO1" s="23" t="s">
        <v>7213</v>
      </c>
      <c r="BDP1" s="23" t="s">
        <v>7214</v>
      </c>
      <c r="BDQ1" s="23" t="s">
        <v>7215</v>
      </c>
      <c r="BDR1" s="23" t="s">
        <v>7216</v>
      </c>
      <c r="BDS1" s="23" t="s">
        <v>7217</v>
      </c>
      <c r="BDT1" s="23" t="s">
        <v>7218</v>
      </c>
      <c r="BDU1" s="23" t="s">
        <v>7219</v>
      </c>
      <c r="BDV1" s="23" t="s">
        <v>7220</v>
      </c>
      <c r="BDW1" s="23" t="s">
        <v>7221</v>
      </c>
      <c r="BDX1" s="23" t="s">
        <v>7222</v>
      </c>
      <c r="BDY1" s="23" t="s">
        <v>7223</v>
      </c>
      <c r="BDZ1" s="23" t="s">
        <v>7224</v>
      </c>
      <c r="BEA1" s="23" t="s">
        <v>7225</v>
      </c>
      <c r="BEB1" s="23" t="s">
        <v>7226</v>
      </c>
      <c r="BEC1" s="23" t="s">
        <v>7227</v>
      </c>
      <c r="BED1" s="23" t="s">
        <v>7228</v>
      </c>
      <c r="BEE1" s="23" t="s">
        <v>7229</v>
      </c>
      <c r="BEF1" s="23" t="s">
        <v>7230</v>
      </c>
      <c r="BEG1" s="23" t="s">
        <v>7231</v>
      </c>
      <c r="BEH1" s="23" t="s">
        <v>7232</v>
      </c>
      <c r="BEI1" s="23" t="s">
        <v>7233</v>
      </c>
      <c r="BEJ1" s="23" t="s">
        <v>7234</v>
      </c>
      <c r="BEK1" s="23" t="s">
        <v>7235</v>
      </c>
      <c r="BEL1" s="23" t="s">
        <v>7236</v>
      </c>
      <c r="BEM1" s="23" t="s">
        <v>7237</v>
      </c>
      <c r="BEN1" s="23" t="s">
        <v>7238</v>
      </c>
      <c r="BEO1" s="23" t="s">
        <v>7239</v>
      </c>
      <c r="BEP1" s="23" t="s">
        <v>7240</v>
      </c>
      <c r="BEQ1" s="23" t="s">
        <v>7241</v>
      </c>
      <c r="BER1" s="23" t="s">
        <v>7242</v>
      </c>
      <c r="BES1" s="23" t="s">
        <v>7243</v>
      </c>
      <c r="BET1" s="55" t="s">
        <v>7244</v>
      </c>
      <c r="BEU1" s="55" t="s">
        <v>7245</v>
      </c>
      <c r="BEV1" s="55" t="s">
        <v>7246</v>
      </c>
      <c r="BEW1" s="55" t="s">
        <v>7247</v>
      </c>
      <c r="BEX1" s="55" t="s">
        <v>7248</v>
      </c>
      <c r="BEY1" s="55" t="s">
        <v>7249</v>
      </c>
      <c r="BEZ1" s="55" t="s">
        <v>7250</v>
      </c>
      <c r="BFA1" s="23" t="s">
        <v>7251</v>
      </c>
      <c r="BFB1" s="23" t="s">
        <v>7252</v>
      </c>
      <c r="BFC1" s="23" t="s">
        <v>7253</v>
      </c>
      <c r="BFD1" s="23" t="s">
        <v>7254</v>
      </c>
      <c r="BFE1" s="23" t="s">
        <v>7255</v>
      </c>
      <c r="BFF1" s="23" t="s">
        <v>7256</v>
      </c>
      <c r="BFG1" s="23" t="s">
        <v>7257</v>
      </c>
      <c r="BFH1" s="55" t="s">
        <v>7258</v>
      </c>
      <c r="BFI1" s="55" t="s">
        <v>7259</v>
      </c>
      <c r="BFJ1" s="55" t="s">
        <v>7260</v>
      </c>
      <c r="BFK1" s="55" t="s">
        <v>7261</v>
      </c>
      <c r="BFL1" s="55" t="s">
        <v>7262</v>
      </c>
      <c r="BFM1" s="55" t="s">
        <v>7263</v>
      </c>
      <c r="BFN1" s="55" t="s">
        <v>7264</v>
      </c>
      <c r="BFO1" s="23" t="s">
        <v>7265</v>
      </c>
      <c r="BFP1" s="23" t="s">
        <v>7266</v>
      </c>
      <c r="BFQ1" s="23" t="s">
        <v>7267</v>
      </c>
      <c r="BFR1" s="23" t="s">
        <v>7268</v>
      </c>
      <c r="BFS1" s="23" t="s">
        <v>7269</v>
      </c>
      <c r="BFT1" s="23" t="s">
        <v>7270</v>
      </c>
      <c r="BFU1" s="23" t="s">
        <v>7271</v>
      </c>
      <c r="BFV1" s="23" t="s">
        <v>7272</v>
      </c>
      <c r="BFW1" s="23" t="s">
        <v>7273</v>
      </c>
      <c r="BFX1" s="23" t="s">
        <v>7274</v>
      </c>
      <c r="BFY1" s="23" t="s">
        <v>7275</v>
      </c>
      <c r="BFZ1" s="23" t="s">
        <v>7276</v>
      </c>
      <c r="BGA1" s="23" t="s">
        <v>7277</v>
      </c>
      <c r="BGB1" s="23" t="s">
        <v>7278</v>
      </c>
      <c r="BGC1" s="23" t="s">
        <v>7279</v>
      </c>
      <c r="BGD1" s="23" t="s">
        <v>7280</v>
      </c>
      <c r="BGE1" s="23" t="s">
        <v>7281</v>
      </c>
      <c r="BGF1" s="23" t="s">
        <v>7282</v>
      </c>
      <c r="BGG1" s="23" t="s">
        <v>7283</v>
      </c>
      <c r="BGH1" s="23" t="s">
        <v>7284</v>
      </c>
      <c r="BGI1" s="23" t="s">
        <v>7285</v>
      </c>
      <c r="BGJ1" s="23" t="s">
        <v>7286</v>
      </c>
      <c r="BGK1" s="23" t="s">
        <v>7287</v>
      </c>
      <c r="BGL1" s="23" t="s">
        <v>7288</v>
      </c>
      <c r="BGM1" s="23" t="s">
        <v>7289</v>
      </c>
      <c r="BGN1" s="23" t="s">
        <v>7290</v>
      </c>
      <c r="BGO1" s="23" t="s">
        <v>7291</v>
      </c>
      <c r="BGP1" s="23" t="s">
        <v>7292</v>
      </c>
      <c r="BGQ1" s="23" t="s">
        <v>7293</v>
      </c>
      <c r="BGR1" s="23" t="s">
        <v>7294</v>
      </c>
      <c r="BGS1" s="23" t="s">
        <v>7295</v>
      </c>
      <c r="BGT1" s="23" t="s">
        <v>7296</v>
      </c>
      <c r="BGU1" s="23" t="s">
        <v>7297</v>
      </c>
      <c r="BGV1" s="23" t="s">
        <v>7298</v>
      </c>
      <c r="BGW1" s="23" t="s">
        <v>7299</v>
      </c>
      <c r="BGX1" s="23" t="s">
        <v>7300</v>
      </c>
      <c r="BGY1" s="23" t="s">
        <v>7301</v>
      </c>
      <c r="BGZ1" s="23" t="s">
        <v>7302</v>
      </c>
      <c r="BHA1" s="23" t="s">
        <v>7303</v>
      </c>
      <c r="BHB1" s="23" t="s">
        <v>7304</v>
      </c>
      <c r="BHC1" s="55" t="s">
        <v>7305</v>
      </c>
      <c r="BHD1" s="55" t="s">
        <v>7306</v>
      </c>
      <c r="BHE1" s="55" t="s">
        <v>7307</v>
      </c>
      <c r="BHF1" s="55" t="s">
        <v>7308</v>
      </c>
      <c r="BHG1" s="55" t="s">
        <v>7309</v>
      </c>
      <c r="BHH1" s="55" t="s">
        <v>7310</v>
      </c>
      <c r="BHI1" s="55" t="s">
        <v>7311</v>
      </c>
      <c r="BHJ1" s="55" t="s">
        <v>7312</v>
      </c>
      <c r="BHK1" s="55" t="s">
        <v>7313</v>
      </c>
      <c r="BHL1" s="55" t="s">
        <v>7314</v>
      </c>
      <c r="BHM1" s="55" t="s">
        <v>7315</v>
      </c>
      <c r="BHN1" s="55" t="s">
        <v>7316</v>
      </c>
      <c r="BHO1" s="55" t="s">
        <v>7317</v>
      </c>
      <c r="BHP1" s="55" t="s">
        <v>7318</v>
      </c>
      <c r="BHQ1" s="55" t="s">
        <v>7319</v>
      </c>
      <c r="BHR1" s="55" t="s">
        <v>7320</v>
      </c>
      <c r="BHS1" s="55" t="s">
        <v>7321</v>
      </c>
      <c r="BHT1" s="55" t="s">
        <v>7322</v>
      </c>
      <c r="BHU1" s="55" t="s">
        <v>7323</v>
      </c>
      <c r="BHV1" s="55" t="s">
        <v>7324</v>
      </c>
      <c r="BHW1" s="55" t="s">
        <v>7325</v>
      </c>
      <c r="BHX1" s="55" t="s">
        <v>7326</v>
      </c>
      <c r="BHY1" s="55" t="s">
        <v>7327</v>
      </c>
      <c r="BHZ1" s="55" t="s">
        <v>7328</v>
      </c>
      <c r="BIA1" s="55" t="s">
        <v>7329</v>
      </c>
      <c r="BIB1" s="55" t="s">
        <v>7330</v>
      </c>
      <c r="BIC1" s="55" t="s">
        <v>7331</v>
      </c>
      <c r="BID1" s="55" t="s">
        <v>7332</v>
      </c>
      <c r="BIE1" s="23" t="s">
        <v>7333</v>
      </c>
      <c r="BIF1" s="23" t="s">
        <v>7334</v>
      </c>
      <c r="BIG1" s="23" t="s">
        <v>7335</v>
      </c>
      <c r="BIH1" s="23" t="s">
        <v>7336</v>
      </c>
      <c r="BII1" s="23" t="s">
        <v>7337</v>
      </c>
      <c r="BIJ1" s="23" t="s">
        <v>7338</v>
      </c>
      <c r="BIK1" s="23" t="s">
        <v>7339</v>
      </c>
      <c r="BIL1" s="55" t="s">
        <v>7340</v>
      </c>
      <c r="BIM1" s="55" t="s">
        <v>7341</v>
      </c>
      <c r="BIN1" s="55" t="s">
        <v>7342</v>
      </c>
      <c r="BIO1" s="55" t="s">
        <v>7343</v>
      </c>
      <c r="BIP1" s="55" t="s">
        <v>7344</v>
      </c>
      <c r="BIQ1" s="55" t="s">
        <v>7345</v>
      </c>
      <c r="BIR1" s="55" t="s">
        <v>7346</v>
      </c>
      <c r="BIS1" s="55" t="s">
        <v>7347</v>
      </c>
      <c r="BIT1" s="55" t="s">
        <v>7348</v>
      </c>
      <c r="BIU1" s="55" t="s">
        <v>7349</v>
      </c>
      <c r="BIV1" s="55" t="s">
        <v>7350</v>
      </c>
      <c r="BIW1" s="55" t="s">
        <v>7351</v>
      </c>
      <c r="BIX1" s="55" t="s">
        <v>7352</v>
      </c>
      <c r="BIY1" s="55" t="s">
        <v>7353</v>
      </c>
      <c r="BIZ1" s="23" t="s">
        <v>7354</v>
      </c>
      <c r="BJA1" s="23" t="s">
        <v>7355</v>
      </c>
      <c r="BJB1" s="23" t="s">
        <v>7356</v>
      </c>
      <c r="BJC1" s="23" t="s">
        <v>7357</v>
      </c>
      <c r="BJD1" s="23" t="s">
        <v>7358</v>
      </c>
      <c r="BJE1" s="23" t="s">
        <v>7359</v>
      </c>
      <c r="BJF1" s="23" t="s">
        <v>7360</v>
      </c>
      <c r="BJG1" s="55" t="s">
        <v>7361</v>
      </c>
      <c r="BJH1" s="55" t="s">
        <v>7362</v>
      </c>
      <c r="BJI1" s="55" t="s">
        <v>7363</v>
      </c>
      <c r="BJJ1" s="55" t="s">
        <v>7364</v>
      </c>
      <c r="BJK1" s="55" t="s">
        <v>7365</v>
      </c>
      <c r="BJL1" s="55" t="s">
        <v>7366</v>
      </c>
      <c r="BJM1" s="55" t="s">
        <v>7367</v>
      </c>
      <c r="BJN1" s="55" t="s">
        <v>7368</v>
      </c>
      <c r="BJO1" s="55" t="s">
        <v>7369</v>
      </c>
      <c r="BJP1" s="55" t="s">
        <v>7370</v>
      </c>
      <c r="BJQ1" s="55" t="s">
        <v>7371</v>
      </c>
      <c r="BJR1" s="55" t="s">
        <v>7372</v>
      </c>
      <c r="BJS1" s="55" t="s">
        <v>7373</v>
      </c>
      <c r="BJT1" s="55" t="s">
        <v>7374</v>
      </c>
      <c r="BJU1" s="23" t="s">
        <v>7375</v>
      </c>
      <c r="BJV1" s="23" t="s">
        <v>7376</v>
      </c>
      <c r="BJW1" s="23" t="s">
        <v>7377</v>
      </c>
      <c r="BJX1" s="23" t="s">
        <v>7378</v>
      </c>
      <c r="BJY1" s="23" t="s">
        <v>7379</v>
      </c>
      <c r="BJZ1" s="23" t="s">
        <v>7380</v>
      </c>
      <c r="BKA1" s="23" t="s">
        <v>7381</v>
      </c>
      <c r="BKB1" s="55" t="s">
        <v>7382</v>
      </c>
      <c r="BKC1" s="55" t="s">
        <v>7383</v>
      </c>
      <c r="BKD1" s="55" t="s">
        <v>7384</v>
      </c>
      <c r="BKE1" s="55" t="s">
        <v>7385</v>
      </c>
      <c r="BKF1" s="55" t="s">
        <v>7386</v>
      </c>
      <c r="BKG1" s="55" t="s">
        <v>7387</v>
      </c>
      <c r="BKH1" s="55" t="s">
        <v>7388</v>
      </c>
      <c r="BKI1" s="55" t="s">
        <v>7389</v>
      </c>
      <c r="BKJ1" s="55" t="s">
        <v>7390</v>
      </c>
      <c r="BKK1" s="55" t="s">
        <v>7391</v>
      </c>
      <c r="BKL1" s="55" t="s">
        <v>7392</v>
      </c>
      <c r="BKM1" s="55" t="s">
        <v>7393</v>
      </c>
      <c r="BKN1" s="55" t="s">
        <v>7394</v>
      </c>
      <c r="BKO1" s="55" t="s">
        <v>7395</v>
      </c>
      <c r="BKP1" s="23" t="s">
        <v>7396</v>
      </c>
      <c r="BKQ1" s="23" t="s">
        <v>7397</v>
      </c>
      <c r="BKR1" s="23" t="s">
        <v>7398</v>
      </c>
      <c r="BKS1" s="23" t="s">
        <v>7399</v>
      </c>
      <c r="BKT1" s="23" t="s">
        <v>7400</v>
      </c>
      <c r="BKU1" s="23" t="s">
        <v>7401</v>
      </c>
      <c r="BKV1" s="23" t="s">
        <v>7402</v>
      </c>
      <c r="BKW1" s="55" t="s">
        <v>7403</v>
      </c>
      <c r="BKX1" s="55" t="s">
        <v>7404</v>
      </c>
      <c r="BKY1" s="55" t="s">
        <v>7405</v>
      </c>
      <c r="BKZ1" s="55" t="s">
        <v>7406</v>
      </c>
      <c r="BLA1" s="55" t="s">
        <v>7407</v>
      </c>
      <c r="BLB1" s="55" t="s">
        <v>7408</v>
      </c>
      <c r="BLC1" s="55" t="s">
        <v>7409</v>
      </c>
      <c r="BLD1" s="55" t="s">
        <v>7410</v>
      </c>
      <c r="BLE1" s="55" t="s">
        <v>7411</v>
      </c>
      <c r="BLF1" s="55" t="s">
        <v>7412</v>
      </c>
      <c r="BLG1" s="55" t="s">
        <v>7413</v>
      </c>
      <c r="BLH1" s="55" t="s">
        <v>7414</v>
      </c>
      <c r="BLI1" s="55" t="s">
        <v>7415</v>
      </c>
      <c r="BLJ1" s="55" t="s">
        <v>7416</v>
      </c>
      <c r="BLK1" s="23" t="s">
        <v>7417</v>
      </c>
      <c r="BLL1" s="23" t="s">
        <v>7418</v>
      </c>
      <c r="BLM1" s="23" t="s">
        <v>7419</v>
      </c>
      <c r="BLN1" s="23" t="s">
        <v>7420</v>
      </c>
      <c r="BLO1" s="23" t="s">
        <v>7421</v>
      </c>
      <c r="BLP1" s="23" t="s">
        <v>7422</v>
      </c>
      <c r="BLQ1" s="55" t="s">
        <v>7423</v>
      </c>
      <c r="BLR1" s="55" t="s">
        <v>7424</v>
      </c>
      <c r="BLS1" s="55" t="s">
        <v>7425</v>
      </c>
      <c r="BLT1" s="55" t="s">
        <v>7426</v>
      </c>
      <c r="BLU1" s="55" t="s">
        <v>7427</v>
      </c>
      <c r="BLV1" s="55" t="s">
        <v>7428</v>
      </c>
      <c r="BLW1" s="23" t="s">
        <v>7429</v>
      </c>
      <c r="BLX1" s="55" t="s">
        <v>7430</v>
      </c>
      <c r="BLY1" s="55" t="s">
        <v>7431</v>
      </c>
      <c r="BLZ1" s="55" t="s">
        <v>7432</v>
      </c>
      <c r="BMA1" s="55" t="s">
        <v>7433</v>
      </c>
      <c r="BMB1" s="23" t="s">
        <v>7434</v>
      </c>
      <c r="BMC1" s="23" t="s">
        <v>7435</v>
      </c>
      <c r="BMD1" s="23" t="s">
        <v>7436</v>
      </c>
      <c r="BME1" s="23" t="s">
        <v>7437</v>
      </c>
      <c r="BMF1" s="23" t="s">
        <v>7438</v>
      </c>
      <c r="BMG1" s="23" t="s">
        <v>7439</v>
      </c>
      <c r="BMH1" s="23" t="s">
        <v>7440</v>
      </c>
      <c r="BMI1" s="23" t="s">
        <v>7441</v>
      </c>
      <c r="BMJ1" s="23" t="s">
        <v>7442</v>
      </c>
      <c r="BMK1" s="23" t="s">
        <v>7443</v>
      </c>
      <c r="BML1" s="23" t="s">
        <v>7444</v>
      </c>
      <c r="BMM1" s="23" t="s">
        <v>7445</v>
      </c>
      <c r="BMN1" s="23" t="s">
        <v>7446</v>
      </c>
      <c r="BMO1" s="23" t="s">
        <v>7447</v>
      </c>
      <c r="BMP1" s="23" t="s">
        <v>7448</v>
      </c>
      <c r="BMQ1" s="23" t="s">
        <v>7449</v>
      </c>
      <c r="BMR1" s="23" t="s">
        <v>7450</v>
      </c>
      <c r="BMS1" s="23" t="s">
        <v>7451</v>
      </c>
      <c r="BMT1" s="23" t="s">
        <v>7452</v>
      </c>
      <c r="BMU1" s="23" t="s">
        <v>7453</v>
      </c>
      <c r="BMV1" s="23" t="s">
        <v>7454</v>
      </c>
      <c r="BMW1" s="23" t="s">
        <v>7455</v>
      </c>
      <c r="BMX1" s="23" t="s">
        <v>7456</v>
      </c>
      <c r="BMY1" s="23" t="s">
        <v>7457</v>
      </c>
      <c r="BMZ1" s="23" t="s">
        <v>7458</v>
      </c>
      <c r="BNA1" s="23" t="s">
        <v>7459</v>
      </c>
      <c r="BNB1" s="23" t="s">
        <v>7460</v>
      </c>
      <c r="BNC1" s="23" t="s">
        <v>7461</v>
      </c>
      <c r="BND1" s="23" t="s">
        <v>7462</v>
      </c>
      <c r="BNE1" s="23" t="s">
        <v>7463</v>
      </c>
      <c r="BNF1" s="23" t="s">
        <v>7464</v>
      </c>
      <c r="BNG1" s="23" t="s">
        <v>7465</v>
      </c>
      <c r="BNH1" s="23" t="s">
        <v>7466</v>
      </c>
      <c r="BNI1" s="23" t="s">
        <v>7467</v>
      </c>
      <c r="BNJ1" s="23" t="s">
        <v>7468</v>
      </c>
      <c r="BNK1" s="23" t="s">
        <v>7469</v>
      </c>
      <c r="BNL1" s="23" t="s">
        <v>7470</v>
      </c>
      <c r="BNM1" s="23" t="s">
        <v>7471</v>
      </c>
      <c r="BNN1" s="23" t="s">
        <v>7472</v>
      </c>
      <c r="BNO1" s="23" t="s">
        <v>7473</v>
      </c>
      <c r="BNP1" s="23" t="s">
        <v>7474</v>
      </c>
      <c r="BNQ1" s="23" t="s">
        <v>7475</v>
      </c>
      <c r="BNR1" s="23" t="s">
        <v>7476</v>
      </c>
      <c r="BNS1" s="23" t="s">
        <v>7477</v>
      </c>
      <c r="BNT1" s="23" t="s">
        <v>7478</v>
      </c>
      <c r="BNU1" s="23" t="s">
        <v>7479</v>
      </c>
      <c r="BNV1" s="23" t="s">
        <v>7480</v>
      </c>
      <c r="BNW1" s="23" t="s">
        <v>7481</v>
      </c>
      <c r="BNX1" s="23" t="s">
        <v>7482</v>
      </c>
      <c r="BNY1" s="23" t="s">
        <v>7483</v>
      </c>
      <c r="BNZ1" s="23" t="s">
        <v>7484</v>
      </c>
      <c r="BOA1" s="23" t="s">
        <v>7485</v>
      </c>
      <c r="BOB1" s="23" t="s">
        <v>7486</v>
      </c>
      <c r="BOC1" s="23" t="s">
        <v>7487</v>
      </c>
      <c r="BOD1" s="23" t="s">
        <v>7488</v>
      </c>
      <c r="BOE1" s="23" t="s">
        <v>7489</v>
      </c>
      <c r="BOF1" s="23" t="s">
        <v>7490</v>
      </c>
      <c r="BOG1" s="23" t="s">
        <v>7491</v>
      </c>
      <c r="BOH1" s="23" t="s">
        <v>7492</v>
      </c>
      <c r="BOI1" s="23" t="s">
        <v>7493</v>
      </c>
      <c r="BOJ1" s="23" t="s">
        <v>7494</v>
      </c>
      <c r="BOK1" s="23" t="s">
        <v>7495</v>
      </c>
      <c r="BOL1" s="23" t="s">
        <v>7496</v>
      </c>
      <c r="BOM1" s="23" t="s">
        <v>7497</v>
      </c>
      <c r="BON1" s="23" t="s">
        <v>7498</v>
      </c>
      <c r="BOO1" s="23" t="s">
        <v>7499</v>
      </c>
      <c r="BOP1" s="23" t="s">
        <v>7500</v>
      </c>
      <c r="BOQ1" s="23" t="s">
        <v>7501</v>
      </c>
      <c r="BOR1" s="23" t="s">
        <v>7502</v>
      </c>
      <c r="BOS1" s="23" t="s">
        <v>7503</v>
      </c>
      <c r="BOT1" s="23" t="s">
        <v>7504</v>
      </c>
      <c r="BOU1" s="23" t="s">
        <v>7505</v>
      </c>
      <c r="BOV1" s="23" t="s">
        <v>7506</v>
      </c>
      <c r="BOW1" s="23" t="s">
        <v>7507</v>
      </c>
      <c r="BOX1" s="23" t="s">
        <v>7508</v>
      </c>
      <c r="BOY1" s="23" t="s">
        <v>7509</v>
      </c>
      <c r="BOZ1" s="23" t="s">
        <v>7510</v>
      </c>
      <c r="BPA1" s="23" t="s">
        <v>7511</v>
      </c>
      <c r="BPB1" s="23" t="s">
        <v>7512</v>
      </c>
      <c r="BPC1" s="23" t="s">
        <v>7513</v>
      </c>
      <c r="BPD1" s="23" t="s">
        <v>7514</v>
      </c>
      <c r="BPE1" s="23" t="s">
        <v>7515</v>
      </c>
      <c r="BPF1" s="23" t="s">
        <v>7516</v>
      </c>
      <c r="BPG1" s="23" t="s">
        <v>7517</v>
      </c>
      <c r="BPH1" s="23" t="s">
        <v>7518</v>
      </c>
      <c r="BPI1" s="55" t="s">
        <v>7519</v>
      </c>
      <c r="BPJ1" s="55" t="s">
        <v>7520</v>
      </c>
      <c r="BPK1" s="55" t="s">
        <v>7521</v>
      </c>
      <c r="BPL1" s="55" t="s">
        <v>7522</v>
      </c>
      <c r="BPM1" s="55" t="s">
        <v>7523</v>
      </c>
      <c r="BPN1" s="55" t="s">
        <v>7524</v>
      </c>
      <c r="BPO1" s="55" t="s">
        <v>7525</v>
      </c>
      <c r="BPP1" s="23" t="s">
        <v>7526</v>
      </c>
      <c r="BPQ1" s="23" t="s">
        <v>7527</v>
      </c>
      <c r="BPR1" s="23" t="s">
        <v>7528</v>
      </c>
      <c r="BPS1" s="23" t="s">
        <v>7529</v>
      </c>
      <c r="BPT1" s="23" t="s">
        <v>7530</v>
      </c>
      <c r="BPU1" s="23" t="s">
        <v>7531</v>
      </c>
      <c r="BPV1" s="23" t="s">
        <v>7532</v>
      </c>
      <c r="BPW1" s="55" t="s">
        <v>7533</v>
      </c>
      <c r="BPX1" s="55" t="s">
        <v>7534</v>
      </c>
      <c r="BPY1" s="55" t="s">
        <v>7535</v>
      </c>
      <c r="BPZ1" s="55" t="s">
        <v>7536</v>
      </c>
      <c r="BQA1" s="55" t="s">
        <v>7537</v>
      </c>
      <c r="BQB1" s="55" t="s">
        <v>7538</v>
      </c>
      <c r="BQC1" s="55" t="s">
        <v>7539</v>
      </c>
      <c r="BQD1" s="23" t="s">
        <v>7540</v>
      </c>
      <c r="BQE1" s="23" t="s">
        <v>7541</v>
      </c>
      <c r="BQF1" s="23" t="s">
        <v>7542</v>
      </c>
      <c r="BQG1" s="23" t="s">
        <v>7543</v>
      </c>
      <c r="BQH1" s="23" t="s">
        <v>7544</v>
      </c>
      <c r="BQI1" s="23" t="s">
        <v>7545</v>
      </c>
      <c r="BQJ1" s="23" t="s">
        <v>7546</v>
      </c>
      <c r="BQK1" s="23" t="s">
        <v>7547</v>
      </c>
      <c r="BQL1" s="23" t="s">
        <v>7548</v>
      </c>
      <c r="BQM1" s="23" t="s">
        <v>7549</v>
      </c>
      <c r="BQN1" s="23" t="s">
        <v>7550</v>
      </c>
      <c r="BQO1" s="23" t="s">
        <v>7551</v>
      </c>
      <c r="BQP1" s="23" t="s">
        <v>7552</v>
      </c>
      <c r="BQQ1" s="23" t="s">
        <v>7553</v>
      </c>
      <c r="BQR1" s="23" t="s">
        <v>7554</v>
      </c>
      <c r="BQS1" s="23" t="s">
        <v>7555</v>
      </c>
      <c r="BQT1" s="23" t="s">
        <v>7556</v>
      </c>
      <c r="BQU1" s="23" t="s">
        <v>7557</v>
      </c>
      <c r="BQV1" s="23" t="s">
        <v>7558</v>
      </c>
      <c r="BQW1" s="23" t="s">
        <v>7559</v>
      </c>
      <c r="BQX1" s="23" t="s">
        <v>7560</v>
      </c>
      <c r="BQY1" s="23" t="s">
        <v>7561</v>
      </c>
      <c r="BQZ1" s="23" t="s">
        <v>7562</v>
      </c>
      <c r="BRA1" s="23" t="s">
        <v>7563</v>
      </c>
      <c r="BRB1" s="23" t="s">
        <v>7564</v>
      </c>
      <c r="BRC1" s="23" t="s">
        <v>7565</v>
      </c>
      <c r="BRD1" s="23" t="s">
        <v>7566</v>
      </c>
      <c r="BRE1" s="23" t="s">
        <v>7567</v>
      </c>
      <c r="BRF1" s="23" t="s">
        <v>7568</v>
      </c>
      <c r="BRG1" s="23" t="s">
        <v>7569</v>
      </c>
      <c r="BRH1" s="23" t="s">
        <v>7570</v>
      </c>
      <c r="BRI1" s="23" t="s">
        <v>7571</v>
      </c>
      <c r="BRJ1" s="23" t="s">
        <v>7572</v>
      </c>
      <c r="BRK1" s="23" t="s">
        <v>7573</v>
      </c>
      <c r="BRL1" s="23" t="s">
        <v>7574</v>
      </c>
      <c r="BRM1" s="23" t="s">
        <v>7575</v>
      </c>
      <c r="BRN1" s="23" t="s">
        <v>7576</v>
      </c>
      <c r="BRO1" s="23" t="s">
        <v>7577</v>
      </c>
      <c r="BRP1" s="23" t="s">
        <v>7578</v>
      </c>
      <c r="BRQ1" s="23" t="s">
        <v>7579</v>
      </c>
      <c r="BRR1" s="55" t="s">
        <v>7580</v>
      </c>
      <c r="BRS1" s="55" t="s">
        <v>7581</v>
      </c>
      <c r="BRT1" s="55" t="s">
        <v>7582</v>
      </c>
      <c r="BRU1" s="55" t="s">
        <v>7583</v>
      </c>
      <c r="BRV1" s="55" t="s">
        <v>7584</v>
      </c>
      <c r="BRW1" s="55" t="s">
        <v>7585</v>
      </c>
      <c r="BRX1" s="55" t="s">
        <v>7586</v>
      </c>
      <c r="BRY1" s="55" t="s">
        <v>7587</v>
      </c>
      <c r="BRZ1" s="55" t="s">
        <v>7588</v>
      </c>
      <c r="BSA1" s="55" t="s">
        <v>7589</v>
      </c>
      <c r="BSB1" s="55" t="s">
        <v>7590</v>
      </c>
      <c r="BSC1" s="55" t="s">
        <v>7591</v>
      </c>
      <c r="BSD1" s="55" t="s">
        <v>7592</v>
      </c>
      <c r="BSE1" s="55" t="s">
        <v>7593</v>
      </c>
      <c r="BSF1" s="55" t="s">
        <v>7594</v>
      </c>
      <c r="BSG1" s="55" t="s">
        <v>7595</v>
      </c>
      <c r="BSH1" s="55" t="s">
        <v>7596</v>
      </c>
      <c r="BSI1" s="55" t="s">
        <v>7597</v>
      </c>
      <c r="BSJ1" s="55" t="s">
        <v>7598</v>
      </c>
      <c r="BSK1" s="55" t="s">
        <v>7599</v>
      </c>
      <c r="BSL1" s="55" t="s">
        <v>7600</v>
      </c>
      <c r="BSM1" s="55" t="s">
        <v>7601</v>
      </c>
      <c r="BSN1" s="55" t="s">
        <v>7602</v>
      </c>
      <c r="BSO1" s="55" t="s">
        <v>7603</v>
      </c>
      <c r="BSP1" s="55" t="s">
        <v>7604</v>
      </c>
      <c r="BSQ1" s="55" t="s">
        <v>7605</v>
      </c>
      <c r="BSR1" s="55" t="s">
        <v>7606</v>
      </c>
      <c r="BSS1" s="55" t="s">
        <v>7607</v>
      </c>
      <c r="BST1" s="23" t="s">
        <v>7608</v>
      </c>
      <c r="BSU1" s="23" t="s">
        <v>7609</v>
      </c>
      <c r="BSV1" s="23" t="s">
        <v>7610</v>
      </c>
      <c r="BSW1" s="23" t="s">
        <v>7611</v>
      </c>
      <c r="BSX1" s="23" t="s">
        <v>7612</v>
      </c>
      <c r="BSY1" s="23" t="s">
        <v>7613</v>
      </c>
      <c r="BSZ1" s="23" t="s">
        <v>7614</v>
      </c>
      <c r="BTA1" s="55" t="s">
        <v>7615</v>
      </c>
      <c r="BTB1" s="55" t="s">
        <v>7616</v>
      </c>
      <c r="BTC1" s="55" t="s">
        <v>7617</v>
      </c>
      <c r="BTD1" s="55" t="s">
        <v>7618</v>
      </c>
      <c r="BTE1" s="55" t="s">
        <v>7619</v>
      </c>
      <c r="BTF1" s="55" t="s">
        <v>7620</v>
      </c>
      <c r="BTG1" s="55" t="s">
        <v>7621</v>
      </c>
      <c r="BTH1" s="55" t="s">
        <v>7622</v>
      </c>
      <c r="BTI1" s="55" t="s">
        <v>7623</v>
      </c>
      <c r="BTJ1" s="55" t="s">
        <v>7624</v>
      </c>
      <c r="BTK1" s="55" t="s">
        <v>7625</v>
      </c>
      <c r="BTL1" s="55" t="s">
        <v>7626</v>
      </c>
      <c r="BTM1" s="55" t="s">
        <v>7627</v>
      </c>
      <c r="BTN1" s="55" t="s">
        <v>7628</v>
      </c>
      <c r="BTO1" s="23" t="s">
        <v>7629</v>
      </c>
      <c r="BTP1" s="23" t="s">
        <v>7630</v>
      </c>
      <c r="BTQ1" s="23" t="s">
        <v>7631</v>
      </c>
      <c r="BTR1" s="23" t="s">
        <v>7632</v>
      </c>
      <c r="BTS1" s="23" t="s">
        <v>7633</v>
      </c>
      <c r="BTT1" s="23" t="s">
        <v>7634</v>
      </c>
      <c r="BTU1" s="23" t="s">
        <v>7635</v>
      </c>
      <c r="BTV1" s="23" t="s">
        <v>7636</v>
      </c>
      <c r="BTW1" s="23" t="s">
        <v>7637</v>
      </c>
      <c r="BTX1" s="23" t="s">
        <v>7638</v>
      </c>
      <c r="BTY1" s="23" t="s">
        <v>7639</v>
      </c>
      <c r="BTZ1" s="23" t="s">
        <v>7640</v>
      </c>
      <c r="BUA1" s="23" t="s">
        <v>7641</v>
      </c>
      <c r="BUB1" s="23" t="s">
        <v>7642</v>
      </c>
      <c r="BUC1" s="23" t="s">
        <v>7643</v>
      </c>
      <c r="BUD1" s="23" t="s">
        <v>7644</v>
      </c>
      <c r="BUE1" s="23" t="s">
        <v>7645</v>
      </c>
      <c r="BUF1" s="23" t="s">
        <v>7646</v>
      </c>
      <c r="BUG1" s="23" t="s">
        <v>7647</v>
      </c>
      <c r="BUH1" s="23" t="s">
        <v>7648</v>
      </c>
      <c r="BUI1" s="23" t="s">
        <v>7649</v>
      </c>
      <c r="BUJ1" s="23" t="s">
        <v>7650</v>
      </c>
      <c r="BUK1" s="23" t="s">
        <v>7651</v>
      </c>
      <c r="BUL1" s="23" t="s">
        <v>7652</v>
      </c>
      <c r="BUM1" s="23" t="s">
        <v>7653</v>
      </c>
      <c r="BUN1" s="23" t="s">
        <v>7654</v>
      </c>
      <c r="BUO1" s="23" t="s">
        <v>7655</v>
      </c>
      <c r="BUP1" s="23" t="s">
        <v>7656</v>
      </c>
      <c r="BUQ1" s="55" t="s">
        <v>7657</v>
      </c>
      <c r="BUR1" s="55" t="s">
        <v>7658</v>
      </c>
      <c r="BUS1" s="55" t="s">
        <v>7659</v>
      </c>
      <c r="BUT1" s="55" t="s">
        <v>7660</v>
      </c>
      <c r="BUU1" s="55" t="s">
        <v>7661</v>
      </c>
      <c r="BUV1" s="55" t="s">
        <v>7662</v>
      </c>
      <c r="BUW1" s="55" t="s">
        <v>7663</v>
      </c>
      <c r="BUX1" s="55" t="s">
        <v>7664</v>
      </c>
      <c r="BUY1" s="55" t="s">
        <v>7665</v>
      </c>
      <c r="BUZ1" s="55" t="s">
        <v>7666</v>
      </c>
      <c r="BVA1" s="55" t="s">
        <v>7667</v>
      </c>
      <c r="BVB1" s="55" t="s">
        <v>7668</v>
      </c>
      <c r="BVC1" s="55" t="s">
        <v>7669</v>
      </c>
      <c r="BVD1" s="55" t="s">
        <v>7670</v>
      </c>
      <c r="BVE1" s="23" t="s">
        <v>7671</v>
      </c>
      <c r="BVF1" s="23" t="s">
        <v>7672</v>
      </c>
      <c r="BVG1" s="23" t="s">
        <v>7673</v>
      </c>
      <c r="BVH1" s="23" t="s">
        <v>7674</v>
      </c>
      <c r="BVI1" s="23" t="s">
        <v>7675</v>
      </c>
      <c r="BVJ1" s="23" t="s">
        <v>7676</v>
      </c>
      <c r="BVK1" s="23" t="s">
        <v>7677</v>
      </c>
      <c r="BVL1" s="23" t="s">
        <v>7678</v>
      </c>
      <c r="BVM1" s="23" t="s">
        <v>7679</v>
      </c>
      <c r="BVN1" s="23" t="s">
        <v>7680</v>
      </c>
      <c r="BVO1" s="23" t="s">
        <v>7681</v>
      </c>
      <c r="BVP1" s="23" t="s">
        <v>7682</v>
      </c>
      <c r="BVQ1" s="23" t="s">
        <v>7683</v>
      </c>
      <c r="BVR1" s="23" t="s">
        <v>7684</v>
      </c>
      <c r="BVS1" s="23" t="s">
        <v>7685</v>
      </c>
      <c r="BVT1" s="23" t="s">
        <v>7686</v>
      </c>
      <c r="BVU1" s="23" t="s">
        <v>7687</v>
      </c>
      <c r="BVV1" s="23" t="s">
        <v>7688</v>
      </c>
      <c r="BVW1" s="23" t="s">
        <v>7689</v>
      </c>
      <c r="BVX1" s="23" t="s">
        <v>7690</v>
      </c>
      <c r="BVY1" s="23" t="s">
        <v>7691</v>
      </c>
      <c r="BVZ1" s="23" t="s">
        <v>7692</v>
      </c>
      <c r="BWA1" s="23" t="s">
        <v>7693</v>
      </c>
      <c r="BWB1" s="23" t="s">
        <v>7694</v>
      </c>
      <c r="BWC1" s="23" t="s">
        <v>7695</v>
      </c>
      <c r="BWD1" s="23" t="s">
        <v>7696</v>
      </c>
      <c r="BWE1" s="23" t="s">
        <v>7697</v>
      </c>
      <c r="BWF1" s="23" t="s">
        <v>7698</v>
      </c>
      <c r="BWG1" s="23" t="s">
        <v>7699</v>
      </c>
      <c r="BWH1" s="23" t="s">
        <v>7700</v>
      </c>
      <c r="BWI1" s="23" t="s">
        <v>7701</v>
      </c>
      <c r="BWJ1" s="23" t="s">
        <v>7702</v>
      </c>
      <c r="BWK1" s="23" t="s">
        <v>7703</v>
      </c>
      <c r="BWL1" s="55" t="s">
        <v>7704</v>
      </c>
      <c r="BWM1" s="23" t="s">
        <v>7705</v>
      </c>
      <c r="BWN1" s="55" t="s">
        <v>7706</v>
      </c>
      <c r="BWO1" s="23" t="s">
        <v>7707</v>
      </c>
      <c r="BWP1" s="23" t="s">
        <v>7708</v>
      </c>
      <c r="BWQ1" s="23" t="s">
        <v>7709</v>
      </c>
      <c r="BWR1" s="23" t="s">
        <v>7710</v>
      </c>
      <c r="BWS1" s="23" t="s">
        <v>7711</v>
      </c>
      <c r="BWT1" s="23" t="s">
        <v>7712</v>
      </c>
      <c r="BWU1" s="55" t="s">
        <v>7713</v>
      </c>
      <c r="BWV1" s="23" t="s">
        <v>7714</v>
      </c>
      <c r="BWW1" s="23" t="s">
        <v>7715</v>
      </c>
      <c r="BWX1" s="23" t="s">
        <v>7716</v>
      </c>
      <c r="BWY1" s="23" t="s">
        <v>7717</v>
      </c>
      <c r="BWZ1" s="23" t="s">
        <v>7718</v>
      </c>
      <c r="BXA1" s="55" t="s">
        <v>7719</v>
      </c>
      <c r="BXB1" s="23" t="s">
        <v>7720</v>
      </c>
      <c r="BXC1" s="55" t="s">
        <v>7721</v>
      </c>
      <c r="BXD1" s="23" t="s">
        <v>7722</v>
      </c>
      <c r="BXE1" s="23" t="s">
        <v>7723</v>
      </c>
      <c r="BXF1" s="23" t="s">
        <v>7724</v>
      </c>
      <c r="BXG1" s="55" t="s">
        <v>7725</v>
      </c>
      <c r="BXH1" s="23" t="s">
        <v>7726</v>
      </c>
      <c r="BXI1" s="55" t="s">
        <v>7727</v>
      </c>
      <c r="BXJ1" s="23" t="s">
        <v>7728</v>
      </c>
      <c r="BXK1" s="23" t="s">
        <v>7729</v>
      </c>
      <c r="BXL1" s="23" t="s">
        <v>7730</v>
      </c>
      <c r="BXM1" s="23" t="s">
        <v>7731</v>
      </c>
      <c r="BXN1" s="23" t="s">
        <v>7732</v>
      </c>
      <c r="BXO1" s="23" t="s">
        <v>7733</v>
      </c>
      <c r="BXP1" s="23" t="s">
        <v>7734</v>
      </c>
      <c r="BXQ1" s="23" t="s">
        <v>7735</v>
      </c>
      <c r="BXR1" s="23" t="s">
        <v>7736</v>
      </c>
      <c r="BXS1" s="23" t="s">
        <v>7737</v>
      </c>
      <c r="BXT1" s="23" t="s">
        <v>7738</v>
      </c>
      <c r="BXU1" s="23" t="s">
        <v>7739</v>
      </c>
      <c r="BXV1" s="23" t="s">
        <v>7740</v>
      </c>
      <c r="BXW1" s="23" t="s">
        <v>7741</v>
      </c>
      <c r="BXX1" s="23" t="s">
        <v>7742</v>
      </c>
      <c r="BXY1" s="23" t="s">
        <v>7743</v>
      </c>
      <c r="BXZ1" s="23" t="s">
        <v>7744</v>
      </c>
      <c r="BYA1" s="23" t="s">
        <v>7745</v>
      </c>
      <c r="BYB1" s="23" t="s">
        <v>7746</v>
      </c>
      <c r="BYC1" s="23" t="s">
        <v>7747</v>
      </c>
      <c r="BYD1" s="23" t="s">
        <v>7748</v>
      </c>
      <c r="BYE1" s="23" t="s">
        <v>7749</v>
      </c>
      <c r="BYF1" s="23" t="s">
        <v>7750</v>
      </c>
      <c r="BYG1" s="23" t="s">
        <v>7751</v>
      </c>
      <c r="BYH1" s="23" t="s">
        <v>7752</v>
      </c>
      <c r="BYI1" s="55" t="s">
        <v>7753</v>
      </c>
      <c r="BYJ1" s="55" t="s">
        <v>7754</v>
      </c>
      <c r="BYK1" s="23" t="s">
        <v>7755</v>
      </c>
      <c r="BYL1" s="23" t="s">
        <v>7756</v>
      </c>
      <c r="BYM1" s="23" t="s">
        <v>7757</v>
      </c>
      <c r="BYN1" s="23" t="s">
        <v>7758</v>
      </c>
      <c r="BYO1" s="23" t="s">
        <v>7759</v>
      </c>
      <c r="BYP1" s="23" t="s">
        <v>7760</v>
      </c>
      <c r="BYQ1" s="23" t="s">
        <v>7761</v>
      </c>
      <c r="BYR1" s="23" t="s">
        <v>7762</v>
      </c>
      <c r="BYS1" s="23" t="s">
        <v>7763</v>
      </c>
      <c r="BYT1" s="23" t="s">
        <v>7764</v>
      </c>
      <c r="BYU1" s="23" t="s">
        <v>7765</v>
      </c>
      <c r="BYV1" s="23" t="s">
        <v>7766</v>
      </c>
      <c r="BYW1" s="23" t="s">
        <v>7767</v>
      </c>
      <c r="BYX1" s="55" t="s">
        <v>7768</v>
      </c>
      <c r="BYY1" s="55" t="s">
        <v>7769</v>
      </c>
      <c r="BYZ1" s="23" t="s">
        <v>7770</v>
      </c>
      <c r="BZA1" s="23" t="s">
        <v>7771</v>
      </c>
      <c r="BZB1" s="23" t="s">
        <v>7772</v>
      </c>
      <c r="BZC1" s="23" t="s">
        <v>7773</v>
      </c>
      <c r="BZD1" s="23" t="s">
        <v>7774</v>
      </c>
      <c r="BZE1" s="23" t="s">
        <v>7775</v>
      </c>
      <c r="BZF1" s="23" t="s">
        <v>7776</v>
      </c>
      <c r="BZG1" s="23" t="s">
        <v>7777</v>
      </c>
      <c r="BZH1" s="55" t="s">
        <v>7778</v>
      </c>
      <c r="BZI1" s="55" t="s">
        <v>7779</v>
      </c>
      <c r="BZJ1" s="23" t="s">
        <v>7780</v>
      </c>
      <c r="BZK1" s="23" t="s">
        <v>7781</v>
      </c>
      <c r="BZL1" s="23" t="s">
        <v>7782</v>
      </c>
      <c r="BZM1" s="23" t="s">
        <v>7783</v>
      </c>
      <c r="BZN1" s="23" t="s">
        <v>7784</v>
      </c>
      <c r="BZO1" s="23" t="s">
        <v>7785</v>
      </c>
      <c r="BZP1" s="23" t="s">
        <v>7786</v>
      </c>
      <c r="BZQ1" s="55" t="s">
        <v>7787</v>
      </c>
      <c r="BZR1" s="23" t="s">
        <v>7788</v>
      </c>
      <c r="BZS1" s="23" t="s">
        <v>7789</v>
      </c>
      <c r="BZT1" s="23" t="s">
        <v>7790</v>
      </c>
      <c r="BZU1" s="23" t="s">
        <v>7791</v>
      </c>
      <c r="BZV1" s="23" t="s">
        <v>7792</v>
      </c>
      <c r="BZW1" s="23" t="s">
        <v>7793</v>
      </c>
      <c r="BZX1" s="23" t="s">
        <v>7794</v>
      </c>
      <c r="BZY1" s="23" t="s">
        <v>7795</v>
      </c>
      <c r="BZZ1" s="23" t="s">
        <v>7796</v>
      </c>
      <c r="CAA1" s="23" t="s">
        <v>7797</v>
      </c>
      <c r="CAB1" s="23" t="s">
        <v>7798</v>
      </c>
      <c r="CAC1" s="23" t="s">
        <v>7799</v>
      </c>
      <c r="CAD1" s="23" t="s">
        <v>7800</v>
      </c>
      <c r="CAE1" s="23" t="s">
        <v>7801</v>
      </c>
      <c r="CAF1" s="23" t="s">
        <v>7802</v>
      </c>
      <c r="CAG1" s="23" t="s">
        <v>7803</v>
      </c>
      <c r="CAH1" s="23" t="s">
        <v>7804</v>
      </c>
      <c r="CAI1" s="23" t="s">
        <v>7805</v>
      </c>
      <c r="CAJ1" s="23" t="s">
        <v>7806</v>
      </c>
      <c r="CAK1" s="23" t="s">
        <v>7807</v>
      </c>
      <c r="CAL1" s="23" t="s">
        <v>7808</v>
      </c>
      <c r="CAM1" s="23" t="s">
        <v>7809</v>
      </c>
      <c r="CAN1" s="23" t="s">
        <v>7810</v>
      </c>
      <c r="CAO1" s="23" t="s">
        <v>7811</v>
      </c>
      <c r="CAP1" s="23" t="s">
        <v>7812</v>
      </c>
      <c r="CAQ1" s="23" t="s">
        <v>7813</v>
      </c>
      <c r="CAR1" s="23" t="s">
        <v>7814</v>
      </c>
      <c r="CAS1" s="23" t="s">
        <v>7815</v>
      </c>
      <c r="CAT1" s="23" t="s">
        <v>7816</v>
      </c>
      <c r="CAU1" s="23" t="s">
        <v>7817</v>
      </c>
      <c r="CAV1" s="23" t="s">
        <v>7818</v>
      </c>
      <c r="CAW1" s="23" t="s">
        <v>7819</v>
      </c>
      <c r="CAX1" s="23" t="s">
        <v>7820</v>
      </c>
      <c r="CAY1" s="23" t="s">
        <v>7821</v>
      </c>
      <c r="CAZ1" s="23" t="s">
        <v>7822</v>
      </c>
      <c r="CBA1" s="23" t="s">
        <v>7823</v>
      </c>
      <c r="CBB1" s="23" t="s">
        <v>7824</v>
      </c>
      <c r="CBC1" s="23" t="s">
        <v>7825</v>
      </c>
      <c r="CBD1" s="23" t="s">
        <v>7826</v>
      </c>
      <c r="CBE1" s="55" t="s">
        <v>7827</v>
      </c>
      <c r="CBF1" s="55" t="s">
        <v>7828</v>
      </c>
      <c r="CBG1" s="55" t="s">
        <v>7829</v>
      </c>
      <c r="CBH1" s="55" t="s">
        <v>7830</v>
      </c>
      <c r="CBI1" s="55" t="s">
        <v>7831</v>
      </c>
      <c r="CBJ1" s="55" t="s">
        <v>7832</v>
      </c>
      <c r="CBK1" s="55" t="s">
        <v>7833</v>
      </c>
      <c r="CBL1" s="55" t="s">
        <v>7834</v>
      </c>
      <c r="CBM1" s="24" t="s">
        <v>7835</v>
      </c>
      <c r="CBN1" s="24" t="s">
        <v>7836</v>
      </c>
      <c r="CBO1" s="24" t="s">
        <v>7837</v>
      </c>
      <c r="CBP1" s="24" t="s">
        <v>7838</v>
      </c>
      <c r="CBQ1" s="24" t="s">
        <v>7839</v>
      </c>
      <c r="CBR1" s="24" t="s">
        <v>7840</v>
      </c>
      <c r="CBS1" s="24" t="s">
        <v>7841</v>
      </c>
      <c r="CBT1" s="24" t="s">
        <v>7842</v>
      </c>
      <c r="CBU1" s="24" t="s">
        <v>7843</v>
      </c>
      <c r="CBV1" s="24" t="s">
        <v>7844</v>
      </c>
      <c r="CBW1" s="24" t="s">
        <v>7845</v>
      </c>
      <c r="CBX1" s="24" t="s">
        <v>7846</v>
      </c>
      <c r="CBY1" s="24" t="s">
        <v>7847</v>
      </c>
      <c r="CBZ1" s="24" t="s">
        <v>7848</v>
      </c>
      <c r="CCA1" s="24" t="s">
        <v>7849</v>
      </c>
      <c r="CCB1" s="24" t="s">
        <v>7850</v>
      </c>
      <c r="CCC1" s="24" t="s">
        <v>7851</v>
      </c>
      <c r="CCD1" s="24" t="s">
        <v>7852</v>
      </c>
      <c r="CCE1" s="24" t="s">
        <v>7853</v>
      </c>
      <c r="CCF1" s="24" t="s">
        <v>7854</v>
      </c>
      <c r="CCG1" s="24" t="s">
        <v>7855</v>
      </c>
      <c r="CCH1" s="24" t="s">
        <v>7856</v>
      </c>
      <c r="CCI1" s="24" t="s">
        <v>7857</v>
      </c>
      <c r="CCJ1" s="24" t="s">
        <v>7858</v>
      </c>
      <c r="CCK1" s="24" t="s">
        <v>7859</v>
      </c>
      <c r="CCL1" s="24" t="s">
        <v>7860</v>
      </c>
      <c r="CCM1" s="24" t="s">
        <v>7861</v>
      </c>
      <c r="CCN1" s="24" t="s">
        <v>7862</v>
      </c>
      <c r="CCO1" s="24" t="s">
        <v>7863</v>
      </c>
      <c r="CCP1" s="24" t="s">
        <v>7864</v>
      </c>
      <c r="CCQ1" s="24" t="s">
        <v>7865</v>
      </c>
      <c r="CCR1" s="24" t="s">
        <v>7866</v>
      </c>
      <c r="CCS1" s="24" t="s">
        <v>7867</v>
      </c>
      <c r="CCT1" s="24" t="s">
        <v>7868</v>
      </c>
      <c r="CCU1" s="24" t="s">
        <v>7869</v>
      </c>
      <c r="CCV1" s="24" t="s">
        <v>7870</v>
      </c>
      <c r="CCW1" s="24" t="s">
        <v>7871</v>
      </c>
      <c r="CCX1" s="24" t="s">
        <v>7872</v>
      </c>
      <c r="CCY1" s="24" t="s">
        <v>7873</v>
      </c>
      <c r="CCZ1" s="24" t="s">
        <v>7874</v>
      </c>
      <c r="CDA1" s="24" t="s">
        <v>7875</v>
      </c>
      <c r="CDB1" s="24" t="s">
        <v>7876</v>
      </c>
      <c r="CDC1" s="24" t="s">
        <v>7877</v>
      </c>
      <c r="CDD1" s="24" t="s">
        <v>7878</v>
      </c>
      <c r="CDE1" s="24" t="s">
        <v>7879</v>
      </c>
      <c r="CDF1" s="24" t="s">
        <v>7880</v>
      </c>
      <c r="CDG1" s="24" t="s">
        <v>7881</v>
      </c>
      <c r="CDH1" s="24" t="s">
        <v>7882</v>
      </c>
      <c r="CDI1" s="24" t="s">
        <v>7883</v>
      </c>
      <c r="CDJ1" s="24" t="s">
        <v>7884</v>
      </c>
      <c r="CDK1" s="24" t="s">
        <v>7885</v>
      </c>
      <c r="CDL1" s="24" t="s">
        <v>7886</v>
      </c>
      <c r="CDM1" s="24" t="s">
        <v>7887</v>
      </c>
      <c r="CDN1" s="24" t="s">
        <v>7888</v>
      </c>
      <c r="CDO1" s="24" t="s">
        <v>7889</v>
      </c>
      <c r="CDP1" s="24" t="s">
        <v>7890</v>
      </c>
      <c r="CDQ1" s="24" t="s">
        <v>7891</v>
      </c>
      <c r="CDR1" s="24" t="s">
        <v>7892</v>
      </c>
      <c r="CDS1" s="24" t="s">
        <v>7893</v>
      </c>
      <c r="CDT1" s="24" t="s">
        <v>7894</v>
      </c>
      <c r="CDU1" s="24" t="s">
        <v>7895</v>
      </c>
      <c r="CDV1" s="24" t="s">
        <v>7896</v>
      </c>
      <c r="CDW1" s="24" t="s">
        <v>7897</v>
      </c>
      <c r="CDX1" s="24" t="s">
        <v>7898</v>
      </c>
      <c r="CDY1" s="24" t="s">
        <v>7899</v>
      </c>
      <c r="CDZ1" s="24" t="s">
        <v>7900</v>
      </c>
      <c r="CEA1" s="24" t="s">
        <v>7901</v>
      </c>
      <c r="CEB1" s="24" t="s">
        <v>7902</v>
      </c>
      <c r="CEC1" s="24" t="s">
        <v>7903</v>
      </c>
      <c r="CED1" s="24" t="s">
        <v>7904</v>
      </c>
      <c r="CEE1" s="24" t="s">
        <v>7905</v>
      </c>
      <c r="CEF1" s="24" t="s">
        <v>7906</v>
      </c>
      <c r="CEG1" s="24" t="s">
        <v>7907</v>
      </c>
      <c r="CEH1" s="24" t="s">
        <v>7908</v>
      </c>
      <c r="CEI1" s="24" t="s">
        <v>7909</v>
      </c>
      <c r="CEJ1" s="24" t="s">
        <v>7910</v>
      </c>
      <c r="CEK1" s="24" t="s">
        <v>7911</v>
      </c>
      <c r="CEL1" s="24" t="s">
        <v>7912</v>
      </c>
      <c r="CEM1" s="24" t="s">
        <v>7913</v>
      </c>
      <c r="CEN1" s="24" t="s">
        <v>7914</v>
      </c>
      <c r="CEO1" s="24" t="s">
        <v>7915</v>
      </c>
      <c r="CEP1" s="24" t="s">
        <v>7916</v>
      </c>
      <c r="CEQ1" s="24" t="s">
        <v>7917</v>
      </c>
      <c r="CER1" s="24" t="s">
        <v>7918</v>
      </c>
      <c r="CES1" s="24" t="s">
        <v>7919</v>
      </c>
      <c r="CET1" s="24" t="s">
        <v>7920</v>
      </c>
      <c r="CEU1" s="24" t="s">
        <v>7921</v>
      </c>
      <c r="CEV1" s="24" t="s">
        <v>7922</v>
      </c>
      <c r="CEW1" s="24" t="s">
        <v>7923</v>
      </c>
      <c r="CEX1" s="24" t="s">
        <v>7924</v>
      </c>
      <c r="CEY1" s="24" t="s">
        <v>7925</v>
      </c>
      <c r="CEZ1" s="24" t="s">
        <v>7926</v>
      </c>
      <c r="CFA1" s="24" t="s">
        <v>7927</v>
      </c>
      <c r="CFB1" s="24" t="s">
        <v>7928</v>
      </c>
      <c r="CFC1" s="24" t="s">
        <v>7929</v>
      </c>
      <c r="CFD1" s="24" t="s">
        <v>7930</v>
      </c>
      <c r="CFE1" s="24" t="s">
        <v>7931</v>
      </c>
      <c r="CFF1" s="24" t="s">
        <v>7932</v>
      </c>
      <c r="CFG1" s="24" t="s">
        <v>7933</v>
      </c>
      <c r="CFH1" s="24" t="s">
        <v>7934</v>
      </c>
      <c r="CFI1" s="24" t="s">
        <v>7935</v>
      </c>
      <c r="CFJ1" s="24" t="s">
        <v>7936</v>
      </c>
      <c r="CFK1" s="24" t="s">
        <v>7937</v>
      </c>
      <c r="CFL1" s="24" t="s">
        <v>7938</v>
      </c>
      <c r="CFM1" s="24" t="s">
        <v>7939</v>
      </c>
      <c r="CFN1" s="24" t="s">
        <v>7940</v>
      </c>
      <c r="CFO1" s="24" t="s">
        <v>7941</v>
      </c>
      <c r="CFP1" s="24" t="s">
        <v>7942</v>
      </c>
      <c r="CFQ1" s="24" t="s">
        <v>7943</v>
      </c>
      <c r="CFR1" s="24" t="s">
        <v>7944</v>
      </c>
      <c r="CFS1" s="24" t="s">
        <v>7945</v>
      </c>
      <c r="CFT1" s="24" t="s">
        <v>7946</v>
      </c>
      <c r="CFU1" s="24" t="s">
        <v>7947</v>
      </c>
      <c r="CFV1" s="24" t="s">
        <v>7948</v>
      </c>
      <c r="CFW1" s="24" t="s">
        <v>7949</v>
      </c>
      <c r="CFX1" s="24" t="s">
        <v>7950</v>
      </c>
      <c r="CFY1" s="24" t="s">
        <v>7951</v>
      </c>
      <c r="CFZ1" s="24" t="s">
        <v>7952</v>
      </c>
      <c r="CGA1" s="24" t="s">
        <v>7953</v>
      </c>
      <c r="CGB1" s="24" t="s">
        <v>7954</v>
      </c>
      <c r="CGC1" s="55" t="s">
        <v>7955</v>
      </c>
      <c r="CGD1" s="55" t="s">
        <v>7956</v>
      </c>
      <c r="CGE1" s="55" t="s">
        <v>7957</v>
      </c>
      <c r="CGF1" s="55" t="s">
        <v>7958</v>
      </c>
      <c r="CGG1" s="55" t="s">
        <v>7959</v>
      </c>
      <c r="CGH1" s="55" t="s">
        <v>7960</v>
      </c>
      <c r="CGI1" s="55" t="s">
        <v>7961</v>
      </c>
      <c r="CGJ1" s="55" t="s">
        <v>7962</v>
      </c>
      <c r="CGK1" s="24" t="s">
        <v>7963</v>
      </c>
      <c r="CGL1" s="24" t="s">
        <v>7964</v>
      </c>
      <c r="CGM1" s="24" t="s">
        <v>7965</v>
      </c>
      <c r="CGN1" s="24" t="s">
        <v>7966</v>
      </c>
      <c r="CGO1" s="24" t="s">
        <v>7967</v>
      </c>
      <c r="CGP1" s="24" t="s">
        <v>7968</v>
      </c>
      <c r="CGQ1" s="24" t="s">
        <v>7969</v>
      </c>
      <c r="CGR1" s="24" t="s">
        <v>7970</v>
      </c>
      <c r="CGS1" s="24" t="s">
        <v>7971</v>
      </c>
      <c r="CGT1" s="24" t="s">
        <v>7972</v>
      </c>
      <c r="CGU1" s="24" t="s">
        <v>7973</v>
      </c>
      <c r="CGV1" s="24" t="s">
        <v>7974</v>
      </c>
      <c r="CGW1" s="24" t="s">
        <v>7975</v>
      </c>
      <c r="CGX1" s="24" t="s">
        <v>7976</v>
      </c>
      <c r="CGY1" s="24" t="s">
        <v>7977</v>
      </c>
      <c r="CGZ1" s="24" t="s">
        <v>7978</v>
      </c>
      <c r="CHA1" s="24" t="s">
        <v>7979</v>
      </c>
      <c r="CHB1" s="24" t="s">
        <v>7980</v>
      </c>
      <c r="CHC1" s="24" t="s">
        <v>7981</v>
      </c>
      <c r="CHD1" s="24" t="s">
        <v>7982</v>
      </c>
      <c r="CHE1" s="24" t="s">
        <v>7983</v>
      </c>
      <c r="CHF1" s="24" t="s">
        <v>7984</v>
      </c>
      <c r="CHG1" s="24" t="s">
        <v>7985</v>
      </c>
      <c r="CHH1" s="24" t="s">
        <v>7986</v>
      </c>
      <c r="CHI1" s="24" t="s">
        <v>7987</v>
      </c>
      <c r="CHJ1" s="24" t="s">
        <v>7988</v>
      </c>
      <c r="CHK1" s="24" t="s">
        <v>7989</v>
      </c>
      <c r="CHL1" s="24" t="s">
        <v>7990</v>
      </c>
      <c r="CHM1" s="24" t="s">
        <v>7991</v>
      </c>
      <c r="CHN1" s="24" t="s">
        <v>7992</v>
      </c>
      <c r="CHO1" s="24" t="s">
        <v>7993</v>
      </c>
      <c r="CHP1" s="24" t="s">
        <v>7994</v>
      </c>
      <c r="CHQ1" s="24" t="s">
        <v>7995</v>
      </c>
      <c r="CHR1" s="24" t="s">
        <v>7996</v>
      </c>
      <c r="CHS1" s="24" t="s">
        <v>7997</v>
      </c>
      <c r="CHT1" s="24" t="s">
        <v>7998</v>
      </c>
      <c r="CHU1" s="24" t="s">
        <v>7999</v>
      </c>
      <c r="CHV1" s="24" t="s">
        <v>8000</v>
      </c>
      <c r="CHW1" s="24" t="s">
        <v>8001</v>
      </c>
      <c r="CHX1" s="24" t="s">
        <v>8002</v>
      </c>
      <c r="CHY1" s="24" t="s">
        <v>8003</v>
      </c>
      <c r="CHZ1" s="24" t="s">
        <v>8004</v>
      </c>
      <c r="CIA1" s="24" t="s">
        <v>8005</v>
      </c>
      <c r="CIB1" s="24" t="s">
        <v>8006</v>
      </c>
      <c r="CIC1" s="24" t="s">
        <v>8007</v>
      </c>
      <c r="CID1" s="24" t="s">
        <v>8008</v>
      </c>
      <c r="CIE1" s="24" t="s">
        <v>8009</v>
      </c>
      <c r="CIF1" s="24" t="s">
        <v>8010</v>
      </c>
      <c r="CIG1" s="24" t="s">
        <v>8011</v>
      </c>
      <c r="CIH1" s="24" t="s">
        <v>8012</v>
      </c>
      <c r="CII1" s="24" t="s">
        <v>8013</v>
      </c>
      <c r="CIJ1" s="24" t="s">
        <v>8014</v>
      </c>
      <c r="CIK1" s="24" t="s">
        <v>8015</v>
      </c>
      <c r="CIL1" s="24" t="s">
        <v>8016</v>
      </c>
      <c r="CIM1" s="24" t="s">
        <v>8017</v>
      </c>
      <c r="CIN1" s="24" t="s">
        <v>8018</v>
      </c>
      <c r="CIO1" s="24" t="s">
        <v>8019</v>
      </c>
      <c r="CIP1" s="24" t="s">
        <v>8020</v>
      </c>
      <c r="CIQ1" s="24" t="s">
        <v>8021</v>
      </c>
      <c r="CIR1" s="24" t="s">
        <v>8022</v>
      </c>
      <c r="CIS1" s="24" t="s">
        <v>8023</v>
      </c>
      <c r="CIT1" s="24" t="s">
        <v>8024</v>
      </c>
      <c r="CIU1" s="24" t="s">
        <v>8025</v>
      </c>
      <c r="CIV1" s="24" t="s">
        <v>8026</v>
      </c>
      <c r="CIW1" s="24" t="s">
        <v>8027</v>
      </c>
      <c r="CIX1" s="24" t="s">
        <v>8028</v>
      </c>
      <c r="CIY1" s="24" t="s">
        <v>8029</v>
      </c>
      <c r="CIZ1" s="24" t="s">
        <v>8030</v>
      </c>
      <c r="CJA1" s="24" t="s">
        <v>8031</v>
      </c>
      <c r="CJB1" s="24" t="s">
        <v>8032</v>
      </c>
      <c r="CJC1" s="24" t="s">
        <v>8033</v>
      </c>
      <c r="CJD1" s="24" t="s">
        <v>8034</v>
      </c>
      <c r="CJE1" s="24" t="s">
        <v>8035</v>
      </c>
      <c r="CJF1" s="24" t="s">
        <v>8036</v>
      </c>
      <c r="CJG1" s="24" t="s">
        <v>8037</v>
      </c>
      <c r="CJH1" s="24" t="s">
        <v>8038</v>
      </c>
      <c r="CJI1" s="24" t="s">
        <v>8039</v>
      </c>
      <c r="CJJ1" s="24" t="s">
        <v>8040</v>
      </c>
      <c r="CJK1" s="24" t="s">
        <v>8041</v>
      </c>
      <c r="CJL1" s="24" t="s">
        <v>8042</v>
      </c>
      <c r="CJM1" s="24" t="s">
        <v>8043</v>
      </c>
      <c r="CJN1" s="24" t="s">
        <v>8044</v>
      </c>
      <c r="CJO1" s="24" t="s">
        <v>8045</v>
      </c>
      <c r="CJP1" s="24" t="s">
        <v>8046</v>
      </c>
      <c r="CJQ1" s="24" t="s">
        <v>8047</v>
      </c>
      <c r="CJR1" s="24" t="s">
        <v>8048</v>
      </c>
      <c r="CJS1" s="24" t="s">
        <v>8049</v>
      </c>
      <c r="CJT1" s="24" t="s">
        <v>8050</v>
      </c>
      <c r="CJU1" s="24" t="s">
        <v>8051</v>
      </c>
      <c r="CJV1" s="24" t="s">
        <v>8052</v>
      </c>
      <c r="CJW1" s="24" t="s">
        <v>8053</v>
      </c>
      <c r="CJX1" s="24" t="s">
        <v>8054</v>
      </c>
      <c r="CJY1" s="24" t="s">
        <v>8055</v>
      </c>
      <c r="CJZ1" s="24" t="s">
        <v>8056</v>
      </c>
      <c r="CKA1" s="24" t="s">
        <v>8057</v>
      </c>
      <c r="CKB1" s="24" t="s">
        <v>8058</v>
      </c>
      <c r="CKC1" s="24" t="s">
        <v>8059</v>
      </c>
      <c r="CKD1" s="24" t="s">
        <v>8060</v>
      </c>
      <c r="CKE1" s="24" t="s">
        <v>8061</v>
      </c>
      <c r="CKF1" s="24" t="s">
        <v>8062</v>
      </c>
      <c r="CKG1" s="24" t="s">
        <v>8063</v>
      </c>
      <c r="CKH1" s="24" t="s">
        <v>8064</v>
      </c>
      <c r="CKI1" s="24" t="s">
        <v>8065</v>
      </c>
      <c r="CKJ1" s="24" t="s">
        <v>8066</v>
      </c>
      <c r="CKK1" s="24" t="s">
        <v>8067</v>
      </c>
      <c r="CKL1" s="24" t="s">
        <v>8068</v>
      </c>
      <c r="CKM1" s="24" t="s">
        <v>8069</v>
      </c>
      <c r="CKN1" s="24" t="s">
        <v>8070</v>
      </c>
      <c r="CKO1" s="24" t="s">
        <v>8071</v>
      </c>
      <c r="CKP1" s="24" t="s">
        <v>8072</v>
      </c>
      <c r="CKQ1" s="24" t="s">
        <v>8073</v>
      </c>
      <c r="CKR1" s="24" t="s">
        <v>8074</v>
      </c>
      <c r="CKS1" s="24" t="s">
        <v>8075</v>
      </c>
      <c r="CKT1" s="24" t="s">
        <v>8076</v>
      </c>
      <c r="CKU1" s="24" t="s">
        <v>8077</v>
      </c>
      <c r="CKV1" s="24" t="s">
        <v>8078</v>
      </c>
      <c r="CKW1" s="24" t="s">
        <v>8079</v>
      </c>
      <c r="CKX1" s="24" t="s">
        <v>8080</v>
      </c>
      <c r="CKY1" s="24" t="s">
        <v>8081</v>
      </c>
      <c r="CKZ1" s="55" t="s">
        <v>8082</v>
      </c>
      <c r="CLA1" s="55" t="s">
        <v>8083</v>
      </c>
      <c r="CLB1" s="55" t="s">
        <v>8084</v>
      </c>
      <c r="CLC1" s="55" t="s">
        <v>8085</v>
      </c>
      <c r="CLD1" s="55" t="s">
        <v>8086</v>
      </c>
      <c r="CLE1" s="55" t="s">
        <v>8087</v>
      </c>
      <c r="CLF1" s="55" t="s">
        <v>8088</v>
      </c>
      <c r="CLG1" s="55" t="s">
        <v>8089</v>
      </c>
      <c r="CLH1" s="24" t="s">
        <v>8090</v>
      </c>
      <c r="CLI1" s="24" t="s">
        <v>8091</v>
      </c>
      <c r="CLJ1" s="24" t="s">
        <v>8092</v>
      </c>
      <c r="CLK1" s="24" t="s">
        <v>8093</v>
      </c>
      <c r="CLL1" s="24" t="s">
        <v>8094</v>
      </c>
      <c r="CLM1" s="24" t="s">
        <v>8095</v>
      </c>
      <c r="CLN1" s="24" t="s">
        <v>8096</v>
      </c>
      <c r="CLO1" s="24" t="s">
        <v>8097</v>
      </c>
      <c r="CLP1" s="24" t="s">
        <v>8098</v>
      </c>
      <c r="CLQ1" s="24" t="s">
        <v>8099</v>
      </c>
      <c r="CLR1" s="24" t="s">
        <v>8100</v>
      </c>
      <c r="CLS1" s="24" t="s">
        <v>8101</v>
      </c>
      <c r="CLT1" s="24" t="s">
        <v>8102</v>
      </c>
      <c r="CLU1" s="24" t="s">
        <v>8103</v>
      </c>
      <c r="CLV1" s="24" t="s">
        <v>8104</v>
      </c>
      <c r="CLW1" s="24" t="s">
        <v>8105</v>
      </c>
      <c r="CLX1" s="24" t="s">
        <v>8106</v>
      </c>
      <c r="CLY1" s="24" t="s">
        <v>8107</v>
      </c>
      <c r="CLZ1" s="24" t="s">
        <v>8108</v>
      </c>
      <c r="CMA1" s="24" t="s">
        <v>8109</v>
      </c>
      <c r="CMB1" s="24" t="s">
        <v>8110</v>
      </c>
      <c r="CMC1" s="24" t="s">
        <v>8111</v>
      </c>
      <c r="CMD1" s="24" t="s">
        <v>8112</v>
      </c>
      <c r="CME1" s="24" t="s">
        <v>8113</v>
      </c>
      <c r="CMF1" s="24" t="s">
        <v>8114</v>
      </c>
      <c r="CMG1" s="24" t="s">
        <v>8115</v>
      </c>
      <c r="CMH1" s="24" t="s">
        <v>8116</v>
      </c>
      <c r="CMI1" s="24" t="s">
        <v>8117</v>
      </c>
      <c r="CMJ1" s="24" t="s">
        <v>8118</v>
      </c>
      <c r="CMK1" s="24" t="s">
        <v>8119</v>
      </c>
      <c r="CML1" s="24" t="s">
        <v>8120</v>
      </c>
      <c r="CMM1" s="24" t="s">
        <v>8121</v>
      </c>
      <c r="CMN1" s="24" t="s">
        <v>8122</v>
      </c>
      <c r="CMO1" s="24" t="s">
        <v>8123</v>
      </c>
      <c r="CMP1" s="24" t="s">
        <v>8124</v>
      </c>
      <c r="CMQ1" s="24" t="s">
        <v>8125</v>
      </c>
      <c r="CMR1" s="24" t="s">
        <v>8126</v>
      </c>
      <c r="CMS1" s="24" t="s">
        <v>8127</v>
      </c>
      <c r="CMT1" s="24" t="s">
        <v>8128</v>
      </c>
      <c r="CMU1" s="24" t="s">
        <v>8129</v>
      </c>
      <c r="CMV1" s="24" t="s">
        <v>8130</v>
      </c>
      <c r="CMW1" s="24" t="s">
        <v>8131</v>
      </c>
      <c r="CMX1" s="24" t="s">
        <v>8132</v>
      </c>
      <c r="CMY1" s="24" t="s">
        <v>8133</v>
      </c>
      <c r="CMZ1" s="24" t="s">
        <v>8134</v>
      </c>
      <c r="CNA1" s="24" t="s">
        <v>8135</v>
      </c>
      <c r="CNB1" s="24" t="s">
        <v>8136</v>
      </c>
      <c r="CNC1" s="24" t="s">
        <v>8137</v>
      </c>
      <c r="CND1" s="24" t="s">
        <v>8138</v>
      </c>
      <c r="CNE1" s="24" t="s">
        <v>8139</v>
      </c>
      <c r="CNF1" s="24" t="s">
        <v>8140</v>
      </c>
      <c r="CNG1" s="24" t="s">
        <v>8141</v>
      </c>
      <c r="CNH1" s="24" t="s">
        <v>8142</v>
      </c>
      <c r="CNI1" s="24" t="s">
        <v>8143</v>
      </c>
      <c r="CNJ1" s="24" t="s">
        <v>8144</v>
      </c>
      <c r="CNK1" s="24" t="s">
        <v>8145</v>
      </c>
      <c r="CNL1" s="24" t="s">
        <v>8146</v>
      </c>
      <c r="CNM1" s="24" t="s">
        <v>8147</v>
      </c>
      <c r="CNN1" s="24" t="s">
        <v>8148</v>
      </c>
      <c r="CNO1" s="24" t="s">
        <v>8149</v>
      </c>
      <c r="CNP1" s="24" t="s">
        <v>8150</v>
      </c>
      <c r="CNQ1" s="24" t="s">
        <v>8151</v>
      </c>
      <c r="CNR1" s="24" t="s">
        <v>8152</v>
      </c>
      <c r="CNS1" s="24" t="s">
        <v>8153</v>
      </c>
      <c r="CNT1" s="24" t="s">
        <v>8154</v>
      </c>
      <c r="CNU1" s="24" t="s">
        <v>8155</v>
      </c>
      <c r="CNV1" s="24" t="s">
        <v>8156</v>
      </c>
      <c r="CNW1" s="24" t="s">
        <v>8157</v>
      </c>
      <c r="CNX1" s="24" t="s">
        <v>8158</v>
      </c>
      <c r="CNY1" s="24" t="s">
        <v>8159</v>
      </c>
      <c r="CNZ1" s="24" t="s">
        <v>8160</v>
      </c>
      <c r="COA1" s="24" t="s">
        <v>8161</v>
      </c>
      <c r="COB1" s="24" t="s">
        <v>8162</v>
      </c>
      <c r="COC1" s="24" t="s">
        <v>8163</v>
      </c>
      <c r="COD1" s="24" t="s">
        <v>8164</v>
      </c>
      <c r="COE1" s="24" t="s">
        <v>8165</v>
      </c>
      <c r="COF1" s="24" t="s">
        <v>8166</v>
      </c>
      <c r="COG1" s="24" t="s">
        <v>8167</v>
      </c>
      <c r="COH1" s="24" t="s">
        <v>8168</v>
      </c>
      <c r="COI1" s="24" t="s">
        <v>8169</v>
      </c>
      <c r="COJ1" s="24" t="s">
        <v>8170</v>
      </c>
      <c r="COK1" s="24" t="s">
        <v>8171</v>
      </c>
      <c r="COL1" s="24" t="s">
        <v>8172</v>
      </c>
      <c r="COM1" s="24" t="s">
        <v>8173</v>
      </c>
      <c r="CON1" s="24" t="s">
        <v>8174</v>
      </c>
      <c r="COO1" s="24" t="s">
        <v>8175</v>
      </c>
      <c r="COP1" s="24" t="s">
        <v>8176</v>
      </c>
      <c r="COQ1" s="24" t="s">
        <v>8177</v>
      </c>
      <c r="COR1" s="24" t="s">
        <v>8178</v>
      </c>
      <c r="COS1" s="24" t="s">
        <v>8179</v>
      </c>
      <c r="COT1" s="24" t="s">
        <v>8180</v>
      </c>
      <c r="COU1" s="24" t="s">
        <v>8181</v>
      </c>
      <c r="COV1" s="24" t="s">
        <v>8182</v>
      </c>
      <c r="COW1" s="24" t="s">
        <v>8183</v>
      </c>
      <c r="COX1" s="24" t="s">
        <v>8184</v>
      </c>
      <c r="COY1" s="24" t="s">
        <v>8185</v>
      </c>
      <c r="COZ1" s="24" t="s">
        <v>8186</v>
      </c>
      <c r="CPA1" s="24" t="s">
        <v>8187</v>
      </c>
      <c r="CPB1" s="24" t="s">
        <v>8188</v>
      </c>
      <c r="CPC1" s="24" t="s">
        <v>8189</v>
      </c>
      <c r="CPD1" s="24" t="s">
        <v>8190</v>
      </c>
      <c r="CPE1" s="24" t="s">
        <v>8191</v>
      </c>
      <c r="CPF1" s="24" t="s">
        <v>8192</v>
      </c>
      <c r="CPG1" s="24" t="s">
        <v>8193</v>
      </c>
      <c r="CPH1" s="24" t="s">
        <v>8194</v>
      </c>
      <c r="CPI1" s="24" t="s">
        <v>8195</v>
      </c>
      <c r="CPJ1" s="24" t="s">
        <v>8196</v>
      </c>
      <c r="CPK1" s="24" t="s">
        <v>8197</v>
      </c>
      <c r="CPL1" s="24" t="s">
        <v>8198</v>
      </c>
      <c r="CPM1" s="24" t="s">
        <v>8199</v>
      </c>
      <c r="CPN1" s="24" t="s">
        <v>8200</v>
      </c>
      <c r="CPO1" s="24" t="s">
        <v>8201</v>
      </c>
      <c r="CPP1" s="24" t="s">
        <v>8202</v>
      </c>
      <c r="CPQ1" s="24" t="s">
        <v>8203</v>
      </c>
      <c r="CPR1" s="24" t="s">
        <v>8204</v>
      </c>
      <c r="CPS1" s="24" t="s">
        <v>8205</v>
      </c>
      <c r="CPT1" s="24" t="s">
        <v>8206</v>
      </c>
      <c r="CPU1" s="24" t="s">
        <v>8207</v>
      </c>
      <c r="CPV1" s="24" t="s">
        <v>8208</v>
      </c>
      <c r="CPW1" s="24" t="s">
        <v>8209</v>
      </c>
      <c r="CPX1" s="55" t="s">
        <v>8210</v>
      </c>
      <c r="CPY1" s="24" t="s">
        <v>8211</v>
      </c>
      <c r="CPZ1" s="55" t="s">
        <v>8212</v>
      </c>
      <c r="CQA1" s="24" t="s">
        <v>8213</v>
      </c>
      <c r="CQB1" s="23" t="s">
        <v>8214</v>
      </c>
      <c r="CQC1" s="23" t="s">
        <v>8215</v>
      </c>
      <c r="CQD1" s="23" t="s">
        <v>8216</v>
      </c>
      <c r="CQE1" s="23" t="s">
        <v>8217</v>
      </c>
      <c r="CQF1" s="23" t="s">
        <v>8218</v>
      </c>
      <c r="CQG1" s="55" t="s">
        <v>8219</v>
      </c>
      <c r="CQH1" s="55" t="s">
        <v>8220</v>
      </c>
      <c r="CQI1" s="55" t="s">
        <v>8221</v>
      </c>
      <c r="CQJ1" s="55" t="s">
        <v>8222</v>
      </c>
      <c r="CQK1" s="55" t="s">
        <v>8223</v>
      </c>
      <c r="CQL1" s="23" t="s">
        <v>8224</v>
      </c>
      <c r="CQM1" s="23" t="s">
        <v>8225</v>
      </c>
      <c r="CQN1" s="23" t="s">
        <v>8226</v>
      </c>
      <c r="CQO1" s="23" t="s">
        <v>8227</v>
      </c>
      <c r="CQP1" s="55" t="s">
        <v>8228</v>
      </c>
      <c r="CQQ1" s="23" t="s">
        <v>8229</v>
      </c>
      <c r="CQR1" s="23" t="s">
        <v>8230</v>
      </c>
      <c r="CQS1" s="23" t="s">
        <v>8231</v>
      </c>
      <c r="CQT1" s="23" t="s">
        <v>8232</v>
      </c>
      <c r="CQU1" s="23" t="s">
        <v>8233</v>
      </c>
      <c r="CQV1" s="23" t="s">
        <v>8234</v>
      </c>
      <c r="CQW1" s="23" t="s">
        <v>8235</v>
      </c>
      <c r="CQX1" s="23" t="s">
        <v>8236</v>
      </c>
      <c r="CQY1" s="23" t="s">
        <v>8237</v>
      </c>
      <c r="CQZ1" s="23" t="s">
        <v>8238</v>
      </c>
      <c r="CRA1" s="23" t="s">
        <v>8239</v>
      </c>
      <c r="CRB1" s="23" t="s">
        <v>8240</v>
      </c>
      <c r="CRC1" s="23" t="s">
        <v>8241</v>
      </c>
      <c r="CRD1" s="23" t="s">
        <v>8242</v>
      </c>
      <c r="CRE1" s="24" t="s">
        <v>8243</v>
      </c>
    </row>
    <row r="2" spans="1:2501" s="22" customFormat="1" ht="76.5" x14ac:dyDescent="0.2">
      <c r="A2" s="22" t="s">
        <v>116</v>
      </c>
      <c r="B2" s="73" t="s">
        <v>10031</v>
      </c>
      <c r="C2" s="73" t="s">
        <v>10032</v>
      </c>
      <c r="D2" s="73" t="s">
        <v>10033</v>
      </c>
      <c r="E2" s="73" t="s">
        <v>10034</v>
      </c>
      <c r="F2" s="74" t="s">
        <v>10035</v>
      </c>
      <c r="G2" s="74" t="s">
        <v>10036</v>
      </c>
      <c r="H2" s="74" t="s">
        <v>10037</v>
      </c>
      <c r="I2" s="74" t="s">
        <v>10038</v>
      </c>
      <c r="J2" s="74" t="s">
        <v>10039</v>
      </c>
      <c r="K2" s="74" t="s">
        <v>10040</v>
      </c>
      <c r="L2" s="74" t="s">
        <v>10041</v>
      </c>
      <c r="M2" s="73" t="s">
        <v>10042</v>
      </c>
      <c r="N2" s="23" t="s">
        <v>10043</v>
      </c>
      <c r="O2" s="23" t="s">
        <v>10044</v>
      </c>
      <c r="P2" s="23" t="s">
        <v>10045</v>
      </c>
      <c r="Q2" s="23" t="s">
        <v>10046</v>
      </c>
      <c r="R2" s="51" t="s">
        <v>10047</v>
      </c>
      <c r="S2" s="51" t="s">
        <v>10048</v>
      </c>
      <c r="T2" s="51" t="s">
        <v>10049</v>
      </c>
      <c r="U2" s="51" t="s">
        <v>10050</v>
      </c>
      <c r="V2" s="51" t="s">
        <v>10051</v>
      </c>
      <c r="W2" s="51" t="s">
        <v>10052</v>
      </c>
      <c r="X2" s="51" t="s">
        <v>10053</v>
      </c>
      <c r="Y2" s="23" t="s">
        <v>10054</v>
      </c>
      <c r="Z2" s="73" t="s">
        <v>10055</v>
      </c>
      <c r="AA2" s="73" t="s">
        <v>10056</v>
      </c>
      <c r="AB2" s="73" t="s">
        <v>10057</v>
      </c>
      <c r="AC2" s="55" t="s">
        <v>10058</v>
      </c>
      <c r="AD2" s="55" t="s">
        <v>10059</v>
      </c>
      <c r="AE2" s="55" t="s">
        <v>10060</v>
      </c>
      <c r="AF2" s="55" t="s">
        <v>10061</v>
      </c>
      <c r="AG2" s="55" t="s">
        <v>10062</v>
      </c>
      <c r="AH2" s="55" t="s">
        <v>10063</v>
      </c>
      <c r="AI2" s="23" t="s">
        <v>14052</v>
      </c>
      <c r="AJ2" s="77" t="s">
        <v>14053</v>
      </c>
      <c r="AK2" s="77" t="s">
        <v>14054</v>
      </c>
      <c r="AL2" s="77" t="s">
        <v>14055</v>
      </c>
      <c r="AM2" s="77" t="s">
        <v>14056</v>
      </c>
      <c r="AN2" s="73" t="s">
        <v>10064</v>
      </c>
      <c r="AO2" s="73" t="s">
        <v>10065</v>
      </c>
      <c r="AP2" s="73" t="s">
        <v>10066</v>
      </c>
      <c r="AQ2" s="73" t="s">
        <v>10067</v>
      </c>
      <c r="AR2" s="73" t="s">
        <v>10068</v>
      </c>
      <c r="AS2" s="73" t="s">
        <v>10069</v>
      </c>
      <c r="AT2" s="73" t="s">
        <v>10070</v>
      </c>
      <c r="AU2" s="73" t="s">
        <v>10071</v>
      </c>
      <c r="AV2" s="73" t="s">
        <v>10072</v>
      </c>
      <c r="AW2" s="73" t="s">
        <v>10073</v>
      </c>
      <c r="AX2" s="73" t="s">
        <v>10074</v>
      </c>
      <c r="AY2" s="73" t="s">
        <v>10075</v>
      </c>
      <c r="AZ2" s="73" t="s">
        <v>14081</v>
      </c>
      <c r="BA2" s="73" t="s">
        <v>14268</v>
      </c>
      <c r="BB2" s="73" t="s">
        <v>10076</v>
      </c>
      <c r="BC2" s="73" t="s">
        <v>10077</v>
      </c>
      <c r="BD2" s="73" t="s">
        <v>10078</v>
      </c>
      <c r="BE2" s="73" t="s">
        <v>10079</v>
      </c>
      <c r="BF2" s="73" t="s">
        <v>10080</v>
      </c>
      <c r="BG2" s="73" t="s">
        <v>10081</v>
      </c>
      <c r="BH2" s="73" t="s">
        <v>10082</v>
      </c>
      <c r="BI2" s="73" t="s">
        <v>10083</v>
      </c>
      <c r="BJ2" s="73" t="s">
        <v>10084</v>
      </c>
      <c r="BK2" s="73" t="s">
        <v>10085</v>
      </c>
      <c r="BL2" s="73" t="s">
        <v>10086</v>
      </c>
      <c r="BM2" s="73" t="s">
        <v>14082</v>
      </c>
      <c r="BN2" s="73" t="s">
        <v>10087</v>
      </c>
      <c r="BO2" s="73" t="s">
        <v>10088</v>
      </c>
      <c r="BP2" s="73" t="s">
        <v>10089</v>
      </c>
      <c r="BQ2" s="73" t="s">
        <v>10090</v>
      </c>
      <c r="BR2" s="73" t="s">
        <v>10091</v>
      </c>
      <c r="BS2" s="73" t="s">
        <v>10092</v>
      </c>
      <c r="BT2" s="73" t="s">
        <v>10093</v>
      </c>
      <c r="BU2" s="73" t="s">
        <v>10094</v>
      </c>
      <c r="BV2" s="73" t="s">
        <v>10095</v>
      </c>
      <c r="BW2" s="73" t="s">
        <v>10096</v>
      </c>
      <c r="BX2" s="77" t="s">
        <v>10097</v>
      </c>
      <c r="BY2" s="73" t="s">
        <v>10098</v>
      </c>
      <c r="BZ2" s="73" t="s">
        <v>14083</v>
      </c>
      <c r="CA2" s="73" t="s">
        <v>10099</v>
      </c>
      <c r="CB2" s="73" t="s">
        <v>10100</v>
      </c>
      <c r="CC2" s="73" t="s">
        <v>10101</v>
      </c>
      <c r="CD2" s="73" t="s">
        <v>10102</v>
      </c>
      <c r="CE2" s="73" t="s">
        <v>10103</v>
      </c>
      <c r="CF2" s="73" t="s">
        <v>10104</v>
      </c>
      <c r="CG2" s="73" t="s">
        <v>10105</v>
      </c>
      <c r="CH2" s="73" t="s">
        <v>10106</v>
      </c>
      <c r="CI2" s="73" t="s">
        <v>10107</v>
      </c>
      <c r="CJ2" s="73" t="s">
        <v>10108</v>
      </c>
      <c r="CK2" s="77" t="s">
        <v>10109</v>
      </c>
      <c r="CL2" s="73" t="s">
        <v>10110</v>
      </c>
      <c r="CM2" s="73" t="s">
        <v>14084</v>
      </c>
      <c r="CN2" s="73" t="s">
        <v>10111</v>
      </c>
      <c r="CO2" s="73" t="s">
        <v>10112</v>
      </c>
      <c r="CP2" s="73" t="s">
        <v>10113</v>
      </c>
      <c r="CQ2" s="73" t="s">
        <v>10114</v>
      </c>
      <c r="CR2" s="73" t="s">
        <v>10115</v>
      </c>
      <c r="CS2" s="73" t="s">
        <v>10116</v>
      </c>
      <c r="CT2" s="73" t="s">
        <v>10117</v>
      </c>
      <c r="CU2" s="73" t="s">
        <v>10118</v>
      </c>
      <c r="CV2" s="77" t="s">
        <v>10119</v>
      </c>
      <c r="CW2" s="77" t="s">
        <v>10120</v>
      </c>
      <c r="CX2" s="77" t="s">
        <v>10121</v>
      </c>
      <c r="CY2" s="77" t="s">
        <v>10122</v>
      </c>
      <c r="CZ2" s="77" t="s">
        <v>14085</v>
      </c>
      <c r="DA2" s="77" t="s">
        <v>10123</v>
      </c>
      <c r="DB2" s="83" t="s">
        <v>10124</v>
      </c>
      <c r="DC2" s="77" t="s">
        <v>10125</v>
      </c>
      <c r="DD2" s="77" t="s">
        <v>10126</v>
      </c>
      <c r="DE2" s="77" t="s">
        <v>10127</v>
      </c>
      <c r="DF2" s="77" t="s">
        <v>10128</v>
      </c>
      <c r="DG2" s="77" t="s">
        <v>10129</v>
      </c>
      <c r="DH2" s="77" t="s">
        <v>10130</v>
      </c>
      <c r="DI2" s="77" t="s">
        <v>10131</v>
      </c>
      <c r="DJ2" s="77" t="s">
        <v>10132</v>
      </c>
      <c r="DK2" s="77" t="s">
        <v>10133</v>
      </c>
      <c r="DL2" s="77" t="s">
        <v>10134</v>
      </c>
      <c r="DM2" s="77" t="s">
        <v>14086</v>
      </c>
      <c r="DN2" s="77" t="s">
        <v>10135</v>
      </c>
      <c r="DO2" s="23" t="s">
        <v>10136</v>
      </c>
      <c r="DP2" s="73" t="s">
        <v>10137</v>
      </c>
      <c r="DQ2" s="73" t="s">
        <v>10138</v>
      </c>
      <c r="DR2" s="23" t="s">
        <v>10139</v>
      </c>
      <c r="DS2" s="23" t="s">
        <v>10140</v>
      </c>
      <c r="DT2" s="73" t="s">
        <v>10141</v>
      </c>
      <c r="DU2" s="73" t="s">
        <v>14123</v>
      </c>
      <c r="DV2" s="55" t="s">
        <v>10142</v>
      </c>
      <c r="DW2" s="55" t="s">
        <v>10143</v>
      </c>
      <c r="DX2" s="55" t="s">
        <v>14124</v>
      </c>
      <c r="DY2" s="55" t="s">
        <v>10144</v>
      </c>
      <c r="DZ2" s="55" t="s">
        <v>10145</v>
      </c>
      <c r="EA2" s="55" t="s">
        <v>10146</v>
      </c>
      <c r="EB2" s="55" t="s">
        <v>14269</v>
      </c>
      <c r="EC2" s="73" t="s">
        <v>10147</v>
      </c>
      <c r="ED2" s="73" t="s">
        <v>14166</v>
      </c>
      <c r="EE2" s="73" t="s">
        <v>14125</v>
      </c>
      <c r="EF2" s="73" t="s">
        <v>14167</v>
      </c>
      <c r="EG2" s="73" t="s">
        <v>14168</v>
      </c>
      <c r="EH2" s="73" t="s">
        <v>14169</v>
      </c>
      <c r="EI2" s="73" t="s">
        <v>14170</v>
      </c>
      <c r="EJ2" s="55" t="s">
        <v>10148</v>
      </c>
      <c r="EK2" s="55" t="s">
        <v>10149</v>
      </c>
      <c r="EL2" s="55" t="s">
        <v>14126</v>
      </c>
      <c r="EM2" s="55" t="s">
        <v>10150</v>
      </c>
      <c r="EN2" s="55" t="s">
        <v>10151</v>
      </c>
      <c r="EO2" s="55" t="s">
        <v>10152</v>
      </c>
      <c r="EP2" s="55" t="s">
        <v>14270</v>
      </c>
      <c r="EQ2" s="73" t="s">
        <v>10153</v>
      </c>
      <c r="ER2" s="73" t="s">
        <v>13427</v>
      </c>
      <c r="ES2" s="73" t="s">
        <v>14127</v>
      </c>
      <c r="ET2" s="73" t="s">
        <v>13428</v>
      </c>
      <c r="EU2" s="73" t="s">
        <v>13429</v>
      </c>
      <c r="EV2" s="73" t="s">
        <v>10154</v>
      </c>
      <c r="EW2" s="73" t="s">
        <v>13430</v>
      </c>
      <c r="EX2" s="23" t="s">
        <v>10155</v>
      </c>
      <c r="EY2" s="23" t="s">
        <v>10156</v>
      </c>
      <c r="EZ2" s="23" t="s">
        <v>14128</v>
      </c>
      <c r="FA2" s="23" t="s">
        <v>10157</v>
      </c>
      <c r="FB2" s="23" t="s">
        <v>10158</v>
      </c>
      <c r="FC2" s="23" t="s">
        <v>10159</v>
      </c>
      <c r="FD2" s="23" t="s">
        <v>10160</v>
      </c>
      <c r="FE2" s="73" t="s">
        <v>10161</v>
      </c>
      <c r="FF2" s="73" t="s">
        <v>10162</v>
      </c>
      <c r="FG2" s="73" t="s">
        <v>14129</v>
      </c>
      <c r="FH2" s="73" t="s">
        <v>10163</v>
      </c>
      <c r="FI2" s="73" t="s">
        <v>10164</v>
      </c>
      <c r="FJ2" s="73" t="s">
        <v>10165</v>
      </c>
      <c r="FK2" s="73" t="s">
        <v>10166</v>
      </c>
      <c r="FL2" s="23" t="s">
        <v>10167</v>
      </c>
      <c r="FM2" s="23" t="s">
        <v>10168</v>
      </c>
      <c r="FN2" s="23" t="s">
        <v>10169</v>
      </c>
      <c r="FO2" s="23" t="s">
        <v>10170</v>
      </c>
      <c r="FP2" s="23" t="s">
        <v>10171</v>
      </c>
      <c r="FQ2" s="23" t="s">
        <v>10172</v>
      </c>
      <c r="FR2" s="23" t="s">
        <v>10173</v>
      </c>
      <c r="FS2" s="23" t="s">
        <v>10174</v>
      </c>
      <c r="FT2" s="23" t="s">
        <v>10175</v>
      </c>
      <c r="FU2" s="23" t="s">
        <v>10176</v>
      </c>
      <c r="FV2" s="73" t="s">
        <v>10177</v>
      </c>
      <c r="FW2" s="73" t="s">
        <v>10178</v>
      </c>
      <c r="FX2" s="73" t="s">
        <v>10179</v>
      </c>
      <c r="FY2" s="73" t="s">
        <v>10180</v>
      </c>
      <c r="FZ2" s="73" t="s">
        <v>10181</v>
      </c>
      <c r="GA2" s="73" t="s">
        <v>10182</v>
      </c>
      <c r="GB2" s="73" t="s">
        <v>10183</v>
      </c>
      <c r="GC2" s="73" t="s">
        <v>10184</v>
      </c>
      <c r="GD2" s="73" t="s">
        <v>10185</v>
      </c>
      <c r="GE2" s="55" t="s">
        <v>10186</v>
      </c>
      <c r="GF2" s="55" t="s">
        <v>10187</v>
      </c>
      <c r="GG2" s="55" t="s">
        <v>10188</v>
      </c>
      <c r="GH2" s="55" t="s">
        <v>10189</v>
      </c>
      <c r="GI2" s="55" t="s">
        <v>10190</v>
      </c>
      <c r="GJ2" s="55" t="s">
        <v>10191</v>
      </c>
      <c r="GK2" s="55" t="s">
        <v>10192</v>
      </c>
      <c r="GL2" s="55" t="s">
        <v>10193</v>
      </c>
      <c r="GM2" s="55" t="s">
        <v>10194</v>
      </c>
      <c r="GN2" s="55" t="s">
        <v>10195</v>
      </c>
      <c r="GO2" s="55" t="s">
        <v>10196</v>
      </c>
      <c r="GP2" s="55" t="s">
        <v>10197</v>
      </c>
      <c r="GQ2" s="55" t="s">
        <v>10198</v>
      </c>
      <c r="GR2" s="55" t="s">
        <v>10199</v>
      </c>
      <c r="GS2" s="55" t="s">
        <v>10200</v>
      </c>
      <c r="GT2" s="55" t="s">
        <v>10201</v>
      </c>
      <c r="GU2" s="55" t="s">
        <v>10202</v>
      </c>
      <c r="GV2" s="55" t="s">
        <v>10203</v>
      </c>
      <c r="GW2" s="55" t="s">
        <v>10204</v>
      </c>
      <c r="GX2" s="55" t="s">
        <v>10205</v>
      </c>
      <c r="GY2" s="55" t="s">
        <v>10206</v>
      </c>
      <c r="GZ2" s="55" t="s">
        <v>10207</v>
      </c>
      <c r="HA2" s="55" t="s">
        <v>10208</v>
      </c>
      <c r="HB2" s="55" t="s">
        <v>10209</v>
      </c>
      <c r="HC2" s="55" t="s">
        <v>10210</v>
      </c>
      <c r="HD2" s="55" t="s">
        <v>10211</v>
      </c>
      <c r="HE2" s="55" t="s">
        <v>10212</v>
      </c>
      <c r="HF2" s="55" t="s">
        <v>10213</v>
      </c>
      <c r="HG2" s="73" t="s">
        <v>10214</v>
      </c>
      <c r="HH2" s="73" t="s">
        <v>10215</v>
      </c>
      <c r="HI2" s="73" t="s">
        <v>10216</v>
      </c>
      <c r="HJ2" s="73" t="s">
        <v>10217</v>
      </c>
      <c r="HK2" s="73" t="s">
        <v>10218</v>
      </c>
      <c r="HL2" s="73" t="s">
        <v>10219</v>
      </c>
      <c r="HM2" s="73" t="s">
        <v>10220</v>
      </c>
      <c r="HN2" s="55" t="s">
        <v>10221</v>
      </c>
      <c r="HO2" s="55" t="s">
        <v>10222</v>
      </c>
      <c r="HP2" s="55" t="s">
        <v>10223</v>
      </c>
      <c r="HQ2" s="55" t="s">
        <v>10224</v>
      </c>
      <c r="HR2" s="55" t="s">
        <v>10225</v>
      </c>
      <c r="HS2" s="55" t="s">
        <v>10226</v>
      </c>
      <c r="HT2" s="55" t="s">
        <v>10227</v>
      </c>
      <c r="HU2" s="55" t="s">
        <v>10228</v>
      </c>
      <c r="HV2" s="55" t="s">
        <v>10229</v>
      </c>
      <c r="HW2" s="55" t="s">
        <v>10230</v>
      </c>
      <c r="HX2" s="55" t="s">
        <v>10231</v>
      </c>
      <c r="HY2" s="55" t="s">
        <v>10232</v>
      </c>
      <c r="HZ2" s="55" t="s">
        <v>10233</v>
      </c>
      <c r="IA2" s="55" t="s">
        <v>10234</v>
      </c>
      <c r="IB2" s="73" t="s">
        <v>10235</v>
      </c>
      <c r="IC2" s="73" t="s">
        <v>10236</v>
      </c>
      <c r="ID2" s="73" t="s">
        <v>10237</v>
      </c>
      <c r="IE2" s="73" t="s">
        <v>10238</v>
      </c>
      <c r="IF2" s="73" t="s">
        <v>10239</v>
      </c>
      <c r="IG2" s="73" t="s">
        <v>10240</v>
      </c>
      <c r="IH2" s="73" t="s">
        <v>10241</v>
      </c>
      <c r="II2" s="55" t="s">
        <v>10242</v>
      </c>
      <c r="IJ2" s="55" t="s">
        <v>10243</v>
      </c>
      <c r="IK2" s="55" t="s">
        <v>10244</v>
      </c>
      <c r="IL2" s="55" t="s">
        <v>10245</v>
      </c>
      <c r="IM2" s="55" t="s">
        <v>10246</v>
      </c>
      <c r="IN2" s="55" t="s">
        <v>10247</v>
      </c>
      <c r="IO2" s="55" t="s">
        <v>10248</v>
      </c>
      <c r="IP2" s="55" t="s">
        <v>10249</v>
      </c>
      <c r="IQ2" s="55" t="s">
        <v>10250</v>
      </c>
      <c r="IR2" s="55" t="s">
        <v>10251</v>
      </c>
      <c r="IS2" s="55" t="s">
        <v>10252</v>
      </c>
      <c r="IT2" s="55" t="s">
        <v>10253</v>
      </c>
      <c r="IU2" s="55" t="s">
        <v>10254</v>
      </c>
      <c r="IV2" s="55" t="s">
        <v>10255</v>
      </c>
      <c r="IW2" s="73" t="s">
        <v>10256</v>
      </c>
      <c r="IX2" s="73" t="s">
        <v>10257</v>
      </c>
      <c r="IY2" s="73" t="s">
        <v>10258</v>
      </c>
      <c r="IZ2" s="73" t="s">
        <v>10259</v>
      </c>
      <c r="JA2" s="73" t="s">
        <v>10260</v>
      </c>
      <c r="JB2" s="73" t="s">
        <v>10261</v>
      </c>
      <c r="JC2" s="73" t="s">
        <v>10262</v>
      </c>
      <c r="JD2" s="55" t="s">
        <v>10263</v>
      </c>
      <c r="JE2" s="55" t="s">
        <v>10264</v>
      </c>
      <c r="JF2" s="55" t="s">
        <v>10265</v>
      </c>
      <c r="JG2" s="55" t="s">
        <v>10266</v>
      </c>
      <c r="JH2" s="55" t="s">
        <v>10267</v>
      </c>
      <c r="JI2" s="55" t="s">
        <v>10268</v>
      </c>
      <c r="JJ2" s="55" t="s">
        <v>10269</v>
      </c>
      <c r="JK2" s="55" t="s">
        <v>10270</v>
      </c>
      <c r="JL2" s="55" t="s">
        <v>10271</v>
      </c>
      <c r="JM2" s="55" t="s">
        <v>10272</v>
      </c>
      <c r="JN2" s="55" t="s">
        <v>10273</v>
      </c>
      <c r="JO2" s="55" t="s">
        <v>10274</v>
      </c>
      <c r="JP2" s="55" t="s">
        <v>10275</v>
      </c>
      <c r="JQ2" s="55" t="s">
        <v>10276</v>
      </c>
      <c r="JR2" s="73" t="s">
        <v>10277</v>
      </c>
      <c r="JS2" s="73" t="s">
        <v>10278</v>
      </c>
      <c r="JT2" s="73" t="s">
        <v>10279</v>
      </c>
      <c r="JU2" s="73" t="s">
        <v>10280</v>
      </c>
      <c r="JV2" s="73" t="s">
        <v>10281</v>
      </c>
      <c r="JW2" s="73" t="s">
        <v>10282</v>
      </c>
      <c r="JX2" s="73" t="s">
        <v>10283</v>
      </c>
      <c r="JY2" s="55" t="s">
        <v>10284</v>
      </c>
      <c r="JZ2" s="55" t="s">
        <v>10285</v>
      </c>
      <c r="KA2" s="55" t="s">
        <v>10286</v>
      </c>
      <c r="KB2" s="55" t="s">
        <v>10287</v>
      </c>
      <c r="KC2" s="55" t="s">
        <v>10288</v>
      </c>
      <c r="KD2" s="55" t="s">
        <v>10289</v>
      </c>
      <c r="KE2" s="55" t="s">
        <v>10290</v>
      </c>
      <c r="KF2" s="55" t="s">
        <v>10291</v>
      </c>
      <c r="KG2" s="55" t="s">
        <v>10292</v>
      </c>
      <c r="KH2" s="55" t="s">
        <v>10293</v>
      </c>
      <c r="KI2" s="55" t="s">
        <v>10294</v>
      </c>
      <c r="KJ2" s="55" t="s">
        <v>10295</v>
      </c>
      <c r="KK2" s="55" t="s">
        <v>10296</v>
      </c>
      <c r="KL2" s="55" t="s">
        <v>10297</v>
      </c>
      <c r="KM2" s="73" t="s">
        <v>10298</v>
      </c>
      <c r="KN2" s="23" t="s">
        <v>10299</v>
      </c>
      <c r="KO2" s="73" t="s">
        <v>10300</v>
      </c>
      <c r="KP2" s="23" t="s">
        <v>10301</v>
      </c>
      <c r="KQ2" s="23" t="s">
        <v>10302</v>
      </c>
      <c r="KR2" s="23" t="s">
        <v>10303</v>
      </c>
      <c r="KS2" s="77" t="s">
        <v>10304</v>
      </c>
      <c r="KT2" s="77" t="s">
        <v>10305</v>
      </c>
      <c r="KU2" s="77" t="s">
        <v>10306</v>
      </c>
      <c r="KV2" s="77" t="s">
        <v>10307</v>
      </c>
      <c r="KW2" s="77" t="s">
        <v>10308</v>
      </c>
      <c r="KX2" s="77" t="s">
        <v>10309</v>
      </c>
      <c r="KY2" s="73" t="s">
        <v>10310</v>
      </c>
      <c r="KZ2" s="55" t="s">
        <v>14057</v>
      </c>
      <c r="LA2" s="55" t="s">
        <v>14058</v>
      </c>
      <c r="LB2" s="55" t="s">
        <v>14059</v>
      </c>
      <c r="LC2" s="55" t="s">
        <v>14060</v>
      </c>
      <c r="LD2" s="23" t="s">
        <v>10311</v>
      </c>
      <c r="LE2" s="23" t="s">
        <v>10312</v>
      </c>
      <c r="LF2" s="23" t="s">
        <v>10313</v>
      </c>
      <c r="LG2" s="23" t="s">
        <v>10314</v>
      </c>
      <c r="LH2" s="23" t="s">
        <v>10315</v>
      </c>
      <c r="LI2" s="23" t="s">
        <v>10316</v>
      </c>
      <c r="LJ2" s="23" t="s">
        <v>10317</v>
      </c>
      <c r="LK2" s="23" t="s">
        <v>10318</v>
      </c>
      <c r="LL2" s="23" t="s">
        <v>10319</v>
      </c>
      <c r="LM2" s="23" t="s">
        <v>10320</v>
      </c>
      <c r="LN2" s="23" t="s">
        <v>10321</v>
      </c>
      <c r="LO2" s="23" t="s">
        <v>10322</v>
      </c>
      <c r="LP2" s="23" t="s">
        <v>14087</v>
      </c>
      <c r="LQ2" s="23" t="s">
        <v>10323</v>
      </c>
      <c r="LR2" s="23" t="s">
        <v>10324</v>
      </c>
      <c r="LS2" s="23" t="s">
        <v>10325</v>
      </c>
      <c r="LT2" s="23" t="s">
        <v>14271</v>
      </c>
      <c r="LU2" s="23" t="s">
        <v>14171</v>
      </c>
      <c r="LV2" s="23" t="s">
        <v>10326</v>
      </c>
      <c r="LW2" s="23" t="s">
        <v>10327</v>
      </c>
      <c r="LX2" s="23" t="s">
        <v>10328</v>
      </c>
      <c r="LY2" s="23" t="s">
        <v>10329</v>
      </c>
      <c r="LZ2" s="23" t="s">
        <v>14172</v>
      </c>
      <c r="MA2" s="23" t="s">
        <v>10330</v>
      </c>
      <c r="MB2" s="23" t="s">
        <v>10331</v>
      </c>
      <c r="MC2" s="23" t="s">
        <v>14088</v>
      </c>
      <c r="MD2" s="23" t="s">
        <v>10332</v>
      </c>
      <c r="ME2" s="23" t="s">
        <v>10333</v>
      </c>
      <c r="MF2" s="23" t="s">
        <v>10334</v>
      </c>
      <c r="MG2" s="23" t="s">
        <v>10335</v>
      </c>
      <c r="MH2" s="23" t="s">
        <v>10336</v>
      </c>
      <c r="MI2" s="23" t="s">
        <v>10337</v>
      </c>
      <c r="MJ2" s="23" t="s">
        <v>10338</v>
      </c>
      <c r="MK2" s="23" t="s">
        <v>10339</v>
      </c>
      <c r="ML2" s="23" t="s">
        <v>10340</v>
      </c>
      <c r="MM2" s="23" t="s">
        <v>10341</v>
      </c>
      <c r="MN2" s="23" t="s">
        <v>10342</v>
      </c>
      <c r="MO2" s="23" t="s">
        <v>10343</v>
      </c>
      <c r="MP2" s="23" t="s">
        <v>14089</v>
      </c>
      <c r="MQ2" s="23" t="s">
        <v>10344</v>
      </c>
      <c r="MR2" s="23" t="s">
        <v>10345</v>
      </c>
      <c r="MS2" s="23" t="s">
        <v>10346</v>
      </c>
      <c r="MT2" s="23" t="s">
        <v>10347</v>
      </c>
      <c r="MU2" s="23" t="s">
        <v>10348</v>
      </c>
      <c r="MV2" s="23" t="s">
        <v>10349</v>
      </c>
      <c r="MW2" s="23" t="s">
        <v>10350</v>
      </c>
      <c r="MX2" s="23" t="s">
        <v>10351</v>
      </c>
      <c r="MY2" s="23" t="s">
        <v>10352</v>
      </c>
      <c r="MZ2" s="23" t="s">
        <v>10353</v>
      </c>
      <c r="NA2" s="23" t="s">
        <v>10354</v>
      </c>
      <c r="NB2" s="23" t="s">
        <v>10355</v>
      </c>
      <c r="NC2" s="23" t="s">
        <v>14090</v>
      </c>
      <c r="ND2" s="23" t="s">
        <v>10356</v>
      </c>
      <c r="NE2" s="23" t="s">
        <v>10357</v>
      </c>
      <c r="NF2" s="23" t="s">
        <v>10358</v>
      </c>
      <c r="NG2" s="23" t="s">
        <v>10359</v>
      </c>
      <c r="NH2" s="23" t="s">
        <v>10360</v>
      </c>
      <c r="NI2" s="23" t="s">
        <v>10361</v>
      </c>
      <c r="NJ2" s="23" t="s">
        <v>10362</v>
      </c>
      <c r="NK2" s="23" t="s">
        <v>10363</v>
      </c>
      <c r="NL2" s="23" t="s">
        <v>10364</v>
      </c>
      <c r="NM2" s="23" t="s">
        <v>10365</v>
      </c>
      <c r="NN2" s="23" t="s">
        <v>10366</v>
      </c>
      <c r="NO2" s="23" t="s">
        <v>10367</v>
      </c>
      <c r="NP2" s="23" t="s">
        <v>14091</v>
      </c>
      <c r="NQ2" s="23" t="s">
        <v>10368</v>
      </c>
      <c r="NR2" s="23" t="s">
        <v>10369</v>
      </c>
      <c r="NS2" s="23" t="s">
        <v>10370</v>
      </c>
      <c r="NT2" s="23" t="s">
        <v>10371</v>
      </c>
      <c r="NU2" s="23" t="s">
        <v>10372</v>
      </c>
      <c r="NV2" s="23" t="s">
        <v>10373</v>
      </c>
      <c r="NW2" s="23" t="s">
        <v>10374</v>
      </c>
      <c r="NX2" s="23" t="s">
        <v>10375</v>
      </c>
      <c r="NY2" s="23" t="s">
        <v>10376</v>
      </c>
      <c r="NZ2" s="23" t="s">
        <v>10377</v>
      </c>
      <c r="OA2" s="55" t="s">
        <v>10378</v>
      </c>
      <c r="OB2" s="23" t="s">
        <v>10379</v>
      </c>
      <c r="OC2" s="23" t="s">
        <v>14092</v>
      </c>
      <c r="OD2" s="23" t="s">
        <v>10380</v>
      </c>
      <c r="OE2" s="73" t="s">
        <v>10381</v>
      </c>
      <c r="OF2" s="23" t="s">
        <v>10382</v>
      </c>
      <c r="OG2" s="23" t="s">
        <v>10383</v>
      </c>
      <c r="OH2" s="73" t="s">
        <v>10384</v>
      </c>
      <c r="OI2" s="73" t="s">
        <v>10385</v>
      </c>
      <c r="OJ2" s="23" t="s">
        <v>10386</v>
      </c>
      <c r="OK2" s="23" t="s">
        <v>10387</v>
      </c>
      <c r="OL2" s="77" t="s">
        <v>10388</v>
      </c>
      <c r="OM2" s="77" t="s">
        <v>10389</v>
      </c>
      <c r="ON2" s="77" t="s">
        <v>14130</v>
      </c>
      <c r="OO2" s="77" t="s">
        <v>10390</v>
      </c>
      <c r="OP2" s="77" t="s">
        <v>10391</v>
      </c>
      <c r="OQ2" s="77" t="s">
        <v>10392</v>
      </c>
      <c r="OR2" s="77" t="s">
        <v>14272</v>
      </c>
      <c r="OS2" s="23" t="s">
        <v>10393</v>
      </c>
      <c r="OT2" s="23" t="s">
        <v>14173</v>
      </c>
      <c r="OU2" s="23" t="s">
        <v>14131</v>
      </c>
      <c r="OV2" s="23" t="s">
        <v>14174</v>
      </c>
      <c r="OW2" s="23" t="s">
        <v>14175</v>
      </c>
      <c r="OX2" s="23" t="s">
        <v>14176</v>
      </c>
      <c r="OY2" s="23" t="s">
        <v>14177</v>
      </c>
      <c r="OZ2" s="77" t="s">
        <v>10394</v>
      </c>
      <c r="PA2" s="77" t="s">
        <v>10395</v>
      </c>
      <c r="PB2" s="77" t="s">
        <v>14132</v>
      </c>
      <c r="PC2" s="77" t="s">
        <v>10396</v>
      </c>
      <c r="PD2" s="77" t="s">
        <v>10397</v>
      </c>
      <c r="PE2" s="77" t="s">
        <v>10398</v>
      </c>
      <c r="PF2" s="77" t="s">
        <v>14273</v>
      </c>
      <c r="PG2" s="23" t="s">
        <v>10399</v>
      </c>
      <c r="PH2" s="23" t="s">
        <v>14178</v>
      </c>
      <c r="PI2" s="23" t="s">
        <v>14133</v>
      </c>
      <c r="PJ2" s="23" t="s">
        <v>14179</v>
      </c>
      <c r="PK2" s="23" t="s">
        <v>14180</v>
      </c>
      <c r="PL2" s="23" t="s">
        <v>10400</v>
      </c>
      <c r="PM2" s="23" t="s">
        <v>14181</v>
      </c>
      <c r="PN2" s="73" t="s">
        <v>10401</v>
      </c>
      <c r="PO2" s="73" t="s">
        <v>10402</v>
      </c>
      <c r="PP2" s="73" t="s">
        <v>14134</v>
      </c>
      <c r="PQ2" s="73" t="s">
        <v>10403</v>
      </c>
      <c r="PR2" s="73" t="s">
        <v>10404</v>
      </c>
      <c r="PS2" s="73" t="s">
        <v>10405</v>
      </c>
      <c r="PT2" s="73" t="s">
        <v>10406</v>
      </c>
      <c r="PU2" s="23" t="s">
        <v>10407</v>
      </c>
      <c r="PV2" s="23" t="s">
        <v>10408</v>
      </c>
      <c r="PW2" s="23" t="s">
        <v>14135</v>
      </c>
      <c r="PX2" s="23" t="s">
        <v>10409</v>
      </c>
      <c r="PY2" s="23" t="s">
        <v>10410</v>
      </c>
      <c r="PZ2" s="23" t="s">
        <v>10411</v>
      </c>
      <c r="QA2" s="23" t="s">
        <v>10412</v>
      </c>
      <c r="QB2" s="73" t="s">
        <v>10413</v>
      </c>
      <c r="QC2" s="73" t="s">
        <v>10414</v>
      </c>
      <c r="QD2" s="73" t="s">
        <v>10415</v>
      </c>
      <c r="QE2" s="73" t="s">
        <v>10416</v>
      </c>
      <c r="QF2" s="73" t="s">
        <v>10417</v>
      </c>
      <c r="QG2" s="73" t="s">
        <v>10418</v>
      </c>
      <c r="QH2" s="73" t="s">
        <v>10419</v>
      </c>
      <c r="QI2" s="73" t="s">
        <v>10420</v>
      </c>
      <c r="QJ2" s="73" t="s">
        <v>10421</v>
      </c>
      <c r="QK2" s="73" t="s">
        <v>10422</v>
      </c>
      <c r="QL2" s="23" t="s">
        <v>10423</v>
      </c>
      <c r="QM2" s="23" t="s">
        <v>10424</v>
      </c>
      <c r="QN2" s="23" t="s">
        <v>10425</v>
      </c>
      <c r="QO2" s="23" t="s">
        <v>10426</v>
      </c>
      <c r="QP2" s="23" t="s">
        <v>10427</v>
      </c>
      <c r="QQ2" s="23" t="s">
        <v>10428</v>
      </c>
      <c r="QR2" s="23" t="s">
        <v>10429</v>
      </c>
      <c r="QS2" s="23" t="s">
        <v>10430</v>
      </c>
      <c r="QT2" s="23" t="s">
        <v>10431</v>
      </c>
      <c r="QU2" s="77" t="s">
        <v>10432</v>
      </c>
      <c r="QV2" s="77" t="s">
        <v>10433</v>
      </c>
      <c r="QW2" s="77" t="s">
        <v>10434</v>
      </c>
      <c r="QX2" s="77" t="s">
        <v>10435</v>
      </c>
      <c r="QY2" s="77" t="s">
        <v>10436</v>
      </c>
      <c r="QZ2" s="77" t="s">
        <v>10437</v>
      </c>
      <c r="RA2" s="77" t="s">
        <v>10438</v>
      </c>
      <c r="RB2" s="77" t="s">
        <v>10439</v>
      </c>
      <c r="RC2" s="77" t="s">
        <v>10440</v>
      </c>
      <c r="RD2" s="77" t="s">
        <v>10441</v>
      </c>
      <c r="RE2" s="77" t="s">
        <v>10442</v>
      </c>
      <c r="RF2" s="77" t="s">
        <v>10443</v>
      </c>
      <c r="RG2" s="77" t="s">
        <v>10444</v>
      </c>
      <c r="RH2" s="77" t="s">
        <v>10445</v>
      </c>
      <c r="RI2" s="77" t="s">
        <v>10446</v>
      </c>
      <c r="RJ2" s="77" t="s">
        <v>10447</v>
      </c>
      <c r="RK2" s="77" t="s">
        <v>10448</v>
      </c>
      <c r="RL2" s="77" t="s">
        <v>10449</v>
      </c>
      <c r="RM2" s="77" t="s">
        <v>10450</v>
      </c>
      <c r="RN2" s="77" t="s">
        <v>10451</v>
      </c>
      <c r="RO2" s="77" t="s">
        <v>10452</v>
      </c>
      <c r="RP2" s="77" t="s">
        <v>10453</v>
      </c>
      <c r="RQ2" s="77" t="s">
        <v>10454</v>
      </c>
      <c r="RR2" s="77" t="s">
        <v>10455</v>
      </c>
      <c r="RS2" s="77" t="s">
        <v>10456</v>
      </c>
      <c r="RT2" s="77" t="s">
        <v>10457</v>
      </c>
      <c r="RU2" s="77" t="s">
        <v>10458</v>
      </c>
      <c r="RV2" s="77" t="s">
        <v>10459</v>
      </c>
      <c r="RW2" s="23" t="s">
        <v>10460</v>
      </c>
      <c r="RX2" s="23" t="s">
        <v>10461</v>
      </c>
      <c r="RY2" s="23" t="s">
        <v>10462</v>
      </c>
      <c r="RZ2" s="23" t="s">
        <v>10463</v>
      </c>
      <c r="SA2" s="23" t="s">
        <v>10464</v>
      </c>
      <c r="SB2" s="23" t="s">
        <v>10465</v>
      </c>
      <c r="SC2" s="23" t="s">
        <v>10466</v>
      </c>
      <c r="SD2" s="77" t="s">
        <v>10467</v>
      </c>
      <c r="SE2" s="77" t="s">
        <v>10468</v>
      </c>
      <c r="SF2" s="77" t="s">
        <v>10469</v>
      </c>
      <c r="SG2" s="77" t="s">
        <v>10470</v>
      </c>
      <c r="SH2" s="77" t="s">
        <v>10471</v>
      </c>
      <c r="SI2" s="77" t="s">
        <v>10472</v>
      </c>
      <c r="SJ2" s="77" t="s">
        <v>10473</v>
      </c>
      <c r="SK2" s="77" t="s">
        <v>10474</v>
      </c>
      <c r="SL2" s="77" t="s">
        <v>10475</v>
      </c>
      <c r="SM2" s="77" t="s">
        <v>10476</v>
      </c>
      <c r="SN2" s="77" t="s">
        <v>10477</v>
      </c>
      <c r="SO2" s="77" t="s">
        <v>10478</v>
      </c>
      <c r="SP2" s="77" t="s">
        <v>10479</v>
      </c>
      <c r="SQ2" s="77" t="s">
        <v>10480</v>
      </c>
      <c r="SR2" s="23" t="s">
        <v>10481</v>
      </c>
      <c r="SS2" s="23" t="s">
        <v>10482</v>
      </c>
      <c r="ST2" s="23" t="s">
        <v>10483</v>
      </c>
      <c r="SU2" s="23" t="s">
        <v>10484</v>
      </c>
      <c r="SV2" s="23" t="s">
        <v>10485</v>
      </c>
      <c r="SW2" s="23" t="s">
        <v>10486</v>
      </c>
      <c r="SX2" s="23" t="s">
        <v>10487</v>
      </c>
      <c r="SY2" s="77" t="s">
        <v>10488</v>
      </c>
      <c r="SZ2" s="77" t="s">
        <v>10489</v>
      </c>
      <c r="TA2" s="77" t="s">
        <v>10490</v>
      </c>
      <c r="TB2" s="77" t="s">
        <v>10491</v>
      </c>
      <c r="TC2" s="77" t="s">
        <v>10492</v>
      </c>
      <c r="TD2" s="77" t="s">
        <v>10493</v>
      </c>
      <c r="TE2" s="77" t="s">
        <v>10494</v>
      </c>
      <c r="TF2" s="77" t="s">
        <v>10495</v>
      </c>
      <c r="TG2" s="77" t="s">
        <v>10496</v>
      </c>
      <c r="TH2" s="77" t="s">
        <v>10497</v>
      </c>
      <c r="TI2" s="77" t="s">
        <v>10498</v>
      </c>
      <c r="TJ2" s="77" t="s">
        <v>10499</v>
      </c>
      <c r="TK2" s="77" t="s">
        <v>10500</v>
      </c>
      <c r="TL2" s="77" t="s">
        <v>10501</v>
      </c>
      <c r="TM2" s="23" t="s">
        <v>10502</v>
      </c>
      <c r="TN2" s="23" t="s">
        <v>10503</v>
      </c>
      <c r="TO2" s="23" t="s">
        <v>10504</v>
      </c>
      <c r="TP2" s="23" t="s">
        <v>10505</v>
      </c>
      <c r="TQ2" s="23" t="s">
        <v>10506</v>
      </c>
      <c r="TR2" s="23" t="s">
        <v>10507</v>
      </c>
      <c r="TS2" s="23" t="s">
        <v>10508</v>
      </c>
      <c r="TT2" s="77" t="s">
        <v>10509</v>
      </c>
      <c r="TU2" s="77" t="s">
        <v>10510</v>
      </c>
      <c r="TV2" s="77" t="s">
        <v>10511</v>
      </c>
      <c r="TW2" s="77" t="s">
        <v>10512</v>
      </c>
      <c r="TX2" s="77" t="s">
        <v>10513</v>
      </c>
      <c r="TY2" s="77" t="s">
        <v>10514</v>
      </c>
      <c r="TZ2" s="77" t="s">
        <v>10515</v>
      </c>
      <c r="UA2" s="77" t="s">
        <v>10516</v>
      </c>
      <c r="UB2" s="77" t="s">
        <v>10517</v>
      </c>
      <c r="UC2" s="77" t="s">
        <v>10518</v>
      </c>
      <c r="UD2" s="77" t="s">
        <v>10519</v>
      </c>
      <c r="UE2" s="77" t="s">
        <v>10520</v>
      </c>
      <c r="UF2" s="77" t="s">
        <v>10521</v>
      </c>
      <c r="UG2" s="77" t="s">
        <v>10522</v>
      </c>
      <c r="UH2" s="23" t="s">
        <v>10523</v>
      </c>
      <c r="UI2" s="23" t="s">
        <v>10524</v>
      </c>
      <c r="UJ2" s="23" t="s">
        <v>10525</v>
      </c>
      <c r="UK2" s="23" t="s">
        <v>10526</v>
      </c>
      <c r="UL2" s="23" t="s">
        <v>10527</v>
      </c>
      <c r="UM2" s="23" t="s">
        <v>10528</v>
      </c>
      <c r="UN2" s="23" t="s">
        <v>10529</v>
      </c>
      <c r="UO2" s="77" t="s">
        <v>10530</v>
      </c>
      <c r="UP2" s="77" t="s">
        <v>10531</v>
      </c>
      <c r="UQ2" s="77" t="s">
        <v>10532</v>
      </c>
      <c r="UR2" s="77" t="s">
        <v>10533</v>
      </c>
      <c r="US2" s="77" t="s">
        <v>10534</v>
      </c>
      <c r="UT2" s="77" t="s">
        <v>10535</v>
      </c>
      <c r="UU2" s="77" t="s">
        <v>10536</v>
      </c>
      <c r="UV2" s="77" t="s">
        <v>10537</v>
      </c>
      <c r="UW2" s="77" t="s">
        <v>10538</v>
      </c>
      <c r="UX2" s="77" t="s">
        <v>10539</v>
      </c>
      <c r="UY2" s="77" t="s">
        <v>10540</v>
      </c>
      <c r="UZ2" s="77" t="s">
        <v>10541</v>
      </c>
      <c r="VA2" s="77" t="s">
        <v>10542</v>
      </c>
      <c r="VB2" s="77" t="s">
        <v>10543</v>
      </c>
      <c r="VC2" s="23" t="s">
        <v>10544</v>
      </c>
      <c r="VD2" s="73" t="s">
        <v>10545</v>
      </c>
      <c r="VE2" s="23" t="s">
        <v>10546</v>
      </c>
      <c r="VF2" s="73" t="s">
        <v>10547</v>
      </c>
      <c r="VG2" s="73" t="s">
        <v>10548</v>
      </c>
      <c r="VH2" s="73" t="s">
        <v>10549</v>
      </c>
      <c r="VI2" s="55" t="s">
        <v>10550</v>
      </c>
      <c r="VJ2" s="55" t="s">
        <v>10551</v>
      </c>
      <c r="VK2" s="55" t="s">
        <v>10552</v>
      </c>
      <c r="VL2" s="55" t="s">
        <v>10553</v>
      </c>
      <c r="VM2" s="55" t="s">
        <v>10554</v>
      </c>
      <c r="VN2" s="55" t="s">
        <v>10555</v>
      </c>
      <c r="VO2" s="23" t="s">
        <v>10556</v>
      </c>
      <c r="VP2" s="77" t="s">
        <v>14061</v>
      </c>
      <c r="VQ2" s="77" t="s">
        <v>14062</v>
      </c>
      <c r="VR2" s="77" t="s">
        <v>14063</v>
      </c>
      <c r="VS2" s="77" t="s">
        <v>14064</v>
      </c>
      <c r="VT2" s="73" t="s">
        <v>10557</v>
      </c>
      <c r="VU2" s="73" t="s">
        <v>10558</v>
      </c>
      <c r="VV2" s="73" t="s">
        <v>10559</v>
      </c>
      <c r="VW2" s="73" t="s">
        <v>10560</v>
      </c>
      <c r="VX2" s="73" t="s">
        <v>10561</v>
      </c>
      <c r="VY2" s="73" t="s">
        <v>10562</v>
      </c>
      <c r="VZ2" s="73" t="s">
        <v>10563</v>
      </c>
      <c r="WA2" s="73" t="s">
        <v>10564</v>
      </c>
      <c r="WB2" s="73" t="s">
        <v>10565</v>
      </c>
      <c r="WC2" s="73" t="s">
        <v>10566</v>
      </c>
      <c r="WD2" s="73" t="s">
        <v>10567</v>
      </c>
      <c r="WE2" s="73" t="s">
        <v>14093</v>
      </c>
      <c r="WF2" s="73" t="s">
        <v>10568</v>
      </c>
      <c r="WG2" s="73" t="s">
        <v>10569</v>
      </c>
      <c r="WH2" s="73" t="s">
        <v>10570</v>
      </c>
      <c r="WI2" s="73" t="s">
        <v>10571</v>
      </c>
      <c r="WJ2" s="73" t="s">
        <v>10572</v>
      </c>
      <c r="WK2" s="73" t="s">
        <v>10573</v>
      </c>
      <c r="WL2" s="73" t="s">
        <v>10574</v>
      </c>
      <c r="WM2" s="73" t="s">
        <v>10575</v>
      </c>
      <c r="WN2" s="73" t="s">
        <v>10576</v>
      </c>
      <c r="WO2" s="73" t="s">
        <v>10577</v>
      </c>
      <c r="WP2" s="73" t="s">
        <v>10578</v>
      </c>
      <c r="WQ2" s="73" t="s">
        <v>10579</v>
      </c>
      <c r="WR2" s="73" t="s">
        <v>14094</v>
      </c>
      <c r="WS2" s="73" t="s">
        <v>10580</v>
      </c>
      <c r="WT2" s="73" t="s">
        <v>10581</v>
      </c>
      <c r="WU2" s="73" t="s">
        <v>10582</v>
      </c>
      <c r="WV2" s="73" t="s">
        <v>10583</v>
      </c>
      <c r="WW2" s="73" t="s">
        <v>10584</v>
      </c>
      <c r="WX2" s="73" t="s">
        <v>10585</v>
      </c>
      <c r="WY2" s="73" t="s">
        <v>10586</v>
      </c>
      <c r="WZ2" s="73" t="s">
        <v>10587</v>
      </c>
      <c r="XA2" s="73" t="s">
        <v>10588</v>
      </c>
      <c r="XB2" s="73" t="s">
        <v>10589</v>
      </c>
      <c r="XC2" s="73" t="s">
        <v>10590</v>
      </c>
      <c r="XD2" s="73" t="s">
        <v>10591</v>
      </c>
      <c r="XE2" s="73" t="s">
        <v>14095</v>
      </c>
      <c r="XF2" s="73" t="s">
        <v>10592</v>
      </c>
      <c r="XG2" s="73" t="s">
        <v>10593</v>
      </c>
      <c r="XH2" s="73" t="s">
        <v>10594</v>
      </c>
      <c r="XI2" s="73" t="s">
        <v>10595</v>
      </c>
      <c r="XJ2" s="73" t="s">
        <v>10596</v>
      </c>
      <c r="XK2" s="73" t="s">
        <v>10597</v>
      </c>
      <c r="XL2" s="73" t="s">
        <v>10598</v>
      </c>
      <c r="XM2" s="73" t="s">
        <v>10599</v>
      </c>
      <c r="XN2" s="73" t="s">
        <v>10600</v>
      </c>
      <c r="XO2" s="73" t="s">
        <v>10601</v>
      </c>
      <c r="XP2" s="73" t="s">
        <v>10602</v>
      </c>
      <c r="XQ2" s="73" t="s">
        <v>10603</v>
      </c>
      <c r="XR2" s="73" t="s">
        <v>14096</v>
      </c>
      <c r="XS2" s="73" t="s">
        <v>10604</v>
      </c>
      <c r="XT2" s="73" t="s">
        <v>10605</v>
      </c>
      <c r="XU2" s="73" t="s">
        <v>10606</v>
      </c>
      <c r="XV2" s="73" t="s">
        <v>10607</v>
      </c>
      <c r="XW2" s="73" t="s">
        <v>10608</v>
      </c>
      <c r="XX2" s="73" t="s">
        <v>10609</v>
      </c>
      <c r="XY2" s="73" t="s">
        <v>10610</v>
      </c>
      <c r="XZ2" s="73" t="s">
        <v>10611</v>
      </c>
      <c r="YA2" s="73" t="s">
        <v>10612</v>
      </c>
      <c r="YB2" s="73" t="s">
        <v>10613</v>
      </c>
      <c r="YC2" s="73" t="s">
        <v>10614</v>
      </c>
      <c r="YD2" s="73" t="s">
        <v>10615</v>
      </c>
      <c r="YE2" s="73" t="s">
        <v>14097</v>
      </c>
      <c r="YF2" s="73" t="s">
        <v>10616</v>
      </c>
      <c r="YG2" s="73" t="s">
        <v>10617</v>
      </c>
      <c r="YH2" s="73" t="s">
        <v>10618</v>
      </c>
      <c r="YI2" s="73" t="s">
        <v>10619</v>
      </c>
      <c r="YJ2" s="73" t="s">
        <v>10620</v>
      </c>
      <c r="YK2" s="73" t="s">
        <v>10621</v>
      </c>
      <c r="YL2" s="73" t="s">
        <v>10622</v>
      </c>
      <c r="YM2" s="73" t="s">
        <v>10623</v>
      </c>
      <c r="YN2" s="73" t="s">
        <v>10624</v>
      </c>
      <c r="YO2" s="73" t="s">
        <v>10625</v>
      </c>
      <c r="YP2" s="73" t="s">
        <v>10626</v>
      </c>
      <c r="YQ2" s="73" t="s">
        <v>10627</v>
      </c>
      <c r="YR2" s="73" t="s">
        <v>14098</v>
      </c>
      <c r="YS2" s="73" t="s">
        <v>10628</v>
      </c>
      <c r="YT2" s="23" t="s">
        <v>10629</v>
      </c>
      <c r="YU2" s="73" t="s">
        <v>10630</v>
      </c>
      <c r="YV2" s="73" t="s">
        <v>10631</v>
      </c>
      <c r="YW2" s="23" t="s">
        <v>10632</v>
      </c>
      <c r="YX2" s="23" t="s">
        <v>10633</v>
      </c>
      <c r="YY2" s="73" t="s">
        <v>10634</v>
      </c>
      <c r="YZ2" s="73" t="s">
        <v>10635</v>
      </c>
      <c r="ZA2" s="55" t="s">
        <v>10636</v>
      </c>
      <c r="ZB2" s="55" t="s">
        <v>10637</v>
      </c>
      <c r="ZC2" s="55" t="s">
        <v>14136</v>
      </c>
      <c r="ZD2" s="55" t="s">
        <v>10638</v>
      </c>
      <c r="ZE2" s="55" t="s">
        <v>10639</v>
      </c>
      <c r="ZF2" s="55" t="s">
        <v>10640</v>
      </c>
      <c r="ZG2" s="55" t="s">
        <v>14274</v>
      </c>
      <c r="ZH2" s="73" t="s">
        <v>10641</v>
      </c>
      <c r="ZI2" s="73" t="s">
        <v>14182</v>
      </c>
      <c r="ZJ2" s="73" t="s">
        <v>14137</v>
      </c>
      <c r="ZK2" s="73" t="s">
        <v>14183</v>
      </c>
      <c r="ZL2" s="73" t="s">
        <v>14184</v>
      </c>
      <c r="ZM2" s="73" t="s">
        <v>14185</v>
      </c>
      <c r="ZN2" s="73" t="s">
        <v>14186</v>
      </c>
      <c r="ZO2" s="55" t="s">
        <v>10642</v>
      </c>
      <c r="ZP2" s="55" t="s">
        <v>10643</v>
      </c>
      <c r="ZQ2" s="55" t="s">
        <v>14138</v>
      </c>
      <c r="ZR2" s="55" t="s">
        <v>10644</v>
      </c>
      <c r="ZS2" s="55" t="s">
        <v>10645</v>
      </c>
      <c r="ZT2" s="55" t="s">
        <v>10646</v>
      </c>
      <c r="ZU2" s="55" t="s">
        <v>14275</v>
      </c>
      <c r="ZV2" s="73" t="s">
        <v>10647</v>
      </c>
      <c r="ZW2" s="73" t="s">
        <v>14187</v>
      </c>
      <c r="ZX2" s="73" t="s">
        <v>14139</v>
      </c>
      <c r="ZY2" s="73" t="s">
        <v>14188</v>
      </c>
      <c r="ZZ2" s="73" t="s">
        <v>14189</v>
      </c>
      <c r="AAA2" s="73" t="s">
        <v>10648</v>
      </c>
      <c r="AAB2" s="73" t="s">
        <v>14190</v>
      </c>
      <c r="AAC2" s="23" t="s">
        <v>10649</v>
      </c>
      <c r="AAD2" s="23" t="s">
        <v>10650</v>
      </c>
      <c r="AAE2" s="23" t="s">
        <v>14140</v>
      </c>
      <c r="AAF2" s="23" t="s">
        <v>10651</v>
      </c>
      <c r="AAG2" s="23" t="s">
        <v>10652</v>
      </c>
      <c r="AAH2" s="23" t="s">
        <v>10653</v>
      </c>
      <c r="AAI2" s="23" t="s">
        <v>10654</v>
      </c>
      <c r="AAJ2" s="73" t="s">
        <v>10655</v>
      </c>
      <c r="AAK2" s="73" t="s">
        <v>10656</v>
      </c>
      <c r="AAL2" s="73" t="s">
        <v>14141</v>
      </c>
      <c r="AAM2" s="73" t="s">
        <v>10657</v>
      </c>
      <c r="AAN2" s="73" t="s">
        <v>10658</v>
      </c>
      <c r="AAO2" s="73" t="s">
        <v>10659</v>
      </c>
      <c r="AAP2" s="73" t="s">
        <v>10660</v>
      </c>
      <c r="AAQ2" s="23" t="s">
        <v>10661</v>
      </c>
      <c r="AAR2" s="23" t="s">
        <v>10662</v>
      </c>
      <c r="AAS2" s="23" t="s">
        <v>10663</v>
      </c>
      <c r="AAT2" s="23" t="s">
        <v>10664</v>
      </c>
      <c r="AAU2" s="23" t="s">
        <v>10665</v>
      </c>
      <c r="AAV2" s="23" t="s">
        <v>10666</v>
      </c>
      <c r="AAW2" s="23" t="s">
        <v>10667</v>
      </c>
      <c r="AAX2" s="23" t="s">
        <v>10668</v>
      </c>
      <c r="AAY2" s="23" t="s">
        <v>10669</v>
      </c>
      <c r="AAZ2" s="23" t="s">
        <v>10670</v>
      </c>
      <c r="ABA2" s="73" t="s">
        <v>10671</v>
      </c>
      <c r="ABB2" s="73" t="s">
        <v>10672</v>
      </c>
      <c r="ABC2" s="73" t="s">
        <v>10673</v>
      </c>
      <c r="ABD2" s="73" t="s">
        <v>10674</v>
      </c>
      <c r="ABE2" s="73" t="s">
        <v>10675</v>
      </c>
      <c r="ABF2" s="73" t="s">
        <v>10676</v>
      </c>
      <c r="ABG2" s="73" t="s">
        <v>10677</v>
      </c>
      <c r="ABH2" s="73" t="s">
        <v>10678</v>
      </c>
      <c r="ABI2" s="73" t="s">
        <v>10679</v>
      </c>
      <c r="ABJ2" s="55" t="s">
        <v>10680</v>
      </c>
      <c r="ABK2" s="55" t="s">
        <v>10681</v>
      </c>
      <c r="ABL2" s="55" t="s">
        <v>10682</v>
      </c>
      <c r="ABM2" s="55" t="s">
        <v>10683</v>
      </c>
      <c r="ABN2" s="55" t="s">
        <v>10684</v>
      </c>
      <c r="ABO2" s="55" t="s">
        <v>10685</v>
      </c>
      <c r="ABP2" s="55" t="s">
        <v>10686</v>
      </c>
      <c r="ABQ2" s="55" t="s">
        <v>10687</v>
      </c>
      <c r="ABR2" s="55" t="s">
        <v>10688</v>
      </c>
      <c r="ABS2" s="55" t="s">
        <v>10689</v>
      </c>
      <c r="ABT2" s="55" t="s">
        <v>10690</v>
      </c>
      <c r="ABU2" s="55" t="s">
        <v>10691</v>
      </c>
      <c r="ABV2" s="55" t="s">
        <v>10692</v>
      </c>
      <c r="ABW2" s="55" t="s">
        <v>10693</v>
      </c>
      <c r="ABX2" s="55" t="s">
        <v>10694</v>
      </c>
      <c r="ABY2" s="55" t="s">
        <v>10695</v>
      </c>
      <c r="ABZ2" s="55" t="s">
        <v>10696</v>
      </c>
      <c r="ACA2" s="55" t="s">
        <v>10697</v>
      </c>
      <c r="ACB2" s="55" t="s">
        <v>10698</v>
      </c>
      <c r="ACC2" s="55" t="s">
        <v>10699</v>
      </c>
      <c r="ACD2" s="55" t="s">
        <v>10700</v>
      </c>
      <c r="ACE2" s="55" t="s">
        <v>10701</v>
      </c>
      <c r="ACF2" s="55" t="s">
        <v>10702</v>
      </c>
      <c r="ACG2" s="55" t="s">
        <v>10703</v>
      </c>
      <c r="ACH2" s="55" t="s">
        <v>10704</v>
      </c>
      <c r="ACI2" s="55" t="s">
        <v>10705</v>
      </c>
      <c r="ACJ2" s="55" t="s">
        <v>10706</v>
      </c>
      <c r="ACK2" s="55" t="s">
        <v>10707</v>
      </c>
      <c r="ACL2" s="73" t="s">
        <v>10708</v>
      </c>
      <c r="ACM2" s="73" t="s">
        <v>10709</v>
      </c>
      <c r="ACN2" s="73" t="s">
        <v>10710</v>
      </c>
      <c r="ACO2" s="73" t="s">
        <v>10711</v>
      </c>
      <c r="ACP2" s="73" t="s">
        <v>10712</v>
      </c>
      <c r="ACQ2" s="73" t="s">
        <v>10713</v>
      </c>
      <c r="ACR2" s="73" t="s">
        <v>10714</v>
      </c>
      <c r="ACS2" s="55" t="s">
        <v>10715</v>
      </c>
      <c r="ACT2" s="55" t="s">
        <v>10716</v>
      </c>
      <c r="ACU2" s="55" t="s">
        <v>10717</v>
      </c>
      <c r="ACV2" s="55" t="s">
        <v>10718</v>
      </c>
      <c r="ACW2" s="55" t="s">
        <v>10719</v>
      </c>
      <c r="ACX2" s="55" t="s">
        <v>10720</v>
      </c>
      <c r="ACY2" s="55" t="s">
        <v>10721</v>
      </c>
      <c r="ACZ2" s="55" t="s">
        <v>10722</v>
      </c>
      <c r="ADA2" s="55" t="s">
        <v>10723</v>
      </c>
      <c r="ADB2" s="55" t="s">
        <v>10724</v>
      </c>
      <c r="ADC2" s="55" t="s">
        <v>10725</v>
      </c>
      <c r="ADD2" s="55" t="s">
        <v>10726</v>
      </c>
      <c r="ADE2" s="55" t="s">
        <v>10727</v>
      </c>
      <c r="ADF2" s="55" t="s">
        <v>10728</v>
      </c>
      <c r="ADG2" s="73" t="s">
        <v>10729</v>
      </c>
      <c r="ADH2" s="73" t="s">
        <v>10730</v>
      </c>
      <c r="ADI2" s="73" t="s">
        <v>10731</v>
      </c>
      <c r="ADJ2" s="73" t="s">
        <v>10732</v>
      </c>
      <c r="ADK2" s="73" t="s">
        <v>10733</v>
      </c>
      <c r="ADL2" s="73" t="s">
        <v>10734</v>
      </c>
      <c r="ADM2" s="73" t="s">
        <v>10735</v>
      </c>
      <c r="ADN2" s="55" t="s">
        <v>10736</v>
      </c>
      <c r="ADO2" s="55" t="s">
        <v>10737</v>
      </c>
      <c r="ADP2" s="55" t="s">
        <v>10738</v>
      </c>
      <c r="ADQ2" s="55" t="s">
        <v>10739</v>
      </c>
      <c r="ADR2" s="55" t="s">
        <v>10740</v>
      </c>
      <c r="ADS2" s="55" t="s">
        <v>10741</v>
      </c>
      <c r="ADT2" s="55" t="s">
        <v>10742</v>
      </c>
      <c r="ADU2" s="55" t="s">
        <v>10743</v>
      </c>
      <c r="ADV2" s="55" t="s">
        <v>10744</v>
      </c>
      <c r="ADW2" s="55" t="s">
        <v>10745</v>
      </c>
      <c r="ADX2" s="55" t="s">
        <v>10746</v>
      </c>
      <c r="ADY2" s="55" t="s">
        <v>10747</v>
      </c>
      <c r="ADZ2" s="55" t="s">
        <v>10748</v>
      </c>
      <c r="AEA2" s="55" t="s">
        <v>10749</v>
      </c>
      <c r="AEB2" s="73" t="s">
        <v>10750</v>
      </c>
      <c r="AEC2" s="73" t="s">
        <v>10751</v>
      </c>
      <c r="AED2" s="73" t="s">
        <v>10752</v>
      </c>
      <c r="AEE2" s="73" t="s">
        <v>10753</v>
      </c>
      <c r="AEF2" s="73" t="s">
        <v>10754</v>
      </c>
      <c r="AEG2" s="73" t="s">
        <v>10755</v>
      </c>
      <c r="AEH2" s="73" t="s">
        <v>10756</v>
      </c>
      <c r="AEI2" s="55" t="s">
        <v>10757</v>
      </c>
      <c r="AEJ2" s="55" t="s">
        <v>10758</v>
      </c>
      <c r="AEK2" s="55" t="s">
        <v>10759</v>
      </c>
      <c r="AEL2" s="55" t="s">
        <v>10760</v>
      </c>
      <c r="AEM2" s="55" t="s">
        <v>10761</v>
      </c>
      <c r="AEN2" s="55" t="s">
        <v>10762</v>
      </c>
      <c r="AEO2" s="55" t="s">
        <v>10763</v>
      </c>
      <c r="AEP2" s="55" t="s">
        <v>10764</v>
      </c>
      <c r="AEQ2" s="55" t="s">
        <v>10765</v>
      </c>
      <c r="AER2" s="55" t="s">
        <v>10766</v>
      </c>
      <c r="AES2" s="55" t="s">
        <v>10767</v>
      </c>
      <c r="AET2" s="55" t="s">
        <v>10768</v>
      </c>
      <c r="AEU2" s="55" t="s">
        <v>10769</v>
      </c>
      <c r="AEV2" s="55" t="s">
        <v>10770</v>
      </c>
      <c r="AEW2" s="73" t="s">
        <v>10771</v>
      </c>
      <c r="AEX2" s="73" t="s">
        <v>10772</v>
      </c>
      <c r="AEY2" s="73" t="s">
        <v>10773</v>
      </c>
      <c r="AEZ2" s="73" t="s">
        <v>10774</v>
      </c>
      <c r="AFA2" s="73" t="s">
        <v>10775</v>
      </c>
      <c r="AFB2" s="73" t="s">
        <v>10776</v>
      </c>
      <c r="AFC2" s="73" t="s">
        <v>10777</v>
      </c>
      <c r="AFD2" s="55" t="s">
        <v>10778</v>
      </c>
      <c r="AFE2" s="55" t="s">
        <v>10779</v>
      </c>
      <c r="AFF2" s="55" t="s">
        <v>10780</v>
      </c>
      <c r="AFG2" s="55" t="s">
        <v>10781</v>
      </c>
      <c r="AFH2" s="55" t="s">
        <v>10782</v>
      </c>
      <c r="AFI2" s="55" t="s">
        <v>10783</v>
      </c>
      <c r="AFJ2" s="55" t="s">
        <v>10784</v>
      </c>
      <c r="AFK2" s="55" t="s">
        <v>10785</v>
      </c>
      <c r="AFL2" s="55" t="s">
        <v>10786</v>
      </c>
      <c r="AFM2" s="55" t="s">
        <v>10787</v>
      </c>
      <c r="AFN2" s="55" t="s">
        <v>10788</v>
      </c>
      <c r="AFO2" s="55" t="s">
        <v>10789</v>
      </c>
      <c r="AFP2" s="55" t="s">
        <v>10790</v>
      </c>
      <c r="AFQ2" s="55" t="s">
        <v>10791</v>
      </c>
      <c r="AFR2" s="73" t="s">
        <v>10792</v>
      </c>
      <c r="AFS2" s="23" t="s">
        <v>10793</v>
      </c>
      <c r="AFT2" s="73" t="s">
        <v>10794</v>
      </c>
      <c r="AFU2" s="23" t="s">
        <v>10795</v>
      </c>
      <c r="AFV2" s="23" t="s">
        <v>10796</v>
      </c>
      <c r="AFW2" s="23" t="s">
        <v>10797</v>
      </c>
      <c r="AFX2" s="77" t="s">
        <v>10798</v>
      </c>
      <c r="AFY2" s="77" t="s">
        <v>10799</v>
      </c>
      <c r="AFZ2" s="77" t="s">
        <v>10800</v>
      </c>
      <c r="AGA2" s="77" t="s">
        <v>10801</v>
      </c>
      <c r="AGB2" s="77" t="s">
        <v>10802</v>
      </c>
      <c r="AGC2" s="77" t="s">
        <v>10803</v>
      </c>
      <c r="AGD2" s="73" t="s">
        <v>10804</v>
      </c>
      <c r="AGE2" s="55" t="s">
        <v>14065</v>
      </c>
      <c r="AGF2" s="55" t="s">
        <v>14066</v>
      </c>
      <c r="AGG2" s="55" t="s">
        <v>14067</v>
      </c>
      <c r="AGH2" s="55" t="s">
        <v>14068</v>
      </c>
      <c r="AGI2" s="23" t="s">
        <v>10805</v>
      </c>
      <c r="AGJ2" s="23" t="s">
        <v>10806</v>
      </c>
      <c r="AGK2" s="23" t="s">
        <v>10807</v>
      </c>
      <c r="AGL2" s="23" t="s">
        <v>10808</v>
      </c>
      <c r="AGM2" s="23" t="s">
        <v>10809</v>
      </c>
      <c r="AGN2" s="23" t="s">
        <v>10810</v>
      </c>
      <c r="AGO2" s="23" t="s">
        <v>10811</v>
      </c>
      <c r="AGP2" s="23" t="s">
        <v>10812</v>
      </c>
      <c r="AGQ2" s="23" t="s">
        <v>10813</v>
      </c>
      <c r="AGR2" s="23" t="s">
        <v>10814</v>
      </c>
      <c r="AGS2" s="23" t="s">
        <v>10815</v>
      </c>
      <c r="AGT2" s="23" t="s">
        <v>14099</v>
      </c>
      <c r="AGU2" s="23" t="s">
        <v>10816</v>
      </c>
      <c r="AGV2" s="23" t="s">
        <v>10817</v>
      </c>
      <c r="AGW2" s="23" t="s">
        <v>10818</v>
      </c>
      <c r="AGX2" s="23" t="s">
        <v>10819</v>
      </c>
      <c r="AGY2" s="23" t="s">
        <v>10820</v>
      </c>
      <c r="AGZ2" s="23" t="s">
        <v>10821</v>
      </c>
      <c r="AHA2" s="23" t="s">
        <v>10822</v>
      </c>
      <c r="AHB2" s="23" t="s">
        <v>10823</v>
      </c>
      <c r="AHC2" s="23" t="s">
        <v>10824</v>
      </c>
      <c r="AHD2" s="23" t="s">
        <v>10825</v>
      </c>
      <c r="AHE2" s="23" t="s">
        <v>10826</v>
      </c>
      <c r="AHF2" s="23" t="s">
        <v>10827</v>
      </c>
      <c r="AHG2" s="23" t="s">
        <v>14100</v>
      </c>
      <c r="AHH2" s="23" t="s">
        <v>10828</v>
      </c>
      <c r="AHI2" s="23" t="s">
        <v>10829</v>
      </c>
      <c r="AHJ2" s="23" t="s">
        <v>10830</v>
      </c>
      <c r="AHK2" s="23" t="s">
        <v>10831</v>
      </c>
      <c r="AHL2" s="23" t="s">
        <v>10832</v>
      </c>
      <c r="AHM2" s="23" t="s">
        <v>10833</v>
      </c>
      <c r="AHN2" s="23" t="s">
        <v>10834</v>
      </c>
      <c r="AHO2" s="23" t="s">
        <v>10835</v>
      </c>
      <c r="AHP2" s="23" t="s">
        <v>10836</v>
      </c>
      <c r="AHQ2" s="23" t="s">
        <v>10837</v>
      </c>
      <c r="AHR2" s="23" t="s">
        <v>10838</v>
      </c>
      <c r="AHS2" s="23" t="s">
        <v>10839</v>
      </c>
      <c r="AHT2" s="23" t="s">
        <v>14101</v>
      </c>
      <c r="AHU2" s="23" t="s">
        <v>10840</v>
      </c>
      <c r="AHV2" s="23" t="s">
        <v>10841</v>
      </c>
      <c r="AHW2" s="23" t="s">
        <v>10842</v>
      </c>
      <c r="AHX2" s="23" t="s">
        <v>10843</v>
      </c>
      <c r="AHY2" s="23" t="s">
        <v>10844</v>
      </c>
      <c r="AHZ2" s="23" t="s">
        <v>10845</v>
      </c>
      <c r="AIA2" s="23" t="s">
        <v>10846</v>
      </c>
      <c r="AIB2" s="23" t="s">
        <v>10847</v>
      </c>
      <c r="AIC2" s="23" t="s">
        <v>10848</v>
      </c>
      <c r="AID2" s="23" t="s">
        <v>10849</v>
      </c>
      <c r="AIE2" s="23" t="s">
        <v>10850</v>
      </c>
      <c r="AIF2" s="23" t="s">
        <v>10851</v>
      </c>
      <c r="AIG2" s="23" t="s">
        <v>14102</v>
      </c>
      <c r="AIH2" s="23" t="s">
        <v>10852</v>
      </c>
      <c r="AII2" s="23" t="s">
        <v>10853</v>
      </c>
      <c r="AIJ2" s="23" t="s">
        <v>10854</v>
      </c>
      <c r="AIK2" s="23" t="s">
        <v>10855</v>
      </c>
      <c r="AIL2" s="23" t="s">
        <v>10856</v>
      </c>
      <c r="AIM2" s="23" t="s">
        <v>10857</v>
      </c>
      <c r="AIN2" s="23" t="s">
        <v>10858</v>
      </c>
      <c r="AIO2" s="23" t="s">
        <v>10859</v>
      </c>
      <c r="AIP2" s="23" t="s">
        <v>10860</v>
      </c>
      <c r="AIQ2" s="23" t="s">
        <v>10861</v>
      </c>
      <c r="AIR2" s="23" t="s">
        <v>10862</v>
      </c>
      <c r="AIS2" s="23" t="s">
        <v>10863</v>
      </c>
      <c r="AIT2" s="23" t="s">
        <v>14103</v>
      </c>
      <c r="AIU2" s="23" t="s">
        <v>10864</v>
      </c>
      <c r="AIV2" s="23" t="s">
        <v>10865</v>
      </c>
      <c r="AIW2" s="23" t="s">
        <v>10866</v>
      </c>
      <c r="AIX2" s="23" t="s">
        <v>10867</v>
      </c>
      <c r="AIY2" s="23" t="s">
        <v>10868</v>
      </c>
      <c r="AIZ2" s="23" t="s">
        <v>10869</v>
      </c>
      <c r="AJA2" s="23" t="s">
        <v>10870</v>
      </c>
      <c r="AJB2" s="23" t="s">
        <v>10871</v>
      </c>
      <c r="AJC2" s="23" t="s">
        <v>10872</v>
      </c>
      <c r="AJD2" s="23" t="s">
        <v>10873</v>
      </c>
      <c r="AJE2" s="23" t="s">
        <v>10874</v>
      </c>
      <c r="AJF2" s="23" t="s">
        <v>10875</v>
      </c>
      <c r="AJG2" s="23" t="s">
        <v>14104</v>
      </c>
      <c r="AJH2" s="23" t="s">
        <v>10876</v>
      </c>
      <c r="AJI2" s="73" t="s">
        <v>10877</v>
      </c>
      <c r="AJJ2" s="23" t="s">
        <v>10878</v>
      </c>
      <c r="AJK2" s="23" t="s">
        <v>10879</v>
      </c>
      <c r="AJL2" s="73" t="s">
        <v>10880</v>
      </c>
      <c r="AJM2" s="73" t="s">
        <v>10881</v>
      </c>
      <c r="AJN2" s="23" t="s">
        <v>10882</v>
      </c>
      <c r="AJO2" s="23" t="s">
        <v>10883</v>
      </c>
      <c r="AJP2" s="77" t="s">
        <v>10884</v>
      </c>
      <c r="AJQ2" s="77" t="s">
        <v>10885</v>
      </c>
      <c r="AJR2" s="77" t="s">
        <v>14142</v>
      </c>
      <c r="AJS2" s="77" t="s">
        <v>10886</v>
      </c>
      <c r="AJT2" s="77" t="s">
        <v>10887</v>
      </c>
      <c r="AJU2" s="77" t="s">
        <v>10888</v>
      </c>
      <c r="AJV2" s="77" t="s">
        <v>14276</v>
      </c>
      <c r="AJW2" s="23" t="s">
        <v>10889</v>
      </c>
      <c r="AJX2" s="23" t="s">
        <v>14191</v>
      </c>
      <c r="AJY2" s="23" t="s">
        <v>14143</v>
      </c>
      <c r="AJZ2" s="23" t="s">
        <v>14192</v>
      </c>
      <c r="AKA2" s="23" t="s">
        <v>14193</v>
      </c>
      <c r="AKB2" s="23" t="s">
        <v>14194</v>
      </c>
      <c r="AKC2" s="23" t="s">
        <v>14195</v>
      </c>
      <c r="AKD2" s="77" t="s">
        <v>10890</v>
      </c>
      <c r="AKE2" s="77" t="s">
        <v>10891</v>
      </c>
      <c r="AKF2" s="77" t="s">
        <v>14144</v>
      </c>
      <c r="AKG2" s="77" t="s">
        <v>10892</v>
      </c>
      <c r="AKH2" s="77" t="s">
        <v>10893</v>
      </c>
      <c r="AKI2" s="77" t="s">
        <v>10894</v>
      </c>
      <c r="AKJ2" s="77" t="s">
        <v>14277</v>
      </c>
      <c r="AKK2" s="23" t="s">
        <v>10895</v>
      </c>
      <c r="AKL2" s="23" t="s">
        <v>14196</v>
      </c>
      <c r="AKM2" s="23" t="s">
        <v>14145</v>
      </c>
      <c r="AKN2" s="23" t="s">
        <v>14197</v>
      </c>
      <c r="AKO2" s="23" t="s">
        <v>14198</v>
      </c>
      <c r="AKP2" s="23" t="s">
        <v>10896</v>
      </c>
      <c r="AKQ2" s="23" t="s">
        <v>14199</v>
      </c>
      <c r="AKR2" s="73" t="s">
        <v>10897</v>
      </c>
      <c r="AKS2" s="73" t="s">
        <v>10898</v>
      </c>
      <c r="AKT2" s="73" t="s">
        <v>14146</v>
      </c>
      <c r="AKU2" s="73" t="s">
        <v>10899</v>
      </c>
      <c r="AKV2" s="73" t="s">
        <v>10900</v>
      </c>
      <c r="AKW2" s="73" t="s">
        <v>10901</v>
      </c>
      <c r="AKX2" s="73" t="s">
        <v>10902</v>
      </c>
      <c r="AKY2" s="23" t="s">
        <v>10903</v>
      </c>
      <c r="AKZ2" s="23" t="s">
        <v>10904</v>
      </c>
      <c r="ALA2" s="23" t="s">
        <v>14147</v>
      </c>
      <c r="ALB2" s="23" t="s">
        <v>10905</v>
      </c>
      <c r="ALC2" s="23" t="s">
        <v>10906</v>
      </c>
      <c r="ALD2" s="23" t="s">
        <v>10907</v>
      </c>
      <c r="ALE2" s="23" t="s">
        <v>10908</v>
      </c>
      <c r="ALF2" s="73" t="s">
        <v>10909</v>
      </c>
      <c r="ALG2" s="73" t="s">
        <v>10910</v>
      </c>
      <c r="ALH2" s="73" t="s">
        <v>10911</v>
      </c>
      <c r="ALI2" s="73" t="s">
        <v>10912</v>
      </c>
      <c r="ALJ2" s="73" t="s">
        <v>10913</v>
      </c>
      <c r="ALK2" s="73" t="s">
        <v>10914</v>
      </c>
      <c r="ALL2" s="73" t="s">
        <v>10915</v>
      </c>
      <c r="ALM2" s="73" t="s">
        <v>10916</v>
      </c>
      <c r="ALN2" s="73" t="s">
        <v>10917</v>
      </c>
      <c r="ALO2" s="73" t="s">
        <v>10918</v>
      </c>
      <c r="ALP2" s="23" t="s">
        <v>10919</v>
      </c>
      <c r="ALQ2" s="23" t="s">
        <v>10920</v>
      </c>
      <c r="ALR2" s="23" t="s">
        <v>10921</v>
      </c>
      <c r="ALS2" s="23" t="s">
        <v>10922</v>
      </c>
      <c r="ALT2" s="23" t="s">
        <v>10923</v>
      </c>
      <c r="ALU2" s="23" t="s">
        <v>10924</v>
      </c>
      <c r="ALV2" s="23" t="s">
        <v>10925</v>
      </c>
      <c r="ALW2" s="23" t="s">
        <v>10926</v>
      </c>
      <c r="ALX2" s="23" t="s">
        <v>10927</v>
      </c>
      <c r="ALY2" s="77" t="s">
        <v>10928</v>
      </c>
      <c r="ALZ2" s="77" t="s">
        <v>10929</v>
      </c>
      <c r="AMA2" s="77" t="s">
        <v>10930</v>
      </c>
      <c r="AMB2" s="77" t="s">
        <v>10931</v>
      </c>
      <c r="AMC2" s="77" t="s">
        <v>10932</v>
      </c>
      <c r="AMD2" s="77" t="s">
        <v>10933</v>
      </c>
      <c r="AME2" s="77" t="s">
        <v>10934</v>
      </c>
      <c r="AMF2" s="77" t="s">
        <v>10935</v>
      </c>
      <c r="AMG2" s="77" t="s">
        <v>10936</v>
      </c>
      <c r="AMH2" s="77" t="s">
        <v>10937</v>
      </c>
      <c r="AMI2" s="77" t="s">
        <v>10938</v>
      </c>
      <c r="AMJ2" s="77" t="s">
        <v>10939</v>
      </c>
      <c r="AMK2" s="77" t="s">
        <v>10940</v>
      </c>
      <c r="AML2" s="77" t="s">
        <v>10941</v>
      </c>
      <c r="AMM2" s="77" t="s">
        <v>10942</v>
      </c>
      <c r="AMN2" s="77" t="s">
        <v>10943</v>
      </c>
      <c r="AMO2" s="77" t="s">
        <v>10944</v>
      </c>
      <c r="AMP2" s="77" t="s">
        <v>10945</v>
      </c>
      <c r="AMQ2" s="77" t="s">
        <v>10946</v>
      </c>
      <c r="AMR2" s="77" t="s">
        <v>10947</v>
      </c>
      <c r="AMS2" s="77" t="s">
        <v>10948</v>
      </c>
      <c r="AMT2" s="77" t="s">
        <v>10949</v>
      </c>
      <c r="AMU2" s="77" t="s">
        <v>10950</v>
      </c>
      <c r="AMV2" s="77" t="s">
        <v>10951</v>
      </c>
      <c r="AMW2" s="77" t="s">
        <v>10952</v>
      </c>
      <c r="AMX2" s="77" t="s">
        <v>10953</v>
      </c>
      <c r="AMY2" s="77" t="s">
        <v>10954</v>
      </c>
      <c r="AMZ2" s="77" t="s">
        <v>10955</v>
      </c>
      <c r="ANA2" s="23" t="s">
        <v>10956</v>
      </c>
      <c r="ANB2" s="23" t="s">
        <v>10957</v>
      </c>
      <c r="ANC2" s="23" t="s">
        <v>10958</v>
      </c>
      <c r="AND2" s="23" t="s">
        <v>10959</v>
      </c>
      <c r="ANE2" s="23" t="s">
        <v>10960</v>
      </c>
      <c r="ANF2" s="23" t="s">
        <v>10961</v>
      </c>
      <c r="ANG2" s="23" t="s">
        <v>10962</v>
      </c>
      <c r="ANH2" s="77" t="s">
        <v>10963</v>
      </c>
      <c r="ANI2" s="77" t="s">
        <v>10964</v>
      </c>
      <c r="ANJ2" s="77" t="s">
        <v>10965</v>
      </c>
      <c r="ANK2" s="77" t="s">
        <v>10966</v>
      </c>
      <c r="ANL2" s="77" t="s">
        <v>10967</v>
      </c>
      <c r="ANM2" s="77" t="s">
        <v>10968</v>
      </c>
      <c r="ANN2" s="77" t="s">
        <v>10969</v>
      </c>
      <c r="ANO2" s="77" t="s">
        <v>10970</v>
      </c>
      <c r="ANP2" s="77" t="s">
        <v>10971</v>
      </c>
      <c r="ANQ2" s="77" t="s">
        <v>10972</v>
      </c>
      <c r="ANR2" s="77" t="s">
        <v>10973</v>
      </c>
      <c r="ANS2" s="77" t="s">
        <v>10974</v>
      </c>
      <c r="ANT2" s="77" t="s">
        <v>10975</v>
      </c>
      <c r="ANU2" s="77" t="s">
        <v>10976</v>
      </c>
      <c r="ANV2" s="23" t="s">
        <v>10977</v>
      </c>
      <c r="ANW2" s="23" t="s">
        <v>10978</v>
      </c>
      <c r="ANX2" s="23" t="s">
        <v>10979</v>
      </c>
      <c r="ANY2" s="23" t="s">
        <v>10980</v>
      </c>
      <c r="ANZ2" s="23" t="s">
        <v>10981</v>
      </c>
      <c r="AOA2" s="23" t="s">
        <v>10982</v>
      </c>
      <c r="AOB2" s="23" t="s">
        <v>10983</v>
      </c>
      <c r="AOC2" s="77" t="s">
        <v>10984</v>
      </c>
      <c r="AOD2" s="77" t="s">
        <v>10985</v>
      </c>
      <c r="AOE2" s="77" t="s">
        <v>10986</v>
      </c>
      <c r="AOF2" s="77" t="s">
        <v>10987</v>
      </c>
      <c r="AOG2" s="77" t="s">
        <v>10988</v>
      </c>
      <c r="AOH2" s="77" t="s">
        <v>10989</v>
      </c>
      <c r="AOI2" s="77" t="s">
        <v>10990</v>
      </c>
      <c r="AOJ2" s="77" t="s">
        <v>10991</v>
      </c>
      <c r="AOK2" s="77" t="s">
        <v>10992</v>
      </c>
      <c r="AOL2" s="77" t="s">
        <v>10993</v>
      </c>
      <c r="AOM2" s="77" t="s">
        <v>10994</v>
      </c>
      <c r="AON2" s="77" t="s">
        <v>10995</v>
      </c>
      <c r="AOO2" s="77" t="s">
        <v>10996</v>
      </c>
      <c r="AOP2" s="77" t="s">
        <v>10997</v>
      </c>
      <c r="AOQ2" s="23" t="s">
        <v>10998</v>
      </c>
      <c r="AOR2" s="23" t="s">
        <v>10999</v>
      </c>
      <c r="AOS2" s="23" t="s">
        <v>11000</v>
      </c>
      <c r="AOT2" s="23" t="s">
        <v>11001</v>
      </c>
      <c r="AOU2" s="23" t="s">
        <v>11002</v>
      </c>
      <c r="AOV2" s="23" t="s">
        <v>11003</v>
      </c>
      <c r="AOW2" s="23" t="s">
        <v>11004</v>
      </c>
      <c r="AOX2" s="77" t="s">
        <v>11005</v>
      </c>
      <c r="AOY2" s="77" t="s">
        <v>11006</v>
      </c>
      <c r="AOZ2" s="77" t="s">
        <v>11007</v>
      </c>
      <c r="APA2" s="77" t="s">
        <v>11008</v>
      </c>
      <c r="APB2" s="77" t="s">
        <v>11009</v>
      </c>
      <c r="APC2" s="77" t="s">
        <v>11010</v>
      </c>
      <c r="APD2" s="77" t="s">
        <v>11011</v>
      </c>
      <c r="APE2" s="77" t="s">
        <v>11012</v>
      </c>
      <c r="APF2" s="77" t="s">
        <v>11013</v>
      </c>
      <c r="APG2" s="77" t="s">
        <v>11014</v>
      </c>
      <c r="APH2" s="77" t="s">
        <v>11015</v>
      </c>
      <c r="API2" s="77" t="s">
        <v>11016</v>
      </c>
      <c r="APJ2" s="77" t="s">
        <v>11017</v>
      </c>
      <c r="APK2" s="77" t="s">
        <v>11018</v>
      </c>
      <c r="APL2" s="23" t="s">
        <v>11019</v>
      </c>
      <c r="APM2" s="23" t="s">
        <v>11020</v>
      </c>
      <c r="APN2" s="23" t="s">
        <v>11021</v>
      </c>
      <c r="APO2" s="23" t="s">
        <v>11022</v>
      </c>
      <c r="APP2" s="23" t="s">
        <v>11023</v>
      </c>
      <c r="APQ2" s="23" t="s">
        <v>11024</v>
      </c>
      <c r="APR2" s="23" t="s">
        <v>11025</v>
      </c>
      <c r="APS2" s="77" t="s">
        <v>11026</v>
      </c>
      <c r="APT2" s="77" t="s">
        <v>11027</v>
      </c>
      <c r="APU2" s="77" t="s">
        <v>11028</v>
      </c>
      <c r="APV2" s="77" t="s">
        <v>11029</v>
      </c>
      <c r="APW2" s="77" t="s">
        <v>11030</v>
      </c>
      <c r="APX2" s="77" t="s">
        <v>11031</v>
      </c>
      <c r="APY2" s="77" t="s">
        <v>11032</v>
      </c>
      <c r="APZ2" s="77" t="s">
        <v>11033</v>
      </c>
      <c r="AQA2" s="77" t="s">
        <v>11034</v>
      </c>
      <c r="AQB2" s="77" t="s">
        <v>11035</v>
      </c>
      <c r="AQC2" s="77" t="s">
        <v>11036</v>
      </c>
      <c r="AQD2" s="77" t="s">
        <v>11037</v>
      </c>
      <c r="AQE2" s="77" t="s">
        <v>11038</v>
      </c>
      <c r="AQF2" s="77" t="s">
        <v>11039</v>
      </c>
      <c r="AQG2" s="23" t="s">
        <v>11040</v>
      </c>
      <c r="AQH2" s="73" t="s">
        <v>11041</v>
      </c>
      <c r="AQI2" s="23" t="s">
        <v>11042</v>
      </c>
      <c r="AQJ2" s="73" t="s">
        <v>11043</v>
      </c>
      <c r="AQK2" s="73" t="s">
        <v>11044</v>
      </c>
      <c r="AQL2" s="73" t="s">
        <v>11045</v>
      </c>
      <c r="AQM2" s="55" t="s">
        <v>11046</v>
      </c>
      <c r="AQN2" s="55" t="s">
        <v>11047</v>
      </c>
      <c r="AQO2" s="55" t="s">
        <v>11048</v>
      </c>
      <c r="AQP2" s="55" t="s">
        <v>11049</v>
      </c>
      <c r="AQQ2" s="55" t="s">
        <v>11050</v>
      </c>
      <c r="AQR2" s="55" t="s">
        <v>11051</v>
      </c>
      <c r="AQS2" s="23" t="s">
        <v>14233</v>
      </c>
      <c r="AQT2" s="77" t="s">
        <v>14069</v>
      </c>
      <c r="AQU2" s="77" t="s">
        <v>14070</v>
      </c>
      <c r="AQV2" s="77" t="s">
        <v>14071</v>
      </c>
      <c r="AQW2" s="77" t="s">
        <v>14072</v>
      </c>
      <c r="AQX2" s="73" t="s">
        <v>11052</v>
      </c>
      <c r="AQY2" s="73" t="s">
        <v>11053</v>
      </c>
      <c r="AQZ2" s="73" t="s">
        <v>11054</v>
      </c>
      <c r="ARA2" s="73" t="s">
        <v>11055</v>
      </c>
      <c r="ARB2" s="73" t="s">
        <v>11056</v>
      </c>
      <c r="ARC2" s="73" t="s">
        <v>11057</v>
      </c>
      <c r="ARD2" s="73" t="s">
        <v>11058</v>
      </c>
      <c r="ARE2" s="73" t="s">
        <v>11059</v>
      </c>
      <c r="ARF2" s="73" t="s">
        <v>11060</v>
      </c>
      <c r="ARG2" s="73" t="s">
        <v>11061</v>
      </c>
      <c r="ARH2" s="73" t="s">
        <v>11062</v>
      </c>
      <c r="ARI2" s="73" t="s">
        <v>14105</v>
      </c>
      <c r="ARJ2" s="73" t="s">
        <v>11063</v>
      </c>
      <c r="ARK2" s="73" t="s">
        <v>11064</v>
      </c>
      <c r="ARL2" s="73" t="s">
        <v>11065</v>
      </c>
      <c r="ARM2" s="73" t="s">
        <v>11066</v>
      </c>
      <c r="ARN2" s="73" t="s">
        <v>11067</v>
      </c>
      <c r="ARO2" s="73" t="s">
        <v>11068</v>
      </c>
      <c r="ARP2" s="73" t="s">
        <v>11069</v>
      </c>
      <c r="ARQ2" s="73" t="s">
        <v>11070</v>
      </c>
      <c r="ARR2" s="73" t="s">
        <v>11071</v>
      </c>
      <c r="ARS2" s="73" t="s">
        <v>11072</v>
      </c>
      <c r="ART2" s="73" t="s">
        <v>11073</v>
      </c>
      <c r="ARU2" s="73" t="s">
        <v>11074</v>
      </c>
      <c r="ARV2" s="73" t="s">
        <v>14106</v>
      </c>
      <c r="ARW2" s="73" t="s">
        <v>11075</v>
      </c>
      <c r="ARX2" s="73" t="s">
        <v>11076</v>
      </c>
      <c r="ARY2" s="73" t="s">
        <v>11077</v>
      </c>
      <c r="ARZ2" s="73" t="s">
        <v>11078</v>
      </c>
      <c r="ASA2" s="73" t="s">
        <v>11079</v>
      </c>
      <c r="ASB2" s="73" t="s">
        <v>11080</v>
      </c>
      <c r="ASC2" s="73" t="s">
        <v>11081</v>
      </c>
      <c r="ASD2" s="73" t="s">
        <v>11082</v>
      </c>
      <c r="ASE2" s="73" t="s">
        <v>11083</v>
      </c>
      <c r="ASF2" s="73" t="s">
        <v>11084</v>
      </c>
      <c r="ASG2" s="73" t="s">
        <v>11085</v>
      </c>
      <c r="ASH2" s="73" t="s">
        <v>11086</v>
      </c>
      <c r="ASI2" s="73" t="s">
        <v>14107</v>
      </c>
      <c r="ASJ2" s="73" t="s">
        <v>11087</v>
      </c>
      <c r="ASK2" s="73" t="s">
        <v>11088</v>
      </c>
      <c r="ASL2" s="73" t="s">
        <v>11089</v>
      </c>
      <c r="ASM2" s="73" t="s">
        <v>11090</v>
      </c>
      <c r="ASN2" s="73" t="s">
        <v>11091</v>
      </c>
      <c r="ASO2" s="73" t="s">
        <v>11092</v>
      </c>
      <c r="ASP2" s="73" t="s">
        <v>11093</v>
      </c>
      <c r="ASQ2" s="73" t="s">
        <v>11094</v>
      </c>
      <c r="ASR2" s="73" t="s">
        <v>11095</v>
      </c>
      <c r="ASS2" s="73" t="s">
        <v>11096</v>
      </c>
      <c r="AST2" s="73" t="s">
        <v>11097</v>
      </c>
      <c r="ASU2" s="73" t="s">
        <v>11098</v>
      </c>
      <c r="ASV2" s="73" t="s">
        <v>14108</v>
      </c>
      <c r="ASW2" s="73" t="s">
        <v>11099</v>
      </c>
      <c r="ASX2" s="73" t="s">
        <v>11100</v>
      </c>
      <c r="ASY2" s="73" t="s">
        <v>11101</v>
      </c>
      <c r="ASZ2" s="73" t="s">
        <v>11102</v>
      </c>
      <c r="ATA2" s="73" t="s">
        <v>11103</v>
      </c>
      <c r="ATB2" s="73" t="s">
        <v>11104</v>
      </c>
      <c r="ATC2" s="73" t="s">
        <v>11105</v>
      </c>
      <c r="ATD2" s="73" t="s">
        <v>11106</v>
      </c>
      <c r="ATE2" s="73" t="s">
        <v>11107</v>
      </c>
      <c r="ATF2" s="73" t="s">
        <v>11108</v>
      </c>
      <c r="ATG2" s="73" t="s">
        <v>11109</v>
      </c>
      <c r="ATH2" s="73" t="s">
        <v>11110</v>
      </c>
      <c r="ATI2" s="73" t="s">
        <v>14109</v>
      </c>
      <c r="ATJ2" s="73" t="s">
        <v>11111</v>
      </c>
      <c r="ATK2" s="73" t="s">
        <v>11112</v>
      </c>
      <c r="ATL2" s="73" t="s">
        <v>11113</v>
      </c>
      <c r="ATM2" s="73" t="s">
        <v>11114</v>
      </c>
      <c r="ATN2" s="73" t="s">
        <v>11115</v>
      </c>
      <c r="ATO2" s="73" t="s">
        <v>11116</v>
      </c>
      <c r="ATP2" s="73" t="s">
        <v>11117</v>
      </c>
      <c r="ATQ2" s="73" t="s">
        <v>11118</v>
      </c>
      <c r="ATR2" s="73" t="s">
        <v>11119</v>
      </c>
      <c r="ATS2" s="73" t="s">
        <v>11120</v>
      </c>
      <c r="ATT2" s="73" t="s">
        <v>11121</v>
      </c>
      <c r="ATU2" s="73" t="s">
        <v>11122</v>
      </c>
      <c r="ATV2" s="73" t="s">
        <v>14110</v>
      </c>
      <c r="ATW2" s="73" t="s">
        <v>11123</v>
      </c>
      <c r="ATX2" s="23" t="s">
        <v>11124</v>
      </c>
      <c r="ATY2" s="73" t="s">
        <v>11125</v>
      </c>
      <c r="ATZ2" s="73" t="s">
        <v>11126</v>
      </c>
      <c r="AUA2" s="23" t="s">
        <v>11127</v>
      </c>
      <c r="AUB2" s="23" t="s">
        <v>11128</v>
      </c>
      <c r="AUC2" s="73" t="s">
        <v>11129</v>
      </c>
      <c r="AUD2" s="73" t="s">
        <v>11130</v>
      </c>
      <c r="AUE2" s="55" t="s">
        <v>11131</v>
      </c>
      <c r="AUF2" s="55" t="s">
        <v>11132</v>
      </c>
      <c r="AUG2" s="55" t="s">
        <v>14148</v>
      </c>
      <c r="AUH2" s="55" t="s">
        <v>11133</v>
      </c>
      <c r="AUI2" s="55" t="s">
        <v>11134</v>
      </c>
      <c r="AUJ2" s="55" t="s">
        <v>11135</v>
      </c>
      <c r="AUK2" s="55" t="s">
        <v>14278</v>
      </c>
      <c r="AUL2" s="73" t="s">
        <v>11136</v>
      </c>
      <c r="AUM2" s="73" t="s">
        <v>14200</v>
      </c>
      <c r="AUN2" s="73" t="s">
        <v>14149</v>
      </c>
      <c r="AUO2" s="73" t="s">
        <v>14201</v>
      </c>
      <c r="AUP2" s="73" t="s">
        <v>14202</v>
      </c>
      <c r="AUQ2" s="73" t="s">
        <v>14203</v>
      </c>
      <c r="AUR2" s="73" t="s">
        <v>14204</v>
      </c>
      <c r="AUS2" s="55" t="s">
        <v>11137</v>
      </c>
      <c r="AUT2" s="55" t="s">
        <v>11138</v>
      </c>
      <c r="AUU2" s="55" t="s">
        <v>14150</v>
      </c>
      <c r="AUV2" s="55" t="s">
        <v>11139</v>
      </c>
      <c r="AUW2" s="55" t="s">
        <v>11140</v>
      </c>
      <c r="AUX2" s="55" t="s">
        <v>11141</v>
      </c>
      <c r="AUY2" s="55" t="s">
        <v>14279</v>
      </c>
      <c r="AUZ2" s="73" t="s">
        <v>11142</v>
      </c>
      <c r="AVA2" s="73" t="s">
        <v>14205</v>
      </c>
      <c r="AVB2" s="73" t="s">
        <v>14151</v>
      </c>
      <c r="AVC2" s="73" t="s">
        <v>14206</v>
      </c>
      <c r="AVD2" s="73" t="s">
        <v>14207</v>
      </c>
      <c r="AVE2" s="73" t="s">
        <v>11143</v>
      </c>
      <c r="AVF2" s="73" t="s">
        <v>14208</v>
      </c>
      <c r="AVG2" s="23" t="s">
        <v>11144</v>
      </c>
      <c r="AVH2" s="23" t="s">
        <v>11145</v>
      </c>
      <c r="AVI2" s="23" t="s">
        <v>14152</v>
      </c>
      <c r="AVJ2" s="23" t="s">
        <v>11146</v>
      </c>
      <c r="AVK2" s="23" t="s">
        <v>11147</v>
      </c>
      <c r="AVL2" s="23" t="s">
        <v>11148</v>
      </c>
      <c r="AVM2" s="23" t="s">
        <v>11149</v>
      </c>
      <c r="AVN2" s="73" t="s">
        <v>11150</v>
      </c>
      <c r="AVO2" s="73" t="s">
        <v>11151</v>
      </c>
      <c r="AVP2" s="73" t="s">
        <v>14153</v>
      </c>
      <c r="AVQ2" s="73" t="s">
        <v>11152</v>
      </c>
      <c r="AVR2" s="73" t="s">
        <v>11153</v>
      </c>
      <c r="AVS2" s="73" t="s">
        <v>11154</v>
      </c>
      <c r="AVT2" s="73" t="s">
        <v>11155</v>
      </c>
      <c r="AVU2" s="23" t="s">
        <v>11156</v>
      </c>
      <c r="AVV2" s="23" t="s">
        <v>11157</v>
      </c>
      <c r="AVW2" s="23" t="s">
        <v>11158</v>
      </c>
      <c r="AVX2" s="23" t="s">
        <v>11159</v>
      </c>
      <c r="AVY2" s="23" t="s">
        <v>11160</v>
      </c>
      <c r="AVZ2" s="23" t="s">
        <v>11161</v>
      </c>
      <c r="AWA2" s="23" t="s">
        <v>11162</v>
      </c>
      <c r="AWB2" s="23" t="s">
        <v>11163</v>
      </c>
      <c r="AWC2" s="23" t="s">
        <v>11164</v>
      </c>
      <c r="AWD2" s="23" t="s">
        <v>11165</v>
      </c>
      <c r="AWE2" s="73" t="s">
        <v>11166</v>
      </c>
      <c r="AWF2" s="73" t="s">
        <v>11167</v>
      </c>
      <c r="AWG2" s="73" t="s">
        <v>11168</v>
      </c>
      <c r="AWH2" s="73" t="s">
        <v>11169</v>
      </c>
      <c r="AWI2" s="73" t="s">
        <v>11170</v>
      </c>
      <c r="AWJ2" s="73" t="s">
        <v>11171</v>
      </c>
      <c r="AWK2" s="73" t="s">
        <v>11172</v>
      </c>
      <c r="AWL2" s="73" t="s">
        <v>11173</v>
      </c>
      <c r="AWM2" s="73" t="s">
        <v>11174</v>
      </c>
      <c r="AWN2" s="55" t="s">
        <v>11175</v>
      </c>
      <c r="AWO2" s="55" t="s">
        <v>11176</v>
      </c>
      <c r="AWP2" s="55" t="s">
        <v>11177</v>
      </c>
      <c r="AWQ2" s="55" t="s">
        <v>11178</v>
      </c>
      <c r="AWR2" s="55" t="s">
        <v>11179</v>
      </c>
      <c r="AWS2" s="55" t="s">
        <v>11180</v>
      </c>
      <c r="AWT2" s="55" t="s">
        <v>11181</v>
      </c>
      <c r="AWU2" s="55" t="s">
        <v>11182</v>
      </c>
      <c r="AWV2" s="55" t="s">
        <v>11183</v>
      </c>
      <c r="AWW2" s="55" t="s">
        <v>11184</v>
      </c>
      <c r="AWX2" s="55" t="s">
        <v>11185</v>
      </c>
      <c r="AWY2" s="55" t="s">
        <v>11186</v>
      </c>
      <c r="AWZ2" s="55" t="s">
        <v>11187</v>
      </c>
      <c r="AXA2" s="55" t="s">
        <v>11188</v>
      </c>
      <c r="AXB2" s="55" t="s">
        <v>11189</v>
      </c>
      <c r="AXC2" s="55" t="s">
        <v>11190</v>
      </c>
      <c r="AXD2" s="55" t="s">
        <v>11191</v>
      </c>
      <c r="AXE2" s="55" t="s">
        <v>11192</v>
      </c>
      <c r="AXF2" s="55" t="s">
        <v>11193</v>
      </c>
      <c r="AXG2" s="55" t="s">
        <v>11194</v>
      </c>
      <c r="AXH2" s="55" t="s">
        <v>11195</v>
      </c>
      <c r="AXI2" s="55" t="s">
        <v>11196</v>
      </c>
      <c r="AXJ2" s="55" t="s">
        <v>11197</v>
      </c>
      <c r="AXK2" s="55" t="s">
        <v>11198</v>
      </c>
      <c r="AXL2" s="55" t="s">
        <v>11199</v>
      </c>
      <c r="AXM2" s="55" t="s">
        <v>11200</v>
      </c>
      <c r="AXN2" s="55" t="s">
        <v>11201</v>
      </c>
      <c r="AXO2" s="55" t="s">
        <v>11202</v>
      </c>
      <c r="AXP2" s="73" t="s">
        <v>11203</v>
      </c>
      <c r="AXQ2" s="73" t="s">
        <v>11204</v>
      </c>
      <c r="AXR2" s="73" t="s">
        <v>11205</v>
      </c>
      <c r="AXS2" s="73" t="s">
        <v>11206</v>
      </c>
      <c r="AXT2" s="73" t="s">
        <v>11207</v>
      </c>
      <c r="AXU2" s="73" t="s">
        <v>11208</v>
      </c>
      <c r="AXV2" s="73" t="s">
        <v>11209</v>
      </c>
      <c r="AXW2" s="55" t="s">
        <v>11210</v>
      </c>
      <c r="AXX2" s="55" t="s">
        <v>11211</v>
      </c>
      <c r="AXY2" s="55" t="s">
        <v>11212</v>
      </c>
      <c r="AXZ2" s="55" t="s">
        <v>11213</v>
      </c>
      <c r="AYA2" s="55" t="s">
        <v>11214</v>
      </c>
      <c r="AYB2" s="55" t="s">
        <v>11215</v>
      </c>
      <c r="AYC2" s="55" t="s">
        <v>11216</v>
      </c>
      <c r="AYD2" s="55" t="s">
        <v>11217</v>
      </c>
      <c r="AYE2" s="55" t="s">
        <v>11218</v>
      </c>
      <c r="AYF2" s="55" t="s">
        <v>11219</v>
      </c>
      <c r="AYG2" s="55" t="s">
        <v>11220</v>
      </c>
      <c r="AYH2" s="55" t="s">
        <v>11221</v>
      </c>
      <c r="AYI2" s="55" t="s">
        <v>11222</v>
      </c>
      <c r="AYJ2" s="55" t="s">
        <v>11223</v>
      </c>
      <c r="AYK2" s="73" t="s">
        <v>11224</v>
      </c>
      <c r="AYL2" s="73" t="s">
        <v>11225</v>
      </c>
      <c r="AYM2" s="73" t="s">
        <v>11226</v>
      </c>
      <c r="AYN2" s="73" t="s">
        <v>11227</v>
      </c>
      <c r="AYO2" s="73" t="s">
        <v>11228</v>
      </c>
      <c r="AYP2" s="73" t="s">
        <v>11229</v>
      </c>
      <c r="AYQ2" s="73" t="s">
        <v>11230</v>
      </c>
      <c r="AYR2" s="23" t="s">
        <v>11231</v>
      </c>
      <c r="AYS2" s="23" t="s">
        <v>11232</v>
      </c>
      <c r="AYT2" s="23" t="s">
        <v>11233</v>
      </c>
      <c r="AYU2" s="23" t="s">
        <v>11234</v>
      </c>
      <c r="AYV2" s="23" t="s">
        <v>11235</v>
      </c>
      <c r="AYW2" s="23" t="s">
        <v>11236</v>
      </c>
      <c r="AYX2" s="23" t="s">
        <v>11237</v>
      </c>
      <c r="AYY2" s="23" t="s">
        <v>11238</v>
      </c>
      <c r="AYZ2" s="23" t="s">
        <v>11239</v>
      </c>
      <c r="AZA2" s="23" t="s">
        <v>11240</v>
      </c>
      <c r="AZB2" s="23" t="s">
        <v>11241</v>
      </c>
      <c r="AZC2" s="23" t="s">
        <v>11242</v>
      </c>
      <c r="AZD2" s="23" t="s">
        <v>11243</v>
      </c>
      <c r="AZE2" s="23" t="s">
        <v>11244</v>
      </c>
      <c r="AZF2" s="73" t="s">
        <v>11245</v>
      </c>
      <c r="AZG2" s="73" t="s">
        <v>11246</v>
      </c>
      <c r="AZH2" s="73" t="s">
        <v>11247</v>
      </c>
      <c r="AZI2" s="73" t="s">
        <v>11248</v>
      </c>
      <c r="AZJ2" s="73" t="s">
        <v>11249</v>
      </c>
      <c r="AZK2" s="73" t="s">
        <v>11250</v>
      </c>
      <c r="AZL2" s="73" t="s">
        <v>11251</v>
      </c>
      <c r="AZM2" s="55" t="s">
        <v>11252</v>
      </c>
      <c r="AZN2" s="55" t="s">
        <v>11253</v>
      </c>
      <c r="AZO2" s="55" t="s">
        <v>11254</v>
      </c>
      <c r="AZP2" s="55" t="s">
        <v>11255</v>
      </c>
      <c r="AZQ2" s="55" t="s">
        <v>11256</v>
      </c>
      <c r="AZR2" s="55" t="s">
        <v>11257</v>
      </c>
      <c r="AZS2" s="55" t="s">
        <v>11258</v>
      </c>
      <c r="AZT2" s="55" t="s">
        <v>11259</v>
      </c>
      <c r="AZU2" s="55" t="s">
        <v>11260</v>
      </c>
      <c r="AZV2" s="55" t="s">
        <v>11261</v>
      </c>
      <c r="AZW2" s="55" t="s">
        <v>11262</v>
      </c>
      <c r="AZX2" s="55" t="s">
        <v>11263</v>
      </c>
      <c r="AZY2" s="55" t="s">
        <v>11264</v>
      </c>
      <c r="AZZ2" s="55" t="s">
        <v>11265</v>
      </c>
      <c r="BAA2" s="73" t="s">
        <v>11266</v>
      </c>
      <c r="BAB2" s="73" t="s">
        <v>11267</v>
      </c>
      <c r="BAC2" s="73" t="s">
        <v>11268</v>
      </c>
      <c r="BAD2" s="73" t="s">
        <v>11269</v>
      </c>
      <c r="BAE2" s="73" t="s">
        <v>11270</v>
      </c>
      <c r="BAF2" s="73" t="s">
        <v>11271</v>
      </c>
      <c r="BAG2" s="73" t="s">
        <v>11272</v>
      </c>
      <c r="BAH2" s="23" t="s">
        <v>11273</v>
      </c>
      <c r="BAI2" s="23" t="s">
        <v>11274</v>
      </c>
      <c r="BAJ2" s="23" t="s">
        <v>11275</v>
      </c>
      <c r="BAK2" s="23" t="s">
        <v>11276</v>
      </c>
      <c r="BAL2" s="23" t="s">
        <v>11277</v>
      </c>
      <c r="BAM2" s="23" t="s">
        <v>11278</v>
      </c>
      <c r="BAN2" s="23" t="s">
        <v>11279</v>
      </c>
      <c r="BAO2" s="23" t="s">
        <v>11280</v>
      </c>
      <c r="BAP2" s="23" t="s">
        <v>11281</v>
      </c>
      <c r="BAQ2" s="23" t="s">
        <v>11282</v>
      </c>
      <c r="BAR2" s="55" t="s">
        <v>11283</v>
      </c>
      <c r="BAS2" s="55" t="s">
        <v>11284</v>
      </c>
      <c r="BAT2" s="55" t="s">
        <v>11285</v>
      </c>
      <c r="BAU2" s="55" t="s">
        <v>11286</v>
      </c>
      <c r="BAV2" s="73" t="s">
        <v>11287</v>
      </c>
      <c r="BAW2" s="23" t="s">
        <v>11288</v>
      </c>
      <c r="BAX2" s="73" t="s">
        <v>11289</v>
      </c>
      <c r="BAY2" s="23" t="s">
        <v>11290</v>
      </c>
      <c r="BAZ2" s="23" t="s">
        <v>11291</v>
      </c>
      <c r="BBA2" s="23" t="s">
        <v>11292</v>
      </c>
      <c r="BBB2" s="77" t="s">
        <v>11293</v>
      </c>
      <c r="BBC2" s="77" t="s">
        <v>11294</v>
      </c>
      <c r="BBD2" s="77" t="s">
        <v>11295</v>
      </c>
      <c r="BBE2" s="77" t="s">
        <v>11296</v>
      </c>
      <c r="BBF2" s="77" t="s">
        <v>11297</v>
      </c>
      <c r="BBG2" s="77" t="s">
        <v>11298</v>
      </c>
      <c r="BBH2" s="73" t="s">
        <v>11299</v>
      </c>
      <c r="BBI2" s="55" t="s">
        <v>14073</v>
      </c>
      <c r="BBJ2" s="55" t="s">
        <v>14074</v>
      </c>
      <c r="BBK2" s="55" t="s">
        <v>14075</v>
      </c>
      <c r="BBL2" s="55" t="s">
        <v>14076</v>
      </c>
      <c r="BBM2" s="23" t="s">
        <v>11300</v>
      </c>
      <c r="BBN2" s="23" t="s">
        <v>11301</v>
      </c>
      <c r="BBO2" s="23" t="s">
        <v>11302</v>
      </c>
      <c r="BBP2" s="23" t="s">
        <v>11303</v>
      </c>
      <c r="BBQ2" s="23" t="s">
        <v>11304</v>
      </c>
      <c r="BBR2" s="23" t="s">
        <v>11305</v>
      </c>
      <c r="BBS2" s="23" t="s">
        <v>11306</v>
      </c>
      <c r="BBT2" s="23" t="s">
        <v>11307</v>
      </c>
      <c r="BBU2" s="23" t="s">
        <v>11308</v>
      </c>
      <c r="BBV2" s="23" t="s">
        <v>11309</v>
      </c>
      <c r="BBW2" s="23" t="s">
        <v>11310</v>
      </c>
      <c r="BBX2" s="23" t="s">
        <v>14111</v>
      </c>
      <c r="BBY2" s="23" t="s">
        <v>11311</v>
      </c>
      <c r="BBZ2" s="23" t="s">
        <v>11312</v>
      </c>
      <c r="BCA2" s="23" t="s">
        <v>11313</v>
      </c>
      <c r="BCB2" s="23" t="s">
        <v>11314</v>
      </c>
      <c r="BCC2" s="23" t="s">
        <v>11315</v>
      </c>
      <c r="BCD2" s="23" t="s">
        <v>11316</v>
      </c>
      <c r="BCE2" s="23" t="s">
        <v>11317</v>
      </c>
      <c r="BCF2" s="23" t="s">
        <v>11318</v>
      </c>
      <c r="BCG2" s="23" t="s">
        <v>11319</v>
      </c>
      <c r="BCH2" s="23" t="s">
        <v>11320</v>
      </c>
      <c r="BCI2" s="23" t="s">
        <v>11321</v>
      </c>
      <c r="BCJ2" s="23" t="s">
        <v>11322</v>
      </c>
      <c r="BCK2" s="23" t="s">
        <v>14112</v>
      </c>
      <c r="BCL2" s="23" t="s">
        <v>11323</v>
      </c>
      <c r="BCM2" s="23" t="s">
        <v>11324</v>
      </c>
      <c r="BCN2" s="23" t="s">
        <v>11325</v>
      </c>
      <c r="BCO2" s="23" t="s">
        <v>11326</v>
      </c>
      <c r="BCP2" s="23" t="s">
        <v>11327</v>
      </c>
      <c r="BCQ2" s="23" t="s">
        <v>11328</v>
      </c>
      <c r="BCR2" s="23" t="s">
        <v>11329</v>
      </c>
      <c r="BCS2" s="23" t="s">
        <v>11330</v>
      </c>
      <c r="BCT2" s="23" t="s">
        <v>11331</v>
      </c>
      <c r="BCU2" s="23" t="s">
        <v>11332</v>
      </c>
      <c r="BCV2" s="23" t="s">
        <v>11333</v>
      </c>
      <c r="BCW2" s="23" t="s">
        <v>11334</v>
      </c>
      <c r="BCX2" s="23" t="s">
        <v>14113</v>
      </c>
      <c r="BCY2" s="23" t="s">
        <v>11335</v>
      </c>
      <c r="BCZ2" s="23" t="s">
        <v>11336</v>
      </c>
      <c r="BDA2" s="23" t="s">
        <v>11337</v>
      </c>
      <c r="BDB2" s="23" t="s">
        <v>11338</v>
      </c>
      <c r="BDC2" s="23" t="s">
        <v>11339</v>
      </c>
      <c r="BDD2" s="23" t="s">
        <v>11340</v>
      </c>
      <c r="BDE2" s="23" t="s">
        <v>11341</v>
      </c>
      <c r="BDF2" s="23" t="s">
        <v>11342</v>
      </c>
      <c r="BDG2" s="23" t="s">
        <v>11343</v>
      </c>
      <c r="BDH2" s="23" t="s">
        <v>11344</v>
      </c>
      <c r="BDI2" s="23" t="s">
        <v>11345</v>
      </c>
      <c r="BDJ2" s="23" t="s">
        <v>11346</v>
      </c>
      <c r="BDK2" s="23" t="s">
        <v>14114</v>
      </c>
      <c r="BDL2" s="23" t="s">
        <v>11347</v>
      </c>
      <c r="BDM2" s="23" t="s">
        <v>11348</v>
      </c>
      <c r="BDN2" s="23" t="s">
        <v>11349</v>
      </c>
      <c r="BDO2" s="23" t="s">
        <v>11350</v>
      </c>
      <c r="BDP2" s="23" t="s">
        <v>11351</v>
      </c>
      <c r="BDQ2" s="23" t="s">
        <v>11352</v>
      </c>
      <c r="BDR2" s="23" t="s">
        <v>11353</v>
      </c>
      <c r="BDS2" s="23" t="s">
        <v>11354</v>
      </c>
      <c r="BDT2" s="23" t="s">
        <v>11355</v>
      </c>
      <c r="BDU2" s="23" t="s">
        <v>11356</v>
      </c>
      <c r="BDV2" s="23" t="s">
        <v>11357</v>
      </c>
      <c r="BDW2" s="23" t="s">
        <v>11358</v>
      </c>
      <c r="BDX2" s="23" t="s">
        <v>14115</v>
      </c>
      <c r="BDY2" s="23" t="s">
        <v>11359</v>
      </c>
      <c r="BDZ2" s="23" t="s">
        <v>11360</v>
      </c>
      <c r="BEA2" s="23" t="s">
        <v>11361</v>
      </c>
      <c r="BEB2" s="23" t="s">
        <v>11362</v>
      </c>
      <c r="BEC2" s="23" t="s">
        <v>11363</v>
      </c>
      <c r="BED2" s="23" t="s">
        <v>11364</v>
      </c>
      <c r="BEE2" s="23" t="s">
        <v>11365</v>
      </c>
      <c r="BEF2" s="23" t="s">
        <v>11366</v>
      </c>
      <c r="BEG2" s="23" t="s">
        <v>11367</v>
      </c>
      <c r="BEH2" s="23" t="s">
        <v>11368</v>
      </c>
      <c r="BEI2" s="23" t="s">
        <v>11369</v>
      </c>
      <c r="BEJ2" s="23" t="s">
        <v>11370</v>
      </c>
      <c r="BEK2" s="23" t="s">
        <v>14116</v>
      </c>
      <c r="BEL2" s="23" t="s">
        <v>11371</v>
      </c>
      <c r="BEM2" s="73" t="s">
        <v>11372</v>
      </c>
      <c r="BEN2" s="23" t="s">
        <v>11373</v>
      </c>
      <c r="BEO2" s="23" t="s">
        <v>11374</v>
      </c>
      <c r="BEP2" s="73" t="s">
        <v>11375</v>
      </c>
      <c r="BEQ2" s="73" t="s">
        <v>11376</v>
      </c>
      <c r="BER2" s="23" t="s">
        <v>11377</v>
      </c>
      <c r="BES2" s="23" t="s">
        <v>11378</v>
      </c>
      <c r="BET2" s="77" t="s">
        <v>11379</v>
      </c>
      <c r="BEU2" s="77" t="s">
        <v>11380</v>
      </c>
      <c r="BEV2" s="77" t="s">
        <v>14154</v>
      </c>
      <c r="BEW2" s="77" t="s">
        <v>11381</v>
      </c>
      <c r="BEX2" s="77" t="s">
        <v>11382</v>
      </c>
      <c r="BEY2" s="77" t="s">
        <v>11383</v>
      </c>
      <c r="BEZ2" s="77" t="s">
        <v>14280</v>
      </c>
      <c r="BFA2" s="23" t="s">
        <v>11384</v>
      </c>
      <c r="BFB2" s="23" t="s">
        <v>14209</v>
      </c>
      <c r="BFC2" s="23" t="s">
        <v>14155</v>
      </c>
      <c r="BFD2" s="23" t="s">
        <v>14210</v>
      </c>
      <c r="BFE2" s="23" t="s">
        <v>14211</v>
      </c>
      <c r="BFF2" s="23" t="s">
        <v>14212</v>
      </c>
      <c r="BFG2" s="23" t="s">
        <v>14213</v>
      </c>
      <c r="BFH2" s="77" t="s">
        <v>11385</v>
      </c>
      <c r="BFI2" s="77" t="s">
        <v>11386</v>
      </c>
      <c r="BFJ2" s="77" t="s">
        <v>14156</v>
      </c>
      <c r="BFK2" s="77" t="s">
        <v>11387</v>
      </c>
      <c r="BFL2" s="77" t="s">
        <v>11388</v>
      </c>
      <c r="BFM2" s="77" t="s">
        <v>11389</v>
      </c>
      <c r="BFN2" s="77" t="s">
        <v>14281</v>
      </c>
      <c r="BFO2" s="23" t="s">
        <v>11390</v>
      </c>
      <c r="BFP2" s="23" t="s">
        <v>14214</v>
      </c>
      <c r="BFQ2" s="23" t="s">
        <v>14157</v>
      </c>
      <c r="BFR2" s="23" t="s">
        <v>14215</v>
      </c>
      <c r="BFS2" s="23" t="s">
        <v>14216</v>
      </c>
      <c r="BFT2" s="23" t="s">
        <v>11391</v>
      </c>
      <c r="BFU2" s="23" t="s">
        <v>14217</v>
      </c>
      <c r="BFV2" s="73" t="s">
        <v>11392</v>
      </c>
      <c r="BFW2" s="73" t="s">
        <v>11393</v>
      </c>
      <c r="BFX2" s="73" t="s">
        <v>14158</v>
      </c>
      <c r="BFY2" s="73" t="s">
        <v>11394</v>
      </c>
      <c r="BFZ2" s="73" t="s">
        <v>11395</v>
      </c>
      <c r="BGA2" s="73" t="s">
        <v>11396</v>
      </c>
      <c r="BGB2" s="73" t="s">
        <v>11397</v>
      </c>
      <c r="BGC2" s="23" t="s">
        <v>11398</v>
      </c>
      <c r="BGD2" s="23" t="s">
        <v>11399</v>
      </c>
      <c r="BGE2" s="23" t="s">
        <v>14159</v>
      </c>
      <c r="BGF2" s="23" t="s">
        <v>11400</v>
      </c>
      <c r="BGG2" s="23" t="s">
        <v>11401</v>
      </c>
      <c r="BGH2" s="23" t="s">
        <v>11402</v>
      </c>
      <c r="BGI2" s="23" t="s">
        <v>11403</v>
      </c>
      <c r="BGJ2" s="73" t="s">
        <v>11404</v>
      </c>
      <c r="BGK2" s="73" t="s">
        <v>11405</v>
      </c>
      <c r="BGL2" s="73" t="s">
        <v>11406</v>
      </c>
      <c r="BGM2" s="73" t="s">
        <v>11407</v>
      </c>
      <c r="BGN2" s="73" t="s">
        <v>11408</v>
      </c>
      <c r="BGO2" s="73" t="s">
        <v>11409</v>
      </c>
      <c r="BGP2" s="73" t="s">
        <v>11410</v>
      </c>
      <c r="BGQ2" s="73" t="s">
        <v>11411</v>
      </c>
      <c r="BGR2" s="73" t="s">
        <v>11412</v>
      </c>
      <c r="BGS2" s="73" t="s">
        <v>11413</v>
      </c>
      <c r="BGT2" s="23" t="s">
        <v>11414</v>
      </c>
      <c r="BGU2" s="23" t="s">
        <v>11415</v>
      </c>
      <c r="BGV2" s="23" t="s">
        <v>11416</v>
      </c>
      <c r="BGW2" s="23" t="s">
        <v>11417</v>
      </c>
      <c r="BGX2" s="23" t="s">
        <v>11418</v>
      </c>
      <c r="BGY2" s="23" t="s">
        <v>11419</v>
      </c>
      <c r="BGZ2" s="23" t="s">
        <v>11420</v>
      </c>
      <c r="BHA2" s="23" t="s">
        <v>11421</v>
      </c>
      <c r="BHB2" s="23" t="s">
        <v>11422</v>
      </c>
      <c r="BHC2" s="77" t="s">
        <v>11423</v>
      </c>
      <c r="BHD2" s="77" t="s">
        <v>11424</v>
      </c>
      <c r="BHE2" s="77" t="s">
        <v>11425</v>
      </c>
      <c r="BHF2" s="77" t="s">
        <v>11426</v>
      </c>
      <c r="BHG2" s="77" t="s">
        <v>11427</v>
      </c>
      <c r="BHH2" s="77" t="s">
        <v>11428</v>
      </c>
      <c r="BHI2" s="77" t="s">
        <v>11429</v>
      </c>
      <c r="BHJ2" s="77" t="s">
        <v>11430</v>
      </c>
      <c r="BHK2" s="77" t="s">
        <v>11431</v>
      </c>
      <c r="BHL2" s="77" t="s">
        <v>11432</v>
      </c>
      <c r="BHM2" s="77" t="s">
        <v>11433</v>
      </c>
      <c r="BHN2" s="77" t="s">
        <v>11434</v>
      </c>
      <c r="BHO2" s="77" t="s">
        <v>11435</v>
      </c>
      <c r="BHP2" s="77" t="s">
        <v>11436</v>
      </c>
      <c r="BHQ2" s="77" t="s">
        <v>11437</v>
      </c>
      <c r="BHR2" s="77" t="s">
        <v>11438</v>
      </c>
      <c r="BHS2" s="77" t="s">
        <v>11439</v>
      </c>
      <c r="BHT2" s="77" t="s">
        <v>11440</v>
      </c>
      <c r="BHU2" s="77" t="s">
        <v>11441</v>
      </c>
      <c r="BHV2" s="77" t="s">
        <v>11442</v>
      </c>
      <c r="BHW2" s="77" t="s">
        <v>11443</v>
      </c>
      <c r="BHX2" s="77" t="s">
        <v>11444</v>
      </c>
      <c r="BHY2" s="77" t="s">
        <v>11445</v>
      </c>
      <c r="BHZ2" s="77" t="s">
        <v>11446</v>
      </c>
      <c r="BIA2" s="77" t="s">
        <v>11447</v>
      </c>
      <c r="BIB2" s="77" t="s">
        <v>11448</v>
      </c>
      <c r="BIC2" s="77" t="s">
        <v>11449</v>
      </c>
      <c r="BID2" s="77" t="s">
        <v>11450</v>
      </c>
      <c r="BIE2" s="23" t="s">
        <v>11451</v>
      </c>
      <c r="BIF2" s="23" t="s">
        <v>11452</v>
      </c>
      <c r="BIG2" s="23" t="s">
        <v>11453</v>
      </c>
      <c r="BIH2" s="23" t="s">
        <v>11454</v>
      </c>
      <c r="BII2" s="23" t="s">
        <v>11455</v>
      </c>
      <c r="BIJ2" s="23" t="s">
        <v>11456</v>
      </c>
      <c r="BIK2" s="23" t="s">
        <v>11457</v>
      </c>
      <c r="BIL2" s="77" t="s">
        <v>11458</v>
      </c>
      <c r="BIM2" s="77" t="s">
        <v>11459</v>
      </c>
      <c r="BIN2" s="77" t="s">
        <v>11460</v>
      </c>
      <c r="BIO2" s="77" t="s">
        <v>11461</v>
      </c>
      <c r="BIP2" s="77" t="s">
        <v>11462</v>
      </c>
      <c r="BIQ2" s="77" t="s">
        <v>11463</v>
      </c>
      <c r="BIR2" s="77" t="s">
        <v>11464</v>
      </c>
      <c r="BIS2" s="77" t="s">
        <v>11465</v>
      </c>
      <c r="BIT2" s="77" t="s">
        <v>11466</v>
      </c>
      <c r="BIU2" s="77" t="s">
        <v>11467</v>
      </c>
      <c r="BIV2" s="77" t="s">
        <v>11468</v>
      </c>
      <c r="BIW2" s="77" t="s">
        <v>11469</v>
      </c>
      <c r="BIX2" s="77" t="s">
        <v>11470</v>
      </c>
      <c r="BIY2" s="77" t="s">
        <v>11471</v>
      </c>
      <c r="BIZ2" s="23" t="s">
        <v>11472</v>
      </c>
      <c r="BJA2" s="23" t="s">
        <v>11473</v>
      </c>
      <c r="BJB2" s="23" t="s">
        <v>11474</v>
      </c>
      <c r="BJC2" s="23" t="s">
        <v>11475</v>
      </c>
      <c r="BJD2" s="23" t="s">
        <v>11476</v>
      </c>
      <c r="BJE2" s="23" t="s">
        <v>11477</v>
      </c>
      <c r="BJF2" s="23" t="s">
        <v>11478</v>
      </c>
      <c r="BJG2" s="77" t="s">
        <v>11479</v>
      </c>
      <c r="BJH2" s="77" t="s">
        <v>11480</v>
      </c>
      <c r="BJI2" s="77" t="s">
        <v>11481</v>
      </c>
      <c r="BJJ2" s="77" t="s">
        <v>11482</v>
      </c>
      <c r="BJK2" s="77" t="s">
        <v>11483</v>
      </c>
      <c r="BJL2" s="77" t="s">
        <v>11484</v>
      </c>
      <c r="BJM2" s="77" t="s">
        <v>11485</v>
      </c>
      <c r="BJN2" s="77" t="s">
        <v>11486</v>
      </c>
      <c r="BJO2" s="77" t="s">
        <v>11487</v>
      </c>
      <c r="BJP2" s="77" t="s">
        <v>11488</v>
      </c>
      <c r="BJQ2" s="77" t="s">
        <v>11489</v>
      </c>
      <c r="BJR2" s="77" t="s">
        <v>11490</v>
      </c>
      <c r="BJS2" s="77" t="s">
        <v>11491</v>
      </c>
      <c r="BJT2" s="77" t="s">
        <v>11492</v>
      </c>
      <c r="BJU2" s="23" t="s">
        <v>11493</v>
      </c>
      <c r="BJV2" s="23" t="s">
        <v>11494</v>
      </c>
      <c r="BJW2" s="23" t="s">
        <v>11495</v>
      </c>
      <c r="BJX2" s="23" t="s">
        <v>11496</v>
      </c>
      <c r="BJY2" s="23" t="s">
        <v>11497</v>
      </c>
      <c r="BJZ2" s="23" t="s">
        <v>11498</v>
      </c>
      <c r="BKA2" s="23" t="s">
        <v>11499</v>
      </c>
      <c r="BKB2" s="77" t="s">
        <v>11500</v>
      </c>
      <c r="BKC2" s="77" t="s">
        <v>11501</v>
      </c>
      <c r="BKD2" s="77" t="s">
        <v>11502</v>
      </c>
      <c r="BKE2" s="77" t="s">
        <v>11503</v>
      </c>
      <c r="BKF2" s="77" t="s">
        <v>11504</v>
      </c>
      <c r="BKG2" s="77" t="s">
        <v>11505</v>
      </c>
      <c r="BKH2" s="77" t="s">
        <v>11506</v>
      </c>
      <c r="BKI2" s="77" t="s">
        <v>11507</v>
      </c>
      <c r="BKJ2" s="77" t="s">
        <v>11508</v>
      </c>
      <c r="BKK2" s="77" t="s">
        <v>11509</v>
      </c>
      <c r="BKL2" s="77" t="s">
        <v>11510</v>
      </c>
      <c r="BKM2" s="77" t="s">
        <v>11511</v>
      </c>
      <c r="BKN2" s="77" t="s">
        <v>11512</v>
      </c>
      <c r="BKO2" s="77" t="s">
        <v>11513</v>
      </c>
      <c r="BKP2" s="23" t="s">
        <v>11514</v>
      </c>
      <c r="BKQ2" s="23" t="s">
        <v>11515</v>
      </c>
      <c r="BKR2" s="23" t="s">
        <v>11516</v>
      </c>
      <c r="BKS2" s="23" t="s">
        <v>11517</v>
      </c>
      <c r="BKT2" s="23" t="s">
        <v>11518</v>
      </c>
      <c r="BKU2" s="23" t="s">
        <v>11519</v>
      </c>
      <c r="BKV2" s="23" t="s">
        <v>11520</v>
      </c>
      <c r="BKW2" s="77" t="s">
        <v>11521</v>
      </c>
      <c r="BKX2" s="77" t="s">
        <v>11522</v>
      </c>
      <c r="BKY2" s="77" t="s">
        <v>11523</v>
      </c>
      <c r="BKZ2" s="77" t="s">
        <v>11524</v>
      </c>
      <c r="BLA2" s="77" t="s">
        <v>11525</v>
      </c>
      <c r="BLB2" s="77" t="s">
        <v>11526</v>
      </c>
      <c r="BLC2" s="77" t="s">
        <v>11527</v>
      </c>
      <c r="BLD2" s="77" t="s">
        <v>11528</v>
      </c>
      <c r="BLE2" s="77" t="s">
        <v>11529</v>
      </c>
      <c r="BLF2" s="77" t="s">
        <v>11530</v>
      </c>
      <c r="BLG2" s="77" t="s">
        <v>11531</v>
      </c>
      <c r="BLH2" s="77" t="s">
        <v>11532</v>
      </c>
      <c r="BLI2" s="77" t="s">
        <v>11533</v>
      </c>
      <c r="BLJ2" s="77" t="s">
        <v>11534</v>
      </c>
      <c r="BLK2" s="23" t="s">
        <v>11535</v>
      </c>
      <c r="BLL2" s="73" t="s">
        <v>11536</v>
      </c>
      <c r="BLM2" s="23" t="s">
        <v>11537</v>
      </c>
      <c r="BLN2" s="73" t="s">
        <v>11538</v>
      </c>
      <c r="BLO2" s="73" t="s">
        <v>11539</v>
      </c>
      <c r="BLP2" s="73" t="s">
        <v>11540</v>
      </c>
      <c r="BLQ2" s="55" t="s">
        <v>11541</v>
      </c>
      <c r="BLR2" s="55" t="s">
        <v>11542</v>
      </c>
      <c r="BLS2" s="55" t="s">
        <v>11543</v>
      </c>
      <c r="BLT2" s="55" t="s">
        <v>11544</v>
      </c>
      <c r="BLU2" s="55" t="s">
        <v>11545</v>
      </c>
      <c r="BLV2" s="55" t="s">
        <v>11546</v>
      </c>
      <c r="BLW2" s="23" t="s">
        <v>11547</v>
      </c>
      <c r="BLX2" s="77" t="s">
        <v>14077</v>
      </c>
      <c r="BLY2" s="77" t="s">
        <v>14078</v>
      </c>
      <c r="BLZ2" s="77" t="s">
        <v>14079</v>
      </c>
      <c r="BMA2" s="77" t="s">
        <v>14080</v>
      </c>
      <c r="BMB2" s="73" t="s">
        <v>11548</v>
      </c>
      <c r="BMC2" s="73" t="s">
        <v>11549</v>
      </c>
      <c r="BMD2" s="73" t="s">
        <v>11550</v>
      </c>
      <c r="BME2" s="73" t="s">
        <v>11551</v>
      </c>
      <c r="BMF2" s="73" t="s">
        <v>11552</v>
      </c>
      <c r="BMG2" s="73" t="s">
        <v>11553</v>
      </c>
      <c r="BMH2" s="73" t="s">
        <v>11554</v>
      </c>
      <c r="BMI2" s="73" t="s">
        <v>11555</v>
      </c>
      <c r="BMJ2" s="73" t="s">
        <v>11556</v>
      </c>
      <c r="BMK2" s="73" t="s">
        <v>11557</v>
      </c>
      <c r="BML2" s="73" t="s">
        <v>11558</v>
      </c>
      <c r="BMM2" s="73" t="s">
        <v>14117</v>
      </c>
      <c r="BMN2" s="73" t="s">
        <v>11559</v>
      </c>
      <c r="BMO2" s="73" t="s">
        <v>11560</v>
      </c>
      <c r="BMP2" s="73" t="s">
        <v>11561</v>
      </c>
      <c r="BMQ2" s="73" t="s">
        <v>11562</v>
      </c>
      <c r="BMR2" s="73" t="s">
        <v>11563</v>
      </c>
      <c r="BMS2" s="73" t="s">
        <v>11564</v>
      </c>
      <c r="BMT2" s="73" t="s">
        <v>11565</v>
      </c>
      <c r="BMU2" s="73" t="s">
        <v>11566</v>
      </c>
      <c r="BMV2" s="73" t="s">
        <v>11567</v>
      </c>
      <c r="BMW2" s="73" t="s">
        <v>11568</v>
      </c>
      <c r="BMX2" s="73" t="s">
        <v>11569</v>
      </c>
      <c r="BMY2" s="73" t="s">
        <v>11570</v>
      </c>
      <c r="BMZ2" s="73" t="s">
        <v>14118</v>
      </c>
      <c r="BNA2" s="73" t="s">
        <v>11571</v>
      </c>
      <c r="BNB2" s="73" t="s">
        <v>11572</v>
      </c>
      <c r="BNC2" s="73" t="s">
        <v>11573</v>
      </c>
      <c r="BND2" s="73" t="s">
        <v>11574</v>
      </c>
      <c r="BNE2" s="73" t="s">
        <v>11575</v>
      </c>
      <c r="BNF2" s="73" t="s">
        <v>11576</v>
      </c>
      <c r="BNG2" s="73" t="s">
        <v>11577</v>
      </c>
      <c r="BNH2" s="73" t="s">
        <v>11578</v>
      </c>
      <c r="BNI2" s="73" t="s">
        <v>11579</v>
      </c>
      <c r="BNJ2" s="73" t="s">
        <v>11580</v>
      </c>
      <c r="BNK2" s="73" t="s">
        <v>11581</v>
      </c>
      <c r="BNL2" s="73" t="s">
        <v>11582</v>
      </c>
      <c r="BNM2" s="73" t="s">
        <v>14119</v>
      </c>
      <c r="BNN2" s="73" t="s">
        <v>11583</v>
      </c>
      <c r="BNO2" s="73" t="s">
        <v>11584</v>
      </c>
      <c r="BNP2" s="73" t="s">
        <v>11585</v>
      </c>
      <c r="BNQ2" s="73" t="s">
        <v>11586</v>
      </c>
      <c r="BNR2" s="73" t="s">
        <v>11587</v>
      </c>
      <c r="BNS2" s="73" t="s">
        <v>11588</v>
      </c>
      <c r="BNT2" s="73" t="s">
        <v>11589</v>
      </c>
      <c r="BNU2" s="73" t="s">
        <v>11590</v>
      </c>
      <c r="BNV2" s="73" t="s">
        <v>11591</v>
      </c>
      <c r="BNW2" s="73" t="s">
        <v>11592</v>
      </c>
      <c r="BNX2" s="73" t="s">
        <v>11593</v>
      </c>
      <c r="BNY2" s="73" t="s">
        <v>11594</v>
      </c>
      <c r="BNZ2" s="73" t="s">
        <v>14120</v>
      </c>
      <c r="BOA2" s="73" t="s">
        <v>11595</v>
      </c>
      <c r="BOB2" s="73" t="s">
        <v>11596</v>
      </c>
      <c r="BOC2" s="73" t="s">
        <v>11597</v>
      </c>
      <c r="BOD2" s="73" t="s">
        <v>11598</v>
      </c>
      <c r="BOE2" s="73" t="s">
        <v>11599</v>
      </c>
      <c r="BOF2" s="73" t="s">
        <v>11600</v>
      </c>
      <c r="BOG2" s="73" t="s">
        <v>11601</v>
      </c>
      <c r="BOH2" s="73" t="s">
        <v>11602</v>
      </c>
      <c r="BOI2" s="73" t="s">
        <v>11603</v>
      </c>
      <c r="BOJ2" s="73" t="s">
        <v>11604</v>
      </c>
      <c r="BOK2" s="73" t="s">
        <v>11605</v>
      </c>
      <c r="BOL2" s="73" t="s">
        <v>11606</v>
      </c>
      <c r="BOM2" s="73" t="s">
        <v>14121</v>
      </c>
      <c r="BON2" s="73" t="s">
        <v>11607</v>
      </c>
      <c r="BOO2" s="73" t="s">
        <v>11608</v>
      </c>
      <c r="BOP2" s="73" t="s">
        <v>11609</v>
      </c>
      <c r="BOQ2" s="73" t="s">
        <v>11610</v>
      </c>
      <c r="BOR2" s="73" t="s">
        <v>11611</v>
      </c>
      <c r="BOS2" s="73" t="s">
        <v>11612</v>
      </c>
      <c r="BOT2" s="73" t="s">
        <v>11613</v>
      </c>
      <c r="BOU2" s="73" t="s">
        <v>11614</v>
      </c>
      <c r="BOV2" s="73" t="s">
        <v>11615</v>
      </c>
      <c r="BOW2" s="73" t="s">
        <v>11616</v>
      </c>
      <c r="BOX2" s="73" t="s">
        <v>11617</v>
      </c>
      <c r="BOY2" s="73" t="s">
        <v>11618</v>
      </c>
      <c r="BOZ2" s="73" t="s">
        <v>14122</v>
      </c>
      <c r="BPA2" s="73" t="s">
        <v>11619</v>
      </c>
      <c r="BPB2" s="23" t="s">
        <v>11620</v>
      </c>
      <c r="BPC2" s="73" t="s">
        <v>11621</v>
      </c>
      <c r="BPD2" s="73" t="s">
        <v>11622</v>
      </c>
      <c r="BPE2" s="23" t="s">
        <v>11623</v>
      </c>
      <c r="BPF2" s="23" t="s">
        <v>11624</v>
      </c>
      <c r="BPG2" s="73" t="s">
        <v>11625</v>
      </c>
      <c r="BPH2" s="73" t="s">
        <v>11626</v>
      </c>
      <c r="BPI2" s="55" t="s">
        <v>11627</v>
      </c>
      <c r="BPJ2" s="55" t="s">
        <v>11628</v>
      </c>
      <c r="BPK2" s="55" t="s">
        <v>14160</v>
      </c>
      <c r="BPL2" s="55" t="s">
        <v>11629</v>
      </c>
      <c r="BPM2" s="55" t="s">
        <v>11630</v>
      </c>
      <c r="BPN2" s="55" t="s">
        <v>11631</v>
      </c>
      <c r="BPO2" s="55" t="s">
        <v>14282</v>
      </c>
      <c r="BPP2" s="73" t="s">
        <v>11632</v>
      </c>
      <c r="BPQ2" s="73" t="s">
        <v>14218</v>
      </c>
      <c r="BPR2" s="73" t="s">
        <v>14161</v>
      </c>
      <c r="BPS2" s="73" t="s">
        <v>14219</v>
      </c>
      <c r="BPT2" s="73" t="s">
        <v>14220</v>
      </c>
      <c r="BPU2" s="73" t="s">
        <v>14221</v>
      </c>
      <c r="BPV2" s="73" t="s">
        <v>14222</v>
      </c>
      <c r="BPW2" s="55" t="s">
        <v>11633</v>
      </c>
      <c r="BPX2" s="55" t="s">
        <v>11634</v>
      </c>
      <c r="BPY2" s="55" t="s">
        <v>14162</v>
      </c>
      <c r="BPZ2" s="55" t="s">
        <v>11635</v>
      </c>
      <c r="BQA2" s="55" t="s">
        <v>11636</v>
      </c>
      <c r="BQB2" s="55" t="s">
        <v>11637</v>
      </c>
      <c r="BQC2" s="55" t="s">
        <v>14283</v>
      </c>
      <c r="BQD2" s="73" t="s">
        <v>11638</v>
      </c>
      <c r="BQE2" s="73" t="s">
        <v>14223</v>
      </c>
      <c r="BQF2" s="73" t="s">
        <v>14163</v>
      </c>
      <c r="BQG2" s="73" t="s">
        <v>14224</v>
      </c>
      <c r="BQH2" s="73" t="s">
        <v>14225</v>
      </c>
      <c r="BQI2" s="73" t="s">
        <v>11639</v>
      </c>
      <c r="BQJ2" s="73" t="s">
        <v>14226</v>
      </c>
      <c r="BQK2" s="23" t="s">
        <v>11640</v>
      </c>
      <c r="BQL2" s="23" t="s">
        <v>11641</v>
      </c>
      <c r="BQM2" s="23" t="s">
        <v>14164</v>
      </c>
      <c r="BQN2" s="23" t="s">
        <v>11642</v>
      </c>
      <c r="BQO2" s="23" t="s">
        <v>11643</v>
      </c>
      <c r="BQP2" s="23" t="s">
        <v>11644</v>
      </c>
      <c r="BQQ2" s="23" t="s">
        <v>11645</v>
      </c>
      <c r="BQR2" s="73" t="s">
        <v>13699</v>
      </c>
      <c r="BQS2" s="73" t="s">
        <v>13700</v>
      </c>
      <c r="BQT2" s="73" t="s">
        <v>14165</v>
      </c>
      <c r="BQU2" s="73" t="s">
        <v>13701</v>
      </c>
      <c r="BQV2" s="73" t="s">
        <v>13702</v>
      </c>
      <c r="BQW2" s="73" t="s">
        <v>13703</v>
      </c>
      <c r="BQX2" s="73" t="s">
        <v>13704</v>
      </c>
      <c r="BQY2" s="23" t="s">
        <v>11646</v>
      </c>
      <c r="BQZ2" s="23" t="s">
        <v>11647</v>
      </c>
      <c r="BRA2" s="23" t="s">
        <v>11648</v>
      </c>
      <c r="BRB2" s="23" t="s">
        <v>11649</v>
      </c>
      <c r="BRC2" s="23" t="s">
        <v>11650</v>
      </c>
      <c r="BRD2" s="23" t="s">
        <v>11651</v>
      </c>
      <c r="BRE2" s="23" t="s">
        <v>11652</v>
      </c>
      <c r="BRF2" s="23" t="s">
        <v>11653</v>
      </c>
      <c r="BRG2" s="23" t="s">
        <v>11654</v>
      </c>
      <c r="BRH2" s="23" t="s">
        <v>11655</v>
      </c>
      <c r="BRI2" s="73" t="s">
        <v>11656</v>
      </c>
      <c r="BRJ2" s="73" t="s">
        <v>11657</v>
      </c>
      <c r="BRK2" s="73" t="s">
        <v>11658</v>
      </c>
      <c r="BRL2" s="73" t="s">
        <v>11659</v>
      </c>
      <c r="BRM2" s="73" t="s">
        <v>11660</v>
      </c>
      <c r="BRN2" s="73" t="s">
        <v>11661</v>
      </c>
      <c r="BRO2" s="73" t="s">
        <v>11662</v>
      </c>
      <c r="BRP2" s="73" t="s">
        <v>11663</v>
      </c>
      <c r="BRQ2" s="73" t="s">
        <v>11664</v>
      </c>
      <c r="BRR2" s="55" t="s">
        <v>11665</v>
      </c>
      <c r="BRS2" s="55" t="s">
        <v>11666</v>
      </c>
      <c r="BRT2" s="55" t="s">
        <v>11667</v>
      </c>
      <c r="BRU2" s="55" t="s">
        <v>11668</v>
      </c>
      <c r="BRV2" s="55" t="s">
        <v>11669</v>
      </c>
      <c r="BRW2" s="55" t="s">
        <v>11670</v>
      </c>
      <c r="BRX2" s="55" t="s">
        <v>11671</v>
      </c>
      <c r="BRY2" s="55" t="s">
        <v>11672</v>
      </c>
      <c r="BRZ2" s="55" t="s">
        <v>11673</v>
      </c>
      <c r="BSA2" s="55" t="s">
        <v>11674</v>
      </c>
      <c r="BSB2" s="55" t="s">
        <v>11675</v>
      </c>
      <c r="BSC2" s="55" t="s">
        <v>11676</v>
      </c>
      <c r="BSD2" s="55" t="s">
        <v>11677</v>
      </c>
      <c r="BSE2" s="55" t="s">
        <v>11678</v>
      </c>
      <c r="BSF2" s="55" t="s">
        <v>11679</v>
      </c>
      <c r="BSG2" s="55" t="s">
        <v>11680</v>
      </c>
      <c r="BSH2" s="55" t="s">
        <v>11681</v>
      </c>
      <c r="BSI2" s="55" t="s">
        <v>11682</v>
      </c>
      <c r="BSJ2" s="55" t="s">
        <v>11683</v>
      </c>
      <c r="BSK2" s="55" t="s">
        <v>11684</v>
      </c>
      <c r="BSL2" s="55" t="s">
        <v>11685</v>
      </c>
      <c r="BSM2" s="55" t="s">
        <v>11686</v>
      </c>
      <c r="BSN2" s="55" t="s">
        <v>11687</v>
      </c>
      <c r="BSO2" s="55" t="s">
        <v>11688</v>
      </c>
      <c r="BSP2" s="55" t="s">
        <v>11689</v>
      </c>
      <c r="BSQ2" s="55" t="s">
        <v>11690</v>
      </c>
      <c r="BSR2" s="55" t="s">
        <v>11691</v>
      </c>
      <c r="BSS2" s="55" t="s">
        <v>11692</v>
      </c>
      <c r="BST2" s="73" t="s">
        <v>11693</v>
      </c>
      <c r="BSU2" s="73" t="s">
        <v>11694</v>
      </c>
      <c r="BSV2" s="73" t="s">
        <v>11695</v>
      </c>
      <c r="BSW2" s="73" t="s">
        <v>11696</v>
      </c>
      <c r="BSX2" s="73" t="s">
        <v>11697</v>
      </c>
      <c r="BSY2" s="73" t="s">
        <v>11698</v>
      </c>
      <c r="BSZ2" s="73" t="s">
        <v>11699</v>
      </c>
      <c r="BTA2" s="55" t="s">
        <v>11700</v>
      </c>
      <c r="BTB2" s="55" t="s">
        <v>11701</v>
      </c>
      <c r="BTC2" s="55" t="s">
        <v>11702</v>
      </c>
      <c r="BTD2" s="55" t="s">
        <v>11703</v>
      </c>
      <c r="BTE2" s="55" t="s">
        <v>11704</v>
      </c>
      <c r="BTF2" s="55" t="s">
        <v>11705</v>
      </c>
      <c r="BTG2" s="55" t="s">
        <v>11706</v>
      </c>
      <c r="BTH2" s="55" t="s">
        <v>11707</v>
      </c>
      <c r="BTI2" s="55" t="s">
        <v>11708</v>
      </c>
      <c r="BTJ2" s="55" t="s">
        <v>11709</v>
      </c>
      <c r="BTK2" s="55" t="s">
        <v>11710</v>
      </c>
      <c r="BTL2" s="55" t="s">
        <v>11711</v>
      </c>
      <c r="BTM2" s="55" t="s">
        <v>11712</v>
      </c>
      <c r="BTN2" s="55" t="s">
        <v>11713</v>
      </c>
      <c r="BTO2" s="73" t="s">
        <v>11714</v>
      </c>
      <c r="BTP2" s="73" t="s">
        <v>11715</v>
      </c>
      <c r="BTQ2" s="73" t="s">
        <v>11716</v>
      </c>
      <c r="BTR2" s="73" t="s">
        <v>11717</v>
      </c>
      <c r="BTS2" s="73" t="s">
        <v>11718</v>
      </c>
      <c r="BTT2" s="73" t="s">
        <v>11719</v>
      </c>
      <c r="BTU2" s="73" t="s">
        <v>11720</v>
      </c>
      <c r="BTV2" s="23" t="s">
        <v>11721</v>
      </c>
      <c r="BTW2" s="23" t="s">
        <v>11722</v>
      </c>
      <c r="BTX2" s="23" t="s">
        <v>11723</v>
      </c>
      <c r="BTY2" s="23" t="s">
        <v>11724</v>
      </c>
      <c r="BTZ2" s="23" t="s">
        <v>11725</v>
      </c>
      <c r="BUA2" s="23" t="s">
        <v>11726</v>
      </c>
      <c r="BUB2" s="23" t="s">
        <v>11727</v>
      </c>
      <c r="BUC2" s="23" t="s">
        <v>11728</v>
      </c>
      <c r="BUD2" s="23" t="s">
        <v>11729</v>
      </c>
      <c r="BUE2" s="23" t="s">
        <v>11730</v>
      </c>
      <c r="BUF2" s="23" t="s">
        <v>11731</v>
      </c>
      <c r="BUG2" s="23" t="s">
        <v>11732</v>
      </c>
      <c r="BUH2" s="23" t="s">
        <v>11733</v>
      </c>
      <c r="BUI2" s="23" t="s">
        <v>11734</v>
      </c>
      <c r="BUJ2" s="73" t="s">
        <v>11735</v>
      </c>
      <c r="BUK2" s="73" t="s">
        <v>11736</v>
      </c>
      <c r="BUL2" s="73" t="s">
        <v>11737</v>
      </c>
      <c r="BUM2" s="73" t="s">
        <v>11738</v>
      </c>
      <c r="BUN2" s="73" t="s">
        <v>11739</v>
      </c>
      <c r="BUO2" s="73" t="s">
        <v>11740</v>
      </c>
      <c r="BUP2" s="73" t="s">
        <v>11741</v>
      </c>
      <c r="BUQ2" s="55" t="s">
        <v>11742</v>
      </c>
      <c r="BUR2" s="55" t="s">
        <v>11743</v>
      </c>
      <c r="BUS2" s="55" t="s">
        <v>11744</v>
      </c>
      <c r="BUT2" s="55" t="s">
        <v>11745</v>
      </c>
      <c r="BUU2" s="55" t="s">
        <v>11746</v>
      </c>
      <c r="BUV2" s="55" t="s">
        <v>11747</v>
      </c>
      <c r="BUW2" s="55" t="s">
        <v>11748</v>
      </c>
      <c r="BUX2" s="55" t="s">
        <v>11749</v>
      </c>
      <c r="BUY2" s="55" t="s">
        <v>11750</v>
      </c>
      <c r="BUZ2" s="55" t="s">
        <v>11751</v>
      </c>
      <c r="BVA2" s="55" t="s">
        <v>11752</v>
      </c>
      <c r="BVB2" s="55" t="s">
        <v>11753</v>
      </c>
      <c r="BVC2" s="55" t="s">
        <v>11754</v>
      </c>
      <c r="BVD2" s="55" t="s">
        <v>11755</v>
      </c>
      <c r="BVE2" s="73" t="s">
        <v>11756</v>
      </c>
      <c r="BVF2" s="73" t="s">
        <v>11757</v>
      </c>
      <c r="BVG2" s="73" t="s">
        <v>11758</v>
      </c>
      <c r="BVH2" s="73" t="s">
        <v>11759</v>
      </c>
      <c r="BVI2" s="73" t="s">
        <v>11760</v>
      </c>
      <c r="BVJ2" s="73" t="s">
        <v>11761</v>
      </c>
      <c r="BVK2" s="73" t="s">
        <v>11762</v>
      </c>
      <c r="BVL2" s="23" t="s">
        <v>11763</v>
      </c>
      <c r="BVM2" s="23" t="s">
        <v>11764</v>
      </c>
      <c r="BVN2" s="23" t="s">
        <v>11765</v>
      </c>
      <c r="BVO2" s="23" t="s">
        <v>11766</v>
      </c>
      <c r="BVP2" s="23" t="s">
        <v>11767</v>
      </c>
      <c r="BVQ2" s="23" t="s">
        <v>11768</v>
      </c>
      <c r="BVR2" s="23" t="s">
        <v>11769</v>
      </c>
      <c r="BVS2" s="23" t="s">
        <v>11770</v>
      </c>
      <c r="BVT2" s="23" t="s">
        <v>11771</v>
      </c>
      <c r="BVU2" s="23" t="s">
        <v>11772</v>
      </c>
      <c r="BVV2" s="23" t="s">
        <v>11773</v>
      </c>
      <c r="BVW2" s="23" t="s">
        <v>11774</v>
      </c>
      <c r="BVX2" s="23" t="s">
        <v>11775</v>
      </c>
      <c r="BVY2" s="23" t="s">
        <v>11776</v>
      </c>
      <c r="BVZ2" s="73" t="s">
        <v>11777</v>
      </c>
      <c r="BWA2" s="23" t="s">
        <v>11778</v>
      </c>
      <c r="BWB2" s="73" t="s">
        <v>11779</v>
      </c>
      <c r="BWC2" s="23" t="s">
        <v>11780</v>
      </c>
      <c r="BWD2" s="23" t="s">
        <v>11781</v>
      </c>
      <c r="BWE2" s="23" t="s">
        <v>11782</v>
      </c>
      <c r="BWF2" s="23" t="s">
        <v>11783</v>
      </c>
      <c r="BWG2" s="23" t="s">
        <v>11784</v>
      </c>
      <c r="BWH2" s="73" t="s">
        <v>11785</v>
      </c>
      <c r="BWI2" s="73" t="s">
        <v>11786</v>
      </c>
      <c r="BWJ2" s="73" t="s">
        <v>11787</v>
      </c>
      <c r="BWK2" s="73" t="s">
        <v>11788</v>
      </c>
      <c r="BWL2" s="77" t="s">
        <v>11789</v>
      </c>
      <c r="BWM2" s="73" t="s">
        <v>11790</v>
      </c>
      <c r="BWN2" s="77" t="s">
        <v>11791</v>
      </c>
      <c r="BWO2" s="73" t="s">
        <v>11792</v>
      </c>
      <c r="BWP2" s="73" t="s">
        <v>11793</v>
      </c>
      <c r="BWQ2" s="73" t="s">
        <v>11794</v>
      </c>
      <c r="BWR2" s="73" t="s">
        <v>11795</v>
      </c>
      <c r="BWS2" s="73" t="s">
        <v>11796</v>
      </c>
      <c r="BWT2" s="73" t="s">
        <v>11797</v>
      </c>
      <c r="BWU2" s="77" t="s">
        <v>11798</v>
      </c>
      <c r="BWV2" s="73" t="s">
        <v>11799</v>
      </c>
      <c r="BWW2" s="73" t="s">
        <v>11800</v>
      </c>
      <c r="BWX2" s="23" t="s">
        <v>11801</v>
      </c>
      <c r="BWY2" s="23" t="s">
        <v>11802</v>
      </c>
      <c r="BWZ2" s="23" t="s">
        <v>11803</v>
      </c>
      <c r="BXA2" s="55" t="s">
        <v>11804</v>
      </c>
      <c r="BXB2" s="23" t="s">
        <v>11805</v>
      </c>
      <c r="BXC2" s="55" t="s">
        <v>11806</v>
      </c>
      <c r="BXD2" s="73" t="s">
        <v>11807</v>
      </c>
      <c r="BXE2" s="73" t="s">
        <v>11808</v>
      </c>
      <c r="BXF2" s="73" t="s">
        <v>11809</v>
      </c>
      <c r="BXG2" s="77" t="s">
        <v>11810</v>
      </c>
      <c r="BXH2" s="73" t="s">
        <v>11811</v>
      </c>
      <c r="BXI2" s="77" t="s">
        <v>11812</v>
      </c>
      <c r="BXJ2" s="23" t="s">
        <v>11813</v>
      </c>
      <c r="BXK2" s="23" t="s">
        <v>11814</v>
      </c>
      <c r="BXL2" s="23" t="s">
        <v>11815</v>
      </c>
      <c r="BXM2" s="23" t="s">
        <v>13725</v>
      </c>
      <c r="BXN2" s="23" t="s">
        <v>13724</v>
      </c>
      <c r="BXO2" s="23" t="s">
        <v>11816</v>
      </c>
      <c r="BXP2" s="23" t="s">
        <v>11817</v>
      </c>
      <c r="BXQ2" s="23" t="s">
        <v>11818</v>
      </c>
      <c r="BXR2" s="23" t="s">
        <v>11819</v>
      </c>
      <c r="BXS2" s="23" t="s">
        <v>11820</v>
      </c>
      <c r="BXT2" s="23" t="s">
        <v>11821</v>
      </c>
      <c r="BXU2" s="23" t="s">
        <v>11822</v>
      </c>
      <c r="BXV2" s="23" t="s">
        <v>11823</v>
      </c>
      <c r="BXW2" s="23" t="s">
        <v>11824</v>
      </c>
      <c r="BXX2" s="23" t="s">
        <v>11825</v>
      </c>
      <c r="BXY2" s="23" t="s">
        <v>11826</v>
      </c>
      <c r="BXZ2" s="23" t="s">
        <v>11827</v>
      </c>
      <c r="BYA2" s="23" t="s">
        <v>11828</v>
      </c>
      <c r="BYB2" s="23" t="s">
        <v>11829</v>
      </c>
      <c r="BYC2" s="23" t="s">
        <v>14235</v>
      </c>
      <c r="BYD2" s="84" t="s">
        <v>14238</v>
      </c>
      <c r="BYE2" s="84" t="s">
        <v>14237</v>
      </c>
      <c r="BYF2" s="73" t="s">
        <v>11830</v>
      </c>
      <c r="BYG2" s="73" t="s">
        <v>11831</v>
      </c>
      <c r="BYH2" s="73" t="s">
        <v>11832</v>
      </c>
      <c r="BYI2" s="77" t="s">
        <v>11833</v>
      </c>
      <c r="BYJ2" s="77" t="s">
        <v>11834</v>
      </c>
      <c r="BYK2" s="23" t="s">
        <v>11835</v>
      </c>
      <c r="BYL2" s="23" t="s">
        <v>11836</v>
      </c>
      <c r="BYM2" s="23" t="s">
        <v>11837</v>
      </c>
      <c r="BYN2" s="23" t="s">
        <v>11838</v>
      </c>
      <c r="BYO2" s="23" t="s">
        <v>11839</v>
      </c>
      <c r="BYP2" s="23" t="s">
        <v>11840</v>
      </c>
      <c r="BYQ2" s="23" t="s">
        <v>11841</v>
      </c>
      <c r="BYR2" s="73" t="s">
        <v>14429</v>
      </c>
      <c r="BYS2" s="73" t="s">
        <v>14430</v>
      </c>
      <c r="BYT2" s="73" t="s">
        <v>14431</v>
      </c>
      <c r="BYU2" s="73" t="s">
        <v>11842</v>
      </c>
      <c r="BYV2" s="73" t="s">
        <v>13726</v>
      </c>
      <c r="BYW2" s="73" t="s">
        <v>11843</v>
      </c>
      <c r="BYX2" s="77" t="s">
        <v>11844</v>
      </c>
      <c r="BYY2" s="77" t="s">
        <v>11845</v>
      </c>
      <c r="BYZ2" s="73" t="s">
        <v>11846</v>
      </c>
      <c r="BZA2" s="73" t="s">
        <v>11847</v>
      </c>
      <c r="BZB2" s="73" t="s">
        <v>11848</v>
      </c>
      <c r="BZC2" s="73" t="s">
        <v>11849</v>
      </c>
      <c r="BZD2" s="73" t="s">
        <v>11850</v>
      </c>
      <c r="BZE2" s="73" t="s">
        <v>11851</v>
      </c>
      <c r="BZF2" s="73" t="s">
        <v>11852</v>
      </c>
      <c r="BZG2" s="73" t="s">
        <v>11853</v>
      </c>
      <c r="BZH2" s="77" t="s">
        <v>11854</v>
      </c>
      <c r="BZI2" s="77" t="s">
        <v>11855</v>
      </c>
      <c r="BZJ2" s="73" t="s">
        <v>11856</v>
      </c>
      <c r="BZK2" s="73" t="s">
        <v>11857</v>
      </c>
      <c r="BZL2" s="73" t="s">
        <v>11858</v>
      </c>
      <c r="BZM2" s="73" t="s">
        <v>11859</v>
      </c>
      <c r="BZN2" s="73" t="s">
        <v>11860</v>
      </c>
      <c r="BZO2" s="73" t="s">
        <v>11861</v>
      </c>
      <c r="BZP2" s="73" t="s">
        <v>11862</v>
      </c>
      <c r="BZQ2" s="77" t="s">
        <v>11863</v>
      </c>
      <c r="BZR2" s="73" t="s">
        <v>11864</v>
      </c>
      <c r="BZS2" s="73" t="s">
        <v>11865</v>
      </c>
      <c r="BZT2" s="73" t="s">
        <v>11866</v>
      </c>
      <c r="BZU2" s="73" t="s">
        <v>11867</v>
      </c>
      <c r="BZV2" s="73" t="s">
        <v>11868</v>
      </c>
      <c r="BZW2" s="73" t="s">
        <v>11869</v>
      </c>
      <c r="BZX2" s="73" t="s">
        <v>11870</v>
      </c>
      <c r="BZY2" s="73" t="s">
        <v>11871</v>
      </c>
      <c r="BZZ2" s="23" t="s">
        <v>11872</v>
      </c>
      <c r="CAA2" s="23" t="s">
        <v>11873</v>
      </c>
      <c r="CAB2" s="23" t="s">
        <v>11874</v>
      </c>
      <c r="CAC2" s="73" t="s">
        <v>14239</v>
      </c>
      <c r="CAD2" s="73" t="s">
        <v>14240</v>
      </c>
      <c r="CAE2" s="73" t="s">
        <v>14242</v>
      </c>
      <c r="CAF2" s="73" t="s">
        <v>14241</v>
      </c>
      <c r="CAG2" s="23" t="s">
        <v>11875</v>
      </c>
      <c r="CAH2" s="73" t="s">
        <v>14243</v>
      </c>
      <c r="CAI2" s="73" t="s">
        <v>14244</v>
      </c>
      <c r="CAJ2" s="73" t="s">
        <v>11876</v>
      </c>
      <c r="CAK2" s="73" t="s">
        <v>11877</v>
      </c>
      <c r="CAL2" s="73" t="s">
        <v>11878</v>
      </c>
      <c r="CAM2" s="73" t="s">
        <v>11879</v>
      </c>
      <c r="CAN2" s="73" t="s">
        <v>11880</v>
      </c>
      <c r="CAO2" s="73" t="s">
        <v>14245</v>
      </c>
      <c r="CAP2" s="73" t="s">
        <v>11881</v>
      </c>
      <c r="CAQ2" s="73" t="s">
        <v>11882</v>
      </c>
      <c r="CAR2" s="23" t="s">
        <v>11883</v>
      </c>
      <c r="CAS2" s="23" t="s">
        <v>11884</v>
      </c>
      <c r="CAT2" s="23" t="s">
        <v>11885</v>
      </c>
      <c r="CAU2" s="23" t="s">
        <v>11886</v>
      </c>
      <c r="CAV2" s="73" t="s">
        <v>11887</v>
      </c>
      <c r="CAW2" s="73" t="s">
        <v>14246</v>
      </c>
      <c r="CAX2" s="73" t="s">
        <v>11888</v>
      </c>
      <c r="CAY2" s="73" t="s">
        <v>11889</v>
      </c>
      <c r="CAZ2" s="73" t="s">
        <v>11890</v>
      </c>
      <c r="CBA2" s="73" t="s">
        <v>11891</v>
      </c>
      <c r="CBB2" s="23" t="s">
        <v>11892</v>
      </c>
      <c r="CBC2" s="23" t="s">
        <v>11893</v>
      </c>
      <c r="CBD2" s="23" t="s">
        <v>11894</v>
      </c>
      <c r="CBE2" s="77" t="s">
        <v>13727</v>
      </c>
      <c r="CBF2" s="77" t="s">
        <v>13728</v>
      </c>
      <c r="CBG2" s="77" t="s">
        <v>13729</v>
      </c>
      <c r="CBH2" s="77" t="s">
        <v>13730</v>
      </c>
      <c r="CBI2" s="55" t="s">
        <v>13731</v>
      </c>
      <c r="CBJ2" s="55" t="s">
        <v>13732</v>
      </c>
      <c r="CBK2" s="55" t="s">
        <v>13733</v>
      </c>
      <c r="CBL2" s="55" t="s">
        <v>13734</v>
      </c>
      <c r="CBM2" s="75" t="s">
        <v>13735</v>
      </c>
      <c r="CBN2" s="75" t="s">
        <v>13736</v>
      </c>
      <c r="CBO2" s="75" t="s">
        <v>13737</v>
      </c>
      <c r="CBP2" s="75" t="s">
        <v>13738</v>
      </c>
      <c r="CBQ2" s="75" t="s">
        <v>13739</v>
      </c>
      <c r="CBR2" s="75" t="s">
        <v>13740</v>
      </c>
      <c r="CBS2" s="75" t="s">
        <v>13741</v>
      </c>
      <c r="CBT2" s="75" t="s">
        <v>13742</v>
      </c>
      <c r="CBU2" s="24" t="s">
        <v>14284</v>
      </c>
      <c r="CBV2" s="75" t="s">
        <v>11895</v>
      </c>
      <c r="CBW2" s="24" t="s">
        <v>14285</v>
      </c>
      <c r="CBX2" s="75" t="s">
        <v>14286</v>
      </c>
      <c r="CBY2" s="75" t="s">
        <v>14287</v>
      </c>
      <c r="CBZ2" s="75" t="s">
        <v>14288</v>
      </c>
      <c r="CCA2" s="75" t="s">
        <v>14289</v>
      </c>
      <c r="CCB2" s="75" t="s">
        <v>14290</v>
      </c>
      <c r="CCC2" s="75" t="s">
        <v>14291</v>
      </c>
      <c r="CCD2" s="75" t="s">
        <v>14292</v>
      </c>
      <c r="CCE2" s="75" t="s">
        <v>14293</v>
      </c>
      <c r="CCF2" s="75" t="s">
        <v>14294</v>
      </c>
      <c r="CCG2" s="75" t="s">
        <v>14295</v>
      </c>
      <c r="CCH2" s="75" t="s">
        <v>14296</v>
      </c>
      <c r="CCI2" s="75" t="s">
        <v>14297</v>
      </c>
      <c r="CCJ2" s="75" t="s">
        <v>14298</v>
      </c>
      <c r="CCK2" s="75" t="s">
        <v>14299</v>
      </c>
      <c r="CCL2" s="75" t="s">
        <v>14300</v>
      </c>
      <c r="CCM2" s="75" t="s">
        <v>14301</v>
      </c>
      <c r="CCN2" s="75" t="s">
        <v>14302</v>
      </c>
      <c r="CCO2" s="75" t="s">
        <v>14303</v>
      </c>
      <c r="CCP2" s="75" t="s">
        <v>14304</v>
      </c>
      <c r="CCQ2" s="75" t="s">
        <v>14305</v>
      </c>
      <c r="CCR2" s="75" t="s">
        <v>14306</v>
      </c>
      <c r="CCS2" s="75" t="s">
        <v>14307</v>
      </c>
      <c r="CCT2" s="75" t="s">
        <v>14308</v>
      </c>
      <c r="CCU2" s="75" t="s">
        <v>14309</v>
      </c>
      <c r="CCV2" s="75" t="s">
        <v>14310</v>
      </c>
      <c r="CCW2" s="75" t="s">
        <v>14311</v>
      </c>
      <c r="CCX2" s="75" t="s">
        <v>14312</v>
      </c>
      <c r="CCY2" s="75" t="s">
        <v>14313</v>
      </c>
      <c r="CCZ2" s="24" t="s">
        <v>14314</v>
      </c>
      <c r="CDA2" s="24" t="s">
        <v>14315</v>
      </c>
      <c r="CDB2" s="24" t="s">
        <v>14316</v>
      </c>
      <c r="CDC2" s="24" t="s">
        <v>14317</v>
      </c>
      <c r="CDD2" s="24" t="s">
        <v>14318</v>
      </c>
      <c r="CDE2" s="24" t="s">
        <v>14319</v>
      </c>
      <c r="CDF2" s="24" t="s">
        <v>14320</v>
      </c>
      <c r="CDG2" s="24" t="s">
        <v>14321</v>
      </c>
      <c r="CDH2" s="24" t="s">
        <v>14322</v>
      </c>
      <c r="CDI2" s="24" t="s">
        <v>14323</v>
      </c>
      <c r="CDJ2" s="24" t="s">
        <v>14324</v>
      </c>
      <c r="CDK2" s="24" t="s">
        <v>14325</v>
      </c>
      <c r="CDL2" s="24" t="s">
        <v>14326</v>
      </c>
      <c r="CDM2" s="24" t="s">
        <v>14327</v>
      </c>
      <c r="CDN2" s="24" t="s">
        <v>14328</v>
      </c>
      <c r="CDO2" s="24" t="s">
        <v>14329</v>
      </c>
      <c r="CDP2" s="24" t="s">
        <v>14330</v>
      </c>
      <c r="CDQ2" s="24" t="s">
        <v>14331</v>
      </c>
      <c r="CDR2" s="24" t="s">
        <v>14332</v>
      </c>
      <c r="CDS2" s="24" t="s">
        <v>14333</v>
      </c>
      <c r="CDT2" s="24" t="s">
        <v>14334</v>
      </c>
      <c r="CDU2" s="24" t="s">
        <v>14335</v>
      </c>
      <c r="CDV2" s="24" t="s">
        <v>14336</v>
      </c>
      <c r="CDW2" s="24" t="s">
        <v>14337</v>
      </c>
      <c r="CDX2" s="24" t="s">
        <v>14338</v>
      </c>
      <c r="CDY2" s="24" t="s">
        <v>14339</v>
      </c>
      <c r="CDZ2" s="24" t="s">
        <v>14340</v>
      </c>
      <c r="CEA2" s="75" t="s">
        <v>14341</v>
      </c>
      <c r="CEB2" s="75" t="s">
        <v>14342</v>
      </c>
      <c r="CEC2" s="75" t="s">
        <v>14343</v>
      </c>
      <c r="CED2" s="75" t="s">
        <v>14344</v>
      </c>
      <c r="CEE2" s="75" t="s">
        <v>14345</v>
      </c>
      <c r="CEF2" s="75" t="s">
        <v>14346</v>
      </c>
      <c r="CEG2" s="75" t="s">
        <v>14347</v>
      </c>
      <c r="CEH2" s="75" t="s">
        <v>14348</v>
      </c>
      <c r="CEI2" s="75" t="s">
        <v>14349</v>
      </c>
      <c r="CEJ2" s="75" t="s">
        <v>14350</v>
      </c>
      <c r="CEK2" s="75" t="s">
        <v>14351</v>
      </c>
      <c r="CEL2" s="75" t="s">
        <v>14352</v>
      </c>
      <c r="CEM2" s="75" t="s">
        <v>14353</v>
      </c>
      <c r="CEN2" s="75" t="s">
        <v>14354</v>
      </c>
      <c r="CEO2" s="75" t="s">
        <v>14355</v>
      </c>
      <c r="CEP2" s="75" t="s">
        <v>14356</v>
      </c>
      <c r="CEQ2" s="75" t="s">
        <v>14357</v>
      </c>
      <c r="CER2" s="75" t="s">
        <v>14358</v>
      </c>
      <c r="CES2" s="75" t="s">
        <v>14359</v>
      </c>
      <c r="CET2" s="75" t="s">
        <v>14360</v>
      </c>
      <c r="CEU2" s="75" t="s">
        <v>14361</v>
      </c>
      <c r="CEV2" s="75" t="s">
        <v>14362</v>
      </c>
      <c r="CEW2" s="75" t="s">
        <v>14363</v>
      </c>
      <c r="CEX2" s="75" t="s">
        <v>14364</v>
      </c>
      <c r="CEY2" s="75" t="s">
        <v>14365</v>
      </c>
      <c r="CEZ2" s="75" t="s">
        <v>14366</v>
      </c>
      <c r="CFA2" s="75" t="s">
        <v>14367</v>
      </c>
      <c r="CFB2" s="24" t="s">
        <v>11896</v>
      </c>
      <c r="CFC2" s="24" t="s">
        <v>11897</v>
      </c>
      <c r="CFD2" s="24" t="s">
        <v>11898</v>
      </c>
      <c r="CFE2" s="24" t="s">
        <v>11899</v>
      </c>
      <c r="CFF2" s="24" t="s">
        <v>11900</v>
      </c>
      <c r="CFG2" s="24" t="s">
        <v>11901</v>
      </c>
      <c r="CFH2" s="24" t="s">
        <v>11902</v>
      </c>
      <c r="CFI2" s="24" t="s">
        <v>11903</v>
      </c>
      <c r="CFJ2" s="24" t="s">
        <v>11904</v>
      </c>
      <c r="CFK2" s="24" t="s">
        <v>11905</v>
      </c>
      <c r="CFL2" s="24" t="s">
        <v>11906</v>
      </c>
      <c r="CFM2" s="24" t="s">
        <v>11907</v>
      </c>
      <c r="CFN2" s="24" t="s">
        <v>11908</v>
      </c>
      <c r="CFO2" s="24" t="s">
        <v>11909</v>
      </c>
      <c r="CFP2" s="24" t="s">
        <v>11910</v>
      </c>
      <c r="CFQ2" s="24" t="s">
        <v>11911</v>
      </c>
      <c r="CFR2" s="24" t="s">
        <v>11912</v>
      </c>
      <c r="CFS2" s="24" t="s">
        <v>11913</v>
      </c>
      <c r="CFT2" s="24" t="s">
        <v>11914</v>
      </c>
      <c r="CFU2" s="24" t="s">
        <v>11915</v>
      </c>
      <c r="CFV2" s="24" t="s">
        <v>11916</v>
      </c>
      <c r="CFW2" s="24" t="s">
        <v>11917</v>
      </c>
      <c r="CFX2" s="24" t="s">
        <v>11918</v>
      </c>
      <c r="CFY2" s="24" t="s">
        <v>11919</v>
      </c>
      <c r="CFZ2" s="24" t="s">
        <v>11920</v>
      </c>
      <c r="CGA2" s="24" t="s">
        <v>11921</v>
      </c>
      <c r="CGB2" s="24" t="s">
        <v>11922</v>
      </c>
      <c r="CGC2" s="77" t="s">
        <v>11923</v>
      </c>
      <c r="CGD2" s="77" t="s">
        <v>11924</v>
      </c>
      <c r="CGE2" s="77" t="s">
        <v>11925</v>
      </c>
      <c r="CGF2" s="77" t="s">
        <v>11926</v>
      </c>
      <c r="CGG2" s="55" t="s">
        <v>11927</v>
      </c>
      <c r="CGH2" s="55" t="s">
        <v>11928</v>
      </c>
      <c r="CGI2" s="55" t="s">
        <v>11929</v>
      </c>
      <c r="CGJ2" s="55" t="s">
        <v>11930</v>
      </c>
      <c r="CGK2" s="75" t="s">
        <v>11931</v>
      </c>
      <c r="CGL2" s="75" t="s">
        <v>11932</v>
      </c>
      <c r="CGM2" s="75" t="s">
        <v>11933</v>
      </c>
      <c r="CGN2" s="75" t="s">
        <v>11934</v>
      </c>
      <c r="CGO2" s="75" t="s">
        <v>11935</v>
      </c>
      <c r="CGP2" s="75" t="s">
        <v>11936</v>
      </c>
      <c r="CGQ2" s="75" t="s">
        <v>11937</v>
      </c>
      <c r="CGR2" s="75" t="s">
        <v>11938</v>
      </c>
      <c r="CGS2" s="24" t="s">
        <v>11939</v>
      </c>
      <c r="CGT2" s="75" t="s">
        <v>11940</v>
      </c>
      <c r="CGU2" s="24" t="s">
        <v>11941</v>
      </c>
      <c r="CGV2" s="24" t="s">
        <v>14247</v>
      </c>
      <c r="CGW2" s="24" t="s">
        <v>14248</v>
      </c>
      <c r="CGX2" s="24" t="s">
        <v>14249</v>
      </c>
      <c r="CGY2" s="24" t="s">
        <v>14250</v>
      </c>
      <c r="CGZ2" s="24" t="s">
        <v>14251</v>
      </c>
      <c r="CHA2" s="24" t="s">
        <v>14252</v>
      </c>
      <c r="CHB2" s="24" t="s">
        <v>14253</v>
      </c>
      <c r="CHC2" s="24" t="s">
        <v>14254</v>
      </c>
      <c r="CHD2" s="24" t="s">
        <v>14255</v>
      </c>
      <c r="CHE2" s="24" t="s">
        <v>14256</v>
      </c>
      <c r="CHF2" s="24" t="s">
        <v>14257</v>
      </c>
      <c r="CHG2" s="24" t="s">
        <v>14258</v>
      </c>
      <c r="CHH2" s="24" t="s">
        <v>14259</v>
      </c>
      <c r="CHI2" s="24" t="s">
        <v>14260</v>
      </c>
      <c r="CHJ2" s="24" t="s">
        <v>14261</v>
      </c>
      <c r="CHK2" s="24" t="s">
        <v>14262</v>
      </c>
      <c r="CHL2" s="24" t="s">
        <v>14263</v>
      </c>
      <c r="CHM2" s="24" t="s">
        <v>14264</v>
      </c>
      <c r="CHN2" s="24" t="s">
        <v>14265</v>
      </c>
      <c r="CHO2" s="24" t="s">
        <v>14266</v>
      </c>
      <c r="CHP2" s="24" t="s">
        <v>14267</v>
      </c>
      <c r="CHQ2" s="24" t="s">
        <v>14368</v>
      </c>
      <c r="CHR2" s="24" t="s">
        <v>14369</v>
      </c>
      <c r="CHS2" s="24" t="s">
        <v>14370</v>
      </c>
      <c r="CHT2" s="24" t="s">
        <v>14371</v>
      </c>
      <c r="CHU2" s="24" t="s">
        <v>14372</v>
      </c>
      <c r="CHV2" s="24" t="s">
        <v>14373</v>
      </c>
      <c r="CHW2" s="75" t="s">
        <v>14374</v>
      </c>
      <c r="CHX2" s="75" t="s">
        <v>14375</v>
      </c>
      <c r="CHY2" s="75" t="s">
        <v>14376</v>
      </c>
      <c r="CHZ2" s="75" t="s">
        <v>14377</v>
      </c>
      <c r="CIA2" s="75" t="s">
        <v>14378</v>
      </c>
      <c r="CIB2" s="75" t="s">
        <v>14379</v>
      </c>
      <c r="CIC2" s="75" t="s">
        <v>14380</v>
      </c>
      <c r="CID2" s="75" t="s">
        <v>14381</v>
      </c>
      <c r="CIE2" s="75" t="s">
        <v>14382</v>
      </c>
      <c r="CIF2" s="75" t="s">
        <v>14383</v>
      </c>
      <c r="CIG2" s="75" t="s">
        <v>14384</v>
      </c>
      <c r="CIH2" s="75" t="s">
        <v>14385</v>
      </c>
      <c r="CII2" s="75" t="s">
        <v>14386</v>
      </c>
      <c r="CIJ2" s="75" t="s">
        <v>14387</v>
      </c>
      <c r="CIK2" s="75" t="s">
        <v>14388</v>
      </c>
      <c r="CIL2" s="75" t="s">
        <v>14389</v>
      </c>
      <c r="CIM2" s="75" t="s">
        <v>14390</v>
      </c>
      <c r="CIN2" s="75" t="s">
        <v>14391</v>
      </c>
      <c r="CIO2" s="75" t="s">
        <v>14392</v>
      </c>
      <c r="CIP2" s="75" t="s">
        <v>14393</v>
      </c>
      <c r="CIQ2" s="75" t="s">
        <v>14394</v>
      </c>
      <c r="CIR2" s="75" t="s">
        <v>14395</v>
      </c>
      <c r="CIS2" s="75" t="s">
        <v>14396</v>
      </c>
      <c r="CIT2" s="75" t="s">
        <v>14397</v>
      </c>
      <c r="CIU2" s="75" t="s">
        <v>14398</v>
      </c>
      <c r="CIV2" s="75" t="s">
        <v>14399</v>
      </c>
      <c r="CIW2" s="75" t="s">
        <v>14400</v>
      </c>
      <c r="CIX2" s="24" t="s">
        <v>14401</v>
      </c>
      <c r="CIY2" s="24" t="s">
        <v>14402</v>
      </c>
      <c r="CIZ2" s="24" t="s">
        <v>14403</v>
      </c>
      <c r="CJA2" s="24" t="s">
        <v>14404</v>
      </c>
      <c r="CJB2" s="24" t="s">
        <v>14405</v>
      </c>
      <c r="CJC2" s="24" t="s">
        <v>14406</v>
      </c>
      <c r="CJD2" s="24" t="s">
        <v>14407</v>
      </c>
      <c r="CJE2" s="24" t="s">
        <v>14408</v>
      </c>
      <c r="CJF2" s="24" t="s">
        <v>14409</v>
      </c>
      <c r="CJG2" s="24" t="s">
        <v>14410</v>
      </c>
      <c r="CJH2" s="24" t="s">
        <v>14411</v>
      </c>
      <c r="CJI2" s="24" t="s">
        <v>14412</v>
      </c>
      <c r="CJJ2" s="24" t="s">
        <v>14413</v>
      </c>
      <c r="CJK2" s="24" t="s">
        <v>14414</v>
      </c>
      <c r="CJL2" s="24" t="s">
        <v>14415</v>
      </c>
      <c r="CJM2" s="24" t="s">
        <v>14416</v>
      </c>
      <c r="CJN2" s="24" t="s">
        <v>14417</v>
      </c>
      <c r="CJO2" s="24" t="s">
        <v>14418</v>
      </c>
      <c r="CJP2" s="24" t="s">
        <v>14419</v>
      </c>
      <c r="CJQ2" s="24" t="s">
        <v>14420</v>
      </c>
      <c r="CJR2" s="24" t="s">
        <v>14421</v>
      </c>
      <c r="CJS2" s="24" t="s">
        <v>14422</v>
      </c>
      <c r="CJT2" s="24" t="s">
        <v>14423</v>
      </c>
      <c r="CJU2" s="24" t="s">
        <v>14424</v>
      </c>
      <c r="CJV2" s="24" t="s">
        <v>14425</v>
      </c>
      <c r="CJW2" s="24" t="s">
        <v>14426</v>
      </c>
      <c r="CJX2" s="24" t="s">
        <v>14427</v>
      </c>
      <c r="CJY2" s="75" t="s">
        <v>11942</v>
      </c>
      <c r="CJZ2" s="75" t="s">
        <v>11943</v>
      </c>
      <c r="CKA2" s="75" t="s">
        <v>11944</v>
      </c>
      <c r="CKB2" s="75" t="s">
        <v>11945</v>
      </c>
      <c r="CKC2" s="75" t="s">
        <v>11946</v>
      </c>
      <c r="CKD2" s="75" t="s">
        <v>11947</v>
      </c>
      <c r="CKE2" s="75" t="s">
        <v>11948</v>
      </c>
      <c r="CKF2" s="75" t="s">
        <v>11949</v>
      </c>
      <c r="CKG2" s="75" t="s">
        <v>11950</v>
      </c>
      <c r="CKH2" s="75" t="s">
        <v>11951</v>
      </c>
      <c r="CKI2" s="75" t="s">
        <v>11952</v>
      </c>
      <c r="CKJ2" s="75" t="s">
        <v>11953</v>
      </c>
      <c r="CKK2" s="75" t="s">
        <v>11954</v>
      </c>
      <c r="CKL2" s="75" t="s">
        <v>11955</v>
      </c>
      <c r="CKM2" s="75" t="s">
        <v>11956</v>
      </c>
      <c r="CKN2" s="75" t="s">
        <v>11957</v>
      </c>
      <c r="CKO2" s="75" t="s">
        <v>11958</v>
      </c>
      <c r="CKP2" s="75" t="s">
        <v>11959</v>
      </c>
      <c r="CKQ2" s="75" t="s">
        <v>11960</v>
      </c>
      <c r="CKR2" s="75" t="s">
        <v>11961</v>
      </c>
      <c r="CKS2" s="75" t="s">
        <v>11962</v>
      </c>
      <c r="CKT2" s="75" t="s">
        <v>11963</v>
      </c>
      <c r="CKU2" s="75" t="s">
        <v>11964</v>
      </c>
      <c r="CKV2" s="75" t="s">
        <v>11965</v>
      </c>
      <c r="CKW2" s="75" t="s">
        <v>11966</v>
      </c>
      <c r="CKX2" s="75" t="s">
        <v>11967</v>
      </c>
      <c r="CKY2" s="75" t="s">
        <v>11968</v>
      </c>
      <c r="CKZ2" s="55" t="s">
        <v>11969</v>
      </c>
      <c r="CLA2" s="55" t="s">
        <v>11970</v>
      </c>
      <c r="CLB2" s="55" t="s">
        <v>11971</v>
      </c>
      <c r="CLC2" s="55" t="s">
        <v>11972</v>
      </c>
      <c r="CLD2" s="77" t="s">
        <v>11973</v>
      </c>
      <c r="CLE2" s="77" t="s">
        <v>11974</v>
      </c>
      <c r="CLF2" s="77" t="s">
        <v>11975</v>
      </c>
      <c r="CLG2" s="77" t="s">
        <v>11976</v>
      </c>
      <c r="CLH2" s="24" t="s">
        <v>11977</v>
      </c>
      <c r="CLI2" s="24" t="s">
        <v>11978</v>
      </c>
      <c r="CLJ2" s="24" t="s">
        <v>11979</v>
      </c>
      <c r="CLK2" s="24" t="s">
        <v>11980</v>
      </c>
      <c r="CLL2" s="24" t="s">
        <v>11981</v>
      </c>
      <c r="CLM2" s="24" t="s">
        <v>11982</v>
      </c>
      <c r="CLN2" s="24" t="s">
        <v>11983</v>
      </c>
      <c r="CLO2" s="24" t="s">
        <v>11984</v>
      </c>
      <c r="CLP2" s="75" t="s">
        <v>11985</v>
      </c>
      <c r="CLQ2" s="24" t="s">
        <v>11986</v>
      </c>
      <c r="CLR2" s="75" t="s">
        <v>11987</v>
      </c>
      <c r="CLS2" s="75" t="s">
        <v>11988</v>
      </c>
      <c r="CLT2" s="75" t="s">
        <v>11989</v>
      </c>
      <c r="CLU2" s="75" t="s">
        <v>11990</v>
      </c>
      <c r="CLV2" s="75" t="s">
        <v>11991</v>
      </c>
      <c r="CLW2" s="75" t="s">
        <v>11992</v>
      </c>
      <c r="CLX2" s="75" t="s">
        <v>11993</v>
      </c>
      <c r="CLY2" s="75" t="s">
        <v>11994</v>
      </c>
      <c r="CLZ2" s="75" t="s">
        <v>11995</v>
      </c>
      <c r="CMA2" s="75" t="s">
        <v>11996</v>
      </c>
      <c r="CMB2" s="75" t="s">
        <v>11997</v>
      </c>
      <c r="CMC2" s="75" t="s">
        <v>11998</v>
      </c>
      <c r="CMD2" s="75" t="s">
        <v>11999</v>
      </c>
      <c r="CME2" s="75" t="s">
        <v>12000</v>
      </c>
      <c r="CMF2" s="75" t="s">
        <v>12001</v>
      </c>
      <c r="CMG2" s="75" t="s">
        <v>12002</v>
      </c>
      <c r="CMH2" s="75" t="s">
        <v>12003</v>
      </c>
      <c r="CMI2" s="75" t="s">
        <v>12004</v>
      </c>
      <c r="CMJ2" s="75" t="s">
        <v>12005</v>
      </c>
      <c r="CMK2" s="75" t="s">
        <v>12006</v>
      </c>
      <c r="CML2" s="75" t="s">
        <v>12007</v>
      </c>
      <c r="CMM2" s="75" t="s">
        <v>12008</v>
      </c>
      <c r="CMN2" s="75" t="s">
        <v>12009</v>
      </c>
      <c r="CMO2" s="75" t="s">
        <v>12010</v>
      </c>
      <c r="CMP2" s="75" t="s">
        <v>12011</v>
      </c>
      <c r="CMQ2" s="75" t="s">
        <v>12012</v>
      </c>
      <c r="CMR2" s="75" t="s">
        <v>12013</v>
      </c>
      <c r="CMS2" s="75" t="s">
        <v>12014</v>
      </c>
      <c r="CMT2" s="24" t="s">
        <v>12015</v>
      </c>
      <c r="CMU2" s="24" t="s">
        <v>12016</v>
      </c>
      <c r="CMV2" s="24" t="s">
        <v>12017</v>
      </c>
      <c r="CMW2" s="24" t="s">
        <v>12018</v>
      </c>
      <c r="CMX2" s="24" t="s">
        <v>12019</v>
      </c>
      <c r="CMY2" s="24" t="s">
        <v>12020</v>
      </c>
      <c r="CMZ2" s="24" t="s">
        <v>12021</v>
      </c>
      <c r="CNA2" s="24" t="s">
        <v>12022</v>
      </c>
      <c r="CNB2" s="24" t="s">
        <v>12023</v>
      </c>
      <c r="CNC2" s="24" t="s">
        <v>12024</v>
      </c>
      <c r="CND2" s="24" t="s">
        <v>12025</v>
      </c>
      <c r="CNE2" s="24" t="s">
        <v>12026</v>
      </c>
      <c r="CNF2" s="24" t="s">
        <v>12027</v>
      </c>
      <c r="CNG2" s="24" t="s">
        <v>12028</v>
      </c>
      <c r="CNH2" s="24" t="s">
        <v>12029</v>
      </c>
      <c r="CNI2" s="24" t="s">
        <v>12030</v>
      </c>
      <c r="CNJ2" s="24" t="s">
        <v>12031</v>
      </c>
      <c r="CNK2" s="24" t="s">
        <v>12032</v>
      </c>
      <c r="CNL2" s="24" t="s">
        <v>12033</v>
      </c>
      <c r="CNM2" s="24" t="s">
        <v>12034</v>
      </c>
      <c r="CNN2" s="24" t="s">
        <v>12035</v>
      </c>
      <c r="CNO2" s="24" t="s">
        <v>12036</v>
      </c>
      <c r="CNP2" s="24" t="s">
        <v>12037</v>
      </c>
      <c r="CNQ2" s="24" t="s">
        <v>12038</v>
      </c>
      <c r="CNR2" s="24" t="s">
        <v>12039</v>
      </c>
      <c r="CNS2" s="24" t="s">
        <v>12040</v>
      </c>
      <c r="CNT2" s="24" t="s">
        <v>12041</v>
      </c>
      <c r="CNU2" s="75" t="s">
        <v>12042</v>
      </c>
      <c r="CNV2" s="75" t="s">
        <v>12043</v>
      </c>
      <c r="CNW2" s="75" t="s">
        <v>12044</v>
      </c>
      <c r="CNX2" s="75" t="s">
        <v>12045</v>
      </c>
      <c r="CNY2" s="75" t="s">
        <v>12046</v>
      </c>
      <c r="CNZ2" s="75" t="s">
        <v>12047</v>
      </c>
      <c r="COA2" s="75" t="s">
        <v>12048</v>
      </c>
      <c r="COB2" s="75" t="s">
        <v>12049</v>
      </c>
      <c r="COC2" s="75" t="s">
        <v>12050</v>
      </c>
      <c r="COD2" s="75" t="s">
        <v>12051</v>
      </c>
      <c r="COE2" s="75" t="s">
        <v>12052</v>
      </c>
      <c r="COF2" s="75" t="s">
        <v>12053</v>
      </c>
      <c r="COG2" s="75" t="s">
        <v>12054</v>
      </c>
      <c r="COH2" s="75" t="s">
        <v>12055</v>
      </c>
      <c r="COI2" s="75" t="s">
        <v>12056</v>
      </c>
      <c r="COJ2" s="75" t="s">
        <v>12057</v>
      </c>
      <c r="COK2" s="75" t="s">
        <v>12058</v>
      </c>
      <c r="COL2" s="75" t="s">
        <v>12059</v>
      </c>
      <c r="COM2" s="75" t="s">
        <v>12060</v>
      </c>
      <c r="CON2" s="75" t="s">
        <v>12061</v>
      </c>
      <c r="COO2" s="75" t="s">
        <v>12062</v>
      </c>
      <c r="COP2" s="75" t="s">
        <v>12063</v>
      </c>
      <c r="COQ2" s="75" t="s">
        <v>12064</v>
      </c>
      <c r="COR2" s="75" t="s">
        <v>12065</v>
      </c>
      <c r="COS2" s="75" t="s">
        <v>12066</v>
      </c>
      <c r="COT2" s="75" t="s">
        <v>12067</v>
      </c>
      <c r="COU2" s="75" t="s">
        <v>12068</v>
      </c>
      <c r="COV2" s="24" t="s">
        <v>12069</v>
      </c>
      <c r="COW2" s="24" t="s">
        <v>12070</v>
      </c>
      <c r="COX2" s="24" t="s">
        <v>12071</v>
      </c>
      <c r="COY2" s="24" t="s">
        <v>12072</v>
      </c>
      <c r="COZ2" s="24" t="s">
        <v>12073</v>
      </c>
      <c r="CPA2" s="24" t="s">
        <v>12074</v>
      </c>
      <c r="CPB2" s="24" t="s">
        <v>12075</v>
      </c>
      <c r="CPC2" s="24" t="s">
        <v>12076</v>
      </c>
      <c r="CPD2" s="24" t="s">
        <v>12077</v>
      </c>
      <c r="CPE2" s="24" t="s">
        <v>12078</v>
      </c>
      <c r="CPF2" s="24" t="s">
        <v>12079</v>
      </c>
      <c r="CPG2" s="24" t="s">
        <v>12080</v>
      </c>
      <c r="CPH2" s="24" t="s">
        <v>12081</v>
      </c>
      <c r="CPI2" s="24" t="s">
        <v>12082</v>
      </c>
      <c r="CPJ2" s="24" t="s">
        <v>12083</v>
      </c>
      <c r="CPK2" s="24" t="s">
        <v>12084</v>
      </c>
      <c r="CPL2" s="24" t="s">
        <v>12085</v>
      </c>
      <c r="CPM2" s="24" t="s">
        <v>12086</v>
      </c>
      <c r="CPN2" s="24" t="s">
        <v>12087</v>
      </c>
      <c r="CPO2" s="24" t="s">
        <v>12088</v>
      </c>
      <c r="CPP2" s="24" t="s">
        <v>12089</v>
      </c>
      <c r="CPQ2" s="24" t="s">
        <v>12090</v>
      </c>
      <c r="CPR2" s="24" t="s">
        <v>12091</v>
      </c>
      <c r="CPS2" s="24" t="s">
        <v>12092</v>
      </c>
      <c r="CPT2" s="24" t="s">
        <v>12093</v>
      </c>
      <c r="CPU2" s="24" t="s">
        <v>12094</v>
      </c>
      <c r="CPV2" s="24" t="s">
        <v>12095</v>
      </c>
      <c r="CPW2" s="75" t="s">
        <v>12096</v>
      </c>
      <c r="CPX2" s="55" t="s">
        <v>12097</v>
      </c>
      <c r="CPY2" s="75" t="s">
        <v>12098</v>
      </c>
      <c r="CPZ2" s="55" t="s">
        <v>12099</v>
      </c>
      <c r="CQA2" s="75" t="s">
        <v>12100</v>
      </c>
      <c r="CQB2" s="23" t="s">
        <v>12101</v>
      </c>
      <c r="CQC2" s="23" t="s">
        <v>12102</v>
      </c>
      <c r="CQD2" s="23" t="s">
        <v>12103</v>
      </c>
      <c r="CQE2" s="23" t="s">
        <v>12104</v>
      </c>
      <c r="CQF2" s="23" t="s">
        <v>14428</v>
      </c>
      <c r="CQG2" s="77" t="s">
        <v>12105</v>
      </c>
      <c r="CQH2" s="77" t="s">
        <v>12106</v>
      </c>
      <c r="CQI2" s="77" t="s">
        <v>12107</v>
      </c>
      <c r="CQJ2" s="77" t="s">
        <v>12108</v>
      </c>
      <c r="CQK2" s="77" t="s">
        <v>12109</v>
      </c>
      <c r="CQL2" s="23" t="s">
        <v>12110</v>
      </c>
      <c r="CQM2" s="73" t="s">
        <v>12111</v>
      </c>
      <c r="CQN2" s="23" t="s">
        <v>12112</v>
      </c>
      <c r="CQO2" s="73" t="s">
        <v>12113</v>
      </c>
      <c r="CQP2" s="77" t="s">
        <v>12114</v>
      </c>
      <c r="CQQ2" s="23" t="s">
        <v>12115</v>
      </c>
      <c r="CQR2" s="73" t="s">
        <v>12116</v>
      </c>
      <c r="CQS2" s="23" t="s">
        <v>12117</v>
      </c>
      <c r="CQT2" s="73" t="s">
        <v>12118</v>
      </c>
      <c r="CQU2" s="73" t="s">
        <v>12119</v>
      </c>
      <c r="CQV2" s="73" t="s">
        <v>12120</v>
      </c>
      <c r="CQW2" s="73" t="s">
        <v>12121</v>
      </c>
      <c r="CQX2" s="73" t="s">
        <v>12122</v>
      </c>
      <c r="CQY2" s="73" t="s">
        <v>12123</v>
      </c>
      <c r="CQZ2" s="73" t="s">
        <v>12124</v>
      </c>
      <c r="CRA2" s="73" t="s">
        <v>12125</v>
      </c>
      <c r="CRB2" s="73" t="s">
        <v>12126</v>
      </c>
      <c r="CRC2" s="73" t="s">
        <v>13161</v>
      </c>
      <c r="CRD2" s="73" t="s">
        <v>12127</v>
      </c>
      <c r="CRE2" s="75" t="s">
        <v>12128</v>
      </c>
    </row>
    <row r="3" spans="1:2501" ht="76.5" x14ac:dyDescent="0.2">
      <c r="A3" s="21" t="s">
        <v>152</v>
      </c>
      <c r="B3" s="26">
        <v>0.35</v>
      </c>
      <c r="C3" s="26">
        <v>0</v>
      </c>
      <c r="D3" s="26">
        <v>0.12</v>
      </c>
      <c r="E3" s="26">
        <v>0.44</v>
      </c>
      <c r="F3" s="26">
        <v>0</v>
      </c>
      <c r="G3" s="26">
        <v>0</v>
      </c>
      <c r="H3" s="26">
        <v>0</v>
      </c>
      <c r="I3" s="26">
        <v>0</v>
      </c>
      <c r="J3" s="26">
        <v>0</v>
      </c>
      <c r="K3" s="26">
        <v>0</v>
      </c>
      <c r="L3" s="26">
        <v>0</v>
      </c>
      <c r="M3" s="26">
        <v>0.09</v>
      </c>
      <c r="N3" s="26">
        <v>0.75</v>
      </c>
      <c r="O3" s="26">
        <v>0</v>
      </c>
      <c r="P3" s="26">
        <v>0</v>
      </c>
      <c r="Q3" s="26">
        <v>0</v>
      </c>
      <c r="R3" s="26">
        <v>0</v>
      </c>
      <c r="S3" s="26">
        <v>0</v>
      </c>
      <c r="T3" s="26">
        <v>0</v>
      </c>
      <c r="U3" s="26">
        <v>0</v>
      </c>
      <c r="V3" s="26">
        <v>0</v>
      </c>
      <c r="W3" s="26">
        <v>0</v>
      </c>
      <c r="X3" s="26">
        <v>0</v>
      </c>
      <c r="Y3" s="26">
        <v>0.25</v>
      </c>
      <c r="Z3" s="25">
        <v>2</v>
      </c>
      <c r="AA3" s="25" t="s">
        <v>8764</v>
      </c>
      <c r="AB3" s="25" t="s">
        <v>8765</v>
      </c>
      <c r="AC3" s="56">
        <v>2500</v>
      </c>
      <c r="AD3" s="56">
        <v>7500</v>
      </c>
      <c r="AE3" s="56">
        <v>5350</v>
      </c>
      <c r="AF3" s="56">
        <v>16050</v>
      </c>
      <c r="AI3" s="25" t="s">
        <v>8349</v>
      </c>
      <c r="AJ3" s="56">
        <v>350</v>
      </c>
      <c r="AK3" s="56">
        <v>1050</v>
      </c>
      <c r="AL3" s="56">
        <v>1050</v>
      </c>
      <c r="AM3" s="56">
        <v>3150</v>
      </c>
      <c r="AN3" s="25" t="s">
        <v>8350</v>
      </c>
      <c r="AO3" s="25" t="s">
        <v>8248</v>
      </c>
      <c r="BB3" s="25" t="s">
        <v>8249</v>
      </c>
      <c r="DO3" s="25" t="s">
        <v>25</v>
      </c>
      <c r="DP3" s="25" t="s">
        <v>28</v>
      </c>
      <c r="DQ3" s="25" t="s">
        <v>25</v>
      </c>
      <c r="DR3" s="25" t="s">
        <v>25</v>
      </c>
      <c r="DT3" s="25" t="s">
        <v>13423</v>
      </c>
      <c r="DU3" s="25" t="s">
        <v>13425</v>
      </c>
      <c r="EC3" s="26">
        <v>0.15</v>
      </c>
      <c r="ED3" s="26">
        <v>0.15</v>
      </c>
      <c r="EE3" s="26">
        <v>0.15</v>
      </c>
      <c r="EF3" s="26">
        <v>0.15</v>
      </c>
      <c r="EG3" s="26">
        <v>0.15</v>
      </c>
      <c r="EH3" s="26">
        <v>0</v>
      </c>
      <c r="EI3" s="26">
        <v>0.15</v>
      </c>
      <c r="EQ3" s="26">
        <v>0.4</v>
      </c>
      <c r="ER3" s="26">
        <v>0.4</v>
      </c>
      <c r="ES3" s="26">
        <v>0.4</v>
      </c>
      <c r="ET3" s="26">
        <v>0.15</v>
      </c>
      <c r="EU3" s="26">
        <v>0.15</v>
      </c>
      <c r="EW3" s="26">
        <v>0.4</v>
      </c>
      <c r="EX3" s="25" t="s">
        <v>8250</v>
      </c>
      <c r="EY3" s="25" t="s">
        <v>8250</v>
      </c>
      <c r="EZ3" s="25" t="s">
        <v>8250</v>
      </c>
      <c r="FA3" s="25" t="s">
        <v>8250</v>
      </c>
      <c r="FB3" s="25" t="s">
        <v>8250</v>
      </c>
      <c r="FC3" s="25" t="s">
        <v>8261</v>
      </c>
      <c r="FE3" s="25" t="s">
        <v>8324</v>
      </c>
      <c r="FF3" s="25" t="s">
        <v>8324</v>
      </c>
      <c r="FG3" s="25" t="s">
        <v>8324</v>
      </c>
      <c r="FH3" s="25" t="s">
        <v>8324</v>
      </c>
      <c r="FI3" s="25" t="s">
        <v>8324</v>
      </c>
      <c r="FJ3" s="25" t="s">
        <v>8324</v>
      </c>
      <c r="FL3" s="25" t="s">
        <v>13810</v>
      </c>
      <c r="FM3" s="25" t="s">
        <v>13810</v>
      </c>
      <c r="FN3" s="25" t="s">
        <v>13810</v>
      </c>
      <c r="FO3" s="25" t="s">
        <v>13810</v>
      </c>
      <c r="FP3" s="25" t="s">
        <v>13810</v>
      </c>
      <c r="FQ3" s="25" t="s">
        <v>13810</v>
      </c>
      <c r="FR3" s="25" t="s">
        <v>13810</v>
      </c>
      <c r="FS3" s="25" t="s">
        <v>631</v>
      </c>
      <c r="FT3" s="25" t="s">
        <v>631</v>
      </c>
      <c r="FV3" s="25" t="s">
        <v>8627</v>
      </c>
      <c r="FW3" s="25" t="s">
        <v>8627</v>
      </c>
      <c r="FX3" s="25" t="s">
        <v>8627</v>
      </c>
      <c r="FY3" s="25" t="s">
        <v>13449</v>
      </c>
      <c r="FZ3" s="25" t="s">
        <v>13438</v>
      </c>
      <c r="GA3" s="25" t="s">
        <v>8386</v>
      </c>
      <c r="GB3" s="25" t="s">
        <v>13460</v>
      </c>
      <c r="GE3" s="56">
        <v>10</v>
      </c>
      <c r="GF3" s="56">
        <v>10</v>
      </c>
      <c r="GG3" s="56">
        <v>20</v>
      </c>
      <c r="GH3" s="56">
        <v>20</v>
      </c>
      <c r="GK3" s="56">
        <v>75</v>
      </c>
      <c r="GL3" s="56">
        <v>75</v>
      </c>
      <c r="GO3" s="56">
        <v>150</v>
      </c>
      <c r="GP3" s="56">
        <v>150</v>
      </c>
      <c r="GY3" s="56">
        <v>45</v>
      </c>
      <c r="GZ3" s="56">
        <v>45</v>
      </c>
      <c r="HA3" s="56">
        <v>45</v>
      </c>
      <c r="HB3" s="56">
        <v>45</v>
      </c>
      <c r="HH3" s="57">
        <v>0.25</v>
      </c>
      <c r="HI3" s="57">
        <v>0.35</v>
      </c>
      <c r="HQ3" s="56">
        <v>80</v>
      </c>
      <c r="HS3" s="56">
        <v>120</v>
      </c>
      <c r="IC3" s="26">
        <v>0.25</v>
      </c>
      <c r="ID3" s="26">
        <v>0.35</v>
      </c>
      <c r="IL3" s="56">
        <v>80</v>
      </c>
      <c r="IN3" s="56">
        <v>120</v>
      </c>
      <c r="KM3" s="25" t="s">
        <v>8255</v>
      </c>
      <c r="KN3" s="25" t="s">
        <v>8381</v>
      </c>
      <c r="KO3" s="25" t="s">
        <v>8321</v>
      </c>
      <c r="KP3" s="25">
        <v>1</v>
      </c>
      <c r="KQ3" s="25" t="s">
        <v>8766</v>
      </c>
      <c r="KS3" s="56">
        <v>2500</v>
      </c>
      <c r="KT3" s="56">
        <v>6850</v>
      </c>
      <c r="KU3" s="56">
        <v>4500</v>
      </c>
      <c r="KV3" s="56">
        <v>10500</v>
      </c>
      <c r="KY3" s="25" t="s">
        <v>8246</v>
      </c>
      <c r="KZ3" s="56">
        <v>1500</v>
      </c>
      <c r="LA3" s="56">
        <v>4500</v>
      </c>
      <c r="LB3" s="56">
        <v>1500</v>
      </c>
      <c r="LC3" s="56">
        <v>4500</v>
      </c>
      <c r="LD3" s="25" t="s">
        <v>8247</v>
      </c>
      <c r="LE3" s="25" t="s">
        <v>8248</v>
      </c>
      <c r="LR3" s="25" t="s">
        <v>8249</v>
      </c>
      <c r="OE3" s="25" t="s">
        <v>25</v>
      </c>
      <c r="OF3" s="25" t="s">
        <v>28</v>
      </c>
      <c r="OG3" s="25" t="s">
        <v>25</v>
      </c>
      <c r="OH3" s="25" t="s">
        <v>25</v>
      </c>
      <c r="OJ3" s="25" t="s">
        <v>13421</v>
      </c>
      <c r="OK3" s="25" t="s">
        <v>13425</v>
      </c>
      <c r="OS3" s="26">
        <v>0.1</v>
      </c>
      <c r="OT3" s="26">
        <v>0.1</v>
      </c>
      <c r="OU3" s="26">
        <v>0.1</v>
      </c>
      <c r="OV3" s="26">
        <v>0.1</v>
      </c>
      <c r="OW3" s="26">
        <v>0.1</v>
      </c>
      <c r="OX3" s="26">
        <v>0</v>
      </c>
      <c r="OY3" s="26">
        <v>0.1</v>
      </c>
      <c r="PG3" s="26">
        <v>0.3</v>
      </c>
      <c r="PH3" s="26">
        <v>0.3</v>
      </c>
      <c r="PI3" s="26">
        <v>0.3</v>
      </c>
      <c r="PJ3" s="26">
        <v>0.1</v>
      </c>
      <c r="PK3" s="26">
        <v>0.1</v>
      </c>
      <c r="PM3" s="26">
        <v>0.3</v>
      </c>
      <c r="PN3" s="25" t="s">
        <v>8250</v>
      </c>
      <c r="PO3" s="25" t="s">
        <v>8250</v>
      </c>
      <c r="PP3" s="25" t="s">
        <v>8250</v>
      </c>
      <c r="PQ3" s="25" t="s">
        <v>8250</v>
      </c>
      <c r="PR3" s="25" t="s">
        <v>8250</v>
      </c>
      <c r="PS3" s="25" t="s">
        <v>8261</v>
      </c>
      <c r="PT3" s="25" t="s">
        <v>8250</v>
      </c>
      <c r="PU3" s="25" t="s">
        <v>25</v>
      </c>
      <c r="PV3" s="25" t="s">
        <v>25</v>
      </c>
      <c r="PW3" s="25" t="s">
        <v>25</v>
      </c>
      <c r="PX3" s="25" t="s">
        <v>25</v>
      </c>
      <c r="PY3" s="25" t="s">
        <v>25</v>
      </c>
      <c r="PZ3" s="25" t="s">
        <v>25</v>
      </c>
      <c r="QB3" s="25" t="s">
        <v>13810</v>
      </c>
      <c r="QC3" s="25" t="s">
        <v>13810</v>
      </c>
      <c r="QD3" s="25" t="s">
        <v>13810</v>
      </c>
      <c r="QE3" s="25" t="s">
        <v>13810</v>
      </c>
      <c r="QF3" s="25" t="s">
        <v>13810</v>
      </c>
      <c r="QG3" s="25" t="s">
        <v>13810</v>
      </c>
      <c r="QH3" s="25" t="s">
        <v>13810</v>
      </c>
      <c r="QJ3" s="25" t="s">
        <v>631</v>
      </c>
      <c r="QL3" s="25" t="s">
        <v>8627</v>
      </c>
      <c r="QM3" s="25" t="s">
        <v>8627</v>
      </c>
      <c r="QN3" s="25" t="s">
        <v>8507</v>
      </c>
      <c r="QO3" s="25" t="s">
        <v>13446</v>
      </c>
      <c r="QP3" s="25" t="s">
        <v>13438</v>
      </c>
      <c r="QQ3" s="25" t="s">
        <v>13444</v>
      </c>
      <c r="QR3" s="25" t="s">
        <v>13460</v>
      </c>
      <c r="QU3" s="56">
        <v>10</v>
      </c>
      <c r="QW3" s="56">
        <v>20</v>
      </c>
      <c r="RA3" s="56">
        <v>60</v>
      </c>
      <c r="RE3" s="56">
        <v>130</v>
      </c>
      <c r="RX3" s="26">
        <v>0.2</v>
      </c>
      <c r="RY3" s="26">
        <v>0.3</v>
      </c>
      <c r="SG3" s="56">
        <v>50</v>
      </c>
      <c r="SI3" s="56">
        <v>100</v>
      </c>
      <c r="SS3" s="26">
        <v>0.2</v>
      </c>
      <c r="ST3" s="26">
        <v>0.3</v>
      </c>
      <c r="TB3" s="56">
        <v>50</v>
      </c>
      <c r="TD3" s="56">
        <v>100</v>
      </c>
      <c r="TU3" s="56">
        <v>20</v>
      </c>
      <c r="TW3" s="56">
        <v>60</v>
      </c>
      <c r="TY3" s="56">
        <v>130</v>
      </c>
      <c r="VC3" s="25" t="s">
        <v>8255</v>
      </c>
      <c r="VD3" s="25" t="s">
        <v>8381</v>
      </c>
      <c r="VE3" s="25" t="s">
        <v>8321</v>
      </c>
      <c r="VF3" s="25">
        <v>0</v>
      </c>
      <c r="VI3" s="25"/>
      <c r="VJ3" s="25"/>
      <c r="VK3" s="25"/>
      <c r="VL3" s="25"/>
      <c r="VM3" s="25"/>
      <c r="VN3" s="25"/>
      <c r="VP3" s="25"/>
      <c r="VQ3" s="25"/>
      <c r="VR3" s="25"/>
      <c r="VS3" s="25"/>
      <c r="ZA3" s="25"/>
      <c r="ZB3" s="25"/>
      <c r="ZC3" s="25"/>
      <c r="ZD3" s="25"/>
      <c r="ZE3" s="25"/>
      <c r="ZF3" s="25"/>
      <c r="ZG3" s="25"/>
      <c r="ZO3" s="25"/>
      <c r="ZP3" s="25"/>
      <c r="ZQ3" s="25"/>
      <c r="ZR3" s="25"/>
      <c r="ZS3" s="25"/>
      <c r="ZT3" s="25"/>
      <c r="ZU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S3" s="25"/>
      <c r="ACT3" s="25"/>
      <c r="ACU3" s="25"/>
      <c r="ACV3" s="25"/>
      <c r="ACW3" s="25"/>
      <c r="ACX3" s="25"/>
      <c r="ACY3" s="25"/>
      <c r="ACZ3" s="25"/>
      <c r="ADA3" s="25"/>
      <c r="ADB3" s="25"/>
      <c r="ADC3" s="25"/>
      <c r="ADD3" s="25"/>
      <c r="ADE3" s="25"/>
      <c r="ADF3" s="25"/>
      <c r="ADN3" s="25"/>
      <c r="ADO3" s="25"/>
      <c r="ADP3" s="25"/>
      <c r="ADQ3" s="25"/>
      <c r="ADR3" s="25"/>
      <c r="ADS3" s="25"/>
      <c r="ADT3" s="25"/>
      <c r="ADU3" s="25"/>
      <c r="ADV3" s="25"/>
      <c r="ADW3" s="25"/>
      <c r="ADX3" s="25"/>
      <c r="ADY3" s="25"/>
      <c r="ADZ3" s="25"/>
      <c r="AEA3" s="25"/>
      <c r="AEI3" s="25"/>
      <c r="AEJ3" s="25"/>
      <c r="AEK3" s="25"/>
      <c r="AEL3" s="25"/>
      <c r="AEM3" s="25"/>
      <c r="AEN3" s="25"/>
      <c r="AEO3" s="25"/>
      <c r="AEP3" s="25"/>
      <c r="AEQ3" s="25"/>
      <c r="AER3" s="25"/>
      <c r="AES3" s="25"/>
      <c r="AET3" s="25"/>
      <c r="AEU3" s="25"/>
      <c r="AEV3" s="25"/>
      <c r="AFD3" s="25"/>
      <c r="AFE3" s="25"/>
      <c r="AFF3" s="25"/>
      <c r="AFG3" s="25"/>
      <c r="AFH3" s="25"/>
      <c r="AFI3" s="25"/>
      <c r="AFJ3" s="25"/>
      <c r="AFK3" s="25"/>
      <c r="AFL3" s="25"/>
      <c r="AFM3" s="25"/>
      <c r="AFN3" s="25"/>
      <c r="AFO3" s="25"/>
      <c r="AFP3" s="25"/>
      <c r="AFQ3" s="25"/>
      <c r="AFU3" s="25">
        <v>0</v>
      </c>
      <c r="AFX3" s="25"/>
      <c r="AFY3" s="25"/>
      <c r="AFZ3" s="25"/>
      <c r="AGA3" s="25"/>
      <c r="AGB3" s="25"/>
      <c r="AGC3" s="25"/>
      <c r="AGE3" s="25"/>
      <c r="AGF3" s="25"/>
      <c r="AGG3" s="25"/>
      <c r="AGH3" s="25"/>
      <c r="AJP3" s="25"/>
      <c r="AJQ3" s="25"/>
      <c r="AJR3" s="25"/>
      <c r="AJS3" s="25"/>
      <c r="AJT3" s="25"/>
      <c r="AJU3" s="25"/>
      <c r="AJV3" s="25"/>
      <c r="AKD3" s="25"/>
      <c r="AKE3" s="25"/>
      <c r="AKF3" s="25"/>
      <c r="AKG3" s="25"/>
      <c r="AKH3" s="25"/>
      <c r="AKI3" s="25"/>
      <c r="AKJ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H3" s="25"/>
      <c r="ANI3" s="25"/>
      <c r="ANJ3" s="25"/>
      <c r="ANK3" s="25"/>
      <c r="ANL3" s="25"/>
      <c r="ANM3" s="25"/>
      <c r="ANN3" s="25"/>
      <c r="ANO3" s="25"/>
      <c r="ANP3" s="25"/>
      <c r="ANQ3" s="25"/>
      <c r="ANR3" s="25"/>
      <c r="ANS3" s="25"/>
      <c r="ANT3" s="25"/>
      <c r="ANU3" s="25"/>
      <c r="AOC3" s="25"/>
      <c r="AOD3" s="25"/>
      <c r="AOE3" s="25"/>
      <c r="AOF3" s="25"/>
      <c r="AOG3" s="25"/>
      <c r="AOH3" s="25"/>
      <c r="AOI3" s="25"/>
      <c r="AOJ3" s="25"/>
      <c r="AOK3" s="25"/>
      <c r="AOL3" s="25"/>
      <c r="AOM3" s="25"/>
      <c r="AON3" s="25"/>
      <c r="AOO3" s="25"/>
      <c r="AOP3" s="25"/>
      <c r="AOX3" s="25"/>
      <c r="AOY3" s="25"/>
      <c r="AOZ3" s="25"/>
      <c r="APA3" s="25"/>
      <c r="APB3" s="25"/>
      <c r="APC3" s="25"/>
      <c r="APD3" s="25"/>
      <c r="APE3" s="25"/>
      <c r="APF3" s="25"/>
      <c r="APG3" s="25"/>
      <c r="APH3" s="25"/>
      <c r="API3" s="25"/>
      <c r="APJ3" s="25"/>
      <c r="APK3" s="25"/>
      <c r="APS3" s="25"/>
      <c r="APT3" s="25"/>
      <c r="APU3" s="25"/>
      <c r="APV3" s="25"/>
      <c r="APW3" s="25"/>
      <c r="APX3" s="25"/>
      <c r="APY3" s="25"/>
      <c r="APZ3" s="25"/>
      <c r="AQA3" s="25"/>
      <c r="AQB3" s="25"/>
      <c r="AQC3" s="25"/>
      <c r="AQD3" s="25"/>
      <c r="AQE3" s="25"/>
      <c r="AQF3" s="25"/>
      <c r="AQJ3" s="25">
        <v>1</v>
      </c>
      <c r="AQK3" s="25" t="s">
        <v>8767</v>
      </c>
      <c r="AQM3" s="56">
        <v>1500</v>
      </c>
      <c r="AQN3" s="56">
        <v>3000</v>
      </c>
      <c r="AQS3" s="25" t="s">
        <v>8690</v>
      </c>
      <c r="ATX3" s="25" t="s">
        <v>25</v>
      </c>
      <c r="ATY3" s="25" t="s">
        <v>28</v>
      </c>
      <c r="ATZ3" s="25" t="s">
        <v>25</v>
      </c>
      <c r="AUA3" s="25" t="s">
        <v>25</v>
      </c>
      <c r="AUC3" s="25" t="s">
        <v>13417</v>
      </c>
      <c r="AUE3" s="56">
        <v>20</v>
      </c>
      <c r="AUF3" s="56">
        <v>40</v>
      </c>
      <c r="AUG3" s="56">
        <v>20</v>
      </c>
      <c r="AUH3" s="56">
        <v>100</v>
      </c>
      <c r="AUI3" s="56">
        <v>20</v>
      </c>
      <c r="AVG3" s="25" t="s">
        <v>8250</v>
      </c>
      <c r="AVH3" s="25" t="s">
        <v>8250</v>
      </c>
      <c r="AVI3" s="25" t="s">
        <v>8250</v>
      </c>
      <c r="AVJ3" s="25" t="s">
        <v>8250</v>
      </c>
      <c r="AVK3" s="25" t="s">
        <v>8250</v>
      </c>
      <c r="AVL3" s="25" t="s">
        <v>8250</v>
      </c>
      <c r="AVN3" s="25" t="s">
        <v>25</v>
      </c>
      <c r="AVO3" s="25" t="s">
        <v>25</v>
      </c>
      <c r="AVP3" s="25" t="s">
        <v>25</v>
      </c>
      <c r="AVQ3" s="25" t="s">
        <v>25</v>
      </c>
      <c r="AVR3" s="25" t="s">
        <v>25</v>
      </c>
      <c r="AVS3" s="25" t="s">
        <v>25</v>
      </c>
      <c r="AVU3" s="25" t="s">
        <v>13810</v>
      </c>
      <c r="AVV3" s="25" t="s">
        <v>13810</v>
      </c>
      <c r="AVW3" s="25" t="s">
        <v>13810</v>
      </c>
      <c r="AVX3" s="25" t="s">
        <v>13810</v>
      </c>
      <c r="AVY3" s="25" t="s">
        <v>13810</v>
      </c>
      <c r="AVZ3" s="25" t="s">
        <v>631</v>
      </c>
      <c r="AWA3" s="25" t="s">
        <v>631</v>
      </c>
      <c r="AWB3" s="25" t="s">
        <v>631</v>
      </c>
      <c r="AWC3" s="25" t="s">
        <v>631</v>
      </c>
      <c r="AWE3" s="25" t="s">
        <v>8487</v>
      </c>
      <c r="AWF3" s="25" t="s">
        <v>8253</v>
      </c>
      <c r="AWG3" s="25" t="s">
        <v>8507</v>
      </c>
      <c r="AWH3" s="25" t="s">
        <v>13436</v>
      </c>
      <c r="AWI3" s="25" t="s">
        <v>13448</v>
      </c>
      <c r="AWN3" s="56">
        <v>10</v>
      </c>
      <c r="AWP3" s="56">
        <v>20</v>
      </c>
      <c r="AWR3" s="56">
        <v>30</v>
      </c>
      <c r="AWT3" s="56">
        <v>60</v>
      </c>
      <c r="AWV3" s="56">
        <v>30</v>
      </c>
      <c r="AXX3" s="56">
        <v>10</v>
      </c>
      <c r="AXZ3" s="56">
        <v>30</v>
      </c>
      <c r="AYB3" s="56">
        <v>30</v>
      </c>
      <c r="AZN3" s="56">
        <v>20</v>
      </c>
      <c r="AZP3" s="56">
        <v>60</v>
      </c>
      <c r="BAV3" s="25" t="s">
        <v>8255</v>
      </c>
      <c r="BAW3" s="25" t="s">
        <v>8256</v>
      </c>
      <c r="BAX3" s="25" t="s">
        <v>8321</v>
      </c>
      <c r="BAY3" s="25">
        <v>0</v>
      </c>
      <c r="BBB3" s="25"/>
      <c r="BBC3" s="25"/>
      <c r="BBD3" s="25"/>
      <c r="BBE3" s="25"/>
      <c r="BBF3" s="25"/>
      <c r="BBG3" s="25"/>
      <c r="BBI3" s="25"/>
      <c r="BBJ3" s="25"/>
      <c r="BBK3" s="25"/>
      <c r="BBL3" s="25"/>
      <c r="BET3" s="25"/>
      <c r="BEU3" s="25"/>
      <c r="BEV3" s="25"/>
      <c r="BEW3" s="25"/>
      <c r="BEX3" s="25"/>
      <c r="BEY3" s="25"/>
      <c r="BEZ3" s="25"/>
      <c r="BFH3" s="25"/>
      <c r="BFI3" s="25"/>
      <c r="BFJ3" s="25"/>
      <c r="BFK3" s="25"/>
      <c r="BFL3" s="25"/>
      <c r="BFM3" s="25"/>
      <c r="BFN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L3" s="25"/>
      <c r="BIM3" s="25"/>
      <c r="BIN3" s="25"/>
      <c r="BIO3" s="25"/>
      <c r="BIP3" s="25"/>
      <c r="BIQ3" s="25"/>
      <c r="BIR3" s="25"/>
      <c r="BIS3" s="25"/>
      <c r="BIT3" s="25"/>
      <c r="BIU3" s="25"/>
      <c r="BIV3" s="25"/>
      <c r="BIW3" s="25"/>
      <c r="BIX3" s="25"/>
      <c r="BIY3" s="25"/>
      <c r="BJG3" s="25"/>
      <c r="BJH3" s="25"/>
      <c r="BJI3" s="25"/>
      <c r="BJJ3" s="25"/>
      <c r="BJK3" s="25"/>
      <c r="BJL3" s="25"/>
      <c r="BJM3" s="25"/>
      <c r="BJN3" s="25"/>
      <c r="BJO3" s="25"/>
      <c r="BJP3" s="25"/>
      <c r="BJQ3" s="25"/>
      <c r="BJR3" s="25"/>
      <c r="BJS3" s="25"/>
      <c r="BJT3" s="25"/>
      <c r="BKB3" s="25"/>
      <c r="BKC3" s="25"/>
      <c r="BKD3" s="25"/>
      <c r="BKE3" s="25"/>
      <c r="BKF3" s="25"/>
      <c r="BKG3" s="25"/>
      <c r="BKH3" s="25"/>
      <c r="BKI3" s="25"/>
      <c r="BKJ3" s="25"/>
      <c r="BKK3" s="25"/>
      <c r="BKL3" s="25"/>
      <c r="BKM3" s="25"/>
      <c r="BKN3" s="25"/>
      <c r="BKO3" s="25"/>
      <c r="BKW3" s="25"/>
      <c r="BKX3" s="25"/>
      <c r="BKY3" s="25"/>
      <c r="BKZ3" s="25"/>
      <c r="BLA3" s="25"/>
      <c r="BLB3" s="25"/>
      <c r="BLC3" s="25"/>
      <c r="BLD3" s="25"/>
      <c r="BLE3" s="25"/>
      <c r="BLF3" s="25"/>
      <c r="BLG3" s="25"/>
      <c r="BLH3" s="25"/>
      <c r="BLI3" s="25"/>
      <c r="BLJ3" s="25"/>
      <c r="BLN3" s="25">
        <v>0</v>
      </c>
      <c r="BLQ3" s="25"/>
      <c r="BLR3" s="25"/>
      <c r="BLS3" s="25"/>
      <c r="BLT3" s="25"/>
      <c r="BLU3" s="25"/>
      <c r="BLV3" s="25"/>
      <c r="BLX3" s="25"/>
      <c r="BLY3" s="25"/>
      <c r="BLZ3" s="25"/>
      <c r="BMA3" s="25"/>
      <c r="BPI3" s="25"/>
      <c r="BPJ3" s="25"/>
      <c r="BPK3" s="25"/>
      <c r="BPL3" s="25"/>
      <c r="BPM3" s="25"/>
      <c r="BPN3" s="25"/>
      <c r="BPO3" s="25"/>
      <c r="BPW3" s="25"/>
      <c r="BPX3" s="25"/>
      <c r="BPY3" s="25"/>
      <c r="BPZ3" s="25"/>
      <c r="BQA3" s="25"/>
      <c r="BQB3" s="25"/>
      <c r="BQC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TA3" s="25"/>
      <c r="BTB3" s="25"/>
      <c r="BTC3" s="25"/>
      <c r="BTD3" s="25"/>
      <c r="BTE3" s="25"/>
      <c r="BTF3" s="25"/>
      <c r="BTG3" s="25"/>
      <c r="BTH3" s="25"/>
      <c r="BTI3" s="25"/>
      <c r="BTJ3" s="25"/>
      <c r="BTK3" s="25"/>
      <c r="BTL3" s="25"/>
      <c r="BTM3" s="25"/>
      <c r="BTN3" s="25"/>
      <c r="BUQ3" s="25"/>
      <c r="BUR3" s="25"/>
      <c r="BUS3" s="25"/>
      <c r="BUT3" s="25"/>
      <c r="BUU3" s="25"/>
      <c r="BUV3" s="25"/>
      <c r="BUW3" s="25"/>
      <c r="BUX3" s="25"/>
      <c r="BUY3" s="25"/>
      <c r="BUZ3" s="25"/>
      <c r="BVA3" s="25"/>
      <c r="BVB3" s="25"/>
      <c r="BVC3" s="25"/>
      <c r="BVD3" s="25"/>
      <c r="BWC3" s="25" t="s">
        <v>28</v>
      </c>
      <c r="BWD3" s="25" t="s">
        <v>8265</v>
      </c>
      <c r="BWE3" s="25" t="s">
        <v>8266</v>
      </c>
      <c r="BWF3" s="25" t="s">
        <v>13712</v>
      </c>
      <c r="BWG3" s="25" t="s">
        <v>28</v>
      </c>
      <c r="BWH3" s="25" t="s">
        <v>2169</v>
      </c>
      <c r="BWI3" s="25" t="s">
        <v>28</v>
      </c>
      <c r="BWJ3" s="25" t="s">
        <v>8267</v>
      </c>
      <c r="BWK3" s="25" t="s">
        <v>25</v>
      </c>
      <c r="BWM3" s="25" t="s">
        <v>25</v>
      </c>
      <c r="BWO3" s="25" t="s">
        <v>25</v>
      </c>
      <c r="BWQ3" s="25" t="s">
        <v>28</v>
      </c>
      <c r="BWR3" s="25" t="s">
        <v>25</v>
      </c>
      <c r="BWT3" s="25" t="s">
        <v>25</v>
      </c>
      <c r="BWV3" s="25" t="s">
        <v>25</v>
      </c>
      <c r="BWX3" s="25" t="s">
        <v>28</v>
      </c>
      <c r="BWY3" s="25" t="s">
        <v>8358</v>
      </c>
      <c r="BWZ3" s="25" t="s">
        <v>28</v>
      </c>
      <c r="BXA3" s="56">
        <v>20</v>
      </c>
      <c r="BXB3" s="25" t="s">
        <v>28</v>
      </c>
      <c r="BXC3" s="56">
        <v>20</v>
      </c>
      <c r="BXD3" s="25" t="s">
        <v>28</v>
      </c>
      <c r="BXE3" s="25" t="s">
        <v>8358</v>
      </c>
      <c r="BXF3" s="25" t="s">
        <v>28</v>
      </c>
      <c r="BXG3" s="56">
        <v>20</v>
      </c>
      <c r="BXH3" s="25" t="s">
        <v>28</v>
      </c>
      <c r="BXI3" s="56">
        <v>20</v>
      </c>
      <c r="BXJ3" s="25" t="s">
        <v>28</v>
      </c>
      <c r="BXK3" s="25" t="s">
        <v>8360</v>
      </c>
      <c r="BXL3" s="25" t="s">
        <v>14234</v>
      </c>
      <c r="BXM3" s="25" t="s">
        <v>2201</v>
      </c>
      <c r="BXN3" s="25" t="s">
        <v>8272</v>
      </c>
      <c r="BXO3" s="25" t="s">
        <v>8274</v>
      </c>
      <c r="BXP3" s="25" t="s">
        <v>8274</v>
      </c>
      <c r="BXQ3" s="25" t="s">
        <v>8274</v>
      </c>
      <c r="BXR3" s="25" t="s">
        <v>8361</v>
      </c>
      <c r="BXS3" s="25" t="s">
        <v>8274</v>
      </c>
      <c r="BXT3" s="25" t="s">
        <v>8406</v>
      </c>
      <c r="BXW3" s="25" t="s">
        <v>25</v>
      </c>
      <c r="BXX3" s="25" t="s">
        <v>25</v>
      </c>
      <c r="BXY3" s="25" t="s">
        <v>25</v>
      </c>
      <c r="BXZ3" s="25" t="s">
        <v>25</v>
      </c>
      <c r="BYA3" s="25" t="s">
        <v>25</v>
      </c>
      <c r="BYB3" s="25" t="s">
        <v>25</v>
      </c>
      <c r="BYC3" s="25" t="s">
        <v>8276</v>
      </c>
      <c r="BYD3" s="25" t="s">
        <v>28</v>
      </c>
      <c r="BYE3" s="25" t="s">
        <v>13609</v>
      </c>
      <c r="BYF3" s="25" t="s">
        <v>8277</v>
      </c>
      <c r="BYH3" s="25" t="s">
        <v>8363</v>
      </c>
      <c r="BYK3" s="25" t="s">
        <v>28</v>
      </c>
      <c r="BYL3" s="25" t="s">
        <v>28</v>
      </c>
      <c r="BYM3" s="25">
        <v>180</v>
      </c>
      <c r="BYN3" s="25" t="s">
        <v>28</v>
      </c>
      <c r="BYO3" s="25">
        <v>180</v>
      </c>
      <c r="BYP3" s="25" t="s">
        <v>28</v>
      </c>
      <c r="BYQ3" s="25">
        <v>180</v>
      </c>
      <c r="BYR3" s="25" t="s">
        <v>28</v>
      </c>
      <c r="BYS3" s="25" t="s">
        <v>8279</v>
      </c>
      <c r="BYT3" s="25" t="s">
        <v>732</v>
      </c>
      <c r="BYU3" s="25" t="s">
        <v>732</v>
      </c>
      <c r="BYV3" s="25" t="s">
        <v>25</v>
      </c>
      <c r="BYW3" s="25" t="s">
        <v>28</v>
      </c>
      <c r="BYX3" s="56">
        <v>500</v>
      </c>
      <c r="BYY3" s="56">
        <v>1500</v>
      </c>
      <c r="BYZ3" s="25" t="s">
        <v>8408</v>
      </c>
      <c r="BZA3" s="25" t="s">
        <v>8768</v>
      </c>
      <c r="BZB3" s="25" t="s">
        <v>256</v>
      </c>
      <c r="BZC3" s="25" t="s">
        <v>8282</v>
      </c>
      <c r="BZD3" s="25" t="s">
        <v>28</v>
      </c>
      <c r="BZE3" s="25" t="s">
        <v>25</v>
      </c>
      <c r="BZF3" s="25" t="s">
        <v>25</v>
      </c>
      <c r="BZG3" s="25" t="s">
        <v>25</v>
      </c>
      <c r="BZJ3" s="25" t="s">
        <v>25</v>
      </c>
      <c r="BZM3" s="25" t="s">
        <v>28</v>
      </c>
      <c r="BZN3" s="25" t="s">
        <v>8336</v>
      </c>
      <c r="BZP3" s="25" t="s">
        <v>8366</v>
      </c>
      <c r="BZQ3" s="56">
        <v>1000</v>
      </c>
      <c r="BZR3" s="25" t="s">
        <v>607</v>
      </c>
      <c r="BZS3" s="25" t="s">
        <v>25</v>
      </c>
      <c r="BZT3" s="25" t="s">
        <v>8337</v>
      </c>
      <c r="BZV3" s="25" t="s">
        <v>8769</v>
      </c>
      <c r="BZX3" s="25" t="s">
        <v>8393</v>
      </c>
      <c r="BZZ3" s="25" t="s">
        <v>25</v>
      </c>
      <c r="CAC3" s="25" t="s">
        <v>28</v>
      </c>
      <c r="CAD3" s="25" t="s">
        <v>8288</v>
      </c>
      <c r="CAE3" s="25" t="s">
        <v>28</v>
      </c>
      <c r="CAF3" s="25" t="s">
        <v>8289</v>
      </c>
      <c r="CAG3" s="25" t="s">
        <v>25</v>
      </c>
      <c r="CAH3" s="25" t="s">
        <v>631</v>
      </c>
      <c r="CAI3" s="25" t="s">
        <v>631</v>
      </c>
      <c r="CAJ3" s="25" t="s">
        <v>631</v>
      </c>
      <c r="CAK3" s="25" t="s">
        <v>631</v>
      </c>
      <c r="CAL3" s="25" t="s">
        <v>631</v>
      </c>
      <c r="CAM3" s="25" t="s">
        <v>8290</v>
      </c>
      <c r="CAN3" s="25" t="s">
        <v>631</v>
      </c>
      <c r="CAO3" s="25" t="s">
        <v>631</v>
      </c>
      <c r="CAP3" s="25" t="s">
        <v>631</v>
      </c>
      <c r="CAQ3" s="25" t="s">
        <v>631</v>
      </c>
      <c r="CAR3" s="25" t="s">
        <v>8602</v>
      </c>
      <c r="CAS3" s="25" t="s">
        <v>8770</v>
      </c>
      <c r="CAT3" s="25" t="s">
        <v>25</v>
      </c>
      <c r="CBB3" s="25">
        <v>2</v>
      </c>
      <c r="CBC3" s="25">
        <v>0</v>
      </c>
      <c r="CBD3" s="25">
        <v>0</v>
      </c>
      <c r="CBE3" s="56">
        <v>50</v>
      </c>
      <c r="CBF3" s="56">
        <v>150</v>
      </c>
      <c r="CBG3" s="56">
        <v>50</v>
      </c>
      <c r="CBH3" s="56">
        <v>150</v>
      </c>
      <c r="CBI3" s="56">
        <v>1000</v>
      </c>
      <c r="CBM3" s="26">
        <v>0</v>
      </c>
      <c r="CBN3" s="26">
        <v>0</v>
      </c>
      <c r="CBO3" s="26">
        <v>0.2</v>
      </c>
      <c r="CBP3" s="26">
        <v>0.2</v>
      </c>
      <c r="CBQ3" s="26">
        <v>0.5</v>
      </c>
      <c r="CBR3" s="26">
        <v>0.5</v>
      </c>
      <c r="CBS3" s="26">
        <v>1</v>
      </c>
      <c r="CBT3" s="26">
        <v>1</v>
      </c>
      <c r="CBU3" s="27" t="s">
        <v>28</v>
      </c>
      <c r="CBV3" s="27" t="s">
        <v>8369</v>
      </c>
      <c r="CBW3" s="27" t="s">
        <v>8294</v>
      </c>
      <c r="CBX3" s="27" t="s">
        <v>8678</v>
      </c>
      <c r="CBY3" s="27" t="s">
        <v>8296</v>
      </c>
      <c r="CBZ3" s="27" t="s">
        <v>8296</v>
      </c>
      <c r="CCA3" s="27" t="s">
        <v>8296</v>
      </c>
      <c r="CCB3" s="27" t="s">
        <v>8298</v>
      </c>
      <c r="CCC3" s="27" t="s">
        <v>8296</v>
      </c>
      <c r="CCD3" s="27" t="s">
        <v>8297</v>
      </c>
      <c r="CCE3" s="27" t="s">
        <v>8296</v>
      </c>
      <c r="CCF3" s="27" t="s">
        <v>8296</v>
      </c>
      <c r="CCG3" s="27" t="s">
        <v>8297</v>
      </c>
      <c r="CCH3" s="27" t="s">
        <v>8298</v>
      </c>
      <c r="CCI3" s="27" t="s">
        <v>8298</v>
      </c>
      <c r="CCJ3" s="27" t="s">
        <v>8298</v>
      </c>
      <c r="CCK3" s="27" t="s">
        <v>8297</v>
      </c>
      <c r="CCL3" s="27" t="s">
        <v>8297</v>
      </c>
      <c r="CCN3" s="27" t="s">
        <v>8296</v>
      </c>
      <c r="CCO3" s="27" t="s">
        <v>8300</v>
      </c>
      <c r="CCP3" s="27" t="s">
        <v>8296</v>
      </c>
      <c r="CCQ3" s="27" t="s">
        <v>8296</v>
      </c>
      <c r="CCR3" s="27" t="s">
        <v>8296</v>
      </c>
      <c r="CCS3" s="27" t="s">
        <v>8298</v>
      </c>
      <c r="CCT3" s="27" t="s">
        <v>8296</v>
      </c>
      <c r="CCU3" s="27" t="s">
        <v>8296</v>
      </c>
      <c r="CCV3" s="27" t="s">
        <v>8298</v>
      </c>
      <c r="CCW3" s="27" t="s">
        <v>8298</v>
      </c>
      <c r="CCX3" s="27" t="s">
        <v>8298</v>
      </c>
      <c r="CCZ3" s="27" t="s">
        <v>28</v>
      </c>
      <c r="CDA3" s="27" t="s">
        <v>28</v>
      </c>
      <c r="CDB3" s="27" t="s">
        <v>28</v>
      </c>
      <c r="CDC3" s="27" t="s">
        <v>28</v>
      </c>
      <c r="CDD3" s="27" t="s">
        <v>28</v>
      </c>
      <c r="CDE3" s="27" t="s">
        <v>28</v>
      </c>
      <c r="CDF3" s="27" t="s">
        <v>28</v>
      </c>
      <c r="CDG3" s="27" t="s">
        <v>28</v>
      </c>
      <c r="CDH3" s="27" t="s">
        <v>28</v>
      </c>
      <c r="CDI3" s="27" t="s">
        <v>28</v>
      </c>
      <c r="CDJ3" s="27" t="s">
        <v>28</v>
      </c>
      <c r="CDK3" s="27" t="s">
        <v>28</v>
      </c>
      <c r="CDL3" s="27" t="s">
        <v>28</v>
      </c>
      <c r="CDM3" s="27" t="s">
        <v>28</v>
      </c>
      <c r="CDO3" s="27" t="s">
        <v>28</v>
      </c>
      <c r="CDP3" s="27" t="s">
        <v>25</v>
      </c>
      <c r="CDQ3" s="27" t="s">
        <v>28</v>
      </c>
      <c r="CDR3" s="27" t="s">
        <v>28</v>
      </c>
      <c r="CDS3" s="27" t="s">
        <v>28</v>
      </c>
      <c r="CDT3" s="27" t="s">
        <v>28</v>
      </c>
      <c r="CDU3" s="27" t="s">
        <v>28</v>
      </c>
      <c r="CDV3" s="27" t="s">
        <v>28</v>
      </c>
      <c r="CDW3" s="27" t="s">
        <v>28</v>
      </c>
      <c r="CDX3" s="27" t="s">
        <v>28</v>
      </c>
      <c r="CDY3" s="27" t="s">
        <v>28</v>
      </c>
      <c r="CEA3" s="27" t="s">
        <v>8305</v>
      </c>
      <c r="CEB3" s="27" t="s">
        <v>29</v>
      </c>
      <c r="CEC3" s="27" t="s">
        <v>8301</v>
      </c>
      <c r="CED3" s="27" t="s">
        <v>29</v>
      </c>
      <c r="CEE3" s="27" t="s">
        <v>8305</v>
      </c>
      <c r="CEF3" s="27" t="s">
        <v>8301</v>
      </c>
      <c r="CEG3" s="27" t="s">
        <v>8420</v>
      </c>
      <c r="CEH3" s="27" t="s">
        <v>8420</v>
      </c>
      <c r="CEI3" s="27" t="s">
        <v>8301</v>
      </c>
      <c r="CEJ3" s="27" t="s">
        <v>8302</v>
      </c>
      <c r="CEK3" s="27" t="s">
        <v>8302</v>
      </c>
      <c r="CEL3" s="27" t="s">
        <v>8302</v>
      </c>
      <c r="CEM3" s="27" t="s">
        <v>8301</v>
      </c>
      <c r="CEN3" s="27" t="s">
        <v>8301</v>
      </c>
      <c r="CEP3" s="27" t="s">
        <v>8304</v>
      </c>
      <c r="CEQ3" s="27" t="s">
        <v>8304</v>
      </c>
      <c r="CER3" s="27" t="s">
        <v>8305</v>
      </c>
      <c r="CES3" s="27" t="s">
        <v>8306</v>
      </c>
      <c r="CET3" s="27" t="s">
        <v>8304</v>
      </c>
      <c r="CEU3" s="27" t="s">
        <v>8304</v>
      </c>
      <c r="CEV3" s="27" t="s">
        <v>29</v>
      </c>
      <c r="CEW3" s="27" t="s">
        <v>8302</v>
      </c>
      <c r="CEX3" s="27" t="s">
        <v>8302</v>
      </c>
      <c r="CEY3" s="27" t="s">
        <v>8420</v>
      </c>
      <c r="CEZ3" s="27" t="s">
        <v>8306</v>
      </c>
      <c r="CFM3" s="27" t="s">
        <v>28</v>
      </c>
      <c r="CFS3" s="27" t="s">
        <v>25</v>
      </c>
      <c r="CFV3" s="27" t="s">
        <v>25</v>
      </c>
      <c r="CFX3" s="27" t="s">
        <v>28</v>
      </c>
      <c r="CFY3" s="27" t="s">
        <v>28</v>
      </c>
      <c r="CGA3" s="27" t="s">
        <v>28</v>
      </c>
      <c r="CPW3" s="27">
        <v>2</v>
      </c>
      <c r="CPX3" s="56">
        <v>25</v>
      </c>
      <c r="CPY3" s="26">
        <v>0</v>
      </c>
      <c r="CPZ3" s="56" t="s">
        <v>8771</v>
      </c>
      <c r="CQA3" s="26">
        <v>0</v>
      </c>
      <c r="CQB3" s="25" t="s">
        <v>8372</v>
      </c>
      <c r="CQC3" s="25" t="s">
        <v>8372</v>
      </c>
      <c r="CQD3" s="25" t="s">
        <v>8523</v>
      </c>
      <c r="CQE3" s="25" t="s">
        <v>8307</v>
      </c>
      <c r="CQF3" s="25" t="s">
        <v>8307</v>
      </c>
      <c r="CQG3" s="56">
        <v>0</v>
      </c>
      <c r="CQH3" s="56">
        <v>0</v>
      </c>
      <c r="CQI3" s="56">
        <v>210</v>
      </c>
      <c r="CQJ3" s="56">
        <v>250</v>
      </c>
      <c r="CQK3" s="56">
        <v>250</v>
      </c>
      <c r="CQL3" s="25" t="s">
        <v>13686</v>
      </c>
      <c r="CQM3" s="25" t="s">
        <v>8308</v>
      </c>
      <c r="CQN3" s="25" t="s">
        <v>28</v>
      </c>
      <c r="CQO3" s="25" t="s">
        <v>8772</v>
      </c>
      <c r="CQQ3" s="25" t="s">
        <v>8373</v>
      </c>
      <c r="CQR3" s="25" t="s">
        <v>8773</v>
      </c>
      <c r="CQS3" s="25" t="s">
        <v>25</v>
      </c>
      <c r="CQT3" s="25" t="s">
        <v>8312</v>
      </c>
      <c r="CQU3" s="25" t="s">
        <v>8312</v>
      </c>
      <c r="CQV3" s="25" t="s">
        <v>8313</v>
      </c>
      <c r="CQW3" s="25" t="s">
        <v>8313</v>
      </c>
      <c r="CQX3" s="25" t="s">
        <v>8312</v>
      </c>
      <c r="CQY3" s="25" t="s">
        <v>8313</v>
      </c>
      <c r="CQZ3" s="25" t="s">
        <v>8312</v>
      </c>
      <c r="CRA3" s="25" t="s">
        <v>8314</v>
      </c>
      <c r="CRB3" s="25" t="s">
        <v>8312</v>
      </c>
      <c r="CRC3" s="25" t="s">
        <v>8312</v>
      </c>
      <c r="CRD3" s="25" t="s">
        <v>8312</v>
      </c>
      <c r="CRE3" s="27" t="s">
        <v>8312</v>
      </c>
    </row>
    <row r="4" spans="1:2501" ht="102" x14ac:dyDescent="0.2">
      <c r="A4" s="21" t="s">
        <v>133</v>
      </c>
      <c r="B4" s="26">
        <v>0.47</v>
      </c>
      <c r="C4" s="26">
        <v>0.32</v>
      </c>
      <c r="D4" s="26">
        <v>0.1</v>
      </c>
      <c r="E4" s="26">
        <v>0.1</v>
      </c>
      <c r="F4" s="26">
        <v>0</v>
      </c>
      <c r="G4" s="26">
        <v>0</v>
      </c>
      <c r="H4" s="26">
        <v>0</v>
      </c>
      <c r="I4" s="26">
        <v>0</v>
      </c>
      <c r="J4" s="26">
        <v>0</v>
      </c>
      <c r="K4" s="26">
        <v>0</v>
      </c>
      <c r="L4" s="26">
        <v>0</v>
      </c>
      <c r="M4" s="26">
        <v>0.01</v>
      </c>
      <c r="N4" s="26">
        <v>0</v>
      </c>
      <c r="O4" s="26">
        <v>0</v>
      </c>
      <c r="P4" s="26">
        <v>0</v>
      </c>
      <c r="Q4" s="26">
        <v>0</v>
      </c>
      <c r="R4" s="26">
        <v>0</v>
      </c>
      <c r="S4" s="26">
        <v>0</v>
      </c>
      <c r="T4" s="26">
        <v>0</v>
      </c>
      <c r="U4" s="26">
        <v>0</v>
      </c>
      <c r="V4" s="26">
        <v>0</v>
      </c>
      <c r="W4" s="26">
        <v>0</v>
      </c>
      <c r="X4" s="26">
        <v>0</v>
      </c>
      <c r="Y4" s="26">
        <v>1</v>
      </c>
      <c r="Z4" s="25">
        <v>1</v>
      </c>
      <c r="AA4" s="25" t="s">
        <v>8561</v>
      </c>
      <c r="AC4" s="56">
        <v>2000</v>
      </c>
      <c r="AD4" s="56">
        <v>4000</v>
      </c>
      <c r="AE4" s="56">
        <v>4000</v>
      </c>
      <c r="AF4" s="56">
        <v>8000</v>
      </c>
      <c r="AG4" s="56">
        <v>8000</v>
      </c>
      <c r="AH4" s="56">
        <v>8000</v>
      </c>
      <c r="AI4" s="25" t="s">
        <v>13411</v>
      </c>
      <c r="AJ4" s="56">
        <v>350</v>
      </c>
      <c r="AK4" s="56">
        <v>700</v>
      </c>
      <c r="AL4" s="56">
        <v>700</v>
      </c>
      <c r="AM4" s="56">
        <v>1400</v>
      </c>
      <c r="AN4" s="25" t="s">
        <v>8350</v>
      </c>
      <c r="AO4" s="25" t="s">
        <v>8248</v>
      </c>
      <c r="BB4" s="25" t="s">
        <v>8249</v>
      </c>
      <c r="DO4" s="25" t="s">
        <v>25</v>
      </c>
      <c r="DP4" s="25" t="s">
        <v>28</v>
      </c>
      <c r="DQ4" s="25" t="s">
        <v>28</v>
      </c>
      <c r="DR4" s="25" t="s">
        <v>25</v>
      </c>
      <c r="DT4" s="25" t="s">
        <v>13417</v>
      </c>
      <c r="DU4" s="25" t="s">
        <v>13417</v>
      </c>
      <c r="DV4" s="56">
        <v>15</v>
      </c>
      <c r="DW4" s="56">
        <v>15</v>
      </c>
      <c r="DX4" s="56">
        <v>15</v>
      </c>
      <c r="DY4" s="56">
        <v>100</v>
      </c>
      <c r="DZ4" s="56">
        <v>20</v>
      </c>
      <c r="EA4" s="56">
        <v>15</v>
      </c>
      <c r="EL4" s="56">
        <v>15</v>
      </c>
      <c r="EM4" s="56">
        <v>100</v>
      </c>
      <c r="EN4" s="56">
        <v>20</v>
      </c>
      <c r="EQ4" s="26">
        <v>0.3</v>
      </c>
      <c r="ER4" s="26">
        <v>0.3</v>
      </c>
      <c r="EV4" s="26">
        <v>0.3</v>
      </c>
      <c r="EX4" s="25" t="s">
        <v>8250</v>
      </c>
      <c r="EY4" s="25" t="s">
        <v>8250</v>
      </c>
      <c r="EZ4" s="25" t="s">
        <v>8250</v>
      </c>
      <c r="FA4" s="25" t="s">
        <v>8250</v>
      </c>
      <c r="FB4" s="25" t="s">
        <v>8250</v>
      </c>
      <c r="FC4" s="25" t="s">
        <v>8250</v>
      </c>
      <c r="FE4" s="25" t="s">
        <v>25</v>
      </c>
      <c r="FF4" s="25" t="s">
        <v>25</v>
      </c>
      <c r="FG4" s="25" t="s">
        <v>25</v>
      </c>
      <c r="FH4" s="25" t="s">
        <v>25</v>
      </c>
      <c r="FI4" s="25" t="s">
        <v>25</v>
      </c>
      <c r="FJ4" s="25" t="s">
        <v>25</v>
      </c>
      <c r="FL4" s="25" t="s">
        <v>13810</v>
      </c>
      <c r="FM4" s="25" t="s">
        <v>13810</v>
      </c>
      <c r="FN4" s="25" t="s">
        <v>13810</v>
      </c>
      <c r="FO4" s="25" t="s">
        <v>13810</v>
      </c>
      <c r="FP4" s="25" t="s">
        <v>13810</v>
      </c>
      <c r="FQ4" s="25" t="s">
        <v>13810</v>
      </c>
      <c r="FR4" s="25" t="s">
        <v>13810</v>
      </c>
      <c r="FS4" s="25" t="s">
        <v>13810</v>
      </c>
      <c r="FT4" s="25" t="s">
        <v>631</v>
      </c>
      <c r="FV4" s="25" t="s">
        <v>8253</v>
      </c>
      <c r="FW4" s="25" t="s">
        <v>8253</v>
      </c>
      <c r="FX4" s="25" t="s">
        <v>8253</v>
      </c>
      <c r="FY4" s="25" t="s">
        <v>8380</v>
      </c>
      <c r="FZ4" s="25" t="s">
        <v>8325</v>
      </c>
      <c r="GA4" s="25" t="s">
        <v>8262</v>
      </c>
      <c r="GB4" s="25" t="s">
        <v>8253</v>
      </c>
      <c r="GC4" s="25" t="s">
        <v>8253</v>
      </c>
      <c r="GE4" s="56">
        <v>10</v>
      </c>
      <c r="GG4" s="56">
        <v>20</v>
      </c>
      <c r="GI4" s="56">
        <v>25</v>
      </c>
      <c r="GK4" s="56">
        <v>50</v>
      </c>
      <c r="GM4" s="56">
        <v>40</v>
      </c>
      <c r="GO4" s="56">
        <v>80</v>
      </c>
      <c r="IB4" s="26">
        <v>0.3</v>
      </c>
      <c r="IC4" s="26">
        <v>0.3</v>
      </c>
      <c r="ID4" s="26">
        <v>0.3</v>
      </c>
      <c r="KM4" s="25" t="s">
        <v>8352</v>
      </c>
      <c r="KN4" s="25" t="s">
        <v>8298</v>
      </c>
      <c r="KO4" s="25" t="s">
        <v>8321</v>
      </c>
      <c r="KP4" s="25">
        <v>1</v>
      </c>
      <c r="KQ4" s="25" t="s">
        <v>8562</v>
      </c>
      <c r="KS4" s="56">
        <v>2500</v>
      </c>
      <c r="KT4" s="56">
        <v>5000</v>
      </c>
      <c r="KU4" s="56">
        <v>5000</v>
      </c>
      <c r="KV4" s="56">
        <v>10000</v>
      </c>
      <c r="KW4" s="56">
        <v>5000</v>
      </c>
      <c r="KX4" s="56">
        <v>5000</v>
      </c>
      <c r="KY4" s="25" t="s">
        <v>8246</v>
      </c>
      <c r="KZ4" s="56">
        <v>1500</v>
      </c>
      <c r="LA4" s="56">
        <v>3000</v>
      </c>
      <c r="LB4" s="56">
        <v>3000</v>
      </c>
      <c r="LC4" s="56">
        <v>6000</v>
      </c>
      <c r="LD4" s="25" t="s">
        <v>8247</v>
      </c>
      <c r="LE4" s="25" t="s">
        <v>8248</v>
      </c>
      <c r="LR4" s="25" t="s">
        <v>8249</v>
      </c>
      <c r="OE4" s="25" t="s">
        <v>25</v>
      </c>
      <c r="OF4" s="25" t="s">
        <v>28</v>
      </c>
      <c r="OG4" s="25" t="s">
        <v>28</v>
      </c>
      <c r="OH4" s="25" t="s">
        <v>25</v>
      </c>
      <c r="OJ4" s="25" t="s">
        <v>13416</v>
      </c>
      <c r="OK4" s="25" t="s">
        <v>13416</v>
      </c>
      <c r="OS4" s="26">
        <v>0.1</v>
      </c>
      <c r="OT4" s="26">
        <v>0.1</v>
      </c>
      <c r="OU4" s="26">
        <v>0.1</v>
      </c>
      <c r="OV4" s="26">
        <v>0.1</v>
      </c>
      <c r="OW4" s="26">
        <v>0.1</v>
      </c>
      <c r="OX4" s="26">
        <v>0.1</v>
      </c>
      <c r="PG4" s="26">
        <v>0.3</v>
      </c>
      <c r="PH4" s="26">
        <v>0.3</v>
      </c>
      <c r="PI4" s="26">
        <v>0.3</v>
      </c>
      <c r="PJ4" s="26">
        <v>0.3</v>
      </c>
      <c r="PK4" s="26">
        <v>0.3</v>
      </c>
      <c r="PL4" s="26">
        <v>0.3</v>
      </c>
      <c r="PN4" s="25" t="s">
        <v>8250</v>
      </c>
      <c r="PO4" s="25" t="s">
        <v>8250</v>
      </c>
      <c r="PP4" s="25" t="s">
        <v>8250</v>
      </c>
      <c r="PQ4" s="25" t="s">
        <v>8250</v>
      </c>
      <c r="PR4" s="25" t="s">
        <v>8250</v>
      </c>
      <c r="PS4" s="25" t="s">
        <v>8250</v>
      </c>
      <c r="PT4" s="25" t="s">
        <v>8250</v>
      </c>
      <c r="PU4" s="25" t="s">
        <v>25</v>
      </c>
      <c r="PV4" s="25" t="s">
        <v>25</v>
      </c>
      <c r="PW4" s="25" t="s">
        <v>25</v>
      </c>
      <c r="PX4" s="25" t="s">
        <v>25</v>
      </c>
      <c r="PY4" s="25" t="s">
        <v>25</v>
      </c>
      <c r="PZ4" s="25" t="s">
        <v>25</v>
      </c>
      <c r="QB4" s="25" t="s">
        <v>13810</v>
      </c>
      <c r="QC4" s="25" t="s">
        <v>13810</v>
      </c>
      <c r="QD4" s="25" t="s">
        <v>13810</v>
      </c>
      <c r="QE4" s="25" t="s">
        <v>13810</v>
      </c>
      <c r="QF4" s="25" t="s">
        <v>13810</v>
      </c>
      <c r="QG4" s="25" t="s">
        <v>13810</v>
      </c>
      <c r="QH4" s="25" t="s">
        <v>13810</v>
      </c>
      <c r="QI4" s="25" t="s">
        <v>13810</v>
      </c>
      <c r="QJ4" s="25" t="s">
        <v>631</v>
      </c>
      <c r="QL4" s="25" t="s">
        <v>8253</v>
      </c>
      <c r="QM4" s="25" t="s">
        <v>8253</v>
      </c>
      <c r="QN4" s="25" t="s">
        <v>8253</v>
      </c>
      <c r="QO4" s="25" t="s">
        <v>8380</v>
      </c>
      <c r="QP4" s="25" t="s">
        <v>8325</v>
      </c>
      <c r="QQ4" s="25" t="s">
        <v>8262</v>
      </c>
      <c r="QR4" s="25" t="s">
        <v>8253</v>
      </c>
      <c r="QS4" s="25" t="s">
        <v>8253</v>
      </c>
      <c r="QU4" s="56">
        <v>10</v>
      </c>
      <c r="QW4" s="56">
        <v>20</v>
      </c>
      <c r="QY4" s="56">
        <v>25</v>
      </c>
      <c r="RA4" s="56">
        <v>50</v>
      </c>
      <c r="RC4" s="56">
        <v>40</v>
      </c>
      <c r="RE4" s="56">
        <v>80</v>
      </c>
      <c r="RO4" s="56">
        <v>70</v>
      </c>
      <c r="RW4" s="26">
        <v>0.1</v>
      </c>
      <c r="RX4" s="26">
        <v>0.1</v>
      </c>
      <c r="RY4" s="26">
        <v>0.1</v>
      </c>
      <c r="SE4" s="56">
        <v>10</v>
      </c>
      <c r="SG4" s="56">
        <v>25</v>
      </c>
      <c r="SI4" s="56">
        <v>40</v>
      </c>
      <c r="SO4" s="56">
        <v>70</v>
      </c>
      <c r="SR4" s="26">
        <v>0.3</v>
      </c>
      <c r="SS4" s="26">
        <v>0.3</v>
      </c>
      <c r="ST4" s="26">
        <v>0.3</v>
      </c>
      <c r="TU4" s="56">
        <v>20</v>
      </c>
      <c r="TW4" s="56">
        <v>50</v>
      </c>
      <c r="TY4" s="56">
        <v>80</v>
      </c>
      <c r="VC4" s="25" t="s">
        <v>8352</v>
      </c>
      <c r="VD4" s="25" t="s">
        <v>8298</v>
      </c>
      <c r="VE4" s="25" t="s">
        <v>8321</v>
      </c>
      <c r="VF4" s="25">
        <v>1</v>
      </c>
      <c r="VG4" s="25" t="s">
        <v>8563</v>
      </c>
      <c r="VI4" s="56">
        <v>2000</v>
      </c>
      <c r="VJ4" s="56">
        <v>4000</v>
      </c>
      <c r="VM4" s="56">
        <v>4000</v>
      </c>
      <c r="VN4" s="56">
        <v>4000</v>
      </c>
      <c r="VO4" s="25" t="s">
        <v>8260</v>
      </c>
      <c r="VT4" s="25" t="s">
        <v>8248</v>
      </c>
      <c r="WG4" s="25" t="s">
        <v>8249</v>
      </c>
      <c r="YT4" s="25" t="s">
        <v>25</v>
      </c>
      <c r="YU4" s="25" t="s">
        <v>28</v>
      </c>
      <c r="YV4" s="25" t="s">
        <v>28</v>
      </c>
      <c r="YW4" s="25" t="s">
        <v>25</v>
      </c>
      <c r="YY4" s="25" t="s">
        <v>14232</v>
      </c>
      <c r="YZ4" s="25" t="s">
        <v>8530</v>
      </c>
      <c r="ZA4" s="56">
        <v>15</v>
      </c>
      <c r="ZB4" s="56">
        <v>15</v>
      </c>
      <c r="ZC4" s="56">
        <v>15</v>
      </c>
      <c r="ZD4" s="56">
        <v>100</v>
      </c>
      <c r="ZE4" s="56">
        <v>20</v>
      </c>
      <c r="ZF4" s="56">
        <v>15</v>
      </c>
      <c r="ZH4" s="26">
        <v>0</v>
      </c>
      <c r="ZI4" s="26">
        <v>0</v>
      </c>
      <c r="ZJ4" s="26">
        <v>0</v>
      </c>
      <c r="ZK4" s="26">
        <v>0</v>
      </c>
      <c r="ZL4" s="26">
        <v>0</v>
      </c>
      <c r="ZQ4" s="56">
        <v>15</v>
      </c>
      <c r="ZR4" s="56">
        <v>100</v>
      </c>
      <c r="ZS4" s="56">
        <v>20</v>
      </c>
      <c r="ZX4" s="26">
        <v>0</v>
      </c>
      <c r="AAC4" s="25" t="s">
        <v>8250</v>
      </c>
      <c r="AAD4" s="25" t="s">
        <v>8250</v>
      </c>
      <c r="AAE4" s="25" t="s">
        <v>8250</v>
      </c>
      <c r="AAF4" s="25" t="s">
        <v>8250</v>
      </c>
      <c r="AAG4" s="25" t="s">
        <v>8250</v>
      </c>
      <c r="AAH4" s="25" t="s">
        <v>8250</v>
      </c>
      <c r="AAJ4" s="25" t="s">
        <v>25</v>
      </c>
      <c r="AAK4" s="25" t="s">
        <v>25</v>
      </c>
      <c r="AAL4" s="25" t="s">
        <v>25</v>
      </c>
      <c r="AAM4" s="25" t="s">
        <v>25</v>
      </c>
      <c r="AAN4" s="25" t="s">
        <v>25</v>
      </c>
      <c r="AAO4" s="25" t="s">
        <v>25</v>
      </c>
      <c r="AAQ4" s="25" t="s">
        <v>13810</v>
      </c>
      <c r="AAR4" s="25" t="s">
        <v>13810</v>
      </c>
      <c r="AAS4" s="25" t="s">
        <v>13810</v>
      </c>
      <c r="AAT4" s="25" t="s">
        <v>13810</v>
      </c>
      <c r="AAU4" s="25" t="s">
        <v>13810</v>
      </c>
      <c r="AAV4" s="25" t="s">
        <v>13810</v>
      </c>
      <c r="AAW4" s="25" t="s">
        <v>13810</v>
      </c>
      <c r="AAX4" s="25" t="s">
        <v>13810</v>
      </c>
      <c r="AAY4" s="25" t="s">
        <v>631</v>
      </c>
      <c r="AAZ4" s="25" t="s">
        <v>631</v>
      </c>
      <c r="ABA4" s="25" t="s">
        <v>8253</v>
      </c>
      <c r="ABB4" s="25" t="s">
        <v>8253</v>
      </c>
      <c r="ABC4" s="25" t="s">
        <v>8253</v>
      </c>
      <c r="ABD4" s="25" t="s">
        <v>8380</v>
      </c>
      <c r="ABE4" s="25" t="s">
        <v>8325</v>
      </c>
      <c r="ABF4" s="25" t="s">
        <v>8262</v>
      </c>
      <c r="ABG4" s="25" t="s">
        <v>8253</v>
      </c>
      <c r="ABH4" s="25" t="s">
        <v>8253</v>
      </c>
      <c r="ABJ4" s="56">
        <v>10</v>
      </c>
      <c r="ABL4" s="56">
        <v>20</v>
      </c>
      <c r="ABN4" s="56">
        <v>25</v>
      </c>
      <c r="ABP4" s="56">
        <v>50</v>
      </c>
      <c r="ABR4" s="56">
        <v>40</v>
      </c>
      <c r="ABT4" s="56">
        <v>80</v>
      </c>
      <c r="ACD4" s="56">
        <v>70</v>
      </c>
      <c r="AEB4" s="26">
        <v>0</v>
      </c>
      <c r="AEC4" s="26">
        <v>0</v>
      </c>
      <c r="AED4" s="26">
        <v>0</v>
      </c>
      <c r="AFR4" s="25" t="s">
        <v>8352</v>
      </c>
      <c r="AFS4" s="25" t="s">
        <v>8298</v>
      </c>
      <c r="AFT4" s="25" t="s">
        <v>8321</v>
      </c>
      <c r="AFU4" s="25">
        <v>0</v>
      </c>
      <c r="AFX4" s="25"/>
      <c r="AFY4" s="25"/>
      <c r="AFZ4" s="25"/>
      <c r="AGA4" s="25"/>
      <c r="AGB4" s="25"/>
      <c r="AGC4" s="25"/>
      <c r="AGE4" s="25"/>
      <c r="AGF4" s="25"/>
      <c r="AGG4" s="25"/>
      <c r="AGH4" s="25"/>
      <c r="AJP4" s="25"/>
      <c r="AJQ4" s="25"/>
      <c r="AJR4" s="25"/>
      <c r="AJS4" s="25"/>
      <c r="AJT4" s="25"/>
      <c r="AJU4" s="25"/>
      <c r="AJV4" s="25"/>
      <c r="AKD4" s="25"/>
      <c r="AKE4" s="25"/>
      <c r="AKF4" s="25"/>
      <c r="AKG4" s="25"/>
      <c r="AKH4" s="25"/>
      <c r="AKI4" s="25"/>
      <c r="AKJ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H4" s="25"/>
      <c r="ANI4" s="25"/>
      <c r="ANJ4" s="25"/>
      <c r="ANK4" s="25"/>
      <c r="ANL4" s="25"/>
      <c r="ANM4" s="25"/>
      <c r="ANN4" s="25"/>
      <c r="ANO4" s="25"/>
      <c r="ANP4" s="25"/>
      <c r="ANQ4" s="25"/>
      <c r="ANR4" s="25"/>
      <c r="ANS4" s="25"/>
      <c r="ANT4" s="25"/>
      <c r="ANU4" s="25"/>
      <c r="AOC4" s="25"/>
      <c r="AOD4" s="25"/>
      <c r="AOE4" s="25"/>
      <c r="AOF4" s="25"/>
      <c r="AOG4" s="25"/>
      <c r="AOH4" s="25"/>
      <c r="AOI4" s="25"/>
      <c r="AOJ4" s="25"/>
      <c r="AOK4" s="25"/>
      <c r="AOL4" s="25"/>
      <c r="AOM4" s="25"/>
      <c r="AON4" s="25"/>
      <c r="AOO4" s="25"/>
      <c r="AOP4" s="25"/>
      <c r="AOX4" s="25"/>
      <c r="AOY4" s="25"/>
      <c r="AOZ4" s="25"/>
      <c r="APA4" s="25"/>
      <c r="APB4" s="25"/>
      <c r="APC4" s="25"/>
      <c r="APD4" s="25"/>
      <c r="APE4" s="25"/>
      <c r="APF4" s="25"/>
      <c r="APG4" s="25"/>
      <c r="APH4" s="25"/>
      <c r="API4" s="25"/>
      <c r="APJ4" s="25"/>
      <c r="APK4" s="25"/>
      <c r="APS4" s="25"/>
      <c r="APT4" s="25"/>
      <c r="APU4" s="25"/>
      <c r="APV4" s="25"/>
      <c r="APW4" s="25"/>
      <c r="APX4" s="25"/>
      <c r="APY4" s="25"/>
      <c r="APZ4" s="25"/>
      <c r="AQA4" s="25"/>
      <c r="AQB4" s="25"/>
      <c r="AQC4" s="25"/>
      <c r="AQD4" s="25"/>
      <c r="AQE4" s="25"/>
      <c r="AQF4" s="25"/>
      <c r="AQJ4" s="25">
        <v>4</v>
      </c>
      <c r="AQK4" s="25" t="s">
        <v>8564</v>
      </c>
      <c r="AQL4" s="25" t="s">
        <v>8565</v>
      </c>
      <c r="AQM4" s="56">
        <v>2000</v>
      </c>
      <c r="AQN4" s="56">
        <v>4000</v>
      </c>
      <c r="AQQ4" s="56">
        <v>4000</v>
      </c>
      <c r="AQR4" s="56">
        <v>4000</v>
      </c>
      <c r="AQS4" s="25" t="s">
        <v>13597</v>
      </c>
      <c r="AQT4" s="56">
        <v>0</v>
      </c>
      <c r="AQU4" s="56">
        <v>0</v>
      </c>
      <c r="AQX4" s="25" t="s">
        <v>8248</v>
      </c>
      <c r="ARK4" s="25" t="s">
        <v>8249</v>
      </c>
      <c r="ATX4" s="25" t="s">
        <v>25</v>
      </c>
      <c r="ATY4" s="25" t="s">
        <v>25</v>
      </c>
      <c r="AUA4" s="25" t="s">
        <v>25</v>
      </c>
      <c r="AUC4" s="25" t="s">
        <v>13417</v>
      </c>
      <c r="AUE4" s="56">
        <v>15</v>
      </c>
      <c r="AUF4" s="56">
        <v>15</v>
      </c>
      <c r="AUG4" s="56">
        <v>15</v>
      </c>
      <c r="AUH4" s="56">
        <v>100</v>
      </c>
      <c r="AUI4" s="56">
        <v>15</v>
      </c>
      <c r="AUJ4" s="56">
        <v>15</v>
      </c>
      <c r="AVG4" s="25" t="s">
        <v>8250</v>
      </c>
      <c r="AVH4" s="25" t="s">
        <v>8250</v>
      </c>
      <c r="AVI4" s="25" t="s">
        <v>8250</v>
      </c>
      <c r="AVJ4" s="25" t="s">
        <v>8250</v>
      </c>
      <c r="AVK4" s="25" t="s">
        <v>8250</v>
      </c>
      <c r="AVL4" s="25" t="s">
        <v>8250</v>
      </c>
      <c r="AVN4" s="25" t="s">
        <v>25</v>
      </c>
      <c r="AVO4" s="25" t="s">
        <v>25</v>
      </c>
      <c r="AVP4" s="25" t="s">
        <v>25</v>
      </c>
      <c r="AVQ4" s="25" t="s">
        <v>25</v>
      </c>
      <c r="AVR4" s="25" t="s">
        <v>25</v>
      </c>
      <c r="AVS4" s="25" t="s">
        <v>25</v>
      </c>
      <c r="AVU4" s="25" t="s">
        <v>13810</v>
      </c>
      <c r="AVV4" s="25" t="s">
        <v>13810</v>
      </c>
      <c r="AVW4" s="25" t="s">
        <v>13810</v>
      </c>
      <c r="AVX4" s="25" t="s">
        <v>13810</v>
      </c>
      <c r="AVY4" s="25" t="s">
        <v>13810</v>
      </c>
      <c r="AVZ4" s="25" t="s">
        <v>13810</v>
      </c>
      <c r="AWA4" s="25" t="s">
        <v>13810</v>
      </c>
      <c r="AWB4" s="25" t="s">
        <v>13810</v>
      </c>
      <c r="AWC4" s="25" t="s">
        <v>631</v>
      </c>
      <c r="AWD4" s="25" t="s">
        <v>631</v>
      </c>
      <c r="AWE4" s="25" t="s">
        <v>8253</v>
      </c>
      <c r="AWF4" s="25" t="s">
        <v>8253</v>
      </c>
      <c r="AWG4" s="25" t="s">
        <v>8253</v>
      </c>
      <c r="AWH4" s="25" t="s">
        <v>8380</v>
      </c>
      <c r="AWI4" s="25" t="s">
        <v>8253</v>
      </c>
      <c r="AWJ4" s="25" t="s">
        <v>8262</v>
      </c>
      <c r="AWK4" s="25" t="s">
        <v>8253</v>
      </c>
      <c r="AWL4" s="25" t="s">
        <v>8253</v>
      </c>
      <c r="AWN4" s="56">
        <v>10</v>
      </c>
      <c r="AWP4" s="56">
        <v>20</v>
      </c>
      <c r="AWR4" s="56">
        <v>25</v>
      </c>
      <c r="AWT4" s="56">
        <v>50</v>
      </c>
      <c r="AXW4" s="56">
        <v>10</v>
      </c>
      <c r="AXX4" s="56">
        <v>10</v>
      </c>
      <c r="AXY4" s="56">
        <v>25</v>
      </c>
      <c r="AXZ4" s="56">
        <v>25</v>
      </c>
      <c r="AZM4" s="56">
        <v>20</v>
      </c>
      <c r="AZN4" s="56">
        <v>20</v>
      </c>
      <c r="AZO4" s="56">
        <v>50</v>
      </c>
      <c r="AZP4" s="56">
        <v>50</v>
      </c>
      <c r="BAV4" s="25" t="s">
        <v>8255</v>
      </c>
      <c r="BAW4" s="25" t="s">
        <v>8298</v>
      </c>
      <c r="BAX4" s="25" t="s">
        <v>8321</v>
      </c>
      <c r="BAY4" s="25">
        <v>0</v>
      </c>
      <c r="BBB4" s="25"/>
      <c r="BBC4" s="25"/>
      <c r="BBD4" s="25"/>
      <c r="BBE4" s="25"/>
      <c r="BBF4" s="25"/>
      <c r="BBG4" s="25"/>
      <c r="BBI4" s="25"/>
      <c r="BBJ4" s="25"/>
      <c r="BBK4" s="25"/>
      <c r="BBL4" s="25"/>
      <c r="BET4" s="25"/>
      <c r="BEU4" s="25"/>
      <c r="BEV4" s="25"/>
      <c r="BEW4" s="25"/>
      <c r="BEX4" s="25"/>
      <c r="BEY4" s="25"/>
      <c r="BEZ4" s="25"/>
      <c r="BFH4" s="25"/>
      <c r="BFI4" s="25"/>
      <c r="BFJ4" s="25"/>
      <c r="BFK4" s="25"/>
      <c r="BFL4" s="25"/>
      <c r="BFM4" s="25"/>
      <c r="BFN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L4" s="25"/>
      <c r="BIM4" s="25"/>
      <c r="BIN4" s="25"/>
      <c r="BIO4" s="25"/>
      <c r="BIP4" s="25"/>
      <c r="BIQ4" s="25"/>
      <c r="BIR4" s="25"/>
      <c r="BIS4" s="25"/>
      <c r="BIT4" s="25"/>
      <c r="BIU4" s="25"/>
      <c r="BIV4" s="25"/>
      <c r="BIW4" s="25"/>
      <c r="BIX4" s="25"/>
      <c r="BIY4" s="25"/>
      <c r="BJG4" s="25"/>
      <c r="BJH4" s="25"/>
      <c r="BJI4" s="25"/>
      <c r="BJJ4" s="25"/>
      <c r="BJK4" s="25"/>
      <c r="BJL4" s="25"/>
      <c r="BJM4" s="25"/>
      <c r="BJN4" s="25"/>
      <c r="BJO4" s="25"/>
      <c r="BJP4" s="25"/>
      <c r="BJQ4" s="25"/>
      <c r="BJR4" s="25"/>
      <c r="BJS4" s="25"/>
      <c r="BJT4" s="25"/>
      <c r="BKB4" s="25"/>
      <c r="BKC4" s="25"/>
      <c r="BKD4" s="25"/>
      <c r="BKE4" s="25"/>
      <c r="BKF4" s="25"/>
      <c r="BKG4" s="25"/>
      <c r="BKH4" s="25"/>
      <c r="BKI4" s="25"/>
      <c r="BKJ4" s="25"/>
      <c r="BKK4" s="25"/>
      <c r="BKL4" s="25"/>
      <c r="BKM4" s="25"/>
      <c r="BKN4" s="25"/>
      <c r="BKO4" s="25"/>
      <c r="BKW4" s="25"/>
      <c r="BKX4" s="25"/>
      <c r="BKY4" s="25"/>
      <c r="BKZ4" s="25"/>
      <c r="BLA4" s="25"/>
      <c r="BLB4" s="25"/>
      <c r="BLC4" s="25"/>
      <c r="BLD4" s="25"/>
      <c r="BLE4" s="25"/>
      <c r="BLF4" s="25"/>
      <c r="BLG4" s="25"/>
      <c r="BLH4" s="25"/>
      <c r="BLI4" s="25"/>
      <c r="BLJ4" s="25"/>
      <c r="BLN4" s="25">
        <v>0</v>
      </c>
      <c r="BLQ4" s="25"/>
      <c r="BLR4" s="25"/>
      <c r="BLS4" s="25"/>
      <c r="BLT4" s="25"/>
      <c r="BLU4" s="25"/>
      <c r="BLV4" s="25"/>
      <c r="BLX4" s="25"/>
      <c r="BLY4" s="25"/>
      <c r="BLZ4" s="25"/>
      <c r="BMA4" s="25"/>
      <c r="BPI4" s="25"/>
      <c r="BPJ4" s="25"/>
      <c r="BPK4" s="25"/>
      <c r="BPL4" s="25"/>
      <c r="BPM4" s="25"/>
      <c r="BPN4" s="25"/>
      <c r="BPO4" s="25"/>
      <c r="BPW4" s="25"/>
      <c r="BPX4" s="25"/>
      <c r="BPY4" s="25"/>
      <c r="BPZ4" s="25"/>
      <c r="BQA4" s="25"/>
      <c r="BQB4" s="25"/>
      <c r="BQC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TA4" s="25"/>
      <c r="BTB4" s="25"/>
      <c r="BTC4" s="25"/>
      <c r="BTD4" s="25"/>
      <c r="BTE4" s="25"/>
      <c r="BTF4" s="25"/>
      <c r="BTG4" s="25"/>
      <c r="BTH4" s="25"/>
      <c r="BTI4" s="25"/>
      <c r="BTJ4" s="25"/>
      <c r="BTK4" s="25"/>
      <c r="BTL4" s="25"/>
      <c r="BTM4" s="25"/>
      <c r="BTN4" s="25"/>
      <c r="BUQ4" s="25"/>
      <c r="BUR4" s="25"/>
      <c r="BUS4" s="25"/>
      <c r="BUT4" s="25"/>
      <c r="BUU4" s="25"/>
      <c r="BUV4" s="25"/>
      <c r="BUW4" s="25"/>
      <c r="BUX4" s="25"/>
      <c r="BUY4" s="25"/>
      <c r="BUZ4" s="25"/>
      <c r="BVA4" s="25"/>
      <c r="BVB4" s="25"/>
      <c r="BVC4" s="25"/>
      <c r="BVD4" s="25"/>
      <c r="BWC4" s="25" t="s">
        <v>28</v>
      </c>
      <c r="BWD4" s="25" t="s">
        <v>8265</v>
      </c>
      <c r="BWE4" s="25" t="s">
        <v>8357</v>
      </c>
      <c r="BWF4" s="25" t="s">
        <v>13714</v>
      </c>
      <c r="BWG4" s="25" t="s">
        <v>28</v>
      </c>
      <c r="BWH4" s="25" t="s">
        <v>2169</v>
      </c>
      <c r="BWI4" s="25" t="s">
        <v>28</v>
      </c>
      <c r="BWJ4" s="25" t="s">
        <v>8267</v>
      </c>
      <c r="BWK4" s="25" t="s">
        <v>25</v>
      </c>
      <c r="BWM4" s="25" t="s">
        <v>25</v>
      </c>
      <c r="BWO4" s="25" t="s">
        <v>25</v>
      </c>
      <c r="BWQ4" s="25" t="s">
        <v>28</v>
      </c>
      <c r="BWR4" s="25" t="s">
        <v>25</v>
      </c>
      <c r="BWT4" s="25" t="s">
        <v>25</v>
      </c>
      <c r="BWV4" s="25" t="s">
        <v>25</v>
      </c>
      <c r="BWX4" s="25" t="s">
        <v>28</v>
      </c>
      <c r="BWY4" s="25" t="s">
        <v>8359</v>
      </c>
      <c r="BWZ4" s="25" t="s">
        <v>25</v>
      </c>
      <c r="BXB4" s="25" t="s">
        <v>28</v>
      </c>
      <c r="BXC4" s="56">
        <v>30</v>
      </c>
      <c r="BXD4" s="25" t="s">
        <v>28</v>
      </c>
      <c r="BXE4" s="25" t="s">
        <v>8566</v>
      </c>
      <c r="BXF4" s="25" t="s">
        <v>28</v>
      </c>
      <c r="BXG4" s="56">
        <v>30</v>
      </c>
      <c r="BXH4" s="25" t="s">
        <v>25</v>
      </c>
      <c r="BXJ4" s="25" t="s">
        <v>28</v>
      </c>
      <c r="BXK4" s="25" t="s">
        <v>8498</v>
      </c>
      <c r="BXL4" s="25" t="s">
        <v>13821</v>
      </c>
      <c r="BXM4" s="25" t="s">
        <v>2201</v>
      </c>
      <c r="BXN4" s="25" t="s">
        <v>8272</v>
      </c>
      <c r="BXO4" s="25" t="s">
        <v>8361</v>
      </c>
      <c r="BXP4" s="25" t="s">
        <v>8361</v>
      </c>
      <c r="BXQ4" s="25" t="s">
        <v>8274</v>
      </c>
      <c r="BXR4" s="25" t="s">
        <v>8361</v>
      </c>
      <c r="BXS4" s="25" t="s">
        <v>8274</v>
      </c>
      <c r="BXT4" s="25" t="s">
        <v>8567</v>
      </c>
      <c r="BXU4" s="25" t="s">
        <v>25</v>
      </c>
      <c r="BXW4" s="25" t="s">
        <v>25</v>
      </c>
      <c r="BXX4" s="25" t="s">
        <v>25</v>
      </c>
      <c r="BXY4" s="25" t="s">
        <v>25</v>
      </c>
      <c r="BXZ4" s="25" t="s">
        <v>28</v>
      </c>
      <c r="BYA4" s="25" t="s">
        <v>25</v>
      </c>
      <c r="BYB4" s="25" t="s">
        <v>25</v>
      </c>
      <c r="BYC4" s="25" t="s">
        <v>2201</v>
      </c>
      <c r="BYD4" s="25" t="s">
        <v>28</v>
      </c>
      <c r="BYE4" s="25" t="s">
        <v>13612</v>
      </c>
      <c r="BYF4" s="25" t="s">
        <v>8568</v>
      </c>
      <c r="BYH4" s="25" t="s">
        <v>8278</v>
      </c>
      <c r="BYK4" s="25" t="s">
        <v>28</v>
      </c>
      <c r="BYL4" s="25" t="s">
        <v>25</v>
      </c>
      <c r="BYN4" s="25" t="s">
        <v>25</v>
      </c>
      <c r="BYP4" s="25" t="s">
        <v>25</v>
      </c>
      <c r="BYR4" s="25" t="s">
        <v>28</v>
      </c>
      <c r="BYS4" s="25" t="s">
        <v>8279</v>
      </c>
      <c r="BYT4" s="25" t="s">
        <v>732</v>
      </c>
      <c r="BYU4" s="25" t="s">
        <v>732</v>
      </c>
      <c r="BYV4" s="25" t="s">
        <v>25</v>
      </c>
      <c r="BYW4" s="25" t="s">
        <v>28</v>
      </c>
      <c r="BYX4" s="56">
        <v>750</v>
      </c>
      <c r="BYY4" s="56">
        <v>1500</v>
      </c>
      <c r="BYZ4" s="25" t="s">
        <v>8408</v>
      </c>
      <c r="BZA4" s="25" t="s">
        <v>13825</v>
      </c>
      <c r="BZB4" s="25" t="s">
        <v>256</v>
      </c>
      <c r="BZC4" s="25" t="s">
        <v>8282</v>
      </c>
      <c r="BZD4" s="25" t="s">
        <v>28</v>
      </c>
      <c r="BZE4" s="25" t="s">
        <v>28</v>
      </c>
      <c r="BZF4" s="25" t="s">
        <v>28</v>
      </c>
      <c r="BZG4" s="25" t="s">
        <v>25</v>
      </c>
      <c r="BZJ4" s="25" t="s">
        <v>25</v>
      </c>
      <c r="BZM4" s="25" t="s">
        <v>28</v>
      </c>
      <c r="BZN4" s="25" t="s">
        <v>8283</v>
      </c>
      <c r="BZP4" s="25" t="s">
        <v>8366</v>
      </c>
      <c r="BZQ4" s="56">
        <v>1000</v>
      </c>
      <c r="BZR4" s="25" t="s">
        <v>28</v>
      </c>
      <c r="BZS4" s="25" t="s">
        <v>25</v>
      </c>
      <c r="BZT4" s="25" t="s">
        <v>8285</v>
      </c>
      <c r="BZV4" s="25" t="s">
        <v>13643</v>
      </c>
      <c r="BZX4" s="25" t="s">
        <v>8569</v>
      </c>
      <c r="BZZ4" s="25" t="s">
        <v>25</v>
      </c>
      <c r="CAC4" s="25" t="s">
        <v>28</v>
      </c>
      <c r="CAD4" s="25" t="s">
        <v>8288</v>
      </c>
      <c r="CAE4" s="25" t="s">
        <v>28</v>
      </c>
      <c r="CAF4" s="25" t="s">
        <v>8289</v>
      </c>
      <c r="CAG4" s="25" t="s">
        <v>25</v>
      </c>
      <c r="CAH4" s="25" t="s">
        <v>631</v>
      </c>
      <c r="CAI4" s="25" t="s">
        <v>631</v>
      </c>
      <c r="CAJ4" s="25" t="s">
        <v>247</v>
      </c>
      <c r="CAK4" s="25" t="s">
        <v>631</v>
      </c>
      <c r="CAL4" s="25" t="s">
        <v>631</v>
      </c>
      <c r="CAM4" s="25" t="s">
        <v>8290</v>
      </c>
      <c r="CAN4" s="25" t="s">
        <v>8290</v>
      </c>
      <c r="CAO4" s="25" t="s">
        <v>8290</v>
      </c>
      <c r="CAP4" s="25" t="s">
        <v>631</v>
      </c>
      <c r="CAR4" s="25" t="s">
        <v>8570</v>
      </c>
      <c r="CAS4" s="25" t="s">
        <v>8571</v>
      </c>
      <c r="CAT4" s="25" t="s">
        <v>28</v>
      </c>
      <c r="CAU4" s="25" t="s">
        <v>8572</v>
      </c>
      <c r="CBB4" s="25">
        <v>2</v>
      </c>
      <c r="CBC4" s="25">
        <v>0</v>
      </c>
      <c r="CBD4" s="25">
        <v>0</v>
      </c>
      <c r="CBE4" s="56">
        <v>50</v>
      </c>
      <c r="CBF4" s="56">
        <v>150</v>
      </c>
      <c r="CBG4" s="56">
        <v>50</v>
      </c>
      <c r="CBH4" s="56">
        <v>150</v>
      </c>
      <c r="CBI4" s="56">
        <v>3000</v>
      </c>
      <c r="CBK4" s="56">
        <v>3000</v>
      </c>
      <c r="CBM4" s="26">
        <v>0</v>
      </c>
      <c r="CBN4" s="26">
        <v>0</v>
      </c>
      <c r="CBO4" s="26">
        <v>0.1</v>
      </c>
      <c r="CBP4" s="26">
        <v>0.1</v>
      </c>
      <c r="CBQ4" s="26">
        <v>0.2</v>
      </c>
      <c r="CBR4" s="26">
        <v>0.2</v>
      </c>
      <c r="CBS4" s="26">
        <v>0.4</v>
      </c>
      <c r="CBT4" s="26">
        <v>0.4</v>
      </c>
      <c r="CBU4" s="27" t="s">
        <v>28</v>
      </c>
      <c r="CBV4" s="27" t="s">
        <v>8573</v>
      </c>
      <c r="CBW4" s="27" t="s">
        <v>8294</v>
      </c>
      <c r="CBX4" s="27" t="s">
        <v>8343</v>
      </c>
      <c r="CBY4" s="27" t="s">
        <v>8296</v>
      </c>
      <c r="CBZ4" s="27" t="s">
        <v>8296</v>
      </c>
      <c r="CCA4" s="27" t="s">
        <v>8297</v>
      </c>
      <c r="CCB4" s="27" t="s">
        <v>8298</v>
      </c>
      <c r="CCC4" s="27" t="s">
        <v>8296</v>
      </c>
      <c r="CCD4" s="27" t="s">
        <v>8297</v>
      </c>
      <c r="CCE4" s="27" t="s">
        <v>8297</v>
      </c>
      <c r="CCF4" s="27" t="s">
        <v>8297</v>
      </c>
      <c r="CCG4" s="27" t="s">
        <v>8297</v>
      </c>
      <c r="CCH4" s="27" t="s">
        <v>8298</v>
      </c>
      <c r="CCI4" s="27" t="s">
        <v>8298</v>
      </c>
      <c r="CCJ4" s="27" t="s">
        <v>8298</v>
      </c>
      <c r="CCK4" s="27" t="s">
        <v>8297</v>
      </c>
      <c r="CCL4" s="27" t="s">
        <v>8297</v>
      </c>
      <c r="CCN4" s="27" t="s">
        <v>8296</v>
      </c>
      <c r="CCO4" s="27" t="s">
        <v>8300</v>
      </c>
      <c r="CCP4" s="27" t="s">
        <v>8296</v>
      </c>
      <c r="CCQ4" s="27" t="s">
        <v>8296</v>
      </c>
      <c r="CCR4" s="27" t="s">
        <v>8296</v>
      </c>
      <c r="CCS4" s="27" t="s">
        <v>8298</v>
      </c>
      <c r="CCT4" s="27" t="s">
        <v>8296</v>
      </c>
      <c r="CCU4" s="27" t="s">
        <v>8296</v>
      </c>
      <c r="CCV4" s="27" t="s">
        <v>8298</v>
      </c>
      <c r="CCW4" s="27" t="s">
        <v>8298</v>
      </c>
      <c r="CCX4" s="27" t="s">
        <v>8298</v>
      </c>
      <c r="CCY4" s="27" t="s">
        <v>8298</v>
      </c>
      <c r="CCZ4" s="27" t="s">
        <v>28</v>
      </c>
      <c r="CDA4" s="27" t="s">
        <v>28</v>
      </c>
      <c r="CDB4" s="27" t="s">
        <v>28</v>
      </c>
      <c r="CDC4" s="27" t="s">
        <v>25</v>
      </c>
      <c r="CDD4" s="27" t="s">
        <v>28</v>
      </c>
      <c r="CDE4" s="27" t="s">
        <v>28</v>
      </c>
      <c r="CDF4" s="27" t="s">
        <v>28</v>
      </c>
      <c r="CDG4" s="27" t="s">
        <v>28</v>
      </c>
      <c r="CDH4" s="27" t="s">
        <v>28</v>
      </c>
      <c r="CDI4" s="27" t="s">
        <v>25</v>
      </c>
      <c r="CDJ4" s="27" t="s">
        <v>25</v>
      </c>
      <c r="CDK4" s="27" t="s">
        <v>25</v>
      </c>
      <c r="CDL4" s="27" t="s">
        <v>28</v>
      </c>
      <c r="CDM4" s="27" t="s">
        <v>28</v>
      </c>
      <c r="CDO4" s="27" t="s">
        <v>28</v>
      </c>
      <c r="CDP4" s="27" t="s">
        <v>25</v>
      </c>
      <c r="CDQ4" s="27" t="s">
        <v>28</v>
      </c>
      <c r="CDR4" s="27" t="s">
        <v>28</v>
      </c>
      <c r="CDS4" s="27" t="s">
        <v>28</v>
      </c>
      <c r="CDT4" s="27" t="s">
        <v>25</v>
      </c>
      <c r="CDU4" s="27" t="s">
        <v>28</v>
      </c>
      <c r="CDV4" s="27" t="s">
        <v>28</v>
      </c>
      <c r="CDW4" s="27" t="s">
        <v>25</v>
      </c>
      <c r="CDX4" s="27" t="s">
        <v>25</v>
      </c>
      <c r="CDY4" s="27" t="s">
        <v>25</v>
      </c>
      <c r="CDZ4" s="27" t="s">
        <v>25</v>
      </c>
      <c r="CEA4" s="27" t="s">
        <v>8305</v>
      </c>
      <c r="CEB4" s="27" t="s">
        <v>29</v>
      </c>
      <c r="CEC4" s="27" t="s">
        <v>8301</v>
      </c>
      <c r="CED4" s="27" t="s">
        <v>8302</v>
      </c>
      <c r="CEE4" s="27" t="s">
        <v>8305</v>
      </c>
      <c r="CEF4" s="27" t="s">
        <v>8301</v>
      </c>
      <c r="CEG4" s="27" t="s">
        <v>8305</v>
      </c>
      <c r="CEH4" s="27" t="s">
        <v>8305</v>
      </c>
      <c r="CEI4" s="27" t="s">
        <v>8301</v>
      </c>
      <c r="CEJ4" s="27" t="s">
        <v>8302</v>
      </c>
      <c r="CEK4" s="27" t="s">
        <v>8302</v>
      </c>
      <c r="CEL4" s="27" t="s">
        <v>8302</v>
      </c>
      <c r="CEM4" s="27" t="s">
        <v>8301</v>
      </c>
      <c r="CEN4" s="27" t="s">
        <v>8301</v>
      </c>
      <c r="CEP4" s="27" t="s">
        <v>29</v>
      </c>
      <c r="CEQ4" s="27" t="s">
        <v>8304</v>
      </c>
      <c r="CER4" s="27" t="s">
        <v>8305</v>
      </c>
      <c r="CES4" s="27" t="s">
        <v>8306</v>
      </c>
      <c r="CET4" s="27" t="s">
        <v>8305</v>
      </c>
      <c r="CEU4" s="27" t="s">
        <v>8301</v>
      </c>
      <c r="CEV4" s="27" t="s">
        <v>29</v>
      </c>
      <c r="CEW4" s="27" t="s">
        <v>8305</v>
      </c>
      <c r="CEX4" s="27" t="s">
        <v>8302</v>
      </c>
      <c r="CEY4" s="27" t="s">
        <v>8302</v>
      </c>
      <c r="CEZ4" s="27" t="s">
        <v>8301</v>
      </c>
      <c r="CFA4" s="27" t="s">
        <v>2673</v>
      </c>
      <c r="CFB4" s="27" t="s">
        <v>25</v>
      </c>
      <c r="CFC4" s="27" t="s">
        <v>25</v>
      </c>
      <c r="CFD4" s="27" t="s">
        <v>25</v>
      </c>
      <c r="CFE4" s="27" t="s">
        <v>25</v>
      </c>
      <c r="CFF4" s="27" t="s">
        <v>25</v>
      </c>
      <c r="CFG4" s="27" t="s">
        <v>25</v>
      </c>
      <c r="CFH4" s="27" t="s">
        <v>25</v>
      </c>
      <c r="CFI4" s="27" t="s">
        <v>25</v>
      </c>
      <c r="CFJ4" s="27" t="s">
        <v>25</v>
      </c>
      <c r="CFK4" s="27" t="s">
        <v>25</v>
      </c>
      <c r="CFL4" s="27" t="s">
        <v>25</v>
      </c>
      <c r="CFM4" s="27" t="s">
        <v>25</v>
      </c>
      <c r="CFN4" s="27" t="s">
        <v>25</v>
      </c>
      <c r="CFO4" s="27" t="s">
        <v>25</v>
      </c>
      <c r="CFQ4" s="27" t="s">
        <v>25</v>
      </c>
      <c r="CFR4" s="27" t="s">
        <v>25</v>
      </c>
      <c r="CFS4" s="27" t="s">
        <v>28</v>
      </c>
      <c r="CFT4" s="27" t="s">
        <v>25</v>
      </c>
      <c r="CFU4" s="27" t="s">
        <v>25</v>
      </c>
      <c r="CFV4" s="27" t="s">
        <v>28</v>
      </c>
      <c r="CFW4" s="27" t="s">
        <v>25</v>
      </c>
      <c r="CFX4" s="27" t="s">
        <v>25</v>
      </c>
      <c r="CFY4" s="27" t="s">
        <v>25</v>
      </c>
      <c r="CFZ4" s="27" t="s">
        <v>25</v>
      </c>
      <c r="CGA4" s="27" t="s">
        <v>25</v>
      </c>
      <c r="CGB4" s="27" t="s">
        <v>25</v>
      </c>
      <c r="CPW4" s="27">
        <v>2</v>
      </c>
      <c r="CPX4" s="56">
        <v>10</v>
      </c>
      <c r="CPY4" s="26">
        <v>0</v>
      </c>
      <c r="CPZ4" s="56">
        <v>25</v>
      </c>
      <c r="CQA4" s="26">
        <v>0</v>
      </c>
      <c r="CQB4" s="25" t="s">
        <v>8372</v>
      </c>
      <c r="CQC4" s="25" t="s">
        <v>8372</v>
      </c>
      <c r="CQD4" s="25" t="s">
        <v>8372</v>
      </c>
      <c r="CQE4" s="25" t="s">
        <v>8372</v>
      </c>
      <c r="CQF4" s="25" t="s">
        <v>8372</v>
      </c>
      <c r="CQI4" s="56">
        <v>150</v>
      </c>
      <c r="CQJ4" s="56">
        <v>150</v>
      </c>
      <c r="CQK4" s="56">
        <v>150</v>
      </c>
      <c r="CQL4" s="25" t="s">
        <v>13673</v>
      </c>
      <c r="CQM4" s="25" t="s">
        <v>8308</v>
      </c>
      <c r="CQN4" s="25" t="s">
        <v>25</v>
      </c>
      <c r="CQO4" s="25" t="s">
        <v>8574</v>
      </c>
      <c r="CQP4" s="56">
        <v>2000</v>
      </c>
      <c r="CQQ4" s="25" t="s">
        <v>8575</v>
      </c>
      <c r="CQR4" s="25" t="s">
        <v>8576</v>
      </c>
      <c r="CQS4" s="25" t="s">
        <v>28</v>
      </c>
      <c r="CQT4" s="25" t="s">
        <v>8312</v>
      </c>
      <c r="CQU4" s="25" t="s">
        <v>8312</v>
      </c>
      <c r="CQV4" s="25" t="s">
        <v>8312</v>
      </c>
      <c r="CQW4" s="25" t="s">
        <v>8312</v>
      </c>
      <c r="CQX4" s="25" t="s">
        <v>8312</v>
      </c>
      <c r="CQY4" s="25" t="s">
        <v>8312</v>
      </c>
      <c r="CQZ4" s="25" t="s">
        <v>8312</v>
      </c>
      <c r="CRA4" s="25" t="s">
        <v>8314</v>
      </c>
      <c r="CRB4" s="25" t="s">
        <v>8312</v>
      </c>
      <c r="CRC4" s="25" t="s">
        <v>8312</v>
      </c>
      <c r="CRD4" s="25" t="s">
        <v>8312</v>
      </c>
      <c r="CRE4" s="27" t="s">
        <v>8312</v>
      </c>
    </row>
    <row r="5" spans="1:2501" ht="89.25" x14ac:dyDescent="0.2">
      <c r="A5" s="21" t="s">
        <v>156</v>
      </c>
      <c r="B5" s="26">
        <v>0.47</v>
      </c>
      <c r="C5" s="26">
        <v>0.09</v>
      </c>
      <c r="D5" s="26">
        <v>7.0000000000000007E-2</v>
      </c>
      <c r="E5" s="26">
        <v>0.28000000000000003</v>
      </c>
      <c r="F5" s="26">
        <v>0</v>
      </c>
      <c r="G5" s="26">
        <v>0</v>
      </c>
      <c r="H5" s="26">
        <v>0</v>
      </c>
      <c r="I5" s="26">
        <v>0</v>
      </c>
      <c r="J5" s="26">
        <v>0</v>
      </c>
      <c r="K5" s="26">
        <v>0</v>
      </c>
      <c r="L5" s="26">
        <v>0</v>
      </c>
      <c r="M5" s="26">
        <v>0.09</v>
      </c>
      <c r="N5" s="26">
        <v>0.47</v>
      </c>
      <c r="O5" s="26">
        <v>0.11</v>
      </c>
      <c r="P5" s="26">
        <v>0.06</v>
      </c>
      <c r="Q5" s="26">
        <v>0.09</v>
      </c>
      <c r="R5" s="26">
        <v>0</v>
      </c>
      <c r="S5" s="26">
        <v>0</v>
      </c>
      <c r="T5" s="26">
        <v>0</v>
      </c>
      <c r="U5" s="26">
        <v>0</v>
      </c>
      <c r="V5" s="26">
        <v>0</v>
      </c>
      <c r="W5" s="26">
        <v>0</v>
      </c>
      <c r="X5" s="26">
        <v>0</v>
      </c>
      <c r="Y5" s="26">
        <v>0.27</v>
      </c>
      <c r="Z5" s="25">
        <v>2</v>
      </c>
      <c r="AA5" s="25" t="s">
        <v>8807</v>
      </c>
      <c r="AB5" s="25" t="s">
        <v>8808</v>
      </c>
      <c r="AC5" s="56">
        <v>2000</v>
      </c>
      <c r="AD5" s="56">
        <v>4000</v>
      </c>
      <c r="AE5" s="56">
        <v>5000</v>
      </c>
      <c r="AF5" s="56">
        <v>10000</v>
      </c>
      <c r="AI5" s="25" t="s">
        <v>8246</v>
      </c>
      <c r="AJ5" s="56">
        <v>400</v>
      </c>
      <c r="AK5" s="56">
        <v>1200</v>
      </c>
      <c r="AL5" s="56">
        <v>800</v>
      </c>
      <c r="AM5" s="56">
        <v>2400</v>
      </c>
      <c r="AN5" s="25" t="s">
        <v>8350</v>
      </c>
      <c r="AO5" s="25" t="s">
        <v>8248</v>
      </c>
      <c r="BB5" s="25" t="s">
        <v>8249</v>
      </c>
      <c r="DO5" s="25" t="s">
        <v>25</v>
      </c>
      <c r="DP5" s="25" t="s">
        <v>28</v>
      </c>
      <c r="DQ5" s="25" t="s">
        <v>28</v>
      </c>
      <c r="DR5" s="25" t="s">
        <v>25</v>
      </c>
      <c r="DT5" s="25" t="s">
        <v>13417</v>
      </c>
      <c r="DU5" s="25" t="s">
        <v>13417</v>
      </c>
      <c r="DV5" s="56">
        <v>25</v>
      </c>
      <c r="DW5" s="56">
        <v>35</v>
      </c>
      <c r="DX5" s="56">
        <v>35</v>
      </c>
      <c r="DY5" s="56">
        <v>150</v>
      </c>
      <c r="DZ5" s="56">
        <v>25</v>
      </c>
      <c r="EA5" s="56">
        <v>5</v>
      </c>
      <c r="EM5" s="56">
        <v>150</v>
      </c>
      <c r="EQ5" s="26">
        <v>0.3</v>
      </c>
      <c r="ER5" s="26">
        <v>0.3</v>
      </c>
      <c r="ES5" s="26">
        <v>0.3</v>
      </c>
      <c r="EU5" s="26">
        <v>0.3</v>
      </c>
      <c r="EX5" s="25" t="s">
        <v>8250</v>
      </c>
      <c r="EY5" s="25" t="s">
        <v>8250</v>
      </c>
      <c r="EZ5" s="25" t="s">
        <v>8250</v>
      </c>
      <c r="FA5" s="25" t="s">
        <v>8250</v>
      </c>
      <c r="FB5" s="25" t="s">
        <v>8250</v>
      </c>
      <c r="FC5" s="25" t="s">
        <v>8250</v>
      </c>
      <c r="FD5" s="25" t="s">
        <v>8250</v>
      </c>
      <c r="FE5" s="25" t="s">
        <v>25</v>
      </c>
      <c r="FF5" s="25" t="s">
        <v>25</v>
      </c>
      <c r="FG5" s="25" t="s">
        <v>25</v>
      </c>
      <c r="FH5" s="25" t="s">
        <v>25</v>
      </c>
      <c r="FI5" s="25" t="s">
        <v>25</v>
      </c>
      <c r="FJ5" s="25" t="s">
        <v>25</v>
      </c>
      <c r="FK5" s="25" t="s">
        <v>25</v>
      </c>
      <c r="FL5" s="25" t="s">
        <v>13810</v>
      </c>
      <c r="FM5" s="25" t="s">
        <v>13810</v>
      </c>
      <c r="FN5" s="25" t="s">
        <v>13810</v>
      </c>
      <c r="FO5" s="25" t="s">
        <v>13810</v>
      </c>
      <c r="FP5" s="25" t="s">
        <v>13810</v>
      </c>
      <c r="FQ5" s="25" t="s">
        <v>13810</v>
      </c>
      <c r="FR5" s="25" t="s">
        <v>13810</v>
      </c>
      <c r="FS5" s="25" t="s">
        <v>631</v>
      </c>
      <c r="FT5" s="25" t="s">
        <v>631</v>
      </c>
      <c r="FU5" s="25" t="s">
        <v>631</v>
      </c>
      <c r="FV5" s="25" t="s">
        <v>8325</v>
      </c>
      <c r="FW5" s="25" t="s">
        <v>8325</v>
      </c>
      <c r="FX5" s="25" t="s">
        <v>8325</v>
      </c>
      <c r="FY5" s="25" t="s">
        <v>13459</v>
      </c>
      <c r="FZ5" s="25" t="s">
        <v>8325</v>
      </c>
      <c r="GA5" s="25" t="s">
        <v>8386</v>
      </c>
      <c r="GB5" s="25" t="s">
        <v>14227</v>
      </c>
      <c r="GE5" s="56">
        <v>5</v>
      </c>
      <c r="GG5" s="56">
        <v>10</v>
      </c>
      <c r="HH5" s="57">
        <v>0.25</v>
      </c>
      <c r="HI5" s="57">
        <v>0.25</v>
      </c>
      <c r="HP5" s="56">
        <v>40</v>
      </c>
      <c r="HQ5" s="56">
        <v>80</v>
      </c>
      <c r="HR5" s="56">
        <v>60</v>
      </c>
      <c r="HS5" s="56">
        <v>120</v>
      </c>
      <c r="IB5" s="26">
        <v>0.5</v>
      </c>
      <c r="IC5" s="26">
        <v>0.5</v>
      </c>
      <c r="ID5" s="26">
        <v>0.5</v>
      </c>
      <c r="IX5" s="11">
        <v>0.25</v>
      </c>
      <c r="IY5" s="11">
        <v>0.25</v>
      </c>
      <c r="JF5" s="56">
        <v>80</v>
      </c>
      <c r="JG5" s="56">
        <v>160</v>
      </c>
      <c r="JH5" s="56">
        <v>120</v>
      </c>
      <c r="JI5" s="56">
        <v>240</v>
      </c>
      <c r="KM5" s="25" t="s">
        <v>8255</v>
      </c>
      <c r="KN5" s="25" t="s">
        <v>8298</v>
      </c>
      <c r="KO5" s="25" t="s">
        <v>8321</v>
      </c>
      <c r="KP5" s="25">
        <v>1</v>
      </c>
      <c r="KQ5" s="25" t="s">
        <v>8809</v>
      </c>
      <c r="KS5" s="56">
        <v>2600</v>
      </c>
      <c r="KT5" s="56">
        <v>5250</v>
      </c>
      <c r="KU5" s="56">
        <v>5200</v>
      </c>
      <c r="KV5" s="56">
        <v>10500</v>
      </c>
      <c r="KY5" s="25" t="s">
        <v>8246</v>
      </c>
      <c r="KZ5" s="56">
        <v>1500</v>
      </c>
      <c r="LA5" s="56">
        <v>3000</v>
      </c>
      <c r="LB5" s="56">
        <v>1500</v>
      </c>
      <c r="LC5" s="56">
        <v>3000</v>
      </c>
      <c r="LD5" s="25" t="s">
        <v>8247</v>
      </c>
      <c r="LE5" s="25" t="s">
        <v>8248</v>
      </c>
      <c r="LR5" s="25" t="s">
        <v>8249</v>
      </c>
      <c r="OE5" s="25" t="s">
        <v>25</v>
      </c>
      <c r="OF5" s="25" t="s">
        <v>28</v>
      </c>
      <c r="OG5" s="25" t="s">
        <v>25</v>
      </c>
      <c r="OH5" s="25" t="s">
        <v>25</v>
      </c>
      <c r="OJ5" s="25" t="s">
        <v>13421</v>
      </c>
      <c r="OK5" s="25" t="s">
        <v>13425</v>
      </c>
      <c r="OS5" s="26">
        <v>0.1</v>
      </c>
      <c r="OT5" s="26">
        <v>0.1</v>
      </c>
      <c r="OU5" s="26">
        <v>0.1</v>
      </c>
      <c r="OV5" s="26">
        <v>0.1</v>
      </c>
      <c r="OW5" s="26">
        <v>0.1</v>
      </c>
      <c r="OX5" s="26">
        <v>0.1</v>
      </c>
      <c r="OY5" s="26">
        <v>0.1</v>
      </c>
      <c r="PG5" s="26">
        <v>0.3</v>
      </c>
      <c r="PH5" s="26">
        <v>0.3</v>
      </c>
      <c r="PI5" s="26">
        <v>0.3</v>
      </c>
      <c r="PJ5" s="26">
        <v>0.3</v>
      </c>
      <c r="PK5" s="26">
        <v>0.3</v>
      </c>
      <c r="PM5" s="26">
        <v>0.3</v>
      </c>
      <c r="PN5" s="25" t="s">
        <v>8250</v>
      </c>
      <c r="PO5" s="25" t="s">
        <v>8250</v>
      </c>
      <c r="PP5" s="25" t="s">
        <v>8250</v>
      </c>
      <c r="PQ5" s="25" t="s">
        <v>8250</v>
      </c>
      <c r="PR5" s="25" t="s">
        <v>8250</v>
      </c>
      <c r="PS5" s="25" t="s">
        <v>8250</v>
      </c>
      <c r="PT5" s="25" t="s">
        <v>8250</v>
      </c>
      <c r="PU5" s="25" t="s">
        <v>25</v>
      </c>
      <c r="PV5" s="25" t="s">
        <v>25</v>
      </c>
      <c r="PW5" s="25" t="s">
        <v>25</v>
      </c>
      <c r="PX5" s="25" t="s">
        <v>25</v>
      </c>
      <c r="PY5" s="25" t="s">
        <v>25</v>
      </c>
      <c r="PZ5" s="25" t="s">
        <v>25</v>
      </c>
      <c r="QA5" s="25" t="s">
        <v>25</v>
      </c>
      <c r="QB5" s="25" t="s">
        <v>13810</v>
      </c>
      <c r="QC5" s="25" t="s">
        <v>13810</v>
      </c>
      <c r="QD5" s="25" t="s">
        <v>13810</v>
      </c>
      <c r="QE5" s="25" t="s">
        <v>13810</v>
      </c>
      <c r="QF5" s="25" t="s">
        <v>13810</v>
      </c>
      <c r="QG5" s="25" t="s">
        <v>13810</v>
      </c>
      <c r="QH5" s="25" t="s">
        <v>13810</v>
      </c>
      <c r="QI5" s="25" t="s">
        <v>631</v>
      </c>
      <c r="QJ5" s="25" t="s">
        <v>631</v>
      </c>
      <c r="QK5" s="25" t="s">
        <v>631</v>
      </c>
      <c r="QL5" s="25" t="s">
        <v>8325</v>
      </c>
      <c r="QM5" s="25" t="s">
        <v>8325</v>
      </c>
      <c r="QN5" s="25" t="s">
        <v>8325</v>
      </c>
      <c r="QO5" s="25" t="s">
        <v>13447</v>
      </c>
      <c r="QP5" s="25" t="s">
        <v>8325</v>
      </c>
      <c r="QQ5" s="25" t="s">
        <v>13447</v>
      </c>
      <c r="QR5" s="25" t="s">
        <v>13459</v>
      </c>
      <c r="RW5" s="26">
        <v>0.1</v>
      </c>
      <c r="RX5" s="26">
        <v>0.1</v>
      </c>
      <c r="RY5" s="26">
        <v>0.1</v>
      </c>
      <c r="TM5" s="26">
        <v>0.1</v>
      </c>
      <c r="TN5" s="26">
        <v>0.1</v>
      </c>
      <c r="TO5" s="26">
        <v>0.1</v>
      </c>
      <c r="TR5" s="26">
        <v>0.1</v>
      </c>
      <c r="UH5" s="26">
        <v>0.1</v>
      </c>
      <c r="UI5" s="26">
        <v>0.1</v>
      </c>
      <c r="UJ5" s="26">
        <v>0.1</v>
      </c>
      <c r="UM5" s="26">
        <v>0.1</v>
      </c>
      <c r="VC5" s="25" t="s">
        <v>8255</v>
      </c>
      <c r="VD5" s="25" t="s">
        <v>8298</v>
      </c>
      <c r="VE5" s="25" t="s">
        <v>8321</v>
      </c>
      <c r="VF5" s="25">
        <v>1</v>
      </c>
      <c r="VG5" s="25" t="s">
        <v>8810</v>
      </c>
      <c r="VI5" s="56">
        <v>2000</v>
      </c>
      <c r="VJ5" s="56">
        <v>4000</v>
      </c>
      <c r="VO5" s="25" t="s">
        <v>8246</v>
      </c>
      <c r="VP5" s="56">
        <v>200</v>
      </c>
      <c r="VQ5" s="56">
        <v>600</v>
      </c>
      <c r="VT5" s="25" t="s">
        <v>8248</v>
      </c>
      <c r="WG5" s="25" t="s">
        <v>8249</v>
      </c>
      <c r="YT5" s="25" t="s">
        <v>25</v>
      </c>
      <c r="YU5" s="25" t="s">
        <v>25</v>
      </c>
      <c r="YW5" s="25" t="s">
        <v>25</v>
      </c>
      <c r="YY5" s="25" t="s">
        <v>13417</v>
      </c>
      <c r="YZ5" s="25" t="s">
        <v>8404</v>
      </c>
      <c r="ZA5" s="56">
        <v>20</v>
      </c>
      <c r="ZB5" s="56">
        <v>30</v>
      </c>
      <c r="ZD5" s="56">
        <v>150</v>
      </c>
      <c r="ZE5" s="56">
        <v>20</v>
      </c>
      <c r="ZF5" s="56">
        <v>5</v>
      </c>
      <c r="ZJ5" s="26">
        <v>0.2</v>
      </c>
      <c r="ZK5" s="26">
        <v>0.2</v>
      </c>
      <c r="ZR5" s="56">
        <v>150</v>
      </c>
      <c r="AAC5" s="25" t="s">
        <v>8250</v>
      </c>
      <c r="AAD5" s="25" t="s">
        <v>8250</v>
      </c>
      <c r="AAE5" s="25" t="s">
        <v>8250</v>
      </c>
      <c r="AAF5" s="25" t="s">
        <v>8250</v>
      </c>
      <c r="AAG5" s="25" t="s">
        <v>8250</v>
      </c>
      <c r="AAH5" s="25" t="s">
        <v>8250</v>
      </c>
      <c r="AAI5" s="25" t="s">
        <v>8250</v>
      </c>
      <c r="AAJ5" s="25" t="s">
        <v>25</v>
      </c>
      <c r="AAK5" s="25" t="s">
        <v>25</v>
      </c>
      <c r="AAL5" s="25" t="s">
        <v>28</v>
      </c>
      <c r="AAM5" s="25" t="s">
        <v>25</v>
      </c>
      <c r="AAN5" s="25" t="s">
        <v>25</v>
      </c>
      <c r="AAO5" s="25" t="s">
        <v>25</v>
      </c>
      <c r="AAP5" s="25" t="s">
        <v>13593</v>
      </c>
      <c r="AAQ5" s="25" t="s">
        <v>13810</v>
      </c>
      <c r="AAR5" s="25" t="s">
        <v>13810</v>
      </c>
      <c r="AAS5" s="25" t="s">
        <v>13810</v>
      </c>
      <c r="AAT5" s="25" t="s">
        <v>13810</v>
      </c>
      <c r="AAU5" s="25" t="s">
        <v>13810</v>
      </c>
      <c r="AAV5" s="25" t="s">
        <v>13810</v>
      </c>
      <c r="AAW5" s="25" t="s">
        <v>13810</v>
      </c>
      <c r="AAX5" s="25" t="s">
        <v>631</v>
      </c>
      <c r="AAY5" s="25" t="s">
        <v>631</v>
      </c>
      <c r="AAZ5" s="25" t="s">
        <v>631</v>
      </c>
      <c r="ABA5" s="25" t="s">
        <v>8325</v>
      </c>
      <c r="ABB5" s="25" t="s">
        <v>8325</v>
      </c>
      <c r="ABC5" s="25" t="s">
        <v>8325</v>
      </c>
      <c r="ABD5" s="25" t="s">
        <v>8262</v>
      </c>
      <c r="ABE5" s="25" t="s">
        <v>8325</v>
      </c>
      <c r="ABF5" s="25" t="s">
        <v>8262</v>
      </c>
      <c r="ABG5" s="25" t="s">
        <v>8262</v>
      </c>
      <c r="ABJ5" s="56">
        <v>5</v>
      </c>
      <c r="ABL5" s="56">
        <v>10</v>
      </c>
      <c r="ACN5" s="26">
        <v>0.2</v>
      </c>
      <c r="ACU5" s="56">
        <v>30</v>
      </c>
      <c r="ACV5" s="56">
        <v>60</v>
      </c>
      <c r="ACW5" s="56">
        <v>50</v>
      </c>
      <c r="ACX5" s="56">
        <v>100</v>
      </c>
      <c r="ADG5" s="26">
        <v>0.5</v>
      </c>
      <c r="ADH5" s="26">
        <v>0.5</v>
      </c>
      <c r="ADI5" s="26">
        <v>0.5</v>
      </c>
      <c r="AEC5" s="26">
        <v>0.2</v>
      </c>
      <c r="AED5" s="26">
        <v>0.2</v>
      </c>
      <c r="AEK5" s="56">
        <v>60</v>
      </c>
      <c r="AEL5" s="56">
        <v>120</v>
      </c>
      <c r="AEM5" s="56">
        <v>100</v>
      </c>
      <c r="AEN5" s="56">
        <v>200</v>
      </c>
      <c r="AFR5" s="25" t="s">
        <v>8255</v>
      </c>
      <c r="AFS5" s="25" t="s">
        <v>8298</v>
      </c>
      <c r="AFT5" s="25" t="s">
        <v>8321</v>
      </c>
      <c r="AFU5" s="25">
        <v>0</v>
      </c>
      <c r="AFX5" s="25"/>
      <c r="AFY5" s="25"/>
      <c r="AFZ5" s="25"/>
      <c r="AGA5" s="25"/>
      <c r="AGB5" s="25"/>
      <c r="AGC5" s="25"/>
      <c r="AGE5" s="25"/>
      <c r="AGF5" s="25"/>
      <c r="AGG5" s="25"/>
      <c r="AGH5" s="25"/>
      <c r="AJP5" s="25"/>
      <c r="AJQ5" s="25"/>
      <c r="AJR5" s="25"/>
      <c r="AJS5" s="25"/>
      <c r="AJT5" s="25"/>
      <c r="AJU5" s="25"/>
      <c r="AJV5" s="25"/>
      <c r="AKD5" s="25"/>
      <c r="AKE5" s="25"/>
      <c r="AKF5" s="25"/>
      <c r="AKG5" s="25"/>
      <c r="AKH5" s="25"/>
      <c r="AKI5" s="25"/>
      <c r="AKJ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H5" s="25"/>
      <c r="ANI5" s="25"/>
      <c r="ANJ5" s="25"/>
      <c r="ANK5" s="25"/>
      <c r="ANL5" s="25"/>
      <c r="ANM5" s="25"/>
      <c r="ANN5" s="25"/>
      <c r="ANO5" s="25"/>
      <c r="ANP5" s="25"/>
      <c r="ANQ5" s="25"/>
      <c r="ANR5" s="25"/>
      <c r="ANS5" s="25"/>
      <c r="ANT5" s="25"/>
      <c r="ANU5" s="25"/>
      <c r="AOC5" s="25"/>
      <c r="AOD5" s="25"/>
      <c r="AOE5" s="25"/>
      <c r="AOF5" s="25"/>
      <c r="AOG5" s="25"/>
      <c r="AOH5" s="25"/>
      <c r="AOI5" s="25"/>
      <c r="AOJ5" s="25"/>
      <c r="AOK5" s="25"/>
      <c r="AOL5" s="25"/>
      <c r="AOM5" s="25"/>
      <c r="AON5" s="25"/>
      <c r="AOO5" s="25"/>
      <c r="AOP5" s="25"/>
      <c r="AOX5" s="25"/>
      <c r="AOY5" s="25"/>
      <c r="AOZ5" s="25"/>
      <c r="APA5" s="25"/>
      <c r="APB5" s="25"/>
      <c r="APC5" s="25"/>
      <c r="APD5" s="25"/>
      <c r="APE5" s="25"/>
      <c r="APF5" s="25"/>
      <c r="APG5" s="25"/>
      <c r="APH5" s="25"/>
      <c r="API5" s="25"/>
      <c r="APJ5" s="25"/>
      <c r="APK5" s="25"/>
      <c r="APS5" s="25"/>
      <c r="APT5" s="25"/>
      <c r="APU5" s="25"/>
      <c r="APV5" s="25"/>
      <c r="APW5" s="25"/>
      <c r="APX5" s="25"/>
      <c r="APY5" s="25"/>
      <c r="APZ5" s="25"/>
      <c r="AQA5" s="25"/>
      <c r="AQB5" s="25"/>
      <c r="AQC5" s="25"/>
      <c r="AQD5" s="25"/>
      <c r="AQE5" s="25"/>
      <c r="AQF5" s="25"/>
      <c r="AQJ5" s="25">
        <v>8</v>
      </c>
      <c r="AQK5" s="25" t="s">
        <v>8811</v>
      </c>
      <c r="AQL5" s="25" t="s">
        <v>8812</v>
      </c>
      <c r="AQM5" s="56">
        <v>1500</v>
      </c>
      <c r="AQN5" s="56">
        <v>3000</v>
      </c>
      <c r="AQS5" s="25" t="s">
        <v>13596</v>
      </c>
      <c r="AQX5" s="25" t="s">
        <v>8248</v>
      </c>
      <c r="ARK5" s="25" t="s">
        <v>8249</v>
      </c>
      <c r="ATX5" s="25" t="s">
        <v>25</v>
      </c>
      <c r="ATY5" s="25" t="s">
        <v>25</v>
      </c>
      <c r="AUA5" s="25" t="s">
        <v>25</v>
      </c>
      <c r="AUC5" s="25" t="s">
        <v>13431</v>
      </c>
      <c r="AUD5" s="25" t="s">
        <v>8404</v>
      </c>
      <c r="AUE5" s="56">
        <v>10</v>
      </c>
      <c r="AUF5" s="56">
        <v>20</v>
      </c>
      <c r="AUH5" s="56">
        <v>35</v>
      </c>
      <c r="AUI5" s="56">
        <v>10</v>
      </c>
      <c r="AUJ5" s="56">
        <v>10</v>
      </c>
      <c r="AUV5" s="56">
        <v>35</v>
      </c>
      <c r="AVG5" s="25" t="s">
        <v>8250</v>
      </c>
      <c r="AVH5" s="25" t="s">
        <v>8250</v>
      </c>
      <c r="AVI5" s="25" t="s">
        <v>8250</v>
      </c>
      <c r="AVJ5" s="25" t="s">
        <v>8250</v>
      </c>
      <c r="AVK5" s="25" t="s">
        <v>8250</v>
      </c>
      <c r="AVL5" s="25" t="s">
        <v>8250</v>
      </c>
      <c r="AVN5" s="25" t="s">
        <v>25</v>
      </c>
      <c r="AVO5" s="25" t="s">
        <v>25</v>
      </c>
      <c r="AVP5" s="25" t="s">
        <v>25</v>
      </c>
      <c r="AVQ5" s="25" t="s">
        <v>25</v>
      </c>
      <c r="AVR5" s="25" t="s">
        <v>25</v>
      </c>
      <c r="AVS5" s="25" t="s">
        <v>25</v>
      </c>
      <c r="AVU5" s="25" t="s">
        <v>13810</v>
      </c>
      <c r="AVV5" s="25" t="s">
        <v>13810</v>
      </c>
      <c r="AVW5" s="25" t="s">
        <v>13810</v>
      </c>
      <c r="AVX5" s="25" t="s">
        <v>13810</v>
      </c>
      <c r="AVY5" s="25" t="s">
        <v>13810</v>
      </c>
      <c r="AVZ5" s="25" t="s">
        <v>13810</v>
      </c>
      <c r="AWA5" s="25" t="s">
        <v>13810</v>
      </c>
      <c r="AWB5" s="25" t="s">
        <v>631</v>
      </c>
      <c r="AWC5" s="25" t="s">
        <v>631</v>
      </c>
      <c r="AWD5" s="25" t="s">
        <v>631</v>
      </c>
      <c r="AWN5" s="56">
        <v>5</v>
      </c>
      <c r="AWP5" s="56">
        <v>5</v>
      </c>
      <c r="AWR5" s="56">
        <v>10</v>
      </c>
      <c r="AWT5" s="56">
        <v>10</v>
      </c>
      <c r="AWV5" s="56">
        <v>10</v>
      </c>
      <c r="AWX5" s="56">
        <v>10</v>
      </c>
      <c r="BAV5" s="25" t="s">
        <v>8255</v>
      </c>
      <c r="BAW5" s="25" t="s">
        <v>8256</v>
      </c>
      <c r="BAX5" s="25" t="s">
        <v>8321</v>
      </c>
      <c r="BAY5" s="25">
        <v>0</v>
      </c>
      <c r="BBB5" s="25"/>
      <c r="BBC5" s="25"/>
      <c r="BBD5" s="25"/>
      <c r="BBE5" s="25"/>
      <c r="BBF5" s="25"/>
      <c r="BBG5" s="25"/>
      <c r="BBI5" s="25"/>
      <c r="BBJ5" s="25"/>
      <c r="BBK5" s="25"/>
      <c r="BBL5" s="25"/>
      <c r="BET5" s="25"/>
      <c r="BEU5" s="25"/>
      <c r="BEV5" s="25"/>
      <c r="BEW5" s="25"/>
      <c r="BEX5" s="25"/>
      <c r="BEY5" s="25"/>
      <c r="BEZ5" s="25"/>
      <c r="BFH5" s="25"/>
      <c r="BFI5" s="25"/>
      <c r="BFJ5" s="25"/>
      <c r="BFK5" s="25"/>
      <c r="BFL5" s="25"/>
      <c r="BFM5" s="25"/>
      <c r="BFN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L5" s="25"/>
      <c r="BIM5" s="25"/>
      <c r="BIN5" s="25"/>
      <c r="BIO5" s="25"/>
      <c r="BIP5" s="25"/>
      <c r="BIQ5" s="25"/>
      <c r="BIR5" s="25"/>
      <c r="BIS5" s="25"/>
      <c r="BIT5" s="25"/>
      <c r="BIU5" s="25"/>
      <c r="BIV5" s="25"/>
      <c r="BIW5" s="25"/>
      <c r="BIX5" s="25"/>
      <c r="BIY5" s="25"/>
      <c r="BJG5" s="25"/>
      <c r="BJH5" s="25"/>
      <c r="BJI5" s="25"/>
      <c r="BJJ5" s="25"/>
      <c r="BJK5" s="25"/>
      <c r="BJL5" s="25"/>
      <c r="BJM5" s="25"/>
      <c r="BJN5" s="25"/>
      <c r="BJO5" s="25"/>
      <c r="BJP5" s="25"/>
      <c r="BJQ5" s="25"/>
      <c r="BJR5" s="25"/>
      <c r="BJS5" s="25"/>
      <c r="BJT5" s="25"/>
      <c r="BKB5" s="25"/>
      <c r="BKC5" s="25"/>
      <c r="BKD5" s="25"/>
      <c r="BKE5" s="25"/>
      <c r="BKF5" s="25"/>
      <c r="BKG5" s="25"/>
      <c r="BKH5" s="25"/>
      <c r="BKI5" s="25"/>
      <c r="BKJ5" s="25"/>
      <c r="BKK5" s="25"/>
      <c r="BKL5" s="25"/>
      <c r="BKM5" s="25"/>
      <c r="BKN5" s="25"/>
      <c r="BKO5" s="25"/>
      <c r="BKW5" s="25"/>
      <c r="BKX5" s="25"/>
      <c r="BKY5" s="25"/>
      <c r="BKZ5" s="25"/>
      <c r="BLA5" s="25"/>
      <c r="BLB5" s="25"/>
      <c r="BLC5" s="25"/>
      <c r="BLD5" s="25"/>
      <c r="BLE5" s="25"/>
      <c r="BLF5" s="25"/>
      <c r="BLG5" s="25"/>
      <c r="BLH5" s="25"/>
      <c r="BLI5" s="25"/>
      <c r="BLJ5" s="25"/>
      <c r="BLN5" s="25">
        <v>0</v>
      </c>
      <c r="BLQ5" s="25"/>
      <c r="BLR5" s="25"/>
      <c r="BLS5" s="25"/>
      <c r="BLT5" s="25"/>
      <c r="BLU5" s="25"/>
      <c r="BLV5" s="25"/>
      <c r="BLX5" s="25"/>
      <c r="BLY5" s="25"/>
      <c r="BLZ5" s="25"/>
      <c r="BMA5" s="25"/>
      <c r="BPI5" s="25"/>
      <c r="BPJ5" s="25"/>
      <c r="BPK5" s="25"/>
      <c r="BPL5" s="25"/>
      <c r="BPM5" s="25"/>
      <c r="BPN5" s="25"/>
      <c r="BPO5" s="25"/>
      <c r="BPW5" s="25"/>
      <c r="BPX5" s="25"/>
      <c r="BPY5" s="25"/>
      <c r="BPZ5" s="25"/>
      <c r="BQA5" s="25"/>
      <c r="BQB5" s="25"/>
      <c r="BQC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TA5" s="25"/>
      <c r="BTB5" s="25"/>
      <c r="BTC5" s="25"/>
      <c r="BTD5" s="25"/>
      <c r="BTE5" s="25"/>
      <c r="BTF5" s="25"/>
      <c r="BTG5" s="25"/>
      <c r="BTH5" s="25"/>
      <c r="BTI5" s="25"/>
      <c r="BTJ5" s="25"/>
      <c r="BTK5" s="25"/>
      <c r="BTL5" s="25"/>
      <c r="BTM5" s="25"/>
      <c r="BTN5" s="25"/>
      <c r="BUQ5" s="25"/>
      <c r="BUR5" s="25"/>
      <c r="BUS5" s="25"/>
      <c r="BUT5" s="25"/>
      <c r="BUU5" s="25"/>
      <c r="BUV5" s="25"/>
      <c r="BUW5" s="25"/>
      <c r="BUX5" s="25"/>
      <c r="BUY5" s="25"/>
      <c r="BUZ5" s="25"/>
      <c r="BVA5" s="25"/>
      <c r="BVB5" s="25"/>
      <c r="BVC5" s="25"/>
      <c r="BVD5" s="25"/>
      <c r="BWC5" s="25" t="s">
        <v>28</v>
      </c>
      <c r="BWD5" s="25" t="s">
        <v>8659</v>
      </c>
      <c r="BWE5" s="25" t="s">
        <v>8660</v>
      </c>
      <c r="BWF5" s="25" t="s">
        <v>13707</v>
      </c>
      <c r="BWG5" s="25" t="s">
        <v>25</v>
      </c>
      <c r="BWH5" s="25" t="s">
        <v>2169</v>
      </c>
      <c r="BWI5" s="25" t="s">
        <v>28</v>
      </c>
      <c r="BWJ5" s="25" t="s">
        <v>8267</v>
      </c>
      <c r="BWK5" s="25" t="s">
        <v>25</v>
      </c>
      <c r="BWM5" s="25" t="s">
        <v>25</v>
      </c>
      <c r="BWO5" s="25" t="s">
        <v>25</v>
      </c>
      <c r="BWQ5" s="25" t="s">
        <v>28</v>
      </c>
      <c r="BWR5" s="25" t="s">
        <v>25</v>
      </c>
      <c r="BWT5" s="25" t="s">
        <v>25</v>
      </c>
      <c r="BWV5" s="25" t="s">
        <v>25</v>
      </c>
      <c r="BWX5" s="25" t="s">
        <v>28</v>
      </c>
      <c r="BWY5" s="25" t="s">
        <v>8813</v>
      </c>
      <c r="BWZ5" s="25" t="s">
        <v>25</v>
      </c>
      <c r="BXB5" s="25" t="s">
        <v>25</v>
      </c>
      <c r="BXD5" s="25" t="s">
        <v>28</v>
      </c>
      <c r="BXE5" s="25" t="s">
        <v>8359</v>
      </c>
      <c r="BXF5" s="25" t="s">
        <v>28</v>
      </c>
      <c r="BXG5" s="56">
        <v>20</v>
      </c>
      <c r="BXH5" s="25" t="s">
        <v>25</v>
      </c>
      <c r="BXJ5" s="25" t="s">
        <v>28</v>
      </c>
      <c r="BXK5" s="25" t="s">
        <v>8389</v>
      </c>
      <c r="BXL5" s="25" t="s">
        <v>13821</v>
      </c>
      <c r="BXM5" s="25" t="s">
        <v>2201</v>
      </c>
      <c r="BXN5" s="25" t="s">
        <v>8272</v>
      </c>
      <c r="BXO5" s="25" t="s">
        <v>8274</v>
      </c>
      <c r="BXP5" s="25" t="s">
        <v>8274</v>
      </c>
      <c r="BXQ5" s="25" t="s">
        <v>8274</v>
      </c>
      <c r="BXR5" s="25" t="s">
        <v>8274</v>
      </c>
      <c r="BXW5" s="25" t="s">
        <v>28</v>
      </c>
      <c r="BXX5" s="25" t="s">
        <v>28</v>
      </c>
      <c r="BXY5" s="25" t="s">
        <v>25</v>
      </c>
      <c r="BXZ5" s="25" t="s">
        <v>25</v>
      </c>
      <c r="BYA5" s="25" t="s">
        <v>25</v>
      </c>
      <c r="BYB5" s="25" t="s">
        <v>25</v>
      </c>
      <c r="BYC5" s="25" t="s">
        <v>2169</v>
      </c>
      <c r="BYD5" s="25" t="s">
        <v>28</v>
      </c>
      <c r="BYE5" s="25" t="s">
        <v>13609</v>
      </c>
      <c r="BYF5" s="25" t="s">
        <v>8277</v>
      </c>
      <c r="BYH5" s="25" t="s">
        <v>8814</v>
      </c>
      <c r="BYK5" s="25" t="s">
        <v>8333</v>
      </c>
      <c r="BYL5" s="25" t="s">
        <v>28</v>
      </c>
      <c r="BYM5" s="25">
        <v>60</v>
      </c>
      <c r="BYN5" s="25" t="s">
        <v>28</v>
      </c>
      <c r="BYO5" s="25">
        <v>60</v>
      </c>
      <c r="BYP5" s="25" t="s">
        <v>25</v>
      </c>
      <c r="BYR5" s="25" t="s">
        <v>28</v>
      </c>
      <c r="BYS5" s="25" t="s">
        <v>8279</v>
      </c>
      <c r="BYT5" s="25" t="s">
        <v>8279</v>
      </c>
      <c r="BYU5" s="25" t="s">
        <v>8279</v>
      </c>
      <c r="BYV5" s="25" t="s">
        <v>25</v>
      </c>
      <c r="BYW5" s="25" t="s">
        <v>28</v>
      </c>
      <c r="BYZ5" s="25" t="s">
        <v>8334</v>
      </c>
      <c r="BZA5" s="25" t="s">
        <v>8815</v>
      </c>
      <c r="BZB5" s="25" t="s">
        <v>256</v>
      </c>
      <c r="BZC5" s="25" t="s">
        <v>8282</v>
      </c>
      <c r="BZD5" s="25" t="s">
        <v>28</v>
      </c>
      <c r="BZE5" s="25" t="s">
        <v>25</v>
      </c>
      <c r="BZF5" s="25" t="s">
        <v>28</v>
      </c>
      <c r="BZG5" s="25" t="s">
        <v>25</v>
      </c>
      <c r="BZJ5" s="25" t="s">
        <v>25</v>
      </c>
      <c r="BZM5" s="25" t="s">
        <v>28</v>
      </c>
      <c r="BZN5" s="25" t="s">
        <v>8283</v>
      </c>
      <c r="BZP5" s="25" t="s">
        <v>8366</v>
      </c>
      <c r="BZQ5" s="56">
        <v>1000</v>
      </c>
      <c r="BZR5" s="25" t="s">
        <v>607</v>
      </c>
      <c r="BZS5" s="25" t="s">
        <v>25</v>
      </c>
      <c r="BZT5" s="25" t="s">
        <v>8468</v>
      </c>
      <c r="BZV5" s="25" t="s">
        <v>13653</v>
      </c>
      <c r="BZX5" s="25" t="s">
        <v>8287</v>
      </c>
      <c r="BZZ5" s="25" t="s">
        <v>25</v>
      </c>
      <c r="CAC5" s="25" t="s">
        <v>25</v>
      </c>
      <c r="CAE5" s="25" t="s">
        <v>25</v>
      </c>
      <c r="CAG5" s="25" t="s">
        <v>25</v>
      </c>
      <c r="CAH5" s="25" t="s">
        <v>631</v>
      </c>
      <c r="CAI5" s="25" t="s">
        <v>631</v>
      </c>
      <c r="CAJ5" s="25" t="s">
        <v>631</v>
      </c>
      <c r="CAK5" s="25" t="s">
        <v>631</v>
      </c>
      <c r="CAL5" s="25" t="s">
        <v>631</v>
      </c>
      <c r="CAM5" s="25" t="s">
        <v>8290</v>
      </c>
      <c r="CAN5" s="25" t="s">
        <v>631</v>
      </c>
      <c r="CAO5" s="25" t="s">
        <v>631</v>
      </c>
      <c r="CAP5" s="25" t="s">
        <v>631</v>
      </c>
      <c r="CAQ5" s="25" t="s">
        <v>631</v>
      </c>
      <c r="CAR5" s="25" t="s">
        <v>8570</v>
      </c>
      <c r="CAS5" s="25" t="s">
        <v>8816</v>
      </c>
      <c r="CAT5" s="25" t="s">
        <v>25</v>
      </c>
      <c r="CBB5" s="25">
        <v>2</v>
      </c>
      <c r="CBE5" s="56">
        <v>50</v>
      </c>
      <c r="CBF5" s="56">
        <v>150</v>
      </c>
      <c r="CBG5" s="56">
        <v>50</v>
      </c>
      <c r="CBH5" s="56">
        <v>150</v>
      </c>
      <c r="CBI5" s="56">
        <v>2000</v>
      </c>
      <c r="CBJ5" s="56">
        <v>2000</v>
      </c>
      <c r="CBK5" s="56">
        <v>2000</v>
      </c>
      <c r="CBM5" s="26">
        <v>0</v>
      </c>
      <c r="CBN5" s="26">
        <v>0</v>
      </c>
      <c r="CBO5" s="26">
        <v>0.2</v>
      </c>
      <c r="CBP5" s="26">
        <v>0.2</v>
      </c>
      <c r="CBQ5" s="26">
        <v>0.2</v>
      </c>
      <c r="CBR5" s="26">
        <v>0.2</v>
      </c>
      <c r="CBS5" s="26">
        <v>0.5</v>
      </c>
      <c r="CBT5" s="26">
        <v>0.5</v>
      </c>
      <c r="CBU5" s="27" t="s">
        <v>28</v>
      </c>
      <c r="CBV5" s="27" t="s">
        <v>8293</v>
      </c>
      <c r="CBW5" s="27" t="s">
        <v>8294</v>
      </c>
      <c r="CBX5" s="27" t="s">
        <v>8343</v>
      </c>
      <c r="CBY5" s="27" t="s">
        <v>8296</v>
      </c>
      <c r="CBZ5" s="27" t="s">
        <v>8296</v>
      </c>
      <c r="CCA5" s="27" t="s">
        <v>8297</v>
      </c>
      <c r="CCB5" s="27" t="s">
        <v>8298</v>
      </c>
      <c r="CCC5" s="27" t="s">
        <v>8296</v>
      </c>
      <c r="CCD5" s="27" t="s">
        <v>8297</v>
      </c>
      <c r="CCE5" s="27" t="s">
        <v>8297</v>
      </c>
      <c r="CCF5" s="27" t="s">
        <v>8297</v>
      </c>
      <c r="CCG5" s="27" t="s">
        <v>8297</v>
      </c>
      <c r="CCH5" s="27" t="s">
        <v>8296</v>
      </c>
      <c r="CCI5" s="27" t="s">
        <v>8298</v>
      </c>
      <c r="CCJ5" s="27" t="s">
        <v>8298</v>
      </c>
      <c r="CCK5" s="27" t="s">
        <v>8297</v>
      </c>
      <c r="CCL5" s="27" t="s">
        <v>8297</v>
      </c>
      <c r="CCN5" s="27" t="s">
        <v>8296</v>
      </c>
      <c r="CCO5" s="27" t="s">
        <v>8300</v>
      </c>
      <c r="CCP5" s="27" t="s">
        <v>8296</v>
      </c>
      <c r="CCQ5" s="27" t="s">
        <v>8296</v>
      </c>
      <c r="CCR5" s="27" t="s">
        <v>8296</v>
      </c>
      <c r="CCS5" s="27" t="s">
        <v>8296</v>
      </c>
      <c r="CCT5" s="27" t="s">
        <v>8296</v>
      </c>
      <c r="CCU5" s="27" t="s">
        <v>8298</v>
      </c>
      <c r="CCV5" s="27" t="s">
        <v>8298</v>
      </c>
      <c r="CCW5" s="27" t="s">
        <v>8298</v>
      </c>
      <c r="CCX5" s="27" t="s">
        <v>8298</v>
      </c>
      <c r="CCY5" s="27" t="s">
        <v>8298</v>
      </c>
      <c r="CCZ5" s="27" t="s">
        <v>28</v>
      </c>
      <c r="CDA5" s="27" t="s">
        <v>28</v>
      </c>
      <c r="CDB5" s="27" t="s">
        <v>28</v>
      </c>
      <c r="CDC5" s="27" t="s">
        <v>25</v>
      </c>
      <c r="CDD5" s="27" t="s">
        <v>28</v>
      </c>
      <c r="CDE5" s="27" t="s">
        <v>28</v>
      </c>
      <c r="CDF5" s="27" t="s">
        <v>28</v>
      </c>
      <c r="CDG5" s="27" t="s">
        <v>28</v>
      </c>
      <c r="CDH5" s="27" t="s">
        <v>28</v>
      </c>
      <c r="CDI5" s="27" t="s">
        <v>28</v>
      </c>
      <c r="CDJ5" s="27" t="s">
        <v>25</v>
      </c>
      <c r="CDK5" s="27" t="s">
        <v>25</v>
      </c>
      <c r="CDL5" s="27" t="s">
        <v>28</v>
      </c>
      <c r="CDM5" s="27" t="s">
        <v>28</v>
      </c>
      <c r="CDO5" s="27" t="s">
        <v>28</v>
      </c>
      <c r="CDP5" s="27" t="s">
        <v>25</v>
      </c>
      <c r="CDQ5" s="27" t="s">
        <v>28</v>
      </c>
      <c r="CDR5" s="27" t="s">
        <v>28</v>
      </c>
      <c r="CDS5" s="27" t="s">
        <v>28</v>
      </c>
      <c r="CDT5" s="27" t="s">
        <v>28</v>
      </c>
      <c r="CDU5" s="27" t="s">
        <v>28</v>
      </c>
      <c r="CDV5" s="27" t="s">
        <v>25</v>
      </c>
      <c r="CDW5" s="27" t="s">
        <v>25</v>
      </c>
      <c r="CDX5" s="27" t="s">
        <v>25</v>
      </c>
      <c r="CDY5" s="27" t="s">
        <v>25</v>
      </c>
      <c r="CDZ5" s="27" t="s">
        <v>25</v>
      </c>
      <c r="CED5" s="27" t="s">
        <v>8302</v>
      </c>
      <c r="CEK5" s="27" t="s">
        <v>8302</v>
      </c>
      <c r="CEL5" s="27" t="s">
        <v>8302</v>
      </c>
      <c r="CEM5" s="27" t="s">
        <v>8301</v>
      </c>
      <c r="CEN5" s="27" t="s">
        <v>8301</v>
      </c>
      <c r="CER5" s="27" t="s">
        <v>8302</v>
      </c>
      <c r="CES5" s="27" t="s">
        <v>8371</v>
      </c>
      <c r="CET5" s="27" t="s">
        <v>8302</v>
      </c>
      <c r="CEW5" s="27" t="s">
        <v>8303</v>
      </c>
      <c r="CEX5" s="27" t="s">
        <v>8302</v>
      </c>
      <c r="CEY5" s="27" t="s">
        <v>8302</v>
      </c>
      <c r="CEZ5" s="27" t="s">
        <v>8306</v>
      </c>
      <c r="CFA5" s="27" t="s">
        <v>8306</v>
      </c>
      <c r="CFB5" s="27" t="s">
        <v>25</v>
      </c>
      <c r="CFC5" s="27" t="s">
        <v>25</v>
      </c>
      <c r="CFD5" s="27" t="s">
        <v>25</v>
      </c>
      <c r="CFE5" s="27" t="s">
        <v>25</v>
      </c>
      <c r="CFF5" s="27" t="s">
        <v>25</v>
      </c>
      <c r="CFG5" s="27" t="s">
        <v>25</v>
      </c>
      <c r="CFH5" s="27" t="s">
        <v>25</v>
      </c>
      <c r="CFI5" s="27" t="s">
        <v>25</v>
      </c>
      <c r="CFJ5" s="27" t="s">
        <v>25</v>
      </c>
      <c r="CFK5" s="27" t="s">
        <v>25</v>
      </c>
      <c r="CFL5" s="27" t="s">
        <v>25</v>
      </c>
      <c r="CFM5" s="27" t="s">
        <v>28</v>
      </c>
      <c r="CFN5" s="27" t="s">
        <v>25</v>
      </c>
      <c r="CFO5" s="27" t="s">
        <v>25</v>
      </c>
      <c r="CFQ5" s="27" t="s">
        <v>25</v>
      </c>
      <c r="CFR5" s="27" t="s">
        <v>25</v>
      </c>
      <c r="CFS5" s="27" t="s">
        <v>25</v>
      </c>
      <c r="CFT5" s="27" t="s">
        <v>25</v>
      </c>
      <c r="CFU5" s="27" t="s">
        <v>25</v>
      </c>
      <c r="CFV5" s="27" t="s">
        <v>28</v>
      </c>
      <c r="CFW5" s="27" t="s">
        <v>25</v>
      </c>
      <c r="CFX5" s="27" t="s">
        <v>28</v>
      </c>
      <c r="CFY5" s="27" t="s">
        <v>28</v>
      </c>
      <c r="CFZ5" s="27" t="s">
        <v>25</v>
      </c>
      <c r="CGA5" s="27" t="s">
        <v>25</v>
      </c>
      <c r="CGB5" s="27" t="s">
        <v>25</v>
      </c>
      <c r="CPW5" s="27">
        <v>2</v>
      </c>
      <c r="CPX5" s="56">
        <v>10</v>
      </c>
      <c r="CPY5" s="26">
        <v>1</v>
      </c>
      <c r="CQB5" s="25" t="s">
        <v>8372</v>
      </c>
      <c r="CQC5" s="25" t="s">
        <v>8372</v>
      </c>
      <c r="CQD5" s="25" t="s">
        <v>8372</v>
      </c>
      <c r="CQE5" s="25" t="s">
        <v>8372</v>
      </c>
      <c r="CQF5" s="25" t="s">
        <v>8372</v>
      </c>
      <c r="CQI5" s="56">
        <v>150</v>
      </c>
      <c r="CQJ5" s="56">
        <v>250</v>
      </c>
      <c r="CQL5" s="25" t="s">
        <v>13689</v>
      </c>
      <c r="CQM5" s="25" t="s">
        <v>8665</v>
      </c>
      <c r="CQN5" s="25" t="s">
        <v>28</v>
      </c>
      <c r="CQO5" s="25" t="s">
        <v>8309</v>
      </c>
      <c r="CQQ5" s="25" t="s">
        <v>8817</v>
      </c>
      <c r="CQR5" s="25" t="s">
        <v>8818</v>
      </c>
      <c r="CQS5" s="25" t="s">
        <v>25</v>
      </c>
      <c r="CQT5" s="25" t="s">
        <v>8312</v>
      </c>
      <c r="CQU5" s="25" t="s">
        <v>8313</v>
      </c>
      <c r="CQV5" s="25" t="s">
        <v>8313</v>
      </c>
      <c r="CQW5" s="25" t="s">
        <v>8313</v>
      </c>
      <c r="CQX5" s="25" t="s">
        <v>8312</v>
      </c>
      <c r="CQY5" s="25" t="s">
        <v>8313</v>
      </c>
      <c r="CQZ5" s="25" t="s">
        <v>8312</v>
      </c>
      <c r="CRA5" s="25" t="s">
        <v>8312</v>
      </c>
      <c r="CRB5" s="25" t="s">
        <v>8312</v>
      </c>
      <c r="CRC5" s="25" t="s">
        <v>8312</v>
      </c>
      <c r="CRD5" s="25" t="s">
        <v>8312</v>
      </c>
      <c r="CRE5" s="27" t="s">
        <v>8312</v>
      </c>
    </row>
    <row r="6" spans="1:2501" ht="89.25" x14ac:dyDescent="0.2">
      <c r="A6" s="21" t="s">
        <v>179</v>
      </c>
      <c r="B6" s="26">
        <v>0.33</v>
      </c>
      <c r="C6" s="26">
        <v>0</v>
      </c>
      <c r="D6" s="26">
        <v>0.14000000000000001</v>
      </c>
      <c r="E6" s="26">
        <v>0.43</v>
      </c>
      <c r="F6" s="26">
        <v>0</v>
      </c>
      <c r="G6" s="26">
        <v>0</v>
      </c>
      <c r="H6" s="26">
        <v>0</v>
      </c>
      <c r="I6" s="26">
        <v>0</v>
      </c>
      <c r="J6" s="26">
        <v>0</v>
      </c>
      <c r="K6" s="26">
        <v>0</v>
      </c>
      <c r="L6" s="26">
        <v>0</v>
      </c>
      <c r="M6" s="26">
        <v>0.1</v>
      </c>
      <c r="N6" s="26">
        <v>0</v>
      </c>
      <c r="O6" s="26">
        <v>0</v>
      </c>
      <c r="P6" s="26">
        <v>0</v>
      </c>
      <c r="Q6" s="26">
        <v>0</v>
      </c>
      <c r="R6" s="26">
        <v>0</v>
      </c>
      <c r="S6" s="26">
        <v>0</v>
      </c>
      <c r="T6" s="26">
        <v>0</v>
      </c>
      <c r="U6" s="26">
        <v>0</v>
      </c>
      <c r="V6" s="26">
        <v>0</v>
      </c>
      <c r="W6" s="26">
        <v>0</v>
      </c>
      <c r="X6" s="26">
        <v>0</v>
      </c>
      <c r="Y6" s="26">
        <v>1</v>
      </c>
      <c r="Z6" s="25">
        <v>1</v>
      </c>
      <c r="AA6" s="25" t="s">
        <v>8994</v>
      </c>
      <c r="AC6" s="56">
        <v>3000</v>
      </c>
      <c r="AD6" s="56">
        <v>6000</v>
      </c>
      <c r="AE6" s="56">
        <v>10000</v>
      </c>
      <c r="AF6" s="56">
        <v>20000</v>
      </c>
      <c r="AI6" s="25" t="s">
        <v>13413</v>
      </c>
      <c r="AJ6" s="56">
        <v>500</v>
      </c>
      <c r="AK6" s="56">
        <v>1000</v>
      </c>
      <c r="AL6" s="56">
        <v>1000</v>
      </c>
      <c r="AM6" s="56">
        <v>2000</v>
      </c>
      <c r="AN6" s="25" t="s">
        <v>8350</v>
      </c>
      <c r="AO6" s="25" t="s">
        <v>8248</v>
      </c>
      <c r="BB6" s="25" t="s">
        <v>8249</v>
      </c>
      <c r="DO6" s="25" t="s">
        <v>25</v>
      </c>
      <c r="DP6" s="25" t="s">
        <v>25</v>
      </c>
      <c r="DR6" s="25" t="s">
        <v>25</v>
      </c>
      <c r="DT6" s="25" t="s">
        <v>13417</v>
      </c>
      <c r="DU6" s="25" t="s">
        <v>13417</v>
      </c>
      <c r="DV6" s="56">
        <v>20</v>
      </c>
      <c r="DW6" s="56">
        <v>30</v>
      </c>
      <c r="DX6" s="56">
        <v>20</v>
      </c>
      <c r="DZ6" s="56">
        <v>50</v>
      </c>
      <c r="EA6" s="56">
        <v>0</v>
      </c>
      <c r="EF6" s="26">
        <v>0.2</v>
      </c>
      <c r="EQ6" s="26">
        <v>0.2</v>
      </c>
      <c r="ER6" s="26">
        <v>0.2</v>
      </c>
      <c r="ES6" s="26">
        <v>0.2</v>
      </c>
      <c r="ET6" s="26">
        <v>0.2</v>
      </c>
      <c r="EU6" s="26">
        <v>0.2</v>
      </c>
      <c r="EV6" s="26">
        <v>0</v>
      </c>
      <c r="EX6" s="25" t="s">
        <v>8250</v>
      </c>
      <c r="EY6" s="25" t="s">
        <v>8250</v>
      </c>
      <c r="EZ6" s="25" t="s">
        <v>8250</v>
      </c>
      <c r="FB6" s="25" t="s">
        <v>8261</v>
      </c>
      <c r="FC6" s="25" t="s">
        <v>8250</v>
      </c>
      <c r="FE6" s="25" t="s">
        <v>25</v>
      </c>
      <c r="FF6" s="25" t="s">
        <v>25</v>
      </c>
      <c r="FG6" s="25" t="s">
        <v>25</v>
      </c>
      <c r="FH6" s="25" t="s">
        <v>25</v>
      </c>
      <c r="FI6" s="25" t="s">
        <v>25</v>
      </c>
      <c r="FJ6" s="25" t="s">
        <v>25</v>
      </c>
      <c r="FL6" s="25" t="s">
        <v>13810</v>
      </c>
      <c r="FM6" s="25" t="s">
        <v>13810</v>
      </c>
      <c r="FN6" s="25" t="s">
        <v>13810</v>
      </c>
      <c r="FO6" s="25" t="s">
        <v>13810</v>
      </c>
      <c r="FP6" s="25" t="s">
        <v>8252</v>
      </c>
      <c r="FQ6" s="25" t="s">
        <v>13810</v>
      </c>
      <c r="FR6" s="25" t="s">
        <v>13810</v>
      </c>
      <c r="FS6" s="25" t="s">
        <v>13810</v>
      </c>
      <c r="FT6" s="25" t="s">
        <v>631</v>
      </c>
      <c r="FV6" s="25" t="s">
        <v>13441</v>
      </c>
      <c r="FW6" s="25" t="s">
        <v>13441</v>
      </c>
      <c r="FX6" s="25" t="s">
        <v>13441</v>
      </c>
      <c r="FY6" s="25" t="s">
        <v>13441</v>
      </c>
      <c r="FZ6" s="25" t="s">
        <v>13436</v>
      </c>
      <c r="GA6" s="25" t="s">
        <v>13441</v>
      </c>
      <c r="GB6" s="25" t="s">
        <v>13441</v>
      </c>
      <c r="GC6" s="25" t="s">
        <v>13441</v>
      </c>
      <c r="GE6" s="56">
        <v>10</v>
      </c>
      <c r="GG6" s="56">
        <v>25</v>
      </c>
      <c r="GI6" s="56">
        <v>30</v>
      </c>
      <c r="GK6" s="56">
        <v>75</v>
      </c>
      <c r="GM6" s="56">
        <v>60</v>
      </c>
      <c r="GO6" s="56">
        <v>150</v>
      </c>
      <c r="HG6" s="57">
        <v>0</v>
      </c>
      <c r="HH6" s="57">
        <v>0</v>
      </c>
      <c r="HI6" s="57">
        <v>0</v>
      </c>
      <c r="HM6" s="57">
        <v>0</v>
      </c>
      <c r="IB6" s="26">
        <v>0.3</v>
      </c>
      <c r="IC6" s="26">
        <v>0.3</v>
      </c>
      <c r="ID6" s="26">
        <v>0.3</v>
      </c>
      <c r="IH6" s="26">
        <v>0</v>
      </c>
      <c r="IW6" s="26">
        <v>0</v>
      </c>
      <c r="IX6" s="26">
        <v>0</v>
      </c>
      <c r="IY6" s="26">
        <v>0</v>
      </c>
      <c r="JC6" s="26">
        <v>0</v>
      </c>
      <c r="JR6" s="26">
        <v>0</v>
      </c>
      <c r="JS6" s="26">
        <v>0</v>
      </c>
      <c r="JT6" s="26">
        <v>0</v>
      </c>
      <c r="JX6" s="26">
        <v>0</v>
      </c>
      <c r="KM6" s="25" t="s">
        <v>8255</v>
      </c>
      <c r="KN6" s="25" t="s">
        <v>8298</v>
      </c>
      <c r="KO6" s="25" t="s">
        <v>8321</v>
      </c>
      <c r="KP6" s="25">
        <v>1</v>
      </c>
      <c r="KQ6" s="25" t="s">
        <v>8995</v>
      </c>
      <c r="KS6" s="56">
        <v>4500</v>
      </c>
      <c r="KT6" s="56">
        <v>9000</v>
      </c>
      <c r="KU6" s="56">
        <v>10000</v>
      </c>
      <c r="KV6" s="56">
        <v>20000</v>
      </c>
      <c r="KY6" s="25" t="s">
        <v>8246</v>
      </c>
      <c r="KZ6" s="56">
        <v>1500</v>
      </c>
      <c r="LA6" s="56">
        <v>3000</v>
      </c>
      <c r="LB6" s="56">
        <v>3000</v>
      </c>
      <c r="LC6" s="56">
        <v>6000</v>
      </c>
      <c r="LD6" s="25" t="s">
        <v>8350</v>
      </c>
      <c r="LE6" s="25" t="s">
        <v>8248</v>
      </c>
      <c r="LR6" s="25" t="s">
        <v>8249</v>
      </c>
      <c r="OE6" s="25" t="s">
        <v>25</v>
      </c>
      <c r="OF6" s="25" t="s">
        <v>25</v>
      </c>
      <c r="OH6" s="25" t="s">
        <v>25</v>
      </c>
      <c r="OJ6" s="25" t="s">
        <v>13416</v>
      </c>
      <c r="OK6" s="25" t="s">
        <v>13416</v>
      </c>
      <c r="OQ6" s="56">
        <v>35</v>
      </c>
      <c r="OS6" s="26">
        <v>0.2</v>
      </c>
      <c r="OT6" s="26">
        <v>0.2</v>
      </c>
      <c r="OU6" s="26">
        <v>0.2</v>
      </c>
      <c r="PE6" s="56">
        <v>35</v>
      </c>
      <c r="PG6" s="26">
        <v>0.5</v>
      </c>
      <c r="PH6" s="26">
        <v>0.5</v>
      </c>
      <c r="PI6" s="26">
        <v>0.5</v>
      </c>
      <c r="PN6" s="25" t="s">
        <v>8250</v>
      </c>
      <c r="PO6" s="25" t="s">
        <v>8250</v>
      </c>
      <c r="PP6" s="25" t="s">
        <v>8250</v>
      </c>
      <c r="PQ6" s="25" t="s">
        <v>8250</v>
      </c>
      <c r="PR6" s="25" t="s">
        <v>8250</v>
      </c>
      <c r="PS6" s="25" t="s">
        <v>8250</v>
      </c>
      <c r="PU6" s="25" t="s">
        <v>25</v>
      </c>
      <c r="PV6" s="25" t="s">
        <v>25</v>
      </c>
      <c r="PW6" s="25" t="s">
        <v>25</v>
      </c>
      <c r="PX6" s="25" t="s">
        <v>25</v>
      </c>
      <c r="PY6" s="25" t="s">
        <v>25</v>
      </c>
      <c r="PZ6" s="25" t="s">
        <v>25</v>
      </c>
      <c r="QB6" s="25" t="s">
        <v>13810</v>
      </c>
      <c r="QC6" s="25" t="s">
        <v>13810</v>
      </c>
      <c r="QD6" s="25" t="s">
        <v>13810</v>
      </c>
      <c r="QE6" s="25" t="s">
        <v>13810</v>
      </c>
      <c r="QF6" s="25" t="s">
        <v>8252</v>
      </c>
      <c r="QG6" s="25" t="s">
        <v>8252</v>
      </c>
      <c r="QH6" s="25" t="s">
        <v>13810</v>
      </c>
      <c r="QI6" s="25" t="s">
        <v>13810</v>
      </c>
      <c r="QJ6" s="25" t="s">
        <v>631</v>
      </c>
      <c r="QL6" s="25" t="s">
        <v>8899</v>
      </c>
      <c r="QM6" s="25" t="s">
        <v>13441</v>
      </c>
      <c r="QN6" s="25" t="s">
        <v>13441</v>
      </c>
      <c r="QO6" s="25" t="s">
        <v>13441</v>
      </c>
      <c r="QP6" s="25" t="s">
        <v>13441</v>
      </c>
      <c r="QQ6" s="25" t="s">
        <v>13441</v>
      </c>
      <c r="QR6" s="25" t="s">
        <v>13441</v>
      </c>
      <c r="RW6" s="26">
        <v>0.2</v>
      </c>
      <c r="RX6" s="26">
        <v>0.2</v>
      </c>
      <c r="RY6" s="26">
        <v>0.1</v>
      </c>
      <c r="VC6" s="25" t="s">
        <v>8255</v>
      </c>
      <c r="VD6" s="25" t="s">
        <v>8298</v>
      </c>
      <c r="VE6" s="25" t="s">
        <v>8321</v>
      </c>
      <c r="VF6" s="25">
        <v>0</v>
      </c>
      <c r="VI6" s="25"/>
      <c r="VJ6" s="25"/>
      <c r="VK6" s="25"/>
      <c r="VL6" s="25"/>
      <c r="VM6" s="25"/>
      <c r="VN6" s="25"/>
      <c r="VP6" s="25"/>
      <c r="VQ6" s="25"/>
      <c r="VR6" s="25"/>
      <c r="VS6" s="25"/>
      <c r="ZA6" s="25"/>
      <c r="ZB6" s="25"/>
      <c r="ZC6" s="25"/>
      <c r="ZD6" s="25"/>
      <c r="ZE6" s="25"/>
      <c r="ZF6" s="25"/>
      <c r="ZG6" s="25"/>
      <c r="ZO6" s="25"/>
      <c r="ZP6" s="25"/>
      <c r="ZQ6" s="25"/>
      <c r="ZR6" s="25"/>
      <c r="ZS6" s="25"/>
      <c r="ZT6" s="25"/>
      <c r="ZU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S6" s="25"/>
      <c r="ACT6" s="25"/>
      <c r="ACU6" s="25"/>
      <c r="ACV6" s="25"/>
      <c r="ACW6" s="25"/>
      <c r="ACX6" s="25"/>
      <c r="ACY6" s="25"/>
      <c r="ACZ6" s="25"/>
      <c r="ADA6" s="25"/>
      <c r="ADB6" s="25"/>
      <c r="ADC6" s="25"/>
      <c r="ADD6" s="25"/>
      <c r="ADE6" s="25"/>
      <c r="ADF6" s="25"/>
      <c r="ADN6" s="25"/>
      <c r="ADO6" s="25"/>
      <c r="ADP6" s="25"/>
      <c r="ADQ6" s="25"/>
      <c r="ADR6" s="25"/>
      <c r="ADS6" s="25"/>
      <c r="ADT6" s="25"/>
      <c r="ADU6" s="25"/>
      <c r="ADV6" s="25"/>
      <c r="ADW6" s="25"/>
      <c r="ADX6" s="25"/>
      <c r="ADY6" s="25"/>
      <c r="ADZ6" s="25"/>
      <c r="AEA6" s="25"/>
      <c r="AEI6" s="25"/>
      <c r="AEJ6" s="25"/>
      <c r="AEK6" s="25"/>
      <c r="AEL6" s="25"/>
      <c r="AEM6" s="25"/>
      <c r="AEN6" s="25"/>
      <c r="AEO6" s="25"/>
      <c r="AEP6" s="25"/>
      <c r="AEQ6" s="25"/>
      <c r="AER6" s="25"/>
      <c r="AES6" s="25"/>
      <c r="AET6" s="25"/>
      <c r="AEU6" s="25"/>
      <c r="AEV6" s="25"/>
      <c r="AFD6" s="25"/>
      <c r="AFE6" s="25"/>
      <c r="AFF6" s="25"/>
      <c r="AFG6" s="25"/>
      <c r="AFH6" s="25"/>
      <c r="AFI6" s="25"/>
      <c r="AFJ6" s="25"/>
      <c r="AFK6" s="25"/>
      <c r="AFL6" s="25"/>
      <c r="AFM6" s="25"/>
      <c r="AFN6" s="25"/>
      <c r="AFO6" s="25"/>
      <c r="AFP6" s="25"/>
      <c r="AFQ6" s="25"/>
      <c r="AFU6" s="25">
        <v>0</v>
      </c>
      <c r="AFX6" s="25"/>
      <c r="AFY6" s="25"/>
      <c r="AFZ6" s="25"/>
      <c r="AGA6" s="25"/>
      <c r="AGB6" s="25"/>
      <c r="AGC6" s="25"/>
      <c r="AGE6" s="25"/>
      <c r="AGF6" s="25"/>
      <c r="AGG6" s="25"/>
      <c r="AGH6" s="25"/>
      <c r="AJP6" s="25"/>
      <c r="AJQ6" s="25"/>
      <c r="AJR6" s="25"/>
      <c r="AJS6" s="25"/>
      <c r="AJT6" s="25"/>
      <c r="AJU6" s="25"/>
      <c r="AJV6" s="25"/>
      <c r="AKD6" s="25"/>
      <c r="AKE6" s="25"/>
      <c r="AKF6" s="25"/>
      <c r="AKG6" s="25"/>
      <c r="AKH6" s="25"/>
      <c r="AKI6" s="25"/>
      <c r="AKJ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H6" s="25"/>
      <c r="ANI6" s="25"/>
      <c r="ANJ6" s="25"/>
      <c r="ANK6" s="25"/>
      <c r="ANL6" s="25"/>
      <c r="ANM6" s="25"/>
      <c r="ANN6" s="25"/>
      <c r="ANO6" s="25"/>
      <c r="ANP6" s="25"/>
      <c r="ANQ6" s="25"/>
      <c r="ANR6" s="25"/>
      <c r="ANS6" s="25"/>
      <c r="ANT6" s="25"/>
      <c r="ANU6" s="25"/>
      <c r="AOC6" s="25"/>
      <c r="AOD6" s="25"/>
      <c r="AOE6" s="25"/>
      <c r="AOF6" s="25"/>
      <c r="AOG6" s="25"/>
      <c r="AOH6" s="25"/>
      <c r="AOI6" s="25"/>
      <c r="AOJ6" s="25"/>
      <c r="AOK6" s="25"/>
      <c r="AOL6" s="25"/>
      <c r="AOM6" s="25"/>
      <c r="AON6" s="25"/>
      <c r="AOO6" s="25"/>
      <c r="AOP6" s="25"/>
      <c r="AOX6" s="25"/>
      <c r="AOY6" s="25"/>
      <c r="AOZ6" s="25"/>
      <c r="APA6" s="25"/>
      <c r="APB6" s="25"/>
      <c r="APC6" s="25"/>
      <c r="APD6" s="25"/>
      <c r="APE6" s="25"/>
      <c r="APF6" s="25"/>
      <c r="APG6" s="25"/>
      <c r="APH6" s="25"/>
      <c r="API6" s="25"/>
      <c r="APJ6" s="25"/>
      <c r="APK6" s="25"/>
      <c r="APS6" s="25"/>
      <c r="APT6" s="25"/>
      <c r="APU6" s="25"/>
      <c r="APV6" s="25"/>
      <c r="APW6" s="25"/>
      <c r="APX6" s="25"/>
      <c r="APY6" s="25"/>
      <c r="APZ6" s="25"/>
      <c r="AQA6" s="25"/>
      <c r="AQB6" s="25"/>
      <c r="AQC6" s="25"/>
      <c r="AQD6" s="25"/>
      <c r="AQE6" s="25"/>
      <c r="AQF6" s="25"/>
      <c r="AQJ6" s="25">
        <v>1</v>
      </c>
      <c r="AQK6" s="25" t="s">
        <v>8996</v>
      </c>
      <c r="AQM6" s="56">
        <v>1500</v>
      </c>
      <c r="AQN6" s="56">
        <v>3000</v>
      </c>
      <c r="AQS6" s="25" t="s">
        <v>8997</v>
      </c>
      <c r="AQT6" s="56">
        <v>0</v>
      </c>
      <c r="AQU6" s="56">
        <v>0</v>
      </c>
      <c r="AQX6" s="25" t="s">
        <v>8248</v>
      </c>
      <c r="ARK6" s="25" t="s">
        <v>8249</v>
      </c>
      <c r="ATX6" s="25" t="s">
        <v>25</v>
      </c>
      <c r="ATY6" s="25" t="s">
        <v>25</v>
      </c>
      <c r="AUA6" s="25" t="s">
        <v>25</v>
      </c>
      <c r="AUC6" s="25" t="s">
        <v>13417</v>
      </c>
      <c r="AUD6" s="25" t="s">
        <v>13417</v>
      </c>
      <c r="AUE6" s="56">
        <v>20</v>
      </c>
      <c r="AUF6" s="56">
        <v>20</v>
      </c>
      <c r="AUG6" s="56">
        <v>20</v>
      </c>
      <c r="AUH6" s="56">
        <v>100</v>
      </c>
      <c r="AUI6" s="56">
        <v>20</v>
      </c>
      <c r="AUJ6" s="56">
        <v>0</v>
      </c>
      <c r="AVU6" s="25" t="s">
        <v>8252</v>
      </c>
      <c r="AVV6" s="25" t="s">
        <v>8252</v>
      </c>
      <c r="AVW6" s="25" t="s">
        <v>13810</v>
      </c>
      <c r="AVX6" s="25" t="s">
        <v>8252</v>
      </c>
      <c r="AVY6" s="25" t="s">
        <v>8252</v>
      </c>
      <c r="AVZ6" s="25" t="s">
        <v>8252</v>
      </c>
      <c r="AWA6" s="25" t="s">
        <v>8252</v>
      </c>
      <c r="AWB6" s="25" t="s">
        <v>8252</v>
      </c>
      <c r="AWE6" s="25" t="s">
        <v>8253</v>
      </c>
      <c r="AWF6" s="25" t="s">
        <v>8253</v>
      </c>
      <c r="AWG6" s="25" t="s">
        <v>8253</v>
      </c>
      <c r="AWH6" s="25" t="s">
        <v>8253</v>
      </c>
      <c r="AWI6" s="25" t="s">
        <v>8253</v>
      </c>
      <c r="AWJ6" s="25" t="s">
        <v>8253</v>
      </c>
      <c r="AWK6" s="25" t="s">
        <v>8253</v>
      </c>
      <c r="AWL6" s="25" t="s">
        <v>8253</v>
      </c>
      <c r="AWN6" s="56">
        <v>10</v>
      </c>
      <c r="AWP6" s="56">
        <v>20</v>
      </c>
      <c r="AWR6" s="56">
        <v>30</v>
      </c>
      <c r="AWT6" s="56">
        <v>60</v>
      </c>
      <c r="BAW6" s="25" t="s">
        <v>8256</v>
      </c>
      <c r="BAY6" s="25">
        <v>0</v>
      </c>
      <c r="BBB6" s="25"/>
      <c r="BBC6" s="25"/>
      <c r="BBD6" s="25"/>
      <c r="BBE6" s="25"/>
      <c r="BBF6" s="25"/>
      <c r="BBG6" s="25"/>
      <c r="BBI6" s="25"/>
      <c r="BBJ6" s="25"/>
      <c r="BBK6" s="25"/>
      <c r="BBL6" s="25"/>
      <c r="BET6" s="25"/>
      <c r="BEU6" s="25"/>
      <c r="BEV6" s="25"/>
      <c r="BEW6" s="25"/>
      <c r="BEX6" s="25"/>
      <c r="BEY6" s="25"/>
      <c r="BEZ6" s="25"/>
      <c r="BFH6" s="25"/>
      <c r="BFI6" s="25"/>
      <c r="BFJ6" s="25"/>
      <c r="BFK6" s="25"/>
      <c r="BFL6" s="25"/>
      <c r="BFM6" s="25"/>
      <c r="BFN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L6" s="25"/>
      <c r="BIM6" s="25"/>
      <c r="BIN6" s="25"/>
      <c r="BIO6" s="25"/>
      <c r="BIP6" s="25"/>
      <c r="BIQ6" s="25"/>
      <c r="BIR6" s="25"/>
      <c r="BIS6" s="25"/>
      <c r="BIT6" s="25"/>
      <c r="BIU6" s="25"/>
      <c r="BIV6" s="25"/>
      <c r="BIW6" s="25"/>
      <c r="BIX6" s="25"/>
      <c r="BIY6" s="25"/>
      <c r="BJG6" s="25"/>
      <c r="BJH6" s="25"/>
      <c r="BJI6" s="25"/>
      <c r="BJJ6" s="25"/>
      <c r="BJK6" s="25"/>
      <c r="BJL6" s="25"/>
      <c r="BJM6" s="25"/>
      <c r="BJN6" s="25"/>
      <c r="BJO6" s="25"/>
      <c r="BJP6" s="25"/>
      <c r="BJQ6" s="25"/>
      <c r="BJR6" s="25"/>
      <c r="BJS6" s="25"/>
      <c r="BJT6" s="25"/>
      <c r="BKB6" s="25"/>
      <c r="BKC6" s="25"/>
      <c r="BKD6" s="25"/>
      <c r="BKE6" s="25"/>
      <c r="BKF6" s="25"/>
      <c r="BKG6" s="25"/>
      <c r="BKH6" s="25"/>
      <c r="BKI6" s="25"/>
      <c r="BKJ6" s="25"/>
      <c r="BKK6" s="25"/>
      <c r="BKL6" s="25"/>
      <c r="BKM6" s="25"/>
      <c r="BKN6" s="25"/>
      <c r="BKO6" s="25"/>
      <c r="BKW6" s="25"/>
      <c r="BKX6" s="25"/>
      <c r="BKY6" s="25"/>
      <c r="BKZ6" s="25"/>
      <c r="BLA6" s="25"/>
      <c r="BLB6" s="25"/>
      <c r="BLC6" s="25"/>
      <c r="BLD6" s="25"/>
      <c r="BLE6" s="25"/>
      <c r="BLF6" s="25"/>
      <c r="BLG6" s="25"/>
      <c r="BLH6" s="25"/>
      <c r="BLI6" s="25"/>
      <c r="BLJ6" s="25"/>
      <c r="BLN6" s="25">
        <v>0</v>
      </c>
      <c r="BLQ6" s="25"/>
      <c r="BLR6" s="25"/>
      <c r="BLS6" s="25"/>
      <c r="BLT6" s="25"/>
      <c r="BLU6" s="25"/>
      <c r="BLV6" s="25"/>
      <c r="BLX6" s="25"/>
      <c r="BLY6" s="25"/>
      <c r="BLZ6" s="25"/>
      <c r="BMA6" s="25"/>
      <c r="BPI6" s="25"/>
      <c r="BPJ6" s="25"/>
      <c r="BPK6" s="25"/>
      <c r="BPL6" s="25"/>
      <c r="BPM6" s="25"/>
      <c r="BPN6" s="25"/>
      <c r="BPO6" s="25"/>
      <c r="BPW6" s="25"/>
      <c r="BPX6" s="25"/>
      <c r="BPY6" s="25"/>
      <c r="BPZ6" s="25"/>
      <c r="BQA6" s="25"/>
      <c r="BQB6" s="25"/>
      <c r="BQC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TA6" s="25"/>
      <c r="BTB6" s="25"/>
      <c r="BTC6" s="25"/>
      <c r="BTD6" s="25"/>
      <c r="BTE6" s="25"/>
      <c r="BTF6" s="25"/>
      <c r="BTG6" s="25"/>
      <c r="BTH6" s="25"/>
      <c r="BTI6" s="25"/>
      <c r="BTJ6" s="25"/>
      <c r="BTK6" s="25"/>
      <c r="BTL6" s="25"/>
      <c r="BTM6" s="25"/>
      <c r="BTN6" s="25"/>
      <c r="BUQ6" s="25"/>
      <c r="BUR6" s="25"/>
      <c r="BUS6" s="25"/>
      <c r="BUT6" s="25"/>
      <c r="BUU6" s="25"/>
      <c r="BUV6" s="25"/>
      <c r="BUW6" s="25"/>
      <c r="BUX6" s="25"/>
      <c r="BUY6" s="25"/>
      <c r="BUZ6" s="25"/>
      <c r="BVA6" s="25"/>
      <c r="BVB6" s="25"/>
      <c r="BVC6" s="25"/>
      <c r="BVD6" s="25"/>
      <c r="BWC6" s="25" t="s">
        <v>28</v>
      </c>
      <c r="BWD6" s="25" t="s">
        <v>8265</v>
      </c>
      <c r="BWE6" s="25" t="s">
        <v>8919</v>
      </c>
      <c r="BWF6" s="25" t="s">
        <v>13715</v>
      </c>
      <c r="BWG6" s="25" t="s">
        <v>28</v>
      </c>
      <c r="BWH6" s="25" t="s">
        <v>2169</v>
      </c>
      <c r="BWI6" s="25" t="s">
        <v>28</v>
      </c>
      <c r="BWJ6" s="25" t="s">
        <v>8433</v>
      </c>
      <c r="BWK6" s="25" t="s">
        <v>25</v>
      </c>
      <c r="BWM6" s="25" t="s">
        <v>28</v>
      </c>
      <c r="BWN6" s="56">
        <v>2500</v>
      </c>
      <c r="BWO6" s="25" t="s">
        <v>25</v>
      </c>
      <c r="BWX6" s="25" t="s">
        <v>28</v>
      </c>
      <c r="BWY6" s="25" t="s">
        <v>8358</v>
      </c>
      <c r="BWZ6" s="25" t="s">
        <v>28</v>
      </c>
      <c r="BXA6" s="56">
        <v>30</v>
      </c>
      <c r="BXB6" s="25" t="s">
        <v>25</v>
      </c>
      <c r="BXD6" s="25" t="s">
        <v>28</v>
      </c>
      <c r="BXE6" s="25" t="s">
        <v>8358</v>
      </c>
      <c r="BXF6" s="25" t="s">
        <v>28</v>
      </c>
      <c r="BXG6" s="56">
        <v>30</v>
      </c>
      <c r="BXH6" s="25" t="s">
        <v>25</v>
      </c>
      <c r="BXJ6" s="25" t="s">
        <v>28</v>
      </c>
      <c r="BXL6" s="25" t="s">
        <v>13821</v>
      </c>
      <c r="BXM6" s="25" t="s">
        <v>2201</v>
      </c>
      <c r="BXN6" s="25" t="s">
        <v>8332</v>
      </c>
      <c r="BXO6" s="25" t="s">
        <v>8274</v>
      </c>
      <c r="BXP6" s="25" t="s">
        <v>8274</v>
      </c>
      <c r="BXQ6" s="25" t="s">
        <v>8274</v>
      </c>
      <c r="BXR6" s="25" t="s">
        <v>8274</v>
      </c>
      <c r="BXS6" s="25" t="s">
        <v>8274</v>
      </c>
      <c r="BXT6" s="25" t="s">
        <v>8452</v>
      </c>
      <c r="BXU6" s="25" t="s">
        <v>25</v>
      </c>
      <c r="BXW6" s="25" t="s">
        <v>28</v>
      </c>
      <c r="BXX6" s="25" t="s">
        <v>25</v>
      </c>
      <c r="BXY6" s="25" t="s">
        <v>25</v>
      </c>
      <c r="BYC6" s="25" t="s">
        <v>8276</v>
      </c>
      <c r="BYD6" s="25" t="s">
        <v>28</v>
      </c>
      <c r="BYE6" s="25" t="s">
        <v>13612</v>
      </c>
      <c r="BYF6" s="25" t="s">
        <v>8277</v>
      </c>
      <c r="BYH6" s="25" t="s">
        <v>8278</v>
      </c>
      <c r="BYK6" s="25" t="s">
        <v>8333</v>
      </c>
      <c r="BYL6" s="25" t="s">
        <v>28</v>
      </c>
      <c r="BYM6" s="25">
        <v>60</v>
      </c>
      <c r="BYN6" s="25" t="s">
        <v>25</v>
      </c>
      <c r="BYP6" s="25" t="s">
        <v>25</v>
      </c>
      <c r="BYR6" s="25" t="s">
        <v>28</v>
      </c>
      <c r="BYS6" s="25" t="s">
        <v>732</v>
      </c>
      <c r="BYT6" s="25" t="s">
        <v>8279</v>
      </c>
      <c r="BYU6" s="25" t="s">
        <v>732</v>
      </c>
      <c r="BYV6" s="25" t="s">
        <v>25</v>
      </c>
      <c r="BYW6" s="25" t="s">
        <v>28</v>
      </c>
      <c r="BYX6" s="56">
        <v>1125</v>
      </c>
      <c r="BYY6" s="56">
        <v>2250</v>
      </c>
      <c r="BYZ6" s="25" t="s">
        <v>8408</v>
      </c>
      <c r="BZA6" s="25" t="s">
        <v>14609</v>
      </c>
      <c r="BZB6" s="25" t="s">
        <v>256</v>
      </c>
      <c r="BZC6" s="25" t="s">
        <v>8282</v>
      </c>
      <c r="BZD6" s="25" t="s">
        <v>28</v>
      </c>
      <c r="BZE6" s="25" t="s">
        <v>28</v>
      </c>
      <c r="BZF6" s="25" t="s">
        <v>28</v>
      </c>
      <c r="BZG6" s="25" t="s">
        <v>25</v>
      </c>
      <c r="BZJ6" s="25" t="s">
        <v>28</v>
      </c>
      <c r="BZK6" s="25" t="s">
        <v>8410</v>
      </c>
      <c r="BZM6" s="25" t="s">
        <v>28</v>
      </c>
      <c r="BZN6" s="25" t="s">
        <v>8336</v>
      </c>
      <c r="BZP6" s="25" t="s">
        <v>8284</v>
      </c>
      <c r="BZQ6" s="56">
        <v>2000</v>
      </c>
      <c r="BZR6" s="25" t="s">
        <v>28</v>
      </c>
      <c r="BZS6" s="25" t="s">
        <v>25</v>
      </c>
      <c r="BZT6" s="25" t="s">
        <v>8468</v>
      </c>
      <c r="BZV6" s="25" t="s">
        <v>13657</v>
      </c>
      <c r="BZX6" s="25" t="s">
        <v>8998</v>
      </c>
      <c r="BZZ6" s="25" t="s">
        <v>25</v>
      </c>
      <c r="CAC6" s="25" t="s">
        <v>28</v>
      </c>
      <c r="CAD6" s="25" t="s">
        <v>8288</v>
      </c>
      <c r="CAE6" s="25" t="s">
        <v>28</v>
      </c>
      <c r="CAF6" s="25" t="s">
        <v>8289</v>
      </c>
      <c r="CAG6" s="25" t="s">
        <v>28</v>
      </c>
      <c r="CAH6" s="25" t="s">
        <v>247</v>
      </c>
      <c r="CAI6" s="25" t="s">
        <v>247</v>
      </c>
      <c r="CAJ6" s="25" t="s">
        <v>247</v>
      </c>
      <c r="CAK6" s="25" t="s">
        <v>631</v>
      </c>
      <c r="CAL6" s="25" t="s">
        <v>8290</v>
      </c>
      <c r="CAM6" s="25" t="s">
        <v>8290</v>
      </c>
      <c r="CAN6" s="25" t="s">
        <v>631</v>
      </c>
      <c r="CAO6" s="25" t="s">
        <v>8470</v>
      </c>
      <c r="CAP6" s="25" t="s">
        <v>8290</v>
      </c>
      <c r="CAQ6" s="25" t="s">
        <v>631</v>
      </c>
      <c r="CAR6" s="25" t="s">
        <v>8455</v>
      </c>
      <c r="CAT6" s="25" t="s">
        <v>28</v>
      </c>
      <c r="CAU6" s="25" t="s">
        <v>8999</v>
      </c>
      <c r="CBB6" s="25">
        <v>1</v>
      </c>
      <c r="CBC6" s="25">
        <v>0</v>
      </c>
      <c r="CBD6" s="25">
        <v>0</v>
      </c>
      <c r="CBE6" s="56">
        <v>50</v>
      </c>
      <c r="CBF6" s="56">
        <v>150</v>
      </c>
      <c r="CBI6" s="56">
        <v>2500</v>
      </c>
      <c r="CBK6" s="56">
        <v>2500</v>
      </c>
      <c r="CBM6" s="26">
        <v>0</v>
      </c>
      <c r="CBN6" s="26">
        <v>0</v>
      </c>
      <c r="CBO6" s="26">
        <v>0.2</v>
      </c>
      <c r="CBP6" s="26">
        <v>0.2</v>
      </c>
      <c r="CBQ6" s="26">
        <v>0.5</v>
      </c>
      <c r="CBR6" s="26">
        <v>0.5</v>
      </c>
      <c r="CBS6" s="26">
        <v>0.5</v>
      </c>
      <c r="CBT6" s="26">
        <v>0.5</v>
      </c>
      <c r="CBU6" s="27" t="s">
        <v>28</v>
      </c>
      <c r="CBV6" s="27" t="s">
        <v>8369</v>
      </c>
      <c r="CBW6" s="27" t="s">
        <v>8294</v>
      </c>
      <c r="CBX6" s="27" t="s">
        <v>8418</v>
      </c>
      <c r="CBY6" s="27" t="s">
        <v>8296</v>
      </c>
      <c r="CBZ6" s="27" t="s">
        <v>8296</v>
      </c>
      <c r="CCA6" s="27" t="s">
        <v>29</v>
      </c>
      <c r="CCB6" s="27" t="s">
        <v>8298</v>
      </c>
      <c r="CCC6" s="27" t="s">
        <v>8296</v>
      </c>
      <c r="CCD6" s="27" t="s">
        <v>29</v>
      </c>
      <c r="CCE6" s="27" t="s">
        <v>29</v>
      </c>
      <c r="CCF6" s="27" t="s">
        <v>29</v>
      </c>
      <c r="CCG6" s="27" t="s">
        <v>29</v>
      </c>
      <c r="CCH6" s="27" t="s">
        <v>8298</v>
      </c>
      <c r="CCI6" s="27" t="s">
        <v>8298</v>
      </c>
      <c r="CCJ6" s="27" t="s">
        <v>8298</v>
      </c>
      <c r="CCK6" s="27" t="s">
        <v>8299</v>
      </c>
      <c r="CCL6" s="27" t="s">
        <v>29</v>
      </c>
      <c r="CCM6" s="27" t="s">
        <v>8297</v>
      </c>
      <c r="CCN6" s="27" t="s">
        <v>8296</v>
      </c>
      <c r="CCO6" s="27" t="s">
        <v>8300</v>
      </c>
      <c r="CCP6" s="27" t="s">
        <v>8296</v>
      </c>
      <c r="CCQ6" s="27" t="s">
        <v>8296</v>
      </c>
      <c r="CCR6" s="27" t="s">
        <v>8296</v>
      </c>
      <c r="CCS6" s="27" t="s">
        <v>8298</v>
      </c>
      <c r="CCT6" s="27" t="s">
        <v>8296</v>
      </c>
      <c r="CCU6" s="27" t="s">
        <v>8296</v>
      </c>
      <c r="CCV6" s="27" t="s">
        <v>8298</v>
      </c>
      <c r="CCW6" s="27" t="s">
        <v>8298</v>
      </c>
      <c r="CCX6" s="27" t="s">
        <v>8298</v>
      </c>
      <c r="CCY6" s="27" t="s">
        <v>8298</v>
      </c>
      <c r="CCZ6" s="27" t="s">
        <v>28</v>
      </c>
      <c r="CDA6" s="27" t="s">
        <v>28</v>
      </c>
      <c r="CDB6" s="27" t="s">
        <v>28</v>
      </c>
      <c r="CDC6" s="27" t="s">
        <v>25</v>
      </c>
      <c r="CDD6" s="27" t="s">
        <v>28</v>
      </c>
      <c r="CDE6" s="27" t="s">
        <v>28</v>
      </c>
      <c r="CDF6" s="27" t="s">
        <v>28</v>
      </c>
      <c r="CDG6" s="27" t="s">
        <v>28</v>
      </c>
      <c r="CDH6" s="27" t="s">
        <v>28</v>
      </c>
      <c r="CDI6" s="27" t="s">
        <v>28</v>
      </c>
      <c r="CDJ6" s="27" t="s">
        <v>28</v>
      </c>
      <c r="CDK6" s="27" t="s">
        <v>28</v>
      </c>
      <c r="CDL6" s="27" t="s">
        <v>28</v>
      </c>
      <c r="CDM6" s="27" t="s">
        <v>28</v>
      </c>
      <c r="CDN6" s="27" t="s">
        <v>28</v>
      </c>
      <c r="CDO6" s="27" t="s">
        <v>28</v>
      </c>
      <c r="CDP6" s="27" t="s">
        <v>25</v>
      </c>
      <c r="CDQ6" s="27" t="s">
        <v>28</v>
      </c>
      <c r="CDR6" s="27" t="s">
        <v>28</v>
      </c>
      <c r="CDS6" s="27" t="s">
        <v>28</v>
      </c>
      <c r="CDT6" s="27" t="s">
        <v>28</v>
      </c>
      <c r="CDU6" s="27" t="s">
        <v>28</v>
      </c>
      <c r="CDV6" s="27" t="s">
        <v>28</v>
      </c>
      <c r="CDW6" s="27" t="s">
        <v>28</v>
      </c>
      <c r="CDX6" s="27" t="s">
        <v>28</v>
      </c>
      <c r="CDY6" s="27" t="s">
        <v>28</v>
      </c>
      <c r="CDZ6" s="27" t="s">
        <v>28</v>
      </c>
      <c r="CED6" s="27" t="s">
        <v>8302</v>
      </c>
      <c r="CEJ6" s="27" t="s">
        <v>8302</v>
      </c>
      <c r="CEK6" s="27" t="s">
        <v>8302</v>
      </c>
      <c r="CEL6" s="27" t="s">
        <v>8302</v>
      </c>
      <c r="CEM6" s="27" t="s">
        <v>8301</v>
      </c>
      <c r="CEN6" s="27" t="s">
        <v>8301</v>
      </c>
      <c r="CEO6" s="27" t="s">
        <v>8305</v>
      </c>
      <c r="CER6" s="27" t="s">
        <v>8305</v>
      </c>
      <c r="CES6" s="27" t="s">
        <v>8306</v>
      </c>
      <c r="CEY6" s="27" t="s">
        <v>8303</v>
      </c>
      <c r="CEZ6" s="27" t="s">
        <v>8301</v>
      </c>
      <c r="CFB6" s="27" t="s">
        <v>25</v>
      </c>
      <c r="CFC6" s="27" t="s">
        <v>25</v>
      </c>
      <c r="CFD6" s="27" t="s">
        <v>25</v>
      </c>
      <c r="CFE6" s="27" t="s">
        <v>25</v>
      </c>
      <c r="CFF6" s="27" t="s">
        <v>25</v>
      </c>
      <c r="CFG6" s="27" t="s">
        <v>25</v>
      </c>
      <c r="CFH6" s="27" t="s">
        <v>25</v>
      </c>
      <c r="CFI6" s="27" t="s">
        <v>25</v>
      </c>
      <c r="CFJ6" s="27" t="s">
        <v>25</v>
      </c>
      <c r="CFK6" s="27" t="s">
        <v>25</v>
      </c>
      <c r="CFL6" s="27" t="s">
        <v>25</v>
      </c>
      <c r="CFM6" s="27" t="s">
        <v>25</v>
      </c>
      <c r="CFN6" s="27" t="s">
        <v>25</v>
      </c>
      <c r="CFO6" s="27" t="s">
        <v>25</v>
      </c>
      <c r="CFP6" s="27" t="s">
        <v>25</v>
      </c>
      <c r="CFQ6" s="27" t="s">
        <v>25</v>
      </c>
      <c r="CFR6" s="27" t="s">
        <v>25</v>
      </c>
      <c r="CFS6" s="27" t="s">
        <v>25</v>
      </c>
      <c r="CFT6" s="27" t="s">
        <v>25</v>
      </c>
      <c r="CFU6" s="27" t="s">
        <v>25</v>
      </c>
      <c r="CFV6" s="27" t="s">
        <v>25</v>
      </c>
      <c r="CFW6" s="27" t="s">
        <v>25</v>
      </c>
      <c r="CFX6" s="27" t="s">
        <v>25</v>
      </c>
      <c r="CFY6" s="27" t="s">
        <v>25</v>
      </c>
      <c r="CFZ6" s="27" t="s">
        <v>28</v>
      </c>
      <c r="CGA6" s="27" t="s">
        <v>25</v>
      </c>
      <c r="CGB6" s="27" t="s">
        <v>25</v>
      </c>
      <c r="CPW6" s="27">
        <v>1</v>
      </c>
      <c r="CPX6" s="56">
        <v>10</v>
      </c>
      <c r="CPY6" s="26">
        <v>0</v>
      </c>
      <c r="CQB6" s="25" t="s">
        <v>8372</v>
      </c>
      <c r="CQC6" s="25" t="s">
        <v>8372</v>
      </c>
      <c r="CQD6" s="25" t="s">
        <v>8372</v>
      </c>
      <c r="CQE6" s="25" t="s">
        <v>8372</v>
      </c>
      <c r="CQF6" s="25" t="s">
        <v>8372</v>
      </c>
      <c r="CQI6" s="56">
        <v>200</v>
      </c>
      <c r="CQJ6" s="56">
        <v>200</v>
      </c>
      <c r="CQK6" s="56">
        <v>200</v>
      </c>
      <c r="CQL6" s="25" t="s">
        <v>13698</v>
      </c>
      <c r="CQM6" s="25" t="s">
        <v>8397</v>
      </c>
      <c r="CQN6" s="25" t="s">
        <v>28</v>
      </c>
      <c r="CQO6" s="25" t="s">
        <v>8309</v>
      </c>
      <c r="CQQ6" s="25" t="s">
        <v>9000</v>
      </c>
      <c r="CQR6" s="25" t="s">
        <v>9001</v>
      </c>
      <c r="CQS6" s="25" t="s">
        <v>25</v>
      </c>
      <c r="CQT6" s="25" t="s">
        <v>8312</v>
      </c>
      <c r="CQU6" s="25" t="s">
        <v>8312</v>
      </c>
      <c r="CQV6" s="25" t="s">
        <v>8312</v>
      </c>
      <c r="CQW6" s="25" t="s">
        <v>8312</v>
      </c>
      <c r="CQX6" s="25" t="s">
        <v>8312</v>
      </c>
      <c r="CQY6" s="25" t="s">
        <v>8312</v>
      </c>
      <c r="CQZ6" s="25" t="s">
        <v>8312</v>
      </c>
      <c r="CRA6" s="25" t="s">
        <v>8314</v>
      </c>
      <c r="CRB6" s="25" t="s">
        <v>8314</v>
      </c>
      <c r="CRC6" s="25" t="s">
        <v>8314</v>
      </c>
      <c r="CRD6" s="25" t="s">
        <v>8312</v>
      </c>
      <c r="CRE6" s="27" t="s">
        <v>8312</v>
      </c>
    </row>
    <row r="7" spans="1:2501" ht="89.25" x14ac:dyDescent="0.2">
      <c r="A7" s="21" t="s">
        <v>122</v>
      </c>
      <c r="B7" s="26">
        <v>0.45</v>
      </c>
      <c r="C7" s="26">
        <v>0</v>
      </c>
      <c r="D7" s="26">
        <v>0.12</v>
      </c>
      <c r="E7" s="26">
        <v>0.38</v>
      </c>
      <c r="F7" s="26">
        <v>0</v>
      </c>
      <c r="G7" s="26">
        <v>0</v>
      </c>
      <c r="H7" s="26">
        <v>0</v>
      </c>
      <c r="I7" s="26">
        <v>0</v>
      </c>
      <c r="J7" s="26">
        <v>0</v>
      </c>
      <c r="K7" s="26">
        <v>0</v>
      </c>
      <c r="L7" s="26">
        <v>0</v>
      </c>
      <c r="M7" s="26">
        <v>0.05</v>
      </c>
      <c r="N7" s="26">
        <v>0.56999999999999995</v>
      </c>
      <c r="O7" s="26">
        <v>0</v>
      </c>
      <c r="P7" s="26">
        <v>0</v>
      </c>
      <c r="Q7" s="26">
        <v>0</v>
      </c>
      <c r="R7" s="26">
        <v>0</v>
      </c>
      <c r="S7" s="26">
        <v>0</v>
      </c>
      <c r="T7" s="26">
        <v>0</v>
      </c>
      <c r="U7" s="26">
        <v>0</v>
      </c>
      <c r="V7" s="26">
        <v>0</v>
      </c>
      <c r="W7" s="26">
        <v>0</v>
      </c>
      <c r="X7" s="26">
        <v>0</v>
      </c>
      <c r="Y7" s="26">
        <v>0.43</v>
      </c>
      <c r="Z7" s="25">
        <v>2</v>
      </c>
      <c r="AA7" s="25" t="s">
        <v>8400</v>
      </c>
      <c r="AB7" s="25" t="s">
        <v>8401</v>
      </c>
      <c r="AC7" s="56">
        <v>2000</v>
      </c>
      <c r="AD7" s="56">
        <v>4000</v>
      </c>
      <c r="AE7" s="56">
        <v>4000</v>
      </c>
      <c r="AF7" s="56">
        <v>8000</v>
      </c>
      <c r="AG7" s="56">
        <v>4000</v>
      </c>
      <c r="AH7" s="56">
        <v>8000</v>
      </c>
      <c r="AI7" s="25" t="s">
        <v>8246</v>
      </c>
      <c r="AJ7" s="56">
        <v>300</v>
      </c>
      <c r="AK7" s="56">
        <v>900</v>
      </c>
      <c r="AL7" s="56">
        <v>600</v>
      </c>
      <c r="AM7" s="56">
        <v>1800</v>
      </c>
      <c r="AO7" s="25" t="s">
        <v>8248</v>
      </c>
      <c r="BC7" s="25" t="s">
        <v>8249</v>
      </c>
      <c r="BF7" s="25" t="s">
        <v>8249</v>
      </c>
      <c r="BJ7" s="25" t="s">
        <v>8249</v>
      </c>
      <c r="CP7" s="56">
        <v>300</v>
      </c>
      <c r="CW7" s="56">
        <v>300</v>
      </c>
      <c r="DC7" s="56">
        <v>900</v>
      </c>
      <c r="DF7" s="56">
        <v>900</v>
      </c>
      <c r="DJ7" s="56">
        <v>900</v>
      </c>
      <c r="DO7" s="25" t="s">
        <v>25</v>
      </c>
      <c r="DP7" s="25" t="s">
        <v>28</v>
      </c>
      <c r="DQ7" s="25" t="s">
        <v>28</v>
      </c>
      <c r="DR7" s="25" t="s">
        <v>25</v>
      </c>
      <c r="DT7" s="25" t="s">
        <v>13809</v>
      </c>
      <c r="DU7" s="25" t="s">
        <v>13420</v>
      </c>
      <c r="DV7" s="56">
        <v>20</v>
      </c>
      <c r="DW7" s="56">
        <v>30</v>
      </c>
      <c r="EE7" s="26">
        <v>0.1</v>
      </c>
      <c r="EN7" s="56">
        <v>20</v>
      </c>
      <c r="EQ7" s="26">
        <v>0.3</v>
      </c>
      <c r="ER7" s="26">
        <v>0.3</v>
      </c>
      <c r="ES7" s="26">
        <v>0.3</v>
      </c>
      <c r="ET7" s="26">
        <v>0.3</v>
      </c>
      <c r="EX7" s="25" t="s">
        <v>8250</v>
      </c>
      <c r="EY7" s="25" t="s">
        <v>8250</v>
      </c>
      <c r="EZ7" s="25" t="s">
        <v>8250</v>
      </c>
      <c r="FA7" s="25" t="s">
        <v>8250</v>
      </c>
      <c r="FB7" s="25" t="s">
        <v>8250</v>
      </c>
      <c r="FE7" s="25" t="s">
        <v>25</v>
      </c>
      <c r="FF7" s="25" t="s">
        <v>25</v>
      </c>
      <c r="FG7" s="25" t="s">
        <v>25</v>
      </c>
      <c r="FL7" s="25" t="s">
        <v>13810</v>
      </c>
      <c r="FM7" s="25" t="s">
        <v>13810</v>
      </c>
      <c r="FN7" s="25" t="s">
        <v>13810</v>
      </c>
      <c r="FO7" s="25" t="s">
        <v>13810</v>
      </c>
      <c r="FP7" s="25" t="s">
        <v>13810</v>
      </c>
      <c r="FQ7" s="25" t="s">
        <v>13810</v>
      </c>
      <c r="FR7" s="25" t="s">
        <v>13810</v>
      </c>
      <c r="FS7" s="25" t="s">
        <v>631</v>
      </c>
      <c r="FT7" s="25" t="s">
        <v>631</v>
      </c>
      <c r="FV7" s="25" t="s">
        <v>8402</v>
      </c>
      <c r="FW7" s="25" t="s">
        <v>13437</v>
      </c>
      <c r="FX7" s="25" t="s">
        <v>8402</v>
      </c>
      <c r="FY7" s="25" t="s">
        <v>13444</v>
      </c>
      <c r="FZ7" s="25" t="s">
        <v>8402</v>
      </c>
      <c r="GA7" s="25" t="s">
        <v>8386</v>
      </c>
      <c r="GB7" s="25" t="s">
        <v>13461</v>
      </c>
      <c r="GE7" s="56">
        <v>10</v>
      </c>
      <c r="GF7" s="56">
        <v>10</v>
      </c>
      <c r="GG7" s="56">
        <v>20</v>
      </c>
      <c r="GI7" s="56">
        <v>30</v>
      </c>
      <c r="GJ7" s="56">
        <v>30</v>
      </c>
      <c r="GK7" s="56">
        <v>60</v>
      </c>
      <c r="GM7" s="56">
        <v>50</v>
      </c>
      <c r="GN7" s="56">
        <v>50</v>
      </c>
      <c r="GO7" s="56">
        <v>100</v>
      </c>
      <c r="KM7" s="25" t="s">
        <v>8255</v>
      </c>
      <c r="KN7" s="25" t="s">
        <v>8256</v>
      </c>
      <c r="KO7" s="25" t="s">
        <v>8263</v>
      </c>
      <c r="KP7" s="25">
        <v>1</v>
      </c>
      <c r="KQ7" s="25" t="s">
        <v>8401</v>
      </c>
      <c r="KS7" s="56">
        <v>2000</v>
      </c>
      <c r="KT7" s="56">
        <v>4000</v>
      </c>
      <c r="KU7" s="56">
        <v>4000</v>
      </c>
      <c r="KV7" s="56">
        <v>8000</v>
      </c>
      <c r="KW7" s="56">
        <v>4000</v>
      </c>
      <c r="KX7" s="56">
        <v>8000</v>
      </c>
      <c r="KY7" s="25" t="s">
        <v>8349</v>
      </c>
      <c r="KZ7" s="56">
        <v>1500</v>
      </c>
      <c r="LA7" s="56">
        <v>3000</v>
      </c>
      <c r="LB7" s="56">
        <v>1500</v>
      </c>
      <c r="LC7" s="56">
        <v>3000</v>
      </c>
      <c r="LD7" s="25" t="s">
        <v>8247</v>
      </c>
      <c r="LE7" s="25" t="s">
        <v>8248</v>
      </c>
      <c r="LR7" s="25" t="s">
        <v>8249</v>
      </c>
      <c r="OE7" s="25" t="s">
        <v>25</v>
      </c>
      <c r="OF7" s="25" t="s">
        <v>28</v>
      </c>
      <c r="OG7" s="25" t="s">
        <v>28</v>
      </c>
      <c r="OH7" s="25" t="s">
        <v>25</v>
      </c>
      <c r="OJ7" s="25" t="s">
        <v>13425</v>
      </c>
      <c r="OK7" s="25" t="s">
        <v>13425</v>
      </c>
      <c r="OS7" s="26">
        <v>0.1</v>
      </c>
      <c r="OT7" s="26">
        <v>0.1</v>
      </c>
      <c r="OU7" s="26">
        <v>0.1</v>
      </c>
      <c r="OV7" s="26">
        <v>0.1</v>
      </c>
      <c r="OW7" s="26">
        <v>0.1</v>
      </c>
      <c r="OY7" s="26">
        <v>0.1</v>
      </c>
      <c r="PG7" s="26">
        <v>0.3</v>
      </c>
      <c r="PH7" s="26">
        <v>0.3</v>
      </c>
      <c r="PI7" s="26">
        <v>0.3</v>
      </c>
      <c r="PJ7" s="26">
        <v>0.1</v>
      </c>
      <c r="PK7" s="26">
        <v>0.1</v>
      </c>
      <c r="PM7" s="26">
        <v>0.3</v>
      </c>
      <c r="PN7" s="25" t="s">
        <v>8250</v>
      </c>
      <c r="PO7" s="25" t="s">
        <v>8250</v>
      </c>
      <c r="PP7" s="25" t="s">
        <v>8250</v>
      </c>
      <c r="PQ7" s="25" t="s">
        <v>8250</v>
      </c>
      <c r="PR7" s="25" t="s">
        <v>8250</v>
      </c>
      <c r="PS7" s="25" t="s">
        <v>8250</v>
      </c>
      <c r="PT7" s="25" t="s">
        <v>8250</v>
      </c>
      <c r="PU7" s="25" t="s">
        <v>25</v>
      </c>
      <c r="PV7" s="25" t="s">
        <v>25</v>
      </c>
      <c r="PW7" s="25" t="s">
        <v>28</v>
      </c>
      <c r="PX7" s="25" t="s">
        <v>25</v>
      </c>
      <c r="PY7" s="25" t="s">
        <v>25</v>
      </c>
      <c r="PZ7" s="25" t="s">
        <v>25</v>
      </c>
      <c r="QA7" s="25" t="s">
        <v>25</v>
      </c>
      <c r="QB7" s="25" t="s">
        <v>13810</v>
      </c>
      <c r="QC7" s="25" t="s">
        <v>13810</v>
      </c>
      <c r="QD7" s="25" t="s">
        <v>13810</v>
      </c>
      <c r="QE7" s="25" t="s">
        <v>13810</v>
      </c>
      <c r="QF7" s="25" t="s">
        <v>13810</v>
      </c>
      <c r="QG7" s="25" t="s">
        <v>8252</v>
      </c>
      <c r="QH7" s="25" t="s">
        <v>13810</v>
      </c>
      <c r="QI7" s="25" t="s">
        <v>631</v>
      </c>
      <c r="QJ7" s="25" t="s">
        <v>631</v>
      </c>
      <c r="QK7" s="25" t="s">
        <v>631</v>
      </c>
      <c r="QL7" s="25" t="s">
        <v>8402</v>
      </c>
      <c r="QM7" s="25" t="s">
        <v>13437</v>
      </c>
      <c r="QN7" s="25" t="s">
        <v>8402</v>
      </c>
      <c r="QO7" s="25" t="s">
        <v>13448</v>
      </c>
      <c r="QP7" s="25" t="s">
        <v>8402</v>
      </c>
      <c r="QQ7" s="25" t="s">
        <v>8386</v>
      </c>
      <c r="QR7" s="25" t="s">
        <v>13461</v>
      </c>
      <c r="QU7" s="56">
        <v>10</v>
      </c>
      <c r="QW7" s="56">
        <v>20</v>
      </c>
      <c r="QY7" s="56">
        <v>30</v>
      </c>
      <c r="RA7" s="56">
        <v>60</v>
      </c>
      <c r="RC7" s="56">
        <v>50</v>
      </c>
      <c r="RE7" s="56">
        <v>100</v>
      </c>
      <c r="RW7" s="26">
        <v>0.1</v>
      </c>
      <c r="RX7" s="26">
        <v>0.1</v>
      </c>
      <c r="RY7" s="26">
        <v>0.1</v>
      </c>
      <c r="VC7" s="25" t="s">
        <v>8255</v>
      </c>
      <c r="VD7" s="25" t="s">
        <v>8256</v>
      </c>
      <c r="VE7" s="25" t="s">
        <v>8263</v>
      </c>
      <c r="VF7" s="25">
        <v>0</v>
      </c>
      <c r="VI7" s="25"/>
      <c r="VJ7" s="25"/>
      <c r="VK7" s="25"/>
      <c r="VL7" s="25"/>
      <c r="VM7" s="25"/>
      <c r="VN7" s="25"/>
      <c r="VP7" s="25"/>
      <c r="VQ7" s="25"/>
      <c r="VR7" s="25"/>
      <c r="VS7" s="25"/>
      <c r="ZA7" s="25"/>
      <c r="ZB7" s="25"/>
      <c r="ZC7" s="25"/>
      <c r="ZD7" s="25"/>
      <c r="ZE7" s="25"/>
      <c r="ZF7" s="25"/>
      <c r="ZG7" s="25"/>
      <c r="ZO7" s="25"/>
      <c r="ZP7" s="25"/>
      <c r="ZQ7" s="25"/>
      <c r="ZR7" s="25"/>
      <c r="ZS7" s="25"/>
      <c r="ZT7" s="25"/>
      <c r="ZU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S7" s="25"/>
      <c r="ACT7" s="25"/>
      <c r="ACU7" s="25"/>
      <c r="ACV7" s="25"/>
      <c r="ACW7" s="25"/>
      <c r="ACX7" s="25"/>
      <c r="ACY7" s="25"/>
      <c r="ACZ7" s="25"/>
      <c r="ADA7" s="25"/>
      <c r="ADB7" s="25"/>
      <c r="ADC7" s="25"/>
      <c r="ADD7" s="25"/>
      <c r="ADE7" s="25"/>
      <c r="ADF7" s="25"/>
      <c r="ADN7" s="25"/>
      <c r="ADO7" s="25"/>
      <c r="ADP7" s="25"/>
      <c r="ADQ7" s="25"/>
      <c r="ADR7" s="25"/>
      <c r="ADS7" s="25"/>
      <c r="ADT7" s="25"/>
      <c r="ADU7" s="25"/>
      <c r="ADV7" s="25"/>
      <c r="ADW7" s="25"/>
      <c r="ADX7" s="25"/>
      <c r="ADY7" s="25"/>
      <c r="ADZ7" s="25"/>
      <c r="AEA7" s="25"/>
      <c r="AEI7" s="25"/>
      <c r="AEJ7" s="25"/>
      <c r="AEK7" s="25"/>
      <c r="AEL7" s="25"/>
      <c r="AEM7" s="25"/>
      <c r="AEN7" s="25"/>
      <c r="AEO7" s="25"/>
      <c r="AEP7" s="25"/>
      <c r="AEQ7" s="25"/>
      <c r="AER7" s="25"/>
      <c r="AES7" s="25"/>
      <c r="AET7" s="25"/>
      <c r="AEU7" s="25"/>
      <c r="AEV7" s="25"/>
      <c r="AFD7" s="25"/>
      <c r="AFE7" s="25"/>
      <c r="AFF7" s="25"/>
      <c r="AFG7" s="25"/>
      <c r="AFH7" s="25"/>
      <c r="AFI7" s="25"/>
      <c r="AFJ7" s="25"/>
      <c r="AFK7" s="25"/>
      <c r="AFL7" s="25"/>
      <c r="AFM7" s="25"/>
      <c r="AFN7" s="25"/>
      <c r="AFO7" s="25"/>
      <c r="AFP7" s="25"/>
      <c r="AFQ7" s="25"/>
      <c r="AFU7" s="25">
        <v>0</v>
      </c>
      <c r="AFX7" s="25"/>
      <c r="AFY7" s="25"/>
      <c r="AFZ7" s="25"/>
      <c r="AGA7" s="25"/>
      <c r="AGB7" s="25"/>
      <c r="AGC7" s="25"/>
      <c r="AGE7" s="25"/>
      <c r="AGF7" s="25"/>
      <c r="AGG7" s="25"/>
      <c r="AGH7" s="25"/>
      <c r="AJP7" s="25"/>
      <c r="AJQ7" s="25"/>
      <c r="AJR7" s="25"/>
      <c r="AJS7" s="25"/>
      <c r="AJT7" s="25"/>
      <c r="AJU7" s="25"/>
      <c r="AJV7" s="25"/>
      <c r="AKD7" s="25"/>
      <c r="AKE7" s="25"/>
      <c r="AKF7" s="25"/>
      <c r="AKG7" s="25"/>
      <c r="AKH7" s="25"/>
      <c r="AKI7" s="25"/>
      <c r="AKJ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H7" s="25"/>
      <c r="ANI7" s="25"/>
      <c r="ANJ7" s="25"/>
      <c r="ANK7" s="25"/>
      <c r="ANL7" s="25"/>
      <c r="ANM7" s="25"/>
      <c r="ANN7" s="25"/>
      <c r="ANO7" s="25"/>
      <c r="ANP7" s="25"/>
      <c r="ANQ7" s="25"/>
      <c r="ANR7" s="25"/>
      <c r="ANS7" s="25"/>
      <c r="ANT7" s="25"/>
      <c r="ANU7" s="25"/>
      <c r="AOC7" s="25"/>
      <c r="AOD7" s="25"/>
      <c r="AOE7" s="25"/>
      <c r="AOF7" s="25"/>
      <c r="AOG7" s="25"/>
      <c r="AOH7" s="25"/>
      <c r="AOI7" s="25"/>
      <c r="AOJ7" s="25"/>
      <c r="AOK7" s="25"/>
      <c r="AOL7" s="25"/>
      <c r="AOM7" s="25"/>
      <c r="AON7" s="25"/>
      <c r="AOO7" s="25"/>
      <c r="AOP7" s="25"/>
      <c r="AOX7" s="25"/>
      <c r="AOY7" s="25"/>
      <c r="AOZ7" s="25"/>
      <c r="APA7" s="25"/>
      <c r="APB7" s="25"/>
      <c r="APC7" s="25"/>
      <c r="APD7" s="25"/>
      <c r="APE7" s="25"/>
      <c r="APF7" s="25"/>
      <c r="APG7" s="25"/>
      <c r="APH7" s="25"/>
      <c r="API7" s="25"/>
      <c r="APJ7" s="25"/>
      <c r="APK7" s="25"/>
      <c r="APS7" s="25"/>
      <c r="APT7" s="25"/>
      <c r="APU7" s="25"/>
      <c r="APV7" s="25"/>
      <c r="APW7" s="25"/>
      <c r="APX7" s="25"/>
      <c r="APY7" s="25"/>
      <c r="APZ7" s="25"/>
      <c r="AQA7" s="25"/>
      <c r="AQB7" s="25"/>
      <c r="AQC7" s="25"/>
      <c r="AQD7" s="25"/>
      <c r="AQE7" s="25"/>
      <c r="AQF7" s="25"/>
      <c r="AQJ7" s="25">
        <v>1</v>
      </c>
      <c r="AQK7" s="25" t="s">
        <v>3971</v>
      </c>
      <c r="AQM7" s="56">
        <v>1500</v>
      </c>
      <c r="AQN7" s="56">
        <v>3000</v>
      </c>
      <c r="AQS7" s="25" t="s">
        <v>8403</v>
      </c>
      <c r="AQT7" s="56">
        <v>0</v>
      </c>
      <c r="AQU7" s="56">
        <v>0</v>
      </c>
      <c r="AQV7" s="56">
        <v>0</v>
      </c>
      <c r="AQW7" s="56">
        <v>0</v>
      </c>
      <c r="AQX7" s="25" t="s">
        <v>8248</v>
      </c>
      <c r="ARK7" s="25" t="s">
        <v>8249</v>
      </c>
      <c r="ATX7" s="25" t="s">
        <v>25</v>
      </c>
      <c r="ATY7" s="25" t="s">
        <v>25</v>
      </c>
      <c r="AUA7" s="25" t="s">
        <v>25</v>
      </c>
      <c r="AUC7" s="25" t="s">
        <v>13420</v>
      </c>
      <c r="AUD7" s="25" t="s">
        <v>8404</v>
      </c>
      <c r="AUE7" s="56">
        <v>20</v>
      </c>
      <c r="AUF7" s="56">
        <v>30</v>
      </c>
      <c r="AUG7" s="56">
        <v>20</v>
      </c>
      <c r="AUH7" s="56">
        <v>75</v>
      </c>
      <c r="AUI7" s="56">
        <v>20</v>
      </c>
      <c r="AUV7" s="56">
        <v>75</v>
      </c>
      <c r="AVG7" s="25" t="s">
        <v>8250</v>
      </c>
      <c r="AVH7" s="25" t="s">
        <v>8250</v>
      </c>
      <c r="AVI7" s="25" t="s">
        <v>8250</v>
      </c>
      <c r="AVJ7" s="25" t="s">
        <v>8250</v>
      </c>
      <c r="AVK7" s="25" t="s">
        <v>8250</v>
      </c>
      <c r="AVL7" s="25" t="s">
        <v>8250</v>
      </c>
      <c r="AVN7" s="25" t="s">
        <v>25</v>
      </c>
      <c r="AVO7" s="25" t="s">
        <v>25</v>
      </c>
      <c r="AVP7" s="25" t="s">
        <v>25</v>
      </c>
      <c r="AVQ7" s="25" t="s">
        <v>25</v>
      </c>
      <c r="AVR7" s="25" t="s">
        <v>25</v>
      </c>
      <c r="AVS7" s="25" t="s">
        <v>13593</v>
      </c>
      <c r="AVU7" s="25" t="s">
        <v>13810</v>
      </c>
      <c r="AVV7" s="25" t="s">
        <v>13810</v>
      </c>
      <c r="AVW7" s="25" t="s">
        <v>13810</v>
      </c>
      <c r="AVX7" s="25" t="s">
        <v>13810</v>
      </c>
      <c r="AVY7" s="25" t="s">
        <v>13810</v>
      </c>
      <c r="AVZ7" s="25" t="s">
        <v>13810</v>
      </c>
      <c r="AWA7" s="25" t="s">
        <v>13810</v>
      </c>
      <c r="AWB7" s="25" t="s">
        <v>631</v>
      </c>
      <c r="AWC7" s="25" t="s">
        <v>631</v>
      </c>
      <c r="AWE7" s="25" t="s">
        <v>8253</v>
      </c>
      <c r="AWF7" s="25" t="s">
        <v>8253</v>
      </c>
      <c r="AWG7" s="25" t="s">
        <v>8253</v>
      </c>
      <c r="AWH7" s="25" t="s">
        <v>8253</v>
      </c>
      <c r="AWI7" s="25" t="s">
        <v>8253</v>
      </c>
      <c r="AWJ7" s="25" t="s">
        <v>8253</v>
      </c>
      <c r="AWK7" s="25" t="s">
        <v>8253</v>
      </c>
      <c r="AWN7" s="56">
        <v>10</v>
      </c>
      <c r="AWP7" s="56">
        <v>20</v>
      </c>
      <c r="AWR7" s="56">
        <v>30</v>
      </c>
      <c r="AWT7" s="56">
        <v>60</v>
      </c>
      <c r="AWV7" s="56">
        <v>50</v>
      </c>
      <c r="AWX7" s="56">
        <v>100</v>
      </c>
      <c r="BAV7" s="25" t="s">
        <v>8255</v>
      </c>
      <c r="BAW7" s="25" t="s">
        <v>8256</v>
      </c>
      <c r="BAX7" s="25" t="s">
        <v>8263</v>
      </c>
      <c r="BAY7" s="25">
        <v>0</v>
      </c>
      <c r="BBB7" s="25"/>
      <c r="BBC7" s="25"/>
      <c r="BBD7" s="25"/>
      <c r="BBE7" s="25"/>
      <c r="BBF7" s="25"/>
      <c r="BBG7" s="25"/>
      <c r="BBI7" s="25"/>
      <c r="BBJ7" s="25"/>
      <c r="BBK7" s="25"/>
      <c r="BBL7" s="25"/>
      <c r="BET7" s="25"/>
      <c r="BEU7" s="25"/>
      <c r="BEV7" s="25"/>
      <c r="BEW7" s="25"/>
      <c r="BEX7" s="25"/>
      <c r="BEY7" s="25"/>
      <c r="BEZ7" s="25"/>
      <c r="BFH7" s="25"/>
      <c r="BFI7" s="25"/>
      <c r="BFJ7" s="25"/>
      <c r="BFK7" s="25"/>
      <c r="BFL7" s="25"/>
      <c r="BFM7" s="25"/>
      <c r="BFN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L7" s="25"/>
      <c r="BIM7" s="25"/>
      <c r="BIN7" s="25"/>
      <c r="BIO7" s="25"/>
      <c r="BIP7" s="25"/>
      <c r="BIQ7" s="25"/>
      <c r="BIR7" s="25"/>
      <c r="BIS7" s="25"/>
      <c r="BIT7" s="25"/>
      <c r="BIU7" s="25"/>
      <c r="BIV7" s="25"/>
      <c r="BIW7" s="25"/>
      <c r="BIX7" s="25"/>
      <c r="BIY7" s="25"/>
      <c r="BJG7" s="25"/>
      <c r="BJH7" s="25"/>
      <c r="BJI7" s="25"/>
      <c r="BJJ7" s="25"/>
      <c r="BJK7" s="25"/>
      <c r="BJL7" s="25"/>
      <c r="BJM7" s="25"/>
      <c r="BJN7" s="25"/>
      <c r="BJO7" s="25"/>
      <c r="BJP7" s="25"/>
      <c r="BJQ7" s="25"/>
      <c r="BJR7" s="25"/>
      <c r="BJS7" s="25"/>
      <c r="BJT7" s="25"/>
      <c r="BKB7" s="25"/>
      <c r="BKC7" s="25"/>
      <c r="BKD7" s="25"/>
      <c r="BKE7" s="25"/>
      <c r="BKF7" s="25"/>
      <c r="BKG7" s="25"/>
      <c r="BKH7" s="25"/>
      <c r="BKI7" s="25"/>
      <c r="BKJ7" s="25"/>
      <c r="BKK7" s="25"/>
      <c r="BKL7" s="25"/>
      <c r="BKM7" s="25"/>
      <c r="BKN7" s="25"/>
      <c r="BKO7" s="25"/>
      <c r="BKW7" s="25"/>
      <c r="BKX7" s="25"/>
      <c r="BKY7" s="25"/>
      <c r="BKZ7" s="25"/>
      <c r="BLA7" s="25"/>
      <c r="BLB7" s="25"/>
      <c r="BLC7" s="25"/>
      <c r="BLD7" s="25"/>
      <c r="BLE7" s="25"/>
      <c r="BLF7" s="25"/>
      <c r="BLG7" s="25"/>
      <c r="BLH7" s="25"/>
      <c r="BLI7" s="25"/>
      <c r="BLJ7" s="25"/>
      <c r="BLN7" s="25">
        <v>0</v>
      </c>
      <c r="BLQ7" s="25"/>
      <c r="BLR7" s="25"/>
      <c r="BLS7" s="25"/>
      <c r="BLT7" s="25"/>
      <c r="BLU7" s="25"/>
      <c r="BLV7" s="25"/>
      <c r="BLX7" s="25"/>
      <c r="BLY7" s="25"/>
      <c r="BLZ7" s="25"/>
      <c r="BMA7" s="25"/>
      <c r="BPI7" s="25"/>
      <c r="BPJ7" s="25"/>
      <c r="BPK7" s="25"/>
      <c r="BPL7" s="25"/>
      <c r="BPM7" s="25"/>
      <c r="BPN7" s="25"/>
      <c r="BPO7" s="25"/>
      <c r="BPW7" s="25"/>
      <c r="BPX7" s="25"/>
      <c r="BPY7" s="25"/>
      <c r="BPZ7" s="25"/>
      <c r="BQA7" s="25"/>
      <c r="BQB7" s="25"/>
      <c r="BQC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TA7" s="25"/>
      <c r="BTB7" s="25"/>
      <c r="BTC7" s="25"/>
      <c r="BTD7" s="25"/>
      <c r="BTE7" s="25"/>
      <c r="BTF7" s="25"/>
      <c r="BTG7" s="25"/>
      <c r="BTH7" s="25"/>
      <c r="BTI7" s="25"/>
      <c r="BTJ7" s="25"/>
      <c r="BTK7" s="25"/>
      <c r="BTL7" s="25"/>
      <c r="BTM7" s="25"/>
      <c r="BTN7" s="25"/>
      <c r="BUQ7" s="25"/>
      <c r="BUR7" s="25"/>
      <c r="BUS7" s="25"/>
      <c r="BUT7" s="25"/>
      <c r="BUU7" s="25"/>
      <c r="BUV7" s="25"/>
      <c r="BUW7" s="25"/>
      <c r="BUX7" s="25"/>
      <c r="BUY7" s="25"/>
      <c r="BUZ7" s="25"/>
      <c r="BVA7" s="25"/>
      <c r="BVB7" s="25"/>
      <c r="BVC7" s="25"/>
      <c r="BVD7" s="25"/>
      <c r="BWC7" s="25" t="s">
        <v>28</v>
      </c>
      <c r="BWD7" s="25" t="s">
        <v>8265</v>
      </c>
      <c r="BWE7" s="25" t="s">
        <v>8266</v>
      </c>
      <c r="BWF7" s="25" t="s">
        <v>13709</v>
      </c>
      <c r="BWG7" s="25" t="s">
        <v>28</v>
      </c>
      <c r="BWH7" s="25" t="s">
        <v>2169</v>
      </c>
      <c r="BWI7" s="25" t="s">
        <v>28</v>
      </c>
      <c r="BWJ7" s="25" t="s">
        <v>8405</v>
      </c>
      <c r="BWK7" s="25" t="s">
        <v>25</v>
      </c>
      <c r="BWM7" s="25" t="s">
        <v>25</v>
      </c>
      <c r="BWO7" s="25" t="s">
        <v>25</v>
      </c>
      <c r="BWQ7" s="25" t="s">
        <v>28</v>
      </c>
      <c r="BWR7" s="25" t="s">
        <v>25</v>
      </c>
      <c r="BWT7" s="25" t="s">
        <v>25</v>
      </c>
      <c r="BWV7" s="25" t="s">
        <v>25</v>
      </c>
      <c r="BWX7" s="25" t="s">
        <v>28</v>
      </c>
      <c r="BWY7" s="25" t="s">
        <v>8358</v>
      </c>
      <c r="BWZ7" s="25" t="s">
        <v>25</v>
      </c>
      <c r="BXB7" s="25" t="s">
        <v>25</v>
      </c>
      <c r="BXD7" s="25" t="s">
        <v>28</v>
      </c>
      <c r="BXE7" s="25" t="s">
        <v>8358</v>
      </c>
      <c r="BXF7" s="25" t="s">
        <v>25</v>
      </c>
      <c r="BXH7" s="25" t="s">
        <v>25</v>
      </c>
      <c r="BXJ7" s="25" t="s">
        <v>28</v>
      </c>
      <c r="BXK7" s="25" t="s">
        <v>8270</v>
      </c>
      <c r="BXL7" s="25" t="s">
        <v>13821</v>
      </c>
      <c r="BXM7" s="25" t="s">
        <v>2201</v>
      </c>
      <c r="BXN7" s="25" t="s">
        <v>8272</v>
      </c>
      <c r="BXO7" s="25" t="s">
        <v>8274</v>
      </c>
      <c r="BXP7" s="25" t="s">
        <v>8361</v>
      </c>
      <c r="BXQ7" s="25" t="s">
        <v>8274</v>
      </c>
      <c r="BXR7" s="25" t="s">
        <v>8274</v>
      </c>
      <c r="BXS7" s="25" t="s">
        <v>8273</v>
      </c>
      <c r="BXT7" s="25" t="s">
        <v>8406</v>
      </c>
      <c r="BXU7" s="25" t="s">
        <v>25</v>
      </c>
      <c r="BXW7" s="25" t="s">
        <v>28</v>
      </c>
      <c r="BXX7" s="25" t="s">
        <v>28</v>
      </c>
      <c r="BXY7" s="25" t="s">
        <v>25</v>
      </c>
      <c r="BXZ7" s="25" t="s">
        <v>25</v>
      </c>
      <c r="BYA7" s="25" t="s">
        <v>25</v>
      </c>
      <c r="BYB7" s="25" t="s">
        <v>25</v>
      </c>
      <c r="BYC7" s="25" t="s">
        <v>2201</v>
      </c>
      <c r="BYD7" s="25" t="s">
        <v>28</v>
      </c>
      <c r="BYE7" s="25" t="s">
        <v>13609</v>
      </c>
      <c r="BYF7" s="25" t="s">
        <v>8277</v>
      </c>
      <c r="BYH7" s="25" t="s">
        <v>8407</v>
      </c>
      <c r="BYK7" s="25" t="s">
        <v>28</v>
      </c>
      <c r="BYL7" s="25" t="s">
        <v>25</v>
      </c>
      <c r="BYN7" s="25" t="s">
        <v>25</v>
      </c>
      <c r="BYP7" s="25" t="s">
        <v>25</v>
      </c>
      <c r="BYR7" s="25" t="s">
        <v>28</v>
      </c>
      <c r="BYS7" s="25" t="s">
        <v>8279</v>
      </c>
      <c r="BYT7" s="25" t="s">
        <v>8279</v>
      </c>
      <c r="BYU7" s="25" t="s">
        <v>732</v>
      </c>
      <c r="BYV7" s="25" t="s">
        <v>25</v>
      </c>
      <c r="BYW7" s="25" t="s">
        <v>28</v>
      </c>
      <c r="BYX7" s="56">
        <v>750</v>
      </c>
      <c r="BYY7" s="56">
        <v>1500</v>
      </c>
      <c r="BYZ7" s="25" t="s">
        <v>8408</v>
      </c>
      <c r="BZA7" s="25" t="s">
        <v>8409</v>
      </c>
      <c r="BZB7" s="25" t="s">
        <v>256</v>
      </c>
      <c r="BZC7" s="25" t="s">
        <v>8282</v>
      </c>
      <c r="BZD7" s="25" t="s">
        <v>28</v>
      </c>
      <c r="BZE7" s="25" t="s">
        <v>28</v>
      </c>
      <c r="BZF7" s="25" t="s">
        <v>28</v>
      </c>
      <c r="BZG7" s="25" t="s">
        <v>25</v>
      </c>
      <c r="BZJ7" s="25" t="s">
        <v>28</v>
      </c>
      <c r="BZK7" s="25" t="s">
        <v>8410</v>
      </c>
      <c r="BZM7" s="25" t="s">
        <v>28</v>
      </c>
      <c r="BZN7" s="25" t="s">
        <v>8283</v>
      </c>
      <c r="BZP7" s="25" t="s">
        <v>8366</v>
      </c>
      <c r="BZQ7" s="56">
        <v>2000</v>
      </c>
      <c r="BZR7" s="25" t="s">
        <v>607</v>
      </c>
      <c r="BZS7" s="25" t="s">
        <v>25</v>
      </c>
      <c r="BZT7" s="25" t="s">
        <v>8337</v>
      </c>
      <c r="BZV7" s="25" t="s">
        <v>8411</v>
      </c>
      <c r="BZX7" s="25" t="s">
        <v>8393</v>
      </c>
      <c r="BZZ7" s="25" t="s">
        <v>25</v>
      </c>
      <c r="CAC7" s="25" t="s">
        <v>28</v>
      </c>
      <c r="CAD7" s="25" t="s">
        <v>8288</v>
      </c>
      <c r="CAE7" s="25" t="s">
        <v>28</v>
      </c>
      <c r="CAF7" s="25" t="s">
        <v>8289</v>
      </c>
      <c r="CAG7" s="25" t="s">
        <v>25</v>
      </c>
      <c r="CAH7" s="25" t="s">
        <v>631</v>
      </c>
      <c r="CAI7" s="25" t="s">
        <v>631</v>
      </c>
      <c r="CAJ7" s="25" t="s">
        <v>631</v>
      </c>
      <c r="CAK7" s="25" t="s">
        <v>631</v>
      </c>
      <c r="CAL7" s="25" t="s">
        <v>631</v>
      </c>
      <c r="CAM7" s="25" t="s">
        <v>8290</v>
      </c>
      <c r="CAN7" s="25" t="s">
        <v>631</v>
      </c>
      <c r="CAO7" s="25" t="s">
        <v>631</v>
      </c>
      <c r="CAP7" s="25" t="s">
        <v>8290</v>
      </c>
      <c r="CAR7" s="25" t="s">
        <v>8412</v>
      </c>
      <c r="CAT7" s="25" t="s">
        <v>28</v>
      </c>
      <c r="CAU7" s="25" t="s">
        <v>8413</v>
      </c>
      <c r="CAV7" s="25" t="s">
        <v>8414</v>
      </c>
      <c r="CAW7" s="25" t="s">
        <v>8341</v>
      </c>
      <c r="CAX7" s="25" t="s">
        <v>8415</v>
      </c>
      <c r="CBA7" s="25" t="s">
        <v>8416</v>
      </c>
      <c r="CBB7" s="25">
        <v>2</v>
      </c>
      <c r="CBC7" s="25">
        <v>0</v>
      </c>
      <c r="CBD7" s="25">
        <v>0</v>
      </c>
      <c r="CBE7" s="56">
        <v>50</v>
      </c>
      <c r="CBF7" s="56">
        <v>150</v>
      </c>
      <c r="CBG7" s="56">
        <v>50</v>
      </c>
      <c r="CBH7" s="56">
        <v>150</v>
      </c>
      <c r="CBI7" s="56">
        <v>2500</v>
      </c>
      <c r="CBK7" s="56">
        <v>2500</v>
      </c>
      <c r="CBM7" s="26">
        <v>0</v>
      </c>
      <c r="CBN7" s="26">
        <v>0.1</v>
      </c>
      <c r="CBO7" s="26">
        <v>0.2</v>
      </c>
      <c r="CBP7" s="26">
        <v>0.3</v>
      </c>
      <c r="CBQ7" s="26">
        <v>0.5</v>
      </c>
      <c r="CBR7" s="26">
        <v>0.5</v>
      </c>
      <c r="CBS7" s="26">
        <v>0.5</v>
      </c>
      <c r="CBT7" s="26">
        <v>0.5</v>
      </c>
      <c r="CBU7" s="27" t="s">
        <v>28</v>
      </c>
      <c r="CBV7" s="27" t="s">
        <v>8417</v>
      </c>
      <c r="CBW7" s="27" t="s">
        <v>8294</v>
      </c>
      <c r="CBX7" s="27" t="s">
        <v>8418</v>
      </c>
      <c r="CBY7" s="27" t="s">
        <v>8296</v>
      </c>
      <c r="CBZ7" s="27" t="s">
        <v>8296</v>
      </c>
      <c r="CCA7" s="27" t="s">
        <v>8297</v>
      </c>
      <c r="CCB7" s="27" t="s">
        <v>8298</v>
      </c>
      <c r="CCC7" s="27" t="s">
        <v>8296</v>
      </c>
      <c r="CCD7" s="27" t="s">
        <v>8297</v>
      </c>
      <c r="CCE7" s="27" t="s">
        <v>8297</v>
      </c>
      <c r="CCF7" s="27" t="s">
        <v>8297</v>
      </c>
      <c r="CCG7" s="27" t="s">
        <v>8297</v>
      </c>
      <c r="CCH7" s="27" t="s">
        <v>8296</v>
      </c>
      <c r="CCI7" s="27" t="s">
        <v>8298</v>
      </c>
      <c r="CCJ7" s="27" t="s">
        <v>8298</v>
      </c>
      <c r="CCK7" s="27" t="s">
        <v>8297</v>
      </c>
      <c r="CCL7" s="27" t="s">
        <v>8297</v>
      </c>
      <c r="CCM7" s="27" t="s">
        <v>8296</v>
      </c>
      <c r="CCN7" s="27" t="s">
        <v>8296</v>
      </c>
      <c r="CCO7" s="27" t="s">
        <v>8297</v>
      </c>
      <c r="CCP7" s="27" t="s">
        <v>8296</v>
      </c>
      <c r="CCQ7" s="27" t="s">
        <v>8296</v>
      </c>
      <c r="CCR7" s="27" t="s">
        <v>8296</v>
      </c>
      <c r="CCS7" s="27" t="s">
        <v>8298</v>
      </c>
      <c r="CCT7" s="27" t="s">
        <v>8296</v>
      </c>
      <c r="CCU7" s="27" t="s">
        <v>8298</v>
      </c>
      <c r="CCV7" s="27" t="s">
        <v>8298</v>
      </c>
      <c r="CCW7" s="27" t="s">
        <v>8298</v>
      </c>
      <c r="CCX7" s="27" t="s">
        <v>8298</v>
      </c>
      <c r="CCY7" s="27" t="s">
        <v>8296</v>
      </c>
      <c r="CCZ7" s="27" t="s">
        <v>28</v>
      </c>
      <c r="CDA7" s="27" t="s">
        <v>28</v>
      </c>
      <c r="CDB7" s="27" t="s">
        <v>28</v>
      </c>
      <c r="CDC7" s="27" t="s">
        <v>25</v>
      </c>
      <c r="CDD7" s="27" t="s">
        <v>28</v>
      </c>
      <c r="CDE7" s="27" t="s">
        <v>28</v>
      </c>
      <c r="CDF7" s="27" t="s">
        <v>28</v>
      </c>
      <c r="CDG7" s="27" t="s">
        <v>28</v>
      </c>
      <c r="CDH7" s="27" t="s">
        <v>28</v>
      </c>
      <c r="CDI7" s="27" t="s">
        <v>28</v>
      </c>
      <c r="CDJ7" s="27" t="s">
        <v>25</v>
      </c>
      <c r="CDK7" s="27" t="s">
        <v>25</v>
      </c>
      <c r="CDL7" s="27" t="s">
        <v>28</v>
      </c>
      <c r="CDM7" s="27" t="s">
        <v>28</v>
      </c>
      <c r="CDN7" s="27" t="s">
        <v>28</v>
      </c>
      <c r="CDO7" s="27" t="s">
        <v>28</v>
      </c>
      <c r="CDP7" s="27" t="s">
        <v>25</v>
      </c>
      <c r="CDQ7" s="27" t="s">
        <v>28</v>
      </c>
      <c r="CDR7" s="27" t="s">
        <v>28</v>
      </c>
      <c r="CDS7" s="27" t="s">
        <v>28</v>
      </c>
      <c r="CDT7" s="27" t="s">
        <v>25</v>
      </c>
      <c r="CDU7" s="27" t="s">
        <v>28</v>
      </c>
      <c r="CDV7" s="27" t="s">
        <v>25</v>
      </c>
      <c r="CDW7" s="27" t="s">
        <v>25</v>
      </c>
      <c r="CDX7" s="27" t="s">
        <v>25</v>
      </c>
      <c r="CDY7" s="27" t="s">
        <v>25</v>
      </c>
      <c r="CDZ7" s="27" t="s">
        <v>28</v>
      </c>
      <c r="CEA7" s="27" t="s">
        <v>8304</v>
      </c>
      <c r="CEB7" s="27" t="s">
        <v>2673</v>
      </c>
      <c r="CEC7" s="27" t="s">
        <v>29</v>
      </c>
      <c r="CED7" s="27" t="s">
        <v>8419</v>
      </c>
      <c r="CEE7" s="27" t="s">
        <v>2673</v>
      </c>
      <c r="CEF7" s="27" t="s">
        <v>8301</v>
      </c>
      <c r="CEG7" s="27" t="s">
        <v>29</v>
      </c>
      <c r="CEH7" s="27" t="s">
        <v>29</v>
      </c>
      <c r="CEI7" s="27" t="s">
        <v>29</v>
      </c>
      <c r="CEJ7" s="27" t="s">
        <v>8419</v>
      </c>
      <c r="CEK7" s="27" t="s">
        <v>8419</v>
      </c>
      <c r="CEL7" s="27" t="s">
        <v>8419</v>
      </c>
      <c r="CEM7" s="27" t="s">
        <v>2673</v>
      </c>
      <c r="CEN7" s="27" t="s">
        <v>2673</v>
      </c>
      <c r="CEO7" s="27" t="s">
        <v>2673</v>
      </c>
      <c r="CEP7" s="27" t="s">
        <v>2673</v>
      </c>
      <c r="CEQ7" s="27" t="s">
        <v>8304</v>
      </c>
      <c r="CER7" s="27" t="s">
        <v>29</v>
      </c>
      <c r="CES7" s="27" t="s">
        <v>29</v>
      </c>
      <c r="CET7" s="27" t="s">
        <v>2673</v>
      </c>
      <c r="CEU7" s="27" t="s">
        <v>8420</v>
      </c>
      <c r="CEV7" s="27" t="s">
        <v>2673</v>
      </c>
      <c r="CEW7" s="27" t="s">
        <v>29</v>
      </c>
      <c r="CEX7" s="27" t="s">
        <v>8421</v>
      </c>
      <c r="CEY7" s="27" t="s">
        <v>29</v>
      </c>
      <c r="CEZ7" s="27" t="s">
        <v>29</v>
      </c>
      <c r="CFA7" s="27" t="s">
        <v>2673</v>
      </c>
      <c r="CFB7" s="27" t="s">
        <v>25</v>
      </c>
      <c r="CFC7" s="27" t="s">
        <v>25</v>
      </c>
      <c r="CFD7" s="27" t="s">
        <v>25</v>
      </c>
      <c r="CFE7" s="27" t="s">
        <v>25</v>
      </c>
      <c r="CFF7" s="27" t="s">
        <v>28</v>
      </c>
      <c r="CFG7" s="27" t="s">
        <v>25</v>
      </c>
      <c r="CFH7" s="27" t="s">
        <v>25</v>
      </c>
      <c r="CFI7" s="27" t="s">
        <v>25</v>
      </c>
      <c r="CFJ7" s="27" t="s">
        <v>25</v>
      </c>
      <c r="CFK7" s="27" t="s">
        <v>25</v>
      </c>
      <c r="CFL7" s="27" t="s">
        <v>25</v>
      </c>
      <c r="CFM7" s="27" t="s">
        <v>28</v>
      </c>
      <c r="CFN7" s="27" t="s">
        <v>25</v>
      </c>
      <c r="CFO7" s="27" t="s">
        <v>25</v>
      </c>
      <c r="CFP7" s="27" t="s">
        <v>25</v>
      </c>
      <c r="CFQ7" s="27" t="s">
        <v>25</v>
      </c>
      <c r="CFR7" s="27" t="s">
        <v>25</v>
      </c>
      <c r="CFS7" s="27" t="s">
        <v>25</v>
      </c>
      <c r="CFT7" s="27" t="s">
        <v>25</v>
      </c>
      <c r="CFU7" s="27" t="s">
        <v>25</v>
      </c>
      <c r="CFV7" s="27" t="s">
        <v>28</v>
      </c>
      <c r="CFW7" s="27" t="s">
        <v>25</v>
      </c>
      <c r="CFX7" s="27" t="s">
        <v>28</v>
      </c>
      <c r="CFY7" s="27" t="s">
        <v>28</v>
      </c>
      <c r="CFZ7" s="27" t="s">
        <v>28</v>
      </c>
      <c r="CGA7" s="27" t="s">
        <v>25</v>
      </c>
      <c r="CGB7" s="27" t="s">
        <v>28</v>
      </c>
      <c r="CPW7" s="27">
        <v>1</v>
      </c>
      <c r="CPX7" s="56">
        <v>0</v>
      </c>
      <c r="CPY7" s="26">
        <v>0</v>
      </c>
      <c r="CPZ7" s="56">
        <v>10</v>
      </c>
      <c r="CQB7" s="25" t="s">
        <v>8307</v>
      </c>
      <c r="CQC7" s="25" t="s">
        <v>8307</v>
      </c>
      <c r="CQD7" s="25" t="s">
        <v>8307</v>
      </c>
      <c r="CQE7" s="25" t="s">
        <v>8307</v>
      </c>
      <c r="CQF7" s="25" t="s">
        <v>8307</v>
      </c>
      <c r="CQI7" s="56">
        <v>150</v>
      </c>
      <c r="CQJ7" s="56">
        <v>150</v>
      </c>
      <c r="CQL7" s="25" t="s">
        <v>13670</v>
      </c>
      <c r="CQM7" s="25" t="s">
        <v>8308</v>
      </c>
      <c r="CQN7" s="25" t="s">
        <v>28</v>
      </c>
      <c r="CQO7" s="25" t="s">
        <v>8309</v>
      </c>
      <c r="CQQ7" s="25" t="s">
        <v>8422</v>
      </c>
      <c r="CQR7" s="25" t="s">
        <v>8423</v>
      </c>
      <c r="CQS7" s="25" t="s">
        <v>25</v>
      </c>
      <c r="CQT7" s="25" t="s">
        <v>8313</v>
      </c>
      <c r="CQU7" s="25" t="s">
        <v>8313</v>
      </c>
      <c r="CQV7" s="25" t="s">
        <v>8312</v>
      </c>
      <c r="CQW7" s="25" t="s">
        <v>8313</v>
      </c>
      <c r="CQX7" s="25" t="s">
        <v>8313</v>
      </c>
      <c r="CQY7" s="25" t="s">
        <v>8313</v>
      </c>
      <c r="CQZ7" s="25" t="s">
        <v>8312</v>
      </c>
      <c r="CRA7" s="25" t="s">
        <v>8314</v>
      </c>
      <c r="CRB7" s="25" t="s">
        <v>8314</v>
      </c>
      <c r="CRC7" s="25" t="s">
        <v>8313</v>
      </c>
      <c r="CRD7" s="25" t="s">
        <v>8312</v>
      </c>
      <c r="CRE7" s="27" t="s">
        <v>8313</v>
      </c>
    </row>
    <row r="8" spans="1:2501" ht="76.5" x14ac:dyDescent="0.2">
      <c r="A8" s="21" t="s">
        <v>160</v>
      </c>
      <c r="B8" s="26">
        <v>0.43799999999999994</v>
      </c>
      <c r="C8" s="26">
        <v>0</v>
      </c>
      <c r="D8" s="26">
        <v>0.11699999999999999</v>
      </c>
      <c r="E8" s="26">
        <v>0.376</v>
      </c>
      <c r="F8" s="26">
        <v>0</v>
      </c>
      <c r="G8" s="26">
        <v>0</v>
      </c>
      <c r="H8" s="26">
        <v>0</v>
      </c>
      <c r="I8" s="26">
        <v>0</v>
      </c>
      <c r="J8" s="26">
        <v>0</v>
      </c>
      <c r="K8" s="26">
        <v>0</v>
      </c>
      <c r="L8" s="26">
        <v>0</v>
      </c>
      <c r="M8" s="26">
        <v>6.9000000000000006E-2</v>
      </c>
      <c r="N8" s="26">
        <v>0</v>
      </c>
      <c r="O8" s="26">
        <v>0</v>
      </c>
      <c r="P8" s="26">
        <v>0</v>
      </c>
      <c r="Q8" s="26">
        <v>0</v>
      </c>
      <c r="R8" s="26">
        <v>0</v>
      </c>
      <c r="S8" s="26">
        <v>0</v>
      </c>
      <c r="T8" s="26">
        <v>0</v>
      </c>
      <c r="U8" s="26">
        <v>0</v>
      </c>
      <c r="V8" s="26">
        <v>0</v>
      </c>
      <c r="W8" s="26">
        <v>0</v>
      </c>
      <c r="X8" s="26">
        <v>1</v>
      </c>
      <c r="Y8" s="26">
        <v>0</v>
      </c>
      <c r="Z8" s="25">
        <v>1</v>
      </c>
      <c r="AA8" s="25" t="s">
        <v>8653</v>
      </c>
      <c r="AC8" s="56">
        <v>2000</v>
      </c>
      <c r="AD8" s="56">
        <v>4000</v>
      </c>
      <c r="AE8" s="56">
        <v>10250</v>
      </c>
      <c r="AF8" s="56">
        <v>20500</v>
      </c>
      <c r="AI8" s="25" t="s">
        <v>8246</v>
      </c>
      <c r="AJ8" s="56">
        <v>250</v>
      </c>
      <c r="AK8" s="56">
        <v>500</v>
      </c>
      <c r="AL8" s="56">
        <v>250</v>
      </c>
      <c r="AM8" s="56">
        <v>500</v>
      </c>
      <c r="AN8" s="25" t="s">
        <v>8350</v>
      </c>
      <c r="AO8" s="25" t="s">
        <v>8248</v>
      </c>
      <c r="BB8" s="25" t="s">
        <v>8249</v>
      </c>
      <c r="DO8" s="25" t="s">
        <v>25</v>
      </c>
      <c r="DP8" s="25" t="s">
        <v>28</v>
      </c>
      <c r="DQ8" s="25" t="s">
        <v>25</v>
      </c>
      <c r="DR8" s="25" t="s">
        <v>25</v>
      </c>
      <c r="DT8" s="25" t="s">
        <v>13423</v>
      </c>
      <c r="DU8" s="25" t="s">
        <v>13423</v>
      </c>
      <c r="DV8" s="56">
        <v>20</v>
      </c>
      <c r="DW8" s="56">
        <v>30</v>
      </c>
      <c r="DY8" s="56">
        <v>100</v>
      </c>
      <c r="DZ8" s="56">
        <v>20</v>
      </c>
      <c r="EA8" s="56">
        <v>20</v>
      </c>
      <c r="EE8" s="26">
        <v>0.1</v>
      </c>
      <c r="EH8" s="26">
        <v>0.1</v>
      </c>
      <c r="EI8" s="26">
        <v>0.1</v>
      </c>
      <c r="EM8" s="56">
        <v>100</v>
      </c>
      <c r="EN8" s="56">
        <v>20</v>
      </c>
      <c r="EQ8" s="26">
        <v>0.3</v>
      </c>
      <c r="ER8" s="26">
        <v>0.3</v>
      </c>
      <c r="ES8" s="26">
        <v>0.3</v>
      </c>
      <c r="EV8" s="26">
        <v>0.3</v>
      </c>
      <c r="EW8" s="26">
        <v>0.3</v>
      </c>
      <c r="EX8" s="25" t="s">
        <v>8250</v>
      </c>
      <c r="EY8" s="25" t="s">
        <v>8250</v>
      </c>
      <c r="EZ8" s="25" t="s">
        <v>8250</v>
      </c>
      <c r="FA8" s="25" t="s">
        <v>8250</v>
      </c>
      <c r="FB8" s="25" t="s">
        <v>8250</v>
      </c>
      <c r="FC8" s="25" t="s">
        <v>8250</v>
      </c>
      <c r="FD8" s="25" t="s">
        <v>8250</v>
      </c>
      <c r="FE8" s="25" t="s">
        <v>25</v>
      </c>
      <c r="FF8" s="25" t="s">
        <v>25</v>
      </c>
      <c r="FG8" s="25" t="s">
        <v>25</v>
      </c>
      <c r="FH8" s="25" t="s">
        <v>25</v>
      </c>
      <c r="FI8" s="25" t="s">
        <v>25</v>
      </c>
      <c r="FJ8" s="25" t="s">
        <v>25</v>
      </c>
      <c r="FK8" s="25" t="s">
        <v>25</v>
      </c>
      <c r="FL8" s="25" t="s">
        <v>13810</v>
      </c>
      <c r="FM8" s="25" t="s">
        <v>13810</v>
      </c>
      <c r="FN8" s="25" t="s">
        <v>13810</v>
      </c>
      <c r="FO8" s="25" t="s">
        <v>13810</v>
      </c>
      <c r="FP8" s="25" t="s">
        <v>13810</v>
      </c>
      <c r="FQ8" s="25" t="s">
        <v>13810</v>
      </c>
      <c r="FR8" s="25" t="s">
        <v>13810</v>
      </c>
      <c r="FS8" s="25" t="s">
        <v>631</v>
      </c>
      <c r="FT8" s="25" t="s">
        <v>631</v>
      </c>
      <c r="FU8" s="25" t="s">
        <v>631</v>
      </c>
      <c r="FV8" s="25" t="s">
        <v>8253</v>
      </c>
      <c r="FW8" s="25" t="s">
        <v>8619</v>
      </c>
      <c r="FX8" s="25" t="s">
        <v>8595</v>
      </c>
      <c r="FY8" s="25" t="s">
        <v>8491</v>
      </c>
      <c r="FZ8" s="25" t="s">
        <v>8253</v>
      </c>
      <c r="GA8" s="25" t="s">
        <v>8425</v>
      </c>
      <c r="GB8" s="25" t="s">
        <v>8425</v>
      </c>
      <c r="GE8" s="56">
        <v>10</v>
      </c>
      <c r="GG8" s="56">
        <v>20</v>
      </c>
      <c r="GI8" s="56">
        <v>25</v>
      </c>
      <c r="GK8" s="56">
        <v>50</v>
      </c>
      <c r="GM8" s="56">
        <v>40</v>
      </c>
      <c r="GO8" s="56">
        <v>80</v>
      </c>
      <c r="HJ8" s="57">
        <v>0.3</v>
      </c>
      <c r="HU8" s="56">
        <v>200</v>
      </c>
      <c r="IZ8" s="26">
        <v>0.3</v>
      </c>
      <c r="JK8" s="56">
        <v>200</v>
      </c>
      <c r="KM8" s="25" t="s">
        <v>8352</v>
      </c>
      <c r="KN8" s="25" t="s">
        <v>8298</v>
      </c>
      <c r="KO8" s="25" t="s">
        <v>8321</v>
      </c>
      <c r="KP8" s="25">
        <v>1</v>
      </c>
      <c r="KQ8" s="25" t="s">
        <v>8843</v>
      </c>
      <c r="KS8" s="56">
        <v>3500</v>
      </c>
      <c r="KT8" s="56">
        <v>7000</v>
      </c>
      <c r="KU8" s="56">
        <v>7000</v>
      </c>
      <c r="KV8" s="56">
        <v>14000</v>
      </c>
      <c r="KY8" s="25" t="s">
        <v>8246</v>
      </c>
      <c r="KZ8" s="56">
        <v>1750</v>
      </c>
      <c r="LA8" s="56">
        <v>3500</v>
      </c>
      <c r="LB8" s="56">
        <v>1750</v>
      </c>
      <c r="LC8" s="56">
        <v>3500</v>
      </c>
      <c r="LD8" s="25" t="s">
        <v>8247</v>
      </c>
      <c r="LE8" s="25" t="s">
        <v>8248</v>
      </c>
      <c r="LR8" s="25" t="s">
        <v>8249</v>
      </c>
      <c r="OE8" s="25" t="s">
        <v>25</v>
      </c>
      <c r="OF8" s="25" t="s">
        <v>28</v>
      </c>
      <c r="OG8" s="25" t="s">
        <v>25</v>
      </c>
      <c r="OH8" s="25" t="s">
        <v>25</v>
      </c>
      <c r="OJ8" s="25" t="s">
        <v>13425</v>
      </c>
      <c r="OK8" s="25" t="s">
        <v>13421</v>
      </c>
      <c r="OS8" s="26">
        <v>0.2</v>
      </c>
      <c r="OT8" s="26">
        <v>0.2</v>
      </c>
      <c r="OU8" s="26">
        <v>0.2</v>
      </c>
      <c r="OV8" s="26">
        <v>0.2</v>
      </c>
      <c r="OW8" s="26">
        <v>0.2</v>
      </c>
      <c r="OY8" s="26">
        <v>0.2</v>
      </c>
      <c r="PG8" s="26">
        <v>0.5</v>
      </c>
      <c r="PH8" s="26">
        <v>0.5</v>
      </c>
      <c r="PI8" s="26">
        <v>0.5</v>
      </c>
      <c r="PJ8" s="26">
        <v>0.2</v>
      </c>
      <c r="PK8" s="26">
        <v>0.2</v>
      </c>
      <c r="PL8" s="26">
        <v>0.5</v>
      </c>
      <c r="PM8" s="26">
        <v>0.5</v>
      </c>
      <c r="PN8" s="25" t="s">
        <v>8250</v>
      </c>
      <c r="PO8" s="25" t="s">
        <v>8250</v>
      </c>
      <c r="PP8" s="25" t="s">
        <v>8250</v>
      </c>
      <c r="PQ8" s="25" t="s">
        <v>8250</v>
      </c>
      <c r="PR8" s="25" t="s">
        <v>8250</v>
      </c>
      <c r="PS8" s="25" t="s">
        <v>8250</v>
      </c>
      <c r="PT8" s="25" t="s">
        <v>8250</v>
      </c>
      <c r="PU8" s="25" t="s">
        <v>25</v>
      </c>
      <c r="PV8" s="25" t="s">
        <v>25</v>
      </c>
      <c r="PW8" s="25" t="s">
        <v>25</v>
      </c>
      <c r="PX8" s="25" t="s">
        <v>25</v>
      </c>
      <c r="PY8" s="25" t="s">
        <v>25</v>
      </c>
      <c r="PZ8" s="25" t="s">
        <v>25</v>
      </c>
      <c r="QA8" s="25" t="s">
        <v>25</v>
      </c>
      <c r="QB8" s="25" t="s">
        <v>13810</v>
      </c>
      <c r="QC8" s="25" t="s">
        <v>13810</v>
      </c>
      <c r="QD8" s="25" t="s">
        <v>13810</v>
      </c>
      <c r="QE8" s="25" t="s">
        <v>13810</v>
      </c>
      <c r="QF8" s="25" t="s">
        <v>13810</v>
      </c>
      <c r="QG8" s="25" t="s">
        <v>13810</v>
      </c>
      <c r="QH8" s="25" t="s">
        <v>13810</v>
      </c>
      <c r="QI8" s="25" t="s">
        <v>631</v>
      </c>
      <c r="QJ8" s="25" t="s">
        <v>631</v>
      </c>
      <c r="QK8" s="25" t="s">
        <v>631</v>
      </c>
      <c r="QL8" s="25" t="s">
        <v>8253</v>
      </c>
      <c r="QM8" s="25" t="s">
        <v>8619</v>
      </c>
      <c r="QN8" s="25" t="s">
        <v>8595</v>
      </c>
      <c r="QO8" s="25" t="s">
        <v>8491</v>
      </c>
      <c r="QP8" s="25" t="s">
        <v>8253</v>
      </c>
      <c r="QQ8" s="25" t="s">
        <v>8425</v>
      </c>
      <c r="QR8" s="25" t="s">
        <v>8425</v>
      </c>
      <c r="QU8" s="56">
        <v>10</v>
      </c>
      <c r="QW8" s="56">
        <v>20</v>
      </c>
      <c r="QY8" s="56">
        <v>25</v>
      </c>
      <c r="RA8" s="56">
        <v>50</v>
      </c>
      <c r="RC8" s="56">
        <v>40</v>
      </c>
      <c r="RE8" s="56">
        <v>80</v>
      </c>
      <c r="RZ8" s="26">
        <v>0.3</v>
      </c>
      <c r="VC8" s="25" t="s">
        <v>8352</v>
      </c>
      <c r="VD8" s="25" t="s">
        <v>8298</v>
      </c>
      <c r="VE8" s="25" t="s">
        <v>8321</v>
      </c>
      <c r="VF8" s="25">
        <v>0</v>
      </c>
      <c r="VI8" s="25"/>
      <c r="VJ8" s="25"/>
      <c r="VK8" s="25"/>
      <c r="VL8" s="25"/>
      <c r="VM8" s="25"/>
      <c r="VN8" s="25"/>
      <c r="VP8" s="25"/>
      <c r="VQ8" s="25"/>
      <c r="VR8" s="25"/>
      <c r="VS8" s="25"/>
      <c r="ZA8" s="25"/>
      <c r="ZB8" s="25"/>
      <c r="ZC8" s="25"/>
      <c r="ZD8" s="25"/>
      <c r="ZE8" s="25"/>
      <c r="ZF8" s="25"/>
      <c r="ZG8" s="25"/>
      <c r="ZO8" s="25"/>
      <c r="ZP8" s="25"/>
      <c r="ZQ8" s="25"/>
      <c r="ZR8" s="25"/>
      <c r="ZS8" s="25"/>
      <c r="ZT8" s="25"/>
      <c r="ZU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S8" s="25"/>
      <c r="ACT8" s="25"/>
      <c r="ACU8" s="25"/>
      <c r="ACV8" s="25"/>
      <c r="ACW8" s="25"/>
      <c r="ACX8" s="25"/>
      <c r="ACY8" s="25"/>
      <c r="ACZ8" s="25"/>
      <c r="ADA8" s="25"/>
      <c r="ADB8" s="25"/>
      <c r="ADC8" s="25"/>
      <c r="ADD8" s="25"/>
      <c r="ADE8" s="25"/>
      <c r="ADF8" s="25"/>
      <c r="ADN8" s="25"/>
      <c r="ADO8" s="25"/>
      <c r="ADP8" s="25"/>
      <c r="ADQ8" s="25"/>
      <c r="ADR8" s="25"/>
      <c r="ADS8" s="25"/>
      <c r="ADT8" s="25"/>
      <c r="ADU8" s="25"/>
      <c r="ADV8" s="25"/>
      <c r="ADW8" s="25"/>
      <c r="ADX8" s="25"/>
      <c r="ADY8" s="25"/>
      <c r="ADZ8" s="25"/>
      <c r="AEA8" s="25"/>
      <c r="AEI8" s="25"/>
      <c r="AEJ8" s="25"/>
      <c r="AEK8" s="25"/>
      <c r="AEL8" s="25"/>
      <c r="AEM8" s="25"/>
      <c r="AEN8" s="25"/>
      <c r="AEO8" s="25"/>
      <c r="AEP8" s="25"/>
      <c r="AEQ8" s="25"/>
      <c r="AER8" s="25"/>
      <c r="AES8" s="25"/>
      <c r="AET8" s="25"/>
      <c r="AEU8" s="25"/>
      <c r="AEV8" s="25"/>
      <c r="AFD8" s="25"/>
      <c r="AFE8" s="25"/>
      <c r="AFF8" s="25"/>
      <c r="AFG8" s="25"/>
      <c r="AFH8" s="25"/>
      <c r="AFI8" s="25"/>
      <c r="AFJ8" s="25"/>
      <c r="AFK8" s="25"/>
      <c r="AFL8" s="25"/>
      <c r="AFM8" s="25"/>
      <c r="AFN8" s="25"/>
      <c r="AFO8" s="25"/>
      <c r="AFP8" s="25"/>
      <c r="AFQ8" s="25"/>
      <c r="AFU8" s="25">
        <v>0</v>
      </c>
      <c r="AFX8" s="25"/>
      <c r="AFY8" s="25"/>
      <c r="AFZ8" s="25"/>
      <c r="AGA8" s="25"/>
      <c r="AGB8" s="25"/>
      <c r="AGC8" s="25"/>
      <c r="AGE8" s="25"/>
      <c r="AGF8" s="25"/>
      <c r="AGG8" s="25"/>
      <c r="AGH8" s="25"/>
      <c r="AJP8" s="25"/>
      <c r="AJQ8" s="25"/>
      <c r="AJR8" s="25"/>
      <c r="AJS8" s="25"/>
      <c r="AJT8" s="25"/>
      <c r="AJU8" s="25"/>
      <c r="AJV8" s="25"/>
      <c r="AKD8" s="25"/>
      <c r="AKE8" s="25"/>
      <c r="AKF8" s="25"/>
      <c r="AKG8" s="25"/>
      <c r="AKH8" s="25"/>
      <c r="AKI8" s="25"/>
      <c r="AKJ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H8" s="25"/>
      <c r="ANI8" s="25"/>
      <c r="ANJ8" s="25"/>
      <c r="ANK8" s="25"/>
      <c r="ANL8" s="25"/>
      <c r="ANM8" s="25"/>
      <c r="ANN8" s="25"/>
      <c r="ANO8" s="25"/>
      <c r="ANP8" s="25"/>
      <c r="ANQ8" s="25"/>
      <c r="ANR8" s="25"/>
      <c r="ANS8" s="25"/>
      <c r="ANT8" s="25"/>
      <c r="ANU8" s="25"/>
      <c r="AOC8" s="25"/>
      <c r="AOD8" s="25"/>
      <c r="AOE8" s="25"/>
      <c r="AOF8" s="25"/>
      <c r="AOG8" s="25"/>
      <c r="AOH8" s="25"/>
      <c r="AOI8" s="25"/>
      <c r="AOJ8" s="25"/>
      <c r="AOK8" s="25"/>
      <c r="AOL8" s="25"/>
      <c r="AOM8" s="25"/>
      <c r="AON8" s="25"/>
      <c r="AOO8" s="25"/>
      <c r="AOP8" s="25"/>
      <c r="AOX8" s="25"/>
      <c r="AOY8" s="25"/>
      <c r="AOZ8" s="25"/>
      <c r="APA8" s="25"/>
      <c r="APB8" s="25"/>
      <c r="APC8" s="25"/>
      <c r="APD8" s="25"/>
      <c r="APE8" s="25"/>
      <c r="APF8" s="25"/>
      <c r="APG8" s="25"/>
      <c r="APH8" s="25"/>
      <c r="API8" s="25"/>
      <c r="APJ8" s="25"/>
      <c r="APK8" s="25"/>
      <c r="APS8" s="25"/>
      <c r="APT8" s="25"/>
      <c r="APU8" s="25"/>
      <c r="APV8" s="25"/>
      <c r="APW8" s="25"/>
      <c r="APX8" s="25"/>
      <c r="APY8" s="25"/>
      <c r="APZ8" s="25"/>
      <c r="AQA8" s="25"/>
      <c r="AQB8" s="25"/>
      <c r="AQC8" s="25"/>
      <c r="AQD8" s="25"/>
      <c r="AQE8" s="25"/>
      <c r="AQF8" s="25"/>
      <c r="AQJ8" s="25">
        <v>1</v>
      </c>
      <c r="AQK8" s="25" t="s">
        <v>8749</v>
      </c>
      <c r="AQM8" s="56">
        <v>2000</v>
      </c>
      <c r="AQN8" s="56">
        <v>4000</v>
      </c>
      <c r="AQS8" s="25" t="s">
        <v>8260</v>
      </c>
      <c r="AQT8" s="56">
        <v>0</v>
      </c>
      <c r="AQU8" s="56">
        <v>0</v>
      </c>
      <c r="AQX8" s="25" t="s">
        <v>8248</v>
      </c>
      <c r="ARK8" s="25" t="s">
        <v>8249</v>
      </c>
      <c r="ATX8" s="25" t="s">
        <v>25</v>
      </c>
      <c r="ATY8" s="25" t="s">
        <v>28</v>
      </c>
      <c r="ATZ8" s="25" t="s">
        <v>25</v>
      </c>
      <c r="AUA8" s="25" t="s">
        <v>25</v>
      </c>
      <c r="AUC8" s="25" t="s">
        <v>13417</v>
      </c>
      <c r="AUD8" s="25" t="s">
        <v>8432</v>
      </c>
      <c r="AUE8" s="56">
        <v>20</v>
      </c>
      <c r="AUF8" s="56">
        <v>20</v>
      </c>
      <c r="AUG8" s="56">
        <v>20</v>
      </c>
      <c r="AUH8" s="56">
        <v>100</v>
      </c>
      <c r="AUI8" s="56">
        <v>20</v>
      </c>
      <c r="AUJ8" s="56">
        <v>20</v>
      </c>
      <c r="AUV8" s="56">
        <v>100</v>
      </c>
      <c r="AUW8" s="56">
        <v>20</v>
      </c>
      <c r="AVG8" s="25" t="s">
        <v>8250</v>
      </c>
      <c r="AVH8" s="25" t="s">
        <v>8250</v>
      </c>
      <c r="AVI8" s="25" t="s">
        <v>8250</v>
      </c>
      <c r="AVJ8" s="25" t="s">
        <v>8250</v>
      </c>
      <c r="AVK8" s="25" t="s">
        <v>8250</v>
      </c>
      <c r="AVL8" s="25" t="s">
        <v>8250</v>
      </c>
      <c r="AVM8" s="25" t="s">
        <v>8250</v>
      </c>
      <c r="AVN8" s="25" t="s">
        <v>25</v>
      </c>
      <c r="AVO8" s="25" t="s">
        <v>25</v>
      </c>
      <c r="AVP8" s="25" t="s">
        <v>25</v>
      </c>
      <c r="AVQ8" s="25" t="s">
        <v>25</v>
      </c>
      <c r="AVR8" s="25" t="s">
        <v>25</v>
      </c>
      <c r="AVS8" s="25" t="s">
        <v>25</v>
      </c>
      <c r="AVT8" s="25" t="s">
        <v>25</v>
      </c>
      <c r="AVU8" s="25" t="s">
        <v>13810</v>
      </c>
      <c r="AVV8" s="25" t="s">
        <v>13810</v>
      </c>
      <c r="AVW8" s="25" t="s">
        <v>13810</v>
      </c>
      <c r="AVX8" s="25" t="s">
        <v>8252</v>
      </c>
      <c r="AVY8" s="25" t="s">
        <v>13810</v>
      </c>
      <c r="AVZ8" s="25" t="s">
        <v>631</v>
      </c>
      <c r="AWA8" s="25" t="s">
        <v>13810</v>
      </c>
      <c r="AWB8" s="25" t="s">
        <v>631</v>
      </c>
      <c r="AWC8" s="25" t="s">
        <v>631</v>
      </c>
      <c r="AWD8" s="25" t="s">
        <v>631</v>
      </c>
      <c r="AWE8" s="25" t="s">
        <v>8253</v>
      </c>
      <c r="AWF8" s="25" t="s">
        <v>8253</v>
      </c>
      <c r="AWG8" s="25" t="s">
        <v>8253</v>
      </c>
      <c r="AWH8" s="25" t="s">
        <v>13453</v>
      </c>
      <c r="AWI8" s="25" t="s">
        <v>8253</v>
      </c>
      <c r="AWK8" s="25" t="s">
        <v>13453</v>
      </c>
      <c r="AWN8" s="56">
        <v>15</v>
      </c>
      <c r="AWP8" s="56">
        <v>30</v>
      </c>
      <c r="AWR8" s="56">
        <v>30</v>
      </c>
      <c r="AWT8" s="56">
        <v>60</v>
      </c>
      <c r="AWV8" s="56">
        <v>30</v>
      </c>
      <c r="AWX8" s="56">
        <v>60</v>
      </c>
      <c r="AXS8" s="26">
        <v>0.3</v>
      </c>
      <c r="AYD8" s="56">
        <v>200</v>
      </c>
      <c r="AZI8" s="26">
        <v>0.3</v>
      </c>
      <c r="AZT8" s="56">
        <v>200</v>
      </c>
      <c r="BAV8" s="25" t="s">
        <v>8255</v>
      </c>
      <c r="BAW8" s="25" t="s">
        <v>8298</v>
      </c>
      <c r="BAX8" s="25" t="s">
        <v>8321</v>
      </c>
      <c r="BAY8" s="25">
        <v>0</v>
      </c>
      <c r="BBB8" s="25"/>
      <c r="BBC8" s="25"/>
      <c r="BBD8" s="25"/>
      <c r="BBE8" s="25"/>
      <c r="BBF8" s="25"/>
      <c r="BBG8" s="25"/>
      <c r="BBI8" s="25"/>
      <c r="BBJ8" s="25"/>
      <c r="BBK8" s="25"/>
      <c r="BBL8" s="25"/>
      <c r="BET8" s="25"/>
      <c r="BEU8" s="25"/>
      <c r="BEV8" s="25"/>
      <c r="BEW8" s="25"/>
      <c r="BEX8" s="25"/>
      <c r="BEY8" s="25"/>
      <c r="BEZ8" s="25"/>
      <c r="BFH8" s="25"/>
      <c r="BFI8" s="25"/>
      <c r="BFJ8" s="25"/>
      <c r="BFK8" s="25"/>
      <c r="BFL8" s="25"/>
      <c r="BFM8" s="25"/>
      <c r="BFN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L8" s="25"/>
      <c r="BIM8" s="25"/>
      <c r="BIN8" s="25"/>
      <c r="BIO8" s="25"/>
      <c r="BIP8" s="25"/>
      <c r="BIQ8" s="25"/>
      <c r="BIR8" s="25"/>
      <c r="BIS8" s="25"/>
      <c r="BIT8" s="25"/>
      <c r="BIU8" s="25"/>
      <c r="BIV8" s="25"/>
      <c r="BIW8" s="25"/>
      <c r="BIX8" s="25"/>
      <c r="BIY8" s="25"/>
      <c r="BJG8" s="25"/>
      <c r="BJH8" s="25"/>
      <c r="BJI8" s="25"/>
      <c r="BJJ8" s="25"/>
      <c r="BJK8" s="25"/>
      <c r="BJL8" s="25"/>
      <c r="BJM8" s="25"/>
      <c r="BJN8" s="25"/>
      <c r="BJO8" s="25"/>
      <c r="BJP8" s="25"/>
      <c r="BJQ8" s="25"/>
      <c r="BJR8" s="25"/>
      <c r="BJS8" s="25"/>
      <c r="BJT8" s="25"/>
      <c r="BKB8" s="25"/>
      <c r="BKC8" s="25"/>
      <c r="BKD8" s="25"/>
      <c r="BKE8" s="25"/>
      <c r="BKF8" s="25"/>
      <c r="BKG8" s="25"/>
      <c r="BKH8" s="25"/>
      <c r="BKI8" s="25"/>
      <c r="BKJ8" s="25"/>
      <c r="BKK8" s="25"/>
      <c r="BKL8" s="25"/>
      <c r="BKM8" s="25"/>
      <c r="BKN8" s="25"/>
      <c r="BKO8" s="25"/>
      <c r="BKW8" s="25"/>
      <c r="BKX8" s="25"/>
      <c r="BKY8" s="25"/>
      <c r="BKZ8" s="25"/>
      <c r="BLA8" s="25"/>
      <c r="BLB8" s="25"/>
      <c r="BLC8" s="25"/>
      <c r="BLD8" s="25"/>
      <c r="BLE8" s="25"/>
      <c r="BLF8" s="25"/>
      <c r="BLG8" s="25"/>
      <c r="BLH8" s="25"/>
      <c r="BLI8" s="25"/>
      <c r="BLJ8" s="25"/>
      <c r="BLN8" s="25">
        <v>0</v>
      </c>
      <c r="BLQ8" s="25"/>
      <c r="BLR8" s="25"/>
      <c r="BLS8" s="25"/>
      <c r="BLT8" s="25"/>
      <c r="BLU8" s="25"/>
      <c r="BLV8" s="25"/>
      <c r="BLX8" s="25"/>
      <c r="BLY8" s="25"/>
      <c r="BLZ8" s="25"/>
      <c r="BMA8" s="25"/>
      <c r="BPI8" s="25"/>
      <c r="BPJ8" s="25"/>
      <c r="BPK8" s="25"/>
      <c r="BPL8" s="25"/>
      <c r="BPM8" s="25"/>
      <c r="BPN8" s="25"/>
      <c r="BPO8" s="25"/>
      <c r="BPW8" s="25"/>
      <c r="BPX8" s="25"/>
      <c r="BPY8" s="25"/>
      <c r="BPZ8" s="25"/>
      <c r="BQA8" s="25"/>
      <c r="BQB8" s="25"/>
      <c r="BQC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TA8" s="25"/>
      <c r="BTB8" s="25"/>
      <c r="BTC8" s="25"/>
      <c r="BTD8" s="25"/>
      <c r="BTE8" s="25"/>
      <c r="BTF8" s="25"/>
      <c r="BTG8" s="25"/>
      <c r="BTH8" s="25"/>
      <c r="BTI8" s="25"/>
      <c r="BTJ8" s="25"/>
      <c r="BTK8" s="25"/>
      <c r="BTL8" s="25"/>
      <c r="BTM8" s="25"/>
      <c r="BTN8" s="25"/>
      <c r="BUQ8" s="25"/>
      <c r="BUR8" s="25"/>
      <c r="BUS8" s="25"/>
      <c r="BUT8" s="25"/>
      <c r="BUU8" s="25"/>
      <c r="BUV8" s="25"/>
      <c r="BUW8" s="25"/>
      <c r="BUX8" s="25"/>
      <c r="BUY8" s="25"/>
      <c r="BUZ8" s="25"/>
      <c r="BVA8" s="25"/>
      <c r="BVB8" s="25"/>
      <c r="BVC8" s="25"/>
      <c r="BVD8" s="25"/>
      <c r="BWC8" s="25" t="s">
        <v>28</v>
      </c>
      <c r="BWD8" s="25" t="s">
        <v>8265</v>
      </c>
      <c r="BWE8" s="25" t="s">
        <v>8266</v>
      </c>
      <c r="BWF8" s="25" t="s">
        <v>13718</v>
      </c>
      <c r="BWG8" s="25" t="s">
        <v>25</v>
      </c>
      <c r="BWH8" s="25" t="s">
        <v>2169</v>
      </c>
      <c r="BWI8" s="25" t="s">
        <v>28</v>
      </c>
      <c r="BWJ8" s="25" t="s">
        <v>8267</v>
      </c>
      <c r="BWK8" s="25" t="s">
        <v>25</v>
      </c>
      <c r="BWM8" s="25" t="s">
        <v>28</v>
      </c>
      <c r="BWN8" s="56">
        <v>1250</v>
      </c>
      <c r="BWO8" s="25" t="s">
        <v>25</v>
      </c>
      <c r="BWQ8" s="25" t="s">
        <v>25</v>
      </c>
      <c r="BWX8" s="25" t="s">
        <v>28</v>
      </c>
      <c r="BWY8" s="25" t="s">
        <v>8497</v>
      </c>
      <c r="BWZ8" s="25" t="s">
        <v>28</v>
      </c>
      <c r="BXA8" s="56">
        <v>20</v>
      </c>
      <c r="BXB8" s="25" t="s">
        <v>25</v>
      </c>
      <c r="BXD8" s="25" t="s">
        <v>28</v>
      </c>
      <c r="BXE8" s="25" t="s">
        <v>8269</v>
      </c>
      <c r="BXF8" s="25" t="s">
        <v>28</v>
      </c>
      <c r="BXG8" s="56">
        <v>20</v>
      </c>
      <c r="BXH8" s="25" t="s">
        <v>25</v>
      </c>
      <c r="BXJ8" s="25" t="s">
        <v>25</v>
      </c>
      <c r="BYD8" s="25" t="s">
        <v>28</v>
      </c>
      <c r="BYE8" s="25" t="s">
        <v>14236</v>
      </c>
      <c r="BYF8" s="25" t="s">
        <v>8277</v>
      </c>
      <c r="BYH8" s="25" t="s">
        <v>8515</v>
      </c>
      <c r="BYK8" s="25" t="s">
        <v>28</v>
      </c>
      <c r="BYL8" s="25" t="s">
        <v>25</v>
      </c>
      <c r="BYN8" s="25" t="s">
        <v>25</v>
      </c>
      <c r="BYP8" s="25" t="s">
        <v>25</v>
      </c>
      <c r="BYR8" s="25" t="s">
        <v>28</v>
      </c>
      <c r="BYS8" s="25" t="s">
        <v>8279</v>
      </c>
      <c r="BYT8" s="25" t="s">
        <v>732</v>
      </c>
      <c r="BYU8" s="25" t="s">
        <v>732</v>
      </c>
      <c r="BYV8" s="25" t="s">
        <v>25</v>
      </c>
      <c r="BYW8" s="25" t="s">
        <v>28</v>
      </c>
      <c r="BYX8" s="56">
        <v>1500</v>
      </c>
      <c r="BYY8" s="56">
        <v>3000</v>
      </c>
      <c r="BYZ8" s="25" t="s">
        <v>8280</v>
      </c>
      <c r="BZA8" s="25" t="s">
        <v>8844</v>
      </c>
      <c r="BZB8" s="25" t="s">
        <v>249</v>
      </c>
      <c r="BZD8" s="25" t="s">
        <v>28</v>
      </c>
      <c r="BZE8" s="25" t="s">
        <v>28</v>
      </c>
      <c r="BZF8" s="25" t="s">
        <v>25</v>
      </c>
      <c r="BZG8" s="25" t="s">
        <v>25</v>
      </c>
      <c r="BZJ8" s="25" t="s">
        <v>25</v>
      </c>
      <c r="BZM8" s="25" t="s">
        <v>28</v>
      </c>
      <c r="BZN8" s="25" t="s">
        <v>8283</v>
      </c>
      <c r="BZP8" s="25" t="s">
        <v>8366</v>
      </c>
      <c r="BZR8" s="25" t="s">
        <v>819</v>
      </c>
      <c r="BZS8" s="25" t="s">
        <v>25</v>
      </c>
      <c r="BZT8" s="25" t="s">
        <v>8337</v>
      </c>
      <c r="BZV8" s="25" t="s">
        <v>13641</v>
      </c>
      <c r="BZX8" s="25" t="s">
        <v>8393</v>
      </c>
      <c r="BZZ8" s="25" t="s">
        <v>25</v>
      </c>
      <c r="CAC8" s="25" t="s">
        <v>28</v>
      </c>
      <c r="CAD8" s="25" t="s">
        <v>8288</v>
      </c>
      <c r="CAE8" s="25" t="s">
        <v>25</v>
      </c>
      <c r="CAH8" s="25" t="s">
        <v>631</v>
      </c>
      <c r="CAI8" s="25" t="s">
        <v>631</v>
      </c>
      <c r="CAJ8" s="25" t="s">
        <v>247</v>
      </c>
      <c r="CAK8" s="25" t="s">
        <v>247</v>
      </c>
      <c r="CAL8" s="25" t="s">
        <v>631</v>
      </c>
      <c r="CAM8" s="25" t="s">
        <v>8290</v>
      </c>
      <c r="CAN8" s="25" t="s">
        <v>247</v>
      </c>
      <c r="CAO8" s="25" t="s">
        <v>247</v>
      </c>
      <c r="CAP8" s="25" t="s">
        <v>631</v>
      </c>
      <c r="CAQ8" s="25" t="s">
        <v>631</v>
      </c>
      <c r="CAR8" s="25" t="s">
        <v>8339</v>
      </c>
      <c r="CAT8" s="25" t="s">
        <v>25</v>
      </c>
      <c r="CBB8" s="25">
        <v>2</v>
      </c>
      <c r="CBC8" s="25">
        <v>0</v>
      </c>
      <c r="CBD8" s="25">
        <v>0</v>
      </c>
      <c r="CBE8" s="56">
        <v>50</v>
      </c>
      <c r="CBF8" s="56">
        <v>150</v>
      </c>
      <c r="CBG8" s="56">
        <v>50</v>
      </c>
      <c r="CBH8" s="56">
        <v>150</v>
      </c>
      <c r="CBI8" s="56">
        <v>1500</v>
      </c>
      <c r="CBJ8" s="56">
        <v>1500</v>
      </c>
      <c r="CBK8" s="56">
        <v>1000</v>
      </c>
      <c r="CBL8" s="56">
        <v>1000</v>
      </c>
      <c r="CBM8" s="26">
        <v>0</v>
      </c>
      <c r="CBN8" s="26">
        <v>0</v>
      </c>
      <c r="CBO8" s="26">
        <v>0.2</v>
      </c>
      <c r="CBP8" s="26">
        <v>0.2</v>
      </c>
      <c r="CBQ8" s="26">
        <v>0.5</v>
      </c>
      <c r="CBR8" s="26">
        <v>0.5</v>
      </c>
      <c r="CBS8" s="26">
        <v>0.5</v>
      </c>
      <c r="CBT8" s="26">
        <v>0.5</v>
      </c>
      <c r="CBU8" s="27" t="s">
        <v>28</v>
      </c>
      <c r="CBV8" s="27" t="s">
        <v>8293</v>
      </c>
      <c r="CBW8" s="27" t="s">
        <v>8294</v>
      </c>
      <c r="CBX8" s="27" t="s">
        <v>8343</v>
      </c>
      <c r="CBY8" s="27" t="s">
        <v>8296</v>
      </c>
      <c r="CBZ8" s="27" t="s">
        <v>8296</v>
      </c>
      <c r="CCA8" s="27" t="s">
        <v>8297</v>
      </c>
      <c r="CCB8" s="27" t="s">
        <v>8298</v>
      </c>
      <c r="CCC8" s="27" t="s">
        <v>8296</v>
      </c>
      <c r="CCD8" s="27" t="s">
        <v>8297</v>
      </c>
      <c r="CCE8" s="27" t="s">
        <v>8296</v>
      </c>
      <c r="CCF8" s="27" t="s">
        <v>8297</v>
      </c>
      <c r="CCG8" s="27" t="s">
        <v>8297</v>
      </c>
      <c r="CCH8" s="27" t="s">
        <v>8296</v>
      </c>
      <c r="CCI8" s="27" t="s">
        <v>8298</v>
      </c>
      <c r="CCJ8" s="27" t="s">
        <v>8298</v>
      </c>
      <c r="CCK8" s="27" t="s">
        <v>8299</v>
      </c>
      <c r="CCL8" s="27" t="s">
        <v>8297</v>
      </c>
      <c r="CCN8" s="27" t="s">
        <v>8296</v>
      </c>
      <c r="CCO8" s="27" t="s">
        <v>8300</v>
      </c>
      <c r="CCP8" s="27" t="s">
        <v>8297</v>
      </c>
      <c r="CCQ8" s="27" t="s">
        <v>8297</v>
      </c>
      <c r="CCR8" s="27" t="s">
        <v>8297</v>
      </c>
      <c r="CCS8" s="27" t="s">
        <v>8296</v>
      </c>
      <c r="CCT8" s="27" t="s">
        <v>8296</v>
      </c>
      <c r="CCU8" s="27" t="s">
        <v>8298</v>
      </c>
      <c r="CCV8" s="27" t="s">
        <v>8298</v>
      </c>
      <c r="CCW8" s="27" t="s">
        <v>8298</v>
      </c>
      <c r="CCX8" s="27" t="s">
        <v>8298</v>
      </c>
      <c r="CCY8" s="27" t="s">
        <v>8298</v>
      </c>
      <c r="CCZ8" s="27" t="s">
        <v>28</v>
      </c>
      <c r="CDA8" s="27" t="s">
        <v>28</v>
      </c>
      <c r="CDB8" s="27" t="s">
        <v>28</v>
      </c>
      <c r="CDC8" s="27" t="s">
        <v>28</v>
      </c>
      <c r="CDD8" s="27" t="s">
        <v>28</v>
      </c>
      <c r="CDE8" s="27" t="s">
        <v>28</v>
      </c>
      <c r="CDF8" s="27" t="s">
        <v>28</v>
      </c>
      <c r="CDG8" s="27" t="s">
        <v>28</v>
      </c>
      <c r="CDH8" s="27" t="s">
        <v>28</v>
      </c>
      <c r="CDI8" s="27" t="s">
        <v>28</v>
      </c>
      <c r="CDJ8" s="27" t="s">
        <v>28</v>
      </c>
      <c r="CDK8" s="27" t="s">
        <v>28</v>
      </c>
      <c r="CDL8" s="27" t="s">
        <v>28</v>
      </c>
      <c r="CDM8" s="27" t="s">
        <v>28</v>
      </c>
      <c r="CDO8" s="27" t="s">
        <v>28</v>
      </c>
      <c r="CDP8" s="27" t="s">
        <v>25</v>
      </c>
      <c r="CDQ8" s="27" t="s">
        <v>28</v>
      </c>
      <c r="CDR8" s="27" t="s">
        <v>28</v>
      </c>
      <c r="CDS8" s="27" t="s">
        <v>28</v>
      </c>
      <c r="CDT8" s="27" t="s">
        <v>28</v>
      </c>
      <c r="CDU8" s="27" t="s">
        <v>28</v>
      </c>
      <c r="CDV8" s="27" t="s">
        <v>28</v>
      </c>
      <c r="CDW8" s="27" t="s">
        <v>28</v>
      </c>
      <c r="CDX8" s="27" t="s">
        <v>25</v>
      </c>
      <c r="CDY8" s="27" t="s">
        <v>25</v>
      </c>
      <c r="CDZ8" s="27" t="s">
        <v>25</v>
      </c>
      <c r="CEA8" s="27" t="s">
        <v>8305</v>
      </c>
      <c r="CEB8" s="27" t="s">
        <v>29</v>
      </c>
      <c r="CEC8" s="27" t="s">
        <v>8301</v>
      </c>
      <c r="CED8" s="27" t="s">
        <v>8302</v>
      </c>
      <c r="CEE8" s="27" t="s">
        <v>8305</v>
      </c>
      <c r="CEF8" s="27" t="s">
        <v>8301</v>
      </c>
      <c r="CEG8" s="27" t="s">
        <v>8420</v>
      </c>
      <c r="CEH8" s="27" t="s">
        <v>29</v>
      </c>
      <c r="CEI8" s="27" t="s">
        <v>8301</v>
      </c>
      <c r="CEJ8" s="27" t="s">
        <v>8302</v>
      </c>
      <c r="CEK8" s="27" t="s">
        <v>8302</v>
      </c>
      <c r="CEL8" s="27" t="s">
        <v>8302</v>
      </c>
      <c r="CEM8" s="27" t="s">
        <v>8301</v>
      </c>
      <c r="CEN8" s="27" t="s">
        <v>8301</v>
      </c>
      <c r="CEP8" s="27" t="s">
        <v>29</v>
      </c>
      <c r="CEQ8" s="27" t="s">
        <v>29</v>
      </c>
      <c r="CER8" s="27" t="s">
        <v>8305</v>
      </c>
      <c r="CES8" s="27" t="s">
        <v>29</v>
      </c>
      <c r="CET8" s="27" t="s">
        <v>29</v>
      </c>
      <c r="CEU8" s="27" t="s">
        <v>8304</v>
      </c>
      <c r="CEV8" s="27" t="s">
        <v>29</v>
      </c>
      <c r="CEW8" s="27" t="s">
        <v>8305</v>
      </c>
      <c r="CEX8" s="27" t="s">
        <v>8302</v>
      </c>
      <c r="CEY8" s="27" t="s">
        <v>29</v>
      </c>
      <c r="CEZ8" s="27" t="s">
        <v>8301</v>
      </c>
      <c r="CFA8" s="27" t="s">
        <v>29</v>
      </c>
      <c r="CFB8" s="27" t="s">
        <v>25</v>
      </c>
      <c r="CFD8" s="27" t="s">
        <v>25</v>
      </c>
      <c r="CFE8" s="27" t="s">
        <v>25</v>
      </c>
      <c r="CFF8" s="27" t="s">
        <v>25</v>
      </c>
      <c r="CFG8" s="27" t="s">
        <v>28</v>
      </c>
      <c r="CFH8" s="27" t="s">
        <v>25</v>
      </c>
      <c r="CFI8" s="27" t="s">
        <v>25</v>
      </c>
      <c r="CFJ8" s="27" t="s">
        <v>25</v>
      </c>
      <c r="CFK8" s="27" t="s">
        <v>25</v>
      </c>
      <c r="CFL8" s="27" t="s">
        <v>25</v>
      </c>
      <c r="CFM8" s="27" t="s">
        <v>28</v>
      </c>
      <c r="CFN8" s="27" t="s">
        <v>25</v>
      </c>
      <c r="CFO8" s="27" t="s">
        <v>28</v>
      </c>
      <c r="CFQ8" s="27" t="s">
        <v>28</v>
      </c>
      <c r="CFR8" s="27" t="s">
        <v>25</v>
      </c>
      <c r="CFS8" s="27" t="s">
        <v>25</v>
      </c>
      <c r="CFT8" s="27" t="s">
        <v>25</v>
      </c>
      <c r="CFU8" s="27" t="s">
        <v>25</v>
      </c>
      <c r="CFV8" s="27" t="s">
        <v>28</v>
      </c>
      <c r="CFW8" s="27" t="s">
        <v>25</v>
      </c>
      <c r="CFX8" s="27" t="s">
        <v>28</v>
      </c>
      <c r="CFY8" s="27" t="s">
        <v>25</v>
      </c>
      <c r="CFZ8" s="27" t="s">
        <v>28</v>
      </c>
      <c r="CGA8" s="27" t="s">
        <v>25</v>
      </c>
      <c r="CGB8" s="27" t="s">
        <v>25</v>
      </c>
      <c r="CPW8" s="27">
        <v>1</v>
      </c>
      <c r="CPX8" s="56">
        <v>20</v>
      </c>
      <c r="CPZ8" s="56">
        <v>70</v>
      </c>
      <c r="CQB8" s="25" t="s">
        <v>8307</v>
      </c>
      <c r="CQC8" s="25" t="s">
        <v>8307</v>
      </c>
      <c r="CQD8" s="25" t="s">
        <v>8344</v>
      </c>
      <c r="CQE8" s="25" t="s">
        <v>8307</v>
      </c>
      <c r="CQF8" s="25" t="s">
        <v>8307</v>
      </c>
      <c r="CQI8" s="56">
        <v>250</v>
      </c>
      <c r="CQJ8" s="56">
        <v>130</v>
      </c>
      <c r="CQL8" s="25" t="s">
        <v>13842</v>
      </c>
      <c r="CQM8" s="25" t="s">
        <v>8308</v>
      </c>
      <c r="CQN8" s="25" t="s">
        <v>28</v>
      </c>
      <c r="CQO8" s="25" t="s">
        <v>8309</v>
      </c>
      <c r="CQQ8" s="25" t="s">
        <v>8845</v>
      </c>
      <c r="CQR8" s="25" t="s">
        <v>8846</v>
      </c>
      <c r="CQS8" s="25" t="s">
        <v>25</v>
      </c>
      <c r="CQT8" s="25" t="s">
        <v>8313</v>
      </c>
      <c r="CQU8" s="25" t="s">
        <v>8313</v>
      </c>
      <c r="CQV8" s="25" t="s">
        <v>8313</v>
      </c>
      <c r="CQW8" s="25" t="s">
        <v>8313</v>
      </c>
      <c r="CQX8" s="25" t="s">
        <v>8313</v>
      </c>
      <c r="CQY8" s="25" t="s">
        <v>8312</v>
      </c>
      <c r="CQZ8" s="25" t="s">
        <v>8314</v>
      </c>
      <c r="CRA8" s="25" t="s">
        <v>8314</v>
      </c>
      <c r="CRB8" s="25" t="s">
        <v>8314</v>
      </c>
      <c r="CRC8" s="25" t="s">
        <v>8314</v>
      </c>
      <c r="CRD8" s="25" t="s">
        <v>8313</v>
      </c>
      <c r="CRE8" s="27" t="s">
        <v>8313</v>
      </c>
    </row>
    <row r="9" spans="1:2501" ht="89.25" x14ac:dyDescent="0.2">
      <c r="A9" s="21" t="s">
        <v>154</v>
      </c>
      <c r="B9" s="26">
        <v>0.23</v>
      </c>
      <c r="C9" s="26">
        <v>0</v>
      </c>
      <c r="D9" s="26">
        <v>0.14000000000000001</v>
      </c>
      <c r="E9" s="26">
        <v>0.57999999999999996</v>
      </c>
      <c r="F9" s="26">
        <v>0</v>
      </c>
      <c r="G9" s="26">
        <v>0</v>
      </c>
      <c r="H9" s="26">
        <v>0</v>
      </c>
      <c r="I9" s="26">
        <v>0</v>
      </c>
      <c r="J9" s="26">
        <v>0</v>
      </c>
      <c r="K9" s="26">
        <v>0</v>
      </c>
      <c r="L9" s="26">
        <v>0</v>
      </c>
      <c r="M9" s="26">
        <v>0.05</v>
      </c>
      <c r="N9" s="26">
        <v>0.28999999999999998</v>
      </c>
      <c r="O9" s="26">
        <v>0</v>
      </c>
      <c r="P9" s="26">
        <v>0.05</v>
      </c>
      <c r="Q9" s="26">
        <v>0.52</v>
      </c>
      <c r="R9" s="26">
        <v>0</v>
      </c>
      <c r="S9" s="26">
        <v>0</v>
      </c>
      <c r="T9" s="26">
        <v>0</v>
      </c>
      <c r="U9" s="26">
        <v>0</v>
      </c>
      <c r="V9" s="26">
        <v>0</v>
      </c>
      <c r="W9" s="26">
        <v>0</v>
      </c>
      <c r="X9" s="26">
        <v>0</v>
      </c>
      <c r="Y9" s="26">
        <v>0.14000000000000001</v>
      </c>
      <c r="Z9" s="25">
        <v>1</v>
      </c>
      <c r="AA9" s="25" t="s">
        <v>8541</v>
      </c>
      <c r="AC9" s="56">
        <v>3000</v>
      </c>
      <c r="AD9" s="56">
        <v>6000</v>
      </c>
      <c r="AE9" s="56">
        <v>5000</v>
      </c>
      <c r="AF9" s="56">
        <v>10000</v>
      </c>
      <c r="AI9" s="25" t="s">
        <v>13412</v>
      </c>
      <c r="AJ9" s="56">
        <v>750</v>
      </c>
      <c r="AK9" s="56">
        <v>1500</v>
      </c>
      <c r="AL9" s="56">
        <v>1500</v>
      </c>
      <c r="AM9" s="56">
        <v>3000</v>
      </c>
      <c r="AN9" s="25" t="s">
        <v>8350</v>
      </c>
      <c r="AO9" s="25" t="s">
        <v>8248</v>
      </c>
      <c r="BB9" s="25" t="s">
        <v>8249</v>
      </c>
      <c r="DO9" s="25" t="s">
        <v>25</v>
      </c>
      <c r="DP9" s="25" t="s">
        <v>28</v>
      </c>
      <c r="DQ9" s="25" t="s">
        <v>25</v>
      </c>
      <c r="DR9" s="25" t="s">
        <v>25</v>
      </c>
      <c r="DT9" s="25" t="s">
        <v>13417</v>
      </c>
      <c r="DU9" s="25" t="s">
        <v>13417</v>
      </c>
      <c r="DV9" s="56">
        <v>20</v>
      </c>
      <c r="DW9" s="56">
        <v>50</v>
      </c>
      <c r="DX9" s="56">
        <v>30</v>
      </c>
      <c r="DY9" s="56">
        <v>150</v>
      </c>
      <c r="DZ9" s="56">
        <v>20</v>
      </c>
      <c r="EA9" s="56">
        <v>5</v>
      </c>
      <c r="EM9" s="56">
        <v>150</v>
      </c>
      <c r="EN9" s="56">
        <v>20</v>
      </c>
      <c r="EO9" s="56">
        <v>5</v>
      </c>
      <c r="EQ9" s="26">
        <v>0.3</v>
      </c>
      <c r="ER9" s="26">
        <v>0.3</v>
      </c>
      <c r="ES9" s="26">
        <v>0.1</v>
      </c>
      <c r="EV9" s="26">
        <v>0.3</v>
      </c>
      <c r="EX9" s="25" t="s">
        <v>8250</v>
      </c>
      <c r="EY9" s="25" t="s">
        <v>8250</v>
      </c>
      <c r="EZ9" s="25" t="s">
        <v>8250</v>
      </c>
      <c r="FA9" s="25" t="s">
        <v>8250</v>
      </c>
      <c r="FB9" s="25" t="s">
        <v>8250</v>
      </c>
      <c r="FC9" s="25" t="s">
        <v>8250</v>
      </c>
      <c r="FD9" s="25" t="s">
        <v>8250</v>
      </c>
      <c r="FE9" s="25" t="s">
        <v>25</v>
      </c>
      <c r="FF9" s="25" t="s">
        <v>25</v>
      </c>
      <c r="FG9" s="25" t="s">
        <v>25</v>
      </c>
      <c r="FH9" s="25" t="s">
        <v>25</v>
      </c>
      <c r="FI9" s="25" t="s">
        <v>25</v>
      </c>
      <c r="FJ9" s="25" t="s">
        <v>25</v>
      </c>
      <c r="FK9" s="25" t="s">
        <v>25</v>
      </c>
      <c r="FL9" s="25" t="s">
        <v>631</v>
      </c>
      <c r="FM9" s="25" t="s">
        <v>13810</v>
      </c>
      <c r="FN9" s="25" t="s">
        <v>13810</v>
      </c>
      <c r="FO9" s="25" t="s">
        <v>13810</v>
      </c>
      <c r="FP9" s="25" t="s">
        <v>13810</v>
      </c>
      <c r="FQ9" s="25" t="s">
        <v>8252</v>
      </c>
      <c r="FR9" s="25" t="s">
        <v>13810</v>
      </c>
      <c r="FS9" s="25" t="s">
        <v>631</v>
      </c>
      <c r="FT9" s="25" t="s">
        <v>631</v>
      </c>
      <c r="FU9" s="25" t="s">
        <v>631</v>
      </c>
      <c r="FW9" s="25" t="s">
        <v>8383</v>
      </c>
      <c r="FX9" s="25" t="s">
        <v>8785</v>
      </c>
      <c r="FY9" s="25" t="s">
        <v>13454</v>
      </c>
      <c r="FZ9" s="25" t="s">
        <v>8253</v>
      </c>
      <c r="GA9" s="25" t="s">
        <v>8386</v>
      </c>
      <c r="GB9" s="25" t="s">
        <v>8253</v>
      </c>
      <c r="GE9" s="56">
        <v>10</v>
      </c>
      <c r="GG9" s="56">
        <v>20</v>
      </c>
      <c r="GI9" s="56">
        <v>40</v>
      </c>
      <c r="GK9" s="56">
        <v>80</v>
      </c>
      <c r="GM9" s="56">
        <v>80</v>
      </c>
      <c r="GO9" s="56">
        <v>160</v>
      </c>
      <c r="IB9" s="26">
        <v>0.3</v>
      </c>
      <c r="IC9" s="26">
        <v>0.3</v>
      </c>
      <c r="ID9" s="26">
        <v>0.3</v>
      </c>
      <c r="II9" s="56">
        <v>0.3</v>
      </c>
      <c r="IJ9" s="56">
        <v>30</v>
      </c>
      <c r="IK9" s="56">
        <v>30</v>
      </c>
      <c r="IL9" s="56">
        <v>30</v>
      </c>
      <c r="IM9" s="56">
        <v>30</v>
      </c>
      <c r="IN9" s="56">
        <v>30</v>
      </c>
      <c r="JR9" s="26">
        <v>0.3</v>
      </c>
      <c r="JS9" s="26">
        <v>0.3</v>
      </c>
      <c r="JT9" s="26">
        <v>0.3</v>
      </c>
      <c r="KM9" s="25" t="s">
        <v>8352</v>
      </c>
      <c r="KN9" s="25" t="s">
        <v>8256</v>
      </c>
      <c r="KO9" s="25" t="s">
        <v>8321</v>
      </c>
      <c r="KP9" s="25">
        <v>2</v>
      </c>
      <c r="KQ9" s="25" t="s">
        <v>8786</v>
      </c>
      <c r="KR9" s="25" t="s">
        <v>8787</v>
      </c>
      <c r="KS9" s="56">
        <v>2500</v>
      </c>
      <c r="KT9" s="56">
        <v>5000</v>
      </c>
      <c r="KU9" s="56">
        <v>5000</v>
      </c>
      <c r="KV9" s="56">
        <v>10000</v>
      </c>
      <c r="KW9" s="56">
        <v>10000</v>
      </c>
      <c r="KY9" s="25" t="s">
        <v>8246</v>
      </c>
      <c r="KZ9" s="56">
        <v>1400</v>
      </c>
      <c r="LA9" s="56">
        <v>3350</v>
      </c>
      <c r="LB9" s="56">
        <v>1800</v>
      </c>
      <c r="LC9" s="56">
        <v>3600</v>
      </c>
      <c r="LD9" s="25" t="s">
        <v>8247</v>
      </c>
      <c r="LE9" s="25" t="s">
        <v>8248</v>
      </c>
      <c r="LR9" s="25" t="s">
        <v>8249</v>
      </c>
      <c r="OE9" s="25" t="s">
        <v>25</v>
      </c>
      <c r="OF9" s="25" t="s">
        <v>28</v>
      </c>
      <c r="OG9" s="25" t="s">
        <v>25</v>
      </c>
      <c r="OH9" s="25" t="s">
        <v>25</v>
      </c>
      <c r="OJ9" s="25" t="s">
        <v>13416</v>
      </c>
      <c r="OK9" s="25" t="s">
        <v>13416</v>
      </c>
      <c r="OS9" s="26">
        <v>0.1</v>
      </c>
      <c r="OT9" s="26">
        <v>0.1</v>
      </c>
      <c r="OU9" s="26">
        <v>0.1</v>
      </c>
      <c r="OV9" s="26">
        <v>0.1</v>
      </c>
      <c r="OW9" s="26">
        <v>0.1</v>
      </c>
      <c r="OX9" s="26">
        <v>0.1</v>
      </c>
      <c r="PG9" s="26">
        <v>0.3</v>
      </c>
      <c r="PH9" s="26">
        <v>0.3</v>
      </c>
      <c r="PI9" s="26">
        <v>0.1</v>
      </c>
      <c r="PJ9" s="26">
        <v>0.1</v>
      </c>
      <c r="PK9" s="26">
        <v>0.1</v>
      </c>
      <c r="PL9" s="26">
        <v>0.1</v>
      </c>
      <c r="PN9" s="25" t="s">
        <v>8250</v>
      </c>
      <c r="PO9" s="25" t="s">
        <v>8250</v>
      </c>
      <c r="PP9" s="25" t="s">
        <v>8250</v>
      </c>
      <c r="PQ9" s="25" t="s">
        <v>8250</v>
      </c>
      <c r="PR9" s="25" t="s">
        <v>8250</v>
      </c>
      <c r="PS9" s="25" t="s">
        <v>8250</v>
      </c>
      <c r="PT9" s="25" t="s">
        <v>8250</v>
      </c>
      <c r="PU9" s="25" t="s">
        <v>25</v>
      </c>
      <c r="PV9" s="25" t="s">
        <v>25</v>
      </c>
      <c r="PW9" s="25" t="s">
        <v>25</v>
      </c>
      <c r="PX9" s="25" t="s">
        <v>25</v>
      </c>
      <c r="PY9" s="25" t="s">
        <v>25</v>
      </c>
      <c r="PZ9" s="25" t="s">
        <v>25</v>
      </c>
      <c r="QA9" s="25" t="s">
        <v>25</v>
      </c>
      <c r="QB9" s="25" t="s">
        <v>13810</v>
      </c>
      <c r="QC9" s="25" t="s">
        <v>13810</v>
      </c>
      <c r="QD9" s="25" t="s">
        <v>13810</v>
      </c>
      <c r="QE9" s="25" t="s">
        <v>13810</v>
      </c>
      <c r="QF9" s="25" t="s">
        <v>13810</v>
      </c>
      <c r="QG9" s="25" t="s">
        <v>8252</v>
      </c>
      <c r="QH9" s="25" t="s">
        <v>13810</v>
      </c>
      <c r="QI9" s="25" t="s">
        <v>631</v>
      </c>
      <c r="QJ9" s="25" t="s">
        <v>631</v>
      </c>
      <c r="QK9" s="25" t="s">
        <v>631</v>
      </c>
      <c r="QL9" s="25" t="s">
        <v>8325</v>
      </c>
      <c r="QM9" s="25" t="s">
        <v>8325</v>
      </c>
      <c r="QN9" s="25" t="s">
        <v>8788</v>
      </c>
      <c r="QO9" s="25" t="s">
        <v>13444</v>
      </c>
      <c r="QP9" s="25" t="s">
        <v>8325</v>
      </c>
      <c r="QQ9" s="25" t="s">
        <v>8386</v>
      </c>
      <c r="QR9" s="25" t="s">
        <v>13447</v>
      </c>
      <c r="RW9" s="26">
        <v>0.1</v>
      </c>
      <c r="RX9" s="26">
        <v>0.1</v>
      </c>
      <c r="RY9" s="26">
        <v>0.1</v>
      </c>
      <c r="SR9" s="26">
        <v>0.3</v>
      </c>
      <c r="SS9" s="26">
        <v>0.3</v>
      </c>
      <c r="ST9" s="26">
        <v>0.3</v>
      </c>
      <c r="TM9" s="26">
        <v>0.1</v>
      </c>
      <c r="TN9" s="26">
        <v>0.1</v>
      </c>
      <c r="TO9" s="26">
        <v>0.1</v>
      </c>
      <c r="UH9" s="26">
        <v>1</v>
      </c>
      <c r="UI9" s="26">
        <v>1</v>
      </c>
      <c r="UJ9" s="26">
        <v>1</v>
      </c>
      <c r="VC9" s="25" t="s">
        <v>8352</v>
      </c>
      <c r="VD9" s="25" t="s">
        <v>8298</v>
      </c>
      <c r="VE9" s="25" t="s">
        <v>8321</v>
      </c>
      <c r="VF9" s="25">
        <v>0</v>
      </c>
      <c r="VI9" s="25"/>
      <c r="VJ9" s="25"/>
      <c r="VK9" s="25"/>
      <c r="VL9" s="25"/>
      <c r="VM9" s="25"/>
      <c r="VN9" s="25"/>
      <c r="VP9" s="25"/>
      <c r="VQ9" s="25"/>
      <c r="VR9" s="25"/>
      <c r="VS9" s="25"/>
      <c r="ZA9" s="25"/>
      <c r="ZB9" s="25"/>
      <c r="ZC9" s="25"/>
      <c r="ZD9" s="25"/>
      <c r="ZE9" s="25"/>
      <c r="ZF9" s="25"/>
      <c r="ZG9" s="25"/>
      <c r="ZO9" s="25"/>
      <c r="ZP9" s="25"/>
      <c r="ZQ9" s="25"/>
      <c r="ZR9" s="25"/>
      <c r="ZS9" s="25"/>
      <c r="ZT9" s="25"/>
      <c r="ZU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S9" s="25"/>
      <c r="ACT9" s="25"/>
      <c r="ACU9" s="25"/>
      <c r="ACV9" s="25"/>
      <c r="ACW9" s="25"/>
      <c r="ACX9" s="25"/>
      <c r="ACY9" s="25"/>
      <c r="ACZ9" s="25"/>
      <c r="ADA9" s="25"/>
      <c r="ADB9" s="25"/>
      <c r="ADC9" s="25"/>
      <c r="ADD9" s="25"/>
      <c r="ADE9" s="25"/>
      <c r="ADF9" s="25"/>
      <c r="ADN9" s="25"/>
      <c r="ADO9" s="25"/>
      <c r="ADP9" s="25"/>
      <c r="ADQ9" s="25"/>
      <c r="ADR9" s="25"/>
      <c r="ADS9" s="25"/>
      <c r="ADT9" s="25"/>
      <c r="ADU9" s="25"/>
      <c r="ADV9" s="25"/>
      <c r="ADW9" s="25"/>
      <c r="ADX9" s="25"/>
      <c r="ADY9" s="25"/>
      <c r="ADZ9" s="25"/>
      <c r="AEA9" s="25"/>
      <c r="AEI9" s="25"/>
      <c r="AEJ9" s="25"/>
      <c r="AEK9" s="25"/>
      <c r="AEL9" s="25"/>
      <c r="AEM9" s="25"/>
      <c r="AEN9" s="25"/>
      <c r="AEO9" s="25"/>
      <c r="AEP9" s="25"/>
      <c r="AEQ9" s="25"/>
      <c r="AER9" s="25"/>
      <c r="AES9" s="25"/>
      <c r="AET9" s="25"/>
      <c r="AEU9" s="25"/>
      <c r="AEV9" s="25"/>
      <c r="AFD9" s="25"/>
      <c r="AFE9" s="25"/>
      <c r="AFF9" s="25"/>
      <c r="AFG9" s="25"/>
      <c r="AFH9" s="25"/>
      <c r="AFI9" s="25"/>
      <c r="AFJ9" s="25"/>
      <c r="AFK9" s="25"/>
      <c r="AFL9" s="25"/>
      <c r="AFM9" s="25"/>
      <c r="AFN9" s="25"/>
      <c r="AFO9" s="25"/>
      <c r="AFP9" s="25"/>
      <c r="AFQ9" s="25"/>
      <c r="AFU9" s="25">
        <v>0</v>
      </c>
      <c r="AFX9" s="25"/>
      <c r="AFY9" s="25"/>
      <c r="AFZ9" s="25"/>
      <c r="AGA9" s="25"/>
      <c r="AGB9" s="25"/>
      <c r="AGC9" s="25"/>
      <c r="AGE9" s="25"/>
      <c r="AGF9" s="25"/>
      <c r="AGG9" s="25"/>
      <c r="AGH9" s="25"/>
      <c r="AJP9" s="25"/>
      <c r="AJQ9" s="25"/>
      <c r="AJR9" s="25"/>
      <c r="AJS9" s="25"/>
      <c r="AJT9" s="25"/>
      <c r="AJU9" s="25"/>
      <c r="AJV9" s="25"/>
      <c r="AKD9" s="25"/>
      <c r="AKE9" s="25"/>
      <c r="AKF9" s="25"/>
      <c r="AKG9" s="25"/>
      <c r="AKH9" s="25"/>
      <c r="AKI9" s="25"/>
      <c r="AKJ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H9" s="25"/>
      <c r="ANI9" s="25"/>
      <c r="ANJ9" s="25"/>
      <c r="ANK9" s="25"/>
      <c r="ANL9" s="25"/>
      <c r="ANM9" s="25"/>
      <c r="ANN9" s="25"/>
      <c r="ANO9" s="25"/>
      <c r="ANP9" s="25"/>
      <c r="ANQ9" s="25"/>
      <c r="ANR9" s="25"/>
      <c r="ANS9" s="25"/>
      <c r="ANT9" s="25"/>
      <c r="ANU9" s="25"/>
      <c r="AOC9" s="25"/>
      <c r="AOD9" s="25"/>
      <c r="AOE9" s="25"/>
      <c r="AOF9" s="25"/>
      <c r="AOG9" s="25"/>
      <c r="AOH9" s="25"/>
      <c r="AOI9" s="25"/>
      <c r="AOJ9" s="25"/>
      <c r="AOK9" s="25"/>
      <c r="AOL9" s="25"/>
      <c r="AOM9" s="25"/>
      <c r="AON9" s="25"/>
      <c r="AOO9" s="25"/>
      <c r="AOP9" s="25"/>
      <c r="AOX9" s="25"/>
      <c r="AOY9" s="25"/>
      <c r="AOZ9" s="25"/>
      <c r="APA9" s="25"/>
      <c r="APB9" s="25"/>
      <c r="APC9" s="25"/>
      <c r="APD9" s="25"/>
      <c r="APE9" s="25"/>
      <c r="APF9" s="25"/>
      <c r="APG9" s="25"/>
      <c r="APH9" s="25"/>
      <c r="API9" s="25"/>
      <c r="APJ9" s="25"/>
      <c r="APK9" s="25"/>
      <c r="APS9" s="25"/>
      <c r="APT9" s="25"/>
      <c r="APU9" s="25"/>
      <c r="APV9" s="25"/>
      <c r="APW9" s="25"/>
      <c r="APX9" s="25"/>
      <c r="APY9" s="25"/>
      <c r="APZ9" s="25"/>
      <c r="AQA9" s="25"/>
      <c r="AQB9" s="25"/>
      <c r="AQC9" s="25"/>
      <c r="AQD9" s="25"/>
      <c r="AQE9" s="25"/>
      <c r="AQF9" s="25"/>
      <c r="AQJ9" s="25">
        <v>1</v>
      </c>
      <c r="AQK9" s="25" t="s">
        <v>3971</v>
      </c>
      <c r="AQM9" s="56">
        <v>1500</v>
      </c>
      <c r="AQN9" s="56">
        <v>3000</v>
      </c>
      <c r="AQS9" s="25" t="s">
        <v>8789</v>
      </c>
      <c r="AQX9" s="25" t="s">
        <v>8248</v>
      </c>
      <c r="ARK9" s="25" t="s">
        <v>8249</v>
      </c>
      <c r="ATX9" s="25" t="s">
        <v>25</v>
      </c>
      <c r="ATY9" s="25" t="s">
        <v>28</v>
      </c>
      <c r="ATZ9" s="25" t="s">
        <v>25</v>
      </c>
      <c r="AUA9" s="25" t="s">
        <v>25</v>
      </c>
      <c r="AUC9" s="25" t="s">
        <v>13417</v>
      </c>
      <c r="AUD9" s="25" t="s">
        <v>8404</v>
      </c>
      <c r="AUE9" s="56">
        <v>20</v>
      </c>
      <c r="AUF9" s="56">
        <v>20</v>
      </c>
      <c r="AUG9" s="56">
        <v>20</v>
      </c>
      <c r="AUH9" s="56">
        <v>125</v>
      </c>
      <c r="AUI9" s="56">
        <v>20</v>
      </c>
      <c r="AUV9" s="56">
        <v>125</v>
      </c>
      <c r="AVG9" s="25" t="s">
        <v>8250</v>
      </c>
      <c r="AVH9" s="25" t="s">
        <v>8250</v>
      </c>
      <c r="AVI9" s="25" t="s">
        <v>8250</v>
      </c>
      <c r="AVJ9" s="25" t="s">
        <v>8250</v>
      </c>
      <c r="AVK9" s="25" t="s">
        <v>8250</v>
      </c>
      <c r="AVL9" s="25" t="s">
        <v>8250</v>
      </c>
      <c r="AVM9" s="25" t="s">
        <v>8250</v>
      </c>
      <c r="AVN9" s="25" t="s">
        <v>25</v>
      </c>
      <c r="AVO9" s="25" t="s">
        <v>25</v>
      </c>
      <c r="AVP9" s="25" t="s">
        <v>25</v>
      </c>
      <c r="AVQ9" s="25" t="s">
        <v>25</v>
      </c>
      <c r="AVR9" s="25" t="s">
        <v>25</v>
      </c>
      <c r="AVS9" s="25" t="s">
        <v>25</v>
      </c>
      <c r="AVT9" s="25" t="s">
        <v>25</v>
      </c>
      <c r="AVU9" s="25" t="s">
        <v>13810</v>
      </c>
      <c r="AVV9" s="25" t="s">
        <v>13810</v>
      </c>
      <c r="AVW9" s="25" t="s">
        <v>13810</v>
      </c>
      <c r="AVX9" s="25" t="s">
        <v>13810</v>
      </c>
      <c r="AVY9" s="25" t="s">
        <v>13810</v>
      </c>
      <c r="AVZ9" s="25" t="s">
        <v>8252</v>
      </c>
      <c r="AWA9" s="25" t="s">
        <v>13810</v>
      </c>
      <c r="AWB9" s="25" t="s">
        <v>631</v>
      </c>
      <c r="AWC9" s="25" t="s">
        <v>631</v>
      </c>
      <c r="AWD9" s="25" t="s">
        <v>631</v>
      </c>
      <c r="AWE9" s="25" t="s">
        <v>8383</v>
      </c>
      <c r="AWF9" s="25" t="s">
        <v>8383</v>
      </c>
      <c r="AWG9" s="25" t="s">
        <v>8383</v>
      </c>
      <c r="AWH9" s="25" t="s">
        <v>8383</v>
      </c>
      <c r="AWI9" s="25" t="s">
        <v>8325</v>
      </c>
      <c r="AWJ9" s="25" t="s">
        <v>8325</v>
      </c>
      <c r="AWK9" s="25" t="s">
        <v>8383</v>
      </c>
      <c r="AWN9" s="56">
        <v>10</v>
      </c>
      <c r="AWP9" s="56">
        <v>20</v>
      </c>
      <c r="AWR9" s="56">
        <v>30</v>
      </c>
      <c r="AWT9" s="56">
        <v>60</v>
      </c>
      <c r="BAV9" s="25" t="s">
        <v>8255</v>
      </c>
      <c r="BAW9" s="25" t="s">
        <v>8256</v>
      </c>
      <c r="BAX9" s="25" t="s">
        <v>8321</v>
      </c>
      <c r="BAY9" s="25">
        <v>0</v>
      </c>
      <c r="BBB9" s="25"/>
      <c r="BBC9" s="25"/>
      <c r="BBD9" s="25"/>
      <c r="BBE9" s="25"/>
      <c r="BBF9" s="25"/>
      <c r="BBG9" s="25"/>
      <c r="BBI9" s="25"/>
      <c r="BBJ9" s="25"/>
      <c r="BBK9" s="25"/>
      <c r="BBL9" s="25"/>
      <c r="BET9" s="25"/>
      <c r="BEU9" s="25"/>
      <c r="BEV9" s="25"/>
      <c r="BEW9" s="25"/>
      <c r="BEX9" s="25"/>
      <c r="BEY9" s="25"/>
      <c r="BEZ9" s="25"/>
      <c r="BFH9" s="25"/>
      <c r="BFI9" s="25"/>
      <c r="BFJ9" s="25"/>
      <c r="BFK9" s="25"/>
      <c r="BFL9" s="25"/>
      <c r="BFM9" s="25"/>
      <c r="BFN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L9" s="25"/>
      <c r="BIM9" s="25"/>
      <c r="BIN9" s="25"/>
      <c r="BIO9" s="25"/>
      <c r="BIP9" s="25"/>
      <c r="BIQ9" s="25"/>
      <c r="BIR9" s="25"/>
      <c r="BIS9" s="25"/>
      <c r="BIT9" s="25"/>
      <c r="BIU9" s="25"/>
      <c r="BIV9" s="25"/>
      <c r="BIW9" s="25"/>
      <c r="BIX9" s="25"/>
      <c r="BIY9" s="25"/>
      <c r="BJG9" s="25"/>
      <c r="BJH9" s="25"/>
      <c r="BJI9" s="25"/>
      <c r="BJJ9" s="25"/>
      <c r="BJK9" s="25"/>
      <c r="BJL9" s="25"/>
      <c r="BJM9" s="25"/>
      <c r="BJN9" s="25"/>
      <c r="BJO9" s="25"/>
      <c r="BJP9" s="25"/>
      <c r="BJQ9" s="25"/>
      <c r="BJR9" s="25"/>
      <c r="BJS9" s="25"/>
      <c r="BJT9" s="25"/>
      <c r="BKB9" s="25"/>
      <c r="BKC9" s="25"/>
      <c r="BKD9" s="25"/>
      <c r="BKE9" s="25"/>
      <c r="BKF9" s="25"/>
      <c r="BKG9" s="25"/>
      <c r="BKH9" s="25"/>
      <c r="BKI9" s="25"/>
      <c r="BKJ9" s="25"/>
      <c r="BKK9" s="25"/>
      <c r="BKL9" s="25"/>
      <c r="BKM9" s="25"/>
      <c r="BKN9" s="25"/>
      <c r="BKO9" s="25"/>
      <c r="BKW9" s="25"/>
      <c r="BKX9" s="25"/>
      <c r="BKY9" s="25"/>
      <c r="BKZ9" s="25"/>
      <c r="BLA9" s="25"/>
      <c r="BLB9" s="25"/>
      <c r="BLC9" s="25"/>
      <c r="BLD9" s="25"/>
      <c r="BLE9" s="25"/>
      <c r="BLF9" s="25"/>
      <c r="BLG9" s="25"/>
      <c r="BLH9" s="25"/>
      <c r="BLI9" s="25"/>
      <c r="BLJ9" s="25"/>
      <c r="BLN9" s="25">
        <v>0</v>
      </c>
      <c r="BLQ9" s="25"/>
      <c r="BLR9" s="25"/>
      <c r="BLS9" s="25"/>
      <c r="BLT9" s="25"/>
      <c r="BLU9" s="25"/>
      <c r="BLV9" s="25"/>
      <c r="BLX9" s="25"/>
      <c r="BLY9" s="25"/>
      <c r="BLZ9" s="25"/>
      <c r="BMA9" s="25"/>
      <c r="BPI9" s="25"/>
      <c r="BPJ9" s="25"/>
      <c r="BPK9" s="25"/>
      <c r="BPL9" s="25"/>
      <c r="BPM9" s="25"/>
      <c r="BPN9" s="25"/>
      <c r="BPO9" s="25"/>
      <c r="BPW9" s="25"/>
      <c r="BPX9" s="25"/>
      <c r="BPY9" s="25"/>
      <c r="BPZ9" s="25"/>
      <c r="BQA9" s="25"/>
      <c r="BQB9" s="25"/>
      <c r="BQC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TA9" s="25"/>
      <c r="BTB9" s="25"/>
      <c r="BTC9" s="25"/>
      <c r="BTD9" s="25"/>
      <c r="BTE9" s="25"/>
      <c r="BTF9" s="25"/>
      <c r="BTG9" s="25"/>
      <c r="BTH9" s="25"/>
      <c r="BTI9" s="25"/>
      <c r="BTJ9" s="25"/>
      <c r="BTK9" s="25"/>
      <c r="BTL9" s="25"/>
      <c r="BTM9" s="25"/>
      <c r="BTN9" s="25"/>
      <c r="BUQ9" s="25"/>
      <c r="BUR9" s="25"/>
      <c r="BUS9" s="25"/>
      <c r="BUT9" s="25"/>
      <c r="BUU9" s="25"/>
      <c r="BUV9" s="25"/>
      <c r="BUW9" s="25"/>
      <c r="BUX9" s="25"/>
      <c r="BUY9" s="25"/>
      <c r="BUZ9" s="25"/>
      <c r="BVA9" s="25"/>
      <c r="BVB9" s="25"/>
      <c r="BVC9" s="25"/>
      <c r="BVD9" s="25"/>
      <c r="BWC9" s="25" t="s">
        <v>28</v>
      </c>
      <c r="BWD9" s="25" t="s">
        <v>8265</v>
      </c>
      <c r="BWE9" s="25" t="s">
        <v>8357</v>
      </c>
      <c r="BWF9" s="25" t="s">
        <v>13712</v>
      </c>
      <c r="BWG9" s="25" t="s">
        <v>28</v>
      </c>
      <c r="BWH9" s="25" t="s">
        <v>2169</v>
      </c>
      <c r="BWI9" s="25" t="s">
        <v>28</v>
      </c>
      <c r="BWJ9" s="25" t="s">
        <v>8267</v>
      </c>
      <c r="BWK9" s="25" t="s">
        <v>25</v>
      </c>
      <c r="BWM9" s="25" t="s">
        <v>25</v>
      </c>
      <c r="BWO9" s="25" t="s">
        <v>25</v>
      </c>
      <c r="BWQ9" s="25" t="s">
        <v>28</v>
      </c>
      <c r="BWR9" s="25" t="s">
        <v>25</v>
      </c>
      <c r="BWT9" s="25" t="s">
        <v>25</v>
      </c>
      <c r="BWV9" s="25" t="s">
        <v>25</v>
      </c>
      <c r="BWX9" s="25" t="s">
        <v>28</v>
      </c>
      <c r="BWY9" s="25" t="s">
        <v>8790</v>
      </c>
      <c r="BWZ9" s="25" t="s">
        <v>28</v>
      </c>
      <c r="BXA9" s="56">
        <v>12</v>
      </c>
      <c r="BXB9" s="25" t="s">
        <v>28</v>
      </c>
      <c r="BXC9" s="56">
        <v>18</v>
      </c>
      <c r="BXD9" s="25" t="s">
        <v>28</v>
      </c>
      <c r="BXE9" s="25" t="s">
        <v>8791</v>
      </c>
      <c r="BXF9" s="25" t="s">
        <v>28</v>
      </c>
      <c r="BXG9" s="56">
        <v>12</v>
      </c>
      <c r="BXH9" s="25" t="s">
        <v>28</v>
      </c>
      <c r="BXI9" s="56">
        <v>18</v>
      </c>
      <c r="BXJ9" s="25" t="s">
        <v>28</v>
      </c>
      <c r="BXK9" s="25" t="s">
        <v>8360</v>
      </c>
      <c r="BXL9" s="25" t="s">
        <v>13821</v>
      </c>
      <c r="BXM9" s="25" t="s">
        <v>2201</v>
      </c>
      <c r="BXN9" s="25" t="s">
        <v>8272</v>
      </c>
      <c r="BXO9" s="25" t="s">
        <v>8274</v>
      </c>
      <c r="BXP9" s="25" t="s">
        <v>8274</v>
      </c>
      <c r="BXQ9" s="25" t="s">
        <v>8361</v>
      </c>
      <c r="BXR9" s="25" t="s">
        <v>8361</v>
      </c>
      <c r="BXS9" s="25" t="s">
        <v>8274</v>
      </c>
      <c r="BXT9" s="25" t="s">
        <v>8792</v>
      </c>
      <c r="BXU9" s="25" t="s">
        <v>25</v>
      </c>
      <c r="BXW9" s="25" t="s">
        <v>25</v>
      </c>
      <c r="BXX9" s="25" t="s">
        <v>25</v>
      </c>
      <c r="BXY9" s="25" t="s">
        <v>25</v>
      </c>
      <c r="BXZ9" s="25" t="s">
        <v>25</v>
      </c>
      <c r="BYA9" s="25" t="s">
        <v>25</v>
      </c>
      <c r="BYB9" s="25" t="s">
        <v>25</v>
      </c>
      <c r="BYC9" s="25" t="s">
        <v>8276</v>
      </c>
      <c r="BYD9" s="25" t="s">
        <v>28</v>
      </c>
      <c r="BYE9" s="25" t="s">
        <v>13612</v>
      </c>
      <c r="BYF9" s="25" t="s">
        <v>13629</v>
      </c>
      <c r="BYH9" s="25" t="s">
        <v>8407</v>
      </c>
      <c r="BYK9" s="25" t="s">
        <v>28</v>
      </c>
      <c r="BYL9" s="25" t="s">
        <v>28</v>
      </c>
      <c r="BYM9" s="25">
        <v>30</v>
      </c>
      <c r="BYN9" s="25" t="s">
        <v>28</v>
      </c>
      <c r="BYO9" s="25">
        <v>30</v>
      </c>
      <c r="BYP9" s="25" t="s">
        <v>25</v>
      </c>
      <c r="BYR9" s="25" t="s">
        <v>28</v>
      </c>
      <c r="BYS9" s="25" t="s">
        <v>8279</v>
      </c>
      <c r="BYT9" s="25" t="s">
        <v>8279</v>
      </c>
      <c r="BYU9" s="25" t="s">
        <v>732</v>
      </c>
      <c r="BYV9" s="25" t="s">
        <v>25</v>
      </c>
      <c r="BYW9" s="25" t="s">
        <v>28</v>
      </c>
      <c r="BYX9" s="56">
        <v>2000</v>
      </c>
      <c r="BYY9" s="56">
        <v>3000</v>
      </c>
      <c r="BYZ9" s="25" t="s">
        <v>8408</v>
      </c>
      <c r="BZA9" s="25" t="s">
        <v>13828</v>
      </c>
      <c r="BZB9" s="25" t="s">
        <v>256</v>
      </c>
      <c r="BZC9" s="25" t="s">
        <v>8282</v>
      </c>
      <c r="BZD9" s="25" t="s">
        <v>28</v>
      </c>
      <c r="BZE9" s="25" t="s">
        <v>28</v>
      </c>
      <c r="BZF9" s="25" t="s">
        <v>28</v>
      </c>
      <c r="BZG9" s="25" t="s">
        <v>25</v>
      </c>
      <c r="BZJ9" s="25" t="s">
        <v>25</v>
      </c>
      <c r="BZM9" s="25" t="s">
        <v>28</v>
      </c>
      <c r="BZN9" s="25" t="s">
        <v>13633</v>
      </c>
      <c r="BZP9" s="25" t="s">
        <v>8366</v>
      </c>
      <c r="BZQ9" s="56" t="s">
        <v>8392</v>
      </c>
      <c r="BZR9" s="25" t="s">
        <v>28</v>
      </c>
      <c r="BZS9" s="25" t="s">
        <v>25</v>
      </c>
      <c r="BZT9" s="25" t="s">
        <v>8468</v>
      </c>
      <c r="BZV9" s="25" t="s">
        <v>13638</v>
      </c>
      <c r="BZX9" s="25" t="s">
        <v>13658</v>
      </c>
      <c r="BZZ9" s="25" t="s">
        <v>25</v>
      </c>
      <c r="CAC9" s="25" t="s">
        <v>28</v>
      </c>
      <c r="CAD9" s="25" t="s">
        <v>8288</v>
      </c>
      <c r="CAE9" s="25" t="s">
        <v>28</v>
      </c>
      <c r="CAF9" s="25" t="s">
        <v>8289</v>
      </c>
      <c r="CAG9" s="25" t="s">
        <v>28</v>
      </c>
      <c r="CAH9" s="25" t="s">
        <v>8290</v>
      </c>
      <c r="CAI9" s="25" t="s">
        <v>8290</v>
      </c>
      <c r="CAJ9" s="25" t="s">
        <v>631</v>
      </c>
      <c r="CAK9" s="25" t="s">
        <v>631</v>
      </c>
      <c r="CAL9" s="25" t="s">
        <v>631</v>
      </c>
      <c r="CAM9" s="25" t="s">
        <v>8290</v>
      </c>
      <c r="CAN9" s="25" t="s">
        <v>8290</v>
      </c>
      <c r="CAO9" s="25" t="s">
        <v>631</v>
      </c>
      <c r="CAP9" s="25" t="s">
        <v>8290</v>
      </c>
      <c r="CAQ9" s="25" t="s">
        <v>631</v>
      </c>
      <c r="CAR9" s="25" t="s">
        <v>8339</v>
      </c>
      <c r="CBB9" s="25">
        <v>1</v>
      </c>
      <c r="CBC9" s="25">
        <v>1</v>
      </c>
      <c r="CBD9" s="25">
        <v>0</v>
      </c>
      <c r="CBE9" s="56">
        <v>50</v>
      </c>
      <c r="CBF9" s="56">
        <v>100</v>
      </c>
      <c r="CBG9" s="56">
        <v>100</v>
      </c>
      <c r="CBH9" s="56">
        <v>300</v>
      </c>
      <c r="CBI9" s="56">
        <v>3000</v>
      </c>
      <c r="CBK9" s="56">
        <v>3000</v>
      </c>
      <c r="CBM9" s="26">
        <v>0</v>
      </c>
      <c r="CBN9" s="26">
        <v>0.1</v>
      </c>
      <c r="CBO9" s="26">
        <v>0.1</v>
      </c>
      <c r="CBP9" s="26">
        <v>0.3</v>
      </c>
      <c r="CBQ9" s="26">
        <v>0.4</v>
      </c>
      <c r="CBR9" s="26">
        <v>0.5</v>
      </c>
      <c r="CBS9" s="26">
        <v>0.5</v>
      </c>
      <c r="CBT9" s="26">
        <v>0.5</v>
      </c>
      <c r="CBU9" s="27" t="s">
        <v>28</v>
      </c>
      <c r="CBV9" s="27" t="s">
        <v>8573</v>
      </c>
      <c r="CBW9" s="27" t="s">
        <v>8294</v>
      </c>
      <c r="CBX9" s="27" t="s">
        <v>8343</v>
      </c>
      <c r="CBY9" s="27" t="s">
        <v>8296</v>
      </c>
      <c r="CBZ9" s="27" t="s">
        <v>8296</v>
      </c>
      <c r="CCA9" s="27" t="s">
        <v>8297</v>
      </c>
      <c r="CCB9" s="27" t="s">
        <v>8298</v>
      </c>
      <c r="CCC9" s="27" t="s">
        <v>8296</v>
      </c>
      <c r="CCD9" s="27" t="s">
        <v>8297</v>
      </c>
      <c r="CCE9" s="27" t="s">
        <v>8296</v>
      </c>
      <c r="CCF9" s="27" t="s">
        <v>8296</v>
      </c>
      <c r="CCG9" s="27" t="s">
        <v>8297</v>
      </c>
      <c r="CCH9" s="27" t="s">
        <v>8296</v>
      </c>
      <c r="CCI9" s="27" t="s">
        <v>8298</v>
      </c>
      <c r="CCJ9" s="27" t="s">
        <v>8298</v>
      </c>
      <c r="CCK9" s="27" t="s">
        <v>8299</v>
      </c>
      <c r="CCL9" s="27" t="s">
        <v>8297</v>
      </c>
      <c r="CCN9" s="27" t="s">
        <v>8296</v>
      </c>
      <c r="CCO9" s="27" t="s">
        <v>8300</v>
      </c>
      <c r="CCP9" s="27" t="s">
        <v>8296</v>
      </c>
      <c r="CCQ9" s="27" t="s">
        <v>8296</v>
      </c>
      <c r="CCR9" s="27" t="s">
        <v>8296</v>
      </c>
      <c r="CCS9" s="27" t="s">
        <v>8296</v>
      </c>
      <c r="CCT9" s="27" t="s">
        <v>8296</v>
      </c>
      <c r="CCU9" s="27" t="s">
        <v>8298</v>
      </c>
      <c r="CCV9" s="27" t="s">
        <v>8298</v>
      </c>
      <c r="CCW9" s="27" t="s">
        <v>8298</v>
      </c>
      <c r="CCX9" s="27" t="s">
        <v>8298</v>
      </c>
      <c r="CCY9" s="27" t="s">
        <v>8298</v>
      </c>
      <c r="CCZ9" s="27" t="s">
        <v>28</v>
      </c>
      <c r="CDA9" s="27" t="s">
        <v>28</v>
      </c>
      <c r="CDB9" s="27" t="s">
        <v>28</v>
      </c>
      <c r="CDC9" s="27" t="s">
        <v>25</v>
      </c>
      <c r="CDD9" s="27" t="s">
        <v>28</v>
      </c>
      <c r="CDE9" s="27" t="s">
        <v>28</v>
      </c>
      <c r="CDF9" s="27" t="s">
        <v>28</v>
      </c>
      <c r="CDG9" s="27" t="s">
        <v>28</v>
      </c>
      <c r="CDH9" s="27" t="s">
        <v>28</v>
      </c>
      <c r="CDI9" s="27" t="s">
        <v>28</v>
      </c>
      <c r="CDJ9" s="27" t="s">
        <v>25</v>
      </c>
      <c r="CDK9" s="27" t="s">
        <v>25</v>
      </c>
      <c r="CDL9" s="27" t="s">
        <v>28</v>
      </c>
      <c r="CDM9" s="27" t="s">
        <v>28</v>
      </c>
      <c r="CDO9" s="27" t="s">
        <v>28</v>
      </c>
      <c r="CDP9" s="27" t="s">
        <v>28</v>
      </c>
      <c r="CDQ9" s="27" t="s">
        <v>28</v>
      </c>
      <c r="CDR9" s="27" t="s">
        <v>28</v>
      </c>
      <c r="CDS9" s="27" t="s">
        <v>28</v>
      </c>
      <c r="CDT9" s="27" t="s">
        <v>28</v>
      </c>
      <c r="CDU9" s="27" t="s">
        <v>28</v>
      </c>
      <c r="CDV9" s="27" t="s">
        <v>25</v>
      </c>
      <c r="CDW9" s="27" t="s">
        <v>25</v>
      </c>
      <c r="CDX9" s="27" t="s">
        <v>25</v>
      </c>
      <c r="CDY9" s="27" t="s">
        <v>25</v>
      </c>
      <c r="CDZ9" s="27" t="s">
        <v>25</v>
      </c>
      <c r="CEA9" s="27" t="s">
        <v>2673</v>
      </c>
      <c r="CEB9" s="27" t="s">
        <v>2673</v>
      </c>
      <c r="CEC9" s="27" t="s">
        <v>8301</v>
      </c>
      <c r="CED9" s="27" t="s">
        <v>8371</v>
      </c>
      <c r="CEE9" s="27" t="s">
        <v>2673</v>
      </c>
      <c r="CEF9" s="27" t="s">
        <v>2673</v>
      </c>
      <c r="CEG9" s="27" t="s">
        <v>8420</v>
      </c>
      <c r="CEH9" s="27" t="s">
        <v>8303</v>
      </c>
      <c r="CEI9" s="27" t="s">
        <v>8301</v>
      </c>
      <c r="CEJ9" s="27" t="s">
        <v>2673</v>
      </c>
      <c r="CEK9" s="27" t="s">
        <v>8371</v>
      </c>
      <c r="CEL9" s="27" t="s">
        <v>8371</v>
      </c>
      <c r="CEM9" s="27" t="s">
        <v>2673</v>
      </c>
      <c r="CEN9" s="27" t="s">
        <v>8301</v>
      </c>
      <c r="CEP9" s="27" t="s">
        <v>8304</v>
      </c>
      <c r="CEQ9" s="27" t="s">
        <v>8304</v>
      </c>
      <c r="CER9" s="27" t="s">
        <v>8305</v>
      </c>
      <c r="CES9" s="27" t="s">
        <v>8303</v>
      </c>
      <c r="CET9" s="27" t="s">
        <v>2673</v>
      </c>
      <c r="CEU9" s="27" t="s">
        <v>8304</v>
      </c>
      <c r="CEV9" s="27" t="s">
        <v>2673</v>
      </c>
      <c r="CEW9" s="27" t="s">
        <v>2673</v>
      </c>
      <c r="CEX9" s="27" t="s">
        <v>8302</v>
      </c>
      <c r="CEY9" s="27" t="s">
        <v>8302</v>
      </c>
      <c r="CEZ9" s="27" t="s">
        <v>8303</v>
      </c>
      <c r="CFA9" s="27" t="s">
        <v>8303</v>
      </c>
      <c r="CFB9" s="27" t="s">
        <v>25</v>
      </c>
      <c r="CFC9" s="27" t="s">
        <v>25</v>
      </c>
      <c r="CFD9" s="27" t="s">
        <v>28</v>
      </c>
      <c r="CFE9" s="27" t="s">
        <v>25</v>
      </c>
      <c r="CFF9" s="27" t="s">
        <v>25</v>
      </c>
      <c r="CFG9" s="27" t="s">
        <v>28</v>
      </c>
      <c r="CFH9" s="27" t="s">
        <v>25</v>
      </c>
      <c r="CFI9" s="27" t="s">
        <v>25</v>
      </c>
      <c r="CFJ9" s="27" t="s">
        <v>25</v>
      </c>
      <c r="CFK9" s="27" t="s">
        <v>25</v>
      </c>
      <c r="CFL9" s="27" t="s">
        <v>25</v>
      </c>
      <c r="CFM9" s="27" t="s">
        <v>25</v>
      </c>
      <c r="CFN9" s="27" t="s">
        <v>28</v>
      </c>
      <c r="CFO9" s="27" t="s">
        <v>28</v>
      </c>
      <c r="CFQ9" s="27" t="s">
        <v>25</v>
      </c>
      <c r="CFR9" s="27" t="s">
        <v>25</v>
      </c>
      <c r="CFS9" s="27" t="s">
        <v>25</v>
      </c>
      <c r="CFT9" s="27" t="s">
        <v>25</v>
      </c>
      <c r="CFU9" s="27" t="s">
        <v>25</v>
      </c>
      <c r="CFV9" s="27" t="s">
        <v>28</v>
      </c>
      <c r="CFW9" s="27" t="s">
        <v>25</v>
      </c>
      <c r="CFX9" s="27" t="s">
        <v>28</v>
      </c>
      <c r="CFY9" s="27" t="s">
        <v>28</v>
      </c>
      <c r="CFZ9" s="27" t="s">
        <v>25</v>
      </c>
      <c r="CGA9" s="27" t="s">
        <v>25</v>
      </c>
      <c r="CGB9" s="27" t="s">
        <v>25</v>
      </c>
      <c r="CGC9" s="56">
        <v>0</v>
      </c>
      <c r="CGD9" s="56">
        <v>0</v>
      </c>
      <c r="CGK9" s="26">
        <v>0</v>
      </c>
      <c r="CGL9" s="26">
        <v>1</v>
      </c>
      <c r="CGM9" s="26">
        <v>0</v>
      </c>
      <c r="CGN9" s="26">
        <v>1</v>
      </c>
      <c r="CGO9" s="26">
        <v>0</v>
      </c>
      <c r="CGP9" s="26">
        <v>1</v>
      </c>
      <c r="CGQ9" s="26">
        <v>0.5</v>
      </c>
      <c r="CGR9" s="26">
        <v>1</v>
      </c>
      <c r="CGS9" s="27" t="s">
        <v>8369</v>
      </c>
      <c r="CGT9" s="27" t="s">
        <v>8294</v>
      </c>
      <c r="CGU9" s="27" t="s">
        <v>13839</v>
      </c>
      <c r="CGV9" s="27" t="s">
        <v>8296</v>
      </c>
      <c r="CGW9" s="27" t="s">
        <v>8296</v>
      </c>
      <c r="CGX9" s="27" t="s">
        <v>8297</v>
      </c>
      <c r="CGY9" s="27" t="s">
        <v>8298</v>
      </c>
      <c r="CGZ9" s="27" t="s">
        <v>8296</v>
      </c>
      <c r="CHA9" s="27" t="s">
        <v>8297</v>
      </c>
      <c r="CHB9" s="27" t="s">
        <v>8297</v>
      </c>
      <c r="CHC9" s="27" t="s">
        <v>8297</v>
      </c>
      <c r="CHD9" s="27" t="s">
        <v>8297</v>
      </c>
      <c r="CHF9" s="27" t="s">
        <v>8298</v>
      </c>
      <c r="CHI9" s="27" t="s">
        <v>8297</v>
      </c>
      <c r="CHK9" s="27" t="s">
        <v>8296</v>
      </c>
      <c r="CHL9" s="27" t="s">
        <v>8300</v>
      </c>
      <c r="CHM9" s="27" t="s">
        <v>8296</v>
      </c>
      <c r="CHN9" s="27" t="s">
        <v>8296</v>
      </c>
      <c r="CHO9" s="27" t="s">
        <v>8296</v>
      </c>
      <c r="CHP9" s="27" t="s">
        <v>8296</v>
      </c>
      <c r="CHQ9" s="27" t="s">
        <v>8296</v>
      </c>
      <c r="CHR9" s="27" t="s">
        <v>8298</v>
      </c>
      <c r="CHS9" s="27" t="s">
        <v>8298</v>
      </c>
      <c r="CHT9" s="27" t="s">
        <v>8298</v>
      </c>
      <c r="CHU9" s="27" t="s">
        <v>8298</v>
      </c>
      <c r="CHV9" s="27" t="s">
        <v>8298</v>
      </c>
      <c r="CHW9" s="27" t="s">
        <v>25</v>
      </c>
      <c r="CHX9" s="27" t="s">
        <v>25</v>
      </c>
      <c r="CHY9" s="27" t="s">
        <v>25</v>
      </c>
      <c r="CHZ9" s="27" t="s">
        <v>25</v>
      </c>
      <c r="CIA9" s="27" t="s">
        <v>25</v>
      </c>
      <c r="CIB9" s="27" t="s">
        <v>25</v>
      </c>
      <c r="CIC9" s="27" t="s">
        <v>25</v>
      </c>
      <c r="CID9" s="27" t="s">
        <v>25</v>
      </c>
      <c r="CIE9" s="27" t="s">
        <v>25</v>
      </c>
      <c r="CIG9" s="27" t="s">
        <v>25</v>
      </c>
      <c r="CIJ9" s="27" t="s">
        <v>25</v>
      </c>
      <c r="CIL9" s="27" t="s">
        <v>25</v>
      </c>
      <c r="CIM9" s="27" t="s">
        <v>25</v>
      </c>
      <c r="CIN9" s="27" t="s">
        <v>25</v>
      </c>
      <c r="CIO9" s="27" t="s">
        <v>25</v>
      </c>
      <c r="CIP9" s="27" t="s">
        <v>25</v>
      </c>
      <c r="CIQ9" s="27" t="s">
        <v>25</v>
      </c>
      <c r="CIR9" s="27" t="s">
        <v>25</v>
      </c>
      <c r="CIS9" s="27" t="s">
        <v>25</v>
      </c>
      <c r="CIT9" s="27" t="s">
        <v>25</v>
      </c>
      <c r="CIU9" s="27" t="s">
        <v>25</v>
      </c>
      <c r="CIV9" s="27" t="s">
        <v>25</v>
      </c>
      <c r="CIW9" s="27" t="s">
        <v>25</v>
      </c>
      <c r="CIX9" s="27" t="s">
        <v>2673</v>
      </c>
      <c r="CIY9" s="27" t="s">
        <v>2673</v>
      </c>
      <c r="CIZ9" s="27" t="s">
        <v>2673</v>
      </c>
      <c r="CJA9" s="27" t="s">
        <v>8302</v>
      </c>
      <c r="CJB9" s="27" t="s">
        <v>2673</v>
      </c>
      <c r="CJC9" s="27" t="s">
        <v>2673</v>
      </c>
      <c r="CJD9" s="27" t="s">
        <v>2673</v>
      </c>
      <c r="CJE9" s="27" t="s">
        <v>2673</v>
      </c>
      <c r="CJF9" s="27" t="s">
        <v>2673</v>
      </c>
      <c r="CJH9" s="27" t="s">
        <v>8302</v>
      </c>
      <c r="CJK9" s="27" t="s">
        <v>2673</v>
      </c>
      <c r="CJM9" s="27" t="s">
        <v>2673</v>
      </c>
      <c r="CJN9" s="27" t="s">
        <v>2673</v>
      </c>
      <c r="CJO9" s="27" t="s">
        <v>8421</v>
      </c>
      <c r="CJP9" s="27" t="s">
        <v>2673</v>
      </c>
      <c r="CJQ9" s="27" t="s">
        <v>2673</v>
      </c>
      <c r="CJR9" s="27" t="s">
        <v>2673</v>
      </c>
      <c r="CJS9" s="27" t="s">
        <v>2673</v>
      </c>
      <c r="CJT9" s="27" t="s">
        <v>2673</v>
      </c>
      <c r="CJU9" s="27" t="s">
        <v>8302</v>
      </c>
      <c r="CJV9" s="27" t="s">
        <v>8420</v>
      </c>
      <c r="CJW9" s="27" t="s">
        <v>2673</v>
      </c>
      <c r="CJX9" s="27" t="s">
        <v>2673</v>
      </c>
      <c r="CJY9" s="27" t="s">
        <v>25</v>
      </c>
      <c r="CJZ9" s="27" t="s">
        <v>25</v>
      </c>
      <c r="CKA9" s="27" t="s">
        <v>25</v>
      </c>
      <c r="CKB9" s="27" t="s">
        <v>25</v>
      </c>
      <c r="CKC9" s="27" t="s">
        <v>25</v>
      </c>
      <c r="CKD9" s="27" t="s">
        <v>25</v>
      </c>
      <c r="CKE9" s="27" t="s">
        <v>25</v>
      </c>
      <c r="CKF9" s="27" t="s">
        <v>25</v>
      </c>
      <c r="CKG9" s="27" t="s">
        <v>25</v>
      </c>
      <c r="CKI9" s="27" t="s">
        <v>25</v>
      </c>
      <c r="CKL9" s="27" t="s">
        <v>25</v>
      </c>
      <c r="CKN9" s="27" t="s">
        <v>25</v>
      </c>
      <c r="CKO9" s="27" t="s">
        <v>25</v>
      </c>
      <c r="CKP9" s="27" t="s">
        <v>25</v>
      </c>
      <c r="CKQ9" s="27" t="s">
        <v>25</v>
      </c>
      <c r="CKR9" s="27" t="s">
        <v>25</v>
      </c>
      <c r="CKS9" s="27" t="s">
        <v>25</v>
      </c>
      <c r="CKT9" s="27" t="s">
        <v>25</v>
      </c>
      <c r="CKU9" s="27" t="s">
        <v>28</v>
      </c>
      <c r="CKV9" s="27" t="s">
        <v>28</v>
      </c>
      <c r="CKW9" s="27" t="s">
        <v>25</v>
      </c>
      <c r="CKX9" s="27" t="s">
        <v>25</v>
      </c>
      <c r="CKY9" s="27" t="s">
        <v>25</v>
      </c>
      <c r="CPW9" s="27">
        <v>1</v>
      </c>
      <c r="CPX9" s="56">
        <v>10</v>
      </c>
      <c r="CPY9" s="26">
        <v>0</v>
      </c>
      <c r="CQA9" s="26">
        <v>0</v>
      </c>
      <c r="CQB9" s="25" t="s">
        <v>8307</v>
      </c>
      <c r="CQC9" s="25" t="s">
        <v>8307</v>
      </c>
      <c r="CQD9" s="25" t="s">
        <v>8344</v>
      </c>
      <c r="CQE9" s="25" t="s">
        <v>8307</v>
      </c>
      <c r="CQF9" s="25" t="s">
        <v>8307</v>
      </c>
      <c r="CQG9" s="56">
        <v>150</v>
      </c>
      <c r="CQI9" s="56">
        <v>300</v>
      </c>
      <c r="CQJ9" s="56">
        <v>300</v>
      </c>
      <c r="CQL9" s="25" t="s">
        <v>13688</v>
      </c>
      <c r="CQM9" s="25" t="s">
        <v>8308</v>
      </c>
      <c r="CQN9" s="25" t="s">
        <v>28</v>
      </c>
      <c r="CQO9" s="25" t="s">
        <v>8309</v>
      </c>
      <c r="CQQ9" s="25" t="s">
        <v>8793</v>
      </c>
      <c r="CQR9" s="25" t="s">
        <v>8794</v>
      </c>
      <c r="CQS9" s="25" t="s">
        <v>25</v>
      </c>
      <c r="CQT9" s="25" t="s">
        <v>8313</v>
      </c>
      <c r="CQU9" s="25" t="s">
        <v>8313</v>
      </c>
      <c r="CQV9" s="25" t="s">
        <v>8313</v>
      </c>
      <c r="CQW9" s="25" t="s">
        <v>8313</v>
      </c>
      <c r="CQX9" s="25" t="s">
        <v>8313</v>
      </c>
      <c r="CQY9" s="25" t="s">
        <v>8313</v>
      </c>
      <c r="CQZ9" s="25" t="s">
        <v>8312</v>
      </c>
      <c r="CRA9" s="25" t="s">
        <v>8314</v>
      </c>
      <c r="CRB9" s="25" t="s">
        <v>8314</v>
      </c>
      <c r="CRC9" s="25" t="s">
        <v>8313</v>
      </c>
      <c r="CRD9" s="25" t="s">
        <v>8313</v>
      </c>
      <c r="CRE9" s="27" t="s">
        <v>8313</v>
      </c>
    </row>
    <row r="10" spans="1:2501" s="8" customFormat="1" ht="63.75" x14ac:dyDescent="0.2">
      <c r="A10" s="21" t="s">
        <v>170</v>
      </c>
      <c r="B10" s="11">
        <v>0.55000000000000004</v>
      </c>
      <c r="C10" s="11">
        <v>0</v>
      </c>
      <c r="D10" s="11">
        <v>0.13</v>
      </c>
      <c r="E10" s="11">
        <v>0.26</v>
      </c>
      <c r="F10" s="11">
        <v>0</v>
      </c>
      <c r="G10" s="11">
        <v>0</v>
      </c>
      <c r="H10" s="11">
        <v>0</v>
      </c>
      <c r="I10" s="11">
        <v>0</v>
      </c>
      <c r="J10" s="11">
        <v>0</v>
      </c>
      <c r="K10" s="11">
        <v>0</v>
      </c>
      <c r="L10" s="11">
        <v>0</v>
      </c>
      <c r="M10" s="11">
        <v>0.06</v>
      </c>
      <c r="N10" s="11">
        <v>0.5</v>
      </c>
      <c r="O10" s="11">
        <v>0</v>
      </c>
      <c r="P10" s="11">
        <v>0</v>
      </c>
      <c r="Q10" s="11">
        <v>0</v>
      </c>
      <c r="R10" s="11">
        <v>0</v>
      </c>
      <c r="S10" s="11">
        <v>0</v>
      </c>
      <c r="T10" s="11">
        <v>0</v>
      </c>
      <c r="U10" s="11">
        <v>0</v>
      </c>
      <c r="V10" s="11">
        <v>0</v>
      </c>
      <c r="W10" s="11">
        <v>0</v>
      </c>
      <c r="X10" s="11">
        <v>0</v>
      </c>
      <c r="Y10" s="11">
        <v>0.5</v>
      </c>
      <c r="Z10" s="9">
        <v>1</v>
      </c>
      <c r="AA10" s="9" t="s">
        <v>8918</v>
      </c>
      <c r="AB10" s="9"/>
      <c r="AC10" s="39">
        <v>2250</v>
      </c>
      <c r="AD10" s="39">
        <v>4500</v>
      </c>
      <c r="AE10" s="39">
        <v>6500</v>
      </c>
      <c r="AF10" s="39">
        <v>13000</v>
      </c>
      <c r="AG10" s="39"/>
      <c r="AH10" s="39"/>
      <c r="AI10" s="9" t="s">
        <v>9341</v>
      </c>
      <c r="AJ10" s="39">
        <v>250</v>
      </c>
      <c r="AK10" s="39">
        <v>750</v>
      </c>
      <c r="AL10" s="39">
        <v>250</v>
      </c>
      <c r="AM10" s="39">
        <v>750</v>
      </c>
      <c r="AN10" s="9" t="s">
        <v>8350</v>
      </c>
      <c r="AO10" s="9" t="s">
        <v>8248</v>
      </c>
      <c r="AP10" s="9"/>
      <c r="AQ10" s="9"/>
      <c r="AR10" s="9"/>
      <c r="AS10" s="9"/>
      <c r="AT10" s="9"/>
      <c r="AU10" s="9"/>
      <c r="AV10" s="9"/>
      <c r="AW10" s="9"/>
      <c r="AX10" s="9"/>
      <c r="AY10" s="9"/>
      <c r="AZ10" s="9"/>
      <c r="BA10" s="9"/>
      <c r="BB10" s="9" t="s">
        <v>8249</v>
      </c>
      <c r="BC10" s="9"/>
      <c r="BD10" s="9"/>
      <c r="BE10" s="9"/>
      <c r="BF10" s="9"/>
      <c r="BG10" s="9"/>
      <c r="BH10" s="9"/>
      <c r="BI10" s="9"/>
      <c r="BJ10" s="9"/>
      <c r="BK10" s="9"/>
      <c r="BL10" s="9"/>
      <c r="BM10" s="9"/>
      <c r="BN10" s="9"/>
      <c r="BO10" s="9"/>
      <c r="BP10" s="9"/>
      <c r="BQ10" s="9"/>
      <c r="BR10" s="9"/>
      <c r="BS10" s="9"/>
      <c r="BT10" s="9"/>
      <c r="BU10" s="9"/>
      <c r="BV10" s="9"/>
      <c r="BW10" s="9"/>
      <c r="BX10" s="39"/>
      <c r="BY10" s="9"/>
      <c r="BZ10" s="9"/>
      <c r="CA10" s="9"/>
      <c r="CB10" s="9"/>
      <c r="CC10" s="9"/>
      <c r="CD10" s="9"/>
      <c r="CE10" s="9"/>
      <c r="CF10" s="9"/>
      <c r="CG10" s="9"/>
      <c r="CH10" s="9"/>
      <c r="CI10" s="9"/>
      <c r="CJ10" s="9"/>
      <c r="CK10" s="39"/>
      <c r="CL10" s="9"/>
      <c r="CM10" s="9"/>
      <c r="CN10" s="9"/>
      <c r="CO10" s="9"/>
      <c r="CP10" s="9"/>
      <c r="CQ10" s="9"/>
      <c r="CR10" s="9"/>
      <c r="CS10" s="9"/>
      <c r="CT10" s="9"/>
      <c r="CU10" s="9"/>
      <c r="CV10" s="39"/>
      <c r="CW10" s="39"/>
      <c r="CX10" s="39"/>
      <c r="CY10" s="39"/>
      <c r="CZ10" s="39"/>
      <c r="DA10" s="39"/>
      <c r="DB10" s="54"/>
      <c r="DC10" s="39"/>
      <c r="DD10" s="39"/>
      <c r="DE10" s="39"/>
      <c r="DF10" s="39"/>
      <c r="DG10" s="39"/>
      <c r="DH10" s="39"/>
      <c r="DI10" s="39"/>
      <c r="DJ10" s="39"/>
      <c r="DK10" s="39"/>
      <c r="DL10" s="39"/>
      <c r="DM10" s="39"/>
      <c r="DN10" s="39"/>
      <c r="DO10" s="9" t="s">
        <v>25</v>
      </c>
      <c r="DP10" s="9" t="s">
        <v>28</v>
      </c>
      <c r="DQ10" s="9" t="s">
        <v>25</v>
      </c>
      <c r="DR10" s="9" t="s">
        <v>25</v>
      </c>
      <c r="DS10" s="9"/>
      <c r="DT10" s="9" t="s">
        <v>13417</v>
      </c>
      <c r="DU10" s="9" t="s">
        <v>13417</v>
      </c>
      <c r="DV10" s="39">
        <v>20</v>
      </c>
      <c r="DW10" s="39">
        <v>20</v>
      </c>
      <c r="DX10" s="39"/>
      <c r="DY10" s="39">
        <v>150</v>
      </c>
      <c r="DZ10" s="39"/>
      <c r="EA10" s="39">
        <v>20</v>
      </c>
      <c r="EB10" s="39"/>
      <c r="EC10" s="26">
        <v>0.1</v>
      </c>
      <c r="ED10" s="26">
        <v>0.1</v>
      </c>
      <c r="EE10" s="26">
        <v>0.1</v>
      </c>
      <c r="EF10" s="26">
        <v>0.1</v>
      </c>
      <c r="EG10" s="26">
        <v>0.1</v>
      </c>
      <c r="EH10" s="26">
        <v>0.1</v>
      </c>
      <c r="EI10" s="9"/>
      <c r="EJ10" s="39"/>
      <c r="EK10" s="39"/>
      <c r="EL10" s="39"/>
      <c r="EM10" s="39"/>
      <c r="EN10" s="39"/>
      <c r="EO10" s="39"/>
      <c r="EP10" s="39"/>
      <c r="EQ10" s="26">
        <v>0.3</v>
      </c>
      <c r="ER10" s="26">
        <v>0.3</v>
      </c>
      <c r="ES10" s="26">
        <v>0.3</v>
      </c>
      <c r="ET10" s="26">
        <v>0.3</v>
      </c>
      <c r="EU10" s="26">
        <v>0.3</v>
      </c>
      <c r="EV10" s="26">
        <v>0.3</v>
      </c>
      <c r="EW10" s="9"/>
      <c r="EX10" s="9" t="s">
        <v>8250</v>
      </c>
      <c r="EY10" s="9" t="s">
        <v>8250</v>
      </c>
      <c r="EZ10" s="9" t="s">
        <v>8250</v>
      </c>
      <c r="FA10" s="9" t="s">
        <v>8250</v>
      </c>
      <c r="FB10" s="9" t="s">
        <v>8250</v>
      </c>
      <c r="FC10" s="9" t="s">
        <v>8250</v>
      </c>
      <c r="FD10" s="9" t="s">
        <v>8250</v>
      </c>
      <c r="FE10" s="9" t="s">
        <v>8324</v>
      </c>
      <c r="FF10" s="9" t="s">
        <v>8324</v>
      </c>
      <c r="FG10" s="9" t="s">
        <v>8324</v>
      </c>
      <c r="FH10" s="9" t="s">
        <v>8324</v>
      </c>
      <c r="FI10" s="9" t="s">
        <v>8324</v>
      </c>
      <c r="FJ10" s="9" t="s">
        <v>8324</v>
      </c>
      <c r="FK10" s="9" t="s">
        <v>8324</v>
      </c>
      <c r="FL10" s="25" t="s">
        <v>13810</v>
      </c>
      <c r="FM10" s="25" t="s">
        <v>13810</v>
      </c>
      <c r="FN10" s="25" t="s">
        <v>13810</v>
      </c>
      <c r="FO10" s="25" t="s">
        <v>13810</v>
      </c>
      <c r="FP10" s="9"/>
      <c r="FQ10" s="9"/>
      <c r="FR10" s="9"/>
      <c r="FS10" s="9"/>
      <c r="FT10" s="9"/>
      <c r="FU10" s="9"/>
      <c r="FV10" s="9"/>
      <c r="FW10" s="9"/>
      <c r="FX10" s="9"/>
      <c r="FY10" s="9"/>
      <c r="FZ10" s="9"/>
      <c r="GA10" s="9"/>
      <c r="GB10" s="9"/>
      <c r="GC10" s="9"/>
      <c r="GD10" s="9"/>
      <c r="GE10" s="39">
        <v>5</v>
      </c>
      <c r="GF10" s="39"/>
      <c r="GG10" s="39">
        <v>13</v>
      </c>
      <c r="GH10" s="39"/>
      <c r="GI10" s="39">
        <v>25</v>
      </c>
      <c r="GJ10" s="39"/>
      <c r="GK10" s="39">
        <v>63</v>
      </c>
      <c r="GL10" s="39"/>
      <c r="GM10" s="39">
        <v>40</v>
      </c>
      <c r="GN10" s="39"/>
      <c r="GO10" s="39">
        <v>100</v>
      </c>
      <c r="GP10" s="39"/>
      <c r="GQ10" s="39"/>
      <c r="GR10" s="39"/>
      <c r="GS10" s="39"/>
      <c r="GT10" s="39"/>
      <c r="GU10" s="39"/>
      <c r="GV10" s="39"/>
      <c r="GW10" s="39"/>
      <c r="GX10" s="39"/>
      <c r="GY10" s="39"/>
      <c r="GZ10" s="39"/>
      <c r="HA10" s="39"/>
      <c r="HB10" s="39"/>
      <c r="HC10" s="39"/>
      <c r="HD10" s="39"/>
      <c r="HE10" s="39"/>
      <c r="HF10" s="39"/>
      <c r="HG10" s="9"/>
      <c r="HH10" s="9"/>
      <c r="HI10" s="9"/>
      <c r="HJ10" s="9"/>
      <c r="HK10" s="9"/>
      <c r="HL10" s="9"/>
      <c r="HM10" s="9"/>
      <c r="HN10" s="39"/>
      <c r="HO10" s="39"/>
      <c r="HP10" s="39"/>
      <c r="HQ10" s="39"/>
      <c r="HR10" s="39"/>
      <c r="HS10" s="39"/>
      <c r="HT10" s="39"/>
      <c r="HU10" s="39"/>
      <c r="HV10" s="39"/>
      <c r="HW10" s="39"/>
      <c r="HX10" s="39"/>
      <c r="HY10" s="39"/>
      <c r="HZ10" s="39"/>
      <c r="IA10" s="39"/>
      <c r="IB10" s="9"/>
      <c r="IC10" s="9"/>
      <c r="ID10" s="9"/>
      <c r="IE10" s="9"/>
      <c r="IF10" s="9"/>
      <c r="IG10" s="9"/>
      <c r="IH10" s="9"/>
      <c r="II10" s="39"/>
      <c r="IJ10" s="39"/>
      <c r="IK10" s="39"/>
      <c r="IL10" s="39"/>
      <c r="IM10" s="39"/>
      <c r="IN10" s="39"/>
      <c r="IO10" s="39"/>
      <c r="IP10" s="39"/>
      <c r="IQ10" s="39"/>
      <c r="IR10" s="39"/>
      <c r="IS10" s="39"/>
      <c r="IT10" s="39"/>
      <c r="IU10" s="39"/>
      <c r="IV10" s="39"/>
      <c r="IW10" s="9"/>
      <c r="IX10" s="9"/>
      <c r="IY10" s="9"/>
      <c r="IZ10" s="9"/>
      <c r="JA10" s="9"/>
      <c r="JB10" s="9"/>
      <c r="JC10" s="9"/>
      <c r="JD10" s="39"/>
      <c r="JE10" s="39"/>
      <c r="JF10" s="39"/>
      <c r="JG10" s="39"/>
      <c r="JH10" s="39"/>
      <c r="JI10" s="39"/>
      <c r="JJ10" s="39"/>
      <c r="JK10" s="39"/>
      <c r="JL10" s="39"/>
      <c r="JM10" s="39"/>
      <c r="JN10" s="39"/>
      <c r="JO10" s="39"/>
      <c r="JP10" s="39"/>
      <c r="JQ10" s="39"/>
      <c r="JR10" s="9"/>
      <c r="JS10" s="9"/>
      <c r="JT10" s="9"/>
      <c r="JU10" s="9"/>
      <c r="JV10" s="9"/>
      <c r="JW10" s="9"/>
      <c r="JX10" s="9"/>
      <c r="JY10" s="39"/>
      <c r="JZ10" s="39"/>
      <c r="KA10" s="39"/>
      <c r="KB10" s="39"/>
      <c r="KC10" s="39"/>
      <c r="KD10" s="39"/>
      <c r="KE10" s="39"/>
      <c r="KF10" s="39"/>
      <c r="KG10" s="39"/>
      <c r="KH10" s="39"/>
      <c r="KI10" s="39"/>
      <c r="KJ10" s="39"/>
      <c r="KK10" s="39"/>
      <c r="KL10" s="39"/>
      <c r="KM10" s="9"/>
      <c r="KN10" s="9" t="s">
        <v>8298</v>
      </c>
      <c r="KO10" s="9"/>
      <c r="KP10" s="9">
        <v>1</v>
      </c>
      <c r="KQ10" s="9" t="s">
        <v>9342</v>
      </c>
      <c r="KR10" s="9"/>
      <c r="KS10" s="39">
        <v>3425</v>
      </c>
      <c r="KT10" s="39">
        <v>6850</v>
      </c>
      <c r="KU10" s="39">
        <v>7000</v>
      </c>
      <c r="KV10" s="39">
        <v>14000</v>
      </c>
      <c r="KW10" s="39"/>
      <c r="KX10" s="39"/>
      <c r="KY10" s="9" t="s">
        <v>8246</v>
      </c>
      <c r="KZ10" s="39">
        <v>2600</v>
      </c>
      <c r="LA10" s="39">
        <v>5200</v>
      </c>
      <c r="LB10" s="39">
        <v>2600</v>
      </c>
      <c r="LC10" s="39">
        <v>5200</v>
      </c>
      <c r="LD10" s="9" t="s">
        <v>8350</v>
      </c>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39"/>
      <c r="OB10" s="9"/>
      <c r="OC10" s="9"/>
      <c r="OD10" s="9"/>
      <c r="OE10" s="9" t="s">
        <v>25</v>
      </c>
      <c r="OF10" s="9" t="s">
        <v>28</v>
      </c>
      <c r="OG10" s="9" t="s">
        <v>25</v>
      </c>
      <c r="OH10" s="9" t="s">
        <v>25</v>
      </c>
      <c r="OI10" s="9"/>
      <c r="OJ10" s="9" t="s">
        <v>13416</v>
      </c>
      <c r="OK10" s="9" t="s">
        <v>13420</v>
      </c>
      <c r="OL10" s="39"/>
      <c r="OM10" s="39"/>
      <c r="ON10" s="39"/>
      <c r="OO10" s="39"/>
      <c r="OP10" s="39"/>
      <c r="OQ10" s="39"/>
      <c r="OR10" s="39"/>
      <c r="OS10" s="26">
        <v>0</v>
      </c>
      <c r="OT10" s="26">
        <v>0</v>
      </c>
      <c r="OU10" s="26">
        <v>0</v>
      </c>
      <c r="OV10" s="26">
        <v>0</v>
      </c>
      <c r="OW10" s="26">
        <v>0</v>
      </c>
      <c r="OX10" s="26">
        <v>0</v>
      </c>
      <c r="OY10" s="9"/>
      <c r="OZ10" s="39"/>
      <c r="PA10" s="39"/>
      <c r="PB10" s="39"/>
      <c r="PC10" s="39"/>
      <c r="PD10" s="39"/>
      <c r="PE10" s="39"/>
      <c r="PF10" s="39"/>
      <c r="PG10" s="26">
        <v>0.3</v>
      </c>
      <c r="PH10" s="26">
        <v>0.3</v>
      </c>
      <c r="PI10" s="26">
        <v>0.3</v>
      </c>
      <c r="PJ10" s="26">
        <v>0</v>
      </c>
      <c r="PK10" s="26">
        <v>0.3</v>
      </c>
      <c r="PL10" s="9"/>
      <c r="PM10" s="9"/>
      <c r="PN10" s="9"/>
      <c r="PO10" s="9"/>
      <c r="PP10" s="9"/>
      <c r="PQ10" s="9"/>
      <c r="PR10" s="9"/>
      <c r="PS10" s="9"/>
      <c r="PT10" s="9"/>
      <c r="PU10" s="9"/>
      <c r="PV10" s="9"/>
      <c r="PW10" s="9"/>
      <c r="PX10" s="9"/>
      <c r="PY10" s="9"/>
      <c r="PZ10" s="9"/>
      <c r="QA10" s="9"/>
      <c r="QB10" s="9" t="s">
        <v>8252</v>
      </c>
      <c r="QC10" s="9" t="s">
        <v>8252</v>
      </c>
      <c r="QD10" s="9" t="s">
        <v>8252</v>
      </c>
      <c r="QE10" s="9" t="s">
        <v>8252</v>
      </c>
      <c r="QF10" s="9"/>
      <c r="QG10" s="9"/>
      <c r="QH10" s="9"/>
      <c r="QI10" s="9"/>
      <c r="QJ10" s="9"/>
      <c r="QK10" s="9"/>
      <c r="QL10" s="9"/>
      <c r="QM10" s="9" t="s">
        <v>8320</v>
      </c>
      <c r="QN10" s="9" t="s">
        <v>8320</v>
      </c>
      <c r="QO10" s="9" t="s">
        <v>8320</v>
      </c>
      <c r="QP10" s="9"/>
      <c r="QQ10" s="9"/>
      <c r="QR10" s="9"/>
      <c r="QS10" s="9"/>
      <c r="QT10" s="9"/>
      <c r="QU10" s="39">
        <v>10</v>
      </c>
      <c r="QV10" s="39"/>
      <c r="QW10" s="39">
        <v>25</v>
      </c>
      <c r="QX10" s="39"/>
      <c r="QY10" s="39">
        <v>30</v>
      </c>
      <c r="QZ10" s="39"/>
      <c r="RA10" s="39">
        <v>75</v>
      </c>
      <c r="RB10" s="39"/>
      <c r="RC10" s="39">
        <v>50</v>
      </c>
      <c r="RD10" s="39"/>
      <c r="RE10" s="39">
        <v>125</v>
      </c>
      <c r="RF10" s="39"/>
      <c r="RG10" s="39"/>
      <c r="RH10" s="39"/>
      <c r="RI10" s="39"/>
      <c r="RJ10" s="39"/>
      <c r="RK10" s="39"/>
      <c r="RL10" s="39"/>
      <c r="RM10" s="39"/>
      <c r="RN10" s="39"/>
      <c r="RO10" s="39"/>
      <c r="RP10" s="39"/>
      <c r="RQ10" s="39"/>
      <c r="RR10" s="39"/>
      <c r="RS10" s="39"/>
      <c r="RT10" s="39"/>
      <c r="RU10" s="39"/>
      <c r="RV10" s="39"/>
      <c r="RW10" s="9"/>
      <c r="RX10" s="9"/>
      <c r="RY10" s="9"/>
      <c r="RZ10" s="9"/>
      <c r="SA10" s="9"/>
      <c r="SB10" s="26">
        <v>0.3</v>
      </c>
      <c r="SC10" s="9"/>
      <c r="SD10" s="39"/>
      <c r="SE10" s="39"/>
      <c r="SF10" s="39"/>
      <c r="SG10" s="39"/>
      <c r="SH10" s="39"/>
      <c r="SI10" s="39"/>
      <c r="SJ10" s="39"/>
      <c r="SK10" s="39"/>
      <c r="SL10" s="39"/>
      <c r="SM10" s="39"/>
      <c r="SN10" s="39"/>
      <c r="SO10" s="39">
        <v>150</v>
      </c>
      <c r="SP10" s="39"/>
      <c r="SQ10" s="39"/>
      <c r="SR10" s="9"/>
      <c r="SS10" s="9"/>
      <c r="ST10" s="9"/>
      <c r="SU10" s="9"/>
      <c r="SV10" s="9"/>
      <c r="SW10" s="9"/>
      <c r="SX10" s="9"/>
      <c r="SY10" s="39"/>
      <c r="SZ10" s="39"/>
      <c r="TA10" s="39"/>
      <c r="TB10" s="39"/>
      <c r="TC10" s="39"/>
      <c r="TD10" s="39"/>
      <c r="TE10" s="39"/>
      <c r="TF10" s="39"/>
      <c r="TG10" s="39"/>
      <c r="TH10" s="39"/>
      <c r="TI10" s="39"/>
      <c r="TJ10" s="39"/>
      <c r="TK10" s="39"/>
      <c r="TL10" s="39"/>
      <c r="TM10" s="9"/>
      <c r="TN10" s="9"/>
      <c r="TO10" s="9"/>
      <c r="TP10" s="9"/>
      <c r="TQ10" s="9"/>
      <c r="TR10" s="9"/>
      <c r="TS10" s="9"/>
      <c r="TT10" s="39"/>
      <c r="TU10" s="39"/>
      <c r="TV10" s="39"/>
      <c r="TW10" s="39"/>
      <c r="TX10" s="39"/>
      <c r="TY10" s="39"/>
      <c r="TZ10" s="39"/>
      <c r="UA10" s="39"/>
      <c r="UB10" s="39"/>
      <c r="UC10" s="39"/>
      <c r="UD10" s="39"/>
      <c r="UE10" s="39"/>
      <c r="UF10" s="39"/>
      <c r="UG10" s="39"/>
      <c r="UH10" s="9"/>
      <c r="UI10" s="9"/>
      <c r="UJ10" s="9"/>
      <c r="UK10" s="9"/>
      <c r="UL10" s="9"/>
      <c r="UM10" s="9"/>
      <c r="UN10" s="9"/>
      <c r="UO10" s="39"/>
      <c r="UP10" s="39"/>
      <c r="UQ10" s="39"/>
      <c r="UR10" s="39"/>
      <c r="US10" s="39"/>
      <c r="UT10" s="39"/>
      <c r="UU10" s="39"/>
      <c r="UV10" s="39"/>
      <c r="UW10" s="39"/>
      <c r="UX10" s="39"/>
      <c r="UY10" s="39"/>
      <c r="UZ10" s="39"/>
      <c r="VA10" s="39"/>
      <c r="VB10" s="39"/>
      <c r="VC10" s="9" t="s">
        <v>8255</v>
      </c>
      <c r="VD10" s="9" t="s">
        <v>8298</v>
      </c>
      <c r="VE10" s="9"/>
      <c r="VF10" s="9">
        <v>0</v>
      </c>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v>0</v>
      </c>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v>2</v>
      </c>
      <c r="AQK10" s="9" t="s">
        <v>8322</v>
      </c>
      <c r="AQL10" s="9" t="s">
        <v>9343</v>
      </c>
      <c r="AQM10" s="39"/>
      <c r="AQN10" s="39"/>
      <c r="AQO10" s="39"/>
      <c r="AQP10" s="39"/>
      <c r="AQQ10" s="39"/>
      <c r="AQR10" s="39"/>
      <c r="AQS10" s="9"/>
      <c r="AQT10" s="39"/>
      <c r="AQU10" s="39"/>
      <c r="AQV10" s="39"/>
      <c r="AQW10" s="3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t="s">
        <v>28</v>
      </c>
      <c r="ATZ10" s="9" t="s">
        <v>25</v>
      </c>
      <c r="AUA10" s="9" t="s">
        <v>25</v>
      </c>
      <c r="AUB10" s="9"/>
      <c r="AUC10" s="9" t="s">
        <v>13431</v>
      </c>
      <c r="AUD10" s="9"/>
      <c r="AUE10" s="39">
        <v>10</v>
      </c>
      <c r="AUF10" s="39">
        <v>10</v>
      </c>
      <c r="AUG10" s="39"/>
      <c r="AUH10" s="39">
        <v>100</v>
      </c>
      <c r="AUI10" s="39">
        <v>10</v>
      </c>
      <c r="AUJ10" s="39"/>
      <c r="AUK10" s="39"/>
      <c r="AUL10" s="9"/>
      <c r="AUM10" s="9"/>
      <c r="AUN10" s="9"/>
      <c r="AUO10" s="9"/>
      <c r="AUP10" s="9"/>
      <c r="AUQ10" s="9"/>
      <c r="AUR10" s="9"/>
      <c r="AUS10" s="39"/>
      <c r="AUT10" s="39"/>
      <c r="AUU10" s="39"/>
      <c r="AUV10" s="39"/>
      <c r="AUW10" s="39"/>
      <c r="AUX10" s="39"/>
      <c r="AUY10" s="39"/>
      <c r="AUZ10" s="9"/>
      <c r="AVA10" s="9"/>
      <c r="AVB10" s="9"/>
      <c r="AVC10" s="9"/>
      <c r="AVD10" s="9"/>
      <c r="AVE10" s="9"/>
      <c r="AVF10" s="9"/>
      <c r="AVG10" s="9"/>
      <c r="AVH10" s="9"/>
      <c r="AVI10" s="9"/>
      <c r="AVJ10" s="9"/>
      <c r="AVK10" s="9"/>
      <c r="AVL10" s="9"/>
      <c r="AVM10" s="9"/>
      <c r="AVN10" s="9"/>
      <c r="AVO10" s="9"/>
      <c r="AVP10" s="9"/>
      <c r="AVQ10" s="9"/>
      <c r="AVR10" s="9"/>
      <c r="AVS10" s="9"/>
      <c r="AVT10" s="9"/>
      <c r="AVU10" s="25" t="s">
        <v>13810</v>
      </c>
      <c r="AVV10" s="25" t="s">
        <v>13810</v>
      </c>
      <c r="AVW10" s="25" t="s">
        <v>13810</v>
      </c>
      <c r="AVX10" s="9" t="s">
        <v>8252</v>
      </c>
      <c r="AVY10" s="9"/>
      <c r="AVZ10" s="9"/>
      <c r="AWA10" s="9"/>
      <c r="AWB10" s="9"/>
      <c r="AWC10" s="9"/>
      <c r="AWD10" s="9"/>
      <c r="AWE10" s="9"/>
      <c r="AWF10" s="9"/>
      <c r="AWG10" s="9"/>
      <c r="AWH10" s="9"/>
      <c r="AWI10" s="9"/>
      <c r="AWJ10" s="9"/>
      <c r="AWK10" s="9"/>
      <c r="AWL10" s="9"/>
      <c r="AWM10" s="9"/>
      <c r="AWN10" s="39">
        <v>10</v>
      </c>
      <c r="AWO10" s="39"/>
      <c r="AWP10" s="39"/>
      <c r="AWQ10" s="39"/>
      <c r="AWR10" s="39">
        <v>20</v>
      </c>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9"/>
      <c r="AXQ10" s="9"/>
      <c r="AXR10" s="9"/>
      <c r="AXS10" s="9"/>
      <c r="AXT10" s="9"/>
      <c r="AXU10" s="26">
        <v>0.2</v>
      </c>
      <c r="AXV10" s="9"/>
      <c r="AXW10" s="39"/>
      <c r="AXX10" s="39"/>
      <c r="AXY10" s="39"/>
      <c r="AXZ10" s="39"/>
      <c r="AYA10" s="39"/>
      <c r="AYB10" s="39"/>
      <c r="AYC10" s="39"/>
      <c r="AYD10" s="39"/>
      <c r="AYE10" s="39"/>
      <c r="AYF10" s="39"/>
      <c r="AYG10" s="39"/>
      <c r="AYH10" s="39">
        <v>150</v>
      </c>
      <c r="AYI10" s="39"/>
      <c r="AYJ10" s="3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39"/>
      <c r="AZN10" s="39"/>
      <c r="AZO10" s="39"/>
      <c r="AZP10" s="39"/>
      <c r="AZQ10" s="39"/>
      <c r="AZR10" s="39"/>
      <c r="AZS10" s="39"/>
      <c r="AZT10" s="39"/>
      <c r="AZU10" s="39"/>
      <c r="AZV10" s="39"/>
      <c r="AZW10" s="39"/>
      <c r="AZX10" s="39"/>
      <c r="AZY10" s="39"/>
      <c r="AZZ10" s="39"/>
      <c r="BAA10" s="9"/>
      <c r="BAB10" s="9"/>
      <c r="BAC10" s="9"/>
      <c r="BAD10" s="9"/>
      <c r="BAE10" s="9"/>
      <c r="BAF10" s="9"/>
      <c r="BAG10" s="9"/>
      <c r="BAH10" s="9"/>
      <c r="BAI10" s="9"/>
      <c r="BAJ10" s="9"/>
      <c r="BAK10" s="9"/>
      <c r="BAL10" s="9"/>
      <c r="BAM10" s="9"/>
      <c r="BAN10" s="9"/>
      <c r="BAO10" s="9"/>
      <c r="BAP10" s="9"/>
      <c r="BAQ10" s="9"/>
      <c r="BAR10" s="39"/>
      <c r="BAS10" s="39"/>
      <c r="BAT10" s="39"/>
      <c r="BAU10" s="39"/>
      <c r="BAV10" s="9" t="s">
        <v>8255</v>
      </c>
      <c r="BAW10" s="9" t="s">
        <v>8298</v>
      </c>
      <c r="BAX10" s="9"/>
      <c r="BAY10" s="9">
        <v>0</v>
      </c>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v>0</v>
      </c>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t="s">
        <v>28</v>
      </c>
      <c r="BWD10" s="9" t="s">
        <v>8265</v>
      </c>
      <c r="BWE10" s="9" t="s">
        <v>8919</v>
      </c>
      <c r="BWF10" s="9" t="s">
        <v>8920</v>
      </c>
      <c r="BWG10" s="9"/>
      <c r="BWH10" s="9" t="s">
        <v>2169</v>
      </c>
      <c r="BWI10" s="9" t="s">
        <v>28</v>
      </c>
      <c r="BWJ10" s="9" t="s">
        <v>8433</v>
      </c>
      <c r="BWK10" s="9" t="s">
        <v>28</v>
      </c>
      <c r="BWL10" s="39">
        <v>5000</v>
      </c>
      <c r="BWM10" s="9" t="s">
        <v>25</v>
      </c>
      <c r="BWN10" s="39"/>
      <c r="BWO10" s="9" t="s">
        <v>25</v>
      </c>
      <c r="BWP10" s="9"/>
      <c r="BWQ10" s="9" t="s">
        <v>28</v>
      </c>
      <c r="BWR10" s="9"/>
      <c r="BWS10" s="9"/>
      <c r="BWT10" s="9"/>
      <c r="BWU10" s="39"/>
      <c r="BWV10" s="9"/>
      <c r="BWW10" s="9"/>
      <c r="BWX10" s="9" t="s">
        <v>28</v>
      </c>
      <c r="BWY10" s="9" t="s">
        <v>8358</v>
      </c>
      <c r="BWZ10" s="9" t="s">
        <v>28</v>
      </c>
      <c r="BXA10" s="39">
        <v>20</v>
      </c>
      <c r="BXB10" s="9" t="s">
        <v>28</v>
      </c>
      <c r="BXC10" s="39">
        <v>20</v>
      </c>
      <c r="BXD10" s="9" t="s">
        <v>28</v>
      </c>
      <c r="BXE10" s="9" t="s">
        <v>8358</v>
      </c>
      <c r="BXF10" s="9" t="s">
        <v>28</v>
      </c>
      <c r="BXG10" s="39">
        <v>30</v>
      </c>
      <c r="BXH10" s="9" t="s">
        <v>28</v>
      </c>
      <c r="BXI10" s="39">
        <v>30</v>
      </c>
      <c r="BXJ10" s="9" t="s">
        <v>25</v>
      </c>
      <c r="BXK10" s="9"/>
      <c r="BXL10" s="9"/>
      <c r="BXM10" s="9"/>
      <c r="BXN10" s="9"/>
      <c r="BXO10" s="9"/>
      <c r="BXP10" s="9"/>
      <c r="BXQ10" s="9"/>
      <c r="BXR10" s="9"/>
      <c r="BXS10" s="9"/>
      <c r="BXT10" s="9"/>
      <c r="BXU10" s="9"/>
      <c r="BXV10" s="9"/>
      <c r="BXW10" s="9"/>
      <c r="BXX10" s="9"/>
      <c r="BXY10" s="9"/>
      <c r="BXZ10" s="9"/>
      <c r="BYA10" s="9"/>
      <c r="BYB10" s="9"/>
      <c r="BYC10" s="9"/>
      <c r="BYD10" s="9" t="s">
        <v>28</v>
      </c>
      <c r="BYE10" s="9" t="s">
        <v>13613</v>
      </c>
      <c r="BYF10" s="9"/>
      <c r="BYG10" s="9"/>
      <c r="BYH10" s="9" t="s">
        <v>8407</v>
      </c>
      <c r="BYI10" s="39" t="s">
        <v>8921</v>
      </c>
      <c r="BYJ10" s="39" t="s">
        <v>8922</v>
      </c>
      <c r="BYK10" s="9" t="s">
        <v>8333</v>
      </c>
      <c r="BYL10" s="9" t="s">
        <v>25</v>
      </c>
      <c r="BYM10" s="9"/>
      <c r="BYN10" s="9" t="s">
        <v>25</v>
      </c>
      <c r="BYO10" s="9"/>
      <c r="BYP10" s="9" t="s">
        <v>25</v>
      </c>
      <c r="BYQ10" s="9"/>
      <c r="BYR10" s="9" t="s">
        <v>28</v>
      </c>
      <c r="BYS10" s="9" t="s">
        <v>8279</v>
      </c>
      <c r="BYT10" s="9" t="s">
        <v>732</v>
      </c>
      <c r="BYU10" s="9" t="s">
        <v>732</v>
      </c>
      <c r="BYV10" s="9" t="s">
        <v>25</v>
      </c>
      <c r="BYW10" s="9" t="s">
        <v>28</v>
      </c>
      <c r="BYX10" s="39">
        <v>1200</v>
      </c>
      <c r="BYY10" s="39">
        <v>2400</v>
      </c>
      <c r="BYZ10" s="9" t="s">
        <v>8408</v>
      </c>
      <c r="BZA10" s="9" t="s">
        <v>13831</v>
      </c>
      <c r="BZB10" s="9" t="s">
        <v>248</v>
      </c>
      <c r="BZC10" s="9"/>
      <c r="BZD10" s="9" t="s">
        <v>28</v>
      </c>
      <c r="BZE10" s="9" t="s">
        <v>28</v>
      </c>
      <c r="BZF10" s="9" t="s">
        <v>28</v>
      </c>
      <c r="BZG10" s="9" t="s">
        <v>25</v>
      </c>
      <c r="BZH10" s="39"/>
      <c r="BZI10" s="39"/>
      <c r="BZJ10" s="9" t="s">
        <v>25</v>
      </c>
      <c r="BZK10" s="9"/>
      <c r="BZL10" s="9"/>
      <c r="BZM10" s="9" t="s">
        <v>28</v>
      </c>
      <c r="BZN10" s="9" t="s">
        <v>8283</v>
      </c>
      <c r="BZO10" s="9"/>
      <c r="BZP10" s="9" t="s">
        <v>8366</v>
      </c>
      <c r="BZQ10" s="39">
        <v>2000</v>
      </c>
      <c r="BZR10" s="9" t="s">
        <v>28</v>
      </c>
      <c r="BZS10" s="9" t="s">
        <v>28</v>
      </c>
      <c r="BZT10" s="9" t="s">
        <v>8337</v>
      </c>
      <c r="BZU10" s="9"/>
      <c r="BZV10" s="9" t="s">
        <v>8923</v>
      </c>
      <c r="BZW10" s="9"/>
      <c r="BZX10" s="9" t="s">
        <v>8368</v>
      </c>
      <c r="BZY10" s="9"/>
      <c r="BZZ10" s="9" t="s">
        <v>25</v>
      </c>
      <c r="CAA10" s="9"/>
      <c r="CAB10" s="9"/>
      <c r="CAC10" s="9" t="s">
        <v>28</v>
      </c>
      <c r="CAD10" s="9" t="s">
        <v>8288</v>
      </c>
      <c r="CAE10" s="9" t="s">
        <v>28</v>
      </c>
      <c r="CAF10" s="9" t="s">
        <v>8289</v>
      </c>
      <c r="CAG10" s="9" t="s">
        <v>25</v>
      </c>
      <c r="CAH10" s="9" t="s">
        <v>631</v>
      </c>
      <c r="CAI10" s="9" t="s">
        <v>631</v>
      </c>
      <c r="CAJ10" s="9" t="s">
        <v>631</v>
      </c>
      <c r="CAK10" s="9" t="s">
        <v>631</v>
      </c>
      <c r="CAL10" s="9" t="s">
        <v>631</v>
      </c>
      <c r="CAM10" s="9" t="s">
        <v>8290</v>
      </c>
      <c r="CAN10" s="9" t="s">
        <v>631</v>
      </c>
      <c r="CAO10" s="9" t="s">
        <v>631</v>
      </c>
      <c r="CAP10" s="9" t="s">
        <v>631</v>
      </c>
      <c r="CAQ10" s="9"/>
      <c r="CAR10" s="9" t="s">
        <v>8676</v>
      </c>
      <c r="CAS10" s="9"/>
      <c r="CAT10" s="9" t="s">
        <v>25</v>
      </c>
      <c r="CAU10" s="9"/>
      <c r="CAV10" s="9" t="s">
        <v>8471</v>
      </c>
      <c r="CAW10" s="9" t="s">
        <v>8341</v>
      </c>
      <c r="CAX10" s="9"/>
      <c r="CAY10" s="9"/>
      <c r="CAZ10" s="9"/>
      <c r="CBA10" s="9"/>
      <c r="CBB10" s="9">
        <v>2</v>
      </c>
      <c r="CBC10" s="9"/>
      <c r="CBD10" s="9"/>
      <c r="CBE10" s="39">
        <v>50</v>
      </c>
      <c r="CBF10" s="39">
        <v>150</v>
      </c>
      <c r="CBG10" s="39">
        <v>50</v>
      </c>
      <c r="CBH10" s="39">
        <v>150</v>
      </c>
      <c r="CBI10" s="39">
        <v>1750</v>
      </c>
      <c r="CBJ10" s="39"/>
      <c r="CBK10" s="39">
        <v>0</v>
      </c>
      <c r="CBL10" s="39"/>
      <c r="CBM10" s="11">
        <v>0</v>
      </c>
      <c r="CBN10" s="9"/>
      <c r="CBO10" s="11">
        <v>0.1</v>
      </c>
      <c r="CBP10" s="9"/>
      <c r="CBQ10" s="11">
        <v>0.4</v>
      </c>
      <c r="CBR10" s="9"/>
      <c r="CBS10" s="9"/>
      <c r="CBT10" s="9"/>
      <c r="CBU10" s="9"/>
      <c r="CBV10" s="9" t="s">
        <v>8369</v>
      </c>
      <c r="CBW10" s="9"/>
      <c r="CBX10" s="9" t="s">
        <v>8924</v>
      </c>
      <c r="CBY10" s="9"/>
      <c r="CBZ10" s="9"/>
      <c r="CCA10" s="9" t="s">
        <v>8297</v>
      </c>
      <c r="CCB10" s="9" t="s">
        <v>8298</v>
      </c>
      <c r="CCC10" s="9"/>
      <c r="CCD10" s="9" t="s">
        <v>8297</v>
      </c>
      <c r="CCE10" s="9" t="s">
        <v>8297</v>
      </c>
      <c r="CCF10" s="9"/>
      <c r="CCG10" s="9"/>
      <c r="CCH10" s="9"/>
      <c r="CCI10" s="9" t="s">
        <v>8298</v>
      </c>
      <c r="CCJ10" s="9" t="s">
        <v>8298</v>
      </c>
      <c r="CCK10" s="9"/>
      <c r="CCL10" s="9" t="s">
        <v>8297</v>
      </c>
      <c r="CCM10" s="9"/>
      <c r="CCN10" s="9"/>
      <c r="CCO10" s="9"/>
      <c r="CCP10" s="9" t="s">
        <v>8296</v>
      </c>
      <c r="CCQ10" s="9" t="s">
        <v>8296</v>
      </c>
      <c r="CCR10" s="9"/>
      <c r="CCS10" s="9"/>
      <c r="CCT10" s="9"/>
      <c r="CCU10" s="9"/>
      <c r="CCV10" s="9" t="s">
        <v>8298</v>
      </c>
      <c r="CCW10" s="9"/>
      <c r="CCX10" s="9"/>
      <c r="CCY10" s="9"/>
      <c r="CCZ10" s="9"/>
      <c r="CDA10" s="9"/>
      <c r="CDB10" s="9" t="s">
        <v>28</v>
      </c>
      <c r="CDC10" s="9" t="s">
        <v>25</v>
      </c>
      <c r="CDD10" s="9"/>
      <c r="CDE10" s="9" t="s">
        <v>28</v>
      </c>
      <c r="CDF10" s="9" t="s">
        <v>28</v>
      </c>
      <c r="CDG10" s="9"/>
      <c r="CDH10" s="9"/>
      <c r="CDI10" s="9"/>
      <c r="CDJ10" s="9" t="s">
        <v>25</v>
      </c>
      <c r="CDK10" s="9" t="s">
        <v>25</v>
      </c>
      <c r="CDL10" s="9"/>
      <c r="CDM10" s="9" t="s">
        <v>28</v>
      </c>
      <c r="CDN10" s="9"/>
      <c r="CDO10" s="9"/>
      <c r="CDP10" s="9"/>
      <c r="CDQ10" s="9" t="s">
        <v>28</v>
      </c>
      <c r="CDR10" s="9" t="s">
        <v>28</v>
      </c>
      <c r="CDS10" s="9"/>
      <c r="CDT10" s="9"/>
      <c r="CDU10" s="9"/>
      <c r="CDV10" s="9"/>
      <c r="CDW10" s="9" t="s">
        <v>25</v>
      </c>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39"/>
      <c r="CGD10" s="39"/>
      <c r="CGE10" s="39"/>
      <c r="CGF10" s="39"/>
      <c r="CGG10" s="39"/>
      <c r="CGH10" s="39"/>
      <c r="CGI10" s="39"/>
      <c r="CGJ10" s="3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39"/>
      <c r="CLA10" s="39"/>
      <c r="CLB10" s="39"/>
      <c r="CLC10" s="39"/>
      <c r="CLD10" s="39"/>
      <c r="CLE10" s="39"/>
      <c r="CLF10" s="39"/>
      <c r="CLG10" s="3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v>1</v>
      </c>
      <c r="CPX10" s="39">
        <v>25</v>
      </c>
      <c r="CPY10" s="9"/>
      <c r="CPZ10" s="39" t="s">
        <v>1134</v>
      </c>
      <c r="CQA10" s="9"/>
      <c r="CQB10" s="9" t="s">
        <v>8372</v>
      </c>
      <c r="CQC10" s="9" t="s">
        <v>8372</v>
      </c>
      <c r="CQD10" s="9" t="s">
        <v>8523</v>
      </c>
      <c r="CQE10" s="9" t="s">
        <v>8372</v>
      </c>
      <c r="CQF10" s="9" t="s">
        <v>8372</v>
      </c>
      <c r="CQG10" s="39"/>
      <c r="CQH10" s="39"/>
      <c r="CQI10" s="39">
        <v>130</v>
      </c>
      <c r="CQJ10" s="39">
        <v>130</v>
      </c>
      <c r="CQK10" s="39"/>
      <c r="CQL10" s="9"/>
      <c r="CQM10" s="9" t="s">
        <v>8308</v>
      </c>
      <c r="CQN10" s="9"/>
      <c r="CQO10" s="9" t="s">
        <v>8309</v>
      </c>
      <c r="CQP10" s="39"/>
      <c r="CQQ10" s="9" t="s">
        <v>9344</v>
      </c>
      <c r="CQR10" s="9" t="s">
        <v>9344</v>
      </c>
      <c r="CQS10" s="9" t="s">
        <v>25</v>
      </c>
      <c r="CQT10" s="9"/>
      <c r="CQU10" s="9"/>
      <c r="CQV10" s="9"/>
      <c r="CQW10" s="9"/>
      <c r="CQX10" s="9"/>
      <c r="CQY10" s="9"/>
      <c r="CQZ10" s="9"/>
      <c r="CRA10" s="9"/>
      <c r="CRB10" s="9"/>
      <c r="CRC10" s="9"/>
      <c r="CRD10" s="9"/>
      <c r="CRE10" s="9"/>
    </row>
    <row r="11" spans="1:2501" ht="89.25" x14ac:dyDescent="0.2">
      <c r="A11" s="21" t="s">
        <v>176</v>
      </c>
      <c r="B11" s="26">
        <v>0.09</v>
      </c>
      <c r="C11" s="26">
        <v>0</v>
      </c>
      <c r="D11" s="26">
        <v>0.12</v>
      </c>
      <c r="E11" s="26">
        <v>0.53</v>
      </c>
      <c r="F11" s="26">
        <v>0</v>
      </c>
      <c r="G11" s="26">
        <v>0</v>
      </c>
      <c r="H11" s="26">
        <v>0</v>
      </c>
      <c r="I11" s="26">
        <v>0</v>
      </c>
      <c r="J11" s="26">
        <v>0.21</v>
      </c>
      <c r="K11" s="26">
        <v>0</v>
      </c>
      <c r="L11" s="26">
        <v>0</v>
      </c>
      <c r="M11" s="26">
        <v>0.05</v>
      </c>
      <c r="N11" s="26">
        <v>0.09</v>
      </c>
      <c r="O11" s="26">
        <v>0</v>
      </c>
      <c r="P11" s="26">
        <v>0.12</v>
      </c>
      <c r="Q11" s="26">
        <v>0.53</v>
      </c>
      <c r="R11" s="26">
        <v>0</v>
      </c>
      <c r="S11" s="26">
        <v>0</v>
      </c>
      <c r="T11" s="26">
        <v>0</v>
      </c>
      <c r="U11" s="26">
        <v>0</v>
      </c>
      <c r="V11" s="26">
        <v>0.21</v>
      </c>
      <c r="W11" s="26">
        <v>0</v>
      </c>
      <c r="X11" s="26">
        <v>0</v>
      </c>
      <c r="Y11" s="26">
        <v>0.05</v>
      </c>
      <c r="Z11" s="25">
        <v>2</v>
      </c>
      <c r="AA11" s="25" t="s">
        <v>8918</v>
      </c>
      <c r="AB11" s="25" t="s">
        <v>8964</v>
      </c>
      <c r="AC11" s="56">
        <v>2500</v>
      </c>
      <c r="AD11" s="56">
        <v>5000</v>
      </c>
      <c r="AE11" s="56">
        <v>5000</v>
      </c>
      <c r="AF11" s="56">
        <v>10000</v>
      </c>
      <c r="AG11" s="56">
        <v>0</v>
      </c>
      <c r="AH11" s="56">
        <v>0</v>
      </c>
      <c r="AI11" s="25" t="s">
        <v>8349</v>
      </c>
      <c r="AJ11" s="56">
        <v>500</v>
      </c>
      <c r="AK11" s="56">
        <v>1000</v>
      </c>
      <c r="AL11" s="56">
        <v>1000</v>
      </c>
      <c r="AM11" s="56">
        <v>2000</v>
      </c>
      <c r="AN11" s="25" t="s">
        <v>8350</v>
      </c>
      <c r="AO11" s="25" t="s">
        <v>8248</v>
      </c>
      <c r="BB11" s="25" t="s">
        <v>8249</v>
      </c>
      <c r="DO11" s="25" t="s">
        <v>25</v>
      </c>
      <c r="DP11" s="25" t="s">
        <v>28</v>
      </c>
      <c r="DQ11" s="25" t="s">
        <v>28</v>
      </c>
      <c r="DR11" s="25" t="s">
        <v>25</v>
      </c>
      <c r="DT11" s="25" t="s">
        <v>13417</v>
      </c>
      <c r="DU11" s="25" t="s">
        <v>13420</v>
      </c>
      <c r="DV11" s="56">
        <v>30</v>
      </c>
      <c r="DW11" s="56">
        <v>40</v>
      </c>
      <c r="DY11" s="56">
        <v>150</v>
      </c>
      <c r="DZ11" s="56">
        <v>50</v>
      </c>
      <c r="EA11" s="56">
        <v>20</v>
      </c>
      <c r="EE11" s="26">
        <v>0.2</v>
      </c>
      <c r="EM11" s="56">
        <v>150</v>
      </c>
      <c r="EN11" s="56">
        <v>50</v>
      </c>
      <c r="EQ11" s="26">
        <v>0.4</v>
      </c>
      <c r="ER11" s="26">
        <v>0.4</v>
      </c>
      <c r="ES11" s="26">
        <v>0.2</v>
      </c>
      <c r="EX11" s="25" t="s">
        <v>8250</v>
      </c>
      <c r="EY11" s="25" t="s">
        <v>8250</v>
      </c>
      <c r="EZ11" s="25" t="s">
        <v>8250</v>
      </c>
      <c r="FA11" s="25" t="s">
        <v>8250</v>
      </c>
      <c r="FB11" s="25" t="s">
        <v>8250</v>
      </c>
      <c r="FC11" s="25" t="s">
        <v>8250</v>
      </c>
      <c r="FD11" s="25" t="s">
        <v>8250</v>
      </c>
      <c r="FE11" s="25" t="s">
        <v>25</v>
      </c>
      <c r="FF11" s="25" t="s">
        <v>25</v>
      </c>
      <c r="FG11" s="25" t="s">
        <v>25</v>
      </c>
      <c r="FH11" s="25" t="s">
        <v>25</v>
      </c>
      <c r="FI11" s="25" t="s">
        <v>25</v>
      </c>
      <c r="FJ11" s="25" t="s">
        <v>25</v>
      </c>
      <c r="FK11" s="25" t="s">
        <v>28</v>
      </c>
      <c r="FL11" s="25" t="s">
        <v>13810</v>
      </c>
      <c r="FM11" s="25" t="s">
        <v>13810</v>
      </c>
      <c r="FN11" s="25" t="s">
        <v>13810</v>
      </c>
      <c r="FO11" s="25" t="s">
        <v>13810</v>
      </c>
      <c r="FP11" s="25" t="s">
        <v>8251</v>
      </c>
      <c r="FQ11" s="25" t="s">
        <v>631</v>
      </c>
      <c r="FR11" s="25" t="s">
        <v>13810</v>
      </c>
      <c r="FS11" s="25" t="s">
        <v>631</v>
      </c>
      <c r="FT11" s="25" t="s">
        <v>631</v>
      </c>
      <c r="FU11" s="25" t="s">
        <v>631</v>
      </c>
      <c r="FV11" s="25" t="s">
        <v>8253</v>
      </c>
      <c r="FW11" s="25" t="s">
        <v>8253</v>
      </c>
      <c r="FX11" s="25" t="s">
        <v>8386</v>
      </c>
      <c r="FY11" s="25" t="s">
        <v>8320</v>
      </c>
      <c r="FZ11" s="25" t="s">
        <v>8253</v>
      </c>
      <c r="GB11" s="25" t="s">
        <v>8320</v>
      </c>
      <c r="GE11" s="56">
        <v>5</v>
      </c>
      <c r="GG11" s="56">
        <v>10</v>
      </c>
      <c r="HG11" s="57">
        <v>0</v>
      </c>
      <c r="HH11" s="57">
        <v>0.2</v>
      </c>
      <c r="HI11" s="57">
        <v>0.2</v>
      </c>
      <c r="HQ11" s="56">
        <v>50</v>
      </c>
      <c r="HS11" s="56">
        <v>100</v>
      </c>
      <c r="IB11" s="26">
        <v>0.4</v>
      </c>
      <c r="IC11" s="26">
        <v>0.4</v>
      </c>
      <c r="ID11" s="26">
        <v>0.4</v>
      </c>
      <c r="IW11" s="26">
        <v>0</v>
      </c>
      <c r="IX11" s="26">
        <v>0.2</v>
      </c>
      <c r="IY11" s="26">
        <v>0.2</v>
      </c>
      <c r="JG11" s="56">
        <v>100</v>
      </c>
      <c r="JI11" s="56">
        <v>200</v>
      </c>
      <c r="JR11" s="26">
        <v>0.4</v>
      </c>
      <c r="JS11" s="26">
        <v>0.4</v>
      </c>
      <c r="JT11" s="26">
        <v>0.4</v>
      </c>
      <c r="KM11" s="25" t="s">
        <v>8255</v>
      </c>
      <c r="KN11" s="25" t="s">
        <v>8256</v>
      </c>
      <c r="KO11" s="25" t="s">
        <v>8321</v>
      </c>
      <c r="KP11" s="25">
        <v>2</v>
      </c>
      <c r="KQ11" s="25" t="s">
        <v>8965</v>
      </c>
      <c r="KR11" s="25" t="s">
        <v>8966</v>
      </c>
      <c r="KS11" s="56">
        <v>3000</v>
      </c>
      <c r="KT11" s="56">
        <v>6000</v>
      </c>
      <c r="KU11" s="56">
        <v>6000</v>
      </c>
      <c r="KV11" s="56">
        <v>12000</v>
      </c>
      <c r="KY11" s="25" t="s">
        <v>8349</v>
      </c>
      <c r="KZ11" s="56">
        <v>1500</v>
      </c>
      <c r="LA11" s="56">
        <v>3000</v>
      </c>
      <c r="LB11" s="56">
        <v>3000</v>
      </c>
      <c r="LC11" s="56">
        <v>6000</v>
      </c>
      <c r="LD11" s="25" t="s">
        <v>8247</v>
      </c>
      <c r="LE11" s="25" t="s">
        <v>8248</v>
      </c>
      <c r="LR11" s="25" t="s">
        <v>8249</v>
      </c>
      <c r="OE11" s="25" t="s">
        <v>25</v>
      </c>
      <c r="OF11" s="25" t="s">
        <v>28</v>
      </c>
      <c r="OG11" s="25" t="s">
        <v>28</v>
      </c>
      <c r="OH11" s="25" t="s">
        <v>25</v>
      </c>
      <c r="OJ11" s="25" t="s">
        <v>13421</v>
      </c>
      <c r="OK11" s="25" t="s">
        <v>13425</v>
      </c>
      <c r="OS11" s="26">
        <v>0.1</v>
      </c>
      <c r="OT11" s="26">
        <v>0.1</v>
      </c>
      <c r="OU11" s="26">
        <v>0.1</v>
      </c>
      <c r="OV11" s="26">
        <v>0.1</v>
      </c>
      <c r="OW11" s="26">
        <v>0.1</v>
      </c>
      <c r="OX11" s="26">
        <v>0.1</v>
      </c>
      <c r="OY11" s="26">
        <v>0.1</v>
      </c>
      <c r="PG11" s="26">
        <v>0.3</v>
      </c>
      <c r="PH11" s="26">
        <v>0.3</v>
      </c>
      <c r="PI11" s="26">
        <v>0.1</v>
      </c>
      <c r="PJ11" s="26">
        <v>0.1</v>
      </c>
      <c r="PK11" s="26">
        <v>0.1</v>
      </c>
      <c r="PM11" s="26">
        <v>0.3</v>
      </c>
      <c r="PN11" s="25" t="s">
        <v>8250</v>
      </c>
      <c r="PO11" s="25" t="s">
        <v>8250</v>
      </c>
      <c r="PP11" s="25" t="s">
        <v>8250</v>
      </c>
      <c r="PQ11" s="25" t="s">
        <v>8250</v>
      </c>
      <c r="PR11" s="25" t="s">
        <v>8250</v>
      </c>
      <c r="PS11" s="25" t="s">
        <v>8250</v>
      </c>
      <c r="PT11" s="25" t="s">
        <v>8250</v>
      </c>
      <c r="PU11" s="25" t="s">
        <v>25</v>
      </c>
      <c r="PV11" s="25" t="s">
        <v>25</v>
      </c>
      <c r="PW11" s="25" t="s">
        <v>25</v>
      </c>
      <c r="PX11" s="25" t="s">
        <v>25</v>
      </c>
      <c r="PY11" s="25" t="s">
        <v>25</v>
      </c>
      <c r="PZ11" s="25" t="s">
        <v>25</v>
      </c>
      <c r="QA11" s="25" t="s">
        <v>28</v>
      </c>
      <c r="QB11" s="25" t="s">
        <v>13810</v>
      </c>
      <c r="QC11" s="25" t="s">
        <v>13810</v>
      </c>
      <c r="QD11" s="25" t="s">
        <v>13810</v>
      </c>
      <c r="QE11" s="25" t="s">
        <v>13810</v>
      </c>
      <c r="QF11" s="25" t="s">
        <v>13810</v>
      </c>
      <c r="QG11" s="25" t="s">
        <v>631</v>
      </c>
      <c r="QH11" s="25" t="s">
        <v>13810</v>
      </c>
      <c r="QI11" s="25" t="s">
        <v>631</v>
      </c>
      <c r="QJ11" s="25" t="s">
        <v>631</v>
      </c>
      <c r="QL11" s="25" t="s">
        <v>8253</v>
      </c>
      <c r="QM11" s="25" t="s">
        <v>8253</v>
      </c>
      <c r="QN11" s="25" t="s">
        <v>13442</v>
      </c>
      <c r="QO11" s="25" t="s">
        <v>13436</v>
      </c>
      <c r="QP11" s="25" t="s">
        <v>8253</v>
      </c>
      <c r="QR11" s="25" t="s">
        <v>13436</v>
      </c>
      <c r="RW11" s="26">
        <v>0</v>
      </c>
      <c r="RX11" s="26">
        <v>0.1</v>
      </c>
      <c r="RY11" s="26">
        <v>0.1</v>
      </c>
      <c r="RZ11" s="26">
        <v>0.1</v>
      </c>
      <c r="SR11" s="26">
        <v>0.3</v>
      </c>
      <c r="SS11" s="26">
        <v>0.3</v>
      </c>
      <c r="ST11" s="26">
        <v>0.3</v>
      </c>
      <c r="SU11" s="26">
        <v>0.3</v>
      </c>
      <c r="TM11" s="26">
        <v>0</v>
      </c>
      <c r="TN11" s="26">
        <v>0.1</v>
      </c>
      <c r="TO11" s="26">
        <v>0.1</v>
      </c>
      <c r="TP11" s="26">
        <v>0.1</v>
      </c>
      <c r="VC11" s="25" t="s">
        <v>8255</v>
      </c>
      <c r="VD11" s="25" t="s">
        <v>8256</v>
      </c>
      <c r="VE11" s="25" t="s">
        <v>8321</v>
      </c>
      <c r="VF11" s="25">
        <v>0</v>
      </c>
      <c r="VI11" s="25"/>
      <c r="VJ11" s="25"/>
      <c r="VK11" s="25"/>
      <c r="VL11" s="25"/>
      <c r="VM11" s="25"/>
      <c r="VN11" s="25"/>
      <c r="VP11" s="25"/>
      <c r="VQ11" s="25"/>
      <c r="VR11" s="25"/>
      <c r="VS11" s="25"/>
      <c r="ZA11" s="25"/>
      <c r="ZB11" s="25"/>
      <c r="ZC11" s="25"/>
      <c r="ZD11" s="25"/>
      <c r="ZE11" s="25"/>
      <c r="ZF11" s="25"/>
      <c r="ZG11" s="25"/>
      <c r="ZO11" s="25"/>
      <c r="ZP11" s="25"/>
      <c r="ZQ11" s="25"/>
      <c r="ZR11" s="25"/>
      <c r="ZS11" s="25"/>
      <c r="ZT11" s="25"/>
      <c r="ZU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S11" s="25"/>
      <c r="ACT11" s="25"/>
      <c r="ACU11" s="25"/>
      <c r="ACV11" s="25"/>
      <c r="ACW11" s="25"/>
      <c r="ACX11" s="25"/>
      <c r="ACY11" s="25"/>
      <c r="ACZ11" s="25"/>
      <c r="ADA11" s="25"/>
      <c r="ADB11" s="25"/>
      <c r="ADC11" s="25"/>
      <c r="ADD11" s="25"/>
      <c r="ADE11" s="25"/>
      <c r="ADF11" s="25"/>
      <c r="ADN11" s="25"/>
      <c r="ADO11" s="25"/>
      <c r="ADP11" s="25"/>
      <c r="ADQ11" s="25"/>
      <c r="ADR11" s="25"/>
      <c r="ADS11" s="25"/>
      <c r="ADT11" s="25"/>
      <c r="ADU11" s="25"/>
      <c r="ADV11" s="25"/>
      <c r="ADW11" s="25"/>
      <c r="ADX11" s="25"/>
      <c r="ADY11" s="25"/>
      <c r="ADZ11" s="25"/>
      <c r="AEA11" s="25"/>
      <c r="AEI11" s="25"/>
      <c r="AEJ11" s="25"/>
      <c r="AEK11" s="25"/>
      <c r="AEL11" s="25"/>
      <c r="AEM11" s="25"/>
      <c r="AEN11" s="25"/>
      <c r="AEO11" s="25"/>
      <c r="AEP11" s="25"/>
      <c r="AEQ11" s="25"/>
      <c r="AER11" s="25"/>
      <c r="AES11" s="25"/>
      <c r="AET11" s="25"/>
      <c r="AEU11" s="25"/>
      <c r="AEV11" s="25"/>
      <c r="AFD11" s="25"/>
      <c r="AFE11" s="25"/>
      <c r="AFF11" s="25"/>
      <c r="AFG11" s="25"/>
      <c r="AFH11" s="25"/>
      <c r="AFI11" s="25"/>
      <c r="AFJ11" s="25"/>
      <c r="AFK11" s="25"/>
      <c r="AFL11" s="25"/>
      <c r="AFM11" s="25"/>
      <c r="AFN11" s="25"/>
      <c r="AFO11" s="25"/>
      <c r="AFP11" s="25"/>
      <c r="AFQ11" s="25"/>
      <c r="AFU11" s="25">
        <v>0</v>
      </c>
      <c r="AFX11" s="25"/>
      <c r="AFY11" s="25"/>
      <c r="AFZ11" s="25"/>
      <c r="AGA11" s="25"/>
      <c r="AGB11" s="25"/>
      <c r="AGC11" s="25"/>
      <c r="AGE11" s="25"/>
      <c r="AGF11" s="25"/>
      <c r="AGG11" s="25"/>
      <c r="AGH11" s="25"/>
      <c r="AJP11" s="25"/>
      <c r="AJQ11" s="25"/>
      <c r="AJR11" s="25"/>
      <c r="AJS11" s="25"/>
      <c r="AJT11" s="25"/>
      <c r="AJU11" s="25"/>
      <c r="AJV11" s="25"/>
      <c r="AKD11" s="25"/>
      <c r="AKE11" s="25"/>
      <c r="AKF11" s="25"/>
      <c r="AKG11" s="25"/>
      <c r="AKH11" s="25"/>
      <c r="AKI11" s="25"/>
      <c r="AKJ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H11" s="25"/>
      <c r="ANI11" s="25"/>
      <c r="ANJ11" s="25"/>
      <c r="ANK11" s="25"/>
      <c r="ANL11" s="25"/>
      <c r="ANM11" s="25"/>
      <c r="ANN11" s="25"/>
      <c r="ANO11" s="25"/>
      <c r="ANP11" s="25"/>
      <c r="ANQ11" s="25"/>
      <c r="ANR11" s="25"/>
      <c r="ANS11" s="25"/>
      <c r="ANT11" s="25"/>
      <c r="ANU11" s="25"/>
      <c r="AOC11" s="25"/>
      <c r="AOD11" s="25"/>
      <c r="AOE11" s="25"/>
      <c r="AOF11" s="25"/>
      <c r="AOG11" s="25"/>
      <c r="AOH11" s="25"/>
      <c r="AOI11" s="25"/>
      <c r="AOJ11" s="25"/>
      <c r="AOK11" s="25"/>
      <c r="AOL11" s="25"/>
      <c r="AOM11" s="25"/>
      <c r="AON11" s="25"/>
      <c r="AOO11" s="25"/>
      <c r="AOP11" s="25"/>
      <c r="AOX11" s="25"/>
      <c r="AOY11" s="25"/>
      <c r="AOZ11" s="25"/>
      <c r="APA11" s="25"/>
      <c r="APB11" s="25"/>
      <c r="APC11" s="25"/>
      <c r="APD11" s="25"/>
      <c r="APE11" s="25"/>
      <c r="APF11" s="25"/>
      <c r="APG11" s="25"/>
      <c r="APH11" s="25"/>
      <c r="API11" s="25"/>
      <c r="APJ11" s="25"/>
      <c r="APK11" s="25"/>
      <c r="APS11" s="25"/>
      <c r="APT11" s="25"/>
      <c r="APU11" s="25"/>
      <c r="APV11" s="25"/>
      <c r="APW11" s="25"/>
      <c r="APX11" s="25"/>
      <c r="APY11" s="25"/>
      <c r="APZ11" s="25"/>
      <c r="AQA11" s="25"/>
      <c r="AQB11" s="25"/>
      <c r="AQC11" s="25"/>
      <c r="AQD11" s="25"/>
      <c r="AQE11" s="25"/>
      <c r="AQF11" s="25"/>
      <c r="AQJ11" s="25">
        <v>6</v>
      </c>
      <c r="AQK11" s="25" t="s">
        <v>8967</v>
      </c>
      <c r="AQL11" s="25" t="s">
        <v>8968</v>
      </c>
      <c r="AQM11" s="56">
        <v>1500</v>
      </c>
      <c r="AQN11" s="56">
        <v>3000</v>
      </c>
      <c r="AQS11" s="25" t="s">
        <v>8356</v>
      </c>
      <c r="AQT11" s="56">
        <v>0</v>
      </c>
      <c r="AQU11" s="56">
        <v>0</v>
      </c>
      <c r="AQX11" s="25" t="s">
        <v>8248</v>
      </c>
      <c r="ARK11" s="25" t="s">
        <v>8249</v>
      </c>
      <c r="ATX11" s="25" t="s">
        <v>25</v>
      </c>
      <c r="ATY11" s="25" t="s">
        <v>28</v>
      </c>
      <c r="ATZ11" s="25" t="s">
        <v>28</v>
      </c>
      <c r="AUA11" s="25" t="s">
        <v>25</v>
      </c>
      <c r="AUC11" s="25" t="s">
        <v>13417</v>
      </c>
      <c r="AUD11" s="25" t="s">
        <v>8432</v>
      </c>
      <c r="AUE11" s="56">
        <v>20</v>
      </c>
      <c r="AUF11" s="56">
        <v>30</v>
      </c>
      <c r="AUG11" s="56">
        <v>20</v>
      </c>
      <c r="AUH11" s="56">
        <v>100</v>
      </c>
      <c r="AUI11" s="56">
        <v>20</v>
      </c>
      <c r="AUL11" s="26">
        <v>0</v>
      </c>
      <c r="AUM11" s="26">
        <v>0</v>
      </c>
      <c r="AUN11" s="26">
        <v>0</v>
      </c>
      <c r="AUO11" s="26">
        <v>0</v>
      </c>
      <c r="AUP11" s="26">
        <v>0</v>
      </c>
      <c r="AUV11" s="56">
        <v>100</v>
      </c>
      <c r="AUW11" s="56">
        <v>20</v>
      </c>
      <c r="AVC11" s="26">
        <v>0</v>
      </c>
      <c r="AVD11" s="26">
        <v>0</v>
      </c>
      <c r="AVG11" s="25" t="s">
        <v>8250</v>
      </c>
      <c r="AVH11" s="25" t="s">
        <v>8250</v>
      </c>
      <c r="AVI11" s="25" t="s">
        <v>8250</v>
      </c>
      <c r="AVJ11" s="25" t="s">
        <v>8250</v>
      </c>
      <c r="AVK11" s="25" t="s">
        <v>8250</v>
      </c>
      <c r="AVM11" s="25" t="s">
        <v>8250</v>
      </c>
      <c r="AVN11" s="25" t="s">
        <v>25</v>
      </c>
      <c r="AVO11" s="25" t="s">
        <v>25</v>
      </c>
      <c r="AVP11" s="25" t="s">
        <v>25</v>
      </c>
      <c r="AVQ11" s="25" t="s">
        <v>25</v>
      </c>
      <c r="AVR11" s="25" t="s">
        <v>25</v>
      </c>
      <c r="AVT11" s="25" t="s">
        <v>25</v>
      </c>
      <c r="AVU11" s="25" t="s">
        <v>13810</v>
      </c>
      <c r="AVV11" s="25" t="s">
        <v>13810</v>
      </c>
      <c r="AVW11" s="25" t="s">
        <v>13810</v>
      </c>
      <c r="AVX11" s="25" t="s">
        <v>13810</v>
      </c>
      <c r="AVY11" s="25" t="s">
        <v>631</v>
      </c>
      <c r="AVZ11" s="25" t="s">
        <v>631</v>
      </c>
      <c r="AWA11" s="25" t="s">
        <v>13810</v>
      </c>
      <c r="AWB11" s="25" t="s">
        <v>631</v>
      </c>
      <c r="AWC11" s="25" t="s">
        <v>631</v>
      </c>
      <c r="AWD11" s="25" t="s">
        <v>631</v>
      </c>
      <c r="AWE11" s="25" t="s">
        <v>8253</v>
      </c>
      <c r="AWF11" s="25" t="s">
        <v>8253</v>
      </c>
      <c r="AWG11" s="25" t="s">
        <v>8320</v>
      </c>
      <c r="AWH11" s="25" t="s">
        <v>13436</v>
      </c>
      <c r="AWK11" s="25" t="s">
        <v>8320</v>
      </c>
      <c r="AWN11" s="56">
        <v>10</v>
      </c>
      <c r="AWP11" s="56">
        <v>20</v>
      </c>
      <c r="AWR11" s="56">
        <v>25</v>
      </c>
      <c r="AWT11" s="56">
        <v>50</v>
      </c>
      <c r="AWV11" s="56">
        <v>25</v>
      </c>
      <c r="AWX11" s="56">
        <v>50</v>
      </c>
      <c r="BAV11" s="25" t="s">
        <v>8255</v>
      </c>
      <c r="BAW11" s="25" t="s">
        <v>8256</v>
      </c>
      <c r="BAX11" s="25" t="s">
        <v>8321</v>
      </c>
      <c r="BAY11" s="25">
        <v>1</v>
      </c>
      <c r="BAZ11" s="25" t="s">
        <v>8969</v>
      </c>
      <c r="BBB11" s="56">
        <v>1250</v>
      </c>
      <c r="BBC11" s="56">
        <v>2500</v>
      </c>
      <c r="BBD11" s="56">
        <v>2500</v>
      </c>
      <c r="BBE11" s="56">
        <v>5000</v>
      </c>
      <c r="BBH11" s="25" t="s">
        <v>8349</v>
      </c>
      <c r="BBI11" s="56">
        <v>200</v>
      </c>
      <c r="BBJ11" s="56">
        <v>400</v>
      </c>
      <c r="BBK11" s="56">
        <v>750</v>
      </c>
      <c r="BBL11" s="56">
        <v>1500</v>
      </c>
      <c r="BBM11" s="25" t="s">
        <v>8248</v>
      </c>
      <c r="BBZ11" s="25" t="s">
        <v>8249</v>
      </c>
      <c r="BEM11" s="25" t="s">
        <v>25</v>
      </c>
      <c r="BEN11" s="25" t="s">
        <v>28</v>
      </c>
      <c r="BEO11" s="25" t="s">
        <v>28</v>
      </c>
      <c r="BEP11" s="25" t="s">
        <v>25</v>
      </c>
      <c r="BER11" s="25" t="s">
        <v>13423</v>
      </c>
      <c r="BES11" s="25" t="s">
        <v>13425</v>
      </c>
      <c r="BET11" s="56">
        <v>30</v>
      </c>
      <c r="BEU11" s="56">
        <v>40</v>
      </c>
      <c r="BEW11" s="56">
        <v>150</v>
      </c>
      <c r="BEX11" s="56">
        <v>50</v>
      </c>
      <c r="BEY11" s="56">
        <v>20</v>
      </c>
      <c r="BFA11" s="26">
        <v>0</v>
      </c>
      <c r="BFB11" s="26">
        <v>0</v>
      </c>
      <c r="BFC11" s="26">
        <v>0</v>
      </c>
      <c r="BFD11" s="26">
        <v>0</v>
      </c>
      <c r="BFE11" s="26">
        <v>0</v>
      </c>
      <c r="BFF11" s="26">
        <v>0</v>
      </c>
      <c r="BFG11" s="26">
        <v>0.3</v>
      </c>
      <c r="BFK11" s="56">
        <v>150</v>
      </c>
      <c r="BFL11" s="56">
        <v>50</v>
      </c>
      <c r="BFO11" s="26">
        <v>0.3</v>
      </c>
      <c r="BFP11" s="26">
        <v>0.3</v>
      </c>
      <c r="BFQ11" s="26">
        <v>0.3</v>
      </c>
      <c r="BFR11" s="26">
        <v>0</v>
      </c>
      <c r="BFS11" s="26">
        <v>0</v>
      </c>
      <c r="BFU11" s="26">
        <v>0.3</v>
      </c>
      <c r="BFV11" s="25" t="s">
        <v>8250</v>
      </c>
      <c r="BFW11" s="25" t="s">
        <v>8250</v>
      </c>
      <c r="BFX11" s="25" t="s">
        <v>8250</v>
      </c>
      <c r="BFY11" s="25" t="s">
        <v>8250</v>
      </c>
      <c r="BFZ11" s="25" t="s">
        <v>8250</v>
      </c>
      <c r="BGA11" s="25" t="s">
        <v>8250</v>
      </c>
      <c r="BGB11" s="25" t="s">
        <v>8250</v>
      </c>
      <c r="BGC11" s="25" t="s">
        <v>25</v>
      </c>
      <c r="BGD11" s="25" t="s">
        <v>25</v>
      </c>
      <c r="BGE11" s="25" t="s">
        <v>25</v>
      </c>
      <c r="BGF11" s="25" t="s">
        <v>25</v>
      </c>
      <c r="BGG11" s="25" t="s">
        <v>25</v>
      </c>
      <c r="BGH11" s="25" t="s">
        <v>25</v>
      </c>
      <c r="BGI11" s="25" t="s">
        <v>25</v>
      </c>
      <c r="BGJ11" s="25" t="s">
        <v>13810</v>
      </c>
      <c r="BGK11" s="25" t="s">
        <v>13810</v>
      </c>
      <c r="BGL11" s="25" t="s">
        <v>13810</v>
      </c>
      <c r="BGM11" s="25" t="s">
        <v>13810</v>
      </c>
      <c r="BGN11" s="25" t="s">
        <v>13810</v>
      </c>
      <c r="BGO11" s="25" t="s">
        <v>631</v>
      </c>
      <c r="BGP11" s="25" t="s">
        <v>13810</v>
      </c>
      <c r="BGQ11" s="25" t="s">
        <v>631</v>
      </c>
      <c r="BGR11" s="25" t="s">
        <v>631</v>
      </c>
      <c r="BGS11" s="25" t="s">
        <v>631</v>
      </c>
      <c r="BGT11" s="25" t="s">
        <v>8253</v>
      </c>
      <c r="BGU11" s="25" t="s">
        <v>8253</v>
      </c>
      <c r="BGV11" s="25" t="s">
        <v>8253</v>
      </c>
      <c r="BGW11" s="25" t="s">
        <v>8262</v>
      </c>
      <c r="BGX11" s="25" t="s">
        <v>8253</v>
      </c>
      <c r="BGZ11" s="25" t="s">
        <v>8253</v>
      </c>
      <c r="BHC11" s="56">
        <v>5</v>
      </c>
      <c r="BHE11" s="56">
        <v>10</v>
      </c>
      <c r="BIE11" s="26">
        <v>0</v>
      </c>
      <c r="BIF11" s="26">
        <v>0.1</v>
      </c>
      <c r="BIG11" s="26">
        <v>0.1</v>
      </c>
      <c r="BIO11" s="56">
        <v>50</v>
      </c>
      <c r="BIQ11" s="56">
        <v>100</v>
      </c>
      <c r="BIZ11" s="26">
        <v>0.3</v>
      </c>
      <c r="BJA11" s="26">
        <v>0.3</v>
      </c>
      <c r="BJB11" s="26">
        <v>0.3</v>
      </c>
      <c r="BJU11" s="26">
        <v>0</v>
      </c>
      <c r="BJV11" s="26">
        <v>0.1</v>
      </c>
      <c r="BJW11" s="26">
        <v>0.1</v>
      </c>
      <c r="BKE11" s="56">
        <v>100</v>
      </c>
      <c r="BKG11" s="56">
        <v>200</v>
      </c>
      <c r="BKP11" s="26">
        <v>0.3</v>
      </c>
      <c r="BKQ11" s="26">
        <v>0.3</v>
      </c>
      <c r="BKR11" s="26">
        <v>0.3</v>
      </c>
      <c r="BLK11" s="25" t="s">
        <v>8255</v>
      </c>
      <c r="BLL11" s="25" t="s">
        <v>8256</v>
      </c>
      <c r="BLM11" s="25" t="s">
        <v>8321</v>
      </c>
      <c r="BLN11" s="25">
        <v>0</v>
      </c>
      <c r="BLQ11" s="25"/>
      <c r="BLR11" s="25"/>
      <c r="BLS11" s="25"/>
      <c r="BLT11" s="25"/>
      <c r="BLU11" s="25"/>
      <c r="BLV11" s="25"/>
      <c r="BLX11" s="25"/>
      <c r="BLY11" s="25"/>
      <c r="BLZ11" s="25"/>
      <c r="BMA11" s="25"/>
      <c r="BPI11" s="25"/>
      <c r="BPJ11" s="25"/>
      <c r="BPK11" s="25"/>
      <c r="BPL11" s="25"/>
      <c r="BPM11" s="25"/>
      <c r="BPN11" s="25"/>
      <c r="BPO11" s="25"/>
      <c r="BPW11" s="25"/>
      <c r="BPX11" s="25"/>
      <c r="BPY11" s="25"/>
      <c r="BPZ11" s="25"/>
      <c r="BQA11" s="25"/>
      <c r="BQB11" s="25"/>
      <c r="BQC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TA11" s="25"/>
      <c r="BTB11" s="25"/>
      <c r="BTC11" s="25"/>
      <c r="BTD11" s="25"/>
      <c r="BTE11" s="25"/>
      <c r="BTF11" s="25"/>
      <c r="BTG11" s="25"/>
      <c r="BTH11" s="25"/>
      <c r="BTI11" s="25"/>
      <c r="BTJ11" s="25"/>
      <c r="BTK11" s="25"/>
      <c r="BTL11" s="25"/>
      <c r="BTM11" s="25"/>
      <c r="BTN11" s="25"/>
      <c r="BUQ11" s="25"/>
      <c r="BUR11" s="25"/>
      <c r="BUS11" s="25"/>
      <c r="BUT11" s="25"/>
      <c r="BUU11" s="25"/>
      <c r="BUV11" s="25"/>
      <c r="BUW11" s="25"/>
      <c r="BUX11" s="25"/>
      <c r="BUY11" s="25"/>
      <c r="BUZ11" s="25"/>
      <c r="BVA11" s="25"/>
      <c r="BVB11" s="25"/>
      <c r="BVC11" s="25"/>
      <c r="BVD11" s="25"/>
      <c r="BWC11" s="25" t="s">
        <v>28</v>
      </c>
      <c r="BWD11" s="25" t="s">
        <v>8265</v>
      </c>
      <c r="BWE11" s="25" t="s">
        <v>8266</v>
      </c>
      <c r="BWF11" s="25" t="s">
        <v>13712</v>
      </c>
      <c r="BWG11" s="25" t="s">
        <v>28</v>
      </c>
      <c r="BWH11" s="25" t="s">
        <v>2169</v>
      </c>
      <c r="BWI11" s="25" t="s">
        <v>28</v>
      </c>
      <c r="BWJ11" s="25" t="s">
        <v>8481</v>
      </c>
      <c r="BWK11" s="25" t="s">
        <v>25</v>
      </c>
      <c r="BWM11" s="25" t="s">
        <v>28</v>
      </c>
      <c r="BWN11" s="56">
        <v>3000</v>
      </c>
      <c r="BWO11" s="25" t="s">
        <v>25</v>
      </c>
      <c r="BWQ11" s="25" t="s">
        <v>28</v>
      </c>
      <c r="BWR11" s="25" t="s">
        <v>25</v>
      </c>
      <c r="BWT11" s="25" t="s">
        <v>25</v>
      </c>
      <c r="BWV11" s="25" t="s">
        <v>25</v>
      </c>
      <c r="BWX11" s="25" t="s">
        <v>28</v>
      </c>
      <c r="BWY11" s="25" t="s">
        <v>8358</v>
      </c>
      <c r="BWZ11" s="25" t="s">
        <v>28</v>
      </c>
      <c r="BXA11" s="56">
        <v>25</v>
      </c>
      <c r="BXB11" s="25" t="s">
        <v>28</v>
      </c>
      <c r="BXC11" s="56">
        <v>25</v>
      </c>
      <c r="BXD11" s="25" t="s">
        <v>28</v>
      </c>
      <c r="BXE11" s="25" t="s">
        <v>8358</v>
      </c>
      <c r="BXF11" s="25" t="s">
        <v>28</v>
      </c>
      <c r="BXG11" s="56">
        <v>25</v>
      </c>
      <c r="BXH11" s="25" t="s">
        <v>28</v>
      </c>
      <c r="BXI11" s="56">
        <v>25</v>
      </c>
      <c r="BXJ11" s="25" t="s">
        <v>28</v>
      </c>
      <c r="BXK11" s="25" t="s">
        <v>8270</v>
      </c>
      <c r="BXL11" s="25" t="s">
        <v>13821</v>
      </c>
      <c r="BXM11" s="25" t="s">
        <v>2201</v>
      </c>
      <c r="BXN11" s="25" t="s">
        <v>8272</v>
      </c>
      <c r="BXO11" s="25" t="s">
        <v>8274</v>
      </c>
      <c r="BXP11" s="25" t="s">
        <v>8274</v>
      </c>
      <c r="BXQ11" s="25" t="s">
        <v>8274</v>
      </c>
      <c r="BXR11" s="25" t="s">
        <v>8274</v>
      </c>
      <c r="BXS11" s="25" t="s">
        <v>8274</v>
      </c>
      <c r="BXT11" s="25" t="s">
        <v>8792</v>
      </c>
      <c r="BXU11" s="25" t="s">
        <v>25</v>
      </c>
      <c r="BXW11" s="25" t="s">
        <v>28</v>
      </c>
      <c r="BXX11" s="25" t="s">
        <v>28</v>
      </c>
      <c r="BXY11" s="25" t="s">
        <v>28</v>
      </c>
      <c r="BXZ11" s="25" t="s">
        <v>25</v>
      </c>
      <c r="BYA11" s="25" t="s">
        <v>25</v>
      </c>
      <c r="BYB11" s="25" t="s">
        <v>25</v>
      </c>
      <c r="BYC11" s="25" t="s">
        <v>8276</v>
      </c>
      <c r="BYD11" s="25" t="s">
        <v>28</v>
      </c>
      <c r="BYE11" s="25" t="s">
        <v>13612</v>
      </c>
      <c r="BYF11" s="25" t="s">
        <v>8277</v>
      </c>
      <c r="BYG11" s="25" t="s">
        <v>8970</v>
      </c>
      <c r="BYH11" s="25" t="s">
        <v>8515</v>
      </c>
      <c r="BYI11" s="56">
        <v>0</v>
      </c>
      <c r="BYJ11" s="56">
        <v>0</v>
      </c>
      <c r="BYK11" s="25" t="s">
        <v>8333</v>
      </c>
      <c r="BYL11" s="25" t="s">
        <v>25</v>
      </c>
      <c r="BYN11" s="25" t="s">
        <v>25</v>
      </c>
      <c r="BYP11" s="25" t="s">
        <v>25</v>
      </c>
      <c r="BYR11" s="25" t="s">
        <v>28</v>
      </c>
      <c r="BYS11" s="25" t="s">
        <v>8279</v>
      </c>
      <c r="BYT11" s="25" t="s">
        <v>8279</v>
      </c>
      <c r="BYU11" s="25" t="s">
        <v>732</v>
      </c>
      <c r="BYV11" s="25" t="s">
        <v>25</v>
      </c>
      <c r="BYW11" s="25" t="s">
        <v>28</v>
      </c>
      <c r="BYX11" s="56">
        <v>1300</v>
      </c>
      <c r="BYY11" s="56">
        <v>2600</v>
      </c>
      <c r="BYZ11" s="25" t="s">
        <v>8280</v>
      </c>
      <c r="BZA11" s="25" t="s">
        <v>13832</v>
      </c>
      <c r="BZB11" s="25" t="s">
        <v>2354</v>
      </c>
      <c r="BZC11" s="25" t="s">
        <v>8282</v>
      </c>
      <c r="BZD11" s="25" t="s">
        <v>28</v>
      </c>
      <c r="BZE11" s="25" t="s">
        <v>28</v>
      </c>
      <c r="BZF11" s="25" t="s">
        <v>28</v>
      </c>
      <c r="BZG11" s="25" t="s">
        <v>25</v>
      </c>
      <c r="BZJ11" s="25" t="s">
        <v>25</v>
      </c>
      <c r="BZM11" s="25" t="s">
        <v>28</v>
      </c>
      <c r="BZN11" s="25" t="s">
        <v>8283</v>
      </c>
      <c r="BZP11" s="25" t="s">
        <v>8366</v>
      </c>
      <c r="BZQ11" s="56">
        <v>1000</v>
      </c>
      <c r="BZR11" s="25" t="s">
        <v>28</v>
      </c>
      <c r="BZS11" s="25" t="s">
        <v>28</v>
      </c>
      <c r="BZT11" s="25" t="s">
        <v>8337</v>
      </c>
      <c r="BZV11" s="25" t="s">
        <v>8971</v>
      </c>
      <c r="BZX11" s="25" t="s">
        <v>8725</v>
      </c>
      <c r="BZZ11" s="25" t="s">
        <v>25</v>
      </c>
      <c r="CAC11" s="25" t="s">
        <v>28</v>
      </c>
      <c r="CAD11" s="25" t="s">
        <v>8288</v>
      </c>
      <c r="CAE11" s="25" t="s">
        <v>28</v>
      </c>
      <c r="CAF11" s="25" t="s">
        <v>8289</v>
      </c>
      <c r="CAG11" s="25" t="s">
        <v>25</v>
      </c>
      <c r="CAH11" s="25" t="s">
        <v>631</v>
      </c>
      <c r="CAI11" s="25" t="s">
        <v>631</v>
      </c>
      <c r="CAJ11" s="25" t="s">
        <v>631</v>
      </c>
      <c r="CAK11" s="25" t="s">
        <v>631</v>
      </c>
      <c r="CAL11" s="25" t="s">
        <v>631</v>
      </c>
      <c r="CAM11" s="25" t="s">
        <v>8290</v>
      </c>
      <c r="CAN11" s="25" t="s">
        <v>631</v>
      </c>
      <c r="CAO11" s="25" t="s">
        <v>631</v>
      </c>
      <c r="CAP11" s="25" t="s">
        <v>631</v>
      </c>
      <c r="CAQ11" s="25" t="s">
        <v>8290</v>
      </c>
      <c r="CAR11" s="25" t="s">
        <v>8291</v>
      </c>
      <c r="CAT11" s="25" t="s">
        <v>25</v>
      </c>
      <c r="CAV11" s="25" t="s">
        <v>8340</v>
      </c>
      <c r="CAW11" s="25" t="s">
        <v>8341</v>
      </c>
      <c r="CAX11" s="25" t="s">
        <v>8342</v>
      </c>
      <c r="CAY11" s="25">
        <v>10</v>
      </c>
      <c r="CAZ11" s="25">
        <v>55</v>
      </c>
      <c r="CBB11" s="25">
        <v>1</v>
      </c>
      <c r="CBC11" s="25">
        <v>1</v>
      </c>
      <c r="CBD11" s="25">
        <v>0</v>
      </c>
      <c r="CBE11" s="56">
        <v>25</v>
      </c>
      <c r="CBF11" s="56">
        <v>50</v>
      </c>
      <c r="CBG11" s="56">
        <v>25</v>
      </c>
      <c r="CBH11" s="56">
        <v>50</v>
      </c>
      <c r="CBI11" s="56">
        <v>2000</v>
      </c>
      <c r="CBK11" s="56">
        <v>2000</v>
      </c>
      <c r="CBM11" s="26">
        <v>0</v>
      </c>
      <c r="CBN11" s="26">
        <v>0</v>
      </c>
      <c r="CBO11" s="26">
        <v>0.1</v>
      </c>
      <c r="CBP11" s="26">
        <v>0.2</v>
      </c>
      <c r="CBQ11" s="26">
        <v>0.4</v>
      </c>
      <c r="CBR11" s="26">
        <v>0.5</v>
      </c>
      <c r="CBS11" s="26">
        <v>0.5</v>
      </c>
      <c r="CBT11" s="26">
        <v>0.5</v>
      </c>
      <c r="CBU11" s="27" t="s">
        <v>28</v>
      </c>
      <c r="CBV11" s="27" t="s">
        <v>8573</v>
      </c>
      <c r="CBW11" s="27" t="s">
        <v>8294</v>
      </c>
      <c r="CBX11" s="27" t="s">
        <v>8418</v>
      </c>
      <c r="CBY11" s="27" t="s">
        <v>8296</v>
      </c>
      <c r="CBZ11" s="27" t="s">
        <v>8296</v>
      </c>
      <c r="CCA11" s="27" t="s">
        <v>8297</v>
      </c>
      <c r="CCB11" s="27" t="s">
        <v>8298</v>
      </c>
      <c r="CCC11" s="27" t="s">
        <v>8296</v>
      </c>
      <c r="CCD11" s="27" t="s">
        <v>8297</v>
      </c>
      <c r="CCE11" s="27" t="s">
        <v>8297</v>
      </c>
      <c r="CCF11" s="27" t="s">
        <v>8297</v>
      </c>
      <c r="CCG11" s="27" t="s">
        <v>8297</v>
      </c>
      <c r="CCH11" s="27" t="s">
        <v>8296</v>
      </c>
      <c r="CCI11" s="27" t="s">
        <v>8298</v>
      </c>
      <c r="CCJ11" s="27" t="s">
        <v>8298</v>
      </c>
      <c r="CCK11" s="27" t="s">
        <v>8297</v>
      </c>
      <c r="CCL11" s="27" t="s">
        <v>8297</v>
      </c>
      <c r="CCN11" s="27" t="s">
        <v>8297</v>
      </c>
      <c r="CCO11" s="27" t="s">
        <v>8300</v>
      </c>
      <c r="CCP11" s="27" t="s">
        <v>8296</v>
      </c>
      <c r="CCQ11" s="27" t="s">
        <v>8297</v>
      </c>
      <c r="CCR11" s="27" t="s">
        <v>8296</v>
      </c>
      <c r="CCS11" s="27" t="s">
        <v>8298</v>
      </c>
      <c r="CCT11" s="27" t="s">
        <v>8296</v>
      </c>
      <c r="CCU11" s="27" t="s">
        <v>8298</v>
      </c>
      <c r="CCV11" s="27" t="s">
        <v>8298</v>
      </c>
      <c r="CCW11" s="27" t="s">
        <v>8298</v>
      </c>
      <c r="CCX11" s="27" t="s">
        <v>8298</v>
      </c>
      <c r="CCY11" s="27" t="s">
        <v>8298</v>
      </c>
      <c r="CCZ11" s="27" t="s">
        <v>28</v>
      </c>
      <c r="CDA11" s="27" t="s">
        <v>28</v>
      </c>
      <c r="CDB11" s="27" t="s">
        <v>28</v>
      </c>
      <c r="CDC11" s="27" t="s">
        <v>25</v>
      </c>
      <c r="CDD11" s="27" t="s">
        <v>28</v>
      </c>
      <c r="CDE11" s="27" t="s">
        <v>28</v>
      </c>
      <c r="CDF11" s="27" t="s">
        <v>28</v>
      </c>
      <c r="CDG11" s="27" t="s">
        <v>28</v>
      </c>
      <c r="CDH11" s="27" t="s">
        <v>28</v>
      </c>
      <c r="CDI11" s="27" t="s">
        <v>28</v>
      </c>
      <c r="CDJ11" s="27" t="s">
        <v>25</v>
      </c>
      <c r="CDK11" s="27" t="s">
        <v>25</v>
      </c>
      <c r="CDL11" s="27" t="s">
        <v>28</v>
      </c>
      <c r="CDM11" s="27" t="s">
        <v>28</v>
      </c>
      <c r="CDO11" s="27" t="s">
        <v>28</v>
      </c>
      <c r="CDP11" s="27" t="s">
        <v>25</v>
      </c>
      <c r="CDQ11" s="27" t="s">
        <v>28</v>
      </c>
      <c r="CDR11" s="27" t="s">
        <v>28</v>
      </c>
      <c r="CDS11" s="27" t="s">
        <v>28</v>
      </c>
      <c r="CDT11" s="27" t="s">
        <v>25</v>
      </c>
      <c r="CDU11" s="27" t="s">
        <v>28</v>
      </c>
      <c r="CDV11" s="27" t="s">
        <v>28</v>
      </c>
      <c r="CDW11" s="27" t="s">
        <v>25</v>
      </c>
      <c r="CDX11" s="27" t="s">
        <v>25</v>
      </c>
      <c r="CDY11" s="27" t="s">
        <v>25</v>
      </c>
      <c r="CDZ11" s="27" t="s">
        <v>25</v>
      </c>
      <c r="CEA11" s="27" t="s">
        <v>2673</v>
      </c>
      <c r="CEB11" s="27" t="s">
        <v>2673</v>
      </c>
      <c r="CEC11" s="27" t="s">
        <v>8301</v>
      </c>
      <c r="CED11" s="27" t="s">
        <v>8371</v>
      </c>
      <c r="CEE11" s="27" t="s">
        <v>2673</v>
      </c>
      <c r="CEF11" s="27" t="s">
        <v>8301</v>
      </c>
      <c r="CEG11" s="27" t="s">
        <v>8301</v>
      </c>
      <c r="CEH11" s="27" t="s">
        <v>8301</v>
      </c>
      <c r="CEI11" s="27" t="s">
        <v>8301</v>
      </c>
      <c r="CEJ11" s="27" t="s">
        <v>8371</v>
      </c>
      <c r="CEK11" s="27" t="s">
        <v>8371</v>
      </c>
      <c r="CEL11" s="27" t="s">
        <v>8303</v>
      </c>
      <c r="CEM11" s="27" t="s">
        <v>2673</v>
      </c>
      <c r="CEN11" s="27" t="s">
        <v>8301</v>
      </c>
      <c r="CEP11" s="27" t="s">
        <v>2673</v>
      </c>
      <c r="CEQ11" s="27" t="s">
        <v>8304</v>
      </c>
      <c r="CER11" s="27" t="s">
        <v>2673</v>
      </c>
      <c r="CES11" s="27" t="s">
        <v>2673</v>
      </c>
      <c r="CET11" s="27" t="s">
        <v>2673</v>
      </c>
      <c r="CEU11" s="27" t="s">
        <v>2673</v>
      </c>
      <c r="CEV11" s="27" t="s">
        <v>2673</v>
      </c>
      <c r="CEW11" s="27" t="s">
        <v>8306</v>
      </c>
      <c r="CEX11" s="27" t="s">
        <v>8303</v>
      </c>
      <c r="CEY11" s="27" t="s">
        <v>8302</v>
      </c>
      <c r="CEZ11" s="27" t="s">
        <v>8306</v>
      </c>
      <c r="CFA11" s="27" t="s">
        <v>8306</v>
      </c>
      <c r="CFB11" s="27" t="s">
        <v>25</v>
      </c>
      <c r="CFC11" s="27" t="s">
        <v>25</v>
      </c>
      <c r="CFD11" s="27" t="s">
        <v>25</v>
      </c>
      <c r="CFE11" s="27" t="s">
        <v>25</v>
      </c>
      <c r="CFF11" s="27" t="s">
        <v>25</v>
      </c>
      <c r="CFG11" s="27" t="s">
        <v>25</v>
      </c>
      <c r="CFH11" s="27" t="s">
        <v>25</v>
      </c>
      <c r="CFI11" s="27" t="s">
        <v>25</v>
      </c>
      <c r="CFJ11" s="27" t="s">
        <v>25</v>
      </c>
      <c r="CFK11" s="27" t="s">
        <v>25</v>
      </c>
      <c r="CFL11" s="27" t="s">
        <v>25</v>
      </c>
      <c r="CFM11" s="27" t="s">
        <v>28</v>
      </c>
      <c r="CFN11" s="27" t="s">
        <v>25</v>
      </c>
      <c r="CFO11" s="27" t="s">
        <v>25</v>
      </c>
      <c r="CFQ11" s="27" t="s">
        <v>25</v>
      </c>
      <c r="CFR11" s="27" t="s">
        <v>25</v>
      </c>
      <c r="CFS11" s="27" t="s">
        <v>25</v>
      </c>
      <c r="CFT11" s="27" t="s">
        <v>25</v>
      </c>
      <c r="CFU11" s="27" t="s">
        <v>25</v>
      </c>
      <c r="CFV11" s="27" t="s">
        <v>25</v>
      </c>
      <c r="CFW11" s="27" t="s">
        <v>25</v>
      </c>
      <c r="CFX11" s="27" t="s">
        <v>25</v>
      </c>
      <c r="CFY11" s="27" t="s">
        <v>28</v>
      </c>
      <c r="CFZ11" s="27" t="s">
        <v>25</v>
      </c>
      <c r="CGA11" s="27" t="s">
        <v>25</v>
      </c>
      <c r="CGB11" s="27" t="s">
        <v>25</v>
      </c>
      <c r="CGC11" s="56">
        <v>0</v>
      </c>
      <c r="CGD11" s="56">
        <v>0</v>
      </c>
      <c r="CGK11" s="26">
        <v>0</v>
      </c>
      <c r="CGM11" s="26">
        <v>0</v>
      </c>
      <c r="CGO11" s="26">
        <v>0</v>
      </c>
      <c r="CGQ11" s="26">
        <v>0</v>
      </c>
      <c r="CGS11" s="27" t="s">
        <v>8522</v>
      </c>
      <c r="CGT11" s="27" t="s">
        <v>8294</v>
      </c>
      <c r="CGU11" s="27" t="s">
        <v>13840</v>
      </c>
      <c r="CGV11" s="27" t="s">
        <v>8296</v>
      </c>
      <c r="CGW11" s="27" t="s">
        <v>8296</v>
      </c>
      <c r="CGX11" s="27" t="s">
        <v>8297</v>
      </c>
      <c r="CGY11" s="27" t="s">
        <v>8298</v>
      </c>
      <c r="CGZ11" s="27" t="s">
        <v>8296</v>
      </c>
      <c r="CHA11" s="27" t="s">
        <v>8297</v>
      </c>
      <c r="CHB11" s="27" t="s">
        <v>8297</v>
      </c>
      <c r="CHC11" s="27" t="s">
        <v>8297</v>
      </c>
      <c r="CHD11" s="27" t="s">
        <v>8297</v>
      </c>
      <c r="CHF11" s="27" t="s">
        <v>8298</v>
      </c>
      <c r="CHG11" s="27" t="s">
        <v>8298</v>
      </c>
      <c r="CHH11" s="27" t="s">
        <v>8297</v>
      </c>
      <c r="CHI11" s="27" t="s">
        <v>8297</v>
      </c>
      <c r="CHK11" s="27" t="s">
        <v>8297</v>
      </c>
      <c r="CHL11" s="27" t="s">
        <v>8300</v>
      </c>
      <c r="CHM11" s="27" t="s">
        <v>8300</v>
      </c>
      <c r="CHN11" s="27" t="s">
        <v>8300</v>
      </c>
      <c r="CHO11" s="27" t="s">
        <v>8297</v>
      </c>
      <c r="CHP11" s="27" t="s">
        <v>8296</v>
      </c>
      <c r="CHQ11" s="27" t="s">
        <v>8296</v>
      </c>
      <c r="CHR11" s="27" t="s">
        <v>8298</v>
      </c>
      <c r="CHS11" s="27" t="s">
        <v>8298</v>
      </c>
      <c r="CHT11" s="27" t="s">
        <v>8298</v>
      </c>
      <c r="CHU11" s="27" t="s">
        <v>8298</v>
      </c>
      <c r="CHV11" s="27" t="s">
        <v>8298</v>
      </c>
      <c r="CHW11" s="27" t="s">
        <v>28</v>
      </c>
      <c r="CHX11" s="27" t="s">
        <v>28</v>
      </c>
      <c r="CHY11" s="27" t="s">
        <v>28</v>
      </c>
      <c r="CHZ11" s="27" t="s">
        <v>28</v>
      </c>
      <c r="CIA11" s="27" t="s">
        <v>28</v>
      </c>
      <c r="CIB11" s="27" t="s">
        <v>28</v>
      </c>
      <c r="CIC11" s="27" t="s">
        <v>28</v>
      </c>
      <c r="CID11" s="27" t="s">
        <v>28</v>
      </c>
      <c r="CIE11" s="27" t="s">
        <v>28</v>
      </c>
      <c r="CIG11" s="27" t="s">
        <v>28</v>
      </c>
      <c r="CIH11" s="27" t="s">
        <v>28</v>
      </c>
      <c r="CII11" s="27" t="s">
        <v>28</v>
      </c>
      <c r="CIJ11" s="27" t="s">
        <v>28</v>
      </c>
      <c r="CIL11" s="27" t="s">
        <v>28</v>
      </c>
      <c r="CIM11" s="27" t="s">
        <v>28</v>
      </c>
      <c r="CIN11" s="27" t="s">
        <v>28</v>
      </c>
      <c r="CIO11" s="27" t="s">
        <v>28</v>
      </c>
      <c r="CIP11" s="27" t="s">
        <v>28</v>
      </c>
      <c r="CIQ11" s="27" t="s">
        <v>28</v>
      </c>
      <c r="CIR11" s="27" t="s">
        <v>28</v>
      </c>
      <c r="CIS11" s="27" t="s">
        <v>28</v>
      </c>
      <c r="CIT11" s="27" t="s">
        <v>28</v>
      </c>
      <c r="CIU11" s="27" t="s">
        <v>28</v>
      </c>
      <c r="CIV11" s="27" t="s">
        <v>28</v>
      </c>
      <c r="CIW11" s="27" t="s">
        <v>28</v>
      </c>
      <c r="CIX11" s="27" t="s">
        <v>2673</v>
      </c>
      <c r="CIY11" s="27" t="s">
        <v>2673</v>
      </c>
      <c r="CIZ11" s="27" t="s">
        <v>8301</v>
      </c>
      <c r="CJA11" s="27" t="s">
        <v>8302</v>
      </c>
      <c r="CJB11" s="27" t="s">
        <v>2673</v>
      </c>
      <c r="CJC11" s="27" t="s">
        <v>8301</v>
      </c>
      <c r="CJD11" s="27" t="s">
        <v>8301</v>
      </c>
      <c r="CJE11" s="27" t="s">
        <v>8301</v>
      </c>
      <c r="CJF11" s="27" t="s">
        <v>8301</v>
      </c>
      <c r="CJH11" s="27" t="s">
        <v>8421</v>
      </c>
      <c r="CJI11" s="27" t="s">
        <v>8302</v>
      </c>
      <c r="CJJ11" s="27" t="s">
        <v>2673</v>
      </c>
      <c r="CJK11" s="27" t="s">
        <v>8301</v>
      </c>
      <c r="CJM11" s="27" t="s">
        <v>2673</v>
      </c>
      <c r="CJN11" s="27" t="s">
        <v>8304</v>
      </c>
      <c r="CJO11" s="27" t="s">
        <v>8304</v>
      </c>
      <c r="CJP11" s="27" t="s">
        <v>8304</v>
      </c>
      <c r="CJQ11" s="27" t="s">
        <v>2673</v>
      </c>
      <c r="CJR11" s="27" t="s">
        <v>2673</v>
      </c>
      <c r="CJS11" s="27" t="s">
        <v>2673</v>
      </c>
      <c r="CJT11" s="27" t="s">
        <v>2673</v>
      </c>
      <c r="CJU11" s="27" t="s">
        <v>8302</v>
      </c>
      <c r="CJV11" s="27" t="s">
        <v>2673</v>
      </c>
      <c r="CJW11" s="27" t="s">
        <v>8306</v>
      </c>
      <c r="CJX11" s="27" t="s">
        <v>2673</v>
      </c>
      <c r="CJY11" s="27" t="s">
        <v>25</v>
      </c>
      <c r="CJZ11" s="27" t="s">
        <v>25</v>
      </c>
      <c r="CKA11" s="27" t="s">
        <v>25</v>
      </c>
      <c r="CKB11" s="27" t="s">
        <v>25</v>
      </c>
      <c r="CKC11" s="27" t="s">
        <v>25</v>
      </c>
      <c r="CKD11" s="27" t="s">
        <v>25</v>
      </c>
      <c r="CKE11" s="27" t="s">
        <v>25</v>
      </c>
      <c r="CKF11" s="27" t="s">
        <v>25</v>
      </c>
      <c r="CKG11" s="27" t="s">
        <v>25</v>
      </c>
      <c r="CKI11" s="27" t="s">
        <v>25</v>
      </c>
      <c r="CKJ11" s="27" t="s">
        <v>28</v>
      </c>
      <c r="CKK11" s="27" t="s">
        <v>25</v>
      </c>
      <c r="CKL11" s="27" t="s">
        <v>25</v>
      </c>
      <c r="CKN11" s="27" t="s">
        <v>25</v>
      </c>
      <c r="CKO11" s="27" t="s">
        <v>25</v>
      </c>
      <c r="CKP11" s="27" t="s">
        <v>25</v>
      </c>
      <c r="CKQ11" s="27" t="s">
        <v>25</v>
      </c>
      <c r="CKR11" s="27" t="s">
        <v>25</v>
      </c>
      <c r="CKS11" s="27" t="s">
        <v>25</v>
      </c>
      <c r="CKT11" s="27" t="s">
        <v>25</v>
      </c>
      <c r="CKU11" s="27" t="s">
        <v>28</v>
      </c>
      <c r="CKV11" s="27" t="s">
        <v>28</v>
      </c>
      <c r="CKW11" s="27" t="s">
        <v>25</v>
      </c>
      <c r="CKX11" s="27" t="s">
        <v>25</v>
      </c>
      <c r="CKY11" s="27" t="s">
        <v>25</v>
      </c>
      <c r="CPW11" s="27">
        <v>2</v>
      </c>
      <c r="CPX11" s="56">
        <v>0</v>
      </c>
      <c r="CPY11" s="26">
        <v>0</v>
      </c>
      <c r="CPZ11" s="56">
        <v>20</v>
      </c>
      <c r="CQA11" s="26">
        <v>0</v>
      </c>
      <c r="CQB11" s="25" t="s">
        <v>8372</v>
      </c>
      <c r="CQC11" s="25" t="s">
        <v>8372</v>
      </c>
      <c r="CQD11" s="25" t="s">
        <v>8372</v>
      </c>
      <c r="CQE11" s="25" t="s">
        <v>8372</v>
      </c>
      <c r="CQF11" s="25" t="s">
        <v>8372</v>
      </c>
      <c r="CQG11" s="56">
        <v>0</v>
      </c>
      <c r="CQH11" s="56">
        <v>0</v>
      </c>
      <c r="CQI11" s="56">
        <v>150</v>
      </c>
      <c r="CQJ11" s="56">
        <v>150</v>
      </c>
      <c r="CQL11" s="25" t="s">
        <v>13668</v>
      </c>
      <c r="CQM11" s="25" t="s">
        <v>8308</v>
      </c>
      <c r="CQN11" s="25" t="s">
        <v>28</v>
      </c>
      <c r="CQO11" s="25" t="s">
        <v>8772</v>
      </c>
      <c r="CQQ11" s="25" t="s">
        <v>8972</v>
      </c>
      <c r="CQR11" s="25" t="s">
        <v>8973</v>
      </c>
      <c r="CQS11" s="25" t="s">
        <v>25</v>
      </c>
      <c r="CQT11" s="25" t="s">
        <v>8313</v>
      </c>
      <c r="CQU11" s="25" t="s">
        <v>8312</v>
      </c>
      <c r="CQV11" s="25" t="s">
        <v>8313</v>
      </c>
      <c r="CQW11" s="25" t="s">
        <v>8313</v>
      </c>
      <c r="CQX11" s="25" t="s">
        <v>8313</v>
      </c>
      <c r="CQY11" s="25" t="s">
        <v>8313</v>
      </c>
      <c r="CQZ11" s="25" t="s">
        <v>8312</v>
      </c>
      <c r="CRA11" s="25" t="s">
        <v>8312</v>
      </c>
      <c r="CRB11" s="25" t="s">
        <v>8314</v>
      </c>
      <c r="CRC11" s="25" t="s">
        <v>8314</v>
      </c>
      <c r="CRD11" s="25" t="s">
        <v>8313</v>
      </c>
      <c r="CRE11" s="27" t="s">
        <v>8312</v>
      </c>
    </row>
    <row r="12" spans="1:2501" ht="76.5" x14ac:dyDescent="0.2">
      <c r="A12" s="21" t="s">
        <v>175</v>
      </c>
      <c r="B12" s="26">
        <v>0.27</v>
      </c>
      <c r="C12" s="26">
        <v>0</v>
      </c>
      <c r="D12" s="26">
        <v>0.08</v>
      </c>
      <c r="E12" s="26">
        <v>0.54</v>
      </c>
      <c r="F12" s="26">
        <v>0</v>
      </c>
      <c r="G12" s="26">
        <v>0</v>
      </c>
      <c r="H12" s="26">
        <v>0</v>
      </c>
      <c r="I12" s="26">
        <v>0</v>
      </c>
      <c r="J12" s="26">
        <v>0</v>
      </c>
      <c r="K12" s="26">
        <v>0</v>
      </c>
      <c r="L12" s="26">
        <v>0</v>
      </c>
      <c r="M12" s="26">
        <v>0.11</v>
      </c>
      <c r="N12" s="26">
        <v>0</v>
      </c>
      <c r="O12" s="26">
        <v>0</v>
      </c>
      <c r="P12" s="26">
        <v>0</v>
      </c>
      <c r="Q12" s="26">
        <v>0</v>
      </c>
      <c r="R12" s="26">
        <v>0</v>
      </c>
      <c r="S12" s="26">
        <v>0</v>
      </c>
      <c r="T12" s="26">
        <v>0</v>
      </c>
      <c r="U12" s="26">
        <v>0</v>
      </c>
      <c r="V12" s="26">
        <v>0</v>
      </c>
      <c r="W12" s="26">
        <v>0</v>
      </c>
      <c r="X12" s="26">
        <v>0</v>
      </c>
      <c r="Y12" s="26">
        <v>1</v>
      </c>
      <c r="Z12" s="25">
        <v>1</v>
      </c>
      <c r="AA12" s="25" t="s">
        <v>8348</v>
      </c>
      <c r="AC12" s="56">
        <v>2500</v>
      </c>
      <c r="AD12" s="56">
        <v>7500</v>
      </c>
      <c r="AE12" s="56">
        <v>5350</v>
      </c>
      <c r="AF12" s="56">
        <v>16050</v>
      </c>
      <c r="AI12" s="25" t="s">
        <v>8246</v>
      </c>
      <c r="AJ12" s="56">
        <v>500</v>
      </c>
      <c r="AK12" s="56">
        <v>1500</v>
      </c>
      <c r="AL12" s="56">
        <v>1500</v>
      </c>
      <c r="AM12" s="56">
        <v>4500</v>
      </c>
      <c r="AN12" s="25" t="s">
        <v>8350</v>
      </c>
      <c r="AO12" s="25" t="s">
        <v>8248</v>
      </c>
      <c r="BB12" s="25" t="s">
        <v>8249</v>
      </c>
      <c r="DO12" s="25" t="s">
        <v>25</v>
      </c>
      <c r="DP12" s="25" t="s">
        <v>28</v>
      </c>
      <c r="DQ12" s="25" t="s">
        <v>25</v>
      </c>
      <c r="DR12" s="25" t="s">
        <v>25</v>
      </c>
      <c r="DT12" s="25" t="s">
        <v>13417</v>
      </c>
      <c r="DU12" s="25" t="s">
        <v>13420</v>
      </c>
      <c r="EC12" s="26">
        <v>0.15</v>
      </c>
      <c r="ED12" s="26">
        <v>0.15</v>
      </c>
      <c r="EE12" s="26">
        <v>0.15</v>
      </c>
      <c r="EF12" s="26">
        <v>0.15</v>
      </c>
      <c r="EG12" s="26">
        <v>0.15</v>
      </c>
      <c r="EH12" s="26">
        <v>0.15</v>
      </c>
      <c r="EQ12" s="26">
        <v>0.4</v>
      </c>
      <c r="ER12" s="26">
        <v>0.4</v>
      </c>
      <c r="ES12" s="26">
        <v>0.4</v>
      </c>
      <c r="ET12" s="26">
        <v>0.15</v>
      </c>
      <c r="EU12" s="26">
        <v>0.15</v>
      </c>
      <c r="EX12" s="25" t="s">
        <v>8250</v>
      </c>
      <c r="EY12" s="25" t="s">
        <v>8250</v>
      </c>
      <c r="EZ12" s="25" t="s">
        <v>8250</v>
      </c>
      <c r="FA12" s="25" t="s">
        <v>8250</v>
      </c>
      <c r="FB12" s="25" t="s">
        <v>8250</v>
      </c>
      <c r="FC12" s="25" t="s">
        <v>8250</v>
      </c>
      <c r="FE12" s="25" t="s">
        <v>25</v>
      </c>
      <c r="FF12" s="25" t="s">
        <v>25</v>
      </c>
      <c r="FG12" s="25" t="s">
        <v>28</v>
      </c>
      <c r="FH12" s="25" t="s">
        <v>25</v>
      </c>
      <c r="FI12" s="25" t="s">
        <v>25</v>
      </c>
      <c r="FJ12" s="25" t="s">
        <v>25</v>
      </c>
      <c r="FL12" s="25" t="s">
        <v>13810</v>
      </c>
      <c r="FM12" s="25" t="s">
        <v>13810</v>
      </c>
      <c r="FN12" s="25" t="s">
        <v>13810</v>
      </c>
      <c r="FO12" s="25" t="s">
        <v>13810</v>
      </c>
      <c r="FP12" s="25" t="s">
        <v>8251</v>
      </c>
      <c r="FQ12" s="25" t="s">
        <v>8252</v>
      </c>
      <c r="FR12" s="25" t="s">
        <v>13810</v>
      </c>
      <c r="FS12" s="25" t="s">
        <v>631</v>
      </c>
      <c r="FT12" s="25" t="s">
        <v>631</v>
      </c>
      <c r="FV12" s="25" t="s">
        <v>8253</v>
      </c>
      <c r="FW12" s="25" t="s">
        <v>8253</v>
      </c>
      <c r="FX12" s="25" t="s">
        <v>8952</v>
      </c>
      <c r="FY12" s="25" t="s">
        <v>13454</v>
      </c>
      <c r="FZ12" s="25" t="s">
        <v>8325</v>
      </c>
      <c r="GA12" s="25" t="s">
        <v>8262</v>
      </c>
      <c r="GB12" s="25" t="s">
        <v>8701</v>
      </c>
      <c r="GE12" s="56">
        <v>10</v>
      </c>
      <c r="GG12" s="56">
        <v>20</v>
      </c>
      <c r="GK12" s="56">
        <v>75</v>
      </c>
      <c r="GO12" s="56">
        <v>150</v>
      </c>
      <c r="GQ12" s="56">
        <v>45</v>
      </c>
      <c r="GS12" s="56">
        <v>65</v>
      </c>
      <c r="HH12" s="57">
        <v>0.25</v>
      </c>
      <c r="HI12" s="57">
        <v>0.35</v>
      </c>
      <c r="HQ12" s="56">
        <v>80</v>
      </c>
      <c r="HR12" s="56">
        <v>120</v>
      </c>
      <c r="KM12" s="25" t="s">
        <v>8352</v>
      </c>
      <c r="KN12" s="25" t="s">
        <v>8381</v>
      </c>
      <c r="KO12" s="25" t="s">
        <v>8321</v>
      </c>
      <c r="KP12" s="25">
        <v>1</v>
      </c>
      <c r="KQ12" s="25" t="s">
        <v>8953</v>
      </c>
      <c r="KS12" s="56">
        <v>2500</v>
      </c>
      <c r="KT12" s="56">
        <v>6850</v>
      </c>
      <c r="KU12" s="56">
        <v>4500</v>
      </c>
      <c r="KV12" s="56">
        <v>10500</v>
      </c>
      <c r="KY12" s="25" t="s">
        <v>8246</v>
      </c>
      <c r="KZ12" s="56">
        <v>2000</v>
      </c>
      <c r="LA12" s="56">
        <v>6000</v>
      </c>
      <c r="LB12" s="56">
        <v>2000</v>
      </c>
      <c r="LC12" s="56">
        <v>6000</v>
      </c>
      <c r="LD12" s="25" t="s">
        <v>8247</v>
      </c>
      <c r="LE12" s="25" t="s">
        <v>8248</v>
      </c>
      <c r="LR12" s="25" t="s">
        <v>8249</v>
      </c>
      <c r="OE12" s="25" t="s">
        <v>25</v>
      </c>
      <c r="OF12" s="25" t="s">
        <v>28</v>
      </c>
      <c r="OG12" s="25" t="s">
        <v>25</v>
      </c>
      <c r="OH12" s="25" t="s">
        <v>25</v>
      </c>
      <c r="OJ12" s="25" t="s">
        <v>13420</v>
      </c>
      <c r="OK12" s="25" t="s">
        <v>13420</v>
      </c>
      <c r="OS12" s="26">
        <v>0.1</v>
      </c>
      <c r="OT12" s="26">
        <v>0.1</v>
      </c>
      <c r="OU12" s="26">
        <v>0.1</v>
      </c>
      <c r="OV12" s="26">
        <v>0.1</v>
      </c>
      <c r="OW12" s="26">
        <v>0.1</v>
      </c>
      <c r="PG12" s="26">
        <v>0.3</v>
      </c>
      <c r="PH12" s="26">
        <v>0.3</v>
      </c>
      <c r="PI12" s="26">
        <v>0.3</v>
      </c>
      <c r="PJ12" s="26">
        <v>0.1</v>
      </c>
      <c r="PK12" s="26">
        <v>0.1</v>
      </c>
      <c r="PN12" s="25" t="s">
        <v>8250</v>
      </c>
      <c r="PO12" s="25" t="s">
        <v>8250</v>
      </c>
      <c r="PP12" s="25" t="s">
        <v>8250</v>
      </c>
      <c r="PQ12" s="25" t="s">
        <v>8250</v>
      </c>
      <c r="PR12" s="25" t="s">
        <v>8250</v>
      </c>
      <c r="PS12" s="25" t="s">
        <v>8250</v>
      </c>
      <c r="PU12" s="25" t="s">
        <v>25</v>
      </c>
      <c r="PV12" s="25" t="s">
        <v>25</v>
      </c>
      <c r="PW12" s="25" t="s">
        <v>28</v>
      </c>
      <c r="QB12" s="25" t="s">
        <v>13810</v>
      </c>
      <c r="QC12" s="25" t="s">
        <v>13810</v>
      </c>
      <c r="QD12" s="25" t="s">
        <v>13810</v>
      </c>
      <c r="QE12" s="25" t="s">
        <v>13810</v>
      </c>
      <c r="QF12" s="25" t="s">
        <v>13810</v>
      </c>
      <c r="QG12" s="25" t="s">
        <v>13810</v>
      </c>
      <c r="QH12" s="25" t="s">
        <v>13810</v>
      </c>
      <c r="QI12" s="25" t="s">
        <v>631</v>
      </c>
      <c r="QJ12" s="25" t="s">
        <v>631</v>
      </c>
      <c r="QL12" s="25" t="s">
        <v>8253</v>
      </c>
      <c r="QM12" s="25" t="s">
        <v>8253</v>
      </c>
      <c r="QN12" s="25" t="s">
        <v>8952</v>
      </c>
      <c r="QO12" s="25" t="s">
        <v>13454</v>
      </c>
      <c r="QP12" s="25" t="s">
        <v>8954</v>
      </c>
      <c r="QQ12" s="25" t="s">
        <v>8637</v>
      </c>
      <c r="QR12" s="25" t="s">
        <v>8955</v>
      </c>
      <c r="QU12" s="56">
        <v>10</v>
      </c>
      <c r="QW12" s="56">
        <v>20</v>
      </c>
      <c r="RA12" s="56">
        <v>60</v>
      </c>
      <c r="RE12" s="56">
        <v>130</v>
      </c>
      <c r="RG12" s="56">
        <v>35</v>
      </c>
      <c r="RI12" s="56">
        <v>55</v>
      </c>
      <c r="RX12" s="26">
        <v>0.2</v>
      </c>
      <c r="RY12" s="26">
        <v>0.3</v>
      </c>
      <c r="VC12" s="25" t="s">
        <v>8352</v>
      </c>
      <c r="VD12" s="25" t="s">
        <v>8381</v>
      </c>
      <c r="VE12" s="25" t="s">
        <v>8321</v>
      </c>
      <c r="VF12" s="25">
        <v>0</v>
      </c>
      <c r="VI12" s="25"/>
      <c r="VJ12" s="25"/>
      <c r="VK12" s="25"/>
      <c r="VL12" s="25"/>
      <c r="VM12" s="25"/>
      <c r="VN12" s="25"/>
      <c r="VP12" s="25"/>
      <c r="VQ12" s="25"/>
      <c r="VR12" s="25"/>
      <c r="VS12" s="25"/>
      <c r="ZA12" s="25"/>
      <c r="ZB12" s="25"/>
      <c r="ZC12" s="25"/>
      <c r="ZD12" s="25"/>
      <c r="ZE12" s="25"/>
      <c r="ZF12" s="25"/>
      <c r="ZG12" s="25"/>
      <c r="ZO12" s="25"/>
      <c r="ZP12" s="25"/>
      <c r="ZQ12" s="25"/>
      <c r="ZR12" s="25"/>
      <c r="ZS12" s="25"/>
      <c r="ZT12" s="25"/>
      <c r="ZU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S12" s="25"/>
      <c r="ACT12" s="25"/>
      <c r="ACU12" s="25"/>
      <c r="ACV12" s="25"/>
      <c r="ACW12" s="25"/>
      <c r="ACX12" s="25"/>
      <c r="ACY12" s="25"/>
      <c r="ACZ12" s="25"/>
      <c r="ADA12" s="25"/>
      <c r="ADB12" s="25"/>
      <c r="ADC12" s="25"/>
      <c r="ADD12" s="25"/>
      <c r="ADE12" s="25"/>
      <c r="ADF12" s="25"/>
      <c r="ADN12" s="25"/>
      <c r="ADO12" s="25"/>
      <c r="ADP12" s="25"/>
      <c r="ADQ12" s="25"/>
      <c r="ADR12" s="25"/>
      <c r="ADS12" s="25"/>
      <c r="ADT12" s="25"/>
      <c r="ADU12" s="25"/>
      <c r="ADV12" s="25"/>
      <c r="ADW12" s="25"/>
      <c r="ADX12" s="25"/>
      <c r="ADY12" s="25"/>
      <c r="ADZ12" s="25"/>
      <c r="AEA12" s="25"/>
      <c r="AEI12" s="25"/>
      <c r="AEJ12" s="25"/>
      <c r="AEK12" s="25"/>
      <c r="AEL12" s="25"/>
      <c r="AEM12" s="25"/>
      <c r="AEN12" s="25"/>
      <c r="AEO12" s="25"/>
      <c r="AEP12" s="25"/>
      <c r="AEQ12" s="25"/>
      <c r="AER12" s="25"/>
      <c r="AES12" s="25"/>
      <c r="AET12" s="25"/>
      <c r="AEU12" s="25"/>
      <c r="AEV12" s="25"/>
      <c r="AFD12" s="25"/>
      <c r="AFE12" s="25"/>
      <c r="AFF12" s="25"/>
      <c r="AFG12" s="25"/>
      <c r="AFH12" s="25"/>
      <c r="AFI12" s="25"/>
      <c r="AFJ12" s="25"/>
      <c r="AFK12" s="25"/>
      <c r="AFL12" s="25"/>
      <c r="AFM12" s="25"/>
      <c r="AFN12" s="25"/>
      <c r="AFO12" s="25"/>
      <c r="AFP12" s="25"/>
      <c r="AFQ12" s="25"/>
      <c r="AFU12" s="25">
        <v>0</v>
      </c>
      <c r="AFX12" s="25"/>
      <c r="AFY12" s="25"/>
      <c r="AFZ12" s="25"/>
      <c r="AGA12" s="25"/>
      <c r="AGB12" s="25"/>
      <c r="AGC12" s="25"/>
      <c r="AGE12" s="25"/>
      <c r="AGF12" s="25"/>
      <c r="AGG12" s="25"/>
      <c r="AGH12" s="25"/>
      <c r="AJP12" s="25"/>
      <c r="AJQ12" s="25"/>
      <c r="AJR12" s="25"/>
      <c r="AJS12" s="25"/>
      <c r="AJT12" s="25"/>
      <c r="AJU12" s="25"/>
      <c r="AJV12" s="25"/>
      <c r="AKD12" s="25"/>
      <c r="AKE12" s="25"/>
      <c r="AKF12" s="25"/>
      <c r="AKG12" s="25"/>
      <c r="AKH12" s="25"/>
      <c r="AKI12" s="25"/>
      <c r="AKJ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H12" s="25"/>
      <c r="ANI12" s="25"/>
      <c r="ANJ12" s="25"/>
      <c r="ANK12" s="25"/>
      <c r="ANL12" s="25"/>
      <c r="ANM12" s="25"/>
      <c r="ANN12" s="25"/>
      <c r="ANO12" s="25"/>
      <c r="ANP12" s="25"/>
      <c r="ANQ12" s="25"/>
      <c r="ANR12" s="25"/>
      <c r="ANS12" s="25"/>
      <c r="ANT12" s="25"/>
      <c r="ANU12" s="25"/>
      <c r="AOC12" s="25"/>
      <c r="AOD12" s="25"/>
      <c r="AOE12" s="25"/>
      <c r="AOF12" s="25"/>
      <c r="AOG12" s="25"/>
      <c r="AOH12" s="25"/>
      <c r="AOI12" s="25"/>
      <c r="AOJ12" s="25"/>
      <c r="AOK12" s="25"/>
      <c r="AOL12" s="25"/>
      <c r="AOM12" s="25"/>
      <c r="AON12" s="25"/>
      <c r="AOO12" s="25"/>
      <c r="AOP12" s="25"/>
      <c r="AOX12" s="25"/>
      <c r="AOY12" s="25"/>
      <c r="AOZ12" s="25"/>
      <c r="APA12" s="25"/>
      <c r="APB12" s="25"/>
      <c r="APC12" s="25"/>
      <c r="APD12" s="25"/>
      <c r="APE12" s="25"/>
      <c r="APF12" s="25"/>
      <c r="APG12" s="25"/>
      <c r="APH12" s="25"/>
      <c r="API12" s="25"/>
      <c r="APJ12" s="25"/>
      <c r="APK12" s="25"/>
      <c r="APS12" s="25"/>
      <c r="APT12" s="25"/>
      <c r="APU12" s="25"/>
      <c r="APV12" s="25"/>
      <c r="APW12" s="25"/>
      <c r="APX12" s="25"/>
      <c r="APY12" s="25"/>
      <c r="APZ12" s="25"/>
      <c r="AQA12" s="25"/>
      <c r="AQB12" s="25"/>
      <c r="AQC12" s="25"/>
      <c r="AQD12" s="25"/>
      <c r="AQE12" s="25"/>
      <c r="AQF12" s="25"/>
      <c r="AQJ12" s="25">
        <v>1</v>
      </c>
      <c r="AQK12" s="25" t="s">
        <v>8749</v>
      </c>
      <c r="AQM12" s="56">
        <v>1500</v>
      </c>
      <c r="AQN12" s="56">
        <v>3000</v>
      </c>
      <c r="AQS12" s="25" t="s">
        <v>8690</v>
      </c>
      <c r="AQT12" s="56">
        <v>0</v>
      </c>
      <c r="AQU12" s="56">
        <v>0</v>
      </c>
      <c r="AQX12" s="25" t="s">
        <v>8248</v>
      </c>
      <c r="ATX12" s="25" t="s">
        <v>25</v>
      </c>
      <c r="ATY12" s="25" t="s">
        <v>25</v>
      </c>
      <c r="AUA12" s="25" t="s">
        <v>25</v>
      </c>
      <c r="AUC12" s="25" t="s">
        <v>13417</v>
      </c>
      <c r="AUD12" s="25" t="s">
        <v>8956</v>
      </c>
      <c r="AUE12" s="56">
        <v>20</v>
      </c>
      <c r="AUF12" s="56">
        <v>35</v>
      </c>
      <c r="AUG12" s="56">
        <v>20</v>
      </c>
      <c r="AUH12" s="56">
        <v>100</v>
      </c>
      <c r="AUI12" s="56">
        <v>20</v>
      </c>
      <c r="AUJ12" s="56">
        <v>0</v>
      </c>
      <c r="AUW12" s="56">
        <v>20</v>
      </c>
      <c r="AVG12" s="25" t="s">
        <v>8250</v>
      </c>
      <c r="AVH12" s="25" t="s">
        <v>8250</v>
      </c>
      <c r="AVI12" s="25" t="s">
        <v>8250</v>
      </c>
      <c r="AVJ12" s="25" t="s">
        <v>8250</v>
      </c>
      <c r="AVK12" s="25" t="s">
        <v>8250</v>
      </c>
      <c r="AVL12" s="25" t="s">
        <v>8250</v>
      </c>
      <c r="AVN12" s="25" t="s">
        <v>25</v>
      </c>
      <c r="AVO12" s="25" t="s">
        <v>25</v>
      </c>
      <c r="AVP12" s="25" t="s">
        <v>25</v>
      </c>
      <c r="AVS12" s="25" t="s">
        <v>25</v>
      </c>
      <c r="AVU12" s="25" t="s">
        <v>13810</v>
      </c>
      <c r="AVV12" s="25" t="s">
        <v>13810</v>
      </c>
      <c r="AVW12" s="25" t="s">
        <v>13810</v>
      </c>
      <c r="AVX12" s="25" t="s">
        <v>8252</v>
      </c>
      <c r="AVY12" s="25" t="s">
        <v>13810</v>
      </c>
      <c r="AVZ12" s="25" t="s">
        <v>631</v>
      </c>
      <c r="AWA12" s="25" t="s">
        <v>13810</v>
      </c>
      <c r="AWB12" s="25" t="s">
        <v>13810</v>
      </c>
      <c r="AWC12" s="25" t="s">
        <v>631</v>
      </c>
      <c r="AWE12" s="25" t="s">
        <v>8253</v>
      </c>
      <c r="AWF12" s="25" t="s">
        <v>8253</v>
      </c>
      <c r="AWG12" s="25" t="s">
        <v>8253</v>
      </c>
      <c r="AWH12" s="25" t="s">
        <v>8380</v>
      </c>
      <c r="AWI12" s="25" t="s">
        <v>8325</v>
      </c>
      <c r="AWK12" s="25" t="s">
        <v>8380</v>
      </c>
      <c r="AWL12" s="25" t="s">
        <v>8253</v>
      </c>
      <c r="AWN12" s="56">
        <v>10</v>
      </c>
      <c r="AWP12" s="56">
        <v>20</v>
      </c>
      <c r="AWR12" s="56">
        <v>30</v>
      </c>
      <c r="AWT12" s="56">
        <v>60</v>
      </c>
      <c r="BAV12" s="25" t="s">
        <v>8255</v>
      </c>
      <c r="BAW12" s="25" t="s">
        <v>8298</v>
      </c>
      <c r="BAX12" s="25" t="s">
        <v>8321</v>
      </c>
      <c r="BAY12" s="25">
        <v>0</v>
      </c>
      <c r="BBB12" s="25"/>
      <c r="BBC12" s="25"/>
      <c r="BBD12" s="25"/>
      <c r="BBE12" s="25"/>
      <c r="BBF12" s="25"/>
      <c r="BBG12" s="25"/>
      <c r="BBI12" s="25"/>
      <c r="BBJ12" s="25"/>
      <c r="BBK12" s="25"/>
      <c r="BBL12" s="25"/>
      <c r="BET12" s="25"/>
      <c r="BEU12" s="25"/>
      <c r="BEV12" s="25"/>
      <c r="BEW12" s="25"/>
      <c r="BEX12" s="25"/>
      <c r="BEY12" s="25"/>
      <c r="BEZ12" s="25"/>
      <c r="BFH12" s="25"/>
      <c r="BFI12" s="25"/>
      <c r="BFJ12" s="25"/>
      <c r="BFK12" s="25"/>
      <c r="BFL12" s="25"/>
      <c r="BFM12" s="25"/>
      <c r="BFN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L12" s="25"/>
      <c r="BIM12" s="25"/>
      <c r="BIN12" s="25"/>
      <c r="BIO12" s="25"/>
      <c r="BIP12" s="25"/>
      <c r="BIQ12" s="25"/>
      <c r="BIR12" s="25"/>
      <c r="BIS12" s="25"/>
      <c r="BIT12" s="25"/>
      <c r="BIU12" s="25"/>
      <c r="BIV12" s="25"/>
      <c r="BIW12" s="25"/>
      <c r="BIX12" s="25"/>
      <c r="BIY12" s="25"/>
      <c r="BJG12" s="25"/>
      <c r="BJH12" s="25"/>
      <c r="BJI12" s="25"/>
      <c r="BJJ12" s="25"/>
      <c r="BJK12" s="25"/>
      <c r="BJL12" s="25"/>
      <c r="BJM12" s="25"/>
      <c r="BJN12" s="25"/>
      <c r="BJO12" s="25"/>
      <c r="BJP12" s="25"/>
      <c r="BJQ12" s="25"/>
      <c r="BJR12" s="25"/>
      <c r="BJS12" s="25"/>
      <c r="BJT12" s="25"/>
      <c r="BKB12" s="25"/>
      <c r="BKC12" s="25"/>
      <c r="BKD12" s="25"/>
      <c r="BKE12" s="25"/>
      <c r="BKF12" s="25"/>
      <c r="BKG12" s="25"/>
      <c r="BKH12" s="25"/>
      <c r="BKI12" s="25"/>
      <c r="BKJ12" s="25"/>
      <c r="BKK12" s="25"/>
      <c r="BKL12" s="25"/>
      <c r="BKM12" s="25"/>
      <c r="BKN12" s="25"/>
      <c r="BKO12" s="25"/>
      <c r="BKW12" s="25"/>
      <c r="BKX12" s="25"/>
      <c r="BKY12" s="25"/>
      <c r="BKZ12" s="25"/>
      <c r="BLA12" s="25"/>
      <c r="BLB12" s="25"/>
      <c r="BLC12" s="25"/>
      <c r="BLD12" s="25"/>
      <c r="BLE12" s="25"/>
      <c r="BLF12" s="25"/>
      <c r="BLG12" s="25"/>
      <c r="BLH12" s="25"/>
      <c r="BLI12" s="25"/>
      <c r="BLJ12" s="25"/>
      <c r="BLN12" s="25">
        <v>0</v>
      </c>
      <c r="BLQ12" s="25"/>
      <c r="BLR12" s="25"/>
      <c r="BLS12" s="25"/>
      <c r="BLT12" s="25"/>
      <c r="BLU12" s="25"/>
      <c r="BLV12" s="25"/>
      <c r="BLX12" s="25"/>
      <c r="BLY12" s="25"/>
      <c r="BLZ12" s="25"/>
      <c r="BMA12" s="25"/>
      <c r="BPI12" s="25"/>
      <c r="BPJ12" s="25"/>
      <c r="BPK12" s="25"/>
      <c r="BPL12" s="25"/>
      <c r="BPM12" s="25"/>
      <c r="BPN12" s="25"/>
      <c r="BPO12" s="25"/>
      <c r="BPW12" s="25"/>
      <c r="BPX12" s="25"/>
      <c r="BPY12" s="25"/>
      <c r="BPZ12" s="25"/>
      <c r="BQA12" s="25"/>
      <c r="BQB12" s="25"/>
      <c r="BQC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TA12" s="25"/>
      <c r="BTB12" s="25"/>
      <c r="BTC12" s="25"/>
      <c r="BTD12" s="25"/>
      <c r="BTE12" s="25"/>
      <c r="BTF12" s="25"/>
      <c r="BTG12" s="25"/>
      <c r="BTH12" s="25"/>
      <c r="BTI12" s="25"/>
      <c r="BTJ12" s="25"/>
      <c r="BTK12" s="25"/>
      <c r="BTL12" s="25"/>
      <c r="BTM12" s="25"/>
      <c r="BTN12" s="25"/>
      <c r="BUQ12" s="25"/>
      <c r="BUR12" s="25"/>
      <c r="BUS12" s="25"/>
      <c r="BUT12" s="25"/>
      <c r="BUU12" s="25"/>
      <c r="BUV12" s="25"/>
      <c r="BUW12" s="25"/>
      <c r="BUX12" s="25"/>
      <c r="BUY12" s="25"/>
      <c r="BUZ12" s="25"/>
      <c r="BVA12" s="25"/>
      <c r="BVB12" s="25"/>
      <c r="BVC12" s="25"/>
      <c r="BVD12" s="25"/>
      <c r="BWC12" s="25" t="s">
        <v>28</v>
      </c>
      <c r="BWD12" s="25" t="s">
        <v>8957</v>
      </c>
      <c r="BWE12" s="25" t="s">
        <v>8357</v>
      </c>
      <c r="BWF12" s="25" t="s">
        <v>13718</v>
      </c>
      <c r="BWG12" s="25" t="s">
        <v>25</v>
      </c>
      <c r="BWH12" s="25" t="s">
        <v>2169</v>
      </c>
      <c r="BWI12" s="25" t="s">
        <v>28</v>
      </c>
      <c r="BWJ12" s="25" t="s">
        <v>8481</v>
      </c>
      <c r="BWK12" s="25" t="s">
        <v>25</v>
      </c>
      <c r="BWM12" s="25" t="s">
        <v>25</v>
      </c>
      <c r="BWO12" s="25" t="s">
        <v>25</v>
      </c>
      <c r="BWQ12" s="25" t="s">
        <v>28</v>
      </c>
      <c r="BWR12" s="25" t="s">
        <v>25</v>
      </c>
      <c r="BWT12" s="25" t="s">
        <v>25</v>
      </c>
      <c r="BWV12" s="25" t="s">
        <v>25</v>
      </c>
      <c r="BWX12" s="25" t="s">
        <v>28</v>
      </c>
      <c r="BWY12" s="25" t="s">
        <v>8566</v>
      </c>
      <c r="BWZ12" s="25" t="s">
        <v>28</v>
      </c>
      <c r="BXA12" s="56">
        <v>20</v>
      </c>
      <c r="BXB12" s="25" t="s">
        <v>25</v>
      </c>
      <c r="BXD12" s="25" t="s">
        <v>28</v>
      </c>
      <c r="BXE12" s="25" t="s">
        <v>8566</v>
      </c>
      <c r="BXF12" s="25" t="s">
        <v>28</v>
      </c>
      <c r="BXG12" s="56">
        <v>20</v>
      </c>
      <c r="BXH12" s="25" t="s">
        <v>25</v>
      </c>
      <c r="BXJ12" s="25" t="s">
        <v>28</v>
      </c>
      <c r="BXL12" s="25" t="s">
        <v>8751</v>
      </c>
      <c r="BXM12" s="25" t="s">
        <v>41</v>
      </c>
      <c r="BXN12" s="25" t="s">
        <v>8272</v>
      </c>
      <c r="BXO12" s="25" t="s">
        <v>8274</v>
      </c>
      <c r="BXP12" s="25" t="s">
        <v>8274</v>
      </c>
      <c r="BXQ12" s="25" t="s">
        <v>8274</v>
      </c>
      <c r="BXR12" s="25" t="s">
        <v>8274</v>
      </c>
      <c r="BXS12" s="25" t="s">
        <v>8274</v>
      </c>
      <c r="BXW12" s="25" t="s">
        <v>28</v>
      </c>
      <c r="BXX12" s="25" t="s">
        <v>28</v>
      </c>
      <c r="BXY12" s="25" t="s">
        <v>25</v>
      </c>
      <c r="BXZ12" s="25" t="s">
        <v>25</v>
      </c>
      <c r="BYA12" s="25" t="s">
        <v>25</v>
      </c>
      <c r="BYB12" s="25" t="s">
        <v>25</v>
      </c>
      <c r="BYC12" s="25" t="s">
        <v>8276</v>
      </c>
      <c r="BYD12" s="25" t="s">
        <v>28</v>
      </c>
      <c r="BYE12" s="25" t="s">
        <v>13621</v>
      </c>
      <c r="BYF12" s="25" t="s">
        <v>8277</v>
      </c>
      <c r="BYH12" s="25" t="s">
        <v>635</v>
      </c>
      <c r="BYK12" s="25" t="s">
        <v>28</v>
      </c>
      <c r="BYL12" s="25" t="s">
        <v>25</v>
      </c>
      <c r="BYN12" s="25" t="s">
        <v>25</v>
      </c>
      <c r="BYP12" s="25" t="s">
        <v>28</v>
      </c>
      <c r="BYQ12" s="25">
        <v>180</v>
      </c>
      <c r="BYR12" s="25" t="s">
        <v>28</v>
      </c>
      <c r="BYS12" s="25" t="s">
        <v>8279</v>
      </c>
      <c r="BYT12" s="25" t="s">
        <v>8279</v>
      </c>
      <c r="BYU12" s="25" t="s">
        <v>732</v>
      </c>
      <c r="BYV12" s="25" t="s">
        <v>25</v>
      </c>
      <c r="BYW12" s="25" t="s">
        <v>28</v>
      </c>
      <c r="BYX12" s="56">
        <v>1100</v>
      </c>
      <c r="BYY12" s="56">
        <v>2550</v>
      </c>
      <c r="BYZ12" s="25" t="s">
        <v>8280</v>
      </c>
      <c r="BZA12" s="25" t="s">
        <v>8958</v>
      </c>
      <c r="BZB12" s="25" t="s">
        <v>2269</v>
      </c>
      <c r="BZD12" s="25" t="s">
        <v>28</v>
      </c>
      <c r="BZE12" s="25" t="s">
        <v>28</v>
      </c>
      <c r="BZF12" s="25" t="s">
        <v>28</v>
      </c>
      <c r="BZG12" s="25" t="s">
        <v>25</v>
      </c>
      <c r="BZJ12" s="25" t="s">
        <v>25</v>
      </c>
      <c r="BZM12" s="25" t="s">
        <v>28</v>
      </c>
      <c r="BZN12" s="25" t="s">
        <v>8283</v>
      </c>
      <c r="BZP12" s="25" t="s">
        <v>8366</v>
      </c>
      <c r="BZQ12" s="56">
        <v>2000</v>
      </c>
      <c r="BZR12" s="25" t="s">
        <v>28</v>
      </c>
      <c r="BZS12" s="25" t="s">
        <v>25</v>
      </c>
      <c r="BZT12" s="25" t="s">
        <v>8285</v>
      </c>
      <c r="BZV12" s="25" t="s">
        <v>8959</v>
      </c>
      <c r="BZX12" s="25" t="s">
        <v>8469</v>
      </c>
      <c r="BZZ12" s="25" t="s">
        <v>25</v>
      </c>
      <c r="CAC12" s="25" t="s">
        <v>25</v>
      </c>
      <c r="CAE12" s="25" t="s">
        <v>25</v>
      </c>
      <c r="CAG12" s="25" t="s">
        <v>25</v>
      </c>
      <c r="CAH12" s="25" t="s">
        <v>631</v>
      </c>
      <c r="CAI12" s="25" t="s">
        <v>631</v>
      </c>
      <c r="CAJ12" s="25" t="s">
        <v>631</v>
      </c>
      <c r="CAK12" s="25" t="s">
        <v>631</v>
      </c>
      <c r="CAL12" s="25" t="s">
        <v>631</v>
      </c>
      <c r="CAM12" s="25" t="s">
        <v>8290</v>
      </c>
      <c r="CAN12" s="25" t="s">
        <v>631</v>
      </c>
      <c r="CAO12" s="25" t="s">
        <v>631</v>
      </c>
      <c r="CAP12" s="25" t="s">
        <v>631</v>
      </c>
      <c r="CAQ12" s="25" t="s">
        <v>8290</v>
      </c>
      <c r="CAR12" s="25" t="s">
        <v>8339</v>
      </c>
      <c r="CAT12" s="25" t="s">
        <v>25</v>
      </c>
      <c r="CAW12" s="25" t="s">
        <v>8341</v>
      </c>
      <c r="CBB12" s="25">
        <v>3</v>
      </c>
      <c r="CBC12" s="25">
        <v>0</v>
      </c>
      <c r="CBD12" s="25">
        <v>0</v>
      </c>
      <c r="CBE12" s="56">
        <v>50</v>
      </c>
      <c r="CBF12" s="56">
        <v>150</v>
      </c>
      <c r="CBG12" s="56">
        <v>50</v>
      </c>
      <c r="CBH12" s="56">
        <v>150</v>
      </c>
      <c r="CBI12" s="56">
        <v>1000</v>
      </c>
      <c r="CBK12" s="56">
        <v>0</v>
      </c>
      <c r="CBL12" s="56">
        <v>0</v>
      </c>
      <c r="CBM12" s="26">
        <v>0</v>
      </c>
      <c r="CBN12" s="26">
        <v>0</v>
      </c>
      <c r="CBO12" s="26">
        <v>0.2</v>
      </c>
      <c r="CBP12" s="26">
        <v>0.2</v>
      </c>
      <c r="CBQ12" s="26">
        <v>0.5</v>
      </c>
      <c r="CBR12" s="26">
        <v>0.5</v>
      </c>
      <c r="CBS12" s="26">
        <v>0</v>
      </c>
      <c r="CBT12" s="26">
        <v>0</v>
      </c>
      <c r="CBU12" s="27" t="s">
        <v>28</v>
      </c>
      <c r="CBV12" s="27" t="s">
        <v>8369</v>
      </c>
      <c r="CBX12" s="27" t="s">
        <v>8960</v>
      </c>
      <c r="CBY12" s="27" t="s">
        <v>8296</v>
      </c>
      <c r="CBZ12" s="27" t="s">
        <v>8296</v>
      </c>
      <c r="CCA12" s="27" t="s">
        <v>8297</v>
      </c>
      <c r="CCB12" s="27" t="s">
        <v>8298</v>
      </c>
      <c r="CCC12" s="27" t="s">
        <v>8296</v>
      </c>
      <c r="CCD12" s="27" t="s">
        <v>8297</v>
      </c>
      <c r="CCE12" s="27" t="s">
        <v>8296</v>
      </c>
      <c r="CCF12" s="27" t="s">
        <v>8296</v>
      </c>
      <c r="CCG12" s="27" t="s">
        <v>8297</v>
      </c>
      <c r="CCH12" s="27" t="s">
        <v>8296</v>
      </c>
      <c r="CCI12" s="27" t="s">
        <v>8298</v>
      </c>
      <c r="CCJ12" s="27" t="s">
        <v>8298</v>
      </c>
      <c r="CCK12" s="27" t="s">
        <v>8297</v>
      </c>
      <c r="CCL12" s="27" t="s">
        <v>8297</v>
      </c>
      <c r="CCM12" s="27" t="s">
        <v>8297</v>
      </c>
      <c r="CCN12" s="27" t="s">
        <v>8296</v>
      </c>
      <c r="CCP12" s="27" t="s">
        <v>8296</v>
      </c>
      <c r="CCQ12" s="27" t="s">
        <v>8296</v>
      </c>
      <c r="CCR12" s="27" t="s">
        <v>8296</v>
      </c>
      <c r="CCS12" s="27" t="s">
        <v>8298</v>
      </c>
      <c r="CCT12" s="27" t="s">
        <v>8296</v>
      </c>
      <c r="CCU12" s="27" t="s">
        <v>8296</v>
      </c>
      <c r="CCV12" s="27" t="s">
        <v>8298</v>
      </c>
      <c r="CCW12" s="27" t="s">
        <v>8298</v>
      </c>
      <c r="CCX12" s="27" t="s">
        <v>8298</v>
      </c>
      <c r="CCY12" s="27" t="s">
        <v>8298</v>
      </c>
      <c r="CCZ12" s="27" t="s">
        <v>28</v>
      </c>
      <c r="CDA12" s="27" t="s">
        <v>28</v>
      </c>
      <c r="CDB12" s="27" t="s">
        <v>28</v>
      </c>
      <c r="CDC12" s="27" t="s">
        <v>28</v>
      </c>
      <c r="CDD12" s="27" t="s">
        <v>28</v>
      </c>
      <c r="CDE12" s="27" t="s">
        <v>28</v>
      </c>
      <c r="CDF12" s="27" t="s">
        <v>28</v>
      </c>
      <c r="CDG12" s="27" t="s">
        <v>28</v>
      </c>
      <c r="CDH12" s="27" t="s">
        <v>28</v>
      </c>
      <c r="CDI12" s="27" t="s">
        <v>28</v>
      </c>
      <c r="CDJ12" s="27" t="s">
        <v>28</v>
      </c>
      <c r="CDK12" s="27" t="s">
        <v>28</v>
      </c>
      <c r="CDL12" s="27" t="s">
        <v>28</v>
      </c>
      <c r="CDM12" s="27" t="s">
        <v>28</v>
      </c>
      <c r="CDN12" s="27" t="s">
        <v>28</v>
      </c>
      <c r="CDO12" s="27" t="s">
        <v>28</v>
      </c>
      <c r="CDQ12" s="27" t="s">
        <v>28</v>
      </c>
      <c r="CDR12" s="27" t="s">
        <v>28</v>
      </c>
      <c r="CDS12" s="27" t="s">
        <v>28</v>
      </c>
      <c r="CDT12" s="27" t="s">
        <v>28</v>
      </c>
      <c r="CDU12" s="27" t="s">
        <v>28</v>
      </c>
      <c r="CDV12" s="27" t="s">
        <v>28</v>
      </c>
      <c r="CDW12" s="27" t="s">
        <v>28</v>
      </c>
      <c r="CDX12" s="27" t="s">
        <v>28</v>
      </c>
      <c r="CDY12" s="27" t="s">
        <v>28</v>
      </c>
      <c r="CDZ12" s="27" t="s">
        <v>28</v>
      </c>
      <c r="CEA12" s="27" t="s">
        <v>2673</v>
      </c>
      <c r="CEB12" s="27" t="s">
        <v>2673</v>
      </c>
      <c r="CEC12" s="27" t="s">
        <v>8301</v>
      </c>
      <c r="CED12" s="27" t="s">
        <v>8302</v>
      </c>
      <c r="CEE12" s="27" t="s">
        <v>2673</v>
      </c>
      <c r="CEF12" s="27" t="s">
        <v>8301</v>
      </c>
      <c r="CEG12" s="27" t="s">
        <v>2673</v>
      </c>
      <c r="CEH12" s="27" t="s">
        <v>8420</v>
      </c>
      <c r="CEI12" s="27" t="s">
        <v>8301</v>
      </c>
      <c r="CEJ12" s="27" t="s">
        <v>2673</v>
      </c>
      <c r="CEK12" s="27" t="s">
        <v>8302</v>
      </c>
      <c r="CEL12" s="27" t="s">
        <v>8302</v>
      </c>
      <c r="CEM12" s="27" t="s">
        <v>8301</v>
      </c>
      <c r="CEN12" s="27" t="s">
        <v>2673</v>
      </c>
      <c r="CEO12" s="27" t="s">
        <v>8306</v>
      </c>
      <c r="CEP12" s="27" t="s">
        <v>2673</v>
      </c>
      <c r="CER12" s="27" t="s">
        <v>2673</v>
      </c>
      <c r="CES12" s="27" t="s">
        <v>2673</v>
      </c>
      <c r="CET12" s="27" t="s">
        <v>8305</v>
      </c>
      <c r="CEU12" s="27" t="s">
        <v>2673</v>
      </c>
      <c r="CEV12" s="27" t="s">
        <v>2673</v>
      </c>
      <c r="CEW12" s="27" t="s">
        <v>8302</v>
      </c>
      <c r="CEX12" s="27" t="s">
        <v>8302</v>
      </c>
      <c r="CEY12" s="27" t="s">
        <v>8302</v>
      </c>
      <c r="CEZ12" s="27" t="s">
        <v>8306</v>
      </c>
      <c r="CFA12" s="27" t="s">
        <v>2673</v>
      </c>
      <c r="CFB12" s="27" t="s">
        <v>25</v>
      </c>
      <c r="CFC12" s="27" t="s">
        <v>25</v>
      </c>
      <c r="CFD12" s="27" t="s">
        <v>25</v>
      </c>
      <c r="CFE12" s="27" t="s">
        <v>25</v>
      </c>
      <c r="CFF12" s="27" t="s">
        <v>25</v>
      </c>
      <c r="CFG12" s="27" t="s">
        <v>25</v>
      </c>
      <c r="CFH12" s="27" t="s">
        <v>25</v>
      </c>
      <c r="CFI12" s="27" t="s">
        <v>25</v>
      </c>
      <c r="CFJ12" s="27" t="s">
        <v>25</v>
      </c>
      <c r="CFK12" s="27" t="s">
        <v>25</v>
      </c>
      <c r="CFL12" s="27" t="s">
        <v>25</v>
      </c>
      <c r="CFM12" s="27" t="s">
        <v>28</v>
      </c>
      <c r="CFN12" s="27" t="s">
        <v>25</v>
      </c>
      <c r="CFO12" s="27" t="s">
        <v>25</v>
      </c>
      <c r="CFP12" s="27" t="s">
        <v>25</v>
      </c>
      <c r="CFQ12" s="27" t="s">
        <v>25</v>
      </c>
      <c r="CFS12" s="27" t="s">
        <v>25</v>
      </c>
      <c r="CFT12" s="27" t="s">
        <v>25</v>
      </c>
      <c r="CFU12" s="27" t="s">
        <v>25</v>
      </c>
      <c r="CFV12" s="27" t="s">
        <v>28</v>
      </c>
      <c r="CFW12" s="27" t="s">
        <v>25</v>
      </c>
      <c r="CFX12" s="27" t="s">
        <v>28</v>
      </c>
      <c r="CFY12" s="27" t="s">
        <v>28</v>
      </c>
      <c r="CFZ12" s="27" t="s">
        <v>25</v>
      </c>
      <c r="CGA12" s="27" t="s">
        <v>25</v>
      </c>
      <c r="CGB12" s="27" t="s">
        <v>25</v>
      </c>
      <c r="CPW12" s="27">
        <v>2</v>
      </c>
      <c r="CPX12" s="56">
        <v>0</v>
      </c>
      <c r="CPY12" s="26">
        <v>0</v>
      </c>
      <c r="CPZ12" s="56" t="s">
        <v>8961</v>
      </c>
      <c r="CQA12" s="26">
        <v>0</v>
      </c>
      <c r="CQB12" s="25" t="s">
        <v>8372</v>
      </c>
      <c r="CQC12" s="25" t="s">
        <v>8372</v>
      </c>
      <c r="CQD12" s="25" t="s">
        <v>8523</v>
      </c>
      <c r="CQE12" s="25" t="s">
        <v>8372</v>
      </c>
      <c r="CQF12" s="25" t="s">
        <v>8372</v>
      </c>
      <c r="CQI12" s="56">
        <v>210</v>
      </c>
      <c r="CQJ12" s="56">
        <v>250</v>
      </c>
      <c r="CQK12" s="56">
        <v>250</v>
      </c>
      <c r="CQL12" s="25" t="s">
        <v>8962</v>
      </c>
      <c r="CQM12" s="25" t="s">
        <v>8308</v>
      </c>
      <c r="CQN12" s="25" t="s">
        <v>25</v>
      </c>
      <c r="CQO12" s="25" t="s">
        <v>8772</v>
      </c>
      <c r="CQQ12" s="25" t="s">
        <v>8963</v>
      </c>
      <c r="CQS12" s="25" t="s">
        <v>25</v>
      </c>
      <c r="CQT12" s="25" t="s">
        <v>8313</v>
      </c>
      <c r="CQU12" s="25" t="s">
        <v>8312</v>
      </c>
      <c r="CQV12" s="25" t="s">
        <v>8313</v>
      </c>
      <c r="CQW12" s="25" t="s">
        <v>8312</v>
      </c>
      <c r="CQX12" s="25" t="s">
        <v>8313</v>
      </c>
      <c r="CQY12" s="25" t="s">
        <v>8313</v>
      </c>
      <c r="CQZ12" s="25" t="s">
        <v>8312</v>
      </c>
      <c r="CRA12" s="25" t="s">
        <v>8314</v>
      </c>
      <c r="CRB12" s="25" t="s">
        <v>8314</v>
      </c>
      <c r="CRC12" s="25" t="s">
        <v>8314</v>
      </c>
      <c r="CRD12" s="25" t="s">
        <v>8314</v>
      </c>
      <c r="CRE12" s="27" t="s">
        <v>8313</v>
      </c>
    </row>
    <row r="13" spans="1:2501" ht="76.5" x14ac:dyDescent="0.2">
      <c r="A13" s="21" t="s">
        <v>121</v>
      </c>
      <c r="B13" s="26">
        <v>0.2</v>
      </c>
      <c r="C13" s="26">
        <v>0</v>
      </c>
      <c r="D13" s="26">
        <v>0.05</v>
      </c>
      <c r="E13" s="26">
        <v>0.69</v>
      </c>
      <c r="F13" s="26">
        <v>0</v>
      </c>
      <c r="G13" s="26">
        <v>0</v>
      </c>
      <c r="H13" s="26">
        <v>0</v>
      </c>
      <c r="I13" s="26">
        <v>0</v>
      </c>
      <c r="J13" s="26">
        <v>0</v>
      </c>
      <c r="K13" s="26">
        <v>0</v>
      </c>
      <c r="L13" s="26">
        <v>0</v>
      </c>
      <c r="M13" s="26">
        <v>0.06</v>
      </c>
      <c r="N13" s="26">
        <v>0</v>
      </c>
      <c r="O13" s="26">
        <v>0</v>
      </c>
      <c r="P13" s="26">
        <v>0</v>
      </c>
      <c r="Q13" s="26">
        <v>0.67</v>
      </c>
      <c r="R13" s="26">
        <v>0</v>
      </c>
      <c r="S13" s="26">
        <v>0</v>
      </c>
      <c r="T13" s="26">
        <v>0</v>
      </c>
      <c r="U13" s="26">
        <v>0</v>
      </c>
      <c r="V13" s="26">
        <v>0</v>
      </c>
      <c r="W13" s="26">
        <v>0</v>
      </c>
      <c r="X13" s="26">
        <v>0</v>
      </c>
      <c r="Y13" s="26">
        <v>0.33</v>
      </c>
      <c r="Z13" s="25">
        <v>1</v>
      </c>
      <c r="AA13" s="25" t="s">
        <v>8379</v>
      </c>
      <c r="AC13" s="56">
        <v>3000</v>
      </c>
      <c r="AD13" s="56">
        <v>9000</v>
      </c>
      <c r="AE13" s="56">
        <v>6000</v>
      </c>
      <c r="AF13" s="56">
        <v>18000</v>
      </c>
      <c r="AG13" s="56">
        <v>6000</v>
      </c>
      <c r="AH13" s="56">
        <v>18000</v>
      </c>
      <c r="AI13" s="25" t="s">
        <v>8349</v>
      </c>
      <c r="AJ13" s="56">
        <v>500</v>
      </c>
      <c r="AK13" s="56">
        <v>1500</v>
      </c>
      <c r="AL13" s="56">
        <v>1000</v>
      </c>
      <c r="AM13" s="56">
        <v>3000</v>
      </c>
      <c r="AN13" s="25" t="s">
        <v>8350</v>
      </c>
      <c r="AO13" s="25" t="s">
        <v>8248</v>
      </c>
      <c r="BB13" s="25" t="s">
        <v>8249</v>
      </c>
      <c r="DO13" s="25" t="s">
        <v>25</v>
      </c>
      <c r="DP13" s="25" t="s">
        <v>28</v>
      </c>
      <c r="DQ13" s="25" t="s">
        <v>25</v>
      </c>
      <c r="DR13" s="25" t="s">
        <v>25</v>
      </c>
      <c r="DT13" s="25" t="s">
        <v>13417</v>
      </c>
      <c r="DU13" s="25" t="s">
        <v>13420</v>
      </c>
      <c r="DV13" s="56">
        <v>20</v>
      </c>
      <c r="DW13" s="56">
        <v>30</v>
      </c>
      <c r="DY13" s="56">
        <v>150</v>
      </c>
      <c r="DZ13" s="56">
        <v>50</v>
      </c>
      <c r="EA13" s="56">
        <v>20</v>
      </c>
      <c r="EE13" s="26">
        <v>0.2</v>
      </c>
      <c r="EF13" s="26">
        <v>0.2</v>
      </c>
      <c r="EM13" s="56">
        <v>150</v>
      </c>
      <c r="EQ13" s="26">
        <v>0.4</v>
      </c>
      <c r="ER13" s="26">
        <v>0.4</v>
      </c>
      <c r="ES13" s="26">
        <v>0.4</v>
      </c>
      <c r="ET13" s="26">
        <v>0.2</v>
      </c>
      <c r="EU13" s="26">
        <v>0.4</v>
      </c>
      <c r="EX13" s="25" t="s">
        <v>8250</v>
      </c>
      <c r="EY13" s="25" t="s">
        <v>8250</v>
      </c>
      <c r="EZ13" s="25" t="s">
        <v>8250</v>
      </c>
      <c r="FA13" s="25" t="s">
        <v>8250</v>
      </c>
      <c r="FB13" s="25" t="s">
        <v>8250</v>
      </c>
      <c r="FC13" s="25" t="s">
        <v>8250</v>
      </c>
      <c r="FE13" s="25" t="s">
        <v>25</v>
      </c>
      <c r="FF13" s="25" t="s">
        <v>25</v>
      </c>
      <c r="FG13" s="25" t="s">
        <v>25</v>
      </c>
      <c r="FH13" s="25" t="s">
        <v>25</v>
      </c>
      <c r="FI13" s="25" t="s">
        <v>25</v>
      </c>
      <c r="FJ13" s="25" t="s">
        <v>25</v>
      </c>
      <c r="FL13" s="25" t="s">
        <v>13810</v>
      </c>
      <c r="FM13" s="25" t="s">
        <v>13810</v>
      </c>
      <c r="FN13" s="25" t="s">
        <v>13810</v>
      </c>
      <c r="FO13" s="25" t="s">
        <v>13810</v>
      </c>
      <c r="FP13" s="25" t="s">
        <v>631</v>
      </c>
      <c r="FQ13" s="25" t="s">
        <v>13810</v>
      </c>
      <c r="FR13" s="25" t="s">
        <v>13810</v>
      </c>
      <c r="FS13" s="25" t="s">
        <v>631</v>
      </c>
      <c r="FT13" s="25" t="s">
        <v>631</v>
      </c>
      <c r="FU13" s="25" t="s">
        <v>631</v>
      </c>
      <c r="FV13" s="25" t="s">
        <v>8253</v>
      </c>
      <c r="FW13" s="25" t="s">
        <v>8253</v>
      </c>
      <c r="FX13" s="25" t="s">
        <v>8253</v>
      </c>
      <c r="FY13" s="25" t="s">
        <v>8380</v>
      </c>
      <c r="GA13" s="25" t="s">
        <v>8380</v>
      </c>
      <c r="GB13" s="25" t="s">
        <v>8253</v>
      </c>
      <c r="GE13" s="56">
        <v>10</v>
      </c>
      <c r="GG13" s="56">
        <v>20</v>
      </c>
      <c r="GI13" s="56">
        <v>25</v>
      </c>
      <c r="GK13" s="56">
        <v>50</v>
      </c>
      <c r="GM13" s="56">
        <v>45</v>
      </c>
      <c r="GO13" s="56">
        <v>90</v>
      </c>
      <c r="HG13" s="57">
        <v>0</v>
      </c>
      <c r="HH13" s="57">
        <v>0.2</v>
      </c>
      <c r="HI13" s="26">
        <v>0.4</v>
      </c>
      <c r="HQ13" s="56">
        <v>20</v>
      </c>
      <c r="HS13" s="56">
        <v>40</v>
      </c>
      <c r="IW13" s="26">
        <v>0</v>
      </c>
      <c r="IX13" s="26">
        <v>0.2</v>
      </c>
      <c r="IY13" s="26">
        <v>0.4</v>
      </c>
      <c r="JG13" s="56">
        <v>20</v>
      </c>
      <c r="JI13" s="56">
        <v>40</v>
      </c>
      <c r="KM13" s="25" t="s">
        <v>8255</v>
      </c>
      <c r="KN13" s="25" t="s">
        <v>8381</v>
      </c>
      <c r="KO13" s="25" t="s">
        <v>8263</v>
      </c>
      <c r="KP13" s="25">
        <v>1</v>
      </c>
      <c r="KQ13" s="25" t="s">
        <v>8382</v>
      </c>
      <c r="KS13" s="56">
        <v>2500</v>
      </c>
      <c r="KT13" s="56">
        <v>5000</v>
      </c>
      <c r="KU13" s="56">
        <v>7500</v>
      </c>
      <c r="KV13" s="56">
        <v>15000</v>
      </c>
      <c r="KW13" s="56">
        <v>2500</v>
      </c>
      <c r="KX13" s="56">
        <v>5000</v>
      </c>
      <c r="KY13" s="25" t="s">
        <v>8246</v>
      </c>
      <c r="KZ13" s="56">
        <v>1400</v>
      </c>
      <c r="LA13" s="56">
        <v>2800</v>
      </c>
      <c r="LB13" s="56">
        <v>4200</v>
      </c>
      <c r="LC13" s="56">
        <v>8400</v>
      </c>
      <c r="LD13" s="25" t="s">
        <v>8247</v>
      </c>
      <c r="LE13" s="25" t="s">
        <v>8248</v>
      </c>
      <c r="LR13" s="25" t="s">
        <v>8249</v>
      </c>
      <c r="OE13" s="25" t="s">
        <v>25</v>
      </c>
      <c r="OF13" s="25" t="s">
        <v>28</v>
      </c>
      <c r="OG13" s="25" t="s">
        <v>25</v>
      </c>
      <c r="OH13" s="25" t="s">
        <v>25</v>
      </c>
      <c r="OJ13" s="25" t="s">
        <v>13416</v>
      </c>
      <c r="OK13" s="25" t="s">
        <v>13420</v>
      </c>
      <c r="OS13" s="26">
        <v>0.1</v>
      </c>
      <c r="OT13" s="26">
        <v>0.1</v>
      </c>
      <c r="OU13" s="26">
        <v>0.1</v>
      </c>
      <c r="OV13" s="26">
        <v>0.1</v>
      </c>
      <c r="OW13" s="26">
        <v>0.1</v>
      </c>
      <c r="OX13" s="26">
        <v>0.1</v>
      </c>
      <c r="PG13" s="26">
        <v>0.3</v>
      </c>
      <c r="PH13" s="26">
        <v>0.3</v>
      </c>
      <c r="PI13" s="26">
        <v>0.3</v>
      </c>
      <c r="PJ13" s="26">
        <v>0.3</v>
      </c>
      <c r="PK13" s="26">
        <v>0.3</v>
      </c>
      <c r="PN13" s="25" t="s">
        <v>8250</v>
      </c>
      <c r="PO13" s="25" t="s">
        <v>8250</v>
      </c>
      <c r="PP13" s="25" t="s">
        <v>8250</v>
      </c>
      <c r="PQ13" s="25" t="s">
        <v>8250</v>
      </c>
      <c r="PR13" s="25" t="s">
        <v>8250</v>
      </c>
      <c r="PS13" s="25" t="s">
        <v>8250</v>
      </c>
      <c r="PU13" s="25" t="s">
        <v>25</v>
      </c>
      <c r="PV13" s="25" t="s">
        <v>25</v>
      </c>
      <c r="PW13" s="25" t="s">
        <v>25</v>
      </c>
      <c r="PX13" s="25" t="s">
        <v>25</v>
      </c>
      <c r="PY13" s="25" t="s">
        <v>25</v>
      </c>
      <c r="PZ13" s="25" t="s">
        <v>25</v>
      </c>
      <c r="QB13" s="25" t="s">
        <v>13810</v>
      </c>
      <c r="QC13" s="25" t="s">
        <v>13810</v>
      </c>
      <c r="QD13" s="25" t="s">
        <v>13810</v>
      </c>
      <c r="QE13" s="25" t="s">
        <v>13810</v>
      </c>
      <c r="QF13" s="25" t="s">
        <v>631</v>
      </c>
      <c r="QG13" s="25" t="s">
        <v>13810</v>
      </c>
      <c r="QH13" s="25" t="s">
        <v>13810</v>
      </c>
      <c r="QI13" s="25" t="s">
        <v>8252</v>
      </c>
      <c r="QJ13" s="25" t="s">
        <v>631</v>
      </c>
      <c r="QK13" s="25" t="s">
        <v>631</v>
      </c>
      <c r="QL13" s="25" t="s">
        <v>8253</v>
      </c>
      <c r="QM13" s="25" t="s">
        <v>8253</v>
      </c>
      <c r="QN13" s="25" t="s">
        <v>8253</v>
      </c>
      <c r="QO13" s="25" t="s">
        <v>8383</v>
      </c>
      <c r="QQ13" s="25" t="s">
        <v>8253</v>
      </c>
      <c r="QR13" s="25" t="s">
        <v>8253</v>
      </c>
      <c r="QS13" s="25" t="s">
        <v>8253</v>
      </c>
      <c r="RW13" s="26">
        <v>0.1</v>
      </c>
      <c r="RX13" s="26">
        <v>0.1</v>
      </c>
      <c r="RY13" s="26">
        <v>0.1</v>
      </c>
      <c r="VC13" s="25" t="s">
        <v>8255</v>
      </c>
      <c r="VD13" s="25" t="s">
        <v>8381</v>
      </c>
      <c r="VE13" s="25" t="s">
        <v>8321</v>
      </c>
      <c r="VF13" s="25">
        <v>0</v>
      </c>
      <c r="VI13" s="25"/>
      <c r="VJ13" s="25"/>
      <c r="VK13" s="25"/>
      <c r="VL13" s="25"/>
      <c r="VM13" s="25"/>
      <c r="VN13" s="25"/>
      <c r="VP13" s="25"/>
      <c r="VQ13" s="25"/>
      <c r="VR13" s="25"/>
      <c r="VS13" s="25"/>
      <c r="ZA13" s="25"/>
      <c r="ZB13" s="25"/>
      <c r="ZC13" s="25"/>
      <c r="ZD13" s="25"/>
      <c r="ZE13" s="25"/>
      <c r="ZF13" s="25"/>
      <c r="ZG13" s="25"/>
      <c r="ZO13" s="25"/>
      <c r="ZP13" s="25"/>
      <c r="ZQ13" s="25"/>
      <c r="ZR13" s="25"/>
      <c r="ZS13" s="25"/>
      <c r="ZT13" s="25"/>
      <c r="ZU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S13" s="25"/>
      <c r="ACT13" s="25"/>
      <c r="ACU13" s="25"/>
      <c r="ACV13" s="25"/>
      <c r="ACW13" s="25"/>
      <c r="ACX13" s="25"/>
      <c r="ACY13" s="25"/>
      <c r="ACZ13" s="25"/>
      <c r="ADA13" s="25"/>
      <c r="ADB13" s="25"/>
      <c r="ADC13" s="25"/>
      <c r="ADD13" s="25"/>
      <c r="ADE13" s="25"/>
      <c r="ADF13" s="25"/>
      <c r="ADN13" s="25"/>
      <c r="ADO13" s="25"/>
      <c r="ADP13" s="25"/>
      <c r="ADQ13" s="25"/>
      <c r="ADR13" s="25"/>
      <c r="ADS13" s="25"/>
      <c r="ADT13" s="25"/>
      <c r="ADU13" s="25"/>
      <c r="ADV13" s="25"/>
      <c r="ADW13" s="25"/>
      <c r="ADX13" s="25"/>
      <c r="ADY13" s="25"/>
      <c r="ADZ13" s="25"/>
      <c r="AEA13" s="25"/>
      <c r="AEI13" s="25"/>
      <c r="AEJ13" s="25"/>
      <c r="AEK13" s="25"/>
      <c r="AEL13" s="25"/>
      <c r="AEM13" s="25"/>
      <c r="AEN13" s="25"/>
      <c r="AEO13" s="25"/>
      <c r="AEP13" s="25"/>
      <c r="AEQ13" s="25"/>
      <c r="AER13" s="25"/>
      <c r="AES13" s="25"/>
      <c r="AET13" s="25"/>
      <c r="AEU13" s="25"/>
      <c r="AEV13" s="25"/>
      <c r="AFD13" s="25"/>
      <c r="AFE13" s="25"/>
      <c r="AFF13" s="25"/>
      <c r="AFG13" s="25"/>
      <c r="AFH13" s="25"/>
      <c r="AFI13" s="25"/>
      <c r="AFJ13" s="25"/>
      <c r="AFK13" s="25"/>
      <c r="AFL13" s="25"/>
      <c r="AFM13" s="25"/>
      <c r="AFN13" s="25"/>
      <c r="AFO13" s="25"/>
      <c r="AFP13" s="25"/>
      <c r="AFQ13" s="25"/>
      <c r="AFU13" s="25">
        <v>0</v>
      </c>
      <c r="AFX13" s="25"/>
      <c r="AFY13" s="25"/>
      <c r="AFZ13" s="25"/>
      <c r="AGA13" s="25"/>
      <c r="AGB13" s="25"/>
      <c r="AGC13" s="25"/>
      <c r="AGE13" s="25"/>
      <c r="AGF13" s="25"/>
      <c r="AGG13" s="25"/>
      <c r="AGH13" s="25"/>
      <c r="AJP13" s="25"/>
      <c r="AJQ13" s="25"/>
      <c r="AJR13" s="25"/>
      <c r="AJS13" s="25"/>
      <c r="AJT13" s="25"/>
      <c r="AJU13" s="25"/>
      <c r="AJV13" s="25"/>
      <c r="AKD13" s="25"/>
      <c r="AKE13" s="25"/>
      <c r="AKF13" s="25"/>
      <c r="AKG13" s="25"/>
      <c r="AKH13" s="25"/>
      <c r="AKI13" s="25"/>
      <c r="AKJ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H13" s="25"/>
      <c r="ANI13" s="25"/>
      <c r="ANJ13" s="25"/>
      <c r="ANK13" s="25"/>
      <c r="ANL13" s="25"/>
      <c r="ANM13" s="25"/>
      <c r="ANN13" s="25"/>
      <c r="ANO13" s="25"/>
      <c r="ANP13" s="25"/>
      <c r="ANQ13" s="25"/>
      <c r="ANR13" s="25"/>
      <c r="ANS13" s="25"/>
      <c r="ANT13" s="25"/>
      <c r="ANU13" s="25"/>
      <c r="AOC13" s="25"/>
      <c r="AOD13" s="25"/>
      <c r="AOE13" s="25"/>
      <c r="AOF13" s="25"/>
      <c r="AOG13" s="25"/>
      <c r="AOH13" s="25"/>
      <c r="AOI13" s="25"/>
      <c r="AOJ13" s="25"/>
      <c r="AOK13" s="25"/>
      <c r="AOL13" s="25"/>
      <c r="AOM13" s="25"/>
      <c r="AON13" s="25"/>
      <c r="AOO13" s="25"/>
      <c r="AOP13" s="25"/>
      <c r="AOX13" s="25"/>
      <c r="AOY13" s="25"/>
      <c r="AOZ13" s="25"/>
      <c r="APA13" s="25"/>
      <c r="APB13" s="25"/>
      <c r="APC13" s="25"/>
      <c r="APD13" s="25"/>
      <c r="APE13" s="25"/>
      <c r="APF13" s="25"/>
      <c r="APG13" s="25"/>
      <c r="APH13" s="25"/>
      <c r="API13" s="25"/>
      <c r="APJ13" s="25"/>
      <c r="APK13" s="25"/>
      <c r="APS13" s="25"/>
      <c r="APT13" s="25"/>
      <c r="APU13" s="25"/>
      <c r="APV13" s="25"/>
      <c r="APW13" s="25"/>
      <c r="APX13" s="25"/>
      <c r="APY13" s="25"/>
      <c r="APZ13" s="25"/>
      <c r="AQA13" s="25"/>
      <c r="AQB13" s="25"/>
      <c r="AQC13" s="25"/>
      <c r="AQD13" s="25"/>
      <c r="AQE13" s="25"/>
      <c r="AQF13" s="25"/>
      <c r="AQJ13" s="25">
        <v>1</v>
      </c>
      <c r="AQK13" s="25" t="s">
        <v>8384</v>
      </c>
      <c r="AQM13" s="56">
        <v>1500</v>
      </c>
      <c r="AQN13" s="56">
        <v>3000</v>
      </c>
      <c r="AQS13" s="25" t="s">
        <v>8260</v>
      </c>
      <c r="AQT13" s="56">
        <v>0</v>
      </c>
      <c r="AQU13" s="56">
        <v>0</v>
      </c>
      <c r="AQX13" s="25" t="s">
        <v>8248</v>
      </c>
      <c r="ARK13" s="25" t="s">
        <v>8249</v>
      </c>
      <c r="ATX13" s="25" t="s">
        <v>25</v>
      </c>
      <c r="ATY13" s="25" t="s">
        <v>28</v>
      </c>
      <c r="ATZ13" s="25" t="s">
        <v>25</v>
      </c>
      <c r="AUA13" s="25" t="s">
        <v>28</v>
      </c>
      <c r="AUB13" s="25" t="s">
        <v>8385</v>
      </c>
      <c r="AUC13" s="25" t="s">
        <v>13426</v>
      </c>
      <c r="AUE13" s="56">
        <v>20</v>
      </c>
      <c r="AUF13" s="56">
        <v>30</v>
      </c>
      <c r="AUH13" s="56">
        <v>150</v>
      </c>
      <c r="AUI13" s="56">
        <v>20</v>
      </c>
      <c r="AUJ13" s="56">
        <v>20</v>
      </c>
      <c r="AVG13" s="25" t="s">
        <v>8250</v>
      </c>
      <c r="AVH13" s="25" t="s">
        <v>8250</v>
      </c>
      <c r="AVI13" s="25" t="s">
        <v>8250</v>
      </c>
      <c r="AVJ13" s="25" t="s">
        <v>8250</v>
      </c>
      <c r="AVK13" s="25" t="s">
        <v>8250</v>
      </c>
      <c r="AVL13" s="25" t="s">
        <v>8250</v>
      </c>
      <c r="AVN13" s="25" t="s">
        <v>25</v>
      </c>
      <c r="AVO13" s="25" t="s">
        <v>25</v>
      </c>
      <c r="AVP13" s="25" t="s">
        <v>25</v>
      </c>
      <c r="AVQ13" s="25" t="s">
        <v>25</v>
      </c>
      <c r="AVR13" s="25" t="s">
        <v>25</v>
      </c>
      <c r="AVS13" s="25" t="s">
        <v>25</v>
      </c>
      <c r="AVU13" s="25" t="s">
        <v>13810</v>
      </c>
      <c r="AVV13" s="25" t="s">
        <v>13810</v>
      </c>
      <c r="AVW13" s="25" t="s">
        <v>13810</v>
      </c>
      <c r="AVX13" s="25" t="s">
        <v>13810</v>
      </c>
      <c r="AVY13" s="25" t="s">
        <v>631</v>
      </c>
      <c r="AVZ13" s="25" t="s">
        <v>13810</v>
      </c>
      <c r="AWA13" s="25" t="s">
        <v>13810</v>
      </c>
      <c r="AWB13" s="25" t="s">
        <v>8252</v>
      </c>
      <c r="AWC13" s="25" t="s">
        <v>631</v>
      </c>
      <c r="AWD13" s="25" t="s">
        <v>631</v>
      </c>
      <c r="AWE13" s="25" t="s">
        <v>8253</v>
      </c>
      <c r="AWF13" s="25" t="s">
        <v>8253</v>
      </c>
      <c r="AWG13" s="25" t="s">
        <v>8253</v>
      </c>
      <c r="AWH13" s="25" t="s">
        <v>13442</v>
      </c>
      <c r="AWJ13" s="25" t="s">
        <v>8253</v>
      </c>
      <c r="AWK13" s="25" t="s">
        <v>8253</v>
      </c>
      <c r="AWL13" s="25" t="s">
        <v>8253</v>
      </c>
      <c r="AWN13" s="56">
        <v>10</v>
      </c>
      <c r="AWP13" s="56">
        <v>20</v>
      </c>
      <c r="AWR13" s="56">
        <v>20</v>
      </c>
      <c r="AWT13" s="56">
        <v>40</v>
      </c>
      <c r="AXR13" s="26">
        <v>0.2</v>
      </c>
      <c r="AYB13" s="56">
        <v>150</v>
      </c>
      <c r="BAV13" s="25" t="s">
        <v>8255</v>
      </c>
      <c r="BAW13" s="25" t="s">
        <v>8381</v>
      </c>
      <c r="BAX13" s="25" t="s">
        <v>8321</v>
      </c>
      <c r="BAY13" s="25">
        <v>0</v>
      </c>
      <c r="BBB13" s="25"/>
      <c r="BBC13" s="25"/>
      <c r="BBD13" s="25"/>
      <c r="BBE13" s="25"/>
      <c r="BBF13" s="25"/>
      <c r="BBG13" s="25"/>
      <c r="BBI13" s="25"/>
      <c r="BBJ13" s="25"/>
      <c r="BBK13" s="25"/>
      <c r="BBL13" s="25"/>
      <c r="BET13" s="25"/>
      <c r="BEU13" s="25"/>
      <c r="BEV13" s="25"/>
      <c r="BEW13" s="25"/>
      <c r="BEX13" s="25"/>
      <c r="BEY13" s="25"/>
      <c r="BEZ13" s="25"/>
      <c r="BFH13" s="25"/>
      <c r="BFI13" s="25"/>
      <c r="BFJ13" s="25"/>
      <c r="BFK13" s="25"/>
      <c r="BFL13" s="25"/>
      <c r="BFM13" s="25"/>
      <c r="BFN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L13" s="25"/>
      <c r="BIM13" s="25"/>
      <c r="BIN13" s="25"/>
      <c r="BIO13" s="25"/>
      <c r="BIP13" s="25"/>
      <c r="BIQ13" s="25"/>
      <c r="BIR13" s="25"/>
      <c r="BIS13" s="25"/>
      <c r="BIT13" s="25"/>
      <c r="BIU13" s="25"/>
      <c r="BIV13" s="25"/>
      <c r="BIW13" s="25"/>
      <c r="BIX13" s="25"/>
      <c r="BIY13" s="25"/>
      <c r="BJG13" s="25"/>
      <c r="BJH13" s="25"/>
      <c r="BJI13" s="25"/>
      <c r="BJJ13" s="25"/>
      <c r="BJK13" s="25"/>
      <c r="BJL13" s="25"/>
      <c r="BJM13" s="25"/>
      <c r="BJN13" s="25"/>
      <c r="BJO13" s="25"/>
      <c r="BJP13" s="25"/>
      <c r="BJQ13" s="25"/>
      <c r="BJR13" s="25"/>
      <c r="BJS13" s="25"/>
      <c r="BJT13" s="25"/>
      <c r="BKB13" s="25"/>
      <c r="BKC13" s="25"/>
      <c r="BKD13" s="25"/>
      <c r="BKE13" s="25"/>
      <c r="BKF13" s="25"/>
      <c r="BKG13" s="25"/>
      <c r="BKH13" s="25"/>
      <c r="BKI13" s="25"/>
      <c r="BKJ13" s="25"/>
      <c r="BKK13" s="25"/>
      <c r="BKL13" s="25"/>
      <c r="BKM13" s="25"/>
      <c r="BKN13" s="25"/>
      <c r="BKO13" s="25"/>
      <c r="BKW13" s="25"/>
      <c r="BKX13" s="25"/>
      <c r="BKY13" s="25"/>
      <c r="BKZ13" s="25"/>
      <c r="BLA13" s="25"/>
      <c r="BLB13" s="25"/>
      <c r="BLC13" s="25"/>
      <c r="BLD13" s="25"/>
      <c r="BLE13" s="25"/>
      <c r="BLF13" s="25"/>
      <c r="BLG13" s="25"/>
      <c r="BLH13" s="25"/>
      <c r="BLI13" s="25"/>
      <c r="BLJ13" s="25"/>
      <c r="BLN13" s="25">
        <v>0</v>
      </c>
      <c r="BLQ13" s="25"/>
      <c r="BLR13" s="25"/>
      <c r="BLS13" s="25"/>
      <c r="BLT13" s="25"/>
      <c r="BLU13" s="25"/>
      <c r="BLV13" s="25"/>
      <c r="BLX13" s="25"/>
      <c r="BLY13" s="25"/>
      <c r="BLZ13" s="25"/>
      <c r="BMA13" s="25"/>
      <c r="BPI13" s="25"/>
      <c r="BPJ13" s="25"/>
      <c r="BPK13" s="25"/>
      <c r="BPL13" s="25"/>
      <c r="BPM13" s="25"/>
      <c r="BPN13" s="25"/>
      <c r="BPO13" s="25"/>
      <c r="BPW13" s="25"/>
      <c r="BPX13" s="25"/>
      <c r="BPY13" s="25"/>
      <c r="BPZ13" s="25"/>
      <c r="BQA13" s="25"/>
      <c r="BQB13" s="25"/>
      <c r="BQC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TA13" s="25"/>
      <c r="BTB13" s="25"/>
      <c r="BTC13" s="25"/>
      <c r="BTD13" s="25"/>
      <c r="BTE13" s="25"/>
      <c r="BTF13" s="25"/>
      <c r="BTG13" s="25"/>
      <c r="BTH13" s="25"/>
      <c r="BTI13" s="25"/>
      <c r="BTJ13" s="25"/>
      <c r="BTK13" s="25"/>
      <c r="BTL13" s="25"/>
      <c r="BTM13" s="25"/>
      <c r="BTN13" s="25"/>
      <c r="BUQ13" s="25"/>
      <c r="BUR13" s="25"/>
      <c r="BUS13" s="25"/>
      <c r="BUT13" s="25"/>
      <c r="BUU13" s="25"/>
      <c r="BUV13" s="25"/>
      <c r="BUW13" s="25"/>
      <c r="BUX13" s="25"/>
      <c r="BUY13" s="25"/>
      <c r="BUZ13" s="25"/>
      <c r="BVA13" s="25"/>
      <c r="BVB13" s="25"/>
      <c r="BVC13" s="25"/>
      <c r="BVD13" s="25"/>
      <c r="BWC13" s="25" t="s">
        <v>28</v>
      </c>
      <c r="BWD13" s="25" t="s">
        <v>8326</v>
      </c>
      <c r="BWE13" s="25" t="s">
        <v>8357</v>
      </c>
      <c r="BWF13" s="25" t="s">
        <v>13708</v>
      </c>
      <c r="BWG13" s="25" t="s">
        <v>25</v>
      </c>
      <c r="BWH13" s="25" t="s">
        <v>25</v>
      </c>
      <c r="BWQ13" s="25" t="s">
        <v>28</v>
      </c>
      <c r="BWR13" s="25" t="s">
        <v>25</v>
      </c>
      <c r="BWT13" s="25" t="s">
        <v>25</v>
      </c>
      <c r="BWV13" s="25" t="s">
        <v>25</v>
      </c>
      <c r="BWX13" s="25" t="s">
        <v>28</v>
      </c>
      <c r="BWY13" s="25" t="s">
        <v>8387</v>
      </c>
      <c r="BWZ13" s="25" t="s">
        <v>25</v>
      </c>
      <c r="BXB13" s="25" t="s">
        <v>28</v>
      </c>
      <c r="BXC13" s="56">
        <v>20</v>
      </c>
      <c r="BXD13" s="25" t="s">
        <v>28</v>
      </c>
      <c r="BXE13" s="25" t="s">
        <v>8388</v>
      </c>
      <c r="BXF13" s="25" t="s">
        <v>25</v>
      </c>
      <c r="BXH13" s="25" t="s">
        <v>28</v>
      </c>
      <c r="BXI13" s="56">
        <v>20</v>
      </c>
      <c r="BXJ13" s="25" t="s">
        <v>28</v>
      </c>
      <c r="BXK13" s="25" t="s">
        <v>8389</v>
      </c>
      <c r="BXL13" s="25" t="s">
        <v>13822</v>
      </c>
      <c r="BXM13" s="25" t="s">
        <v>41</v>
      </c>
      <c r="BXN13" s="25" t="s">
        <v>8332</v>
      </c>
      <c r="BXO13" s="25" t="s">
        <v>8274</v>
      </c>
      <c r="BXP13" s="25" t="s">
        <v>8274</v>
      </c>
      <c r="BXQ13" s="25" t="s">
        <v>8274</v>
      </c>
      <c r="BXR13" s="25" t="s">
        <v>8274</v>
      </c>
      <c r="BXS13" s="25" t="s">
        <v>8274</v>
      </c>
      <c r="BXU13" s="25" t="s">
        <v>25</v>
      </c>
      <c r="BXW13" s="25" t="s">
        <v>28</v>
      </c>
      <c r="BXX13" s="25" t="s">
        <v>28</v>
      </c>
      <c r="BYC13" s="25" t="s">
        <v>2201</v>
      </c>
      <c r="BYD13" s="25" t="s">
        <v>28</v>
      </c>
      <c r="BYE13" s="25" t="s">
        <v>13608</v>
      </c>
      <c r="BYF13" s="25" t="s">
        <v>8277</v>
      </c>
      <c r="BYH13" s="25" t="s">
        <v>8278</v>
      </c>
      <c r="BYI13" s="56">
        <v>20</v>
      </c>
      <c r="BYK13" s="25" t="s">
        <v>8333</v>
      </c>
      <c r="BYL13" s="25" t="s">
        <v>28</v>
      </c>
      <c r="BYM13" s="25">
        <v>20</v>
      </c>
      <c r="BYN13" s="25" t="s">
        <v>28</v>
      </c>
      <c r="BYO13" s="25">
        <v>20</v>
      </c>
      <c r="BYP13" s="25" t="s">
        <v>25</v>
      </c>
      <c r="BYR13" s="25" t="s">
        <v>28</v>
      </c>
      <c r="BYS13" s="25" t="s">
        <v>8279</v>
      </c>
      <c r="BYT13" s="25" t="s">
        <v>8279</v>
      </c>
      <c r="BYU13" s="25" t="s">
        <v>732</v>
      </c>
      <c r="BYV13" s="25" t="s">
        <v>28</v>
      </c>
      <c r="BYW13" s="25" t="s">
        <v>28</v>
      </c>
      <c r="BYX13" s="56">
        <v>500</v>
      </c>
      <c r="BYY13" s="56">
        <v>1000</v>
      </c>
      <c r="BYZ13" s="25" t="s">
        <v>8390</v>
      </c>
      <c r="BZA13" s="25" t="s">
        <v>13824</v>
      </c>
      <c r="BZB13" s="25" t="s">
        <v>256</v>
      </c>
      <c r="BZC13" s="25" t="s">
        <v>8282</v>
      </c>
      <c r="BZD13" s="25" t="s">
        <v>28</v>
      </c>
      <c r="BZE13" s="25" t="s">
        <v>28</v>
      </c>
      <c r="BZF13" s="25" t="s">
        <v>28</v>
      </c>
      <c r="BZG13" s="25" t="s">
        <v>25</v>
      </c>
      <c r="BZJ13" s="25" t="s">
        <v>25</v>
      </c>
      <c r="BZM13" s="25" t="s">
        <v>28</v>
      </c>
      <c r="BZN13" s="25" t="s">
        <v>13636</v>
      </c>
      <c r="BZO13" s="25" t="s">
        <v>8391</v>
      </c>
      <c r="BZP13" s="25" t="s">
        <v>8284</v>
      </c>
      <c r="BZQ13" s="56" t="s">
        <v>8392</v>
      </c>
      <c r="BZR13" s="25" t="s">
        <v>28</v>
      </c>
      <c r="BZS13" s="25" t="s">
        <v>25</v>
      </c>
      <c r="BZT13" s="25" t="s">
        <v>8337</v>
      </c>
      <c r="BZV13" s="25" t="s">
        <v>13638</v>
      </c>
      <c r="BZX13" s="25" t="s">
        <v>8393</v>
      </c>
      <c r="BZZ13" s="25" t="s">
        <v>25</v>
      </c>
      <c r="CAC13" s="25" t="s">
        <v>28</v>
      </c>
      <c r="CAD13" s="25" t="s">
        <v>8288</v>
      </c>
      <c r="CAE13" s="25" t="s">
        <v>28</v>
      </c>
      <c r="CAF13" s="25" t="s">
        <v>8289</v>
      </c>
      <c r="CAG13" s="25" t="s">
        <v>25</v>
      </c>
      <c r="CAH13" s="25" t="s">
        <v>631</v>
      </c>
      <c r="CAI13" s="25" t="s">
        <v>631</v>
      </c>
      <c r="CAJ13" s="25" t="s">
        <v>631</v>
      </c>
      <c r="CAK13" s="25" t="s">
        <v>631</v>
      </c>
      <c r="CAL13" s="25" t="s">
        <v>631</v>
      </c>
      <c r="CAM13" s="25" t="s">
        <v>8290</v>
      </c>
      <c r="CAN13" s="25" t="s">
        <v>631</v>
      </c>
      <c r="CAO13" s="25" t="s">
        <v>631</v>
      </c>
      <c r="CAP13" s="25" t="s">
        <v>631</v>
      </c>
      <c r="CAQ13" s="25" t="s">
        <v>631</v>
      </c>
      <c r="CAR13" s="25" t="s">
        <v>8339</v>
      </c>
      <c r="CAT13" s="25" t="s">
        <v>28</v>
      </c>
      <c r="CAU13" s="25" t="s">
        <v>8394</v>
      </c>
      <c r="CAW13" s="25" t="s">
        <v>8341</v>
      </c>
      <c r="CBB13" s="25">
        <v>2</v>
      </c>
      <c r="CBC13" s="25">
        <v>0</v>
      </c>
      <c r="CBD13" s="25">
        <v>0</v>
      </c>
      <c r="CBE13" s="56">
        <v>50</v>
      </c>
      <c r="CBF13" s="56">
        <v>150</v>
      </c>
      <c r="CBG13" s="56">
        <v>50</v>
      </c>
      <c r="CBH13" s="56">
        <v>150</v>
      </c>
      <c r="CBI13" s="56">
        <v>2000</v>
      </c>
      <c r="CBK13" s="56">
        <v>2000</v>
      </c>
      <c r="CBM13" s="26">
        <v>0</v>
      </c>
      <c r="CBN13" s="26">
        <v>0</v>
      </c>
      <c r="CBO13" s="26">
        <v>0.2</v>
      </c>
      <c r="CBP13" s="26">
        <v>0.2</v>
      </c>
      <c r="CBQ13" s="26">
        <v>0.5</v>
      </c>
      <c r="CBR13" s="26">
        <v>0.5</v>
      </c>
      <c r="CBS13" s="26">
        <v>0.5</v>
      </c>
      <c r="CBT13" s="26">
        <v>0.5</v>
      </c>
      <c r="CBU13" s="27" t="s">
        <v>28</v>
      </c>
      <c r="CBV13" s="27" t="s">
        <v>8293</v>
      </c>
      <c r="CBW13" s="27" t="s">
        <v>8370</v>
      </c>
      <c r="CBX13" s="27" t="s">
        <v>8395</v>
      </c>
      <c r="CBY13" s="27" t="s">
        <v>8296</v>
      </c>
      <c r="CBZ13" s="27" t="s">
        <v>8296</v>
      </c>
      <c r="CCA13" s="27" t="s">
        <v>8297</v>
      </c>
      <c r="CCB13" s="27" t="s">
        <v>8297</v>
      </c>
      <c r="CCC13" s="27" t="s">
        <v>8296</v>
      </c>
      <c r="CCD13" s="27" t="s">
        <v>8297</v>
      </c>
      <c r="CCE13" s="27" t="s">
        <v>8297</v>
      </c>
      <c r="CCF13" s="27" t="s">
        <v>8297</v>
      </c>
      <c r="CCG13" s="27" t="s">
        <v>8297</v>
      </c>
      <c r="CCH13" s="27" t="s">
        <v>8296</v>
      </c>
      <c r="CCI13" s="27" t="s">
        <v>8298</v>
      </c>
      <c r="CCJ13" s="27" t="s">
        <v>8296</v>
      </c>
      <c r="CCK13" s="27" t="s">
        <v>8297</v>
      </c>
      <c r="CCL13" s="27" t="s">
        <v>8297</v>
      </c>
      <c r="CCM13" s="27" t="s">
        <v>8297</v>
      </c>
      <c r="CCN13" s="27" t="s">
        <v>8297</v>
      </c>
      <c r="CCO13" s="27" t="s">
        <v>8300</v>
      </c>
      <c r="CCP13" s="27" t="s">
        <v>8296</v>
      </c>
      <c r="CCR13" s="27" t="s">
        <v>8296</v>
      </c>
      <c r="CCS13" s="27" t="s">
        <v>8300</v>
      </c>
      <c r="CCT13" s="27" t="s">
        <v>8297</v>
      </c>
      <c r="CCU13" s="27" t="s">
        <v>8296</v>
      </c>
      <c r="CCV13" s="27" t="s">
        <v>8298</v>
      </c>
      <c r="CCW13" s="27" t="s">
        <v>8300</v>
      </c>
      <c r="CCX13" s="27" t="s">
        <v>8298</v>
      </c>
      <c r="CCY13" s="27" t="s">
        <v>8296</v>
      </c>
      <c r="CCZ13" s="27" t="s">
        <v>28</v>
      </c>
      <c r="CDA13" s="27" t="s">
        <v>28</v>
      </c>
      <c r="CDB13" s="27" t="s">
        <v>28</v>
      </c>
      <c r="CDC13" s="27" t="s">
        <v>28</v>
      </c>
      <c r="CDD13" s="27" t="s">
        <v>28</v>
      </c>
      <c r="CDE13" s="27" t="s">
        <v>28</v>
      </c>
      <c r="CDF13" s="27" t="s">
        <v>28</v>
      </c>
      <c r="CDG13" s="27" t="s">
        <v>28</v>
      </c>
      <c r="CDH13" s="27" t="s">
        <v>28</v>
      </c>
      <c r="CDI13" s="27" t="s">
        <v>28</v>
      </c>
      <c r="CDJ13" s="27" t="s">
        <v>28</v>
      </c>
      <c r="CDK13" s="27" t="s">
        <v>28</v>
      </c>
      <c r="CDL13" s="27" t="s">
        <v>28</v>
      </c>
      <c r="CDM13" s="27" t="s">
        <v>28</v>
      </c>
      <c r="CDN13" s="27" t="s">
        <v>28</v>
      </c>
      <c r="CDO13" s="27" t="s">
        <v>28</v>
      </c>
      <c r="CDP13" s="27" t="s">
        <v>25</v>
      </c>
      <c r="CDQ13" s="27" t="s">
        <v>28</v>
      </c>
      <c r="CDR13" s="27" t="s">
        <v>25</v>
      </c>
      <c r="CDS13" s="27" t="s">
        <v>28</v>
      </c>
      <c r="CDT13" s="27" t="s">
        <v>25</v>
      </c>
      <c r="CDU13" s="27" t="s">
        <v>28</v>
      </c>
      <c r="CDV13" s="27" t="s">
        <v>28</v>
      </c>
      <c r="CDW13" s="27" t="s">
        <v>28</v>
      </c>
      <c r="CDX13" s="27" t="s">
        <v>28</v>
      </c>
      <c r="CDY13" s="27" t="s">
        <v>28</v>
      </c>
      <c r="CDZ13" s="27" t="s">
        <v>28</v>
      </c>
      <c r="CEA13" s="27" t="s">
        <v>2673</v>
      </c>
      <c r="CEB13" s="27" t="s">
        <v>2673</v>
      </c>
      <c r="CEC13" s="27" t="s">
        <v>2673</v>
      </c>
      <c r="CED13" s="27" t="s">
        <v>2673</v>
      </c>
      <c r="CEE13" s="27" t="s">
        <v>2673</v>
      </c>
      <c r="CEF13" s="27" t="s">
        <v>2673</v>
      </c>
      <c r="CEG13" s="27" t="s">
        <v>2673</v>
      </c>
      <c r="CEH13" s="27" t="s">
        <v>2673</v>
      </c>
      <c r="CEI13" s="27" t="s">
        <v>2673</v>
      </c>
      <c r="CEJ13" s="27" t="s">
        <v>2673</v>
      </c>
      <c r="CEK13" s="27" t="s">
        <v>2673</v>
      </c>
      <c r="CEL13" s="27" t="s">
        <v>8302</v>
      </c>
      <c r="CEM13" s="27" t="s">
        <v>2673</v>
      </c>
      <c r="CEN13" s="27" t="s">
        <v>2673</v>
      </c>
      <c r="CEO13" s="27" t="s">
        <v>2673</v>
      </c>
      <c r="CEP13" s="27" t="s">
        <v>2673</v>
      </c>
      <c r="CEQ13" s="27" t="s">
        <v>8304</v>
      </c>
      <c r="CER13" s="27" t="s">
        <v>29</v>
      </c>
      <c r="CES13" s="27" t="s">
        <v>29</v>
      </c>
      <c r="CET13" s="27" t="s">
        <v>29</v>
      </c>
      <c r="CEU13" s="27" t="s">
        <v>29</v>
      </c>
      <c r="CEV13" s="27" t="s">
        <v>29</v>
      </c>
      <c r="CEW13" s="27" t="s">
        <v>29</v>
      </c>
      <c r="CEX13" s="27" t="s">
        <v>8302</v>
      </c>
      <c r="CEY13" s="27" t="s">
        <v>29</v>
      </c>
      <c r="CEZ13" s="27" t="s">
        <v>29</v>
      </c>
      <c r="CFA13" s="27" t="s">
        <v>29</v>
      </c>
      <c r="CFB13" s="27" t="s">
        <v>25</v>
      </c>
      <c r="CFC13" s="27" t="s">
        <v>25</v>
      </c>
      <c r="CFD13" s="27" t="s">
        <v>25</v>
      </c>
      <c r="CFE13" s="27" t="s">
        <v>25</v>
      </c>
      <c r="CFF13" s="27" t="s">
        <v>25</v>
      </c>
      <c r="CFG13" s="27" t="s">
        <v>25</v>
      </c>
      <c r="CFH13" s="27" t="s">
        <v>25</v>
      </c>
      <c r="CFI13" s="27" t="s">
        <v>25</v>
      </c>
      <c r="CFJ13" s="27" t="s">
        <v>25</v>
      </c>
      <c r="CFK13" s="27" t="s">
        <v>25</v>
      </c>
      <c r="CFL13" s="27" t="s">
        <v>25</v>
      </c>
      <c r="CFM13" s="27" t="s">
        <v>25</v>
      </c>
      <c r="CFN13" s="27" t="s">
        <v>25</v>
      </c>
      <c r="CFO13" s="27" t="s">
        <v>25</v>
      </c>
      <c r="CFP13" s="27" t="s">
        <v>25</v>
      </c>
      <c r="CFQ13" s="27" t="s">
        <v>25</v>
      </c>
      <c r="CFR13" s="27" t="s">
        <v>25</v>
      </c>
      <c r="CFS13" s="27" t="s">
        <v>25</v>
      </c>
      <c r="CFT13" s="27" t="s">
        <v>25</v>
      </c>
      <c r="CFU13" s="27" t="s">
        <v>25</v>
      </c>
      <c r="CFV13" s="27" t="s">
        <v>25</v>
      </c>
      <c r="CFW13" s="27" t="s">
        <v>25</v>
      </c>
      <c r="CFX13" s="27" t="s">
        <v>25</v>
      </c>
      <c r="CFY13" s="27" t="s">
        <v>25</v>
      </c>
      <c r="CFZ13" s="27" t="s">
        <v>25</v>
      </c>
      <c r="CGA13" s="27" t="s">
        <v>25</v>
      </c>
      <c r="CGB13" s="27" t="s">
        <v>25</v>
      </c>
      <c r="CPW13" s="27">
        <v>2</v>
      </c>
      <c r="CPX13" s="56">
        <v>10</v>
      </c>
      <c r="CPY13" s="26">
        <v>0</v>
      </c>
      <c r="CQB13" s="25" t="s">
        <v>8307</v>
      </c>
      <c r="CQC13" s="25" t="s">
        <v>8307</v>
      </c>
      <c r="CQD13" s="25" t="s">
        <v>8307</v>
      </c>
      <c r="CQE13" s="25" t="s">
        <v>8307</v>
      </c>
      <c r="CQF13" s="25" t="s">
        <v>8307</v>
      </c>
      <c r="CQI13" s="56">
        <v>150</v>
      </c>
      <c r="CQJ13" s="56">
        <v>150</v>
      </c>
      <c r="CQL13" s="25" t="s">
        <v>8396</v>
      </c>
      <c r="CQM13" s="25" t="s">
        <v>8397</v>
      </c>
      <c r="CQN13" s="25" t="s">
        <v>28</v>
      </c>
      <c r="CQO13" s="25" t="s">
        <v>8309</v>
      </c>
      <c r="CQQ13" s="25" t="s">
        <v>8398</v>
      </c>
      <c r="CQR13" s="25" t="s">
        <v>8399</v>
      </c>
      <c r="CQS13" s="25" t="s">
        <v>25</v>
      </c>
      <c r="CQT13" s="25" t="s">
        <v>8314</v>
      </c>
      <c r="CQU13" s="25" t="s">
        <v>8312</v>
      </c>
      <c r="CQV13" s="25" t="s">
        <v>8313</v>
      </c>
      <c r="CQW13" s="25" t="s">
        <v>8312</v>
      </c>
      <c r="CQX13" s="25" t="s">
        <v>8313</v>
      </c>
      <c r="CQY13" s="25" t="s">
        <v>8312</v>
      </c>
      <c r="CQZ13" s="25" t="s">
        <v>8314</v>
      </c>
      <c r="CRA13" s="25" t="s">
        <v>8312</v>
      </c>
      <c r="CRB13" s="25" t="s">
        <v>8314</v>
      </c>
      <c r="CRC13" s="25" t="s">
        <v>8313</v>
      </c>
      <c r="CRD13" s="25" t="s">
        <v>8314</v>
      </c>
      <c r="CRE13" s="27" t="s">
        <v>8314</v>
      </c>
    </row>
    <row r="14" spans="1:2501" ht="89.25" x14ac:dyDescent="0.2">
      <c r="A14" s="21" t="s">
        <v>147</v>
      </c>
      <c r="B14" s="26">
        <v>0.15</v>
      </c>
      <c r="C14" s="26">
        <v>0.32</v>
      </c>
      <c r="D14" s="26">
        <v>0.23</v>
      </c>
      <c r="E14" s="26">
        <v>0.17</v>
      </c>
      <c r="F14" s="26">
        <v>0</v>
      </c>
      <c r="G14" s="26">
        <v>0</v>
      </c>
      <c r="H14" s="26">
        <v>0</v>
      </c>
      <c r="I14" s="26">
        <v>0</v>
      </c>
      <c r="J14" s="26">
        <v>0</v>
      </c>
      <c r="K14" s="26">
        <v>0</v>
      </c>
      <c r="L14" s="26">
        <v>0</v>
      </c>
      <c r="M14" s="26">
        <v>0.13</v>
      </c>
      <c r="N14" s="26">
        <v>0</v>
      </c>
      <c r="O14" s="26">
        <v>0</v>
      </c>
      <c r="P14" s="26">
        <v>0</v>
      </c>
      <c r="Q14" s="26">
        <v>0</v>
      </c>
      <c r="R14" s="26">
        <v>0</v>
      </c>
      <c r="S14" s="26">
        <v>0</v>
      </c>
      <c r="T14" s="26">
        <v>0</v>
      </c>
      <c r="U14" s="26">
        <v>0</v>
      </c>
      <c r="V14" s="26">
        <v>0</v>
      </c>
      <c r="W14" s="26">
        <v>0</v>
      </c>
      <c r="X14" s="26">
        <v>0</v>
      </c>
      <c r="Y14" s="26">
        <v>1</v>
      </c>
      <c r="Z14" s="25">
        <v>1</v>
      </c>
      <c r="AA14" s="25" t="s">
        <v>8718</v>
      </c>
      <c r="AC14" s="56">
        <v>2000</v>
      </c>
      <c r="AD14" s="56">
        <v>6000</v>
      </c>
      <c r="AE14" s="56">
        <v>4000</v>
      </c>
      <c r="AF14" s="56">
        <v>12000</v>
      </c>
      <c r="AI14" s="25" t="s">
        <v>8246</v>
      </c>
      <c r="AJ14" s="56">
        <v>300</v>
      </c>
      <c r="AK14" s="56">
        <v>900</v>
      </c>
      <c r="AL14" s="56">
        <v>300</v>
      </c>
      <c r="AM14" s="56">
        <v>900</v>
      </c>
      <c r="AN14" s="25" t="s">
        <v>8350</v>
      </c>
      <c r="AO14" s="25" t="s">
        <v>8248</v>
      </c>
      <c r="BB14" s="25" t="s">
        <v>8249</v>
      </c>
      <c r="DO14" s="25" t="s">
        <v>25</v>
      </c>
      <c r="DP14" s="25" t="s">
        <v>28</v>
      </c>
      <c r="DQ14" s="25" t="s">
        <v>25</v>
      </c>
      <c r="DR14" s="25" t="s">
        <v>25</v>
      </c>
      <c r="DT14" s="25" t="s">
        <v>13414</v>
      </c>
      <c r="DU14" s="25" t="s">
        <v>13425</v>
      </c>
      <c r="DV14" s="56">
        <v>25</v>
      </c>
      <c r="DW14" s="56">
        <v>35</v>
      </c>
      <c r="DY14" s="56">
        <v>100</v>
      </c>
      <c r="DZ14" s="56">
        <v>25</v>
      </c>
      <c r="EA14" s="56">
        <v>0</v>
      </c>
      <c r="EE14" s="26">
        <v>0.2</v>
      </c>
      <c r="EF14" s="26">
        <v>0.2</v>
      </c>
      <c r="EH14" s="26">
        <v>0</v>
      </c>
      <c r="EI14" s="26">
        <v>0.2</v>
      </c>
      <c r="EM14" s="56">
        <v>100</v>
      </c>
      <c r="EQ14" s="26">
        <v>0.35</v>
      </c>
      <c r="ER14" s="26">
        <v>0.35</v>
      </c>
      <c r="ES14" s="26">
        <v>0.35</v>
      </c>
      <c r="ET14" s="26">
        <v>0.2</v>
      </c>
      <c r="EU14" s="26">
        <v>0.35</v>
      </c>
      <c r="EW14" s="26">
        <v>0.35</v>
      </c>
      <c r="EX14" s="25" t="s">
        <v>8250</v>
      </c>
      <c r="EY14" s="25" t="s">
        <v>8250</v>
      </c>
      <c r="EZ14" s="25" t="s">
        <v>8250</v>
      </c>
      <c r="FA14" s="25" t="s">
        <v>8250</v>
      </c>
      <c r="FB14" s="25" t="s">
        <v>8250</v>
      </c>
      <c r="FC14" s="25" t="s">
        <v>8261</v>
      </c>
      <c r="FD14" s="25" t="s">
        <v>8250</v>
      </c>
      <c r="FE14" s="25" t="s">
        <v>25</v>
      </c>
      <c r="FF14" s="25" t="s">
        <v>25</v>
      </c>
      <c r="FG14" s="25" t="s">
        <v>25</v>
      </c>
      <c r="FH14" s="25" t="s">
        <v>25</v>
      </c>
      <c r="FI14" s="25" t="s">
        <v>25</v>
      </c>
      <c r="FJ14" s="25" t="s">
        <v>25</v>
      </c>
      <c r="FK14" s="25" t="s">
        <v>25</v>
      </c>
      <c r="FL14" s="25" t="s">
        <v>13810</v>
      </c>
      <c r="FM14" s="25" t="s">
        <v>13810</v>
      </c>
      <c r="FN14" s="25" t="s">
        <v>13810</v>
      </c>
      <c r="FO14" s="25" t="s">
        <v>13810</v>
      </c>
      <c r="FP14" s="25" t="s">
        <v>13810</v>
      </c>
      <c r="FQ14" s="25" t="s">
        <v>13810</v>
      </c>
      <c r="FR14" s="25" t="s">
        <v>13810</v>
      </c>
      <c r="FS14" s="25" t="s">
        <v>13810</v>
      </c>
      <c r="FT14" s="25" t="s">
        <v>631</v>
      </c>
      <c r="FU14" s="25" t="s">
        <v>631</v>
      </c>
      <c r="FV14" s="25" t="s">
        <v>8427</v>
      </c>
      <c r="FW14" s="25" t="s">
        <v>8427</v>
      </c>
      <c r="FX14" s="25" t="s">
        <v>8427</v>
      </c>
      <c r="FY14" s="25" t="s">
        <v>13449</v>
      </c>
      <c r="FZ14" s="25" t="s">
        <v>8427</v>
      </c>
      <c r="GA14" s="25" t="s">
        <v>8427</v>
      </c>
      <c r="GB14" s="25" t="s">
        <v>13449</v>
      </c>
      <c r="GC14" s="25" t="s">
        <v>8427</v>
      </c>
      <c r="GE14" s="56">
        <v>10</v>
      </c>
      <c r="GG14" s="56">
        <v>20</v>
      </c>
      <c r="GI14" s="56">
        <v>30</v>
      </c>
      <c r="GK14" s="56">
        <v>60</v>
      </c>
      <c r="GM14" s="56">
        <v>50</v>
      </c>
      <c r="GO14" s="56">
        <v>100</v>
      </c>
      <c r="GQ14" s="56">
        <v>100</v>
      </c>
      <c r="GS14" s="56">
        <v>200</v>
      </c>
      <c r="IB14" s="26">
        <v>0.5</v>
      </c>
      <c r="IC14" s="26">
        <v>0.5</v>
      </c>
      <c r="ID14" s="26">
        <v>0.5</v>
      </c>
      <c r="IE14" s="26">
        <v>0.5</v>
      </c>
      <c r="JR14" s="26">
        <v>1</v>
      </c>
      <c r="JS14" s="26">
        <v>1</v>
      </c>
      <c r="JT14" s="26">
        <v>1</v>
      </c>
      <c r="JU14" s="26">
        <v>1</v>
      </c>
      <c r="KM14" s="25" t="s">
        <v>8255</v>
      </c>
      <c r="KN14" s="25" t="s">
        <v>8256</v>
      </c>
      <c r="KO14" s="25" t="s">
        <v>8321</v>
      </c>
      <c r="KP14" s="25">
        <v>1</v>
      </c>
      <c r="KQ14" s="25" t="s">
        <v>8638</v>
      </c>
      <c r="KS14" s="56">
        <v>5000</v>
      </c>
      <c r="KT14" s="56">
        <v>10000</v>
      </c>
      <c r="KU14" s="56">
        <v>5000</v>
      </c>
      <c r="KV14" s="56">
        <v>10000</v>
      </c>
      <c r="KY14" s="25" t="s">
        <v>8246</v>
      </c>
      <c r="KZ14" s="56">
        <v>2000</v>
      </c>
      <c r="LA14" s="56">
        <v>4000</v>
      </c>
      <c r="LB14" s="56">
        <v>2000</v>
      </c>
      <c r="LC14" s="56">
        <v>4000</v>
      </c>
      <c r="LD14" s="25" t="s">
        <v>8350</v>
      </c>
      <c r="LE14" s="25" t="s">
        <v>8248</v>
      </c>
      <c r="LR14" s="25" t="s">
        <v>8249</v>
      </c>
      <c r="OE14" s="25" t="s">
        <v>25</v>
      </c>
      <c r="OF14" s="25" t="s">
        <v>25</v>
      </c>
      <c r="OH14" s="25" t="s">
        <v>25</v>
      </c>
      <c r="OJ14" s="25" t="s">
        <v>13421</v>
      </c>
      <c r="OK14" s="25" t="s">
        <v>13425</v>
      </c>
      <c r="OQ14" s="56">
        <v>59</v>
      </c>
      <c r="OS14" s="26">
        <v>0.1</v>
      </c>
      <c r="OT14" s="26">
        <v>0.1</v>
      </c>
      <c r="OU14" s="26">
        <v>0.1</v>
      </c>
      <c r="OV14" s="26">
        <v>0.1</v>
      </c>
      <c r="OW14" s="26">
        <v>0.1</v>
      </c>
      <c r="OY14" s="26">
        <v>0.1</v>
      </c>
      <c r="PG14" s="26">
        <v>0.3</v>
      </c>
      <c r="PH14" s="26">
        <v>0.3</v>
      </c>
      <c r="PI14" s="26">
        <v>0.3</v>
      </c>
      <c r="PJ14" s="26">
        <v>0.3</v>
      </c>
      <c r="PK14" s="26">
        <v>0.3</v>
      </c>
      <c r="PM14" s="26">
        <v>0.3</v>
      </c>
      <c r="PN14" s="25" t="s">
        <v>8250</v>
      </c>
      <c r="PO14" s="25" t="s">
        <v>8250</v>
      </c>
      <c r="PP14" s="25" t="s">
        <v>8250</v>
      </c>
      <c r="PQ14" s="25" t="s">
        <v>8250</v>
      </c>
      <c r="PR14" s="25" t="s">
        <v>8250</v>
      </c>
      <c r="PS14" s="25" t="s">
        <v>8250</v>
      </c>
      <c r="PT14" s="25" t="s">
        <v>8250</v>
      </c>
      <c r="PU14" s="25" t="s">
        <v>25</v>
      </c>
      <c r="PV14" s="25" t="s">
        <v>25</v>
      </c>
      <c r="PW14" s="25" t="s">
        <v>25</v>
      </c>
      <c r="PX14" s="25" t="s">
        <v>25</v>
      </c>
      <c r="PY14" s="25" t="s">
        <v>25</v>
      </c>
      <c r="PZ14" s="25" t="s">
        <v>25</v>
      </c>
      <c r="QA14" s="25" t="s">
        <v>25</v>
      </c>
      <c r="QB14" s="25" t="s">
        <v>13810</v>
      </c>
      <c r="QC14" s="25" t="s">
        <v>13810</v>
      </c>
      <c r="QD14" s="25" t="s">
        <v>13810</v>
      </c>
      <c r="QE14" s="25" t="s">
        <v>13810</v>
      </c>
      <c r="QF14" s="25" t="s">
        <v>13810</v>
      </c>
      <c r="QG14" s="25" t="s">
        <v>13810</v>
      </c>
      <c r="QH14" s="25" t="s">
        <v>13810</v>
      </c>
      <c r="QI14" s="25" t="s">
        <v>13810</v>
      </c>
      <c r="QJ14" s="25" t="s">
        <v>631</v>
      </c>
      <c r="QK14" s="25" t="s">
        <v>631</v>
      </c>
      <c r="QL14" s="25" t="s">
        <v>8427</v>
      </c>
      <c r="QM14" s="25" t="s">
        <v>8427</v>
      </c>
      <c r="QN14" s="25" t="s">
        <v>8427</v>
      </c>
      <c r="QO14" s="25" t="s">
        <v>13449</v>
      </c>
      <c r="QP14" s="25" t="s">
        <v>8427</v>
      </c>
      <c r="QQ14" s="25" t="s">
        <v>8427</v>
      </c>
      <c r="QR14" s="25" t="s">
        <v>13449</v>
      </c>
      <c r="QS14" s="25" t="s">
        <v>8427</v>
      </c>
      <c r="QU14" s="56">
        <v>10</v>
      </c>
      <c r="QW14" s="56">
        <v>20</v>
      </c>
      <c r="QY14" s="56">
        <v>30</v>
      </c>
      <c r="RA14" s="56">
        <v>60</v>
      </c>
      <c r="RC14" s="56">
        <v>50</v>
      </c>
      <c r="RE14" s="56">
        <v>100</v>
      </c>
      <c r="RG14" s="56">
        <v>100</v>
      </c>
      <c r="RI14" s="56">
        <v>200</v>
      </c>
      <c r="SR14" s="26">
        <v>0.3</v>
      </c>
      <c r="SS14" s="26">
        <v>0.3</v>
      </c>
      <c r="ST14" s="26">
        <v>0.3</v>
      </c>
      <c r="SU14" s="26">
        <v>0.3</v>
      </c>
      <c r="VC14" s="25" t="s">
        <v>8255</v>
      </c>
      <c r="VD14" s="25" t="s">
        <v>8256</v>
      </c>
      <c r="VE14" s="25" t="s">
        <v>8321</v>
      </c>
      <c r="VF14" s="25">
        <v>1</v>
      </c>
      <c r="VG14" s="25" t="s">
        <v>8719</v>
      </c>
      <c r="VI14" s="56">
        <v>2000</v>
      </c>
      <c r="VJ14" s="56">
        <v>6000</v>
      </c>
      <c r="VO14" s="25" t="s">
        <v>8246</v>
      </c>
      <c r="VP14" s="56">
        <v>100</v>
      </c>
      <c r="VQ14" s="56">
        <v>300</v>
      </c>
      <c r="VT14" s="25" t="s">
        <v>8248</v>
      </c>
      <c r="WG14" s="25" t="s">
        <v>8249</v>
      </c>
      <c r="YT14" s="25" t="s">
        <v>25</v>
      </c>
      <c r="YU14" s="25" t="s">
        <v>25</v>
      </c>
      <c r="YW14" s="25" t="s">
        <v>25</v>
      </c>
      <c r="YY14" s="25" t="s">
        <v>13808</v>
      </c>
      <c r="YZ14" s="25" t="s">
        <v>8404</v>
      </c>
      <c r="ZA14" s="56">
        <v>20</v>
      </c>
      <c r="ZB14" s="56">
        <v>30</v>
      </c>
      <c r="ZD14" s="56">
        <v>100</v>
      </c>
      <c r="ZE14" s="56">
        <v>20</v>
      </c>
      <c r="ZF14" s="56">
        <v>0</v>
      </c>
      <c r="ZJ14" s="26">
        <v>0.1</v>
      </c>
      <c r="ZK14" s="26">
        <v>0.1</v>
      </c>
      <c r="ZN14" s="26">
        <v>0.1</v>
      </c>
      <c r="ZR14" s="56">
        <v>100</v>
      </c>
      <c r="ZY14" s="26">
        <v>0.1</v>
      </c>
      <c r="AAC14" s="25" t="s">
        <v>8250</v>
      </c>
      <c r="AAD14" s="25" t="s">
        <v>8250</v>
      </c>
      <c r="AAE14" s="25" t="s">
        <v>8250</v>
      </c>
      <c r="AAF14" s="25" t="s">
        <v>8250</v>
      </c>
      <c r="AAG14" s="25" t="s">
        <v>8250</v>
      </c>
      <c r="AAH14" s="25" t="s">
        <v>8250</v>
      </c>
      <c r="AAI14" s="25" t="s">
        <v>8250</v>
      </c>
      <c r="AAJ14" s="25" t="s">
        <v>25</v>
      </c>
      <c r="AAK14" s="25" t="s">
        <v>25</v>
      </c>
      <c r="AAL14" s="25" t="s">
        <v>25</v>
      </c>
      <c r="AAM14" s="25" t="s">
        <v>25</v>
      </c>
      <c r="AAN14" s="25" t="s">
        <v>25</v>
      </c>
      <c r="AAO14" s="25" t="s">
        <v>25</v>
      </c>
      <c r="AAP14" s="25" t="s">
        <v>25</v>
      </c>
      <c r="AAQ14" s="25" t="s">
        <v>13810</v>
      </c>
      <c r="AAR14" s="25" t="s">
        <v>13810</v>
      </c>
      <c r="AAS14" s="25" t="s">
        <v>13810</v>
      </c>
      <c r="AAT14" s="25" t="s">
        <v>13810</v>
      </c>
      <c r="AAU14" s="25" t="s">
        <v>13810</v>
      </c>
      <c r="AAV14" s="25" t="s">
        <v>13810</v>
      </c>
      <c r="AAW14" s="25" t="s">
        <v>13810</v>
      </c>
      <c r="AAX14" s="25" t="s">
        <v>13810</v>
      </c>
      <c r="AAY14" s="25" t="s">
        <v>631</v>
      </c>
      <c r="AAZ14" s="25" t="s">
        <v>631</v>
      </c>
      <c r="ABA14" s="25" t="s">
        <v>8427</v>
      </c>
      <c r="ABB14" s="25" t="s">
        <v>8427</v>
      </c>
      <c r="ABC14" s="25" t="s">
        <v>8427</v>
      </c>
      <c r="ABD14" s="25" t="s">
        <v>13449</v>
      </c>
      <c r="ABE14" s="25" t="s">
        <v>8427</v>
      </c>
      <c r="ABF14" s="25" t="s">
        <v>8427</v>
      </c>
      <c r="ABG14" s="25" t="s">
        <v>13449</v>
      </c>
      <c r="ABH14" s="25" t="s">
        <v>8427</v>
      </c>
      <c r="ABJ14" s="56">
        <v>10</v>
      </c>
      <c r="ABL14" s="56">
        <v>20</v>
      </c>
      <c r="ABN14" s="56">
        <v>30</v>
      </c>
      <c r="ABP14" s="56">
        <v>60</v>
      </c>
      <c r="ABR14" s="56">
        <v>50</v>
      </c>
      <c r="ABT14" s="56">
        <v>100</v>
      </c>
      <c r="ABV14" s="56">
        <v>100</v>
      </c>
      <c r="ABX14" s="56">
        <v>200</v>
      </c>
      <c r="ADG14" s="26">
        <v>0.5</v>
      </c>
      <c r="ADH14" s="26">
        <v>0.5</v>
      </c>
      <c r="ADI14" s="26">
        <v>0.5</v>
      </c>
      <c r="ADJ14" s="26">
        <v>0.5</v>
      </c>
      <c r="AFR14" s="25" t="s">
        <v>8255</v>
      </c>
      <c r="AFS14" s="25" t="s">
        <v>8256</v>
      </c>
      <c r="AFT14" s="25" t="s">
        <v>8321</v>
      </c>
      <c r="AFU14" s="25">
        <v>0</v>
      </c>
      <c r="AFX14" s="25"/>
      <c r="AFY14" s="25"/>
      <c r="AFZ14" s="25"/>
      <c r="AGA14" s="25"/>
      <c r="AGB14" s="25"/>
      <c r="AGC14" s="25"/>
      <c r="AGE14" s="25"/>
      <c r="AGF14" s="25"/>
      <c r="AGG14" s="25"/>
      <c r="AGH14" s="25"/>
      <c r="AJP14" s="25"/>
      <c r="AJQ14" s="25"/>
      <c r="AJR14" s="25"/>
      <c r="AJS14" s="25"/>
      <c r="AJT14" s="25"/>
      <c r="AJU14" s="25"/>
      <c r="AJV14" s="25"/>
      <c r="AKD14" s="25"/>
      <c r="AKE14" s="25"/>
      <c r="AKF14" s="25"/>
      <c r="AKG14" s="25"/>
      <c r="AKH14" s="25"/>
      <c r="AKI14" s="25"/>
      <c r="AKJ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H14" s="25"/>
      <c r="ANI14" s="25"/>
      <c r="ANJ14" s="25"/>
      <c r="ANK14" s="25"/>
      <c r="ANL14" s="25"/>
      <c r="ANM14" s="25"/>
      <c r="ANN14" s="25"/>
      <c r="ANO14" s="25"/>
      <c r="ANP14" s="25"/>
      <c r="ANQ14" s="25"/>
      <c r="ANR14" s="25"/>
      <c r="ANS14" s="25"/>
      <c r="ANT14" s="25"/>
      <c r="ANU14" s="25"/>
      <c r="AOC14" s="25"/>
      <c r="AOD14" s="25"/>
      <c r="AOE14" s="25"/>
      <c r="AOF14" s="25"/>
      <c r="AOG14" s="25"/>
      <c r="AOH14" s="25"/>
      <c r="AOI14" s="25"/>
      <c r="AOJ14" s="25"/>
      <c r="AOK14" s="25"/>
      <c r="AOL14" s="25"/>
      <c r="AOM14" s="25"/>
      <c r="AON14" s="25"/>
      <c r="AOO14" s="25"/>
      <c r="AOP14" s="25"/>
      <c r="AOX14" s="25"/>
      <c r="AOY14" s="25"/>
      <c r="AOZ14" s="25"/>
      <c r="APA14" s="25"/>
      <c r="APB14" s="25"/>
      <c r="APC14" s="25"/>
      <c r="APD14" s="25"/>
      <c r="APE14" s="25"/>
      <c r="APF14" s="25"/>
      <c r="APG14" s="25"/>
      <c r="APH14" s="25"/>
      <c r="API14" s="25"/>
      <c r="APJ14" s="25"/>
      <c r="APK14" s="25"/>
      <c r="APS14" s="25"/>
      <c r="APT14" s="25"/>
      <c r="APU14" s="25"/>
      <c r="APV14" s="25"/>
      <c r="APW14" s="25"/>
      <c r="APX14" s="25"/>
      <c r="APY14" s="25"/>
      <c r="APZ14" s="25"/>
      <c r="AQA14" s="25"/>
      <c r="AQB14" s="25"/>
      <c r="AQC14" s="25"/>
      <c r="AQD14" s="25"/>
      <c r="AQE14" s="25"/>
      <c r="AQF14" s="25"/>
      <c r="AQJ14" s="25">
        <v>2</v>
      </c>
      <c r="AQK14" s="25" t="s">
        <v>8720</v>
      </c>
      <c r="AQL14" s="25" t="s">
        <v>8721</v>
      </c>
      <c r="AQM14" s="56">
        <v>1500</v>
      </c>
      <c r="AQN14" s="56">
        <v>3000</v>
      </c>
      <c r="AQS14" s="25" t="s">
        <v>8260</v>
      </c>
      <c r="AQX14" s="25" t="s">
        <v>8248</v>
      </c>
      <c r="ARK14" s="25" t="s">
        <v>8249</v>
      </c>
      <c r="ATX14" s="25" t="s">
        <v>25</v>
      </c>
      <c r="ATY14" s="25" t="s">
        <v>25</v>
      </c>
      <c r="AUA14" s="25" t="s">
        <v>25</v>
      </c>
      <c r="AUC14" s="25" t="s">
        <v>13423</v>
      </c>
      <c r="AUD14" s="25" t="s">
        <v>8404</v>
      </c>
      <c r="AUE14" s="56">
        <v>20</v>
      </c>
      <c r="AUF14" s="56">
        <v>20</v>
      </c>
      <c r="AUG14" s="56">
        <v>20</v>
      </c>
      <c r="AUH14" s="56">
        <v>100</v>
      </c>
      <c r="AUI14" s="56">
        <v>20</v>
      </c>
      <c r="AUJ14" s="56">
        <v>0</v>
      </c>
      <c r="AUK14" s="56">
        <v>20</v>
      </c>
      <c r="AUV14" s="56">
        <v>100</v>
      </c>
      <c r="AVG14" s="25" t="s">
        <v>8250</v>
      </c>
      <c r="AVH14" s="25" t="s">
        <v>8250</v>
      </c>
      <c r="AVI14" s="25" t="s">
        <v>8250</v>
      </c>
      <c r="AVJ14" s="25" t="s">
        <v>8250</v>
      </c>
      <c r="AVK14" s="25" t="s">
        <v>8250</v>
      </c>
      <c r="AVL14" s="25" t="s">
        <v>8250</v>
      </c>
      <c r="AVM14" s="25" t="s">
        <v>8250</v>
      </c>
      <c r="AVN14" s="25" t="s">
        <v>25</v>
      </c>
      <c r="AVO14" s="25" t="s">
        <v>25</v>
      </c>
      <c r="AVP14" s="25" t="s">
        <v>25</v>
      </c>
      <c r="AVQ14" s="25" t="s">
        <v>25</v>
      </c>
      <c r="AVR14" s="25" t="s">
        <v>25</v>
      </c>
      <c r="AVS14" s="25" t="s">
        <v>25</v>
      </c>
      <c r="AVT14" s="25" t="s">
        <v>25</v>
      </c>
      <c r="AVU14" s="25" t="s">
        <v>13810</v>
      </c>
      <c r="AVV14" s="25" t="s">
        <v>13810</v>
      </c>
      <c r="AVW14" s="25" t="s">
        <v>13810</v>
      </c>
      <c r="AVX14" s="25" t="s">
        <v>13810</v>
      </c>
      <c r="AVY14" s="25" t="s">
        <v>13810</v>
      </c>
      <c r="AVZ14" s="25" t="s">
        <v>13810</v>
      </c>
      <c r="AWA14" s="25" t="s">
        <v>13810</v>
      </c>
      <c r="AWB14" s="25" t="s">
        <v>13810</v>
      </c>
      <c r="AWC14" s="25" t="s">
        <v>631</v>
      </c>
      <c r="AWE14" s="25" t="s">
        <v>8253</v>
      </c>
      <c r="AWF14" s="25" t="s">
        <v>8253</v>
      </c>
      <c r="AWG14" s="25" t="s">
        <v>8253</v>
      </c>
      <c r="AWH14" s="25" t="s">
        <v>8253</v>
      </c>
      <c r="AWI14" s="25" t="s">
        <v>8253</v>
      </c>
      <c r="AWJ14" s="25" t="s">
        <v>8253</v>
      </c>
      <c r="AWK14" s="25" t="s">
        <v>8253</v>
      </c>
      <c r="AWL14" s="25" t="s">
        <v>8253</v>
      </c>
      <c r="AWN14" s="56">
        <v>10</v>
      </c>
      <c r="AWR14" s="56">
        <v>30</v>
      </c>
      <c r="AXV14" s="26">
        <v>0.5</v>
      </c>
      <c r="BAV14" s="25" t="s">
        <v>8255</v>
      </c>
      <c r="BAW14" s="25" t="s">
        <v>8256</v>
      </c>
      <c r="BAX14" s="25" t="s">
        <v>8321</v>
      </c>
      <c r="BAY14" s="25">
        <v>0</v>
      </c>
      <c r="BBB14" s="25"/>
      <c r="BBC14" s="25"/>
      <c r="BBD14" s="25"/>
      <c r="BBE14" s="25"/>
      <c r="BBF14" s="25"/>
      <c r="BBG14" s="25"/>
      <c r="BBI14" s="25"/>
      <c r="BBJ14" s="25"/>
      <c r="BBK14" s="25"/>
      <c r="BBL14" s="25"/>
      <c r="BET14" s="25"/>
      <c r="BEU14" s="25"/>
      <c r="BEV14" s="25"/>
      <c r="BEW14" s="25"/>
      <c r="BEX14" s="25"/>
      <c r="BEY14" s="25"/>
      <c r="BEZ14" s="25"/>
      <c r="BFH14" s="25"/>
      <c r="BFI14" s="25"/>
      <c r="BFJ14" s="25"/>
      <c r="BFK14" s="25"/>
      <c r="BFL14" s="25"/>
      <c r="BFM14" s="25"/>
      <c r="BFN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L14" s="25"/>
      <c r="BIM14" s="25"/>
      <c r="BIN14" s="25"/>
      <c r="BIO14" s="25"/>
      <c r="BIP14" s="25"/>
      <c r="BIQ14" s="25"/>
      <c r="BIR14" s="25"/>
      <c r="BIS14" s="25"/>
      <c r="BIT14" s="25"/>
      <c r="BIU14" s="25"/>
      <c r="BIV14" s="25"/>
      <c r="BIW14" s="25"/>
      <c r="BIX14" s="25"/>
      <c r="BIY14" s="25"/>
      <c r="BJG14" s="25"/>
      <c r="BJH14" s="25"/>
      <c r="BJI14" s="25"/>
      <c r="BJJ14" s="25"/>
      <c r="BJK14" s="25"/>
      <c r="BJL14" s="25"/>
      <c r="BJM14" s="25"/>
      <c r="BJN14" s="25"/>
      <c r="BJO14" s="25"/>
      <c r="BJP14" s="25"/>
      <c r="BJQ14" s="25"/>
      <c r="BJR14" s="25"/>
      <c r="BJS14" s="25"/>
      <c r="BJT14" s="25"/>
      <c r="BKB14" s="25"/>
      <c r="BKC14" s="25"/>
      <c r="BKD14" s="25"/>
      <c r="BKE14" s="25"/>
      <c r="BKF14" s="25"/>
      <c r="BKG14" s="25"/>
      <c r="BKH14" s="25"/>
      <c r="BKI14" s="25"/>
      <c r="BKJ14" s="25"/>
      <c r="BKK14" s="25"/>
      <c r="BKL14" s="25"/>
      <c r="BKM14" s="25"/>
      <c r="BKN14" s="25"/>
      <c r="BKO14" s="25"/>
      <c r="BKW14" s="25"/>
      <c r="BKX14" s="25"/>
      <c r="BKY14" s="25"/>
      <c r="BKZ14" s="25"/>
      <c r="BLA14" s="25"/>
      <c r="BLB14" s="25"/>
      <c r="BLC14" s="25"/>
      <c r="BLD14" s="25"/>
      <c r="BLE14" s="25"/>
      <c r="BLF14" s="25"/>
      <c r="BLG14" s="25"/>
      <c r="BLH14" s="25"/>
      <c r="BLI14" s="25"/>
      <c r="BLJ14" s="25"/>
      <c r="BLN14" s="25">
        <v>0</v>
      </c>
      <c r="BLQ14" s="25"/>
      <c r="BLR14" s="25"/>
      <c r="BLS14" s="25"/>
      <c r="BLT14" s="25"/>
      <c r="BLU14" s="25"/>
      <c r="BLV14" s="25"/>
      <c r="BLX14" s="25"/>
      <c r="BLY14" s="25"/>
      <c r="BLZ14" s="25"/>
      <c r="BMA14" s="25"/>
      <c r="BPI14" s="25"/>
      <c r="BPJ14" s="25"/>
      <c r="BPK14" s="25"/>
      <c r="BPL14" s="25"/>
      <c r="BPM14" s="25"/>
      <c r="BPN14" s="25"/>
      <c r="BPO14" s="25"/>
      <c r="BPW14" s="25"/>
      <c r="BPX14" s="25"/>
      <c r="BPY14" s="25"/>
      <c r="BPZ14" s="25"/>
      <c r="BQA14" s="25"/>
      <c r="BQB14" s="25"/>
      <c r="BQC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TA14" s="25"/>
      <c r="BTB14" s="25"/>
      <c r="BTC14" s="25"/>
      <c r="BTD14" s="25"/>
      <c r="BTE14" s="25"/>
      <c r="BTF14" s="25"/>
      <c r="BTG14" s="25"/>
      <c r="BTH14" s="25"/>
      <c r="BTI14" s="25"/>
      <c r="BTJ14" s="25"/>
      <c r="BTK14" s="25"/>
      <c r="BTL14" s="25"/>
      <c r="BTM14" s="25"/>
      <c r="BTN14" s="25"/>
      <c r="BUQ14" s="25"/>
      <c r="BUR14" s="25"/>
      <c r="BUS14" s="25"/>
      <c r="BUT14" s="25"/>
      <c r="BUU14" s="25"/>
      <c r="BUV14" s="25"/>
      <c r="BUW14" s="25"/>
      <c r="BUX14" s="25"/>
      <c r="BUY14" s="25"/>
      <c r="BUZ14" s="25"/>
      <c r="BVA14" s="25"/>
      <c r="BVB14" s="25"/>
      <c r="BVC14" s="25"/>
      <c r="BVD14" s="25"/>
      <c r="BWC14" s="25" t="s">
        <v>28</v>
      </c>
      <c r="BWD14" s="25" t="s">
        <v>8265</v>
      </c>
      <c r="BWE14" s="25" t="s">
        <v>8357</v>
      </c>
      <c r="BWF14" s="25" t="s">
        <v>13709</v>
      </c>
      <c r="BWG14" s="25" t="s">
        <v>28</v>
      </c>
      <c r="BWH14" s="25" t="s">
        <v>2169</v>
      </c>
      <c r="BWI14" s="25" t="s">
        <v>28</v>
      </c>
      <c r="BWJ14" s="25" t="s">
        <v>8481</v>
      </c>
      <c r="BWK14" s="25" t="s">
        <v>25</v>
      </c>
      <c r="BWM14" s="25" t="s">
        <v>25</v>
      </c>
      <c r="BWO14" s="25" t="s">
        <v>25</v>
      </c>
      <c r="BWQ14" s="25" t="s">
        <v>25</v>
      </c>
      <c r="BWX14" s="25" t="s">
        <v>28</v>
      </c>
      <c r="BWY14" s="25" t="s">
        <v>8387</v>
      </c>
      <c r="BWZ14" s="25" t="s">
        <v>28</v>
      </c>
      <c r="BXA14" s="56">
        <v>30</v>
      </c>
      <c r="BXB14" s="25" t="s">
        <v>25</v>
      </c>
      <c r="BXD14" s="25" t="s">
        <v>28</v>
      </c>
      <c r="BXE14" s="25" t="s">
        <v>8388</v>
      </c>
      <c r="BXF14" s="25" t="s">
        <v>28</v>
      </c>
      <c r="BXG14" s="56">
        <v>30</v>
      </c>
      <c r="BXH14" s="25" t="s">
        <v>25</v>
      </c>
      <c r="BXJ14" s="25" t="s">
        <v>28</v>
      </c>
      <c r="BXK14" s="25" t="s">
        <v>8270</v>
      </c>
      <c r="BXL14" s="25" t="s">
        <v>13821</v>
      </c>
      <c r="BXM14" s="25" t="s">
        <v>2201</v>
      </c>
      <c r="BXN14" s="25" t="s">
        <v>8272</v>
      </c>
      <c r="BXO14" s="25" t="s">
        <v>8274</v>
      </c>
      <c r="BXP14" s="25" t="s">
        <v>8274</v>
      </c>
      <c r="BXQ14" s="25" t="s">
        <v>8274</v>
      </c>
      <c r="BXR14" s="25" t="s">
        <v>8274</v>
      </c>
      <c r="BXS14" s="25" t="s">
        <v>8274</v>
      </c>
      <c r="BXT14" s="25" t="s">
        <v>8452</v>
      </c>
      <c r="BXU14" s="25" t="s">
        <v>25</v>
      </c>
      <c r="BXW14" s="25" t="s">
        <v>25</v>
      </c>
      <c r="BXX14" s="25" t="s">
        <v>25</v>
      </c>
      <c r="BXY14" s="25" t="s">
        <v>25</v>
      </c>
      <c r="BXZ14" s="25" t="s">
        <v>28</v>
      </c>
      <c r="BYA14" s="25" t="s">
        <v>28</v>
      </c>
      <c r="BYB14" s="25" t="s">
        <v>28</v>
      </c>
      <c r="BYC14" s="25" t="s">
        <v>2169</v>
      </c>
      <c r="BYD14" s="25" t="s">
        <v>28</v>
      </c>
      <c r="BYE14" s="25" t="s">
        <v>13612</v>
      </c>
      <c r="BYF14" s="25" t="s">
        <v>8277</v>
      </c>
      <c r="BYH14" s="25" t="s">
        <v>8278</v>
      </c>
      <c r="BYK14" s="25" t="s">
        <v>28</v>
      </c>
      <c r="BYL14" s="25" t="s">
        <v>25</v>
      </c>
      <c r="BYN14" s="25" t="s">
        <v>25</v>
      </c>
      <c r="BYP14" s="25" t="s">
        <v>25</v>
      </c>
      <c r="BYR14" s="25" t="s">
        <v>28</v>
      </c>
      <c r="BYS14" s="25" t="s">
        <v>8279</v>
      </c>
      <c r="BYT14" s="25" t="s">
        <v>8279</v>
      </c>
      <c r="BYU14" s="25" t="s">
        <v>732</v>
      </c>
      <c r="BYV14" s="25" t="s">
        <v>25</v>
      </c>
      <c r="BYW14" s="25" t="s">
        <v>28</v>
      </c>
      <c r="BYX14" s="56">
        <v>500</v>
      </c>
      <c r="BYY14" s="56">
        <v>1000</v>
      </c>
      <c r="BYZ14" s="25" t="s">
        <v>8408</v>
      </c>
      <c r="BZA14" s="25" t="s">
        <v>8722</v>
      </c>
      <c r="BZB14" s="25" t="s">
        <v>256</v>
      </c>
      <c r="BZC14" s="25" t="s">
        <v>8282</v>
      </c>
      <c r="BZD14" s="25" t="s">
        <v>28</v>
      </c>
      <c r="BZE14" s="25" t="s">
        <v>25</v>
      </c>
      <c r="BZF14" s="25" t="s">
        <v>28</v>
      </c>
      <c r="BZG14" s="25" t="s">
        <v>25</v>
      </c>
      <c r="BZJ14" s="25" t="s">
        <v>25</v>
      </c>
      <c r="BZM14" s="25" t="s">
        <v>25</v>
      </c>
      <c r="BZR14" s="25" t="s">
        <v>607</v>
      </c>
      <c r="BZS14" s="25" t="s">
        <v>28</v>
      </c>
      <c r="BZT14" s="25" t="s">
        <v>8337</v>
      </c>
      <c r="BZV14" s="25" t="s">
        <v>8723</v>
      </c>
      <c r="BZW14" s="25" t="s">
        <v>8724</v>
      </c>
      <c r="BZX14" s="25" t="s">
        <v>8725</v>
      </c>
      <c r="BZZ14" s="25" t="s">
        <v>25</v>
      </c>
      <c r="CAC14" s="25" t="s">
        <v>28</v>
      </c>
      <c r="CAD14" s="25" t="s">
        <v>8288</v>
      </c>
      <c r="CAE14" s="25" t="s">
        <v>25</v>
      </c>
      <c r="CAG14" s="25" t="s">
        <v>25</v>
      </c>
      <c r="CAH14" s="25" t="s">
        <v>631</v>
      </c>
      <c r="CAI14" s="25" t="s">
        <v>8290</v>
      </c>
      <c r="CAJ14" s="25" t="s">
        <v>631</v>
      </c>
      <c r="CAK14" s="25" t="s">
        <v>631</v>
      </c>
      <c r="CAL14" s="25" t="s">
        <v>8470</v>
      </c>
      <c r="CAM14" s="25" t="s">
        <v>8290</v>
      </c>
      <c r="CAN14" s="25" t="s">
        <v>8290</v>
      </c>
      <c r="CAO14" s="25" t="s">
        <v>8290</v>
      </c>
      <c r="CAP14" s="25" t="s">
        <v>631</v>
      </c>
      <c r="CAQ14" s="25" t="s">
        <v>631</v>
      </c>
      <c r="CAR14" s="25" t="s">
        <v>8518</v>
      </c>
      <c r="CAS14" s="25" t="s">
        <v>8726</v>
      </c>
      <c r="CAT14" s="25" t="s">
        <v>25</v>
      </c>
      <c r="CBB14" s="25">
        <v>1</v>
      </c>
      <c r="CBC14" s="25">
        <v>0</v>
      </c>
      <c r="CBD14" s="25">
        <v>0</v>
      </c>
      <c r="CBE14" s="56">
        <v>50</v>
      </c>
      <c r="CBF14" s="56">
        <v>150</v>
      </c>
      <c r="CBG14" s="56">
        <v>50</v>
      </c>
      <c r="CBH14" s="56">
        <v>150</v>
      </c>
      <c r="CBI14" s="56">
        <v>2000</v>
      </c>
      <c r="CBJ14" s="56">
        <v>2000</v>
      </c>
      <c r="CBK14" s="56">
        <v>2000</v>
      </c>
      <c r="CBL14" s="56">
        <v>2000</v>
      </c>
      <c r="CBM14" s="26">
        <v>0</v>
      </c>
      <c r="CBN14" s="26">
        <v>0</v>
      </c>
      <c r="CBO14" s="26">
        <v>0.2</v>
      </c>
      <c r="CBP14" s="26">
        <v>0.2</v>
      </c>
      <c r="CBQ14" s="26">
        <v>0.5</v>
      </c>
      <c r="CBR14" s="26">
        <v>0.5</v>
      </c>
      <c r="CBS14" s="26">
        <v>0.5</v>
      </c>
      <c r="CBT14" s="26">
        <v>0.5</v>
      </c>
      <c r="CBU14" s="27" t="s">
        <v>25</v>
      </c>
      <c r="CBV14" s="27" t="s">
        <v>8369</v>
      </c>
      <c r="CBW14" s="27" t="s">
        <v>8370</v>
      </c>
      <c r="CBX14" s="27" t="s">
        <v>8343</v>
      </c>
      <c r="CBY14" s="27" t="s">
        <v>8296</v>
      </c>
      <c r="CBZ14" s="27" t="s">
        <v>8296</v>
      </c>
      <c r="CCA14" s="27" t="s">
        <v>29</v>
      </c>
      <c r="CCB14" s="27" t="s">
        <v>8298</v>
      </c>
      <c r="CCC14" s="27" t="s">
        <v>8296</v>
      </c>
      <c r="CCD14" s="27" t="s">
        <v>29</v>
      </c>
      <c r="CCE14" s="27" t="s">
        <v>29</v>
      </c>
      <c r="CCF14" s="27" t="s">
        <v>29</v>
      </c>
      <c r="CCG14" s="27" t="s">
        <v>29</v>
      </c>
      <c r="CCH14" s="27" t="s">
        <v>8296</v>
      </c>
      <c r="CCI14" s="27" t="s">
        <v>8298</v>
      </c>
      <c r="CCJ14" s="27" t="s">
        <v>8298</v>
      </c>
      <c r="CCK14" s="27" t="s">
        <v>8299</v>
      </c>
      <c r="CCL14" s="27" t="s">
        <v>29</v>
      </c>
      <c r="CCN14" s="27" t="s">
        <v>29</v>
      </c>
      <c r="CCO14" s="27" t="s">
        <v>8300</v>
      </c>
      <c r="CCP14" s="27" t="s">
        <v>29</v>
      </c>
      <c r="CCQ14" s="27" t="s">
        <v>29</v>
      </c>
      <c r="CCR14" s="27" t="s">
        <v>8296</v>
      </c>
      <c r="CCS14" s="27" t="s">
        <v>8300</v>
      </c>
      <c r="CCT14" s="27" t="s">
        <v>8296</v>
      </c>
      <c r="CCU14" s="27" t="s">
        <v>8296</v>
      </c>
      <c r="CCV14" s="27" t="s">
        <v>8298</v>
      </c>
      <c r="CCW14" s="27" t="s">
        <v>8298</v>
      </c>
      <c r="CCX14" s="27" t="s">
        <v>8298</v>
      </c>
      <c r="CCY14" s="27" t="s">
        <v>8298</v>
      </c>
      <c r="CCZ14" s="27" t="s">
        <v>28</v>
      </c>
      <c r="CDA14" s="27" t="s">
        <v>28</v>
      </c>
      <c r="CDB14" s="27" t="s">
        <v>28</v>
      </c>
      <c r="CDC14" s="27" t="s">
        <v>25</v>
      </c>
      <c r="CDD14" s="27" t="s">
        <v>28</v>
      </c>
      <c r="CDE14" s="27" t="s">
        <v>28</v>
      </c>
      <c r="CDF14" s="27" t="s">
        <v>28</v>
      </c>
      <c r="CDG14" s="27" t="s">
        <v>28</v>
      </c>
      <c r="CDH14" s="27" t="s">
        <v>28</v>
      </c>
      <c r="CDI14" s="27" t="s">
        <v>28</v>
      </c>
      <c r="CDJ14" s="27" t="s">
        <v>25</v>
      </c>
      <c r="CDK14" s="27" t="s">
        <v>28</v>
      </c>
      <c r="CDL14" s="27" t="s">
        <v>25</v>
      </c>
      <c r="CDM14" s="27" t="s">
        <v>28</v>
      </c>
      <c r="CDO14" s="27" t="s">
        <v>28</v>
      </c>
      <c r="CDP14" s="27" t="s">
        <v>25</v>
      </c>
      <c r="CDQ14" s="27" t="s">
        <v>28</v>
      </c>
      <c r="CDR14" s="27" t="s">
        <v>28</v>
      </c>
      <c r="CDS14" s="27" t="s">
        <v>28</v>
      </c>
      <c r="CDT14" s="27" t="s">
        <v>25</v>
      </c>
      <c r="CDU14" s="27" t="s">
        <v>28</v>
      </c>
      <c r="CDV14" s="27" t="s">
        <v>28</v>
      </c>
      <c r="CDW14" s="27" t="s">
        <v>28</v>
      </c>
      <c r="CDX14" s="27" t="s">
        <v>28</v>
      </c>
      <c r="CDY14" s="27" t="s">
        <v>28</v>
      </c>
      <c r="CDZ14" s="27" t="s">
        <v>28</v>
      </c>
      <c r="CEA14" s="27" t="s">
        <v>8305</v>
      </c>
      <c r="CEB14" s="27" t="s">
        <v>29</v>
      </c>
      <c r="CEC14" s="27" t="s">
        <v>2673</v>
      </c>
      <c r="CED14" s="27" t="s">
        <v>8302</v>
      </c>
      <c r="CEE14" s="27" t="s">
        <v>8305</v>
      </c>
      <c r="CEF14" s="27" t="s">
        <v>8301</v>
      </c>
      <c r="CEG14" s="27" t="s">
        <v>8305</v>
      </c>
      <c r="CEH14" s="27" t="s">
        <v>8303</v>
      </c>
      <c r="CEI14" s="27" t="s">
        <v>8301</v>
      </c>
      <c r="CEJ14" s="27" t="s">
        <v>8302</v>
      </c>
      <c r="CEK14" s="27" t="s">
        <v>8302</v>
      </c>
      <c r="CEL14" s="27" t="s">
        <v>8302</v>
      </c>
      <c r="CEM14" s="27" t="s">
        <v>8301</v>
      </c>
      <c r="CEN14" s="27" t="s">
        <v>8301</v>
      </c>
      <c r="CEP14" s="27" t="s">
        <v>8304</v>
      </c>
      <c r="CEQ14" s="27" t="s">
        <v>29</v>
      </c>
      <c r="CER14" s="27" t="s">
        <v>8305</v>
      </c>
      <c r="CES14" s="27" t="s">
        <v>8305</v>
      </c>
      <c r="CET14" s="27" t="s">
        <v>8304</v>
      </c>
      <c r="CEU14" s="27" t="s">
        <v>8301</v>
      </c>
      <c r="CEV14" s="27" t="s">
        <v>8304</v>
      </c>
      <c r="CEW14" s="27" t="s">
        <v>8306</v>
      </c>
      <c r="CEX14" s="27" t="s">
        <v>8302</v>
      </c>
      <c r="CEY14" s="27" t="s">
        <v>8302</v>
      </c>
      <c r="CEZ14" s="27" t="s">
        <v>8301</v>
      </c>
      <c r="CFA14" s="27" t="s">
        <v>29</v>
      </c>
      <c r="CFB14" s="27" t="s">
        <v>25</v>
      </c>
      <c r="CFC14" s="27" t="s">
        <v>25</v>
      </c>
      <c r="CFD14" s="27" t="s">
        <v>25</v>
      </c>
      <c r="CFE14" s="27" t="s">
        <v>25</v>
      </c>
      <c r="CFF14" s="27" t="s">
        <v>25</v>
      </c>
      <c r="CFG14" s="27" t="s">
        <v>25</v>
      </c>
      <c r="CFH14" s="27" t="s">
        <v>25</v>
      </c>
      <c r="CFI14" s="27" t="s">
        <v>25</v>
      </c>
      <c r="CFJ14" s="27" t="s">
        <v>25</v>
      </c>
      <c r="CFK14" s="27" t="s">
        <v>25</v>
      </c>
      <c r="CFL14" s="27" t="s">
        <v>25</v>
      </c>
      <c r="CFM14" s="27" t="s">
        <v>25</v>
      </c>
      <c r="CFN14" s="27" t="s">
        <v>25</v>
      </c>
      <c r="CFO14" s="27" t="s">
        <v>28</v>
      </c>
      <c r="CFQ14" s="27" t="s">
        <v>25</v>
      </c>
      <c r="CFR14" s="27" t="s">
        <v>25</v>
      </c>
      <c r="CFS14" s="27" t="s">
        <v>28</v>
      </c>
      <c r="CFT14" s="27" t="s">
        <v>25</v>
      </c>
      <c r="CFU14" s="27" t="s">
        <v>28</v>
      </c>
      <c r="CFV14" s="27" t="s">
        <v>28</v>
      </c>
      <c r="CFW14" s="27" t="s">
        <v>25</v>
      </c>
      <c r="CFX14" s="27" t="s">
        <v>28</v>
      </c>
      <c r="CFY14" s="27" t="s">
        <v>25</v>
      </c>
      <c r="CFZ14" s="27" t="s">
        <v>25</v>
      </c>
      <c r="CGA14" s="27" t="s">
        <v>25</v>
      </c>
      <c r="CGB14" s="27" t="s">
        <v>25</v>
      </c>
      <c r="CPW14" s="27">
        <v>1</v>
      </c>
      <c r="CPX14" s="56">
        <v>10</v>
      </c>
      <c r="CPY14" s="26">
        <v>0</v>
      </c>
      <c r="CQB14" s="25" t="s">
        <v>635</v>
      </c>
      <c r="CQC14" s="25" t="s">
        <v>8307</v>
      </c>
      <c r="CQD14" s="25" t="s">
        <v>8307</v>
      </c>
      <c r="CQE14" s="25" t="s">
        <v>8307</v>
      </c>
      <c r="CQF14" s="25" t="s">
        <v>8307</v>
      </c>
      <c r="CQH14" s="56">
        <v>200</v>
      </c>
      <c r="CQI14" s="56">
        <v>200</v>
      </c>
      <c r="CQJ14" s="56">
        <v>200</v>
      </c>
      <c r="CQK14" s="56">
        <v>200</v>
      </c>
      <c r="CQL14" s="25" t="s">
        <v>13681</v>
      </c>
      <c r="CQM14" s="25" t="s">
        <v>8397</v>
      </c>
      <c r="CQN14" s="25" t="s">
        <v>25</v>
      </c>
      <c r="CQO14" s="25" t="s">
        <v>8574</v>
      </c>
      <c r="CQP14" s="56">
        <v>500</v>
      </c>
      <c r="CQQ14" s="25" t="s">
        <v>8727</v>
      </c>
      <c r="CQR14" s="25" t="s">
        <v>8728</v>
      </c>
      <c r="CQS14" s="25" t="s">
        <v>28</v>
      </c>
      <c r="CQT14" s="25" t="s">
        <v>8312</v>
      </c>
      <c r="CQU14" s="25" t="s">
        <v>8312</v>
      </c>
      <c r="CQV14" s="25" t="s">
        <v>8313</v>
      </c>
      <c r="CQW14" s="25" t="s">
        <v>8312</v>
      </c>
      <c r="CQX14" s="25" t="s">
        <v>8313</v>
      </c>
      <c r="CQY14" s="25" t="s">
        <v>8312</v>
      </c>
      <c r="CQZ14" s="25" t="s">
        <v>8312</v>
      </c>
      <c r="CRA14" s="25" t="s">
        <v>8314</v>
      </c>
      <c r="CRB14" s="25" t="s">
        <v>8314</v>
      </c>
      <c r="CRC14" s="25" t="s">
        <v>8312</v>
      </c>
      <c r="CRD14" s="25" t="s">
        <v>8312</v>
      </c>
      <c r="CRE14" s="27" t="s">
        <v>8312</v>
      </c>
    </row>
    <row r="15" spans="1:2501" ht="102" x14ac:dyDescent="0.2">
      <c r="A15" s="21" t="s">
        <v>138</v>
      </c>
      <c r="B15" s="26">
        <v>7.0000000000000007E-2</v>
      </c>
      <c r="C15" s="26">
        <v>0</v>
      </c>
      <c r="D15" s="26">
        <v>0.1</v>
      </c>
      <c r="E15" s="26">
        <v>0.8</v>
      </c>
      <c r="F15" s="26">
        <v>0</v>
      </c>
      <c r="G15" s="26">
        <v>0</v>
      </c>
      <c r="H15" s="26">
        <v>0</v>
      </c>
      <c r="I15" s="26">
        <v>0</v>
      </c>
      <c r="J15" s="26">
        <v>0</v>
      </c>
      <c r="K15" s="26">
        <v>0</v>
      </c>
      <c r="L15" s="26">
        <v>0</v>
      </c>
      <c r="M15" s="26">
        <v>0.03</v>
      </c>
      <c r="N15" s="26">
        <v>7.0000000000000007E-2</v>
      </c>
      <c r="O15" s="26">
        <v>0</v>
      </c>
      <c r="P15" s="26">
        <v>0.1</v>
      </c>
      <c r="Q15" s="26">
        <v>0.8</v>
      </c>
      <c r="R15" s="26">
        <v>0</v>
      </c>
      <c r="S15" s="26">
        <v>0</v>
      </c>
      <c r="T15" s="26">
        <v>0</v>
      </c>
      <c r="U15" s="26">
        <v>0</v>
      </c>
      <c r="V15" s="26">
        <v>0</v>
      </c>
      <c r="W15" s="26">
        <v>0</v>
      </c>
      <c r="X15" s="26">
        <v>0</v>
      </c>
      <c r="Y15" s="26">
        <v>0.03</v>
      </c>
      <c r="Z15" s="25">
        <v>3</v>
      </c>
      <c r="AA15" s="25" t="s">
        <v>8635</v>
      </c>
      <c r="AB15" s="25" t="s">
        <v>8636</v>
      </c>
      <c r="AC15" s="56">
        <v>1500</v>
      </c>
      <c r="AD15" s="56">
        <v>3000</v>
      </c>
      <c r="AE15" s="56">
        <v>1500</v>
      </c>
      <c r="AF15" s="56">
        <v>3000</v>
      </c>
      <c r="AG15" s="56">
        <v>1500</v>
      </c>
      <c r="AH15" s="56">
        <v>3000</v>
      </c>
      <c r="AI15" s="25" t="s">
        <v>8246</v>
      </c>
      <c r="AJ15" s="56">
        <v>250</v>
      </c>
      <c r="AK15" s="56">
        <v>500</v>
      </c>
      <c r="AL15" s="56">
        <v>250</v>
      </c>
      <c r="AM15" s="56">
        <v>500</v>
      </c>
      <c r="AN15" s="25" t="s">
        <v>8350</v>
      </c>
      <c r="AO15" s="25" t="s">
        <v>8248</v>
      </c>
      <c r="BB15" s="25" t="s">
        <v>8249</v>
      </c>
      <c r="DO15" s="25" t="s">
        <v>25</v>
      </c>
      <c r="DP15" s="25" t="s">
        <v>25</v>
      </c>
      <c r="DR15" s="25" t="s">
        <v>25</v>
      </c>
      <c r="DT15" s="25" t="s">
        <v>13423</v>
      </c>
      <c r="DU15" s="25" t="s">
        <v>13423</v>
      </c>
      <c r="DV15" s="56">
        <v>10</v>
      </c>
      <c r="EA15" s="56">
        <v>0</v>
      </c>
      <c r="ED15" s="26">
        <v>0.05</v>
      </c>
      <c r="EE15" s="26">
        <v>0.05</v>
      </c>
      <c r="EF15" s="26">
        <v>0.05</v>
      </c>
      <c r="EG15" s="26">
        <v>0.05</v>
      </c>
      <c r="EH15" s="26">
        <v>0</v>
      </c>
      <c r="EI15" s="26">
        <v>0.05</v>
      </c>
      <c r="EO15" s="56">
        <v>0</v>
      </c>
      <c r="EQ15" s="26">
        <v>0.4</v>
      </c>
      <c r="ER15" s="26">
        <v>0.4</v>
      </c>
      <c r="ES15" s="26">
        <v>0.05</v>
      </c>
      <c r="ET15" s="26">
        <v>0.05</v>
      </c>
      <c r="EU15" s="26">
        <v>0.4</v>
      </c>
      <c r="EV15" s="26">
        <v>0</v>
      </c>
      <c r="EW15" s="26">
        <v>0.4</v>
      </c>
      <c r="EX15" s="25" t="s">
        <v>8250</v>
      </c>
      <c r="EY15" s="25" t="s">
        <v>8250</v>
      </c>
      <c r="EZ15" s="25" t="s">
        <v>8250</v>
      </c>
      <c r="FA15" s="25" t="s">
        <v>8250</v>
      </c>
      <c r="FB15" s="25" t="s">
        <v>8250</v>
      </c>
      <c r="FC15" s="25" t="s">
        <v>8261</v>
      </c>
      <c r="FD15" s="25" t="s">
        <v>8250</v>
      </c>
      <c r="FE15" s="25" t="s">
        <v>25</v>
      </c>
      <c r="FF15" s="25" t="s">
        <v>25</v>
      </c>
      <c r="FG15" s="25" t="s">
        <v>25</v>
      </c>
      <c r="FH15" s="25" t="s">
        <v>25</v>
      </c>
      <c r="FI15" s="25" t="s">
        <v>25</v>
      </c>
      <c r="FJ15" s="25" t="s">
        <v>25</v>
      </c>
      <c r="FK15" s="25" t="s">
        <v>25</v>
      </c>
      <c r="FL15" s="25" t="s">
        <v>13810</v>
      </c>
      <c r="FM15" s="25" t="s">
        <v>13810</v>
      </c>
      <c r="FN15" s="25" t="s">
        <v>13810</v>
      </c>
      <c r="FO15" s="25" t="s">
        <v>13810</v>
      </c>
      <c r="FP15" s="25" t="s">
        <v>631</v>
      </c>
      <c r="FQ15" s="25" t="s">
        <v>631</v>
      </c>
      <c r="FR15" s="25" t="s">
        <v>13810</v>
      </c>
      <c r="FS15" s="25" t="s">
        <v>8252</v>
      </c>
      <c r="FT15" s="25" t="s">
        <v>631</v>
      </c>
      <c r="FV15" s="25" t="s">
        <v>8253</v>
      </c>
      <c r="FW15" s="25" t="s">
        <v>8253</v>
      </c>
      <c r="FX15" s="25" t="s">
        <v>8637</v>
      </c>
      <c r="FY15" s="25" t="s">
        <v>8320</v>
      </c>
      <c r="GB15" s="25" t="s">
        <v>8320</v>
      </c>
      <c r="GC15" s="25" t="s">
        <v>8253</v>
      </c>
      <c r="GE15" s="56">
        <v>10</v>
      </c>
      <c r="GG15" s="56">
        <v>20</v>
      </c>
      <c r="GI15" s="56">
        <v>20</v>
      </c>
      <c r="GK15" s="56">
        <v>50</v>
      </c>
      <c r="GM15" s="56">
        <v>35</v>
      </c>
      <c r="GO15" s="56">
        <v>105</v>
      </c>
      <c r="IB15" s="26">
        <v>0.4</v>
      </c>
      <c r="IC15" s="26">
        <v>0.4</v>
      </c>
      <c r="ID15" s="26">
        <v>0.4</v>
      </c>
      <c r="KM15" s="25" t="s">
        <v>8255</v>
      </c>
      <c r="KN15" s="25" t="s">
        <v>8298</v>
      </c>
      <c r="KO15" s="25" t="s">
        <v>8321</v>
      </c>
      <c r="KP15" s="25">
        <v>5</v>
      </c>
      <c r="KQ15" s="25" t="s">
        <v>8638</v>
      </c>
      <c r="KR15" s="25" t="s">
        <v>8639</v>
      </c>
      <c r="KS15" s="56">
        <v>2355</v>
      </c>
      <c r="KT15" s="56">
        <v>5830</v>
      </c>
      <c r="KU15" s="56">
        <v>2355</v>
      </c>
      <c r="KV15" s="56">
        <v>5830</v>
      </c>
      <c r="KW15" s="56">
        <v>2355</v>
      </c>
      <c r="KX15" s="56">
        <v>5830</v>
      </c>
      <c r="KY15" s="25" t="s">
        <v>8246</v>
      </c>
      <c r="KZ15" s="56">
        <v>1570</v>
      </c>
      <c r="LA15" s="56">
        <v>3940</v>
      </c>
      <c r="LB15" s="56">
        <v>1570</v>
      </c>
      <c r="LC15" s="56">
        <v>3940</v>
      </c>
      <c r="LD15" s="25" t="s">
        <v>8350</v>
      </c>
      <c r="LE15" s="25" t="s">
        <v>8248</v>
      </c>
      <c r="LR15" s="25" t="s">
        <v>8249</v>
      </c>
      <c r="OE15" s="25" t="s">
        <v>25</v>
      </c>
      <c r="OF15" s="25" t="s">
        <v>25</v>
      </c>
      <c r="OH15" s="25" t="s">
        <v>25</v>
      </c>
      <c r="OJ15" s="25" t="s">
        <v>13432</v>
      </c>
      <c r="OK15" s="25" t="s">
        <v>13421</v>
      </c>
      <c r="OS15" s="26">
        <v>0.1</v>
      </c>
      <c r="OT15" s="26">
        <v>0.1</v>
      </c>
      <c r="OU15" s="26">
        <v>0.1</v>
      </c>
      <c r="OV15" s="26">
        <v>0.1</v>
      </c>
      <c r="OW15" s="26">
        <v>0.1</v>
      </c>
      <c r="OX15" s="26">
        <v>0</v>
      </c>
      <c r="OY15" s="26">
        <v>0.1</v>
      </c>
      <c r="PG15" s="26">
        <v>0.4</v>
      </c>
      <c r="PH15" s="26">
        <v>0.4</v>
      </c>
      <c r="PI15" s="26">
        <v>0.4</v>
      </c>
      <c r="PJ15" s="26">
        <v>0.1</v>
      </c>
      <c r="PK15" s="26">
        <v>0.4</v>
      </c>
      <c r="PL15" s="26">
        <v>0</v>
      </c>
      <c r="PM15" s="26">
        <v>0.4</v>
      </c>
      <c r="PN15" s="25" t="s">
        <v>8250</v>
      </c>
      <c r="PO15" s="25" t="s">
        <v>8250</v>
      </c>
      <c r="PP15" s="25" t="s">
        <v>8250</v>
      </c>
      <c r="PQ15" s="25" t="s">
        <v>8250</v>
      </c>
      <c r="PR15" s="25" t="s">
        <v>8250</v>
      </c>
      <c r="PS15" s="25" t="s">
        <v>8261</v>
      </c>
      <c r="PT15" s="25" t="s">
        <v>8250</v>
      </c>
      <c r="PU15" s="25" t="s">
        <v>25</v>
      </c>
      <c r="PV15" s="25" t="s">
        <v>25</v>
      </c>
      <c r="PW15" s="25" t="s">
        <v>25</v>
      </c>
      <c r="PX15" s="25" t="s">
        <v>25</v>
      </c>
      <c r="PY15" s="25" t="s">
        <v>25</v>
      </c>
      <c r="PZ15" s="25" t="s">
        <v>25</v>
      </c>
      <c r="QB15" s="25" t="s">
        <v>13810</v>
      </c>
      <c r="QC15" s="25" t="s">
        <v>13810</v>
      </c>
      <c r="QD15" s="25" t="s">
        <v>13810</v>
      </c>
      <c r="QE15" s="25" t="s">
        <v>8424</v>
      </c>
      <c r="QF15" s="25" t="s">
        <v>631</v>
      </c>
      <c r="QG15" s="25" t="s">
        <v>631</v>
      </c>
      <c r="QH15" s="25" t="s">
        <v>13810</v>
      </c>
      <c r="QI15" s="25" t="s">
        <v>8252</v>
      </c>
      <c r="QJ15" s="25" t="s">
        <v>631</v>
      </c>
      <c r="QL15" s="25" t="s">
        <v>8253</v>
      </c>
      <c r="QM15" s="25" t="s">
        <v>8319</v>
      </c>
      <c r="QN15" s="25" t="s">
        <v>8637</v>
      </c>
      <c r="QO15" s="25" t="s">
        <v>13449</v>
      </c>
      <c r="QR15" s="25" t="s">
        <v>13436</v>
      </c>
      <c r="QS15" s="25" t="s">
        <v>8253</v>
      </c>
      <c r="RW15" s="26">
        <v>0.1</v>
      </c>
      <c r="SR15" s="26">
        <v>0.4</v>
      </c>
      <c r="TM15" s="26">
        <v>0.1</v>
      </c>
      <c r="VC15" s="25" t="s">
        <v>8352</v>
      </c>
      <c r="VD15" s="25" t="s">
        <v>8256</v>
      </c>
      <c r="VE15" s="25" t="s">
        <v>8321</v>
      </c>
      <c r="VF15" s="25">
        <v>0</v>
      </c>
      <c r="VI15" s="25"/>
      <c r="VJ15" s="25"/>
      <c r="VK15" s="25"/>
      <c r="VL15" s="25"/>
      <c r="VM15" s="25"/>
      <c r="VN15" s="25"/>
      <c r="VP15" s="25"/>
      <c r="VQ15" s="25"/>
      <c r="VR15" s="25"/>
      <c r="VS15" s="25"/>
      <c r="ZA15" s="25"/>
      <c r="ZB15" s="25"/>
      <c r="ZC15" s="25"/>
      <c r="ZD15" s="25"/>
      <c r="ZE15" s="25"/>
      <c r="ZF15" s="25"/>
      <c r="ZG15" s="25"/>
      <c r="ZO15" s="25"/>
      <c r="ZP15" s="25"/>
      <c r="ZQ15" s="25"/>
      <c r="ZR15" s="25"/>
      <c r="ZS15" s="25"/>
      <c r="ZT15" s="25"/>
      <c r="ZU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S15" s="25"/>
      <c r="ACT15" s="25"/>
      <c r="ACU15" s="25"/>
      <c r="ACV15" s="25"/>
      <c r="ACW15" s="25"/>
      <c r="ACX15" s="25"/>
      <c r="ACY15" s="25"/>
      <c r="ACZ15" s="25"/>
      <c r="ADA15" s="25"/>
      <c r="ADB15" s="25"/>
      <c r="ADC15" s="25"/>
      <c r="ADD15" s="25"/>
      <c r="ADE15" s="25"/>
      <c r="ADF15" s="25"/>
      <c r="ADN15" s="25"/>
      <c r="ADO15" s="25"/>
      <c r="ADP15" s="25"/>
      <c r="ADQ15" s="25"/>
      <c r="ADR15" s="25"/>
      <c r="ADS15" s="25"/>
      <c r="ADT15" s="25"/>
      <c r="ADU15" s="25"/>
      <c r="ADV15" s="25"/>
      <c r="ADW15" s="25"/>
      <c r="ADX15" s="25"/>
      <c r="ADY15" s="25"/>
      <c r="ADZ15" s="25"/>
      <c r="AEA15" s="25"/>
      <c r="AEI15" s="25"/>
      <c r="AEJ15" s="25"/>
      <c r="AEK15" s="25"/>
      <c r="AEL15" s="25"/>
      <c r="AEM15" s="25"/>
      <c r="AEN15" s="25"/>
      <c r="AEO15" s="25"/>
      <c r="AEP15" s="25"/>
      <c r="AEQ15" s="25"/>
      <c r="AER15" s="25"/>
      <c r="AES15" s="25"/>
      <c r="AET15" s="25"/>
      <c r="AEU15" s="25"/>
      <c r="AEV15" s="25"/>
      <c r="AFD15" s="25"/>
      <c r="AFE15" s="25"/>
      <c r="AFF15" s="25"/>
      <c r="AFG15" s="25"/>
      <c r="AFH15" s="25"/>
      <c r="AFI15" s="25"/>
      <c r="AFJ15" s="25"/>
      <c r="AFK15" s="25"/>
      <c r="AFL15" s="25"/>
      <c r="AFM15" s="25"/>
      <c r="AFN15" s="25"/>
      <c r="AFO15" s="25"/>
      <c r="AFP15" s="25"/>
      <c r="AFQ15" s="25"/>
      <c r="AFU15" s="25">
        <v>0</v>
      </c>
      <c r="AFX15" s="25"/>
      <c r="AFY15" s="25"/>
      <c r="AFZ15" s="25"/>
      <c r="AGA15" s="25"/>
      <c r="AGB15" s="25"/>
      <c r="AGC15" s="25"/>
      <c r="AGE15" s="25"/>
      <c r="AGF15" s="25"/>
      <c r="AGG15" s="25"/>
      <c r="AGH15" s="25"/>
      <c r="AJP15" s="25"/>
      <c r="AJQ15" s="25"/>
      <c r="AJR15" s="25"/>
      <c r="AJS15" s="25"/>
      <c r="AJT15" s="25"/>
      <c r="AJU15" s="25"/>
      <c r="AJV15" s="25"/>
      <c r="AKD15" s="25"/>
      <c r="AKE15" s="25"/>
      <c r="AKF15" s="25"/>
      <c r="AKG15" s="25"/>
      <c r="AKH15" s="25"/>
      <c r="AKI15" s="25"/>
      <c r="AKJ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H15" s="25"/>
      <c r="ANI15" s="25"/>
      <c r="ANJ15" s="25"/>
      <c r="ANK15" s="25"/>
      <c r="ANL15" s="25"/>
      <c r="ANM15" s="25"/>
      <c r="ANN15" s="25"/>
      <c r="ANO15" s="25"/>
      <c r="ANP15" s="25"/>
      <c r="ANQ15" s="25"/>
      <c r="ANR15" s="25"/>
      <c r="ANS15" s="25"/>
      <c r="ANT15" s="25"/>
      <c r="ANU15" s="25"/>
      <c r="AOC15" s="25"/>
      <c r="AOD15" s="25"/>
      <c r="AOE15" s="25"/>
      <c r="AOF15" s="25"/>
      <c r="AOG15" s="25"/>
      <c r="AOH15" s="25"/>
      <c r="AOI15" s="25"/>
      <c r="AOJ15" s="25"/>
      <c r="AOK15" s="25"/>
      <c r="AOL15" s="25"/>
      <c r="AOM15" s="25"/>
      <c r="AON15" s="25"/>
      <c r="AOO15" s="25"/>
      <c r="AOP15" s="25"/>
      <c r="AOX15" s="25"/>
      <c r="AOY15" s="25"/>
      <c r="AOZ15" s="25"/>
      <c r="APA15" s="25"/>
      <c r="APB15" s="25"/>
      <c r="APC15" s="25"/>
      <c r="APD15" s="25"/>
      <c r="APE15" s="25"/>
      <c r="APF15" s="25"/>
      <c r="APG15" s="25"/>
      <c r="APH15" s="25"/>
      <c r="API15" s="25"/>
      <c r="APJ15" s="25"/>
      <c r="APK15" s="25"/>
      <c r="APS15" s="25"/>
      <c r="APT15" s="25"/>
      <c r="APU15" s="25"/>
      <c r="APV15" s="25"/>
      <c r="APW15" s="25"/>
      <c r="APX15" s="25"/>
      <c r="APY15" s="25"/>
      <c r="APZ15" s="25"/>
      <c r="AQA15" s="25"/>
      <c r="AQB15" s="25"/>
      <c r="AQC15" s="25"/>
      <c r="AQD15" s="25"/>
      <c r="AQE15" s="25"/>
      <c r="AQF15" s="25"/>
      <c r="AQJ15" s="25">
        <v>3</v>
      </c>
      <c r="AQK15" s="25" t="s">
        <v>3971</v>
      </c>
      <c r="AQL15" s="25" t="s">
        <v>8640</v>
      </c>
      <c r="AQM15" s="56">
        <v>1500</v>
      </c>
      <c r="AQN15" s="56">
        <v>3000</v>
      </c>
      <c r="AQO15" s="56">
        <v>1500</v>
      </c>
      <c r="AQP15" s="56">
        <v>3000</v>
      </c>
      <c r="AQQ15" s="56">
        <v>1500</v>
      </c>
      <c r="AQR15" s="56">
        <v>3000</v>
      </c>
      <c r="AQS15" s="25" t="s">
        <v>8246</v>
      </c>
      <c r="AQT15" s="56">
        <v>0</v>
      </c>
      <c r="AQU15" s="56">
        <v>0</v>
      </c>
      <c r="AQV15" s="56">
        <v>0</v>
      </c>
      <c r="AQW15" s="56">
        <v>0</v>
      </c>
      <c r="AQX15" s="25" t="s">
        <v>8248</v>
      </c>
      <c r="ARK15" s="25" t="s">
        <v>8249</v>
      </c>
      <c r="ATX15" s="25" t="s">
        <v>25</v>
      </c>
      <c r="ATY15" s="25" t="s">
        <v>25</v>
      </c>
      <c r="AUA15" s="25" t="s">
        <v>25</v>
      </c>
      <c r="AUC15" s="25" t="s">
        <v>13417</v>
      </c>
      <c r="AUD15" s="25" t="s">
        <v>8404</v>
      </c>
      <c r="AUE15" s="56">
        <v>15</v>
      </c>
      <c r="AUF15" s="56">
        <v>35</v>
      </c>
      <c r="AUG15" s="56">
        <v>15</v>
      </c>
      <c r="AUH15" s="56">
        <v>100</v>
      </c>
      <c r="AUI15" s="56">
        <v>50</v>
      </c>
      <c r="AUV15" s="56">
        <v>100</v>
      </c>
      <c r="AVG15" s="25" t="s">
        <v>8250</v>
      </c>
      <c r="AVH15" s="25" t="s">
        <v>8250</v>
      </c>
      <c r="AVI15" s="25" t="s">
        <v>8250</v>
      </c>
      <c r="AVJ15" s="25" t="s">
        <v>8250</v>
      </c>
      <c r="AVK15" s="25" t="s">
        <v>8250</v>
      </c>
      <c r="AVL15" s="25" t="s">
        <v>8261</v>
      </c>
      <c r="AVM15" s="25" t="s">
        <v>8250</v>
      </c>
      <c r="AVN15" s="25" t="s">
        <v>25</v>
      </c>
      <c r="AVO15" s="25" t="s">
        <v>25</v>
      </c>
      <c r="AVP15" s="25" t="s">
        <v>25</v>
      </c>
      <c r="AVQ15" s="25" t="s">
        <v>25</v>
      </c>
      <c r="AVR15" s="25" t="s">
        <v>25</v>
      </c>
      <c r="AVS15" s="25" t="s">
        <v>25</v>
      </c>
      <c r="AVU15" s="25" t="s">
        <v>13810</v>
      </c>
      <c r="AVV15" s="25" t="s">
        <v>13810</v>
      </c>
      <c r="AVW15" s="25" t="s">
        <v>13810</v>
      </c>
      <c r="AVX15" s="25" t="s">
        <v>13810</v>
      </c>
      <c r="AVY15" s="25" t="s">
        <v>13810</v>
      </c>
      <c r="AVZ15" s="25" t="s">
        <v>631</v>
      </c>
      <c r="AWA15" s="25" t="s">
        <v>13810</v>
      </c>
      <c r="AWB15" s="25" t="s">
        <v>13810</v>
      </c>
      <c r="AWC15" s="25" t="s">
        <v>631</v>
      </c>
      <c r="AWE15" s="25" t="s">
        <v>8253</v>
      </c>
      <c r="AWF15" s="25" t="s">
        <v>8253</v>
      </c>
      <c r="AWG15" s="25" t="s">
        <v>8637</v>
      </c>
      <c r="AWH15" s="25" t="s">
        <v>8320</v>
      </c>
      <c r="AWI15" s="25" t="s">
        <v>8253</v>
      </c>
      <c r="AWK15" s="25" t="s">
        <v>13436</v>
      </c>
      <c r="AWL15" s="25" t="s">
        <v>8253</v>
      </c>
      <c r="AWN15" s="56">
        <v>10</v>
      </c>
      <c r="AWP15" s="56">
        <v>20</v>
      </c>
      <c r="AWR15" s="56">
        <v>20</v>
      </c>
      <c r="AWT15" s="56">
        <v>40</v>
      </c>
      <c r="BAV15" s="25" t="s">
        <v>8255</v>
      </c>
      <c r="BAW15" s="25" t="s">
        <v>8256</v>
      </c>
      <c r="BAX15" s="25" t="s">
        <v>8321</v>
      </c>
      <c r="BAY15" s="25">
        <v>0</v>
      </c>
      <c r="BBB15" s="25"/>
      <c r="BBC15" s="25"/>
      <c r="BBD15" s="25"/>
      <c r="BBE15" s="25"/>
      <c r="BBF15" s="25"/>
      <c r="BBG15" s="25"/>
      <c r="BBI15" s="25"/>
      <c r="BBJ15" s="25"/>
      <c r="BBK15" s="25"/>
      <c r="BBL15" s="25"/>
      <c r="BET15" s="25"/>
      <c r="BEU15" s="25"/>
      <c r="BEV15" s="25"/>
      <c r="BEW15" s="25"/>
      <c r="BEX15" s="25"/>
      <c r="BEY15" s="25"/>
      <c r="BEZ15" s="25"/>
      <c r="BFH15" s="25"/>
      <c r="BFI15" s="25"/>
      <c r="BFJ15" s="25"/>
      <c r="BFK15" s="25"/>
      <c r="BFL15" s="25"/>
      <c r="BFM15" s="25"/>
      <c r="BFN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L15" s="25"/>
      <c r="BIM15" s="25"/>
      <c r="BIN15" s="25"/>
      <c r="BIO15" s="25"/>
      <c r="BIP15" s="25"/>
      <c r="BIQ15" s="25"/>
      <c r="BIR15" s="25"/>
      <c r="BIS15" s="25"/>
      <c r="BIT15" s="25"/>
      <c r="BIU15" s="25"/>
      <c r="BIV15" s="25"/>
      <c r="BIW15" s="25"/>
      <c r="BIX15" s="25"/>
      <c r="BIY15" s="25"/>
      <c r="BJG15" s="25"/>
      <c r="BJH15" s="25"/>
      <c r="BJI15" s="25"/>
      <c r="BJJ15" s="25"/>
      <c r="BJK15" s="25"/>
      <c r="BJL15" s="25"/>
      <c r="BJM15" s="25"/>
      <c r="BJN15" s="25"/>
      <c r="BJO15" s="25"/>
      <c r="BJP15" s="25"/>
      <c r="BJQ15" s="25"/>
      <c r="BJR15" s="25"/>
      <c r="BJS15" s="25"/>
      <c r="BJT15" s="25"/>
      <c r="BKB15" s="25"/>
      <c r="BKC15" s="25"/>
      <c r="BKD15" s="25"/>
      <c r="BKE15" s="25"/>
      <c r="BKF15" s="25"/>
      <c r="BKG15" s="25"/>
      <c r="BKH15" s="25"/>
      <c r="BKI15" s="25"/>
      <c r="BKJ15" s="25"/>
      <c r="BKK15" s="25"/>
      <c r="BKL15" s="25"/>
      <c r="BKM15" s="25"/>
      <c r="BKN15" s="25"/>
      <c r="BKO15" s="25"/>
      <c r="BKW15" s="25"/>
      <c r="BKX15" s="25"/>
      <c r="BKY15" s="25"/>
      <c r="BKZ15" s="25"/>
      <c r="BLA15" s="25"/>
      <c r="BLB15" s="25"/>
      <c r="BLC15" s="25"/>
      <c r="BLD15" s="25"/>
      <c r="BLE15" s="25"/>
      <c r="BLF15" s="25"/>
      <c r="BLG15" s="25"/>
      <c r="BLH15" s="25"/>
      <c r="BLI15" s="25"/>
      <c r="BLJ15" s="25"/>
      <c r="BLN15" s="25">
        <v>0</v>
      </c>
      <c r="BLQ15" s="25"/>
      <c r="BLR15" s="25"/>
      <c r="BLS15" s="25"/>
      <c r="BLT15" s="25"/>
      <c r="BLU15" s="25"/>
      <c r="BLV15" s="25"/>
      <c r="BLX15" s="25"/>
      <c r="BLY15" s="25"/>
      <c r="BLZ15" s="25"/>
      <c r="BMA15" s="25"/>
      <c r="BPI15" s="25"/>
      <c r="BPJ15" s="25"/>
      <c r="BPK15" s="25"/>
      <c r="BPL15" s="25"/>
      <c r="BPM15" s="25"/>
      <c r="BPN15" s="25"/>
      <c r="BPO15" s="25"/>
      <c r="BPW15" s="25"/>
      <c r="BPX15" s="25"/>
      <c r="BPY15" s="25"/>
      <c r="BPZ15" s="25"/>
      <c r="BQA15" s="25"/>
      <c r="BQB15" s="25"/>
      <c r="BQC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TA15" s="25"/>
      <c r="BTB15" s="25"/>
      <c r="BTC15" s="25"/>
      <c r="BTD15" s="25"/>
      <c r="BTE15" s="25"/>
      <c r="BTF15" s="25"/>
      <c r="BTG15" s="25"/>
      <c r="BTH15" s="25"/>
      <c r="BTI15" s="25"/>
      <c r="BTJ15" s="25"/>
      <c r="BTK15" s="25"/>
      <c r="BTL15" s="25"/>
      <c r="BTM15" s="25"/>
      <c r="BTN15" s="25"/>
      <c r="BUQ15" s="25"/>
      <c r="BUR15" s="25"/>
      <c r="BUS15" s="25"/>
      <c r="BUT15" s="25"/>
      <c r="BUU15" s="25"/>
      <c r="BUV15" s="25"/>
      <c r="BUW15" s="25"/>
      <c r="BUX15" s="25"/>
      <c r="BUY15" s="25"/>
      <c r="BUZ15" s="25"/>
      <c r="BVA15" s="25"/>
      <c r="BVB15" s="25"/>
      <c r="BVC15" s="25"/>
      <c r="BVD15" s="25"/>
      <c r="BWC15" s="25" t="s">
        <v>28</v>
      </c>
      <c r="BWD15" s="25" t="s">
        <v>8265</v>
      </c>
      <c r="BWE15" s="25" t="s">
        <v>8357</v>
      </c>
      <c r="BWF15" s="25" t="s">
        <v>13715</v>
      </c>
      <c r="BWG15" s="25" t="s">
        <v>28</v>
      </c>
      <c r="BWH15" s="25" t="s">
        <v>2169</v>
      </c>
      <c r="BWI15" s="25" t="s">
        <v>28</v>
      </c>
      <c r="BWJ15" s="25" t="s">
        <v>8556</v>
      </c>
      <c r="BWK15" s="25" t="s">
        <v>25</v>
      </c>
      <c r="BWM15" s="25" t="s">
        <v>25</v>
      </c>
      <c r="BWO15" s="25" t="s">
        <v>25</v>
      </c>
      <c r="BWQ15" s="25" t="s">
        <v>28</v>
      </c>
      <c r="BWR15" s="25" t="s">
        <v>25</v>
      </c>
      <c r="BWT15" s="25" t="s">
        <v>25</v>
      </c>
      <c r="BWV15" s="25" t="s">
        <v>25</v>
      </c>
      <c r="BWX15" s="25" t="s">
        <v>28</v>
      </c>
      <c r="BWY15" s="25" t="s">
        <v>8566</v>
      </c>
      <c r="BWZ15" s="25" t="s">
        <v>28</v>
      </c>
      <c r="BXA15" s="56">
        <v>30</v>
      </c>
      <c r="BXB15" s="25" t="s">
        <v>25</v>
      </c>
      <c r="BXD15" s="25" t="s">
        <v>28</v>
      </c>
      <c r="BXE15" s="25" t="s">
        <v>8358</v>
      </c>
      <c r="BXF15" s="25" t="s">
        <v>28</v>
      </c>
      <c r="BXG15" s="56">
        <v>30</v>
      </c>
      <c r="BXH15" s="25" t="s">
        <v>25</v>
      </c>
      <c r="BXJ15" s="25" t="s">
        <v>28</v>
      </c>
      <c r="BXL15" s="25" t="s">
        <v>13821</v>
      </c>
      <c r="BXM15" s="25" t="s">
        <v>2201</v>
      </c>
      <c r="BXN15" s="25" t="s">
        <v>8332</v>
      </c>
      <c r="BXO15" s="25" t="s">
        <v>8361</v>
      </c>
      <c r="BXP15" s="25" t="s">
        <v>8361</v>
      </c>
      <c r="BXQ15" s="25" t="s">
        <v>8361</v>
      </c>
      <c r="BXR15" s="25" t="s">
        <v>8361</v>
      </c>
      <c r="BXS15" s="25" t="s">
        <v>8361</v>
      </c>
      <c r="BXT15" s="25" t="s">
        <v>8641</v>
      </c>
      <c r="BXU15" s="25" t="s">
        <v>25</v>
      </c>
      <c r="BXW15" s="25" t="s">
        <v>28</v>
      </c>
      <c r="BXX15" s="25" t="s">
        <v>28</v>
      </c>
      <c r="BXY15" s="25" t="s">
        <v>28</v>
      </c>
      <c r="BXZ15" s="25" t="s">
        <v>25</v>
      </c>
      <c r="BYA15" s="25" t="s">
        <v>25</v>
      </c>
      <c r="BYB15" s="25" t="s">
        <v>25</v>
      </c>
      <c r="BYC15" s="25" t="s">
        <v>2201</v>
      </c>
      <c r="BYD15" s="25" t="s">
        <v>28</v>
      </c>
      <c r="BYE15" s="25" t="s">
        <v>13612</v>
      </c>
      <c r="BYF15" s="25" t="s">
        <v>8437</v>
      </c>
      <c r="BYH15" s="25" t="s">
        <v>8363</v>
      </c>
      <c r="BYK15" s="25" t="s">
        <v>28</v>
      </c>
      <c r="BYL15" s="25" t="s">
        <v>25</v>
      </c>
      <c r="BYN15" s="25" t="s">
        <v>25</v>
      </c>
      <c r="BYP15" s="25" t="s">
        <v>25</v>
      </c>
      <c r="BYR15" s="25" t="s">
        <v>28</v>
      </c>
      <c r="BYS15" s="25" t="s">
        <v>8438</v>
      </c>
      <c r="BYT15" s="25" t="s">
        <v>8438</v>
      </c>
      <c r="BYU15" s="25" t="s">
        <v>8438</v>
      </c>
      <c r="BYV15" s="25" t="s">
        <v>25</v>
      </c>
      <c r="BYW15" s="25" t="s">
        <v>25</v>
      </c>
      <c r="BZG15" s="25" t="s">
        <v>25</v>
      </c>
      <c r="BZJ15" s="25" t="s">
        <v>25</v>
      </c>
      <c r="BZM15" s="25" t="s">
        <v>28</v>
      </c>
      <c r="BZN15" s="25" t="s">
        <v>8283</v>
      </c>
      <c r="BZP15" s="25" t="s">
        <v>8366</v>
      </c>
      <c r="BZQ15" s="56" t="s">
        <v>8392</v>
      </c>
      <c r="BZR15" s="25" t="s">
        <v>28</v>
      </c>
      <c r="BZS15" s="25" t="s">
        <v>25</v>
      </c>
      <c r="BZT15" s="25" t="s">
        <v>8337</v>
      </c>
      <c r="BZV15" s="25" t="s">
        <v>13645</v>
      </c>
      <c r="BZX15" s="25" t="s">
        <v>8469</v>
      </c>
      <c r="BZZ15" s="25" t="s">
        <v>25</v>
      </c>
      <c r="CAC15" s="25" t="s">
        <v>28</v>
      </c>
      <c r="CAE15" s="25" t="s">
        <v>28</v>
      </c>
      <c r="CAF15" s="25" t="s">
        <v>8289</v>
      </c>
      <c r="CAG15" s="25" t="s">
        <v>25</v>
      </c>
      <c r="CAH15" s="25" t="s">
        <v>631</v>
      </c>
      <c r="CAI15" s="25" t="s">
        <v>631</v>
      </c>
      <c r="CAJ15" s="25" t="s">
        <v>631</v>
      </c>
      <c r="CAK15" s="25" t="s">
        <v>8290</v>
      </c>
      <c r="CAL15" s="25" t="s">
        <v>631</v>
      </c>
      <c r="CAM15" s="25" t="s">
        <v>8290</v>
      </c>
      <c r="CAN15" s="25" t="s">
        <v>8290</v>
      </c>
      <c r="CAO15" s="25" t="s">
        <v>8290</v>
      </c>
      <c r="CAP15" s="25" t="s">
        <v>8290</v>
      </c>
      <c r="CAR15" s="25" t="s">
        <v>8291</v>
      </c>
      <c r="CAT15" s="25" t="s">
        <v>28</v>
      </c>
      <c r="CAU15" s="25" t="s">
        <v>8642</v>
      </c>
      <c r="CAV15" s="25" t="s">
        <v>8414</v>
      </c>
      <c r="CAW15" s="25" t="s">
        <v>8441</v>
      </c>
      <c r="CAX15" s="25" t="s">
        <v>8415</v>
      </c>
      <c r="CBA15" s="25">
        <v>75</v>
      </c>
      <c r="CBB15" s="25">
        <v>1</v>
      </c>
      <c r="CBC15" s="25">
        <v>2</v>
      </c>
      <c r="CBD15" s="25">
        <v>0</v>
      </c>
      <c r="CBE15" s="56">
        <v>50</v>
      </c>
      <c r="CBG15" s="56">
        <v>50</v>
      </c>
      <c r="CBI15" s="56">
        <v>2500</v>
      </c>
      <c r="CBK15" s="56">
        <v>2500</v>
      </c>
      <c r="CBM15" s="26">
        <v>0</v>
      </c>
      <c r="CBN15" s="26">
        <v>0.1</v>
      </c>
      <c r="CBO15" s="26">
        <v>0.1</v>
      </c>
      <c r="CBP15" s="26">
        <v>0.1</v>
      </c>
      <c r="CBQ15" s="26">
        <v>0.4</v>
      </c>
      <c r="CBR15" s="26">
        <v>0.4</v>
      </c>
      <c r="CBS15" s="26">
        <v>0.5</v>
      </c>
      <c r="CBT15" s="26">
        <v>0.5</v>
      </c>
      <c r="CBU15" s="27" t="s">
        <v>28</v>
      </c>
      <c r="CBV15" s="27" t="s">
        <v>8369</v>
      </c>
      <c r="CBW15" s="27" t="s">
        <v>8294</v>
      </c>
      <c r="CBX15" s="27" t="s">
        <v>8418</v>
      </c>
      <c r="CBY15" s="27" t="s">
        <v>8296</v>
      </c>
      <c r="CBZ15" s="27" t="s">
        <v>8296</v>
      </c>
      <c r="CCA15" s="27" t="s">
        <v>8297</v>
      </c>
      <c r="CCB15" s="27" t="s">
        <v>8298</v>
      </c>
      <c r="CCC15" s="27" t="s">
        <v>8296</v>
      </c>
      <c r="CCD15" s="27" t="s">
        <v>8296</v>
      </c>
      <c r="CCE15" s="27" t="s">
        <v>8297</v>
      </c>
      <c r="CCF15" s="27" t="s">
        <v>8297</v>
      </c>
      <c r="CCG15" s="27" t="s">
        <v>8297</v>
      </c>
      <c r="CCH15" s="27" t="s">
        <v>8296</v>
      </c>
      <c r="CCI15" s="27" t="s">
        <v>8298</v>
      </c>
      <c r="CCJ15" s="27" t="s">
        <v>8298</v>
      </c>
      <c r="CCK15" s="27" t="s">
        <v>8299</v>
      </c>
      <c r="CCL15" s="27" t="s">
        <v>8297</v>
      </c>
      <c r="CCM15" s="27" t="s">
        <v>8296</v>
      </c>
      <c r="CCN15" s="27" t="s">
        <v>8296</v>
      </c>
      <c r="CCO15" s="27" t="s">
        <v>8300</v>
      </c>
      <c r="CCP15" s="27" t="s">
        <v>8296</v>
      </c>
      <c r="CCQ15" s="27" t="s">
        <v>8296</v>
      </c>
      <c r="CCR15" s="27" t="s">
        <v>8296</v>
      </c>
      <c r="CCS15" s="27" t="s">
        <v>8296</v>
      </c>
      <c r="CCT15" s="27" t="s">
        <v>8296</v>
      </c>
      <c r="CCU15" s="27" t="s">
        <v>8298</v>
      </c>
      <c r="CCV15" s="27" t="s">
        <v>8298</v>
      </c>
      <c r="CCW15" s="27" t="s">
        <v>8298</v>
      </c>
      <c r="CCX15" s="27" t="s">
        <v>8298</v>
      </c>
      <c r="CCY15" s="27" t="s">
        <v>8298</v>
      </c>
      <c r="CCZ15" s="27" t="s">
        <v>28</v>
      </c>
      <c r="CDA15" s="27" t="s">
        <v>28</v>
      </c>
      <c r="CDB15" s="27" t="s">
        <v>28</v>
      </c>
      <c r="CDC15" s="27" t="s">
        <v>28</v>
      </c>
      <c r="CDD15" s="27" t="s">
        <v>28</v>
      </c>
      <c r="CDE15" s="27" t="s">
        <v>28</v>
      </c>
      <c r="CDF15" s="27" t="s">
        <v>28</v>
      </c>
      <c r="CDG15" s="27" t="s">
        <v>28</v>
      </c>
      <c r="CDH15" s="27" t="s">
        <v>28</v>
      </c>
      <c r="CDI15" s="27" t="s">
        <v>28</v>
      </c>
      <c r="CDJ15" s="27" t="s">
        <v>28</v>
      </c>
      <c r="CDK15" s="27" t="s">
        <v>28</v>
      </c>
      <c r="CDL15" s="27" t="s">
        <v>28</v>
      </c>
      <c r="CDM15" s="27" t="s">
        <v>28</v>
      </c>
      <c r="CDN15" s="27" t="s">
        <v>28</v>
      </c>
      <c r="CDO15" s="27" t="s">
        <v>28</v>
      </c>
      <c r="CDP15" s="27" t="s">
        <v>28</v>
      </c>
      <c r="CDQ15" s="27" t="s">
        <v>28</v>
      </c>
      <c r="CDR15" s="27" t="s">
        <v>28</v>
      </c>
      <c r="CDS15" s="27" t="s">
        <v>28</v>
      </c>
      <c r="CDT15" s="27" t="s">
        <v>28</v>
      </c>
      <c r="CDU15" s="27" t="s">
        <v>28</v>
      </c>
      <c r="CDV15" s="27" t="s">
        <v>28</v>
      </c>
      <c r="CDW15" s="27" t="s">
        <v>28</v>
      </c>
      <c r="CDX15" s="27" t="s">
        <v>28</v>
      </c>
      <c r="CDY15" s="27" t="s">
        <v>28</v>
      </c>
      <c r="CDZ15" s="27" t="s">
        <v>28</v>
      </c>
      <c r="CEA15" s="27" t="s">
        <v>2673</v>
      </c>
      <c r="CEB15" s="27" t="s">
        <v>2673</v>
      </c>
      <c r="CEC15" s="27" t="s">
        <v>2673</v>
      </c>
      <c r="CED15" s="27" t="s">
        <v>8302</v>
      </c>
      <c r="CEE15" s="27" t="s">
        <v>2673</v>
      </c>
      <c r="CEF15" s="27" t="s">
        <v>2673</v>
      </c>
      <c r="CEG15" s="27" t="s">
        <v>29</v>
      </c>
      <c r="CEH15" s="27" t="s">
        <v>8302</v>
      </c>
      <c r="CEI15" s="27" t="s">
        <v>8302</v>
      </c>
      <c r="CEJ15" s="27" t="s">
        <v>2673</v>
      </c>
      <c r="CEK15" s="27" t="s">
        <v>8303</v>
      </c>
      <c r="CEL15" s="27" t="s">
        <v>8302</v>
      </c>
      <c r="CEM15" s="27" t="s">
        <v>8304</v>
      </c>
      <c r="CEN15" s="27" t="s">
        <v>2673</v>
      </c>
      <c r="CEO15" s="27" t="s">
        <v>8303</v>
      </c>
      <c r="CEP15" s="27" t="s">
        <v>2673</v>
      </c>
      <c r="CEQ15" s="27" t="s">
        <v>8304</v>
      </c>
      <c r="CER15" s="27" t="s">
        <v>8421</v>
      </c>
      <c r="CES15" s="27" t="s">
        <v>2673</v>
      </c>
      <c r="CET15" s="27" t="s">
        <v>2673</v>
      </c>
      <c r="CEU15" s="27" t="s">
        <v>2673</v>
      </c>
      <c r="CEV15" s="27" t="s">
        <v>2673</v>
      </c>
      <c r="CEW15" s="27" t="s">
        <v>2673</v>
      </c>
      <c r="CEX15" s="27" t="s">
        <v>8302</v>
      </c>
      <c r="CEY15" s="27" t="s">
        <v>8303</v>
      </c>
      <c r="CEZ15" s="27" t="s">
        <v>8303</v>
      </c>
      <c r="CFA15" s="27" t="s">
        <v>8303</v>
      </c>
      <c r="CFB15" s="27" t="s">
        <v>25</v>
      </c>
      <c r="CFC15" s="27" t="s">
        <v>25</v>
      </c>
      <c r="CFD15" s="27" t="s">
        <v>25</v>
      </c>
      <c r="CFE15" s="27" t="s">
        <v>25</v>
      </c>
      <c r="CFF15" s="27" t="s">
        <v>25</v>
      </c>
      <c r="CFG15" s="27" t="s">
        <v>25</v>
      </c>
      <c r="CFH15" s="27" t="s">
        <v>25</v>
      </c>
      <c r="CFI15" s="27" t="s">
        <v>25</v>
      </c>
      <c r="CFJ15" s="27" t="s">
        <v>25</v>
      </c>
      <c r="CFK15" s="27" t="s">
        <v>25</v>
      </c>
      <c r="CFL15" s="27" t="s">
        <v>25</v>
      </c>
      <c r="CFM15" s="27" t="s">
        <v>25</v>
      </c>
      <c r="CFN15" s="27" t="s">
        <v>25</v>
      </c>
      <c r="CFO15" s="27" t="s">
        <v>25</v>
      </c>
      <c r="CFP15" s="27" t="s">
        <v>25</v>
      </c>
      <c r="CFQ15" s="27" t="s">
        <v>25</v>
      </c>
      <c r="CFR15" s="27" t="s">
        <v>25</v>
      </c>
      <c r="CFS15" s="27" t="s">
        <v>25</v>
      </c>
      <c r="CFT15" s="27" t="s">
        <v>25</v>
      </c>
      <c r="CFU15" s="27" t="s">
        <v>25</v>
      </c>
      <c r="CFV15" s="27" t="s">
        <v>25</v>
      </c>
      <c r="CFW15" s="27" t="s">
        <v>25</v>
      </c>
      <c r="CFX15" s="27" t="s">
        <v>25</v>
      </c>
      <c r="CFY15" s="27" t="s">
        <v>25</v>
      </c>
      <c r="CFZ15" s="27" t="s">
        <v>25</v>
      </c>
      <c r="CGA15" s="27" t="s">
        <v>25</v>
      </c>
      <c r="CGB15" s="27" t="s">
        <v>25</v>
      </c>
      <c r="CGI15" s="56">
        <v>1500</v>
      </c>
      <c r="CGK15" s="26">
        <v>0</v>
      </c>
      <c r="CGO15" s="26">
        <v>0.2</v>
      </c>
      <c r="CGQ15" s="26">
        <v>0.5</v>
      </c>
      <c r="CGS15" s="27" t="s">
        <v>8300</v>
      </c>
      <c r="CGT15" s="27" t="s">
        <v>8294</v>
      </c>
      <c r="CGU15" s="27" t="s">
        <v>13838</v>
      </c>
      <c r="CHW15" s="27" t="s">
        <v>25</v>
      </c>
      <c r="CHX15" s="27" t="s">
        <v>25</v>
      </c>
      <c r="CHY15" s="27" t="s">
        <v>25</v>
      </c>
      <c r="CHZ15" s="27" t="s">
        <v>25</v>
      </c>
      <c r="CIA15" s="27" t="s">
        <v>25</v>
      </c>
      <c r="CIB15" s="27" t="s">
        <v>25</v>
      </c>
      <c r="CIC15" s="27" t="s">
        <v>25</v>
      </c>
      <c r="CID15" s="27" t="s">
        <v>25</v>
      </c>
      <c r="CIE15" s="27" t="s">
        <v>25</v>
      </c>
      <c r="CIF15" s="27" t="s">
        <v>25</v>
      </c>
      <c r="CIG15" s="27" t="s">
        <v>25</v>
      </c>
      <c r="CIH15" s="27" t="s">
        <v>25</v>
      </c>
      <c r="CIJ15" s="27" t="s">
        <v>25</v>
      </c>
      <c r="CIK15" s="27" t="s">
        <v>25</v>
      </c>
      <c r="CIL15" s="27" t="s">
        <v>25</v>
      </c>
      <c r="CIM15" s="27" t="s">
        <v>25</v>
      </c>
      <c r="CIN15" s="27" t="s">
        <v>25</v>
      </c>
      <c r="CIO15" s="27" t="s">
        <v>25</v>
      </c>
      <c r="CIP15" s="27" t="s">
        <v>25</v>
      </c>
      <c r="CIQ15" s="27" t="s">
        <v>25</v>
      </c>
      <c r="CIR15" s="27" t="s">
        <v>25</v>
      </c>
      <c r="CIS15" s="27" t="s">
        <v>25</v>
      </c>
      <c r="CIT15" s="27" t="s">
        <v>25</v>
      </c>
      <c r="CIU15" s="27" t="s">
        <v>25</v>
      </c>
      <c r="CIV15" s="27" t="s">
        <v>25</v>
      </c>
      <c r="CIW15" s="27" t="s">
        <v>25</v>
      </c>
      <c r="CJY15" s="27" t="s">
        <v>25</v>
      </c>
      <c r="CJZ15" s="27" t="s">
        <v>25</v>
      </c>
      <c r="CKA15" s="27" t="s">
        <v>25</v>
      </c>
      <c r="CKB15" s="27" t="s">
        <v>25</v>
      </c>
      <c r="CKC15" s="27" t="s">
        <v>25</v>
      </c>
      <c r="CKD15" s="27" t="s">
        <v>25</v>
      </c>
      <c r="CKE15" s="27" t="s">
        <v>25</v>
      </c>
      <c r="CKF15" s="27" t="s">
        <v>25</v>
      </c>
      <c r="CKG15" s="27" t="s">
        <v>25</v>
      </c>
      <c r="CKH15" s="27" t="s">
        <v>25</v>
      </c>
      <c r="CKI15" s="27" t="s">
        <v>25</v>
      </c>
      <c r="CKJ15" s="27" t="s">
        <v>25</v>
      </c>
      <c r="CKL15" s="27" t="s">
        <v>25</v>
      </c>
      <c r="CKM15" s="27" t="s">
        <v>25</v>
      </c>
      <c r="CKN15" s="27" t="s">
        <v>25</v>
      </c>
      <c r="CKO15" s="27" t="s">
        <v>25</v>
      </c>
      <c r="CKP15" s="27" t="s">
        <v>25</v>
      </c>
      <c r="CKQ15" s="27" t="s">
        <v>25</v>
      </c>
      <c r="CKR15" s="27" t="s">
        <v>25</v>
      </c>
      <c r="CKS15" s="27" t="s">
        <v>25</v>
      </c>
      <c r="CKT15" s="27" t="s">
        <v>25</v>
      </c>
      <c r="CKU15" s="27" t="s">
        <v>25</v>
      </c>
      <c r="CKV15" s="27" t="s">
        <v>25</v>
      </c>
      <c r="CKW15" s="27" t="s">
        <v>25</v>
      </c>
      <c r="CKX15" s="27" t="s">
        <v>25</v>
      </c>
      <c r="CKY15" s="27" t="s">
        <v>25</v>
      </c>
      <c r="CPW15" s="27">
        <v>2</v>
      </c>
      <c r="CPX15" s="56">
        <v>0</v>
      </c>
      <c r="CPY15" s="26">
        <v>0</v>
      </c>
      <c r="CPZ15" s="56">
        <v>25</v>
      </c>
      <c r="CQA15" s="26">
        <v>0</v>
      </c>
      <c r="CQB15" s="25" t="s">
        <v>8307</v>
      </c>
      <c r="CQC15" s="25" t="s">
        <v>8307</v>
      </c>
      <c r="CQD15" s="25" t="s">
        <v>8344</v>
      </c>
      <c r="CQE15" s="25" t="s">
        <v>8307</v>
      </c>
      <c r="CQF15" s="25" t="s">
        <v>8307</v>
      </c>
      <c r="CQI15" s="56">
        <v>150</v>
      </c>
      <c r="CQJ15" s="56">
        <v>150</v>
      </c>
      <c r="CQL15" s="25" t="s">
        <v>13676</v>
      </c>
      <c r="CQM15" s="25" t="s">
        <v>8397</v>
      </c>
      <c r="CQN15" s="25" t="s">
        <v>25</v>
      </c>
      <c r="CQO15" s="25" t="s">
        <v>8574</v>
      </c>
      <c r="CQP15" s="56">
        <v>2000</v>
      </c>
      <c r="CQQ15" s="25" t="s">
        <v>8643</v>
      </c>
      <c r="CQR15" s="25" t="s">
        <v>8644</v>
      </c>
      <c r="CQS15" s="25" t="s">
        <v>25</v>
      </c>
      <c r="CQT15" s="25" t="s">
        <v>8312</v>
      </c>
      <c r="CQU15" s="25" t="s">
        <v>8312</v>
      </c>
      <c r="CQV15" s="25" t="s">
        <v>8312</v>
      </c>
      <c r="CQW15" s="25" t="s">
        <v>8312</v>
      </c>
      <c r="CQX15" s="25" t="s">
        <v>8312</v>
      </c>
      <c r="CQY15" s="25" t="s">
        <v>8312</v>
      </c>
      <c r="CQZ15" s="25" t="s">
        <v>8312</v>
      </c>
      <c r="CRA15" s="25" t="s">
        <v>8312</v>
      </c>
      <c r="CRB15" s="25" t="s">
        <v>8312</v>
      </c>
      <c r="CRC15" s="25" t="s">
        <v>8312</v>
      </c>
      <c r="CRD15" s="25" t="s">
        <v>8312</v>
      </c>
      <c r="CRE15" s="27" t="s">
        <v>8312</v>
      </c>
    </row>
    <row r="16" spans="1:2501" ht="76.5" x14ac:dyDescent="0.2">
      <c r="A16" s="21" t="s">
        <v>118</v>
      </c>
      <c r="B16" s="26">
        <v>0</v>
      </c>
      <c r="C16" s="26">
        <v>0</v>
      </c>
      <c r="D16" s="26">
        <v>0.12</v>
      </c>
      <c r="E16" s="26">
        <v>0.74</v>
      </c>
      <c r="F16" s="26">
        <v>0</v>
      </c>
      <c r="G16" s="26">
        <v>0</v>
      </c>
      <c r="H16" s="26">
        <v>0</v>
      </c>
      <c r="I16" s="26">
        <v>0</v>
      </c>
      <c r="J16" s="26">
        <v>0</v>
      </c>
      <c r="K16" s="26">
        <v>0</v>
      </c>
      <c r="L16" s="26">
        <v>0</v>
      </c>
      <c r="M16" s="26">
        <v>0.14000000000000001</v>
      </c>
      <c r="N16" s="26">
        <v>0</v>
      </c>
      <c r="O16" s="26">
        <v>0</v>
      </c>
      <c r="P16" s="26">
        <v>0</v>
      </c>
      <c r="Q16" s="26">
        <v>1</v>
      </c>
      <c r="R16" s="26">
        <v>0</v>
      </c>
      <c r="S16" s="26">
        <v>0</v>
      </c>
      <c r="T16" s="26">
        <v>0</v>
      </c>
      <c r="U16" s="26">
        <v>0</v>
      </c>
      <c r="V16" s="26">
        <v>0</v>
      </c>
      <c r="W16" s="26">
        <v>0</v>
      </c>
      <c r="X16" s="26">
        <v>0</v>
      </c>
      <c r="Y16" s="26">
        <v>0</v>
      </c>
      <c r="Z16" s="25">
        <v>0</v>
      </c>
      <c r="KP16" s="25">
        <v>2</v>
      </c>
      <c r="KQ16" s="25" t="s">
        <v>8315</v>
      </c>
      <c r="KR16" s="25" t="s">
        <v>8316</v>
      </c>
      <c r="KS16" s="56">
        <v>3000</v>
      </c>
      <c r="KT16" s="56">
        <v>6000</v>
      </c>
      <c r="KU16" s="56">
        <v>6000</v>
      </c>
      <c r="KV16" s="56">
        <v>12000</v>
      </c>
      <c r="KY16" s="25" t="s">
        <v>8260</v>
      </c>
      <c r="KZ16" s="56">
        <v>1400</v>
      </c>
      <c r="LA16" s="56">
        <v>4200</v>
      </c>
      <c r="LB16" s="56">
        <v>1400</v>
      </c>
      <c r="LC16" s="56">
        <v>4200</v>
      </c>
      <c r="LD16" s="25" t="s">
        <v>8247</v>
      </c>
      <c r="LE16" s="25" t="s">
        <v>8248</v>
      </c>
      <c r="LR16" s="25" t="s">
        <v>8249</v>
      </c>
      <c r="OE16" s="25" t="s">
        <v>25</v>
      </c>
      <c r="OF16" s="25" t="s">
        <v>28</v>
      </c>
      <c r="OG16" s="25" t="s">
        <v>25</v>
      </c>
      <c r="OH16" s="25" t="s">
        <v>25</v>
      </c>
      <c r="OJ16" s="25" t="s">
        <v>13425</v>
      </c>
      <c r="OK16" s="25" t="s">
        <v>13425</v>
      </c>
      <c r="OS16" s="26">
        <v>0.1</v>
      </c>
      <c r="OT16" s="26">
        <v>0.1</v>
      </c>
      <c r="OU16" s="26">
        <v>0.1</v>
      </c>
      <c r="OV16" s="26">
        <v>0.1</v>
      </c>
      <c r="OW16" s="26">
        <v>0.1</v>
      </c>
      <c r="OY16" s="26">
        <v>0.1</v>
      </c>
      <c r="PG16" s="26">
        <v>0.3</v>
      </c>
      <c r="PH16" s="26">
        <v>0.3</v>
      </c>
      <c r="PI16" s="26">
        <v>0.3</v>
      </c>
      <c r="PJ16" s="26">
        <v>0.3</v>
      </c>
      <c r="PK16" s="26">
        <v>0.3</v>
      </c>
      <c r="PM16" s="26">
        <v>0.3</v>
      </c>
      <c r="PN16" s="25" t="s">
        <v>8250</v>
      </c>
      <c r="PO16" s="25" t="s">
        <v>8250</v>
      </c>
      <c r="PP16" s="25" t="s">
        <v>8250</v>
      </c>
      <c r="PQ16" s="25" t="s">
        <v>8250</v>
      </c>
      <c r="PR16" s="25" t="s">
        <v>8250</v>
      </c>
      <c r="PT16" s="25" t="s">
        <v>8250</v>
      </c>
      <c r="PU16" s="25" t="s">
        <v>25</v>
      </c>
      <c r="PV16" s="25" t="s">
        <v>25</v>
      </c>
      <c r="PW16" s="25" t="s">
        <v>25</v>
      </c>
      <c r="PX16" s="25" t="s">
        <v>25</v>
      </c>
      <c r="PY16" s="25" t="s">
        <v>25</v>
      </c>
      <c r="QA16" s="25" t="s">
        <v>25</v>
      </c>
      <c r="QB16" s="25" t="s">
        <v>13810</v>
      </c>
      <c r="QC16" s="25" t="s">
        <v>13810</v>
      </c>
      <c r="QD16" s="25" t="s">
        <v>13810</v>
      </c>
      <c r="QE16" s="25" t="s">
        <v>8252</v>
      </c>
      <c r="QF16" s="25" t="s">
        <v>631</v>
      </c>
      <c r="QG16" s="25" t="s">
        <v>8252</v>
      </c>
      <c r="QH16" s="25" t="s">
        <v>13810</v>
      </c>
      <c r="QI16" s="25" t="s">
        <v>631</v>
      </c>
      <c r="QJ16" s="25" t="s">
        <v>631</v>
      </c>
      <c r="QK16" s="25" t="s">
        <v>631</v>
      </c>
      <c r="QL16" s="25" t="s">
        <v>8317</v>
      </c>
      <c r="QM16" s="25" t="s">
        <v>8318</v>
      </c>
      <c r="QN16" s="25" t="s">
        <v>8319</v>
      </c>
      <c r="QO16" s="25" t="s">
        <v>13446</v>
      </c>
      <c r="QQ16" s="25" t="s">
        <v>8320</v>
      </c>
      <c r="QR16" s="25" t="s">
        <v>8318</v>
      </c>
      <c r="RW16" s="26">
        <v>0</v>
      </c>
      <c r="RX16" s="26">
        <v>0.1</v>
      </c>
      <c r="RY16" s="26">
        <v>0.1</v>
      </c>
      <c r="RZ16" s="26">
        <v>0.1</v>
      </c>
      <c r="SB16" s="26">
        <v>0.1</v>
      </c>
      <c r="VC16" s="25" t="s">
        <v>8255</v>
      </c>
      <c r="VD16" s="25" t="s">
        <v>8256</v>
      </c>
      <c r="VE16" s="25" t="s">
        <v>8321</v>
      </c>
      <c r="VF16" s="25">
        <v>0</v>
      </c>
      <c r="VI16" s="25"/>
      <c r="VJ16" s="25"/>
      <c r="VK16" s="25"/>
      <c r="VL16" s="25"/>
      <c r="VM16" s="25"/>
      <c r="VN16" s="25"/>
      <c r="VP16" s="25"/>
      <c r="VQ16" s="25"/>
      <c r="VR16" s="25"/>
      <c r="VS16" s="25"/>
      <c r="ZA16" s="25"/>
      <c r="ZB16" s="25"/>
      <c r="ZC16" s="25"/>
      <c r="ZD16" s="25"/>
      <c r="ZE16" s="25"/>
      <c r="ZF16" s="25"/>
      <c r="ZG16" s="25"/>
      <c r="ZO16" s="25"/>
      <c r="ZP16" s="25"/>
      <c r="ZQ16" s="25"/>
      <c r="ZR16" s="25"/>
      <c r="ZS16" s="25"/>
      <c r="ZT16" s="25"/>
      <c r="ZU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S16" s="25"/>
      <c r="ACT16" s="25"/>
      <c r="ACU16" s="25"/>
      <c r="ACV16" s="25"/>
      <c r="ACW16" s="25"/>
      <c r="ACX16" s="25"/>
      <c r="ACY16" s="25"/>
      <c r="ACZ16" s="25"/>
      <c r="ADA16" s="25"/>
      <c r="ADB16" s="25"/>
      <c r="ADC16" s="25"/>
      <c r="ADD16" s="25"/>
      <c r="ADE16" s="25"/>
      <c r="ADF16" s="25"/>
      <c r="ADN16" s="25"/>
      <c r="ADO16" s="25"/>
      <c r="ADP16" s="25"/>
      <c r="ADQ16" s="25"/>
      <c r="ADR16" s="25"/>
      <c r="ADS16" s="25"/>
      <c r="ADT16" s="25"/>
      <c r="ADU16" s="25"/>
      <c r="ADV16" s="25"/>
      <c r="ADW16" s="25"/>
      <c r="ADX16" s="25"/>
      <c r="ADY16" s="25"/>
      <c r="ADZ16" s="25"/>
      <c r="AEA16" s="25"/>
      <c r="AEI16" s="25"/>
      <c r="AEJ16" s="25"/>
      <c r="AEK16" s="25"/>
      <c r="AEL16" s="25"/>
      <c r="AEM16" s="25"/>
      <c r="AEN16" s="25"/>
      <c r="AEO16" s="25"/>
      <c r="AEP16" s="25"/>
      <c r="AEQ16" s="25"/>
      <c r="AER16" s="25"/>
      <c r="AES16" s="25"/>
      <c r="AET16" s="25"/>
      <c r="AEU16" s="25"/>
      <c r="AEV16" s="25"/>
      <c r="AFD16" s="25"/>
      <c r="AFE16" s="25"/>
      <c r="AFF16" s="25"/>
      <c r="AFG16" s="25"/>
      <c r="AFH16" s="25"/>
      <c r="AFI16" s="25"/>
      <c r="AFJ16" s="25"/>
      <c r="AFK16" s="25"/>
      <c r="AFL16" s="25"/>
      <c r="AFM16" s="25"/>
      <c r="AFN16" s="25"/>
      <c r="AFO16" s="25"/>
      <c r="AFP16" s="25"/>
      <c r="AFQ16" s="25"/>
      <c r="AFU16" s="25">
        <v>0</v>
      </c>
      <c r="AFX16" s="25"/>
      <c r="AFY16" s="25"/>
      <c r="AFZ16" s="25"/>
      <c r="AGA16" s="25"/>
      <c r="AGB16" s="25"/>
      <c r="AGC16" s="25"/>
      <c r="AGE16" s="25"/>
      <c r="AGF16" s="25"/>
      <c r="AGG16" s="25"/>
      <c r="AGH16" s="25"/>
      <c r="AJP16" s="25"/>
      <c r="AJQ16" s="25"/>
      <c r="AJR16" s="25"/>
      <c r="AJS16" s="25"/>
      <c r="AJT16" s="25"/>
      <c r="AJU16" s="25"/>
      <c r="AJV16" s="25"/>
      <c r="AKD16" s="25"/>
      <c r="AKE16" s="25"/>
      <c r="AKF16" s="25"/>
      <c r="AKG16" s="25"/>
      <c r="AKH16" s="25"/>
      <c r="AKI16" s="25"/>
      <c r="AKJ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H16" s="25"/>
      <c r="ANI16" s="25"/>
      <c r="ANJ16" s="25"/>
      <c r="ANK16" s="25"/>
      <c r="ANL16" s="25"/>
      <c r="ANM16" s="25"/>
      <c r="ANN16" s="25"/>
      <c r="ANO16" s="25"/>
      <c r="ANP16" s="25"/>
      <c r="ANQ16" s="25"/>
      <c r="ANR16" s="25"/>
      <c r="ANS16" s="25"/>
      <c r="ANT16" s="25"/>
      <c r="ANU16" s="25"/>
      <c r="AOC16" s="25"/>
      <c r="AOD16" s="25"/>
      <c r="AOE16" s="25"/>
      <c r="AOF16" s="25"/>
      <c r="AOG16" s="25"/>
      <c r="AOH16" s="25"/>
      <c r="AOI16" s="25"/>
      <c r="AOJ16" s="25"/>
      <c r="AOK16" s="25"/>
      <c r="AOL16" s="25"/>
      <c r="AOM16" s="25"/>
      <c r="AON16" s="25"/>
      <c r="AOO16" s="25"/>
      <c r="AOP16" s="25"/>
      <c r="AOX16" s="25"/>
      <c r="AOY16" s="25"/>
      <c r="AOZ16" s="25"/>
      <c r="APA16" s="25"/>
      <c r="APB16" s="25"/>
      <c r="APC16" s="25"/>
      <c r="APD16" s="25"/>
      <c r="APE16" s="25"/>
      <c r="APF16" s="25"/>
      <c r="APG16" s="25"/>
      <c r="APH16" s="25"/>
      <c r="API16" s="25"/>
      <c r="APJ16" s="25"/>
      <c r="APK16" s="25"/>
      <c r="APS16" s="25"/>
      <c r="APT16" s="25"/>
      <c r="APU16" s="25"/>
      <c r="APV16" s="25"/>
      <c r="APW16" s="25"/>
      <c r="APX16" s="25"/>
      <c r="APY16" s="25"/>
      <c r="APZ16" s="25"/>
      <c r="AQA16" s="25"/>
      <c r="AQB16" s="25"/>
      <c r="AQC16" s="25"/>
      <c r="AQD16" s="25"/>
      <c r="AQE16" s="25"/>
      <c r="AQF16" s="25"/>
      <c r="AQJ16" s="25">
        <v>6</v>
      </c>
      <c r="AQK16" s="25" t="s">
        <v>8322</v>
      </c>
      <c r="AQL16" s="25" t="s">
        <v>8323</v>
      </c>
      <c r="AQM16" s="56">
        <v>3000</v>
      </c>
      <c r="AQN16" s="56">
        <v>6000</v>
      </c>
      <c r="AQS16" s="25" t="s">
        <v>8246</v>
      </c>
      <c r="AQT16" s="56">
        <v>750</v>
      </c>
      <c r="AQU16" s="56">
        <v>1000</v>
      </c>
      <c r="AQX16" s="25" t="s">
        <v>8248</v>
      </c>
      <c r="ARK16" s="25" t="s">
        <v>8249</v>
      </c>
      <c r="ATX16" s="25" t="s">
        <v>25</v>
      </c>
      <c r="ATY16" s="25" t="s">
        <v>28</v>
      </c>
      <c r="ATZ16" s="25" t="s">
        <v>25</v>
      </c>
      <c r="AUA16" s="25" t="s">
        <v>25</v>
      </c>
      <c r="AUC16" s="25" t="s">
        <v>13818</v>
      </c>
      <c r="AUD16" s="25" t="s">
        <v>13417</v>
      </c>
      <c r="AUE16" s="56">
        <v>20</v>
      </c>
      <c r="AUF16" s="56">
        <v>40</v>
      </c>
      <c r="AUG16" s="56">
        <v>40</v>
      </c>
      <c r="AUH16" s="56">
        <v>50</v>
      </c>
      <c r="AUI16" s="56">
        <v>20</v>
      </c>
      <c r="AUJ16" s="56">
        <v>40</v>
      </c>
      <c r="AUL16" s="26">
        <v>0.1</v>
      </c>
      <c r="AUO16" s="26">
        <v>0.1</v>
      </c>
      <c r="AUP16" s="26">
        <v>0.1</v>
      </c>
      <c r="AVG16" s="25" t="s">
        <v>8250</v>
      </c>
      <c r="AVH16" s="25" t="s">
        <v>8250</v>
      </c>
      <c r="AVI16" s="25" t="s">
        <v>8250</v>
      </c>
      <c r="AVJ16" s="25" t="s">
        <v>8250</v>
      </c>
      <c r="AVK16" s="25" t="s">
        <v>8250</v>
      </c>
      <c r="AVL16" s="25" t="s">
        <v>8250</v>
      </c>
      <c r="AVM16" s="25" t="s">
        <v>8250</v>
      </c>
      <c r="AVN16" s="25" t="s">
        <v>13593</v>
      </c>
      <c r="AVO16" s="25" t="s">
        <v>13593</v>
      </c>
      <c r="AVP16" s="25" t="s">
        <v>13593</v>
      </c>
      <c r="AVQ16" s="25" t="s">
        <v>13593</v>
      </c>
      <c r="AVR16" s="25" t="s">
        <v>13593</v>
      </c>
      <c r="AVS16" s="25" t="s">
        <v>13593</v>
      </c>
      <c r="AVT16" s="25" t="s">
        <v>13593</v>
      </c>
      <c r="AVU16" s="25" t="s">
        <v>13810</v>
      </c>
      <c r="AVV16" s="25" t="s">
        <v>13810</v>
      </c>
      <c r="AVW16" s="25" t="s">
        <v>13810</v>
      </c>
      <c r="AVX16" s="25" t="s">
        <v>8252</v>
      </c>
      <c r="AVY16" s="25" t="s">
        <v>631</v>
      </c>
      <c r="AVZ16" s="25" t="s">
        <v>8252</v>
      </c>
      <c r="AWA16" s="25" t="s">
        <v>13810</v>
      </c>
      <c r="AWB16" s="25" t="s">
        <v>631</v>
      </c>
      <c r="AWC16" s="25" t="s">
        <v>631</v>
      </c>
      <c r="AWD16" s="25" t="s">
        <v>631</v>
      </c>
      <c r="AWE16" s="25" t="s">
        <v>8253</v>
      </c>
      <c r="AWF16" s="25" t="s">
        <v>8253</v>
      </c>
      <c r="AWG16" s="25" t="s">
        <v>8253</v>
      </c>
      <c r="AWH16" s="25" t="s">
        <v>8325</v>
      </c>
      <c r="AWJ16" s="25" t="s">
        <v>8325</v>
      </c>
      <c r="AWK16" s="25" t="s">
        <v>8253</v>
      </c>
      <c r="AWN16" s="56">
        <v>0</v>
      </c>
      <c r="AWP16" s="56">
        <v>0</v>
      </c>
      <c r="AWR16" s="56">
        <v>10</v>
      </c>
      <c r="AWT16" s="56">
        <v>40</v>
      </c>
      <c r="AWV16" s="56">
        <v>10</v>
      </c>
      <c r="AWX16" s="56">
        <v>40</v>
      </c>
      <c r="AXH16" s="56">
        <v>20</v>
      </c>
      <c r="AXJ16" s="56">
        <v>40</v>
      </c>
      <c r="BAV16" s="25" t="s">
        <v>8255</v>
      </c>
      <c r="BAW16" s="25" t="s">
        <v>8298</v>
      </c>
      <c r="BAX16" s="25" t="s">
        <v>8321</v>
      </c>
      <c r="BAY16" s="25">
        <v>0</v>
      </c>
      <c r="BBB16" s="25"/>
      <c r="BBC16" s="25"/>
      <c r="BBD16" s="25"/>
      <c r="BBE16" s="25"/>
      <c r="BBF16" s="25"/>
      <c r="BBG16" s="25"/>
      <c r="BBI16" s="25"/>
      <c r="BBJ16" s="25"/>
      <c r="BBK16" s="25"/>
      <c r="BBL16" s="25"/>
      <c r="BET16" s="25"/>
      <c r="BEU16" s="25"/>
      <c r="BEV16" s="25"/>
      <c r="BEW16" s="25"/>
      <c r="BEX16" s="25"/>
      <c r="BEY16" s="25"/>
      <c r="BEZ16" s="25"/>
      <c r="BFH16" s="25"/>
      <c r="BFI16" s="25"/>
      <c r="BFJ16" s="25"/>
      <c r="BFK16" s="25"/>
      <c r="BFL16" s="25"/>
      <c r="BFM16" s="25"/>
      <c r="BFN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L16" s="25"/>
      <c r="BIM16" s="25"/>
      <c r="BIN16" s="25"/>
      <c r="BIO16" s="25"/>
      <c r="BIP16" s="25"/>
      <c r="BIQ16" s="25"/>
      <c r="BIR16" s="25"/>
      <c r="BIS16" s="25"/>
      <c r="BIT16" s="25"/>
      <c r="BIU16" s="25"/>
      <c r="BIV16" s="25"/>
      <c r="BIW16" s="25"/>
      <c r="BIX16" s="25"/>
      <c r="BIY16" s="25"/>
      <c r="BJG16" s="25"/>
      <c r="BJH16" s="25"/>
      <c r="BJI16" s="25"/>
      <c r="BJJ16" s="25"/>
      <c r="BJK16" s="25"/>
      <c r="BJL16" s="25"/>
      <c r="BJM16" s="25"/>
      <c r="BJN16" s="25"/>
      <c r="BJO16" s="25"/>
      <c r="BJP16" s="25"/>
      <c r="BJQ16" s="25"/>
      <c r="BJR16" s="25"/>
      <c r="BJS16" s="25"/>
      <c r="BJT16" s="25"/>
      <c r="BKB16" s="25"/>
      <c r="BKC16" s="25"/>
      <c r="BKD16" s="25"/>
      <c r="BKE16" s="25"/>
      <c r="BKF16" s="25"/>
      <c r="BKG16" s="25"/>
      <c r="BKH16" s="25"/>
      <c r="BKI16" s="25"/>
      <c r="BKJ16" s="25"/>
      <c r="BKK16" s="25"/>
      <c r="BKL16" s="25"/>
      <c r="BKM16" s="25"/>
      <c r="BKN16" s="25"/>
      <c r="BKO16" s="25"/>
      <c r="BKW16" s="25"/>
      <c r="BKX16" s="25"/>
      <c r="BKY16" s="25"/>
      <c r="BKZ16" s="25"/>
      <c r="BLA16" s="25"/>
      <c r="BLB16" s="25"/>
      <c r="BLC16" s="25"/>
      <c r="BLD16" s="25"/>
      <c r="BLE16" s="25"/>
      <c r="BLF16" s="25"/>
      <c r="BLG16" s="25"/>
      <c r="BLH16" s="25"/>
      <c r="BLI16" s="25"/>
      <c r="BLJ16" s="25"/>
      <c r="BLN16" s="25">
        <v>0</v>
      </c>
      <c r="BLQ16" s="25"/>
      <c r="BLR16" s="25"/>
      <c r="BLS16" s="25"/>
      <c r="BLT16" s="25"/>
      <c r="BLU16" s="25"/>
      <c r="BLV16" s="25"/>
      <c r="BLX16" s="25"/>
      <c r="BLY16" s="25"/>
      <c r="BLZ16" s="25"/>
      <c r="BMA16" s="25"/>
      <c r="BPI16" s="25"/>
      <c r="BPJ16" s="25"/>
      <c r="BPK16" s="25"/>
      <c r="BPL16" s="25"/>
      <c r="BPM16" s="25"/>
      <c r="BPN16" s="25"/>
      <c r="BPO16" s="25"/>
      <c r="BPW16" s="25"/>
      <c r="BPX16" s="25"/>
      <c r="BPY16" s="25"/>
      <c r="BPZ16" s="25"/>
      <c r="BQA16" s="25"/>
      <c r="BQB16" s="25"/>
      <c r="BQC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TA16" s="25"/>
      <c r="BTB16" s="25"/>
      <c r="BTC16" s="25"/>
      <c r="BTD16" s="25"/>
      <c r="BTE16" s="25"/>
      <c r="BTF16" s="25"/>
      <c r="BTG16" s="25"/>
      <c r="BTH16" s="25"/>
      <c r="BTI16" s="25"/>
      <c r="BTJ16" s="25"/>
      <c r="BTK16" s="25"/>
      <c r="BTL16" s="25"/>
      <c r="BTM16" s="25"/>
      <c r="BTN16" s="25"/>
      <c r="BUQ16" s="25"/>
      <c r="BUR16" s="25"/>
      <c r="BUS16" s="25"/>
      <c r="BUT16" s="25"/>
      <c r="BUU16" s="25"/>
      <c r="BUV16" s="25"/>
      <c r="BUW16" s="25"/>
      <c r="BUX16" s="25"/>
      <c r="BUY16" s="25"/>
      <c r="BUZ16" s="25"/>
      <c r="BVA16" s="25"/>
      <c r="BVB16" s="25"/>
      <c r="BVC16" s="25"/>
      <c r="BVD16" s="25"/>
      <c r="BWC16" s="25" t="s">
        <v>28</v>
      </c>
      <c r="BWD16" s="25" t="s">
        <v>8326</v>
      </c>
      <c r="BWE16" s="25" t="s">
        <v>8327</v>
      </c>
      <c r="BWF16" s="25" t="s">
        <v>13706</v>
      </c>
      <c r="BWG16" s="25" t="s">
        <v>25</v>
      </c>
      <c r="BWH16" s="25" t="s">
        <v>2169</v>
      </c>
      <c r="BWI16" s="25" t="s">
        <v>25</v>
      </c>
      <c r="BWJ16" s="25" t="s">
        <v>8267</v>
      </c>
      <c r="BWK16" s="25" t="s">
        <v>25</v>
      </c>
      <c r="BWM16" s="25" t="s">
        <v>25</v>
      </c>
      <c r="BWO16" s="25" t="s">
        <v>25</v>
      </c>
      <c r="BWQ16" s="25" t="s">
        <v>28</v>
      </c>
      <c r="BWR16" s="25" t="s">
        <v>25</v>
      </c>
      <c r="BWT16" s="25" t="s">
        <v>25</v>
      </c>
      <c r="BWV16" s="25" t="s">
        <v>25</v>
      </c>
      <c r="BWX16" s="25" t="s">
        <v>28</v>
      </c>
      <c r="BWY16" s="25" t="s">
        <v>8328</v>
      </c>
      <c r="BWZ16" s="25" t="s">
        <v>28</v>
      </c>
      <c r="BXA16" s="56">
        <v>15</v>
      </c>
      <c r="BXB16" s="25" t="s">
        <v>25</v>
      </c>
      <c r="BXD16" s="25" t="s">
        <v>28</v>
      </c>
      <c r="BXE16" s="25" t="s">
        <v>8329</v>
      </c>
      <c r="BXF16" s="25" t="s">
        <v>28</v>
      </c>
      <c r="BXG16" s="56">
        <v>15</v>
      </c>
      <c r="BXH16" s="25" t="s">
        <v>25</v>
      </c>
      <c r="BXJ16" s="25" t="s">
        <v>28</v>
      </c>
      <c r="BXK16" s="25" t="s">
        <v>8330</v>
      </c>
      <c r="BXL16" s="25" t="s">
        <v>8331</v>
      </c>
      <c r="BXM16" s="25" t="s">
        <v>2201</v>
      </c>
      <c r="BXN16" s="25" t="s">
        <v>8332</v>
      </c>
      <c r="BXO16" s="25" t="s">
        <v>8274</v>
      </c>
      <c r="BXP16" s="25" t="s">
        <v>8273</v>
      </c>
      <c r="BXQ16" s="25" t="s">
        <v>8274</v>
      </c>
      <c r="BXR16" s="25" t="s">
        <v>8274</v>
      </c>
      <c r="BXS16" s="25" t="s">
        <v>8274</v>
      </c>
      <c r="BXU16" s="25" t="s">
        <v>25</v>
      </c>
      <c r="BXW16" s="25" t="s">
        <v>28</v>
      </c>
      <c r="BXX16" s="25" t="s">
        <v>28</v>
      </c>
      <c r="BXY16" s="25" t="s">
        <v>25</v>
      </c>
      <c r="BXZ16" s="25" t="s">
        <v>25</v>
      </c>
      <c r="BYA16" s="25" t="s">
        <v>25</v>
      </c>
      <c r="BYB16" s="25" t="s">
        <v>25</v>
      </c>
      <c r="BYC16" s="25" t="s">
        <v>2201</v>
      </c>
      <c r="BYD16" s="25" t="s">
        <v>28</v>
      </c>
      <c r="BYE16" s="25" t="s">
        <v>13607</v>
      </c>
      <c r="BYF16" s="25" t="s">
        <v>8277</v>
      </c>
      <c r="BYH16" s="25" t="s">
        <v>8278</v>
      </c>
      <c r="BYI16" s="56">
        <v>0</v>
      </c>
      <c r="BYJ16" s="56">
        <v>0</v>
      </c>
      <c r="BYK16" s="25" t="s">
        <v>8333</v>
      </c>
      <c r="BYL16" s="25" t="s">
        <v>25</v>
      </c>
      <c r="BYN16" s="25" t="s">
        <v>25</v>
      </c>
      <c r="BYP16" s="25" t="s">
        <v>25</v>
      </c>
      <c r="BYR16" s="25" t="s">
        <v>28</v>
      </c>
      <c r="BYS16" s="25" t="s">
        <v>8279</v>
      </c>
      <c r="BYT16" s="25" t="s">
        <v>8279</v>
      </c>
      <c r="BYU16" s="25" t="s">
        <v>732</v>
      </c>
      <c r="BYV16" s="25" t="s">
        <v>25</v>
      </c>
      <c r="BYW16" s="25" t="s">
        <v>28</v>
      </c>
      <c r="BYX16" s="56">
        <v>270</v>
      </c>
      <c r="BYY16" s="56">
        <v>810</v>
      </c>
      <c r="BYZ16" s="25" t="s">
        <v>8334</v>
      </c>
      <c r="BZA16" s="25" t="s">
        <v>8335</v>
      </c>
      <c r="BZB16" s="25" t="s">
        <v>256</v>
      </c>
      <c r="BZC16" s="25" t="s">
        <v>8282</v>
      </c>
      <c r="BZD16" s="25" t="s">
        <v>28</v>
      </c>
      <c r="BZE16" s="25" t="s">
        <v>28</v>
      </c>
      <c r="BZF16" s="25" t="s">
        <v>28</v>
      </c>
      <c r="BZG16" s="25" t="s">
        <v>25</v>
      </c>
      <c r="BZJ16" s="25" t="s">
        <v>25</v>
      </c>
      <c r="BZM16" s="25" t="s">
        <v>28</v>
      </c>
      <c r="BZN16" s="25" t="s">
        <v>8336</v>
      </c>
      <c r="BZP16" s="25" t="s">
        <v>8284</v>
      </c>
      <c r="BZQ16" s="56">
        <v>2000</v>
      </c>
      <c r="BZR16" s="25" t="s">
        <v>28</v>
      </c>
      <c r="BZS16" s="25" t="s">
        <v>25</v>
      </c>
      <c r="BZT16" s="25" t="s">
        <v>8337</v>
      </c>
      <c r="BZV16" s="25" t="s">
        <v>13637</v>
      </c>
      <c r="BZX16" s="25" t="s">
        <v>8338</v>
      </c>
      <c r="BZZ16" s="25" t="s">
        <v>25</v>
      </c>
      <c r="CAC16" s="25" t="s">
        <v>28</v>
      </c>
      <c r="CAD16" s="25" t="s">
        <v>8288</v>
      </c>
      <c r="CAE16" s="25" t="s">
        <v>28</v>
      </c>
      <c r="CAF16" s="25" t="s">
        <v>8289</v>
      </c>
      <c r="CAG16" s="25" t="s">
        <v>25</v>
      </c>
      <c r="CAH16" s="25" t="s">
        <v>631</v>
      </c>
      <c r="CAI16" s="25" t="s">
        <v>631</v>
      </c>
      <c r="CAJ16" s="25" t="s">
        <v>631</v>
      </c>
      <c r="CAK16" s="25" t="s">
        <v>631</v>
      </c>
      <c r="CAL16" s="25" t="s">
        <v>631</v>
      </c>
      <c r="CAM16" s="25" t="s">
        <v>8290</v>
      </c>
      <c r="CAN16" s="25" t="s">
        <v>631</v>
      </c>
      <c r="CAO16" s="25" t="s">
        <v>631</v>
      </c>
      <c r="CAP16" s="25" t="s">
        <v>631</v>
      </c>
      <c r="CAQ16" s="25" t="s">
        <v>631</v>
      </c>
      <c r="CAR16" s="25" t="s">
        <v>8339</v>
      </c>
      <c r="CAT16" s="25" t="s">
        <v>25</v>
      </c>
      <c r="CAV16" s="25" t="s">
        <v>8340</v>
      </c>
      <c r="CAW16" s="25" t="s">
        <v>8341</v>
      </c>
      <c r="CAX16" s="25" t="s">
        <v>8342</v>
      </c>
      <c r="CBB16" s="25">
        <v>1</v>
      </c>
      <c r="CBC16" s="25">
        <v>0</v>
      </c>
      <c r="CBD16" s="25">
        <v>0</v>
      </c>
      <c r="CBE16" s="56">
        <v>25</v>
      </c>
      <c r="CBF16" s="56">
        <v>75</v>
      </c>
      <c r="CBG16" s="56">
        <v>50</v>
      </c>
      <c r="CBH16" s="56">
        <v>150</v>
      </c>
      <c r="CBI16" s="56">
        <v>2000</v>
      </c>
      <c r="CBK16" s="56">
        <v>1500</v>
      </c>
      <c r="CBM16" s="26">
        <v>0</v>
      </c>
      <c r="CBN16" s="26">
        <v>0.1</v>
      </c>
      <c r="CBO16" s="26">
        <v>0.2</v>
      </c>
      <c r="CBP16" s="26">
        <v>0.2</v>
      </c>
      <c r="CBQ16" s="26">
        <v>0.4</v>
      </c>
      <c r="CBR16" s="26">
        <v>0.5</v>
      </c>
      <c r="CBS16" s="26">
        <v>0.5</v>
      </c>
      <c r="CBT16" s="26">
        <v>0.5</v>
      </c>
      <c r="CBU16" s="27" t="s">
        <v>28</v>
      </c>
      <c r="CBV16" s="27" t="s">
        <v>8298</v>
      </c>
      <c r="CBW16" s="27" t="s">
        <v>8294</v>
      </c>
      <c r="CBX16" s="27" t="s">
        <v>8343</v>
      </c>
      <c r="CBY16" s="27" t="s">
        <v>8296</v>
      </c>
      <c r="CBZ16" s="27" t="s">
        <v>8296</v>
      </c>
      <c r="CCA16" s="27" t="s">
        <v>8297</v>
      </c>
      <c r="CCB16" s="27" t="s">
        <v>8298</v>
      </c>
      <c r="CCC16" s="27" t="s">
        <v>8296</v>
      </c>
      <c r="CCD16" s="27" t="s">
        <v>8297</v>
      </c>
      <c r="CCE16" s="27" t="s">
        <v>8297</v>
      </c>
      <c r="CCF16" s="27" t="s">
        <v>8297</v>
      </c>
      <c r="CCG16" s="27" t="s">
        <v>8297</v>
      </c>
      <c r="CCH16" s="27" t="s">
        <v>8296</v>
      </c>
      <c r="CCI16" s="27" t="s">
        <v>8298</v>
      </c>
      <c r="CCJ16" s="27" t="s">
        <v>8296</v>
      </c>
      <c r="CCK16" s="27" t="s">
        <v>8297</v>
      </c>
      <c r="CCL16" s="27" t="s">
        <v>8297</v>
      </c>
      <c r="CCN16" s="27" t="s">
        <v>8297</v>
      </c>
      <c r="CCO16" s="27" t="s">
        <v>8300</v>
      </c>
      <c r="CCP16" s="27" t="s">
        <v>8297</v>
      </c>
      <c r="CCQ16" s="27" t="s">
        <v>8297</v>
      </c>
      <c r="CCR16" s="27" t="s">
        <v>8297</v>
      </c>
      <c r="CCS16" s="27" t="s">
        <v>8298</v>
      </c>
      <c r="CCT16" s="27" t="s">
        <v>29</v>
      </c>
      <c r="CCU16" s="27" t="s">
        <v>8296</v>
      </c>
      <c r="CCV16" s="27" t="s">
        <v>8298</v>
      </c>
      <c r="CCW16" s="27" t="s">
        <v>8298</v>
      </c>
      <c r="CCX16" s="27" t="s">
        <v>8298</v>
      </c>
      <c r="CCY16" s="27" t="s">
        <v>8298</v>
      </c>
      <c r="CCZ16" s="27" t="s">
        <v>28</v>
      </c>
      <c r="CDA16" s="27" t="s">
        <v>28</v>
      </c>
      <c r="CDB16" s="27" t="s">
        <v>28</v>
      </c>
      <c r="CDC16" s="27" t="s">
        <v>25</v>
      </c>
      <c r="CDD16" s="27" t="s">
        <v>28</v>
      </c>
      <c r="CDE16" s="27" t="s">
        <v>28</v>
      </c>
      <c r="CDF16" s="27" t="s">
        <v>28</v>
      </c>
      <c r="CDG16" s="27" t="s">
        <v>28</v>
      </c>
      <c r="CDH16" s="27" t="s">
        <v>28</v>
      </c>
      <c r="CDI16" s="27" t="s">
        <v>28</v>
      </c>
      <c r="CDJ16" s="27" t="s">
        <v>28</v>
      </c>
      <c r="CDK16" s="27" t="s">
        <v>28</v>
      </c>
      <c r="CDL16" s="27" t="s">
        <v>28</v>
      </c>
      <c r="CDM16" s="27" t="s">
        <v>28</v>
      </c>
      <c r="CDO16" s="27" t="s">
        <v>28</v>
      </c>
      <c r="CDP16" s="27" t="s">
        <v>28</v>
      </c>
      <c r="CDQ16" s="27" t="s">
        <v>28</v>
      </c>
      <c r="CDR16" s="27" t="s">
        <v>28</v>
      </c>
      <c r="CDS16" s="27" t="s">
        <v>28</v>
      </c>
      <c r="CDT16" s="27" t="s">
        <v>28</v>
      </c>
      <c r="CDU16" s="27" t="s">
        <v>28</v>
      </c>
      <c r="CDV16" s="27" t="s">
        <v>28</v>
      </c>
      <c r="CDW16" s="27" t="s">
        <v>28</v>
      </c>
      <c r="CDX16" s="27" t="s">
        <v>28</v>
      </c>
      <c r="CDY16" s="27" t="s">
        <v>28</v>
      </c>
      <c r="CDZ16" s="27" t="s">
        <v>28</v>
      </c>
      <c r="CEA16" s="27" t="s">
        <v>2673</v>
      </c>
      <c r="CEB16" s="27" t="s">
        <v>2673</v>
      </c>
      <c r="CEC16" s="27" t="s">
        <v>2673</v>
      </c>
      <c r="CED16" s="27" t="s">
        <v>2673</v>
      </c>
      <c r="CEE16" s="27" t="s">
        <v>2673</v>
      </c>
      <c r="CEF16" s="27" t="s">
        <v>2673</v>
      </c>
      <c r="CEG16" s="27" t="s">
        <v>29</v>
      </c>
      <c r="CEH16" s="27" t="s">
        <v>29</v>
      </c>
      <c r="CEI16" s="27" t="s">
        <v>29</v>
      </c>
      <c r="CEJ16" s="27" t="s">
        <v>2673</v>
      </c>
      <c r="CEK16" s="27" t="s">
        <v>8302</v>
      </c>
      <c r="CEL16" s="27" t="s">
        <v>8302</v>
      </c>
      <c r="CEM16" s="27" t="s">
        <v>2673</v>
      </c>
      <c r="CEN16" s="27" t="s">
        <v>2673</v>
      </c>
      <c r="CEP16" s="27" t="s">
        <v>2673</v>
      </c>
      <c r="CEQ16" s="27" t="s">
        <v>8304</v>
      </c>
      <c r="CER16" s="27" t="s">
        <v>2673</v>
      </c>
      <c r="CES16" s="27" t="s">
        <v>2673</v>
      </c>
      <c r="CET16" s="27" t="s">
        <v>2673</v>
      </c>
      <c r="CEU16" s="27" t="s">
        <v>2673</v>
      </c>
      <c r="CEV16" s="27" t="s">
        <v>2673</v>
      </c>
      <c r="CEW16" s="27" t="s">
        <v>8306</v>
      </c>
      <c r="CEX16" s="27" t="s">
        <v>8302</v>
      </c>
      <c r="CEY16" s="27" t="s">
        <v>29</v>
      </c>
      <c r="CEZ16" s="27" t="s">
        <v>8301</v>
      </c>
      <c r="CFA16" s="27" t="s">
        <v>29</v>
      </c>
      <c r="CFB16" s="27" t="s">
        <v>25</v>
      </c>
      <c r="CFC16" s="27" t="s">
        <v>25</v>
      </c>
      <c r="CFD16" s="27" t="s">
        <v>25</v>
      </c>
      <c r="CFE16" s="27" t="s">
        <v>25</v>
      </c>
      <c r="CFF16" s="27" t="s">
        <v>25</v>
      </c>
      <c r="CFG16" s="27" t="s">
        <v>25</v>
      </c>
      <c r="CFH16" s="27" t="s">
        <v>25</v>
      </c>
      <c r="CFI16" s="27" t="s">
        <v>25</v>
      </c>
      <c r="CFJ16" s="27" t="s">
        <v>25</v>
      </c>
      <c r="CFK16" s="27" t="s">
        <v>25</v>
      </c>
      <c r="CFL16" s="27" t="s">
        <v>25</v>
      </c>
      <c r="CFM16" s="27" t="s">
        <v>25</v>
      </c>
      <c r="CFN16" s="27" t="s">
        <v>25</v>
      </c>
      <c r="CFO16" s="27" t="s">
        <v>25</v>
      </c>
      <c r="CFQ16" s="27" t="s">
        <v>25</v>
      </c>
      <c r="CFR16" s="27" t="s">
        <v>25</v>
      </c>
      <c r="CFS16" s="27" t="s">
        <v>25</v>
      </c>
      <c r="CFT16" s="27" t="s">
        <v>25</v>
      </c>
      <c r="CFU16" s="27" t="s">
        <v>25</v>
      </c>
      <c r="CFV16" s="27" t="s">
        <v>25</v>
      </c>
      <c r="CFW16" s="27" t="s">
        <v>25</v>
      </c>
      <c r="CFX16" s="27" t="s">
        <v>25</v>
      </c>
      <c r="CFY16" s="27" t="s">
        <v>25</v>
      </c>
      <c r="CFZ16" s="27" t="s">
        <v>25</v>
      </c>
      <c r="CGA16" s="27" t="s">
        <v>25</v>
      </c>
      <c r="CGB16" s="27" t="s">
        <v>25</v>
      </c>
      <c r="CPW16" s="27">
        <v>1</v>
      </c>
      <c r="CPX16" s="56">
        <v>25</v>
      </c>
      <c r="CPY16" s="26">
        <v>0</v>
      </c>
      <c r="CPZ16" s="56">
        <v>0</v>
      </c>
      <c r="CQA16" s="26">
        <v>0</v>
      </c>
      <c r="CQB16" s="25" t="s">
        <v>8307</v>
      </c>
      <c r="CQC16" s="25" t="s">
        <v>8307</v>
      </c>
      <c r="CQD16" s="25" t="s">
        <v>8344</v>
      </c>
      <c r="CQE16" s="25" t="s">
        <v>635</v>
      </c>
      <c r="CQF16" s="25" t="s">
        <v>8307</v>
      </c>
      <c r="CQG16" s="56">
        <v>0</v>
      </c>
      <c r="CQH16" s="56">
        <v>150</v>
      </c>
      <c r="CQI16" s="56">
        <v>150</v>
      </c>
      <c r="CQJ16" s="56">
        <v>0</v>
      </c>
      <c r="CQK16" s="56">
        <v>150</v>
      </c>
      <c r="CQL16" s="25" t="s">
        <v>13744</v>
      </c>
      <c r="CQM16" s="25" t="s">
        <v>8345</v>
      </c>
      <c r="CQN16" s="25" t="s">
        <v>28</v>
      </c>
      <c r="CQO16" s="25" t="s">
        <v>8309</v>
      </c>
      <c r="CQQ16" s="25" t="s">
        <v>8346</v>
      </c>
      <c r="CQR16" s="25" t="s">
        <v>8347</v>
      </c>
      <c r="CQS16" s="25" t="s">
        <v>25</v>
      </c>
      <c r="CQT16" s="25" t="s">
        <v>8313</v>
      </c>
      <c r="CQU16" s="25" t="s">
        <v>8313</v>
      </c>
      <c r="CQV16" s="25" t="s">
        <v>8313</v>
      </c>
      <c r="CQW16" s="25" t="s">
        <v>8313</v>
      </c>
      <c r="CQX16" s="25" t="s">
        <v>8313</v>
      </c>
      <c r="CQY16" s="25" t="s">
        <v>8313</v>
      </c>
      <c r="CQZ16" s="25" t="s">
        <v>8312</v>
      </c>
      <c r="CRA16" s="25" t="s">
        <v>8312</v>
      </c>
      <c r="CRB16" s="25" t="s">
        <v>8313</v>
      </c>
      <c r="CRC16" s="25" t="s">
        <v>8313</v>
      </c>
      <c r="CRD16" s="25" t="s">
        <v>8313</v>
      </c>
      <c r="CRE16" s="27" t="s">
        <v>8313</v>
      </c>
    </row>
    <row r="17" spans="1:2501" ht="114.75" x14ac:dyDescent="0.2">
      <c r="A17" s="21" t="s">
        <v>134</v>
      </c>
      <c r="B17" s="26">
        <v>0.23</v>
      </c>
      <c r="C17" s="26">
        <v>0.02</v>
      </c>
      <c r="D17" s="26">
        <v>0.05</v>
      </c>
      <c r="E17" s="26">
        <v>0.68</v>
      </c>
      <c r="F17" s="26">
        <v>0</v>
      </c>
      <c r="G17" s="26">
        <v>0</v>
      </c>
      <c r="H17" s="26">
        <v>0</v>
      </c>
      <c r="I17" s="26">
        <v>0</v>
      </c>
      <c r="J17" s="26">
        <v>0</v>
      </c>
      <c r="K17" s="26">
        <v>0</v>
      </c>
      <c r="L17" s="26">
        <v>0</v>
      </c>
      <c r="M17" s="26">
        <v>0.02</v>
      </c>
      <c r="N17" s="26">
        <v>0.23</v>
      </c>
      <c r="O17" s="26">
        <v>0.02</v>
      </c>
      <c r="P17" s="26">
        <v>0.05</v>
      </c>
      <c r="Q17" s="26">
        <v>0.68</v>
      </c>
      <c r="R17" s="26">
        <v>0</v>
      </c>
      <c r="S17" s="26">
        <v>0</v>
      </c>
      <c r="T17" s="26">
        <v>0</v>
      </c>
      <c r="U17" s="26">
        <v>0</v>
      </c>
      <c r="V17" s="26">
        <v>0</v>
      </c>
      <c r="W17" s="26">
        <v>0</v>
      </c>
      <c r="X17" s="26">
        <v>0</v>
      </c>
      <c r="Y17" s="26">
        <v>0.02</v>
      </c>
      <c r="Z17" s="25">
        <v>1</v>
      </c>
      <c r="AA17" s="25" t="s">
        <v>8348</v>
      </c>
      <c r="AC17" s="56">
        <v>2000</v>
      </c>
      <c r="AD17" s="56">
        <v>5000</v>
      </c>
      <c r="AE17" s="56">
        <v>5000</v>
      </c>
      <c r="AF17" s="56">
        <v>10000</v>
      </c>
      <c r="AG17" s="56">
        <v>10000</v>
      </c>
      <c r="AI17" s="25" t="s">
        <v>8577</v>
      </c>
      <c r="AJ17" s="56">
        <v>400</v>
      </c>
      <c r="AK17" s="56">
        <v>800</v>
      </c>
      <c r="AL17" s="56">
        <v>800</v>
      </c>
      <c r="AM17" s="56">
        <v>1600</v>
      </c>
      <c r="AN17" s="25" t="s">
        <v>8350</v>
      </c>
      <c r="AO17" s="25" t="s">
        <v>8248</v>
      </c>
      <c r="BB17" s="25" t="s">
        <v>8249</v>
      </c>
      <c r="DO17" s="25" t="s">
        <v>25</v>
      </c>
      <c r="DP17" s="25" t="s">
        <v>28</v>
      </c>
      <c r="DQ17" s="25" t="s">
        <v>25</v>
      </c>
      <c r="DR17" s="25" t="s">
        <v>25</v>
      </c>
      <c r="DT17" s="25" t="s">
        <v>13417</v>
      </c>
      <c r="DU17" s="25" t="s">
        <v>13417</v>
      </c>
      <c r="DV17" s="56">
        <v>20</v>
      </c>
      <c r="DW17" s="56">
        <v>30</v>
      </c>
      <c r="DX17" s="56">
        <v>0</v>
      </c>
      <c r="DY17" s="56">
        <v>10</v>
      </c>
      <c r="DZ17" s="56">
        <v>30</v>
      </c>
      <c r="EA17" s="56">
        <v>0</v>
      </c>
      <c r="EC17" s="26">
        <v>0</v>
      </c>
      <c r="ED17" s="26">
        <v>0</v>
      </c>
      <c r="EE17" s="26">
        <v>0</v>
      </c>
      <c r="EF17" s="26">
        <v>0.1</v>
      </c>
      <c r="EG17" s="26">
        <v>0</v>
      </c>
      <c r="EH17" s="26">
        <v>0</v>
      </c>
      <c r="EJ17" s="56">
        <v>0</v>
      </c>
      <c r="EK17" s="56">
        <v>0</v>
      </c>
      <c r="EO17" s="56">
        <v>0</v>
      </c>
      <c r="EQ17" s="26">
        <v>0.3</v>
      </c>
      <c r="ER17" s="26">
        <v>0.3</v>
      </c>
      <c r="EV17" s="26">
        <v>0.3</v>
      </c>
      <c r="EX17" s="25" t="s">
        <v>8250</v>
      </c>
      <c r="EY17" s="25" t="s">
        <v>8250</v>
      </c>
      <c r="EZ17" s="25" t="s">
        <v>8250</v>
      </c>
      <c r="FA17" s="25" t="s">
        <v>8250</v>
      </c>
      <c r="FB17" s="25" t="s">
        <v>8250</v>
      </c>
      <c r="FC17" s="25" t="s">
        <v>8250</v>
      </c>
      <c r="FE17" s="25" t="s">
        <v>28</v>
      </c>
      <c r="FF17" s="25" t="s">
        <v>28</v>
      </c>
      <c r="FG17" s="25" t="s">
        <v>28</v>
      </c>
      <c r="FH17" s="25" t="s">
        <v>25</v>
      </c>
      <c r="FI17" s="25" t="s">
        <v>25</v>
      </c>
      <c r="FJ17" s="25" t="s">
        <v>25</v>
      </c>
      <c r="FL17" s="25" t="s">
        <v>13810</v>
      </c>
      <c r="FM17" s="25" t="s">
        <v>13810</v>
      </c>
      <c r="FN17" s="25" t="s">
        <v>13810</v>
      </c>
      <c r="FO17" s="25" t="s">
        <v>13810</v>
      </c>
      <c r="FP17" s="25" t="s">
        <v>13810</v>
      </c>
      <c r="FQ17" s="25" t="s">
        <v>13810</v>
      </c>
      <c r="FR17" s="25" t="s">
        <v>13810</v>
      </c>
      <c r="FS17" s="25" t="s">
        <v>13810</v>
      </c>
      <c r="FT17" s="25" t="s">
        <v>13810</v>
      </c>
      <c r="FU17" s="25" t="s">
        <v>631</v>
      </c>
      <c r="FV17" s="25" t="s">
        <v>8578</v>
      </c>
      <c r="FW17" s="25" t="s">
        <v>8578</v>
      </c>
      <c r="FX17" s="25" t="s">
        <v>8578</v>
      </c>
      <c r="FY17" s="25" t="s">
        <v>13451</v>
      </c>
      <c r="FZ17" s="25" t="s">
        <v>14230</v>
      </c>
      <c r="GA17" s="25" t="s">
        <v>13455</v>
      </c>
      <c r="GB17" s="25" t="s">
        <v>8579</v>
      </c>
      <c r="GC17" s="25" t="s">
        <v>8578</v>
      </c>
      <c r="GD17" s="25" t="s">
        <v>8253</v>
      </c>
      <c r="GE17" s="56">
        <v>10</v>
      </c>
      <c r="GG17" s="56">
        <v>20</v>
      </c>
      <c r="GI17" s="56">
        <v>25</v>
      </c>
      <c r="GK17" s="56">
        <v>50</v>
      </c>
      <c r="GM17" s="56">
        <v>50</v>
      </c>
      <c r="GO17" s="56">
        <v>100</v>
      </c>
      <c r="GQ17" s="56">
        <v>180</v>
      </c>
      <c r="GS17" s="56">
        <v>540</v>
      </c>
      <c r="HI17" s="57">
        <v>0.2</v>
      </c>
      <c r="HJ17" s="57">
        <v>0.3</v>
      </c>
      <c r="HS17" s="56">
        <v>50</v>
      </c>
      <c r="HU17" s="56">
        <v>180</v>
      </c>
      <c r="IB17" s="26">
        <v>0.5</v>
      </c>
      <c r="IC17" s="26">
        <v>0.5</v>
      </c>
      <c r="ID17" s="26">
        <v>0.5</v>
      </c>
      <c r="IE17" s="26">
        <v>0.5</v>
      </c>
      <c r="IY17" s="26">
        <v>0.2</v>
      </c>
      <c r="IZ17" s="26">
        <v>0.3</v>
      </c>
      <c r="JI17" s="56">
        <v>100</v>
      </c>
      <c r="JK17" s="56">
        <v>540</v>
      </c>
      <c r="JR17" s="26">
        <v>0.5</v>
      </c>
      <c r="JS17" s="26">
        <v>0.5</v>
      </c>
      <c r="JT17" s="26">
        <v>0.5</v>
      </c>
      <c r="JU17" s="26">
        <v>0.5</v>
      </c>
      <c r="KM17" s="25" t="s">
        <v>8352</v>
      </c>
      <c r="KN17" s="25" t="s">
        <v>8256</v>
      </c>
      <c r="KO17" s="25" t="s">
        <v>8321</v>
      </c>
      <c r="KP17" s="25">
        <v>1</v>
      </c>
      <c r="KQ17" s="25" t="s">
        <v>8580</v>
      </c>
      <c r="KS17" s="56">
        <v>2600</v>
      </c>
      <c r="KT17" s="56">
        <v>5200</v>
      </c>
      <c r="KU17" s="56">
        <v>5200</v>
      </c>
      <c r="KV17" s="56">
        <v>10400</v>
      </c>
      <c r="KY17" s="25" t="s">
        <v>8577</v>
      </c>
      <c r="KZ17" s="56">
        <v>1400</v>
      </c>
      <c r="LA17" s="56">
        <v>2800</v>
      </c>
      <c r="LB17" s="56">
        <v>2800</v>
      </c>
      <c r="LC17" s="56">
        <v>5600</v>
      </c>
      <c r="LD17" s="25" t="s">
        <v>8247</v>
      </c>
      <c r="LE17" s="25" t="s">
        <v>8248</v>
      </c>
      <c r="LR17" s="25" t="s">
        <v>8249</v>
      </c>
      <c r="OE17" s="25" t="s">
        <v>25</v>
      </c>
      <c r="OF17" s="25" t="s">
        <v>28</v>
      </c>
      <c r="OG17" s="25" t="s">
        <v>25</v>
      </c>
      <c r="OH17" s="25" t="s">
        <v>25</v>
      </c>
      <c r="OJ17" s="25" t="s">
        <v>13416</v>
      </c>
      <c r="OK17" s="25" t="s">
        <v>13416</v>
      </c>
      <c r="OL17" s="56">
        <v>0</v>
      </c>
      <c r="OM17" s="56">
        <v>0</v>
      </c>
      <c r="ON17" s="56">
        <v>0</v>
      </c>
      <c r="OO17" s="56">
        <v>0</v>
      </c>
      <c r="OP17" s="56">
        <v>0</v>
      </c>
      <c r="OQ17" s="56">
        <v>0</v>
      </c>
      <c r="OS17" s="26">
        <v>0.1</v>
      </c>
      <c r="OT17" s="26">
        <v>0.1</v>
      </c>
      <c r="OU17" s="26">
        <v>0.1</v>
      </c>
      <c r="OV17" s="26">
        <v>0.1</v>
      </c>
      <c r="OW17" s="26">
        <v>0.1</v>
      </c>
      <c r="OX17" s="26">
        <v>0.1</v>
      </c>
      <c r="OZ17" s="56">
        <v>0</v>
      </c>
      <c r="PA17" s="56">
        <v>0</v>
      </c>
      <c r="PB17" s="56">
        <v>0</v>
      </c>
      <c r="PC17" s="56">
        <v>0</v>
      </c>
      <c r="PD17" s="56">
        <v>0</v>
      </c>
      <c r="PE17" s="56">
        <v>0</v>
      </c>
      <c r="PG17" s="26">
        <v>0.3</v>
      </c>
      <c r="PH17" s="26">
        <v>0.3</v>
      </c>
      <c r="PI17" s="26">
        <v>0.3</v>
      </c>
      <c r="PJ17" s="26">
        <v>0.3</v>
      </c>
      <c r="PK17" s="26">
        <v>0.3</v>
      </c>
      <c r="PL17" s="26">
        <v>0.3</v>
      </c>
      <c r="PN17" s="25" t="s">
        <v>8250</v>
      </c>
      <c r="PO17" s="25" t="s">
        <v>8250</v>
      </c>
      <c r="PP17" s="25" t="s">
        <v>8250</v>
      </c>
      <c r="PQ17" s="25" t="s">
        <v>8250</v>
      </c>
      <c r="PR17" s="25" t="s">
        <v>8250</v>
      </c>
      <c r="PS17" s="25" t="s">
        <v>8250</v>
      </c>
      <c r="PU17" s="25" t="s">
        <v>28</v>
      </c>
      <c r="PV17" s="25" t="s">
        <v>28</v>
      </c>
      <c r="PW17" s="25" t="s">
        <v>28</v>
      </c>
      <c r="PX17" s="25" t="s">
        <v>25</v>
      </c>
      <c r="PY17" s="25" t="s">
        <v>25</v>
      </c>
      <c r="PZ17" s="25" t="s">
        <v>25</v>
      </c>
      <c r="QB17" s="25" t="s">
        <v>13810</v>
      </c>
      <c r="QC17" s="25" t="s">
        <v>13810</v>
      </c>
      <c r="QD17" s="25" t="s">
        <v>13810</v>
      </c>
      <c r="QE17" s="25" t="s">
        <v>13810</v>
      </c>
      <c r="QF17" s="25" t="s">
        <v>13810</v>
      </c>
      <c r="QG17" s="25" t="s">
        <v>13810</v>
      </c>
      <c r="QH17" s="25" t="s">
        <v>13810</v>
      </c>
      <c r="QI17" s="25" t="s">
        <v>13810</v>
      </c>
      <c r="QJ17" s="25" t="s">
        <v>631</v>
      </c>
      <c r="QK17" s="25" t="s">
        <v>631</v>
      </c>
      <c r="QL17" s="25" t="s">
        <v>8578</v>
      </c>
      <c r="QM17" s="25" t="s">
        <v>8578</v>
      </c>
      <c r="QN17" s="25" t="s">
        <v>8578</v>
      </c>
      <c r="QO17" s="25" t="s">
        <v>13451</v>
      </c>
      <c r="QP17" s="25" t="s">
        <v>13451</v>
      </c>
      <c r="QQ17" s="25" t="s">
        <v>13455</v>
      </c>
      <c r="QR17" s="25" t="s">
        <v>8579</v>
      </c>
      <c r="QS17" s="25" t="s">
        <v>8578</v>
      </c>
      <c r="RG17" s="56">
        <v>180</v>
      </c>
      <c r="RI17" s="56">
        <v>540</v>
      </c>
      <c r="RW17" s="26">
        <v>0.1</v>
      </c>
      <c r="RX17" s="26">
        <v>0.2</v>
      </c>
      <c r="RY17" s="26">
        <v>0.3</v>
      </c>
      <c r="RZ17" s="26">
        <v>0.3</v>
      </c>
      <c r="SK17" s="56">
        <v>180</v>
      </c>
      <c r="SR17" s="26">
        <v>0.5</v>
      </c>
      <c r="SS17" s="26">
        <v>0.5</v>
      </c>
      <c r="ST17" s="26">
        <v>0.5</v>
      </c>
      <c r="TM17" s="26">
        <v>0.1</v>
      </c>
      <c r="TN17" s="26">
        <v>0.2</v>
      </c>
      <c r="TO17" s="26">
        <v>0.3</v>
      </c>
      <c r="VC17" s="25" t="s">
        <v>8352</v>
      </c>
      <c r="VD17" s="25" t="s">
        <v>8298</v>
      </c>
      <c r="VE17" s="25" t="s">
        <v>8321</v>
      </c>
      <c r="VF17" s="25">
        <v>1</v>
      </c>
      <c r="VG17" s="25" t="s">
        <v>8581</v>
      </c>
      <c r="VI17" s="56">
        <v>2000</v>
      </c>
      <c r="VJ17" s="56">
        <v>5000</v>
      </c>
      <c r="VO17" s="25" t="s">
        <v>8577</v>
      </c>
      <c r="VP17" s="56">
        <v>350</v>
      </c>
      <c r="VQ17" s="56">
        <v>700</v>
      </c>
      <c r="VT17" s="25" t="s">
        <v>8248</v>
      </c>
      <c r="WG17" s="25" t="s">
        <v>8249</v>
      </c>
      <c r="YT17" s="25" t="s">
        <v>25</v>
      </c>
      <c r="YU17" s="25" t="s">
        <v>28</v>
      </c>
      <c r="YV17" s="25" t="s">
        <v>25</v>
      </c>
      <c r="YW17" s="25" t="s">
        <v>25</v>
      </c>
      <c r="YY17" s="25" t="s">
        <v>14232</v>
      </c>
      <c r="YZ17" s="25" t="s">
        <v>8432</v>
      </c>
      <c r="ZA17" s="56">
        <v>25</v>
      </c>
      <c r="ZB17" s="56">
        <v>40</v>
      </c>
      <c r="ZC17" s="56">
        <v>0</v>
      </c>
      <c r="ZD17" s="56">
        <v>250</v>
      </c>
      <c r="ZE17" s="56">
        <v>40</v>
      </c>
      <c r="ZF17" s="56">
        <v>25</v>
      </c>
      <c r="AAC17" s="25" t="s">
        <v>8250</v>
      </c>
      <c r="AAD17" s="25" t="s">
        <v>8250</v>
      </c>
      <c r="AAE17" s="25" t="s">
        <v>8250</v>
      </c>
      <c r="AAF17" s="25" t="s">
        <v>8250</v>
      </c>
      <c r="AAG17" s="25" t="s">
        <v>8250</v>
      </c>
      <c r="AAH17" s="25" t="s">
        <v>8250</v>
      </c>
      <c r="AAJ17" s="25" t="s">
        <v>28</v>
      </c>
      <c r="AAK17" s="25" t="s">
        <v>28</v>
      </c>
      <c r="AAL17" s="25" t="s">
        <v>28</v>
      </c>
      <c r="AAM17" s="25" t="s">
        <v>25</v>
      </c>
      <c r="AAN17" s="25" t="s">
        <v>25</v>
      </c>
      <c r="AAO17" s="25" t="s">
        <v>25</v>
      </c>
      <c r="AAQ17" s="25" t="s">
        <v>13810</v>
      </c>
      <c r="AAR17" s="25" t="s">
        <v>13810</v>
      </c>
      <c r="AAS17" s="25" t="s">
        <v>13810</v>
      </c>
      <c r="AAT17" s="25" t="s">
        <v>13810</v>
      </c>
      <c r="AAU17" s="25" t="s">
        <v>13810</v>
      </c>
      <c r="AAV17" s="25" t="s">
        <v>13810</v>
      </c>
      <c r="AAW17" s="25" t="s">
        <v>13810</v>
      </c>
      <c r="AAX17" s="25" t="s">
        <v>13810</v>
      </c>
      <c r="AAY17" s="25" t="s">
        <v>631</v>
      </c>
      <c r="AAZ17" s="25" t="s">
        <v>631</v>
      </c>
      <c r="ABA17" s="25" t="s">
        <v>13814</v>
      </c>
      <c r="ABB17" s="25" t="s">
        <v>13815</v>
      </c>
      <c r="ABC17" s="25" t="s">
        <v>13815</v>
      </c>
      <c r="ABD17" s="25" t="s">
        <v>13451</v>
      </c>
      <c r="ABE17" s="25" t="s">
        <v>13594</v>
      </c>
      <c r="ABF17" s="25" t="s">
        <v>13595</v>
      </c>
      <c r="ABG17" s="25" t="s">
        <v>8579</v>
      </c>
      <c r="ABH17" s="25" t="s">
        <v>8582</v>
      </c>
      <c r="ABJ17" s="56">
        <v>10</v>
      </c>
      <c r="ABL17" s="56">
        <v>20</v>
      </c>
      <c r="ABN17" s="56">
        <v>30</v>
      </c>
      <c r="ABP17" s="56">
        <v>60</v>
      </c>
      <c r="ABR17" s="56">
        <v>60</v>
      </c>
      <c r="ABT17" s="56">
        <v>120</v>
      </c>
      <c r="ABV17" s="56">
        <v>180</v>
      </c>
      <c r="ABX17" s="56">
        <v>540</v>
      </c>
      <c r="ACN17" s="26">
        <v>0.2</v>
      </c>
      <c r="ACO17" s="26">
        <v>0.3</v>
      </c>
      <c r="ACZ17" s="56">
        <v>180</v>
      </c>
      <c r="ADG17" s="26">
        <v>0.5</v>
      </c>
      <c r="ADH17" s="26">
        <v>0.5</v>
      </c>
      <c r="ADI17" s="26">
        <v>0.5</v>
      </c>
      <c r="AED17" s="26">
        <v>0.2</v>
      </c>
      <c r="AEE17" s="26">
        <v>0.3</v>
      </c>
      <c r="AEN17" s="56">
        <v>120</v>
      </c>
      <c r="AEW17" s="26">
        <v>0.5</v>
      </c>
      <c r="AEX17" s="26">
        <v>0.5</v>
      </c>
      <c r="AEY17" s="26">
        <v>0.5</v>
      </c>
      <c r="AFR17" s="25" t="s">
        <v>8352</v>
      </c>
      <c r="AFS17" s="25" t="s">
        <v>8256</v>
      </c>
      <c r="AFT17" s="25" t="s">
        <v>8321</v>
      </c>
      <c r="AFU17" s="25">
        <v>0</v>
      </c>
      <c r="AFX17" s="25"/>
      <c r="AFY17" s="25"/>
      <c r="AFZ17" s="25"/>
      <c r="AGA17" s="25"/>
      <c r="AGB17" s="25"/>
      <c r="AGC17" s="25"/>
      <c r="AGE17" s="25"/>
      <c r="AGF17" s="25"/>
      <c r="AGG17" s="25"/>
      <c r="AGH17" s="25"/>
      <c r="AJP17" s="25"/>
      <c r="AJQ17" s="25"/>
      <c r="AJR17" s="25"/>
      <c r="AJS17" s="25"/>
      <c r="AJT17" s="25"/>
      <c r="AJU17" s="25"/>
      <c r="AJV17" s="25"/>
      <c r="AKD17" s="25"/>
      <c r="AKE17" s="25"/>
      <c r="AKF17" s="25"/>
      <c r="AKG17" s="25"/>
      <c r="AKH17" s="25"/>
      <c r="AKI17" s="25"/>
      <c r="AKJ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H17" s="25"/>
      <c r="ANI17" s="25"/>
      <c r="ANJ17" s="25"/>
      <c r="ANK17" s="25"/>
      <c r="ANL17" s="25"/>
      <c r="ANM17" s="25"/>
      <c r="ANN17" s="25"/>
      <c r="ANO17" s="25"/>
      <c r="ANP17" s="25"/>
      <c r="ANQ17" s="25"/>
      <c r="ANR17" s="25"/>
      <c r="ANS17" s="25"/>
      <c r="ANT17" s="25"/>
      <c r="ANU17" s="25"/>
      <c r="AOC17" s="25"/>
      <c r="AOD17" s="25"/>
      <c r="AOE17" s="25"/>
      <c r="AOF17" s="25"/>
      <c r="AOG17" s="25"/>
      <c r="AOH17" s="25"/>
      <c r="AOI17" s="25"/>
      <c r="AOJ17" s="25"/>
      <c r="AOK17" s="25"/>
      <c r="AOL17" s="25"/>
      <c r="AOM17" s="25"/>
      <c r="AON17" s="25"/>
      <c r="AOO17" s="25"/>
      <c r="AOP17" s="25"/>
      <c r="AOX17" s="25"/>
      <c r="AOY17" s="25"/>
      <c r="AOZ17" s="25"/>
      <c r="APA17" s="25"/>
      <c r="APB17" s="25"/>
      <c r="APC17" s="25"/>
      <c r="APD17" s="25"/>
      <c r="APE17" s="25"/>
      <c r="APF17" s="25"/>
      <c r="APG17" s="25"/>
      <c r="APH17" s="25"/>
      <c r="API17" s="25"/>
      <c r="APJ17" s="25"/>
      <c r="APK17" s="25"/>
      <c r="APS17" s="25"/>
      <c r="APT17" s="25"/>
      <c r="APU17" s="25"/>
      <c r="APV17" s="25"/>
      <c r="APW17" s="25"/>
      <c r="APX17" s="25"/>
      <c r="APY17" s="25"/>
      <c r="APZ17" s="25"/>
      <c r="AQA17" s="25"/>
      <c r="AQB17" s="25"/>
      <c r="AQC17" s="25"/>
      <c r="AQD17" s="25"/>
      <c r="AQE17" s="25"/>
      <c r="AQF17" s="25"/>
      <c r="AQJ17" s="25">
        <v>2</v>
      </c>
      <c r="AQK17" s="25" t="s">
        <v>8322</v>
      </c>
      <c r="AQL17" s="25" t="s">
        <v>8583</v>
      </c>
      <c r="AQM17" s="56">
        <v>2000</v>
      </c>
      <c r="AQN17" s="56">
        <v>5000</v>
      </c>
      <c r="AQS17" s="25" t="s">
        <v>8260</v>
      </c>
      <c r="AQX17" s="25" t="s">
        <v>8248</v>
      </c>
      <c r="ARK17" s="25" t="s">
        <v>8249</v>
      </c>
      <c r="ATX17" s="25" t="s">
        <v>25</v>
      </c>
      <c r="ATY17" s="25" t="s">
        <v>28</v>
      </c>
      <c r="ATZ17" s="25" t="s">
        <v>25</v>
      </c>
      <c r="AUA17" s="25" t="s">
        <v>25</v>
      </c>
      <c r="AUC17" s="25" t="s">
        <v>13417</v>
      </c>
      <c r="AUD17" s="25" t="s">
        <v>8432</v>
      </c>
      <c r="AUE17" s="56">
        <v>25</v>
      </c>
      <c r="AUF17" s="56">
        <v>40</v>
      </c>
      <c r="AUG17" s="56">
        <v>25</v>
      </c>
      <c r="AUH17" s="56">
        <v>250</v>
      </c>
      <c r="AUI17" s="56">
        <v>25</v>
      </c>
      <c r="AUJ17" s="56">
        <v>25</v>
      </c>
      <c r="AUV17" s="56">
        <v>250</v>
      </c>
      <c r="AUW17" s="56">
        <v>25</v>
      </c>
      <c r="AVG17" s="25" t="s">
        <v>8250</v>
      </c>
      <c r="AVH17" s="25" t="s">
        <v>8250</v>
      </c>
      <c r="AVI17" s="25" t="s">
        <v>8250</v>
      </c>
      <c r="AVL17" s="25" t="s">
        <v>8250</v>
      </c>
      <c r="AVN17" s="25" t="s">
        <v>28</v>
      </c>
      <c r="AVO17" s="25" t="s">
        <v>28</v>
      </c>
      <c r="AVP17" s="25" t="s">
        <v>28</v>
      </c>
      <c r="AVU17" s="25" t="s">
        <v>13810</v>
      </c>
      <c r="AVV17" s="25" t="s">
        <v>13810</v>
      </c>
      <c r="AVW17" s="25" t="s">
        <v>13810</v>
      </c>
      <c r="AVX17" s="25" t="s">
        <v>13810</v>
      </c>
      <c r="AVY17" s="25" t="s">
        <v>13810</v>
      </c>
      <c r="AVZ17" s="25" t="s">
        <v>13810</v>
      </c>
      <c r="AWA17" s="25" t="s">
        <v>13810</v>
      </c>
      <c r="AWB17" s="25" t="s">
        <v>13810</v>
      </c>
      <c r="AWC17" s="25" t="s">
        <v>631</v>
      </c>
      <c r="AWD17" s="25" t="s">
        <v>631</v>
      </c>
      <c r="AWE17" s="25" t="s">
        <v>8584</v>
      </c>
      <c r="AWF17" s="25" t="s">
        <v>8584</v>
      </c>
      <c r="AWG17" s="25" t="s">
        <v>8584</v>
      </c>
      <c r="AWH17" s="25" t="s">
        <v>13454</v>
      </c>
      <c r="AWI17" s="25" t="s">
        <v>13438</v>
      </c>
      <c r="AWJ17" s="25" t="s">
        <v>13456</v>
      </c>
      <c r="AWK17" s="25" t="s">
        <v>8380</v>
      </c>
      <c r="AWL17" s="25" t="s">
        <v>8584</v>
      </c>
      <c r="AWN17" s="56">
        <v>10</v>
      </c>
      <c r="AWP17" s="56">
        <v>20</v>
      </c>
      <c r="AWR17" s="56">
        <v>30</v>
      </c>
      <c r="AWT17" s="56">
        <v>60</v>
      </c>
      <c r="AWV17" s="56">
        <v>30</v>
      </c>
      <c r="AWX17" s="56">
        <v>60</v>
      </c>
      <c r="AXS17" s="26">
        <v>0.3</v>
      </c>
      <c r="AYD17" s="56">
        <v>180</v>
      </c>
      <c r="AZI17" s="26">
        <v>0.3</v>
      </c>
      <c r="AZT17" s="56">
        <v>540</v>
      </c>
      <c r="BAV17" s="25" t="s">
        <v>8255</v>
      </c>
      <c r="BAW17" s="25" t="s">
        <v>8256</v>
      </c>
      <c r="BAX17" s="25" t="s">
        <v>8321</v>
      </c>
      <c r="BAY17" s="25">
        <v>0</v>
      </c>
      <c r="BBB17" s="25"/>
      <c r="BBC17" s="25"/>
      <c r="BBD17" s="25"/>
      <c r="BBE17" s="25"/>
      <c r="BBF17" s="25"/>
      <c r="BBG17" s="25"/>
      <c r="BBI17" s="25"/>
      <c r="BBJ17" s="25"/>
      <c r="BBK17" s="25"/>
      <c r="BBL17" s="25"/>
      <c r="BET17" s="25"/>
      <c r="BEU17" s="25"/>
      <c r="BEV17" s="25"/>
      <c r="BEW17" s="25"/>
      <c r="BEX17" s="25"/>
      <c r="BEY17" s="25"/>
      <c r="BEZ17" s="25"/>
      <c r="BFH17" s="25"/>
      <c r="BFI17" s="25"/>
      <c r="BFJ17" s="25"/>
      <c r="BFK17" s="25"/>
      <c r="BFL17" s="25"/>
      <c r="BFM17" s="25"/>
      <c r="BFN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L17" s="25"/>
      <c r="BIM17" s="25"/>
      <c r="BIN17" s="25"/>
      <c r="BIO17" s="25"/>
      <c r="BIP17" s="25"/>
      <c r="BIQ17" s="25"/>
      <c r="BIR17" s="25"/>
      <c r="BIS17" s="25"/>
      <c r="BIT17" s="25"/>
      <c r="BIU17" s="25"/>
      <c r="BIV17" s="25"/>
      <c r="BIW17" s="25"/>
      <c r="BIX17" s="25"/>
      <c r="BIY17" s="25"/>
      <c r="BJG17" s="25"/>
      <c r="BJH17" s="25"/>
      <c r="BJI17" s="25"/>
      <c r="BJJ17" s="25"/>
      <c r="BJK17" s="25"/>
      <c r="BJL17" s="25"/>
      <c r="BJM17" s="25"/>
      <c r="BJN17" s="25"/>
      <c r="BJO17" s="25"/>
      <c r="BJP17" s="25"/>
      <c r="BJQ17" s="25"/>
      <c r="BJR17" s="25"/>
      <c r="BJS17" s="25"/>
      <c r="BJT17" s="25"/>
      <c r="BKB17" s="25"/>
      <c r="BKC17" s="25"/>
      <c r="BKD17" s="25"/>
      <c r="BKE17" s="25"/>
      <c r="BKF17" s="25"/>
      <c r="BKG17" s="25"/>
      <c r="BKH17" s="25"/>
      <c r="BKI17" s="25"/>
      <c r="BKJ17" s="25"/>
      <c r="BKK17" s="25"/>
      <c r="BKL17" s="25"/>
      <c r="BKM17" s="25"/>
      <c r="BKN17" s="25"/>
      <c r="BKO17" s="25"/>
      <c r="BKW17" s="25"/>
      <c r="BKX17" s="25"/>
      <c r="BKY17" s="25"/>
      <c r="BKZ17" s="25"/>
      <c r="BLA17" s="25"/>
      <c r="BLB17" s="25"/>
      <c r="BLC17" s="25"/>
      <c r="BLD17" s="25"/>
      <c r="BLE17" s="25"/>
      <c r="BLF17" s="25"/>
      <c r="BLG17" s="25"/>
      <c r="BLH17" s="25"/>
      <c r="BLI17" s="25"/>
      <c r="BLJ17" s="25"/>
      <c r="BLN17" s="25">
        <v>0</v>
      </c>
      <c r="BLQ17" s="25"/>
      <c r="BLR17" s="25"/>
      <c r="BLS17" s="25"/>
      <c r="BLT17" s="25"/>
      <c r="BLU17" s="25"/>
      <c r="BLV17" s="25"/>
      <c r="BLX17" s="25"/>
      <c r="BLY17" s="25"/>
      <c r="BLZ17" s="25"/>
      <c r="BMA17" s="25"/>
      <c r="BPI17" s="25"/>
      <c r="BPJ17" s="25"/>
      <c r="BPK17" s="25"/>
      <c r="BPL17" s="25"/>
      <c r="BPM17" s="25"/>
      <c r="BPN17" s="25"/>
      <c r="BPO17" s="25"/>
      <c r="BPW17" s="25"/>
      <c r="BPX17" s="25"/>
      <c r="BPY17" s="25"/>
      <c r="BPZ17" s="25"/>
      <c r="BQA17" s="25"/>
      <c r="BQB17" s="25"/>
      <c r="BQC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TA17" s="25"/>
      <c r="BTB17" s="25"/>
      <c r="BTC17" s="25"/>
      <c r="BTD17" s="25"/>
      <c r="BTE17" s="25"/>
      <c r="BTF17" s="25"/>
      <c r="BTG17" s="25"/>
      <c r="BTH17" s="25"/>
      <c r="BTI17" s="25"/>
      <c r="BTJ17" s="25"/>
      <c r="BTK17" s="25"/>
      <c r="BTL17" s="25"/>
      <c r="BTM17" s="25"/>
      <c r="BTN17" s="25"/>
      <c r="BUQ17" s="25"/>
      <c r="BUR17" s="25"/>
      <c r="BUS17" s="25"/>
      <c r="BUT17" s="25"/>
      <c r="BUU17" s="25"/>
      <c r="BUV17" s="25"/>
      <c r="BUW17" s="25"/>
      <c r="BUX17" s="25"/>
      <c r="BUY17" s="25"/>
      <c r="BUZ17" s="25"/>
      <c r="BVA17" s="25"/>
      <c r="BVB17" s="25"/>
      <c r="BVC17" s="25"/>
      <c r="BVD17" s="25"/>
      <c r="BWC17" s="25" t="s">
        <v>28</v>
      </c>
      <c r="BWD17" s="25" t="s">
        <v>8495</v>
      </c>
      <c r="BWE17" s="25" t="s">
        <v>8357</v>
      </c>
      <c r="BWF17" s="25" t="s">
        <v>13708</v>
      </c>
      <c r="BWG17" s="25" t="s">
        <v>25</v>
      </c>
      <c r="BWH17" s="25" t="s">
        <v>2169</v>
      </c>
      <c r="BWI17" s="25" t="s">
        <v>28</v>
      </c>
      <c r="BWJ17" s="25" t="s">
        <v>8481</v>
      </c>
      <c r="BWK17" s="25" t="s">
        <v>25</v>
      </c>
      <c r="BWM17" s="25" t="s">
        <v>25</v>
      </c>
      <c r="BWO17" s="25" t="s">
        <v>25</v>
      </c>
      <c r="BWQ17" s="25" t="s">
        <v>28</v>
      </c>
      <c r="BWR17" s="25" t="s">
        <v>25</v>
      </c>
      <c r="BWT17" s="25" t="s">
        <v>25</v>
      </c>
      <c r="BWV17" s="25" t="s">
        <v>25</v>
      </c>
      <c r="BWX17" s="25" t="s">
        <v>28</v>
      </c>
      <c r="BWY17" s="25" t="s">
        <v>8586</v>
      </c>
      <c r="BWZ17" s="25" t="s">
        <v>25</v>
      </c>
      <c r="BXB17" s="25" t="s">
        <v>25</v>
      </c>
      <c r="BXD17" s="25" t="s">
        <v>28</v>
      </c>
      <c r="BXE17" s="25" t="s">
        <v>8587</v>
      </c>
      <c r="BXF17" s="25" t="s">
        <v>25</v>
      </c>
      <c r="BXH17" s="25" t="s">
        <v>25</v>
      </c>
      <c r="BXJ17" s="25" t="s">
        <v>28</v>
      </c>
      <c r="BXK17" s="25" t="s">
        <v>8360</v>
      </c>
      <c r="BXL17" s="25" t="s">
        <v>13821</v>
      </c>
      <c r="BXM17" s="25" t="s">
        <v>2201</v>
      </c>
      <c r="BXN17" s="25" t="s">
        <v>8332</v>
      </c>
      <c r="BXO17" s="25" t="s">
        <v>8361</v>
      </c>
      <c r="BXP17" s="25" t="s">
        <v>8274</v>
      </c>
      <c r="BXQ17" s="25" t="s">
        <v>8274</v>
      </c>
      <c r="BXR17" s="25" t="s">
        <v>8274</v>
      </c>
      <c r="BXS17" s="25" t="s">
        <v>8361</v>
      </c>
      <c r="BXT17" s="25" t="s">
        <v>8567</v>
      </c>
      <c r="BXU17" s="25" t="s">
        <v>25</v>
      </c>
      <c r="BXW17" s="25" t="s">
        <v>25</v>
      </c>
      <c r="BXX17" s="25" t="s">
        <v>25</v>
      </c>
      <c r="BXY17" s="25" t="s">
        <v>28</v>
      </c>
      <c r="BXZ17" s="25" t="s">
        <v>25</v>
      </c>
      <c r="BYA17" s="25" t="s">
        <v>25</v>
      </c>
      <c r="BYB17" s="25" t="s">
        <v>28</v>
      </c>
      <c r="BYC17" s="25" t="s">
        <v>2201</v>
      </c>
      <c r="BYD17" s="25" t="s">
        <v>28</v>
      </c>
      <c r="BYE17" s="25" t="s">
        <v>13616</v>
      </c>
      <c r="BYF17" s="25" t="s">
        <v>13632</v>
      </c>
      <c r="BYH17" s="25" t="s">
        <v>8407</v>
      </c>
      <c r="BYK17" s="25" t="s">
        <v>28</v>
      </c>
      <c r="BYL17" s="25" t="s">
        <v>25</v>
      </c>
      <c r="BYN17" s="25" t="s">
        <v>25</v>
      </c>
      <c r="BYP17" s="25" t="s">
        <v>25</v>
      </c>
      <c r="BYR17" s="25" t="s">
        <v>28</v>
      </c>
      <c r="BYS17" s="25" t="s">
        <v>732</v>
      </c>
      <c r="BYT17" s="25" t="s">
        <v>732</v>
      </c>
      <c r="BYU17" s="25" t="s">
        <v>732</v>
      </c>
      <c r="BYV17" s="25" t="s">
        <v>25</v>
      </c>
      <c r="BYW17" s="25" t="s">
        <v>28</v>
      </c>
      <c r="BYX17" s="56">
        <v>1000</v>
      </c>
      <c r="BYY17" s="56">
        <v>2000</v>
      </c>
      <c r="BYZ17" s="25" t="s">
        <v>8408</v>
      </c>
      <c r="BZA17" s="25" t="s">
        <v>8588</v>
      </c>
      <c r="BZB17" s="25" t="s">
        <v>256</v>
      </c>
      <c r="BZC17" s="25" t="s">
        <v>8282</v>
      </c>
      <c r="BZD17" s="25" t="s">
        <v>28</v>
      </c>
      <c r="BZE17" s="25" t="s">
        <v>25</v>
      </c>
      <c r="BZF17" s="25" t="s">
        <v>25</v>
      </c>
      <c r="BZG17" s="25" t="s">
        <v>25</v>
      </c>
      <c r="BZJ17" s="25" t="s">
        <v>25</v>
      </c>
      <c r="BZM17" s="25" t="s">
        <v>28</v>
      </c>
      <c r="BZN17" s="25" t="s">
        <v>13633</v>
      </c>
      <c r="BZP17" s="25" t="s">
        <v>8284</v>
      </c>
      <c r="BZQ17" s="56" t="s">
        <v>8392</v>
      </c>
      <c r="BZR17" s="25" t="s">
        <v>28</v>
      </c>
      <c r="BZS17" s="25" t="s">
        <v>25</v>
      </c>
      <c r="BZT17" s="25" t="s">
        <v>8468</v>
      </c>
      <c r="BZV17" s="25" t="s">
        <v>8589</v>
      </c>
      <c r="BZW17" s="25" t="s">
        <v>8590</v>
      </c>
      <c r="BZX17" s="25" t="s">
        <v>8569</v>
      </c>
      <c r="BZZ17" s="25" t="s">
        <v>25</v>
      </c>
      <c r="CAC17" s="25" t="s">
        <v>28</v>
      </c>
      <c r="CAD17" s="25" t="s">
        <v>8288</v>
      </c>
      <c r="CAE17" s="25" t="s">
        <v>28</v>
      </c>
      <c r="CAF17" s="25" t="s">
        <v>8289</v>
      </c>
      <c r="CAG17" s="25" t="s">
        <v>25</v>
      </c>
      <c r="CAH17" s="25" t="s">
        <v>631</v>
      </c>
      <c r="CAI17" s="25" t="s">
        <v>631</v>
      </c>
      <c r="CAJ17" s="25" t="s">
        <v>631</v>
      </c>
      <c r="CAK17" s="25" t="s">
        <v>247</v>
      </c>
      <c r="CAL17" s="25" t="s">
        <v>631</v>
      </c>
      <c r="CAM17" s="25" t="s">
        <v>8290</v>
      </c>
      <c r="CAN17" s="25" t="s">
        <v>247</v>
      </c>
      <c r="CAO17" s="25" t="s">
        <v>247</v>
      </c>
      <c r="CAP17" s="25" t="s">
        <v>8290</v>
      </c>
      <c r="CAQ17" s="25" t="s">
        <v>247</v>
      </c>
      <c r="CAR17" s="25" t="s">
        <v>8291</v>
      </c>
      <c r="CAT17" s="25" t="s">
        <v>25</v>
      </c>
      <c r="CBB17" s="25">
        <v>1</v>
      </c>
      <c r="CBC17" s="25">
        <v>0</v>
      </c>
      <c r="CBD17" s="25">
        <v>0</v>
      </c>
      <c r="CBE17" s="56">
        <v>40</v>
      </c>
      <c r="CBF17" s="56">
        <v>120</v>
      </c>
      <c r="CBG17" s="56">
        <v>50</v>
      </c>
      <c r="CBH17" s="56">
        <v>150</v>
      </c>
      <c r="CBI17" s="56">
        <v>2500</v>
      </c>
      <c r="CBK17" s="56">
        <v>2300</v>
      </c>
      <c r="CBM17" s="26">
        <v>0</v>
      </c>
      <c r="CBN17" s="26">
        <v>0</v>
      </c>
      <c r="CBO17" s="26">
        <v>0.2</v>
      </c>
      <c r="CBP17" s="26">
        <v>0.2</v>
      </c>
      <c r="CBQ17" s="26">
        <v>0.4</v>
      </c>
      <c r="CBR17" s="26">
        <v>0.5</v>
      </c>
      <c r="CBS17" s="26">
        <v>0.3</v>
      </c>
      <c r="CBT17" s="26">
        <v>0.5</v>
      </c>
      <c r="CBU17" s="27" t="s">
        <v>28</v>
      </c>
      <c r="CBV17" s="27" t="s">
        <v>8573</v>
      </c>
      <c r="CBW17" s="27" t="s">
        <v>8294</v>
      </c>
      <c r="CBX17" s="27" t="s">
        <v>8343</v>
      </c>
      <c r="CBY17" s="27" t="s">
        <v>8296</v>
      </c>
      <c r="CBZ17" s="27" t="s">
        <v>8296</v>
      </c>
      <c r="CCA17" s="27" t="s">
        <v>8297</v>
      </c>
      <c r="CCB17" s="27" t="s">
        <v>8298</v>
      </c>
      <c r="CCC17" s="27" t="s">
        <v>8296</v>
      </c>
      <c r="CCD17" s="27" t="s">
        <v>8297</v>
      </c>
      <c r="CCE17" s="27" t="s">
        <v>8297</v>
      </c>
      <c r="CCF17" s="27" t="s">
        <v>8297</v>
      </c>
      <c r="CCG17" s="27" t="s">
        <v>8297</v>
      </c>
      <c r="CCH17" s="27" t="s">
        <v>8296</v>
      </c>
      <c r="CCI17" s="27" t="s">
        <v>8298</v>
      </c>
      <c r="CCJ17" s="27" t="s">
        <v>8298</v>
      </c>
      <c r="CCK17" s="27" t="s">
        <v>8297</v>
      </c>
      <c r="CCL17" s="27" t="s">
        <v>8297</v>
      </c>
      <c r="CCN17" s="27" t="s">
        <v>8296</v>
      </c>
      <c r="CCO17" s="27" t="s">
        <v>8300</v>
      </c>
      <c r="CCP17" s="27" t="s">
        <v>8296</v>
      </c>
      <c r="CCQ17" s="27" t="s">
        <v>8296</v>
      </c>
      <c r="CCR17" s="27" t="s">
        <v>8296</v>
      </c>
      <c r="CCS17" s="27" t="s">
        <v>8298</v>
      </c>
      <c r="CCT17" s="27" t="s">
        <v>8296</v>
      </c>
      <c r="CCU17" s="27" t="s">
        <v>8298</v>
      </c>
      <c r="CCV17" s="27" t="s">
        <v>8298</v>
      </c>
      <c r="CCW17" s="27" t="s">
        <v>8298</v>
      </c>
      <c r="CCX17" s="27" t="s">
        <v>8298</v>
      </c>
      <c r="CCY17" s="27" t="s">
        <v>8298</v>
      </c>
      <c r="CCZ17" s="27" t="s">
        <v>28</v>
      </c>
      <c r="CDA17" s="27" t="s">
        <v>28</v>
      </c>
      <c r="CDB17" s="27" t="s">
        <v>25</v>
      </c>
      <c r="CDC17" s="27" t="s">
        <v>25</v>
      </c>
      <c r="CDD17" s="27" t="s">
        <v>28</v>
      </c>
      <c r="CDE17" s="27" t="s">
        <v>28</v>
      </c>
      <c r="CDF17" s="27" t="s">
        <v>28</v>
      </c>
      <c r="CDG17" s="27" t="s">
        <v>28</v>
      </c>
      <c r="CDH17" s="27" t="s">
        <v>28</v>
      </c>
      <c r="CDI17" s="27" t="s">
        <v>25</v>
      </c>
      <c r="CDJ17" s="27" t="s">
        <v>25</v>
      </c>
      <c r="CDK17" s="27" t="s">
        <v>25</v>
      </c>
      <c r="CDL17" s="27" t="s">
        <v>28</v>
      </c>
      <c r="CDM17" s="27" t="s">
        <v>28</v>
      </c>
      <c r="CDO17" s="27" t="s">
        <v>25</v>
      </c>
      <c r="CDP17" s="27" t="s">
        <v>28</v>
      </c>
      <c r="CDQ17" s="27" t="s">
        <v>25</v>
      </c>
      <c r="CDR17" s="27" t="s">
        <v>25</v>
      </c>
      <c r="CDS17" s="27" t="s">
        <v>25</v>
      </c>
      <c r="CDT17" s="27" t="s">
        <v>28</v>
      </c>
      <c r="CDU17" s="27" t="s">
        <v>28</v>
      </c>
      <c r="CDV17" s="27" t="s">
        <v>25</v>
      </c>
      <c r="CDW17" s="27" t="s">
        <v>25</v>
      </c>
      <c r="CDX17" s="27" t="s">
        <v>25</v>
      </c>
      <c r="CDY17" s="27" t="s">
        <v>25</v>
      </c>
      <c r="CDZ17" s="27" t="s">
        <v>25</v>
      </c>
      <c r="CEA17" s="27" t="s">
        <v>8305</v>
      </c>
      <c r="CEB17" s="27" t="s">
        <v>2673</v>
      </c>
      <c r="CEC17" s="27" t="s">
        <v>29</v>
      </c>
      <c r="CED17" s="27" t="s">
        <v>8371</v>
      </c>
      <c r="CEE17" s="27" t="s">
        <v>8305</v>
      </c>
      <c r="CEF17" s="27" t="s">
        <v>8301</v>
      </c>
      <c r="CEG17" s="27" t="s">
        <v>8420</v>
      </c>
      <c r="CEH17" s="27" t="s">
        <v>8305</v>
      </c>
      <c r="CEI17" s="27" t="s">
        <v>8304</v>
      </c>
      <c r="CEJ17" s="27" t="s">
        <v>8303</v>
      </c>
      <c r="CEK17" s="27" t="s">
        <v>8371</v>
      </c>
      <c r="CEL17" s="27" t="s">
        <v>8302</v>
      </c>
      <c r="CEM17" s="27" t="s">
        <v>8301</v>
      </c>
      <c r="CEN17" s="27" t="s">
        <v>8301</v>
      </c>
      <c r="CEP17" s="27" t="s">
        <v>8304</v>
      </c>
      <c r="CEQ17" s="27" t="s">
        <v>29</v>
      </c>
      <c r="CER17" s="27" t="s">
        <v>8303</v>
      </c>
      <c r="CES17" s="27" t="s">
        <v>8306</v>
      </c>
      <c r="CET17" s="27" t="s">
        <v>8304</v>
      </c>
      <c r="CEU17" s="27" t="s">
        <v>8304</v>
      </c>
      <c r="CEV17" s="27" t="s">
        <v>8304</v>
      </c>
      <c r="CEW17" s="27" t="s">
        <v>8305</v>
      </c>
      <c r="CEX17" s="27" t="s">
        <v>8302</v>
      </c>
      <c r="CEY17" s="27" t="s">
        <v>8303</v>
      </c>
      <c r="CEZ17" s="27" t="s">
        <v>8301</v>
      </c>
      <c r="CFA17" s="27" t="s">
        <v>2673</v>
      </c>
      <c r="CFB17" s="27" t="s">
        <v>25</v>
      </c>
      <c r="CFC17" s="27" t="s">
        <v>25</v>
      </c>
      <c r="CFD17" s="27" t="s">
        <v>28</v>
      </c>
      <c r="CFE17" s="27" t="s">
        <v>25</v>
      </c>
      <c r="CFF17" s="27" t="s">
        <v>25</v>
      </c>
      <c r="CFG17" s="27" t="s">
        <v>28</v>
      </c>
      <c r="CFH17" s="27" t="s">
        <v>25</v>
      </c>
      <c r="CFI17" s="27" t="s">
        <v>25</v>
      </c>
      <c r="CFJ17" s="27" t="s">
        <v>25</v>
      </c>
      <c r="CFK17" s="27" t="s">
        <v>25</v>
      </c>
      <c r="CFL17" s="27" t="s">
        <v>25</v>
      </c>
      <c r="CFM17" s="27" t="s">
        <v>28</v>
      </c>
      <c r="CFN17" s="27" t="s">
        <v>28</v>
      </c>
      <c r="CFO17" s="27" t="s">
        <v>28</v>
      </c>
      <c r="CFQ17" s="27" t="s">
        <v>25</v>
      </c>
      <c r="CFR17" s="27" t="s">
        <v>28</v>
      </c>
      <c r="CFS17" s="27" t="s">
        <v>25</v>
      </c>
      <c r="CFT17" s="27" t="s">
        <v>25</v>
      </c>
      <c r="CFU17" s="27" t="s">
        <v>25</v>
      </c>
      <c r="CFV17" s="27" t="s">
        <v>28</v>
      </c>
      <c r="CFW17" s="27" t="s">
        <v>25</v>
      </c>
      <c r="CFX17" s="27" t="s">
        <v>28</v>
      </c>
      <c r="CFY17" s="27" t="s">
        <v>25</v>
      </c>
      <c r="CFZ17" s="27" t="s">
        <v>28</v>
      </c>
      <c r="CGA17" s="27" t="s">
        <v>25</v>
      </c>
      <c r="CGB17" s="27" t="s">
        <v>25</v>
      </c>
      <c r="CPW17" s="27">
        <v>1</v>
      </c>
      <c r="CPX17" s="56">
        <v>0</v>
      </c>
      <c r="CPY17" s="26">
        <v>0</v>
      </c>
      <c r="CPZ17" s="56">
        <v>25</v>
      </c>
      <c r="CQB17" s="25" t="s">
        <v>8372</v>
      </c>
      <c r="CQC17" s="25" t="s">
        <v>635</v>
      </c>
      <c r="CQD17" s="25" t="s">
        <v>635</v>
      </c>
      <c r="CQE17" s="25" t="s">
        <v>635</v>
      </c>
      <c r="CQF17" s="25" t="s">
        <v>635</v>
      </c>
      <c r="CQH17" s="56">
        <v>120</v>
      </c>
      <c r="CQI17" s="56">
        <v>155</v>
      </c>
      <c r="CQJ17" s="56">
        <v>150</v>
      </c>
      <c r="CQK17" s="56">
        <v>210</v>
      </c>
      <c r="CQL17" s="25" t="s">
        <v>13747</v>
      </c>
      <c r="CQM17" s="25" t="s">
        <v>8308</v>
      </c>
      <c r="CQN17" s="25" t="s">
        <v>28</v>
      </c>
      <c r="CQO17" s="25" t="s">
        <v>8309</v>
      </c>
      <c r="CQQ17" s="25" t="s">
        <v>8591</v>
      </c>
      <c r="CQR17" s="25" t="s">
        <v>8592</v>
      </c>
      <c r="CQS17" s="25" t="s">
        <v>28</v>
      </c>
      <c r="CQT17" s="25" t="s">
        <v>8313</v>
      </c>
      <c r="CQU17" s="25" t="s">
        <v>8312</v>
      </c>
      <c r="CQV17" s="25" t="s">
        <v>8312</v>
      </c>
      <c r="CQW17" s="25" t="s">
        <v>8312</v>
      </c>
      <c r="CQX17" s="25" t="s">
        <v>8312</v>
      </c>
      <c r="CQY17" s="25" t="s">
        <v>8312</v>
      </c>
      <c r="CQZ17" s="25" t="s">
        <v>8312</v>
      </c>
      <c r="CRA17" s="25" t="s">
        <v>8314</v>
      </c>
      <c r="CRB17" s="25" t="s">
        <v>8314</v>
      </c>
      <c r="CRC17" s="25" t="s">
        <v>8314</v>
      </c>
      <c r="CRD17" s="25" t="s">
        <v>8313</v>
      </c>
      <c r="CRE17" s="27" t="s">
        <v>8313</v>
      </c>
    </row>
    <row r="18" spans="1:2501" ht="89.25" x14ac:dyDescent="0.2">
      <c r="A18" s="21" t="s">
        <v>171</v>
      </c>
      <c r="B18" s="26">
        <v>0</v>
      </c>
      <c r="C18" s="26">
        <v>0</v>
      </c>
      <c r="D18" s="26">
        <v>0.14000000000000001</v>
      </c>
      <c r="E18" s="26">
        <v>0.75</v>
      </c>
      <c r="F18" s="26">
        <v>0</v>
      </c>
      <c r="G18" s="26">
        <v>0</v>
      </c>
      <c r="H18" s="26">
        <v>0</v>
      </c>
      <c r="I18" s="26">
        <v>0</v>
      </c>
      <c r="J18" s="26">
        <v>0</v>
      </c>
      <c r="K18" s="26">
        <v>0</v>
      </c>
      <c r="L18" s="26">
        <v>0</v>
      </c>
      <c r="M18" s="26">
        <v>0.11</v>
      </c>
      <c r="N18" s="26">
        <v>0</v>
      </c>
      <c r="O18" s="26">
        <v>0</v>
      </c>
      <c r="P18" s="26">
        <v>0</v>
      </c>
      <c r="Q18" s="26">
        <v>0.5</v>
      </c>
      <c r="R18" s="26">
        <v>0</v>
      </c>
      <c r="S18" s="26">
        <v>0</v>
      </c>
      <c r="T18" s="26">
        <v>0</v>
      </c>
      <c r="U18" s="26">
        <v>0</v>
      </c>
      <c r="V18" s="26">
        <v>0</v>
      </c>
      <c r="W18" s="26">
        <v>0</v>
      </c>
      <c r="X18" s="26">
        <v>0</v>
      </c>
      <c r="Y18" s="26">
        <v>0.5</v>
      </c>
      <c r="Z18" s="25">
        <v>0</v>
      </c>
      <c r="KP18" s="25">
        <v>3</v>
      </c>
      <c r="KQ18" s="25" t="s">
        <v>13811</v>
      </c>
      <c r="KR18" s="25" t="s">
        <v>13812</v>
      </c>
      <c r="KS18" s="56">
        <v>3000</v>
      </c>
      <c r="KT18" s="56">
        <v>6000</v>
      </c>
      <c r="KU18" s="56">
        <v>6000</v>
      </c>
      <c r="KV18" s="56">
        <v>12000</v>
      </c>
      <c r="KY18" s="25" t="s">
        <v>8246</v>
      </c>
      <c r="KZ18" s="56">
        <v>1500</v>
      </c>
      <c r="LA18" s="56">
        <v>3000</v>
      </c>
      <c r="LB18" s="56">
        <v>3000</v>
      </c>
      <c r="LC18" s="56">
        <v>6000</v>
      </c>
      <c r="LD18" s="25" t="s">
        <v>8247</v>
      </c>
      <c r="LE18" s="25" t="s">
        <v>8248</v>
      </c>
      <c r="LR18" s="25" t="s">
        <v>8249</v>
      </c>
      <c r="OE18" s="25" t="s">
        <v>25</v>
      </c>
      <c r="OF18" s="25" t="s">
        <v>28</v>
      </c>
      <c r="OG18" s="25" t="s">
        <v>28</v>
      </c>
      <c r="OH18" s="25" t="s">
        <v>25</v>
      </c>
      <c r="OJ18" s="25" t="s">
        <v>13421</v>
      </c>
      <c r="OK18" s="25" t="s">
        <v>13421</v>
      </c>
      <c r="OS18" s="26">
        <v>0.1</v>
      </c>
      <c r="OT18" s="26">
        <v>0.1</v>
      </c>
      <c r="OU18" s="26">
        <v>0.1</v>
      </c>
      <c r="OV18" s="26">
        <v>0.1</v>
      </c>
      <c r="OW18" s="26">
        <v>0.1</v>
      </c>
      <c r="OY18" s="26">
        <v>0.1</v>
      </c>
      <c r="PG18" s="26">
        <v>0.3</v>
      </c>
      <c r="PH18" s="26">
        <v>0.3</v>
      </c>
      <c r="PI18" s="26">
        <v>0.3</v>
      </c>
      <c r="PJ18" s="26">
        <v>0.3</v>
      </c>
      <c r="PK18" s="26">
        <v>0.3</v>
      </c>
      <c r="PM18" s="26">
        <v>0.3</v>
      </c>
      <c r="PN18" s="25" t="s">
        <v>8527</v>
      </c>
      <c r="PO18" s="25" t="s">
        <v>8527</v>
      </c>
      <c r="PP18" s="25" t="s">
        <v>8527</v>
      </c>
      <c r="PQ18" s="25" t="s">
        <v>8527</v>
      </c>
      <c r="PR18" s="25" t="s">
        <v>8527</v>
      </c>
      <c r="PU18" s="25" t="s">
        <v>25</v>
      </c>
      <c r="PV18" s="25" t="s">
        <v>25</v>
      </c>
      <c r="PW18" s="25" t="s">
        <v>25</v>
      </c>
      <c r="PX18" s="25" t="s">
        <v>28</v>
      </c>
      <c r="PY18" s="25" t="s">
        <v>25</v>
      </c>
      <c r="PZ18" s="25" t="s">
        <v>25</v>
      </c>
      <c r="QB18" s="25" t="s">
        <v>13810</v>
      </c>
      <c r="QC18" s="25" t="s">
        <v>13810</v>
      </c>
      <c r="QD18" s="25" t="s">
        <v>13810</v>
      </c>
      <c r="QE18" s="25" t="s">
        <v>8252</v>
      </c>
      <c r="QF18" s="25" t="s">
        <v>13810</v>
      </c>
      <c r="QG18" s="25" t="s">
        <v>13810</v>
      </c>
      <c r="QH18" s="25" t="s">
        <v>13810</v>
      </c>
      <c r="QI18" s="25" t="s">
        <v>13810</v>
      </c>
      <c r="QJ18" s="25" t="s">
        <v>631</v>
      </c>
      <c r="QK18" s="25" t="s">
        <v>631</v>
      </c>
      <c r="QL18" s="25" t="s">
        <v>8253</v>
      </c>
      <c r="QM18" s="25" t="s">
        <v>8253</v>
      </c>
      <c r="QN18" s="25" t="s">
        <v>8253</v>
      </c>
      <c r="QO18" s="25" t="s">
        <v>8253</v>
      </c>
      <c r="QP18" s="25" t="s">
        <v>8253</v>
      </c>
      <c r="QQ18" s="25" t="s">
        <v>8262</v>
      </c>
      <c r="QR18" s="25" t="s">
        <v>8262</v>
      </c>
      <c r="QS18" s="25" t="s">
        <v>8253</v>
      </c>
      <c r="QU18" s="56">
        <v>5</v>
      </c>
      <c r="QW18" s="56">
        <v>10</v>
      </c>
      <c r="RO18" s="56">
        <v>20</v>
      </c>
      <c r="RW18" s="26">
        <v>0</v>
      </c>
      <c r="RX18" s="26">
        <v>0.1</v>
      </c>
      <c r="RY18" s="26">
        <v>0.1</v>
      </c>
      <c r="SG18" s="56">
        <v>50</v>
      </c>
      <c r="SI18" s="56">
        <v>75</v>
      </c>
      <c r="SR18" s="26">
        <v>0.3</v>
      </c>
      <c r="SS18" s="26">
        <v>0.3</v>
      </c>
      <c r="ST18" s="26">
        <v>0.3</v>
      </c>
      <c r="TN18" s="26">
        <v>0.1</v>
      </c>
      <c r="TO18" s="26">
        <v>0.1</v>
      </c>
      <c r="TW18" s="56">
        <v>100</v>
      </c>
      <c r="TY18" s="56">
        <v>150</v>
      </c>
      <c r="VC18" s="25" t="s">
        <v>8255</v>
      </c>
      <c r="VD18" s="25" t="s">
        <v>8256</v>
      </c>
      <c r="VE18" s="25" t="s">
        <v>8321</v>
      </c>
      <c r="VF18" s="25">
        <v>0</v>
      </c>
      <c r="VI18" s="25"/>
      <c r="VJ18" s="25"/>
      <c r="VK18" s="25"/>
      <c r="VL18" s="25"/>
      <c r="VM18" s="25"/>
      <c r="VN18" s="25"/>
      <c r="VP18" s="25"/>
      <c r="VQ18" s="25"/>
      <c r="VR18" s="25"/>
      <c r="VS18" s="25"/>
      <c r="ZA18" s="25"/>
      <c r="ZB18" s="25"/>
      <c r="ZC18" s="25"/>
      <c r="ZD18" s="25"/>
      <c r="ZE18" s="25"/>
      <c r="ZF18" s="25"/>
      <c r="ZG18" s="25"/>
      <c r="ZO18" s="25"/>
      <c r="ZP18" s="25"/>
      <c r="ZQ18" s="25"/>
      <c r="ZR18" s="25"/>
      <c r="ZS18" s="25"/>
      <c r="ZT18" s="25"/>
      <c r="ZU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S18" s="25"/>
      <c r="ACT18" s="25"/>
      <c r="ACU18" s="25"/>
      <c r="ACV18" s="25"/>
      <c r="ACW18" s="25"/>
      <c r="ACX18" s="25"/>
      <c r="ACY18" s="25"/>
      <c r="ACZ18" s="25"/>
      <c r="ADA18" s="25"/>
      <c r="ADB18" s="25"/>
      <c r="ADC18" s="25"/>
      <c r="ADD18" s="25"/>
      <c r="ADE18" s="25"/>
      <c r="ADF18" s="25"/>
      <c r="ADN18" s="25"/>
      <c r="ADO18" s="25"/>
      <c r="ADP18" s="25"/>
      <c r="ADQ18" s="25"/>
      <c r="ADR18" s="25"/>
      <c r="ADS18" s="25"/>
      <c r="ADT18" s="25"/>
      <c r="ADU18" s="25"/>
      <c r="ADV18" s="25"/>
      <c r="ADW18" s="25"/>
      <c r="ADX18" s="25"/>
      <c r="ADY18" s="25"/>
      <c r="ADZ18" s="25"/>
      <c r="AEA18" s="25"/>
      <c r="AEI18" s="25"/>
      <c r="AEJ18" s="25"/>
      <c r="AEK18" s="25"/>
      <c r="AEL18" s="25"/>
      <c r="AEM18" s="25"/>
      <c r="AEN18" s="25"/>
      <c r="AEO18" s="25"/>
      <c r="AEP18" s="25"/>
      <c r="AEQ18" s="25"/>
      <c r="AER18" s="25"/>
      <c r="AES18" s="25"/>
      <c r="AET18" s="25"/>
      <c r="AEU18" s="25"/>
      <c r="AEV18" s="25"/>
      <c r="AFD18" s="25"/>
      <c r="AFE18" s="25"/>
      <c r="AFF18" s="25"/>
      <c r="AFG18" s="25"/>
      <c r="AFH18" s="25"/>
      <c r="AFI18" s="25"/>
      <c r="AFJ18" s="25"/>
      <c r="AFK18" s="25"/>
      <c r="AFL18" s="25"/>
      <c r="AFM18" s="25"/>
      <c r="AFN18" s="25"/>
      <c r="AFO18" s="25"/>
      <c r="AFP18" s="25"/>
      <c r="AFQ18" s="25"/>
      <c r="AFU18" s="25">
        <v>0</v>
      </c>
      <c r="AFX18" s="25"/>
      <c r="AFY18" s="25"/>
      <c r="AFZ18" s="25"/>
      <c r="AGA18" s="25"/>
      <c r="AGB18" s="25"/>
      <c r="AGC18" s="25"/>
      <c r="AGE18" s="25"/>
      <c r="AGF18" s="25"/>
      <c r="AGG18" s="25"/>
      <c r="AGH18" s="25"/>
      <c r="AJP18" s="25"/>
      <c r="AJQ18" s="25"/>
      <c r="AJR18" s="25"/>
      <c r="AJS18" s="25"/>
      <c r="AJT18" s="25"/>
      <c r="AJU18" s="25"/>
      <c r="AJV18" s="25"/>
      <c r="AKD18" s="25"/>
      <c r="AKE18" s="25"/>
      <c r="AKF18" s="25"/>
      <c r="AKG18" s="25"/>
      <c r="AKH18" s="25"/>
      <c r="AKI18" s="25"/>
      <c r="AKJ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H18" s="25"/>
      <c r="ANI18" s="25"/>
      <c r="ANJ18" s="25"/>
      <c r="ANK18" s="25"/>
      <c r="ANL18" s="25"/>
      <c r="ANM18" s="25"/>
      <c r="ANN18" s="25"/>
      <c r="ANO18" s="25"/>
      <c r="ANP18" s="25"/>
      <c r="ANQ18" s="25"/>
      <c r="ANR18" s="25"/>
      <c r="ANS18" s="25"/>
      <c r="ANT18" s="25"/>
      <c r="ANU18" s="25"/>
      <c r="AOC18" s="25"/>
      <c r="AOD18" s="25"/>
      <c r="AOE18" s="25"/>
      <c r="AOF18" s="25"/>
      <c r="AOG18" s="25"/>
      <c r="AOH18" s="25"/>
      <c r="AOI18" s="25"/>
      <c r="AOJ18" s="25"/>
      <c r="AOK18" s="25"/>
      <c r="AOL18" s="25"/>
      <c r="AOM18" s="25"/>
      <c r="AON18" s="25"/>
      <c r="AOO18" s="25"/>
      <c r="AOP18" s="25"/>
      <c r="AOX18" s="25"/>
      <c r="AOY18" s="25"/>
      <c r="AOZ18" s="25"/>
      <c r="APA18" s="25"/>
      <c r="APB18" s="25"/>
      <c r="APC18" s="25"/>
      <c r="APD18" s="25"/>
      <c r="APE18" s="25"/>
      <c r="APF18" s="25"/>
      <c r="APG18" s="25"/>
      <c r="APH18" s="25"/>
      <c r="API18" s="25"/>
      <c r="APJ18" s="25"/>
      <c r="APK18" s="25"/>
      <c r="APS18" s="25"/>
      <c r="APT18" s="25"/>
      <c r="APU18" s="25"/>
      <c r="APV18" s="25"/>
      <c r="APW18" s="25"/>
      <c r="APX18" s="25"/>
      <c r="APY18" s="25"/>
      <c r="APZ18" s="25"/>
      <c r="AQA18" s="25"/>
      <c r="AQB18" s="25"/>
      <c r="AQC18" s="25"/>
      <c r="AQD18" s="25"/>
      <c r="AQE18" s="25"/>
      <c r="AQF18" s="25"/>
      <c r="AQJ18" s="25">
        <v>3</v>
      </c>
      <c r="AQK18" s="25" t="s">
        <v>8925</v>
      </c>
      <c r="AQL18" s="25" t="s">
        <v>8926</v>
      </c>
      <c r="AQM18" s="56">
        <v>1500</v>
      </c>
      <c r="AQN18" s="56">
        <v>3000</v>
      </c>
      <c r="AQS18" s="25" t="s">
        <v>8260</v>
      </c>
      <c r="AQT18" s="56">
        <v>0</v>
      </c>
      <c r="AQU18" s="56">
        <v>0</v>
      </c>
      <c r="AQX18" s="25" t="s">
        <v>8248</v>
      </c>
      <c r="ARK18" s="25" t="s">
        <v>8249</v>
      </c>
      <c r="ATX18" s="25" t="s">
        <v>25</v>
      </c>
      <c r="ATY18" s="25" t="s">
        <v>28</v>
      </c>
      <c r="ATZ18" s="25" t="s">
        <v>25</v>
      </c>
      <c r="AUA18" s="25" t="s">
        <v>25</v>
      </c>
      <c r="AUC18" s="25" t="s">
        <v>13420</v>
      </c>
      <c r="AUD18" s="25" t="s">
        <v>8404</v>
      </c>
      <c r="AUE18" s="56">
        <v>30</v>
      </c>
      <c r="AUF18" s="56">
        <v>40</v>
      </c>
      <c r="AUG18" s="56">
        <v>30</v>
      </c>
      <c r="AUH18" s="56">
        <v>125</v>
      </c>
      <c r="AUI18" s="56">
        <v>30</v>
      </c>
      <c r="AUV18" s="56">
        <v>150</v>
      </c>
      <c r="AVG18" s="25" t="s">
        <v>8527</v>
      </c>
      <c r="AVH18" s="25" t="s">
        <v>8527</v>
      </c>
      <c r="AVI18" s="25" t="s">
        <v>8527</v>
      </c>
      <c r="AVJ18" s="25" t="s">
        <v>8527</v>
      </c>
      <c r="AVK18" s="25" t="s">
        <v>8527</v>
      </c>
      <c r="AVN18" s="25" t="s">
        <v>25</v>
      </c>
      <c r="AVO18" s="25" t="s">
        <v>25</v>
      </c>
      <c r="AVP18" s="25" t="s">
        <v>25</v>
      </c>
      <c r="AVQ18" s="25" t="s">
        <v>25</v>
      </c>
      <c r="AVR18" s="25" t="s">
        <v>25</v>
      </c>
      <c r="AVU18" s="25" t="s">
        <v>13810</v>
      </c>
      <c r="AVV18" s="25" t="s">
        <v>13810</v>
      </c>
      <c r="AVW18" s="25" t="s">
        <v>13810</v>
      </c>
      <c r="AVX18" s="25" t="s">
        <v>13810</v>
      </c>
      <c r="AVY18" s="25" t="s">
        <v>13810</v>
      </c>
      <c r="AVZ18" s="25" t="s">
        <v>13810</v>
      </c>
      <c r="AWA18" s="25" t="s">
        <v>13810</v>
      </c>
      <c r="AWB18" s="25" t="s">
        <v>13810</v>
      </c>
      <c r="AWE18" s="25" t="s">
        <v>8253</v>
      </c>
      <c r="AWF18" s="25" t="s">
        <v>8253</v>
      </c>
      <c r="AWG18" s="25" t="s">
        <v>8253</v>
      </c>
      <c r="AWH18" s="25" t="s">
        <v>8253</v>
      </c>
      <c r="AWI18" s="25" t="s">
        <v>8253</v>
      </c>
      <c r="AWJ18" s="25" t="s">
        <v>8253</v>
      </c>
      <c r="AWK18" s="25" t="s">
        <v>8253</v>
      </c>
      <c r="AWL18" s="25" t="s">
        <v>8253</v>
      </c>
      <c r="AWN18" s="56">
        <v>10</v>
      </c>
      <c r="AWP18" s="56">
        <v>20</v>
      </c>
      <c r="AWR18" s="56">
        <v>30</v>
      </c>
      <c r="AWT18" s="56">
        <v>60</v>
      </c>
      <c r="AXH18" s="56">
        <v>30</v>
      </c>
      <c r="BAV18" s="25" t="s">
        <v>8255</v>
      </c>
      <c r="BAW18" s="25" t="s">
        <v>8256</v>
      </c>
      <c r="BAX18" s="25" t="s">
        <v>8321</v>
      </c>
      <c r="BAY18" s="25">
        <v>0</v>
      </c>
      <c r="BBB18" s="25"/>
      <c r="BBC18" s="25"/>
      <c r="BBD18" s="25"/>
      <c r="BBE18" s="25"/>
      <c r="BBF18" s="25"/>
      <c r="BBG18" s="25"/>
      <c r="BBI18" s="25"/>
      <c r="BBJ18" s="25"/>
      <c r="BBK18" s="25"/>
      <c r="BBL18" s="25"/>
      <c r="BET18" s="25"/>
      <c r="BEU18" s="25"/>
      <c r="BEV18" s="25"/>
      <c r="BEW18" s="25"/>
      <c r="BEX18" s="25"/>
      <c r="BEY18" s="25"/>
      <c r="BEZ18" s="25"/>
      <c r="BFH18" s="25"/>
      <c r="BFI18" s="25"/>
      <c r="BFJ18" s="25"/>
      <c r="BFK18" s="25"/>
      <c r="BFL18" s="25"/>
      <c r="BFM18" s="25"/>
      <c r="BFN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L18" s="25"/>
      <c r="BIM18" s="25"/>
      <c r="BIN18" s="25"/>
      <c r="BIO18" s="25"/>
      <c r="BIP18" s="25"/>
      <c r="BIQ18" s="25"/>
      <c r="BIR18" s="25"/>
      <c r="BIS18" s="25"/>
      <c r="BIT18" s="25"/>
      <c r="BIU18" s="25"/>
      <c r="BIV18" s="25"/>
      <c r="BIW18" s="25"/>
      <c r="BIX18" s="25"/>
      <c r="BIY18" s="25"/>
      <c r="BJG18" s="25"/>
      <c r="BJH18" s="25"/>
      <c r="BJI18" s="25"/>
      <c r="BJJ18" s="25"/>
      <c r="BJK18" s="25"/>
      <c r="BJL18" s="25"/>
      <c r="BJM18" s="25"/>
      <c r="BJN18" s="25"/>
      <c r="BJO18" s="25"/>
      <c r="BJP18" s="25"/>
      <c r="BJQ18" s="25"/>
      <c r="BJR18" s="25"/>
      <c r="BJS18" s="25"/>
      <c r="BJT18" s="25"/>
      <c r="BKB18" s="25"/>
      <c r="BKC18" s="25"/>
      <c r="BKD18" s="25"/>
      <c r="BKE18" s="25"/>
      <c r="BKF18" s="25"/>
      <c r="BKG18" s="25"/>
      <c r="BKH18" s="25"/>
      <c r="BKI18" s="25"/>
      <c r="BKJ18" s="25"/>
      <c r="BKK18" s="25"/>
      <c r="BKL18" s="25"/>
      <c r="BKM18" s="25"/>
      <c r="BKN18" s="25"/>
      <c r="BKO18" s="25"/>
      <c r="BKW18" s="25"/>
      <c r="BKX18" s="25"/>
      <c r="BKY18" s="25"/>
      <c r="BKZ18" s="25"/>
      <c r="BLA18" s="25"/>
      <c r="BLB18" s="25"/>
      <c r="BLC18" s="25"/>
      <c r="BLD18" s="25"/>
      <c r="BLE18" s="25"/>
      <c r="BLF18" s="25"/>
      <c r="BLG18" s="25"/>
      <c r="BLH18" s="25"/>
      <c r="BLI18" s="25"/>
      <c r="BLJ18" s="25"/>
      <c r="BLN18" s="25">
        <v>0</v>
      </c>
      <c r="BLQ18" s="25"/>
      <c r="BLR18" s="25"/>
      <c r="BLS18" s="25"/>
      <c r="BLT18" s="25"/>
      <c r="BLU18" s="25"/>
      <c r="BLV18" s="25"/>
      <c r="BLX18" s="25"/>
      <c r="BLY18" s="25"/>
      <c r="BLZ18" s="25"/>
      <c r="BMA18" s="25"/>
      <c r="BPI18" s="25"/>
      <c r="BPJ18" s="25"/>
      <c r="BPK18" s="25"/>
      <c r="BPL18" s="25"/>
      <c r="BPM18" s="25"/>
      <c r="BPN18" s="25"/>
      <c r="BPO18" s="25"/>
      <c r="BPW18" s="25"/>
      <c r="BPX18" s="25"/>
      <c r="BPY18" s="25"/>
      <c r="BPZ18" s="25"/>
      <c r="BQA18" s="25"/>
      <c r="BQB18" s="25"/>
      <c r="BQC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TA18" s="25"/>
      <c r="BTB18" s="25"/>
      <c r="BTC18" s="25"/>
      <c r="BTD18" s="25"/>
      <c r="BTE18" s="25"/>
      <c r="BTF18" s="25"/>
      <c r="BTG18" s="25"/>
      <c r="BTH18" s="25"/>
      <c r="BTI18" s="25"/>
      <c r="BTJ18" s="25"/>
      <c r="BTK18" s="25"/>
      <c r="BTL18" s="25"/>
      <c r="BTM18" s="25"/>
      <c r="BTN18" s="25"/>
      <c r="BUQ18" s="25"/>
      <c r="BUR18" s="25"/>
      <c r="BUS18" s="25"/>
      <c r="BUT18" s="25"/>
      <c r="BUU18" s="25"/>
      <c r="BUV18" s="25"/>
      <c r="BUW18" s="25"/>
      <c r="BUX18" s="25"/>
      <c r="BUY18" s="25"/>
      <c r="BUZ18" s="25"/>
      <c r="BVA18" s="25"/>
      <c r="BVB18" s="25"/>
      <c r="BVC18" s="25"/>
      <c r="BVD18" s="25"/>
      <c r="BWC18" s="25" t="s">
        <v>28</v>
      </c>
      <c r="BWD18" s="25" t="s">
        <v>8927</v>
      </c>
      <c r="BWE18" s="25" t="s">
        <v>8357</v>
      </c>
      <c r="BWF18" s="25" t="s">
        <v>13721</v>
      </c>
      <c r="BWG18" s="25" t="s">
        <v>25</v>
      </c>
      <c r="BWH18" s="25" t="s">
        <v>2169</v>
      </c>
      <c r="BWI18" s="25" t="s">
        <v>28</v>
      </c>
      <c r="BWJ18" s="25" t="s">
        <v>8481</v>
      </c>
      <c r="BWK18" s="25" t="s">
        <v>28</v>
      </c>
      <c r="BWL18" s="56">
        <v>2000</v>
      </c>
      <c r="BWM18" s="25" t="s">
        <v>25</v>
      </c>
      <c r="BWO18" s="25" t="s">
        <v>25</v>
      </c>
      <c r="BWQ18" s="25" t="s">
        <v>28</v>
      </c>
      <c r="BWR18" s="25" t="s">
        <v>25</v>
      </c>
      <c r="BWT18" s="25" t="s">
        <v>25</v>
      </c>
      <c r="BWV18" s="25" t="s">
        <v>25</v>
      </c>
      <c r="BWX18" s="25" t="s">
        <v>28</v>
      </c>
      <c r="BWY18" s="25" t="s">
        <v>8358</v>
      </c>
      <c r="BWZ18" s="25" t="s">
        <v>28</v>
      </c>
      <c r="BXA18" s="56">
        <v>20</v>
      </c>
      <c r="BXB18" s="25" t="s">
        <v>25</v>
      </c>
      <c r="BXD18" s="25" t="s">
        <v>28</v>
      </c>
      <c r="BXE18" s="25" t="s">
        <v>8358</v>
      </c>
      <c r="BXF18" s="25" t="s">
        <v>28</v>
      </c>
      <c r="BXG18" s="56">
        <v>20</v>
      </c>
      <c r="BXH18" s="25" t="s">
        <v>25</v>
      </c>
      <c r="BXJ18" s="25" t="s">
        <v>28</v>
      </c>
      <c r="BXK18" s="25" t="s">
        <v>8498</v>
      </c>
      <c r="BXL18" s="25" t="s">
        <v>13821</v>
      </c>
      <c r="BXM18" s="25" t="s">
        <v>2201</v>
      </c>
      <c r="BXN18" s="25" t="s">
        <v>8332</v>
      </c>
      <c r="BXO18" s="25" t="s">
        <v>8274</v>
      </c>
      <c r="BXP18" s="25" t="s">
        <v>8361</v>
      </c>
      <c r="BXQ18" s="25" t="s">
        <v>8274</v>
      </c>
      <c r="BXR18" s="25" t="s">
        <v>8274</v>
      </c>
      <c r="BXS18" s="25" t="s">
        <v>8274</v>
      </c>
      <c r="BXT18" s="25" t="s">
        <v>8465</v>
      </c>
      <c r="BXU18" s="25" t="s">
        <v>25</v>
      </c>
      <c r="BXW18" s="25" t="s">
        <v>28</v>
      </c>
      <c r="BXX18" s="25" t="s">
        <v>28</v>
      </c>
      <c r="BXY18" s="25" t="s">
        <v>25</v>
      </c>
      <c r="BXZ18" s="25" t="s">
        <v>25</v>
      </c>
      <c r="BYA18" s="25" t="s">
        <v>25</v>
      </c>
      <c r="BYB18" s="25" t="s">
        <v>25</v>
      </c>
      <c r="BYC18" s="25" t="s">
        <v>2169</v>
      </c>
      <c r="BYD18" s="25" t="s">
        <v>28</v>
      </c>
      <c r="BYE18" s="25" t="s">
        <v>13624</v>
      </c>
      <c r="BYF18" s="25" t="s">
        <v>8277</v>
      </c>
      <c r="BYH18" s="25" t="s">
        <v>8363</v>
      </c>
      <c r="BYK18" s="25" t="s">
        <v>28</v>
      </c>
      <c r="BYL18" s="25" t="s">
        <v>28</v>
      </c>
      <c r="BYM18" s="25">
        <v>20</v>
      </c>
      <c r="BYN18" s="25" t="s">
        <v>28</v>
      </c>
      <c r="BYO18" s="25">
        <v>20</v>
      </c>
      <c r="BYP18" s="25" t="s">
        <v>25</v>
      </c>
      <c r="BYR18" s="25" t="s">
        <v>28</v>
      </c>
      <c r="BYS18" s="25" t="s">
        <v>8279</v>
      </c>
      <c r="BYT18" s="25" t="s">
        <v>8279</v>
      </c>
      <c r="BYU18" s="25" t="s">
        <v>732</v>
      </c>
      <c r="BYV18" s="25" t="s">
        <v>25</v>
      </c>
      <c r="BYW18" s="25" t="s">
        <v>28</v>
      </c>
      <c r="BYX18" s="56">
        <v>750</v>
      </c>
      <c r="BYY18" s="56">
        <v>1500</v>
      </c>
      <c r="BYZ18" s="25" t="s">
        <v>8280</v>
      </c>
      <c r="BZA18" s="25" t="s">
        <v>8928</v>
      </c>
      <c r="BZB18" s="25" t="s">
        <v>256</v>
      </c>
      <c r="BZC18" s="25" t="s">
        <v>8282</v>
      </c>
      <c r="BZD18" s="25" t="s">
        <v>28</v>
      </c>
      <c r="BZE18" s="25" t="s">
        <v>28</v>
      </c>
      <c r="BZF18" s="25" t="s">
        <v>28</v>
      </c>
      <c r="BZG18" s="25" t="s">
        <v>25</v>
      </c>
      <c r="BZJ18" s="25" t="s">
        <v>25</v>
      </c>
      <c r="BZM18" s="25" t="s">
        <v>28</v>
      </c>
      <c r="BZN18" s="25" t="s">
        <v>13635</v>
      </c>
      <c r="BZP18" s="25" t="s">
        <v>8366</v>
      </c>
      <c r="BZQ18" s="56" t="s">
        <v>8392</v>
      </c>
      <c r="BZR18" s="25" t="s">
        <v>28</v>
      </c>
      <c r="BZS18" s="25" t="s">
        <v>25</v>
      </c>
      <c r="BZT18" s="25" t="s">
        <v>8337</v>
      </c>
      <c r="BZV18" s="25" t="s">
        <v>13640</v>
      </c>
      <c r="BZX18" s="25" t="s">
        <v>13659</v>
      </c>
      <c r="BZZ18" s="25" t="s">
        <v>25</v>
      </c>
      <c r="CAC18" s="25" t="s">
        <v>25</v>
      </c>
      <c r="CAE18" s="25" t="s">
        <v>25</v>
      </c>
      <c r="CAG18" s="25" t="s">
        <v>25</v>
      </c>
      <c r="CAH18" s="25" t="s">
        <v>631</v>
      </c>
      <c r="CAI18" s="25" t="s">
        <v>631</v>
      </c>
      <c r="CAJ18" s="25" t="s">
        <v>631</v>
      </c>
      <c r="CAK18" s="25" t="s">
        <v>631</v>
      </c>
      <c r="CAL18" s="25" t="s">
        <v>631</v>
      </c>
      <c r="CAM18" s="25" t="s">
        <v>8290</v>
      </c>
      <c r="CAN18" s="25" t="s">
        <v>631</v>
      </c>
      <c r="CAO18" s="25" t="s">
        <v>8290</v>
      </c>
      <c r="CAP18" s="25" t="s">
        <v>631</v>
      </c>
      <c r="CAR18" s="25" t="s">
        <v>8412</v>
      </c>
      <c r="CAT18" s="25" t="s">
        <v>25</v>
      </c>
      <c r="CAV18" s="25" t="s">
        <v>8471</v>
      </c>
      <c r="CAW18" s="25" t="s">
        <v>8441</v>
      </c>
      <c r="CAX18" s="25" t="s">
        <v>8342</v>
      </c>
      <c r="CAY18" s="25">
        <v>7</v>
      </c>
      <c r="CAZ18" s="25">
        <v>59.5</v>
      </c>
      <c r="CBB18" s="25">
        <v>1</v>
      </c>
      <c r="CBC18" s="25">
        <v>0</v>
      </c>
      <c r="CBD18" s="25">
        <v>0</v>
      </c>
      <c r="CBE18" s="56">
        <v>50</v>
      </c>
      <c r="CBF18" s="56">
        <v>100</v>
      </c>
      <c r="CBG18" s="56">
        <v>50</v>
      </c>
      <c r="CBH18" s="56">
        <v>100</v>
      </c>
      <c r="CBI18" s="56">
        <v>2000</v>
      </c>
      <c r="CBK18" s="56">
        <v>2000</v>
      </c>
      <c r="CBM18" s="26">
        <v>0</v>
      </c>
      <c r="CBN18" s="26">
        <v>0</v>
      </c>
      <c r="CBO18" s="26">
        <v>0.1</v>
      </c>
      <c r="CBP18" s="26">
        <v>0.2</v>
      </c>
      <c r="CBQ18" s="26">
        <v>0.4</v>
      </c>
      <c r="CBR18" s="26">
        <v>0.5</v>
      </c>
      <c r="CBS18" s="26">
        <v>0.5</v>
      </c>
      <c r="CBT18" s="26">
        <v>0.5</v>
      </c>
      <c r="CBU18" s="27" t="s">
        <v>28</v>
      </c>
      <c r="CBV18" s="27" t="s">
        <v>8522</v>
      </c>
      <c r="CBW18" s="27" t="s">
        <v>8294</v>
      </c>
      <c r="CBX18" s="27" t="s">
        <v>8418</v>
      </c>
      <c r="CBY18" s="27" t="s">
        <v>8296</v>
      </c>
      <c r="CBZ18" s="27" t="s">
        <v>8296</v>
      </c>
      <c r="CCA18" s="27" t="s">
        <v>8297</v>
      </c>
      <c r="CCB18" s="27" t="s">
        <v>8298</v>
      </c>
      <c r="CCC18" s="27" t="s">
        <v>8296</v>
      </c>
      <c r="CCD18" s="27" t="s">
        <v>8296</v>
      </c>
      <c r="CCE18" s="27" t="s">
        <v>8297</v>
      </c>
      <c r="CCF18" s="27" t="s">
        <v>8297</v>
      </c>
      <c r="CCG18" s="27" t="s">
        <v>8297</v>
      </c>
      <c r="CCH18" s="27" t="s">
        <v>8296</v>
      </c>
      <c r="CCI18" s="27" t="s">
        <v>8298</v>
      </c>
      <c r="CCJ18" s="27" t="s">
        <v>8298</v>
      </c>
      <c r="CCK18" s="27" t="s">
        <v>8296</v>
      </c>
      <c r="CCL18" s="27" t="s">
        <v>8296</v>
      </c>
      <c r="CCM18" s="27" t="s">
        <v>8296</v>
      </c>
      <c r="CCN18" s="27" t="s">
        <v>8297</v>
      </c>
      <c r="CCO18" s="27" t="s">
        <v>8300</v>
      </c>
      <c r="CCP18" s="27" t="s">
        <v>8297</v>
      </c>
      <c r="CCQ18" s="27" t="s">
        <v>8297</v>
      </c>
      <c r="CCR18" s="27" t="s">
        <v>8297</v>
      </c>
      <c r="CCS18" s="27" t="s">
        <v>8298</v>
      </c>
      <c r="CCT18" s="27" t="s">
        <v>8296</v>
      </c>
      <c r="CCU18" s="27" t="s">
        <v>8298</v>
      </c>
      <c r="CCV18" s="27" t="s">
        <v>8298</v>
      </c>
      <c r="CCW18" s="27" t="s">
        <v>29</v>
      </c>
      <c r="CCX18" s="27" t="s">
        <v>29</v>
      </c>
      <c r="CCY18" s="27" t="s">
        <v>29</v>
      </c>
      <c r="CCZ18" s="27" t="s">
        <v>28</v>
      </c>
      <c r="CDA18" s="27" t="s">
        <v>28</v>
      </c>
      <c r="CDB18" s="27" t="s">
        <v>28</v>
      </c>
      <c r="CDC18" s="27" t="s">
        <v>25</v>
      </c>
      <c r="CDD18" s="27" t="s">
        <v>28</v>
      </c>
      <c r="CDE18" s="27" t="s">
        <v>28</v>
      </c>
      <c r="CDF18" s="27" t="s">
        <v>28</v>
      </c>
      <c r="CDG18" s="27" t="s">
        <v>28</v>
      </c>
      <c r="CDH18" s="27" t="s">
        <v>28</v>
      </c>
      <c r="CDI18" s="27" t="s">
        <v>28</v>
      </c>
      <c r="CDJ18" s="27" t="s">
        <v>25</v>
      </c>
      <c r="CDK18" s="27" t="s">
        <v>25</v>
      </c>
      <c r="CDL18" s="27" t="s">
        <v>28</v>
      </c>
      <c r="CDM18" s="27" t="s">
        <v>28</v>
      </c>
      <c r="CDN18" s="27" t="s">
        <v>28</v>
      </c>
      <c r="CDO18" s="27" t="s">
        <v>28</v>
      </c>
      <c r="CDP18" s="27" t="s">
        <v>25</v>
      </c>
      <c r="CDQ18" s="27" t="s">
        <v>28</v>
      </c>
      <c r="CDR18" s="27" t="s">
        <v>28</v>
      </c>
      <c r="CDS18" s="27" t="s">
        <v>28</v>
      </c>
      <c r="CDT18" s="27" t="s">
        <v>25</v>
      </c>
      <c r="CDU18" s="27" t="s">
        <v>28</v>
      </c>
      <c r="CDV18" s="27" t="s">
        <v>25</v>
      </c>
      <c r="CDW18" s="27" t="s">
        <v>25</v>
      </c>
      <c r="CDX18" s="27" t="s">
        <v>28</v>
      </c>
      <c r="CDY18" s="27" t="s">
        <v>28</v>
      </c>
      <c r="CDZ18" s="27" t="s">
        <v>28</v>
      </c>
      <c r="CEA18" s="27" t="s">
        <v>2673</v>
      </c>
      <c r="CEB18" s="27" t="s">
        <v>2673</v>
      </c>
      <c r="CEC18" s="27" t="s">
        <v>2673</v>
      </c>
      <c r="CED18" s="27" t="s">
        <v>8302</v>
      </c>
      <c r="CEE18" s="27" t="s">
        <v>2673</v>
      </c>
      <c r="CEF18" s="27" t="s">
        <v>8301</v>
      </c>
      <c r="CEG18" s="27" t="s">
        <v>2673</v>
      </c>
      <c r="CEH18" s="27" t="s">
        <v>2673</v>
      </c>
      <c r="CEI18" s="27" t="s">
        <v>2673</v>
      </c>
      <c r="CEJ18" s="27" t="s">
        <v>2673</v>
      </c>
      <c r="CEK18" s="27" t="s">
        <v>8302</v>
      </c>
      <c r="CEL18" s="27" t="s">
        <v>8302</v>
      </c>
      <c r="CEM18" s="27" t="s">
        <v>8301</v>
      </c>
      <c r="CEN18" s="27" t="s">
        <v>8301</v>
      </c>
      <c r="CEP18" s="27" t="s">
        <v>2673</v>
      </c>
      <c r="CEQ18" s="27" t="s">
        <v>8304</v>
      </c>
      <c r="CER18" s="27" t="s">
        <v>8305</v>
      </c>
      <c r="CES18" s="27" t="s">
        <v>8306</v>
      </c>
      <c r="CET18" s="27" t="s">
        <v>29</v>
      </c>
      <c r="CEU18" s="27" t="s">
        <v>29</v>
      </c>
      <c r="CEV18" s="27" t="s">
        <v>29</v>
      </c>
      <c r="CEW18" s="27" t="s">
        <v>8305</v>
      </c>
      <c r="CEX18" s="27" t="s">
        <v>8302</v>
      </c>
      <c r="CEY18" s="27" t="s">
        <v>8305</v>
      </c>
      <c r="CEZ18" s="27" t="s">
        <v>8301</v>
      </c>
      <c r="CFA18" s="27" t="s">
        <v>8301</v>
      </c>
      <c r="CFB18" s="27" t="s">
        <v>25</v>
      </c>
      <c r="CFC18" s="27" t="s">
        <v>25</v>
      </c>
      <c r="CFD18" s="27" t="s">
        <v>25</v>
      </c>
      <c r="CFE18" s="27" t="s">
        <v>25</v>
      </c>
      <c r="CFF18" s="27" t="s">
        <v>25</v>
      </c>
      <c r="CFG18" s="27" t="s">
        <v>25</v>
      </c>
      <c r="CFH18" s="27" t="s">
        <v>25</v>
      </c>
      <c r="CFI18" s="27" t="s">
        <v>25</v>
      </c>
      <c r="CFJ18" s="27" t="s">
        <v>25</v>
      </c>
      <c r="CFK18" s="27" t="s">
        <v>25</v>
      </c>
      <c r="CFL18" s="27" t="s">
        <v>25</v>
      </c>
      <c r="CFM18" s="27" t="s">
        <v>25</v>
      </c>
      <c r="CFN18" s="27" t="s">
        <v>25</v>
      </c>
      <c r="CFO18" s="27" t="s">
        <v>25</v>
      </c>
      <c r="CFP18" s="27" t="s">
        <v>25</v>
      </c>
      <c r="CFQ18" s="27" t="s">
        <v>25</v>
      </c>
      <c r="CFR18" s="27" t="s">
        <v>25</v>
      </c>
      <c r="CFS18" s="27" t="s">
        <v>25</v>
      </c>
      <c r="CFT18" s="27" t="s">
        <v>25</v>
      </c>
      <c r="CFU18" s="27" t="s">
        <v>25</v>
      </c>
      <c r="CFV18" s="27" t="s">
        <v>25</v>
      </c>
      <c r="CFW18" s="27" t="s">
        <v>25</v>
      </c>
      <c r="CFX18" s="27" t="s">
        <v>28</v>
      </c>
      <c r="CFY18" s="27" t="s">
        <v>25</v>
      </c>
      <c r="CFZ18" s="27" t="s">
        <v>25</v>
      </c>
      <c r="CGA18" s="27" t="s">
        <v>25</v>
      </c>
      <c r="CGB18" s="27" t="s">
        <v>25</v>
      </c>
      <c r="CPW18" s="27">
        <v>2</v>
      </c>
      <c r="CPX18" s="56">
        <v>10</v>
      </c>
      <c r="CPY18" s="26">
        <v>0</v>
      </c>
      <c r="CQA18" s="26">
        <v>0</v>
      </c>
      <c r="CQB18" s="25" t="s">
        <v>8307</v>
      </c>
      <c r="CQC18" s="25" t="s">
        <v>8307</v>
      </c>
      <c r="CQD18" s="25" t="s">
        <v>8344</v>
      </c>
      <c r="CQE18" s="25" t="s">
        <v>8307</v>
      </c>
      <c r="CQF18" s="25" t="s">
        <v>8307</v>
      </c>
      <c r="CQH18" s="56">
        <v>130</v>
      </c>
      <c r="CQI18" s="56">
        <v>155</v>
      </c>
      <c r="CQJ18" s="56">
        <v>130</v>
      </c>
      <c r="CQK18" s="56">
        <v>130</v>
      </c>
      <c r="CQL18" s="25" t="s">
        <v>13696</v>
      </c>
      <c r="CQM18" s="25" t="s">
        <v>8345</v>
      </c>
      <c r="CQN18" s="25" t="s">
        <v>25</v>
      </c>
      <c r="CQO18" s="25" t="s">
        <v>8309</v>
      </c>
      <c r="CQQ18" s="25" t="s">
        <v>8929</v>
      </c>
      <c r="CQR18" s="25" t="s">
        <v>8930</v>
      </c>
      <c r="CQS18" s="25" t="s">
        <v>28</v>
      </c>
      <c r="CQT18" s="25" t="s">
        <v>8312</v>
      </c>
      <c r="CQU18" s="25" t="s">
        <v>8312</v>
      </c>
      <c r="CQV18" s="25" t="s">
        <v>8313</v>
      </c>
      <c r="CQW18" s="25" t="s">
        <v>8312</v>
      </c>
      <c r="CQX18" s="25" t="s">
        <v>8312</v>
      </c>
      <c r="CQY18" s="25" t="s">
        <v>8312</v>
      </c>
      <c r="CQZ18" s="25" t="s">
        <v>8312</v>
      </c>
      <c r="CRA18" s="25" t="s">
        <v>8314</v>
      </c>
      <c r="CRB18" s="25" t="s">
        <v>8312</v>
      </c>
      <c r="CRC18" s="25" t="s">
        <v>8312</v>
      </c>
      <c r="CRD18" s="25" t="s">
        <v>8312</v>
      </c>
      <c r="CRE18" s="27" t="s">
        <v>8312</v>
      </c>
    </row>
    <row r="19" spans="1:2501" ht="178.5" x14ac:dyDescent="0.2">
      <c r="A19" s="21" t="s">
        <v>123</v>
      </c>
      <c r="B19" s="26">
        <v>0.16</v>
      </c>
      <c r="C19" s="26">
        <v>0</v>
      </c>
      <c r="D19" s="26">
        <v>0.1</v>
      </c>
      <c r="E19" s="26">
        <v>0.62</v>
      </c>
      <c r="F19" s="26">
        <v>0</v>
      </c>
      <c r="G19" s="26">
        <v>0</v>
      </c>
      <c r="H19" s="26">
        <v>0</v>
      </c>
      <c r="I19" s="26">
        <v>0</v>
      </c>
      <c r="J19" s="26">
        <v>0</v>
      </c>
      <c r="K19" s="26">
        <v>0</v>
      </c>
      <c r="L19" s="26">
        <v>0.02</v>
      </c>
      <c r="M19" s="26">
        <v>0.1</v>
      </c>
      <c r="N19" s="26">
        <v>0</v>
      </c>
      <c r="O19" s="26">
        <v>0</v>
      </c>
      <c r="P19" s="26">
        <v>0</v>
      </c>
      <c r="Q19" s="26">
        <v>0</v>
      </c>
      <c r="R19" s="26">
        <v>0</v>
      </c>
      <c r="S19" s="26">
        <v>0</v>
      </c>
      <c r="T19" s="26">
        <v>0</v>
      </c>
      <c r="U19" s="26">
        <v>0</v>
      </c>
      <c r="V19" s="26">
        <v>0</v>
      </c>
      <c r="W19" s="26">
        <v>0</v>
      </c>
      <c r="X19" s="26">
        <v>0</v>
      </c>
      <c r="Y19" s="26">
        <v>1</v>
      </c>
      <c r="Z19" s="25">
        <v>1</v>
      </c>
      <c r="AA19" s="25" t="s">
        <v>8379</v>
      </c>
      <c r="AC19" s="56">
        <v>2500</v>
      </c>
      <c r="AD19" s="56">
        <v>5000</v>
      </c>
      <c r="AH19" s="56">
        <v>5000</v>
      </c>
      <c r="AI19" s="25" t="s">
        <v>13411</v>
      </c>
      <c r="AJ19" s="56">
        <v>750</v>
      </c>
      <c r="AK19" s="56">
        <v>1500</v>
      </c>
      <c r="AL19" s="56">
        <v>750</v>
      </c>
      <c r="AM19" s="56">
        <v>1500</v>
      </c>
      <c r="AN19" s="25" t="s">
        <v>8247</v>
      </c>
      <c r="AO19" s="25" t="s">
        <v>8248</v>
      </c>
      <c r="BB19" s="25" t="s">
        <v>8249</v>
      </c>
      <c r="DO19" s="25" t="s">
        <v>25</v>
      </c>
      <c r="DP19" s="25" t="s">
        <v>25</v>
      </c>
      <c r="DR19" s="25" t="s">
        <v>25</v>
      </c>
      <c r="DT19" s="25" t="s">
        <v>13419</v>
      </c>
      <c r="DU19" s="25" t="s">
        <v>13419</v>
      </c>
      <c r="EC19" s="26">
        <v>0.1</v>
      </c>
      <c r="ED19" s="26">
        <v>0.1</v>
      </c>
      <c r="EE19" s="26">
        <v>0.1</v>
      </c>
      <c r="EG19" s="26">
        <v>0.1</v>
      </c>
      <c r="EH19" s="26">
        <v>0.1</v>
      </c>
      <c r="EQ19" s="26">
        <v>0.3</v>
      </c>
      <c r="ER19" s="26">
        <v>0.3</v>
      </c>
      <c r="ES19" s="26">
        <v>0.3</v>
      </c>
      <c r="EU19" s="26">
        <v>0.3</v>
      </c>
      <c r="EV19" s="26">
        <v>0.3</v>
      </c>
      <c r="EX19" s="25" t="s">
        <v>8250</v>
      </c>
      <c r="EY19" s="25" t="s">
        <v>8250</v>
      </c>
      <c r="EZ19" s="25" t="s">
        <v>8250</v>
      </c>
      <c r="FB19" s="25" t="s">
        <v>8250</v>
      </c>
      <c r="FC19" s="25" t="s">
        <v>8250</v>
      </c>
      <c r="FE19" s="25" t="s">
        <v>25</v>
      </c>
      <c r="FF19" s="25" t="s">
        <v>25</v>
      </c>
      <c r="FG19" s="25" t="s">
        <v>25</v>
      </c>
      <c r="FH19" s="25" t="s">
        <v>8324</v>
      </c>
      <c r="FI19" s="25" t="s">
        <v>25</v>
      </c>
      <c r="FJ19" s="25" t="s">
        <v>25</v>
      </c>
      <c r="FL19" s="25" t="s">
        <v>13810</v>
      </c>
      <c r="FM19" s="25" t="s">
        <v>13810</v>
      </c>
      <c r="FN19" s="25" t="s">
        <v>13810</v>
      </c>
      <c r="FO19" s="25" t="s">
        <v>8424</v>
      </c>
      <c r="FP19" s="25" t="s">
        <v>13810</v>
      </c>
      <c r="FQ19" s="25" t="s">
        <v>13810</v>
      </c>
      <c r="FR19" s="25" t="s">
        <v>8424</v>
      </c>
      <c r="FS19" s="25" t="s">
        <v>8252</v>
      </c>
      <c r="FT19" s="25" t="s">
        <v>8252</v>
      </c>
      <c r="FV19" s="25" t="s">
        <v>8425</v>
      </c>
      <c r="FW19" s="25" t="s">
        <v>8425</v>
      </c>
      <c r="FX19" s="25" t="s">
        <v>8425</v>
      </c>
      <c r="FY19" s="25" t="s">
        <v>13449</v>
      </c>
      <c r="FZ19" s="25" t="s">
        <v>8427</v>
      </c>
      <c r="GA19" s="25" t="s">
        <v>8427</v>
      </c>
      <c r="GB19" s="25" t="s">
        <v>13449</v>
      </c>
      <c r="GC19" s="25" t="s">
        <v>8320</v>
      </c>
      <c r="GD19" s="25" t="s">
        <v>8320</v>
      </c>
      <c r="HG19" s="57">
        <v>0.2</v>
      </c>
      <c r="HH19" s="57">
        <v>0.2</v>
      </c>
      <c r="HI19" s="57">
        <v>0.3</v>
      </c>
      <c r="HO19" s="56">
        <v>10</v>
      </c>
      <c r="HQ19" s="56">
        <v>50</v>
      </c>
      <c r="HS19" s="56">
        <v>100</v>
      </c>
      <c r="IB19" s="26">
        <v>0.3</v>
      </c>
      <c r="IC19" s="26">
        <v>0.3</v>
      </c>
      <c r="ID19" s="26">
        <v>0.3</v>
      </c>
      <c r="IW19" s="26">
        <v>0.2</v>
      </c>
      <c r="IX19" s="26">
        <v>0.2</v>
      </c>
      <c r="IY19" s="26">
        <v>0.3</v>
      </c>
      <c r="JE19" s="56">
        <v>20</v>
      </c>
      <c r="JG19" s="56">
        <v>100</v>
      </c>
      <c r="JI19" s="56">
        <v>200</v>
      </c>
      <c r="KM19" s="25" t="s">
        <v>8352</v>
      </c>
      <c r="KN19" s="25" t="s">
        <v>8256</v>
      </c>
      <c r="KO19" s="25" t="s">
        <v>8321</v>
      </c>
      <c r="KP19" s="25">
        <v>4</v>
      </c>
      <c r="KQ19" s="25" t="s">
        <v>8428</v>
      </c>
      <c r="KR19" s="25" t="s">
        <v>8429</v>
      </c>
      <c r="KS19" s="56">
        <v>3600</v>
      </c>
      <c r="KT19" s="56">
        <v>7200</v>
      </c>
      <c r="KU19" s="56">
        <v>3600</v>
      </c>
      <c r="KV19" s="56">
        <v>7200</v>
      </c>
      <c r="KW19" s="56">
        <v>3600</v>
      </c>
      <c r="KY19" s="25" t="s">
        <v>13411</v>
      </c>
      <c r="KZ19" s="56">
        <v>1600</v>
      </c>
      <c r="LA19" s="56">
        <v>3200</v>
      </c>
      <c r="LB19" s="56">
        <v>1600</v>
      </c>
      <c r="LC19" s="56">
        <v>3200</v>
      </c>
      <c r="LD19" s="25" t="s">
        <v>8247</v>
      </c>
      <c r="LE19" s="25" t="s">
        <v>8248</v>
      </c>
      <c r="LR19" s="25" t="s">
        <v>8249</v>
      </c>
      <c r="OE19" s="25" t="s">
        <v>25</v>
      </c>
      <c r="OF19" s="25" t="s">
        <v>25</v>
      </c>
      <c r="OH19" s="25" t="s">
        <v>25</v>
      </c>
      <c r="OJ19" s="25" t="s">
        <v>13419</v>
      </c>
      <c r="OK19" s="25" t="s">
        <v>13419</v>
      </c>
      <c r="OS19" s="26">
        <v>0.1</v>
      </c>
      <c r="OT19" s="26">
        <v>0.1</v>
      </c>
      <c r="OU19" s="26">
        <v>0.1</v>
      </c>
      <c r="OW19" s="26">
        <v>0.1</v>
      </c>
      <c r="OX19" s="26">
        <v>0.1</v>
      </c>
      <c r="PG19" s="26">
        <v>0.3</v>
      </c>
      <c r="PH19" s="26">
        <v>0.3</v>
      </c>
      <c r="PI19" s="26">
        <v>0.3</v>
      </c>
      <c r="PK19" s="26">
        <v>0.3</v>
      </c>
      <c r="PL19" s="26">
        <v>0.3</v>
      </c>
      <c r="PN19" s="25" t="s">
        <v>8250</v>
      </c>
      <c r="PO19" s="25" t="s">
        <v>8250</v>
      </c>
      <c r="PP19" s="25" t="s">
        <v>8250</v>
      </c>
      <c r="PR19" s="25" t="s">
        <v>8250</v>
      </c>
      <c r="PS19" s="25" t="s">
        <v>8250</v>
      </c>
      <c r="PU19" s="25" t="s">
        <v>25</v>
      </c>
      <c r="PV19" s="25" t="s">
        <v>25</v>
      </c>
      <c r="PW19" s="25" t="s">
        <v>25</v>
      </c>
      <c r="PX19" s="25" t="s">
        <v>8324</v>
      </c>
      <c r="PY19" s="25" t="s">
        <v>25</v>
      </c>
      <c r="PZ19" s="25" t="s">
        <v>25</v>
      </c>
      <c r="QB19" s="25" t="s">
        <v>13810</v>
      </c>
      <c r="QC19" s="25" t="s">
        <v>13810</v>
      </c>
      <c r="QD19" s="25" t="s">
        <v>13810</v>
      </c>
      <c r="QE19" s="25" t="s">
        <v>8424</v>
      </c>
      <c r="QF19" s="25" t="s">
        <v>13810</v>
      </c>
      <c r="QG19" s="25" t="s">
        <v>13810</v>
      </c>
      <c r="QH19" s="25" t="s">
        <v>8424</v>
      </c>
      <c r="QI19" s="25" t="s">
        <v>8252</v>
      </c>
      <c r="QJ19" s="25" t="s">
        <v>8252</v>
      </c>
      <c r="QL19" s="25" t="s">
        <v>8425</v>
      </c>
      <c r="QM19" s="25" t="s">
        <v>8425</v>
      </c>
      <c r="QN19" s="25" t="s">
        <v>8425</v>
      </c>
      <c r="QO19" s="25" t="s">
        <v>13449</v>
      </c>
      <c r="QP19" s="25" t="s">
        <v>8427</v>
      </c>
      <c r="QQ19" s="25" t="s">
        <v>8427</v>
      </c>
      <c r="QR19" s="25" t="s">
        <v>13449</v>
      </c>
      <c r="QS19" s="25" t="s">
        <v>8320</v>
      </c>
      <c r="QT19" s="25" t="s">
        <v>8320</v>
      </c>
      <c r="RW19" s="26">
        <v>0.2</v>
      </c>
      <c r="RX19" s="26">
        <v>0.2</v>
      </c>
      <c r="RY19" s="26">
        <v>0.3</v>
      </c>
      <c r="SE19" s="56">
        <v>10</v>
      </c>
      <c r="SG19" s="56">
        <v>50</v>
      </c>
      <c r="SI19" s="56">
        <v>100</v>
      </c>
      <c r="SR19" s="26">
        <v>0.3</v>
      </c>
      <c r="SS19" s="26">
        <v>0.3</v>
      </c>
      <c r="ST19" s="26">
        <v>0.3</v>
      </c>
      <c r="TM19" s="26">
        <v>0.2</v>
      </c>
      <c r="TN19" s="26">
        <v>0.2</v>
      </c>
      <c r="TO19" s="26">
        <v>0.3</v>
      </c>
      <c r="TU19" s="56">
        <v>20</v>
      </c>
      <c r="TW19" s="56">
        <v>100</v>
      </c>
      <c r="TY19" s="56">
        <v>200</v>
      </c>
      <c r="VC19" s="25" t="s">
        <v>8352</v>
      </c>
      <c r="VD19" s="25" t="s">
        <v>8256</v>
      </c>
      <c r="VE19" s="25" t="s">
        <v>8321</v>
      </c>
      <c r="VF19" s="25">
        <v>0</v>
      </c>
      <c r="VI19" s="25"/>
      <c r="VJ19" s="25"/>
      <c r="VK19" s="25"/>
      <c r="VL19" s="25"/>
      <c r="VM19" s="25"/>
      <c r="VN19" s="25"/>
      <c r="VP19" s="25"/>
      <c r="VQ19" s="25"/>
      <c r="VR19" s="25"/>
      <c r="VS19" s="25"/>
      <c r="ZA19" s="25"/>
      <c r="ZB19" s="25"/>
      <c r="ZC19" s="25"/>
      <c r="ZD19" s="25"/>
      <c r="ZE19" s="25"/>
      <c r="ZF19" s="25"/>
      <c r="ZG19" s="25"/>
      <c r="ZO19" s="25"/>
      <c r="ZP19" s="25"/>
      <c r="ZQ19" s="25"/>
      <c r="ZR19" s="25"/>
      <c r="ZS19" s="25"/>
      <c r="ZT19" s="25"/>
      <c r="ZU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S19" s="25"/>
      <c r="ACT19" s="25"/>
      <c r="ACU19" s="25"/>
      <c r="ACV19" s="25"/>
      <c r="ACW19" s="25"/>
      <c r="ACX19" s="25"/>
      <c r="ACY19" s="25"/>
      <c r="ACZ19" s="25"/>
      <c r="ADA19" s="25"/>
      <c r="ADB19" s="25"/>
      <c r="ADC19" s="25"/>
      <c r="ADD19" s="25"/>
      <c r="ADE19" s="25"/>
      <c r="ADF19" s="25"/>
      <c r="ADN19" s="25"/>
      <c r="ADO19" s="25"/>
      <c r="ADP19" s="25"/>
      <c r="ADQ19" s="25"/>
      <c r="ADR19" s="25"/>
      <c r="ADS19" s="25"/>
      <c r="ADT19" s="25"/>
      <c r="ADU19" s="25"/>
      <c r="ADV19" s="25"/>
      <c r="ADW19" s="25"/>
      <c r="ADX19" s="25"/>
      <c r="ADY19" s="25"/>
      <c r="ADZ19" s="25"/>
      <c r="AEA19" s="25"/>
      <c r="AEI19" s="25"/>
      <c r="AEJ19" s="25"/>
      <c r="AEK19" s="25"/>
      <c r="AEL19" s="25"/>
      <c r="AEM19" s="25"/>
      <c r="AEN19" s="25"/>
      <c r="AEO19" s="25"/>
      <c r="AEP19" s="25"/>
      <c r="AEQ19" s="25"/>
      <c r="AER19" s="25"/>
      <c r="AES19" s="25"/>
      <c r="AET19" s="25"/>
      <c r="AEU19" s="25"/>
      <c r="AEV19" s="25"/>
      <c r="AFD19" s="25"/>
      <c r="AFE19" s="25"/>
      <c r="AFF19" s="25"/>
      <c r="AFG19" s="25"/>
      <c r="AFH19" s="25"/>
      <c r="AFI19" s="25"/>
      <c r="AFJ19" s="25"/>
      <c r="AFK19" s="25"/>
      <c r="AFL19" s="25"/>
      <c r="AFM19" s="25"/>
      <c r="AFN19" s="25"/>
      <c r="AFO19" s="25"/>
      <c r="AFP19" s="25"/>
      <c r="AFQ19" s="25"/>
      <c r="AFU19" s="25">
        <v>0</v>
      </c>
      <c r="AFX19" s="25"/>
      <c r="AFY19" s="25"/>
      <c r="AFZ19" s="25"/>
      <c r="AGA19" s="25"/>
      <c r="AGB19" s="25"/>
      <c r="AGC19" s="25"/>
      <c r="AGE19" s="25"/>
      <c r="AGF19" s="25"/>
      <c r="AGG19" s="25"/>
      <c r="AGH19" s="25"/>
      <c r="AJP19" s="25"/>
      <c r="AJQ19" s="25"/>
      <c r="AJR19" s="25"/>
      <c r="AJS19" s="25"/>
      <c r="AJT19" s="25"/>
      <c r="AJU19" s="25"/>
      <c r="AJV19" s="25"/>
      <c r="AKD19" s="25"/>
      <c r="AKE19" s="25"/>
      <c r="AKF19" s="25"/>
      <c r="AKG19" s="25"/>
      <c r="AKH19" s="25"/>
      <c r="AKI19" s="25"/>
      <c r="AKJ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H19" s="25"/>
      <c r="ANI19" s="25"/>
      <c r="ANJ19" s="25"/>
      <c r="ANK19" s="25"/>
      <c r="ANL19" s="25"/>
      <c r="ANM19" s="25"/>
      <c r="ANN19" s="25"/>
      <c r="ANO19" s="25"/>
      <c r="ANP19" s="25"/>
      <c r="ANQ19" s="25"/>
      <c r="ANR19" s="25"/>
      <c r="ANS19" s="25"/>
      <c r="ANT19" s="25"/>
      <c r="ANU19" s="25"/>
      <c r="AOC19" s="25"/>
      <c r="AOD19" s="25"/>
      <c r="AOE19" s="25"/>
      <c r="AOF19" s="25"/>
      <c r="AOG19" s="25"/>
      <c r="AOH19" s="25"/>
      <c r="AOI19" s="25"/>
      <c r="AOJ19" s="25"/>
      <c r="AOK19" s="25"/>
      <c r="AOL19" s="25"/>
      <c r="AOM19" s="25"/>
      <c r="AON19" s="25"/>
      <c r="AOO19" s="25"/>
      <c r="AOP19" s="25"/>
      <c r="AOX19" s="25"/>
      <c r="AOY19" s="25"/>
      <c r="AOZ19" s="25"/>
      <c r="APA19" s="25"/>
      <c r="APB19" s="25"/>
      <c r="APC19" s="25"/>
      <c r="APD19" s="25"/>
      <c r="APE19" s="25"/>
      <c r="APF19" s="25"/>
      <c r="APG19" s="25"/>
      <c r="APH19" s="25"/>
      <c r="API19" s="25"/>
      <c r="APJ19" s="25"/>
      <c r="APK19" s="25"/>
      <c r="APS19" s="25"/>
      <c r="APT19" s="25"/>
      <c r="APU19" s="25"/>
      <c r="APV19" s="25"/>
      <c r="APW19" s="25"/>
      <c r="APX19" s="25"/>
      <c r="APY19" s="25"/>
      <c r="APZ19" s="25"/>
      <c r="AQA19" s="25"/>
      <c r="AQB19" s="25"/>
      <c r="AQC19" s="25"/>
      <c r="AQD19" s="25"/>
      <c r="AQE19" s="25"/>
      <c r="AQF19" s="25"/>
      <c r="AQJ19" s="25">
        <v>2</v>
      </c>
      <c r="AQK19" s="25" t="s">
        <v>8430</v>
      </c>
      <c r="AQL19" s="25" t="s">
        <v>8431</v>
      </c>
      <c r="AQM19" s="56">
        <v>3000</v>
      </c>
      <c r="AQN19" s="56">
        <v>6000</v>
      </c>
      <c r="AQS19" s="25" t="s">
        <v>13596</v>
      </c>
      <c r="AQT19" s="56">
        <v>750</v>
      </c>
      <c r="AQU19" s="56">
        <v>1500</v>
      </c>
      <c r="AQX19" s="25" t="s">
        <v>8248</v>
      </c>
      <c r="ARK19" s="25" t="s">
        <v>8249</v>
      </c>
      <c r="ATX19" s="25" t="s">
        <v>25</v>
      </c>
      <c r="ATY19" s="25" t="s">
        <v>25</v>
      </c>
      <c r="AUA19" s="25" t="s">
        <v>25</v>
      </c>
      <c r="AUC19" s="25" t="s">
        <v>13417</v>
      </c>
      <c r="AUD19" s="25" t="s">
        <v>8432</v>
      </c>
      <c r="AUE19" s="56">
        <v>20</v>
      </c>
      <c r="AUF19" s="56">
        <v>30</v>
      </c>
      <c r="AUI19" s="56">
        <v>20</v>
      </c>
      <c r="AUJ19" s="56">
        <v>0</v>
      </c>
      <c r="AUN19" s="26">
        <v>0.1</v>
      </c>
      <c r="AUQ19" s="26">
        <v>0</v>
      </c>
      <c r="AUW19" s="56">
        <v>20</v>
      </c>
      <c r="AVC19" s="26">
        <v>0.1</v>
      </c>
      <c r="AVG19" s="25" t="s">
        <v>8250</v>
      </c>
      <c r="AVH19" s="25" t="s">
        <v>8250</v>
      </c>
      <c r="AVI19" s="25" t="s">
        <v>8250</v>
      </c>
      <c r="AVJ19" s="25" t="s">
        <v>8250</v>
      </c>
      <c r="AVK19" s="25" t="s">
        <v>8250</v>
      </c>
      <c r="AVL19" s="25" t="s">
        <v>8250</v>
      </c>
      <c r="AVM19" s="25" t="s">
        <v>8250</v>
      </c>
      <c r="AVN19" s="25" t="s">
        <v>25</v>
      </c>
      <c r="AVO19" s="25" t="s">
        <v>25</v>
      </c>
      <c r="AVP19" s="25" t="s">
        <v>25</v>
      </c>
      <c r="AVQ19" s="25" t="s">
        <v>25</v>
      </c>
      <c r="AVR19" s="25" t="s">
        <v>25</v>
      </c>
      <c r="AVS19" s="25" t="s">
        <v>25</v>
      </c>
      <c r="AVU19" s="25" t="s">
        <v>13810</v>
      </c>
      <c r="AVV19" s="25" t="s">
        <v>13810</v>
      </c>
      <c r="AVW19" s="25" t="s">
        <v>13810</v>
      </c>
      <c r="AVX19" s="25" t="s">
        <v>8252</v>
      </c>
      <c r="AVY19" s="25" t="s">
        <v>13810</v>
      </c>
      <c r="AVZ19" s="25" t="s">
        <v>8252</v>
      </c>
      <c r="AWA19" s="25" t="s">
        <v>8252</v>
      </c>
      <c r="AWB19" s="25" t="s">
        <v>8252</v>
      </c>
      <c r="AWC19" s="25" t="s">
        <v>631</v>
      </c>
      <c r="AWE19" s="25" t="s">
        <v>8325</v>
      </c>
      <c r="AWF19" s="25" t="s">
        <v>8325</v>
      </c>
      <c r="AWG19" s="25" t="s">
        <v>8325</v>
      </c>
      <c r="AWH19" s="25" t="s">
        <v>8383</v>
      </c>
      <c r="AWI19" s="25" t="s">
        <v>8325</v>
      </c>
      <c r="AWJ19" s="25" t="s">
        <v>8253</v>
      </c>
      <c r="AWK19" s="25" t="s">
        <v>8383</v>
      </c>
      <c r="AWL19" s="25" t="s">
        <v>8253</v>
      </c>
      <c r="AWN19" s="56">
        <v>10</v>
      </c>
      <c r="AWP19" s="56">
        <v>10</v>
      </c>
      <c r="AWR19" s="56">
        <v>20</v>
      </c>
      <c r="AWT19" s="56">
        <v>20</v>
      </c>
      <c r="BAV19" s="25" t="s">
        <v>8255</v>
      </c>
      <c r="BAW19" s="25" t="s">
        <v>8256</v>
      </c>
      <c r="BAX19" s="25" t="s">
        <v>8321</v>
      </c>
      <c r="BAY19" s="25">
        <v>0</v>
      </c>
      <c r="BBB19" s="25"/>
      <c r="BBC19" s="25"/>
      <c r="BBD19" s="25"/>
      <c r="BBE19" s="25"/>
      <c r="BBF19" s="25"/>
      <c r="BBG19" s="25"/>
      <c r="BBI19" s="25"/>
      <c r="BBJ19" s="25"/>
      <c r="BBK19" s="25"/>
      <c r="BBL19" s="25"/>
      <c r="BET19" s="25"/>
      <c r="BEU19" s="25"/>
      <c r="BEV19" s="25"/>
      <c r="BEW19" s="25"/>
      <c r="BEX19" s="25"/>
      <c r="BEY19" s="25"/>
      <c r="BEZ19" s="25"/>
      <c r="BFH19" s="25"/>
      <c r="BFI19" s="25"/>
      <c r="BFJ19" s="25"/>
      <c r="BFK19" s="25"/>
      <c r="BFL19" s="25"/>
      <c r="BFM19" s="25"/>
      <c r="BFN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L19" s="25"/>
      <c r="BIM19" s="25"/>
      <c r="BIN19" s="25"/>
      <c r="BIO19" s="25"/>
      <c r="BIP19" s="25"/>
      <c r="BIQ19" s="25"/>
      <c r="BIR19" s="25"/>
      <c r="BIS19" s="25"/>
      <c r="BIT19" s="25"/>
      <c r="BIU19" s="25"/>
      <c r="BIV19" s="25"/>
      <c r="BIW19" s="25"/>
      <c r="BIX19" s="25"/>
      <c r="BIY19" s="25"/>
      <c r="BJG19" s="25"/>
      <c r="BJH19" s="25"/>
      <c r="BJI19" s="25"/>
      <c r="BJJ19" s="25"/>
      <c r="BJK19" s="25"/>
      <c r="BJL19" s="25"/>
      <c r="BJM19" s="25"/>
      <c r="BJN19" s="25"/>
      <c r="BJO19" s="25"/>
      <c r="BJP19" s="25"/>
      <c r="BJQ19" s="25"/>
      <c r="BJR19" s="25"/>
      <c r="BJS19" s="25"/>
      <c r="BJT19" s="25"/>
      <c r="BKB19" s="25"/>
      <c r="BKC19" s="25"/>
      <c r="BKD19" s="25"/>
      <c r="BKE19" s="25"/>
      <c r="BKF19" s="25"/>
      <c r="BKG19" s="25"/>
      <c r="BKH19" s="25"/>
      <c r="BKI19" s="25"/>
      <c r="BKJ19" s="25"/>
      <c r="BKK19" s="25"/>
      <c r="BKL19" s="25"/>
      <c r="BKM19" s="25"/>
      <c r="BKN19" s="25"/>
      <c r="BKO19" s="25"/>
      <c r="BKW19" s="25"/>
      <c r="BKX19" s="25"/>
      <c r="BKY19" s="25"/>
      <c r="BKZ19" s="25"/>
      <c r="BLA19" s="25"/>
      <c r="BLB19" s="25"/>
      <c r="BLC19" s="25"/>
      <c r="BLD19" s="25"/>
      <c r="BLE19" s="25"/>
      <c r="BLF19" s="25"/>
      <c r="BLG19" s="25"/>
      <c r="BLH19" s="25"/>
      <c r="BLI19" s="25"/>
      <c r="BLJ19" s="25"/>
      <c r="BLN19" s="25">
        <v>0</v>
      </c>
      <c r="BLQ19" s="25"/>
      <c r="BLR19" s="25"/>
      <c r="BLS19" s="25"/>
      <c r="BLT19" s="25"/>
      <c r="BLU19" s="25"/>
      <c r="BLV19" s="25"/>
      <c r="BLX19" s="25"/>
      <c r="BLY19" s="25"/>
      <c r="BLZ19" s="25"/>
      <c r="BMA19" s="25"/>
      <c r="BPI19" s="25"/>
      <c r="BPJ19" s="25"/>
      <c r="BPK19" s="25"/>
      <c r="BPL19" s="25"/>
      <c r="BPM19" s="25"/>
      <c r="BPN19" s="25"/>
      <c r="BPO19" s="25"/>
      <c r="BPW19" s="25"/>
      <c r="BPX19" s="25"/>
      <c r="BPY19" s="25"/>
      <c r="BPZ19" s="25"/>
      <c r="BQA19" s="25"/>
      <c r="BQB19" s="25"/>
      <c r="BQC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TA19" s="25"/>
      <c r="BTB19" s="25"/>
      <c r="BTC19" s="25"/>
      <c r="BTD19" s="25"/>
      <c r="BTE19" s="25"/>
      <c r="BTF19" s="25"/>
      <c r="BTG19" s="25"/>
      <c r="BTH19" s="25"/>
      <c r="BTI19" s="25"/>
      <c r="BTJ19" s="25"/>
      <c r="BTK19" s="25"/>
      <c r="BTL19" s="25"/>
      <c r="BTM19" s="25"/>
      <c r="BTN19" s="25"/>
      <c r="BUQ19" s="25"/>
      <c r="BUR19" s="25"/>
      <c r="BUS19" s="25"/>
      <c r="BUT19" s="25"/>
      <c r="BUU19" s="25"/>
      <c r="BUV19" s="25"/>
      <c r="BUW19" s="25"/>
      <c r="BUX19" s="25"/>
      <c r="BUY19" s="25"/>
      <c r="BUZ19" s="25"/>
      <c r="BVA19" s="25"/>
      <c r="BVB19" s="25"/>
      <c r="BVC19" s="25"/>
      <c r="BVD19" s="25"/>
      <c r="BWC19" s="25" t="s">
        <v>28</v>
      </c>
      <c r="BWD19" s="25" t="s">
        <v>8265</v>
      </c>
      <c r="BWE19" s="25" t="s">
        <v>8357</v>
      </c>
      <c r="BWF19" s="25" t="s">
        <v>13710</v>
      </c>
      <c r="BWG19" s="25" t="s">
        <v>28</v>
      </c>
      <c r="BWH19" s="25" t="s">
        <v>2169</v>
      </c>
      <c r="BWI19" s="25" t="s">
        <v>28</v>
      </c>
      <c r="BWJ19" s="25" t="s">
        <v>8433</v>
      </c>
      <c r="BWK19" s="25" t="s">
        <v>25</v>
      </c>
      <c r="BWM19" s="25" t="s">
        <v>25</v>
      </c>
      <c r="BWO19" s="25" t="s">
        <v>25</v>
      </c>
      <c r="BWQ19" s="25" t="s">
        <v>28</v>
      </c>
      <c r="BWR19" s="25" t="s">
        <v>25</v>
      </c>
      <c r="BWT19" s="25" t="s">
        <v>25</v>
      </c>
      <c r="BWV19" s="25" t="s">
        <v>25</v>
      </c>
      <c r="BWX19" s="25" t="s">
        <v>28</v>
      </c>
      <c r="BWY19" s="25" t="s">
        <v>8358</v>
      </c>
      <c r="BWZ19" s="25" t="s">
        <v>28</v>
      </c>
      <c r="BXA19" s="56">
        <v>20</v>
      </c>
      <c r="BXB19" s="25" t="s">
        <v>25</v>
      </c>
      <c r="BXD19" s="25" t="s">
        <v>28</v>
      </c>
      <c r="BXE19" s="25" t="s">
        <v>8358</v>
      </c>
      <c r="BXF19" s="25" t="s">
        <v>28</v>
      </c>
      <c r="BXG19" s="56">
        <v>20</v>
      </c>
      <c r="BXH19" s="25" t="s">
        <v>25</v>
      </c>
      <c r="BXJ19" s="25" t="s">
        <v>28</v>
      </c>
      <c r="BXK19" s="25" t="s">
        <v>8434</v>
      </c>
      <c r="BXL19" s="25" t="s">
        <v>8435</v>
      </c>
      <c r="BXM19" s="25" t="s">
        <v>28</v>
      </c>
      <c r="BXN19" s="25" t="s">
        <v>8272</v>
      </c>
      <c r="BXO19" s="25" t="s">
        <v>8274</v>
      </c>
      <c r="BXP19" s="25" t="s">
        <v>8274</v>
      </c>
      <c r="BXQ19" s="25" t="s">
        <v>8274</v>
      </c>
      <c r="BXR19" s="25" t="s">
        <v>8274</v>
      </c>
      <c r="BXS19" s="25" t="s">
        <v>8274</v>
      </c>
      <c r="BXT19" s="25" t="s">
        <v>8436</v>
      </c>
      <c r="BXU19" s="25" t="s">
        <v>28</v>
      </c>
      <c r="BXV19" s="25" t="s">
        <v>13823</v>
      </c>
      <c r="BXW19" s="25" t="s">
        <v>25</v>
      </c>
      <c r="BXX19" s="25" t="s">
        <v>25</v>
      </c>
      <c r="BXY19" s="25" t="s">
        <v>25</v>
      </c>
      <c r="BXZ19" s="25" t="s">
        <v>25</v>
      </c>
      <c r="BYA19" s="25" t="s">
        <v>25</v>
      </c>
      <c r="BYB19" s="25" t="s">
        <v>25</v>
      </c>
      <c r="BYC19" s="25" t="s">
        <v>2201</v>
      </c>
      <c r="BYD19" s="25" t="s">
        <v>28</v>
      </c>
      <c r="BYE19" s="25" t="s">
        <v>13611</v>
      </c>
      <c r="BYF19" s="25" t="s">
        <v>8437</v>
      </c>
      <c r="BYG19" s="25" t="s">
        <v>72</v>
      </c>
      <c r="BYH19" s="25" t="s">
        <v>8363</v>
      </c>
      <c r="BYK19" s="25" t="s">
        <v>28</v>
      </c>
      <c r="BYL19" s="25" t="s">
        <v>25</v>
      </c>
      <c r="BYN19" s="25" t="s">
        <v>25</v>
      </c>
      <c r="BYP19" s="25" t="s">
        <v>25</v>
      </c>
      <c r="BYR19" s="25" t="s">
        <v>28</v>
      </c>
      <c r="BYS19" s="25" t="s">
        <v>8279</v>
      </c>
      <c r="BYT19" s="25" t="s">
        <v>8279</v>
      </c>
      <c r="BYU19" s="25" t="s">
        <v>8438</v>
      </c>
      <c r="BYV19" s="25" t="s">
        <v>25</v>
      </c>
      <c r="BYW19" s="25" t="s">
        <v>28</v>
      </c>
      <c r="BYX19" s="56">
        <v>500</v>
      </c>
      <c r="BYY19" s="56">
        <v>1000</v>
      </c>
      <c r="BYZ19" s="25" t="s">
        <v>8408</v>
      </c>
      <c r="BZA19" s="25" t="s">
        <v>14026</v>
      </c>
      <c r="BZB19" s="25" t="s">
        <v>256</v>
      </c>
      <c r="BZC19" s="25" t="s">
        <v>8282</v>
      </c>
      <c r="BZD19" s="25" t="s">
        <v>28</v>
      </c>
      <c r="BZE19" s="25" t="s">
        <v>25</v>
      </c>
      <c r="BZF19" s="25" t="s">
        <v>25</v>
      </c>
      <c r="BZG19" s="25" t="s">
        <v>25</v>
      </c>
      <c r="BZJ19" s="25" t="s">
        <v>25</v>
      </c>
      <c r="BZM19" s="25" t="s">
        <v>28</v>
      </c>
      <c r="BZN19" s="25" t="s">
        <v>8283</v>
      </c>
      <c r="BZP19" s="25" t="s">
        <v>8284</v>
      </c>
      <c r="BZQ19" s="56">
        <v>2000</v>
      </c>
      <c r="BZR19" s="25" t="s">
        <v>28</v>
      </c>
      <c r="BZS19" s="25" t="s">
        <v>25</v>
      </c>
      <c r="BZT19" s="25" t="s">
        <v>29</v>
      </c>
      <c r="BZU19" s="25" t="s">
        <v>8439</v>
      </c>
      <c r="BZV19" s="25" t="s">
        <v>13639</v>
      </c>
      <c r="BZX19" s="25" t="s">
        <v>8368</v>
      </c>
      <c r="BZZ19" s="25" t="s">
        <v>25</v>
      </c>
      <c r="CAC19" s="25" t="s">
        <v>28</v>
      </c>
      <c r="CAE19" s="25" t="s">
        <v>28</v>
      </c>
      <c r="CAF19" s="25" t="s">
        <v>8289</v>
      </c>
      <c r="CAG19" s="25" t="s">
        <v>25</v>
      </c>
      <c r="CAH19" s="25" t="s">
        <v>631</v>
      </c>
      <c r="CAI19" s="25" t="s">
        <v>631</v>
      </c>
      <c r="CAJ19" s="25" t="s">
        <v>631</v>
      </c>
      <c r="CAK19" s="25" t="s">
        <v>631</v>
      </c>
      <c r="CAL19" s="25" t="s">
        <v>631</v>
      </c>
      <c r="CAM19" s="25" t="s">
        <v>8290</v>
      </c>
      <c r="CAN19" s="25" t="s">
        <v>631</v>
      </c>
      <c r="CAO19" s="25" t="s">
        <v>631</v>
      </c>
      <c r="CAP19" s="25" t="s">
        <v>631</v>
      </c>
      <c r="CAQ19" s="25" t="s">
        <v>631</v>
      </c>
      <c r="CAR19" s="25" t="s">
        <v>8339</v>
      </c>
      <c r="CAT19" s="25" t="s">
        <v>28</v>
      </c>
      <c r="CAU19" s="25" t="s">
        <v>8440</v>
      </c>
      <c r="CAV19" s="25" t="s">
        <v>8414</v>
      </c>
      <c r="CAW19" s="25" t="s">
        <v>8441</v>
      </c>
      <c r="CAX19" s="25" t="s">
        <v>8342</v>
      </c>
      <c r="CAY19" s="25">
        <v>5</v>
      </c>
      <c r="CAZ19" s="25">
        <v>55</v>
      </c>
      <c r="CBB19" s="25">
        <v>2</v>
      </c>
      <c r="CBC19" s="25">
        <v>0</v>
      </c>
      <c r="CBD19" s="25">
        <v>0</v>
      </c>
      <c r="CBE19" s="56">
        <v>50</v>
      </c>
      <c r="CBF19" s="56">
        <v>150</v>
      </c>
      <c r="CBG19" s="56">
        <v>50</v>
      </c>
      <c r="CBH19" s="56">
        <v>150</v>
      </c>
      <c r="CBI19" s="56">
        <v>2500</v>
      </c>
      <c r="CBK19" s="56">
        <v>2500</v>
      </c>
      <c r="CBM19" s="26">
        <v>0</v>
      </c>
      <c r="CBN19" s="26">
        <v>0</v>
      </c>
      <c r="CBO19" s="26">
        <v>0.2</v>
      </c>
      <c r="CBP19" s="26">
        <v>0.2</v>
      </c>
      <c r="CBQ19" s="26">
        <v>0.5</v>
      </c>
      <c r="CBR19" s="26">
        <v>0.5</v>
      </c>
      <c r="CBS19" s="26">
        <v>0.5</v>
      </c>
      <c r="CBT19" s="26">
        <v>0.5</v>
      </c>
      <c r="CBU19" s="27" t="s">
        <v>28</v>
      </c>
      <c r="CBV19" s="27" t="s">
        <v>8417</v>
      </c>
      <c r="CBW19" s="27" t="s">
        <v>8442</v>
      </c>
      <c r="CBX19" s="27" t="s">
        <v>8418</v>
      </c>
      <c r="CBY19" s="27" t="s">
        <v>8296</v>
      </c>
      <c r="CBZ19" s="27" t="s">
        <v>8296</v>
      </c>
      <c r="CCA19" s="27" t="s">
        <v>8297</v>
      </c>
      <c r="CCB19" s="27" t="s">
        <v>8298</v>
      </c>
      <c r="CCC19" s="27" t="s">
        <v>8296</v>
      </c>
      <c r="CCD19" s="27" t="s">
        <v>8297</v>
      </c>
      <c r="CCE19" s="27" t="s">
        <v>8297</v>
      </c>
      <c r="CCF19" s="27" t="s">
        <v>8297</v>
      </c>
      <c r="CCG19" s="27" t="s">
        <v>8297</v>
      </c>
      <c r="CCH19" s="27" t="s">
        <v>8296</v>
      </c>
      <c r="CCI19" s="27" t="s">
        <v>8298</v>
      </c>
      <c r="CCJ19" s="27" t="s">
        <v>8298</v>
      </c>
      <c r="CCK19" s="27" t="s">
        <v>8297</v>
      </c>
      <c r="CCL19" s="27" t="s">
        <v>8297</v>
      </c>
      <c r="CCM19" s="27" t="s">
        <v>8297</v>
      </c>
      <c r="CCN19" s="27" t="s">
        <v>8297</v>
      </c>
      <c r="CCO19" s="27" t="s">
        <v>8300</v>
      </c>
      <c r="CCP19" s="27" t="s">
        <v>8296</v>
      </c>
      <c r="CCQ19" s="27" t="s">
        <v>8296</v>
      </c>
      <c r="CCR19" s="27" t="s">
        <v>8296</v>
      </c>
      <c r="CCS19" s="27" t="s">
        <v>8296</v>
      </c>
      <c r="CCT19" s="27" t="s">
        <v>8296</v>
      </c>
      <c r="CCU19" s="27" t="s">
        <v>8298</v>
      </c>
      <c r="CCV19" s="27" t="s">
        <v>8298</v>
      </c>
      <c r="CCW19" s="27" t="s">
        <v>8298</v>
      </c>
      <c r="CCX19" s="27" t="s">
        <v>8298</v>
      </c>
      <c r="CCY19" s="27" t="s">
        <v>8296</v>
      </c>
      <c r="CCZ19" s="27" t="s">
        <v>28</v>
      </c>
      <c r="CDA19" s="27" t="s">
        <v>25</v>
      </c>
      <c r="CDB19" s="27" t="s">
        <v>28</v>
      </c>
      <c r="CDC19" s="27" t="s">
        <v>25</v>
      </c>
      <c r="CDD19" s="27" t="s">
        <v>28</v>
      </c>
      <c r="CDE19" s="27" t="s">
        <v>28</v>
      </c>
      <c r="CDF19" s="27" t="s">
        <v>28</v>
      </c>
      <c r="CDG19" s="27" t="s">
        <v>28</v>
      </c>
      <c r="CDH19" s="27" t="s">
        <v>28</v>
      </c>
      <c r="CDI19" s="27" t="s">
        <v>28</v>
      </c>
      <c r="CDJ19" s="27" t="s">
        <v>25</v>
      </c>
      <c r="CDK19" s="27" t="s">
        <v>25</v>
      </c>
      <c r="CDL19" s="27" t="s">
        <v>28</v>
      </c>
      <c r="CDM19" s="27" t="s">
        <v>28</v>
      </c>
      <c r="CDN19" s="27" t="s">
        <v>28</v>
      </c>
      <c r="CDO19" s="27" t="s">
        <v>28</v>
      </c>
      <c r="CDP19" s="27" t="s">
        <v>28</v>
      </c>
      <c r="CDQ19" s="27" t="s">
        <v>28</v>
      </c>
      <c r="CDR19" s="27" t="s">
        <v>28</v>
      </c>
      <c r="CDS19" s="27" t="s">
        <v>28</v>
      </c>
      <c r="CDT19" s="27" t="s">
        <v>28</v>
      </c>
      <c r="CDU19" s="27" t="s">
        <v>28</v>
      </c>
      <c r="CDV19" s="27" t="s">
        <v>28</v>
      </c>
      <c r="CDW19" s="27" t="s">
        <v>25</v>
      </c>
      <c r="CDX19" s="27" t="s">
        <v>25</v>
      </c>
      <c r="CDY19" s="27" t="s">
        <v>25</v>
      </c>
      <c r="CDZ19" s="27" t="s">
        <v>25</v>
      </c>
      <c r="CEA19" s="27" t="s">
        <v>8302</v>
      </c>
      <c r="CEB19" s="27" t="s">
        <v>29</v>
      </c>
      <c r="CEC19" s="27" t="s">
        <v>29</v>
      </c>
      <c r="CED19" s="27" t="s">
        <v>8302</v>
      </c>
      <c r="CEE19" s="27" t="s">
        <v>8305</v>
      </c>
      <c r="CEF19" s="27" t="s">
        <v>29</v>
      </c>
      <c r="CEG19" s="27" t="s">
        <v>29</v>
      </c>
      <c r="CEH19" s="27" t="s">
        <v>29</v>
      </c>
      <c r="CEI19" s="27" t="s">
        <v>29</v>
      </c>
      <c r="CEJ19" s="27" t="s">
        <v>8302</v>
      </c>
      <c r="CEK19" s="27" t="s">
        <v>8302</v>
      </c>
      <c r="CEL19" s="27" t="s">
        <v>8303</v>
      </c>
      <c r="CEM19" s="27" t="s">
        <v>8301</v>
      </c>
      <c r="CEN19" s="27" t="s">
        <v>8301</v>
      </c>
      <c r="CEO19" s="27" t="s">
        <v>8306</v>
      </c>
      <c r="CEP19" s="27" t="s">
        <v>29</v>
      </c>
      <c r="CEQ19" s="27" t="s">
        <v>29</v>
      </c>
      <c r="CER19" s="27" t="s">
        <v>29</v>
      </c>
      <c r="CES19" s="27" t="s">
        <v>29</v>
      </c>
      <c r="CET19" s="27" t="s">
        <v>29</v>
      </c>
      <c r="CEU19" s="27" t="s">
        <v>8301</v>
      </c>
      <c r="CEV19" s="27" t="s">
        <v>8304</v>
      </c>
      <c r="CEW19" s="27" t="s">
        <v>8305</v>
      </c>
      <c r="CEX19" s="27" t="s">
        <v>8303</v>
      </c>
      <c r="CEY19" s="27" t="s">
        <v>29</v>
      </c>
      <c r="CEZ19" s="27" t="s">
        <v>8301</v>
      </c>
      <c r="CFA19" s="27" t="s">
        <v>29</v>
      </c>
      <c r="CFB19" s="27" t="s">
        <v>25</v>
      </c>
      <c r="CFC19" s="27" t="s">
        <v>25</v>
      </c>
      <c r="CFD19" s="27" t="s">
        <v>25</v>
      </c>
      <c r="CFE19" s="27" t="s">
        <v>25</v>
      </c>
      <c r="CFF19" s="27" t="s">
        <v>25</v>
      </c>
      <c r="CFG19" s="27" t="s">
        <v>25</v>
      </c>
      <c r="CFH19" s="27" t="s">
        <v>25</v>
      </c>
      <c r="CFI19" s="27" t="s">
        <v>25</v>
      </c>
      <c r="CFJ19" s="27" t="s">
        <v>25</v>
      </c>
      <c r="CFK19" s="27" t="s">
        <v>25</v>
      </c>
      <c r="CFL19" s="27" t="s">
        <v>25</v>
      </c>
      <c r="CFM19" s="27" t="s">
        <v>25</v>
      </c>
      <c r="CFN19" s="27" t="s">
        <v>25</v>
      </c>
      <c r="CFO19" s="27" t="s">
        <v>28</v>
      </c>
      <c r="CFP19" s="27" t="s">
        <v>25</v>
      </c>
      <c r="CFQ19" s="27" t="s">
        <v>25</v>
      </c>
      <c r="CFR19" s="27" t="s">
        <v>25</v>
      </c>
      <c r="CFS19" s="27" t="s">
        <v>28</v>
      </c>
      <c r="CFT19" s="27" t="s">
        <v>25</v>
      </c>
      <c r="CFU19" s="27" t="s">
        <v>25</v>
      </c>
      <c r="CFV19" s="27" t="s">
        <v>28</v>
      </c>
      <c r="CFW19" s="27" t="s">
        <v>25</v>
      </c>
      <c r="CFX19" s="27" t="s">
        <v>28</v>
      </c>
      <c r="CFY19" s="27" t="s">
        <v>25</v>
      </c>
      <c r="CFZ19" s="27" t="s">
        <v>25</v>
      </c>
      <c r="CGA19" s="27" t="s">
        <v>25</v>
      </c>
      <c r="CGB19" s="27" t="s">
        <v>25</v>
      </c>
      <c r="CPW19" s="27">
        <v>2</v>
      </c>
      <c r="CPX19" s="56">
        <v>10</v>
      </c>
      <c r="CPY19" s="26">
        <v>0</v>
      </c>
      <c r="CQB19" s="25" t="s">
        <v>8372</v>
      </c>
      <c r="CQC19" s="25" t="s">
        <v>8372</v>
      </c>
      <c r="CQD19" s="25" t="s">
        <v>8372</v>
      </c>
      <c r="CQE19" s="25" t="s">
        <v>8372</v>
      </c>
      <c r="CQF19" s="25" t="s">
        <v>8372</v>
      </c>
      <c r="CQH19" s="56">
        <v>150</v>
      </c>
      <c r="CQI19" s="56">
        <v>150</v>
      </c>
      <c r="CQJ19" s="56">
        <v>150</v>
      </c>
      <c r="CQK19" s="56">
        <v>210</v>
      </c>
      <c r="CQL19" s="25" t="s">
        <v>8443</v>
      </c>
      <c r="CQM19" s="25" t="s">
        <v>8308</v>
      </c>
      <c r="CQN19" s="25" t="s">
        <v>28</v>
      </c>
      <c r="CQO19" s="25" t="s">
        <v>8309</v>
      </c>
      <c r="CQS19" s="25" t="s">
        <v>28</v>
      </c>
      <c r="CQT19" s="25" t="s">
        <v>8312</v>
      </c>
      <c r="CQU19" s="25" t="s">
        <v>8312</v>
      </c>
      <c r="CQV19" s="25" t="s">
        <v>8313</v>
      </c>
      <c r="CQW19" s="25" t="s">
        <v>8312</v>
      </c>
      <c r="CQX19" s="25" t="s">
        <v>8313</v>
      </c>
      <c r="CQY19" s="25" t="s">
        <v>8312</v>
      </c>
      <c r="CQZ19" s="25" t="s">
        <v>8312</v>
      </c>
      <c r="CRA19" s="25" t="s">
        <v>8314</v>
      </c>
      <c r="CRB19" s="25" t="s">
        <v>8312</v>
      </c>
      <c r="CRC19" s="25" t="s">
        <v>8312</v>
      </c>
      <c r="CRD19" s="25" t="s">
        <v>8313</v>
      </c>
      <c r="CRE19" s="27" t="s">
        <v>8313</v>
      </c>
    </row>
    <row r="20" spans="1:2501" ht="102" x14ac:dyDescent="0.2">
      <c r="A20" s="21" t="s">
        <v>125</v>
      </c>
      <c r="B20" s="26">
        <v>0.28000000000000003</v>
      </c>
      <c r="C20" s="26">
        <v>0</v>
      </c>
      <c r="D20" s="26">
        <v>0.15</v>
      </c>
      <c r="E20" s="26">
        <v>0.47</v>
      </c>
      <c r="F20" s="26">
        <v>0</v>
      </c>
      <c r="G20" s="26">
        <v>0</v>
      </c>
      <c r="H20" s="26">
        <v>0</v>
      </c>
      <c r="I20" s="26">
        <v>0</v>
      </c>
      <c r="J20" s="26">
        <v>0</v>
      </c>
      <c r="K20" s="26">
        <v>0</v>
      </c>
      <c r="L20" s="26">
        <v>0</v>
      </c>
      <c r="M20" s="26">
        <v>0.1</v>
      </c>
      <c r="N20" s="26">
        <v>0.45</v>
      </c>
      <c r="O20" s="26">
        <v>0</v>
      </c>
      <c r="P20" s="26">
        <v>0</v>
      </c>
      <c r="Q20" s="26">
        <v>0.33</v>
      </c>
      <c r="R20" s="26">
        <v>0</v>
      </c>
      <c r="S20" s="26">
        <v>0</v>
      </c>
      <c r="T20" s="26">
        <v>0</v>
      </c>
      <c r="U20" s="26">
        <v>0</v>
      </c>
      <c r="V20" s="26">
        <v>0</v>
      </c>
      <c r="W20" s="26">
        <v>0</v>
      </c>
      <c r="X20" s="26">
        <v>0</v>
      </c>
      <c r="Y20" s="26">
        <v>0.22</v>
      </c>
      <c r="Z20" s="25">
        <v>1</v>
      </c>
      <c r="AA20" s="25" t="s">
        <v>8458</v>
      </c>
      <c r="AC20" s="56">
        <v>2900</v>
      </c>
      <c r="AD20" s="56">
        <v>8700</v>
      </c>
      <c r="AE20" s="56">
        <v>5500</v>
      </c>
      <c r="AF20" s="56">
        <v>16500</v>
      </c>
      <c r="AI20" s="25" t="s">
        <v>8246</v>
      </c>
      <c r="AJ20" s="56">
        <v>500</v>
      </c>
      <c r="AK20" s="56">
        <v>1500</v>
      </c>
      <c r="AL20" s="56">
        <v>700</v>
      </c>
      <c r="AM20" s="56">
        <v>2100</v>
      </c>
      <c r="AN20" s="25" t="s">
        <v>8350</v>
      </c>
      <c r="AO20" s="25" t="s">
        <v>8248</v>
      </c>
      <c r="BB20" s="25" t="s">
        <v>8249</v>
      </c>
      <c r="DO20" s="25" t="s">
        <v>25</v>
      </c>
      <c r="DP20" s="25" t="s">
        <v>28</v>
      </c>
      <c r="DQ20" s="25" t="s">
        <v>25</v>
      </c>
      <c r="DR20" s="25" t="s">
        <v>25</v>
      </c>
      <c r="DT20" s="25" t="s">
        <v>13417</v>
      </c>
      <c r="DU20" s="25" t="s">
        <v>13417</v>
      </c>
      <c r="DV20" s="56">
        <v>20</v>
      </c>
      <c r="DW20" s="56">
        <v>30</v>
      </c>
      <c r="DX20" s="56">
        <v>20</v>
      </c>
      <c r="DZ20" s="56">
        <v>20</v>
      </c>
      <c r="EA20" s="56">
        <v>20</v>
      </c>
      <c r="EF20" s="26">
        <v>0.2</v>
      </c>
      <c r="EH20" s="26">
        <v>0.2</v>
      </c>
      <c r="EQ20" s="26">
        <v>0.3</v>
      </c>
      <c r="ER20" s="26">
        <v>0.3</v>
      </c>
      <c r="ES20" s="26">
        <v>0.3</v>
      </c>
      <c r="ET20" s="26">
        <v>0.2</v>
      </c>
      <c r="EU20" s="26">
        <v>0.3</v>
      </c>
      <c r="EV20" s="26">
        <v>0.3</v>
      </c>
      <c r="EX20" s="25" t="s">
        <v>8250</v>
      </c>
      <c r="EY20" s="25" t="s">
        <v>8250</v>
      </c>
      <c r="EZ20" s="25" t="s">
        <v>8250</v>
      </c>
      <c r="FA20" s="25" t="s">
        <v>8250</v>
      </c>
      <c r="FB20" s="25" t="s">
        <v>8250</v>
      </c>
      <c r="FC20" s="25" t="s">
        <v>8250</v>
      </c>
      <c r="FE20" s="25" t="s">
        <v>25</v>
      </c>
      <c r="FF20" s="25" t="s">
        <v>25</v>
      </c>
      <c r="FG20" s="25" t="s">
        <v>25</v>
      </c>
      <c r="FH20" s="25" t="s">
        <v>25</v>
      </c>
      <c r="FI20" s="25" t="s">
        <v>25</v>
      </c>
      <c r="FJ20" s="25" t="s">
        <v>25</v>
      </c>
      <c r="FL20" s="25" t="s">
        <v>13810</v>
      </c>
      <c r="FM20" s="25" t="s">
        <v>13810</v>
      </c>
      <c r="FN20" s="25" t="s">
        <v>13810</v>
      </c>
      <c r="FO20" s="25" t="s">
        <v>13810</v>
      </c>
      <c r="FP20" s="25" t="s">
        <v>631</v>
      </c>
      <c r="FQ20" s="25" t="s">
        <v>13810</v>
      </c>
      <c r="FR20" s="25" t="s">
        <v>13810</v>
      </c>
      <c r="FS20" s="25" t="s">
        <v>13810</v>
      </c>
      <c r="FT20" s="25" t="s">
        <v>631</v>
      </c>
      <c r="FU20" s="25" t="s">
        <v>631</v>
      </c>
      <c r="FV20" s="25" t="s">
        <v>8325</v>
      </c>
      <c r="FW20" s="25" t="s">
        <v>8325</v>
      </c>
      <c r="FX20" s="25" t="s">
        <v>8325</v>
      </c>
      <c r="FY20" s="25" t="s">
        <v>13447</v>
      </c>
      <c r="GA20" s="25" t="s">
        <v>8386</v>
      </c>
      <c r="GB20" s="25" t="s">
        <v>8386</v>
      </c>
      <c r="GC20" s="25" t="s">
        <v>8253</v>
      </c>
      <c r="GE20" s="56">
        <v>10</v>
      </c>
      <c r="GG20" s="56">
        <v>20</v>
      </c>
      <c r="HG20" s="57">
        <v>0</v>
      </c>
      <c r="HH20" s="57">
        <v>0.3</v>
      </c>
      <c r="HI20" s="57">
        <v>0.5</v>
      </c>
      <c r="HP20" s="56">
        <v>20</v>
      </c>
      <c r="HQ20" s="56">
        <v>75</v>
      </c>
      <c r="HR20" s="56">
        <v>50</v>
      </c>
      <c r="HS20" s="56">
        <v>150</v>
      </c>
      <c r="IW20" s="26">
        <v>0</v>
      </c>
      <c r="IX20" s="26">
        <v>0.3</v>
      </c>
      <c r="IY20" s="26">
        <v>0.5</v>
      </c>
      <c r="JF20" s="56">
        <v>50</v>
      </c>
      <c r="JG20" s="56">
        <v>175</v>
      </c>
      <c r="JH20" s="56">
        <v>125</v>
      </c>
      <c r="JI20" s="56">
        <v>350</v>
      </c>
      <c r="KM20" s="25" t="s">
        <v>8255</v>
      </c>
      <c r="KN20" s="25" t="s">
        <v>8256</v>
      </c>
      <c r="KO20" s="25" t="s">
        <v>8321</v>
      </c>
      <c r="KP20" s="25">
        <v>1</v>
      </c>
      <c r="KQ20" s="25" t="s">
        <v>8459</v>
      </c>
      <c r="KS20" s="56">
        <v>3000</v>
      </c>
      <c r="KT20" s="56">
        <v>6000</v>
      </c>
      <c r="KU20" s="56">
        <v>6000</v>
      </c>
      <c r="KV20" s="56">
        <v>12000</v>
      </c>
      <c r="KY20" s="25" t="s">
        <v>13411</v>
      </c>
      <c r="KZ20" s="56">
        <v>1500</v>
      </c>
      <c r="LA20" s="56">
        <v>3000</v>
      </c>
      <c r="LB20" s="56">
        <v>3000</v>
      </c>
      <c r="LC20" s="56">
        <v>6000</v>
      </c>
      <c r="LD20" s="25" t="s">
        <v>8247</v>
      </c>
      <c r="LE20" s="25" t="s">
        <v>8248</v>
      </c>
      <c r="LR20" s="25" t="s">
        <v>8249</v>
      </c>
      <c r="OE20" s="25" t="s">
        <v>25</v>
      </c>
      <c r="OF20" s="25" t="s">
        <v>28</v>
      </c>
      <c r="OG20" s="25" t="s">
        <v>25</v>
      </c>
      <c r="OH20" s="25" t="s">
        <v>25</v>
      </c>
      <c r="OJ20" s="25" t="s">
        <v>13416</v>
      </c>
      <c r="OK20" s="25" t="s">
        <v>13416</v>
      </c>
      <c r="OS20" s="26">
        <v>0.1</v>
      </c>
      <c r="OT20" s="26">
        <v>0.1</v>
      </c>
      <c r="OU20" s="26">
        <v>0.1</v>
      </c>
      <c r="OV20" s="26">
        <v>0.1</v>
      </c>
      <c r="OW20" s="26">
        <v>0.1</v>
      </c>
      <c r="OX20" s="26">
        <v>0.1</v>
      </c>
      <c r="PG20" s="26">
        <v>0.3</v>
      </c>
      <c r="PH20" s="26">
        <v>0.3</v>
      </c>
      <c r="PI20" s="26">
        <v>0.3</v>
      </c>
      <c r="PJ20" s="26">
        <v>0.2</v>
      </c>
      <c r="PK20" s="26">
        <v>0.3</v>
      </c>
      <c r="PL20" s="26">
        <v>0.3</v>
      </c>
      <c r="PN20" s="25" t="s">
        <v>8250</v>
      </c>
      <c r="PO20" s="25" t="s">
        <v>8250</v>
      </c>
      <c r="PP20" s="25" t="s">
        <v>8250</v>
      </c>
      <c r="PQ20" s="25" t="s">
        <v>8250</v>
      </c>
      <c r="PR20" s="25" t="s">
        <v>8250</v>
      </c>
      <c r="PS20" s="25" t="s">
        <v>8250</v>
      </c>
      <c r="PU20" s="25" t="s">
        <v>25</v>
      </c>
      <c r="PV20" s="25" t="s">
        <v>25</v>
      </c>
      <c r="PW20" s="25" t="s">
        <v>25</v>
      </c>
      <c r="PX20" s="25" t="s">
        <v>25</v>
      </c>
      <c r="PY20" s="25" t="s">
        <v>25</v>
      </c>
      <c r="PZ20" s="25" t="s">
        <v>25</v>
      </c>
      <c r="QB20" s="25" t="s">
        <v>13810</v>
      </c>
      <c r="QC20" s="25" t="s">
        <v>13810</v>
      </c>
      <c r="QD20" s="25" t="s">
        <v>13810</v>
      </c>
      <c r="QE20" s="25" t="s">
        <v>13810</v>
      </c>
      <c r="QF20" s="25" t="s">
        <v>631</v>
      </c>
      <c r="QG20" s="25" t="s">
        <v>631</v>
      </c>
      <c r="QH20" s="25" t="s">
        <v>13810</v>
      </c>
      <c r="QI20" s="25" t="s">
        <v>13810</v>
      </c>
      <c r="QJ20" s="25" t="s">
        <v>631</v>
      </c>
      <c r="QK20" s="25" t="s">
        <v>631</v>
      </c>
      <c r="QL20" s="25" t="s">
        <v>8253</v>
      </c>
      <c r="QM20" s="25" t="s">
        <v>8325</v>
      </c>
      <c r="QN20" s="25" t="s">
        <v>8325</v>
      </c>
      <c r="QO20" s="25" t="s">
        <v>13447</v>
      </c>
      <c r="QR20" s="25" t="s">
        <v>8320</v>
      </c>
      <c r="QS20" s="25" t="s">
        <v>8325</v>
      </c>
      <c r="RW20" s="26">
        <v>0.1</v>
      </c>
      <c r="RX20" s="26">
        <v>0.1</v>
      </c>
      <c r="RY20" s="26">
        <v>0.1</v>
      </c>
      <c r="VC20" s="25" t="s">
        <v>8255</v>
      </c>
      <c r="VD20" s="25" t="s">
        <v>8256</v>
      </c>
      <c r="VE20" s="25" t="s">
        <v>8321</v>
      </c>
      <c r="VF20" s="25">
        <v>0</v>
      </c>
      <c r="VI20" s="25"/>
      <c r="VJ20" s="25"/>
      <c r="VK20" s="25"/>
      <c r="VL20" s="25"/>
      <c r="VM20" s="25"/>
      <c r="VN20" s="25"/>
      <c r="VP20" s="25"/>
      <c r="VQ20" s="25"/>
      <c r="VR20" s="25"/>
      <c r="VS20" s="25"/>
      <c r="ZA20" s="25"/>
      <c r="ZB20" s="25"/>
      <c r="ZC20" s="25"/>
      <c r="ZD20" s="25"/>
      <c r="ZE20" s="25"/>
      <c r="ZF20" s="25"/>
      <c r="ZG20" s="25"/>
      <c r="ZO20" s="25"/>
      <c r="ZP20" s="25"/>
      <c r="ZQ20" s="25"/>
      <c r="ZR20" s="25"/>
      <c r="ZS20" s="25"/>
      <c r="ZT20" s="25"/>
      <c r="ZU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S20" s="25"/>
      <c r="ACT20" s="25"/>
      <c r="ACU20" s="25"/>
      <c r="ACV20" s="25"/>
      <c r="ACW20" s="25"/>
      <c r="ACX20" s="25"/>
      <c r="ACY20" s="25"/>
      <c r="ACZ20" s="25"/>
      <c r="ADA20" s="25"/>
      <c r="ADB20" s="25"/>
      <c r="ADC20" s="25"/>
      <c r="ADD20" s="25"/>
      <c r="ADE20" s="25"/>
      <c r="ADF20" s="25"/>
      <c r="ADN20" s="25"/>
      <c r="ADO20" s="25"/>
      <c r="ADP20" s="25"/>
      <c r="ADQ20" s="25"/>
      <c r="ADR20" s="25"/>
      <c r="ADS20" s="25"/>
      <c r="ADT20" s="25"/>
      <c r="ADU20" s="25"/>
      <c r="ADV20" s="25"/>
      <c r="ADW20" s="25"/>
      <c r="ADX20" s="25"/>
      <c r="ADY20" s="25"/>
      <c r="ADZ20" s="25"/>
      <c r="AEA20" s="25"/>
      <c r="AEI20" s="25"/>
      <c r="AEJ20" s="25"/>
      <c r="AEK20" s="25"/>
      <c r="AEL20" s="25"/>
      <c r="AEM20" s="25"/>
      <c r="AEN20" s="25"/>
      <c r="AEO20" s="25"/>
      <c r="AEP20" s="25"/>
      <c r="AEQ20" s="25"/>
      <c r="AER20" s="25"/>
      <c r="AES20" s="25"/>
      <c r="AET20" s="25"/>
      <c r="AEU20" s="25"/>
      <c r="AEV20" s="25"/>
      <c r="AFD20" s="25"/>
      <c r="AFE20" s="25"/>
      <c r="AFF20" s="25"/>
      <c r="AFG20" s="25"/>
      <c r="AFH20" s="25"/>
      <c r="AFI20" s="25"/>
      <c r="AFJ20" s="25"/>
      <c r="AFK20" s="25"/>
      <c r="AFL20" s="25"/>
      <c r="AFM20" s="25"/>
      <c r="AFN20" s="25"/>
      <c r="AFO20" s="25"/>
      <c r="AFP20" s="25"/>
      <c r="AFQ20" s="25"/>
      <c r="AFU20" s="25">
        <v>0</v>
      </c>
      <c r="AFX20" s="25"/>
      <c r="AFY20" s="25"/>
      <c r="AFZ20" s="25"/>
      <c r="AGA20" s="25"/>
      <c r="AGB20" s="25"/>
      <c r="AGC20" s="25"/>
      <c r="AGE20" s="25"/>
      <c r="AGF20" s="25"/>
      <c r="AGG20" s="25"/>
      <c r="AGH20" s="25"/>
      <c r="AJP20" s="25"/>
      <c r="AJQ20" s="25"/>
      <c r="AJR20" s="25"/>
      <c r="AJS20" s="25"/>
      <c r="AJT20" s="25"/>
      <c r="AJU20" s="25"/>
      <c r="AJV20" s="25"/>
      <c r="AKD20" s="25"/>
      <c r="AKE20" s="25"/>
      <c r="AKF20" s="25"/>
      <c r="AKG20" s="25"/>
      <c r="AKH20" s="25"/>
      <c r="AKI20" s="25"/>
      <c r="AKJ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H20" s="25"/>
      <c r="ANI20" s="25"/>
      <c r="ANJ20" s="25"/>
      <c r="ANK20" s="25"/>
      <c r="ANL20" s="25"/>
      <c r="ANM20" s="25"/>
      <c r="ANN20" s="25"/>
      <c r="ANO20" s="25"/>
      <c r="ANP20" s="25"/>
      <c r="ANQ20" s="25"/>
      <c r="ANR20" s="25"/>
      <c r="ANS20" s="25"/>
      <c r="ANT20" s="25"/>
      <c r="ANU20" s="25"/>
      <c r="AOC20" s="25"/>
      <c r="AOD20" s="25"/>
      <c r="AOE20" s="25"/>
      <c r="AOF20" s="25"/>
      <c r="AOG20" s="25"/>
      <c r="AOH20" s="25"/>
      <c r="AOI20" s="25"/>
      <c r="AOJ20" s="25"/>
      <c r="AOK20" s="25"/>
      <c r="AOL20" s="25"/>
      <c r="AOM20" s="25"/>
      <c r="AON20" s="25"/>
      <c r="AOO20" s="25"/>
      <c r="AOP20" s="25"/>
      <c r="AOX20" s="25"/>
      <c r="AOY20" s="25"/>
      <c r="AOZ20" s="25"/>
      <c r="APA20" s="25"/>
      <c r="APB20" s="25"/>
      <c r="APC20" s="25"/>
      <c r="APD20" s="25"/>
      <c r="APE20" s="25"/>
      <c r="APF20" s="25"/>
      <c r="APG20" s="25"/>
      <c r="APH20" s="25"/>
      <c r="API20" s="25"/>
      <c r="APJ20" s="25"/>
      <c r="APK20" s="25"/>
      <c r="APS20" s="25"/>
      <c r="APT20" s="25"/>
      <c r="APU20" s="25"/>
      <c r="APV20" s="25"/>
      <c r="APW20" s="25"/>
      <c r="APX20" s="25"/>
      <c r="APY20" s="25"/>
      <c r="APZ20" s="25"/>
      <c r="AQA20" s="25"/>
      <c r="AQB20" s="25"/>
      <c r="AQC20" s="25"/>
      <c r="AQD20" s="25"/>
      <c r="AQE20" s="25"/>
      <c r="AQF20" s="25"/>
      <c r="AQJ20" s="25">
        <v>3</v>
      </c>
      <c r="AQK20" s="25" t="s">
        <v>8460</v>
      </c>
      <c r="AQL20" s="25" t="s">
        <v>8461</v>
      </c>
      <c r="AQM20" s="56">
        <v>1500</v>
      </c>
      <c r="AQN20" s="56">
        <v>3000</v>
      </c>
      <c r="AQS20" s="25" t="s">
        <v>13596</v>
      </c>
      <c r="AQT20" s="56">
        <v>0</v>
      </c>
      <c r="AQU20" s="56">
        <v>0</v>
      </c>
      <c r="AQV20" s="56">
        <v>0</v>
      </c>
      <c r="AQW20" s="56">
        <v>0</v>
      </c>
      <c r="AQX20" s="25" t="s">
        <v>8248</v>
      </c>
      <c r="ARK20" s="25" t="s">
        <v>8249</v>
      </c>
      <c r="ATX20" s="25" t="s">
        <v>25</v>
      </c>
      <c r="ATY20" s="25" t="s">
        <v>28</v>
      </c>
      <c r="ATZ20" s="25" t="s">
        <v>25</v>
      </c>
      <c r="AUA20" s="25" t="s">
        <v>28</v>
      </c>
      <c r="AUB20" s="25" t="s">
        <v>8462</v>
      </c>
      <c r="AUC20" s="25" t="s">
        <v>13417</v>
      </c>
      <c r="AUD20" s="25" t="s">
        <v>8404</v>
      </c>
      <c r="AUE20" s="56">
        <v>20</v>
      </c>
      <c r="AUF20" s="56">
        <v>30</v>
      </c>
      <c r="AUG20" s="56">
        <v>30</v>
      </c>
      <c r="AUH20" s="56">
        <v>50</v>
      </c>
      <c r="AUI20" s="56">
        <v>20</v>
      </c>
      <c r="AUJ20" s="56">
        <v>20</v>
      </c>
      <c r="AUV20" s="56">
        <v>50</v>
      </c>
      <c r="AVC20" s="26">
        <v>0</v>
      </c>
      <c r="AVG20" s="25" t="s">
        <v>8250</v>
      </c>
      <c r="AVH20" s="25" t="s">
        <v>8250</v>
      </c>
      <c r="AVI20" s="25" t="s">
        <v>8250</v>
      </c>
      <c r="AVJ20" s="25" t="s">
        <v>8250</v>
      </c>
      <c r="AVK20" s="25" t="s">
        <v>8250</v>
      </c>
      <c r="AVL20" s="25" t="s">
        <v>8250</v>
      </c>
      <c r="AVN20" s="25" t="s">
        <v>25</v>
      </c>
      <c r="AVO20" s="25" t="s">
        <v>25</v>
      </c>
      <c r="AVP20" s="25" t="s">
        <v>25</v>
      </c>
      <c r="AVQ20" s="25" t="s">
        <v>25</v>
      </c>
      <c r="AVR20" s="25" t="s">
        <v>25</v>
      </c>
      <c r="AVS20" s="25" t="s">
        <v>25</v>
      </c>
      <c r="AVU20" s="25" t="s">
        <v>13810</v>
      </c>
      <c r="AVV20" s="25" t="s">
        <v>13810</v>
      </c>
      <c r="AVW20" s="25" t="s">
        <v>13810</v>
      </c>
      <c r="AVX20" s="25" t="s">
        <v>13810</v>
      </c>
      <c r="AVY20" s="25" t="s">
        <v>631</v>
      </c>
      <c r="AVZ20" s="25" t="s">
        <v>13810</v>
      </c>
      <c r="AWA20" s="25" t="s">
        <v>13810</v>
      </c>
      <c r="AWB20" s="25" t="s">
        <v>13810</v>
      </c>
      <c r="AWC20" s="25" t="s">
        <v>631</v>
      </c>
      <c r="AWD20" s="25" t="s">
        <v>631</v>
      </c>
      <c r="AWE20" s="25" t="s">
        <v>8325</v>
      </c>
      <c r="AWF20" s="25" t="s">
        <v>8325</v>
      </c>
      <c r="AWG20" s="25" t="s">
        <v>8325</v>
      </c>
      <c r="AWH20" s="25" t="s">
        <v>8325</v>
      </c>
      <c r="AWJ20" s="25" t="s">
        <v>8325</v>
      </c>
      <c r="AWK20" s="25" t="s">
        <v>8325</v>
      </c>
      <c r="AWL20" s="25" t="s">
        <v>8325</v>
      </c>
      <c r="AWN20" s="56">
        <v>10</v>
      </c>
      <c r="AWP20" s="56">
        <v>10</v>
      </c>
      <c r="AWR20" s="56">
        <v>20</v>
      </c>
      <c r="AWT20" s="56">
        <v>20</v>
      </c>
      <c r="AWV20" s="56">
        <v>20</v>
      </c>
      <c r="AWX20" s="56">
        <v>20</v>
      </c>
      <c r="BAV20" s="25" t="s">
        <v>8255</v>
      </c>
      <c r="BAW20" s="25" t="s">
        <v>8256</v>
      </c>
      <c r="BAX20" s="25" t="s">
        <v>8321</v>
      </c>
      <c r="BAY20" s="25">
        <v>0</v>
      </c>
      <c r="BBB20" s="25"/>
      <c r="BBC20" s="25"/>
      <c r="BBD20" s="25"/>
      <c r="BBE20" s="25"/>
      <c r="BBF20" s="25"/>
      <c r="BBG20" s="25"/>
      <c r="BBI20" s="25"/>
      <c r="BBJ20" s="25"/>
      <c r="BBK20" s="25"/>
      <c r="BBL20" s="25"/>
      <c r="BET20" s="25"/>
      <c r="BEU20" s="25"/>
      <c r="BEV20" s="25"/>
      <c r="BEW20" s="25"/>
      <c r="BEX20" s="25"/>
      <c r="BEY20" s="25"/>
      <c r="BEZ20" s="25"/>
      <c r="BFH20" s="25"/>
      <c r="BFI20" s="25"/>
      <c r="BFJ20" s="25"/>
      <c r="BFK20" s="25"/>
      <c r="BFL20" s="25"/>
      <c r="BFM20" s="25"/>
      <c r="BFN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L20" s="25"/>
      <c r="BIM20" s="25"/>
      <c r="BIN20" s="25"/>
      <c r="BIO20" s="25"/>
      <c r="BIP20" s="25"/>
      <c r="BIQ20" s="25"/>
      <c r="BIR20" s="25"/>
      <c r="BIS20" s="25"/>
      <c r="BIT20" s="25"/>
      <c r="BIU20" s="25"/>
      <c r="BIV20" s="25"/>
      <c r="BIW20" s="25"/>
      <c r="BIX20" s="25"/>
      <c r="BIY20" s="25"/>
      <c r="BJG20" s="25"/>
      <c r="BJH20" s="25"/>
      <c r="BJI20" s="25"/>
      <c r="BJJ20" s="25"/>
      <c r="BJK20" s="25"/>
      <c r="BJL20" s="25"/>
      <c r="BJM20" s="25"/>
      <c r="BJN20" s="25"/>
      <c r="BJO20" s="25"/>
      <c r="BJP20" s="25"/>
      <c r="BJQ20" s="25"/>
      <c r="BJR20" s="25"/>
      <c r="BJS20" s="25"/>
      <c r="BJT20" s="25"/>
      <c r="BKB20" s="25"/>
      <c r="BKC20" s="25"/>
      <c r="BKD20" s="25"/>
      <c r="BKE20" s="25"/>
      <c r="BKF20" s="25"/>
      <c r="BKG20" s="25"/>
      <c r="BKH20" s="25"/>
      <c r="BKI20" s="25"/>
      <c r="BKJ20" s="25"/>
      <c r="BKK20" s="25"/>
      <c r="BKL20" s="25"/>
      <c r="BKM20" s="25"/>
      <c r="BKN20" s="25"/>
      <c r="BKO20" s="25"/>
      <c r="BKW20" s="25"/>
      <c r="BKX20" s="25"/>
      <c r="BKY20" s="25"/>
      <c r="BKZ20" s="25"/>
      <c r="BLA20" s="25"/>
      <c r="BLB20" s="25"/>
      <c r="BLC20" s="25"/>
      <c r="BLD20" s="25"/>
      <c r="BLE20" s="25"/>
      <c r="BLF20" s="25"/>
      <c r="BLG20" s="25"/>
      <c r="BLH20" s="25"/>
      <c r="BLI20" s="25"/>
      <c r="BLJ20" s="25"/>
      <c r="BLN20" s="25">
        <v>0</v>
      </c>
      <c r="BLQ20" s="25"/>
      <c r="BLR20" s="25"/>
      <c r="BLS20" s="25"/>
      <c r="BLT20" s="25"/>
      <c r="BLU20" s="25"/>
      <c r="BLV20" s="25"/>
      <c r="BLX20" s="25"/>
      <c r="BLY20" s="25"/>
      <c r="BLZ20" s="25"/>
      <c r="BMA20" s="25"/>
      <c r="BPI20" s="25"/>
      <c r="BPJ20" s="25"/>
      <c r="BPK20" s="25"/>
      <c r="BPL20" s="25"/>
      <c r="BPM20" s="25"/>
      <c r="BPN20" s="25"/>
      <c r="BPO20" s="25"/>
      <c r="BPW20" s="25"/>
      <c r="BPX20" s="25"/>
      <c r="BPY20" s="25"/>
      <c r="BPZ20" s="25"/>
      <c r="BQA20" s="25"/>
      <c r="BQB20" s="25"/>
      <c r="BQC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TA20" s="25"/>
      <c r="BTB20" s="25"/>
      <c r="BTC20" s="25"/>
      <c r="BTD20" s="25"/>
      <c r="BTE20" s="25"/>
      <c r="BTF20" s="25"/>
      <c r="BTG20" s="25"/>
      <c r="BTH20" s="25"/>
      <c r="BTI20" s="25"/>
      <c r="BTJ20" s="25"/>
      <c r="BTK20" s="25"/>
      <c r="BTL20" s="25"/>
      <c r="BTM20" s="25"/>
      <c r="BTN20" s="25"/>
      <c r="BUQ20" s="25"/>
      <c r="BUR20" s="25"/>
      <c r="BUS20" s="25"/>
      <c r="BUT20" s="25"/>
      <c r="BUU20" s="25"/>
      <c r="BUV20" s="25"/>
      <c r="BUW20" s="25"/>
      <c r="BUX20" s="25"/>
      <c r="BUY20" s="25"/>
      <c r="BUZ20" s="25"/>
      <c r="BVA20" s="25"/>
      <c r="BVB20" s="25"/>
      <c r="BVC20" s="25"/>
      <c r="BVD20" s="25"/>
      <c r="BWC20" s="25" t="s">
        <v>28</v>
      </c>
      <c r="BWD20" s="25" t="s">
        <v>8265</v>
      </c>
      <c r="BWE20" s="25" t="s">
        <v>8357</v>
      </c>
      <c r="BWF20" s="25" t="s">
        <v>13711</v>
      </c>
      <c r="BWG20" s="25" t="s">
        <v>25</v>
      </c>
      <c r="BWH20" s="25" t="s">
        <v>2169</v>
      </c>
      <c r="BWI20" s="25" t="s">
        <v>28</v>
      </c>
      <c r="BWJ20" s="25" t="s">
        <v>8267</v>
      </c>
      <c r="BWK20" s="25" t="s">
        <v>25</v>
      </c>
      <c r="BWM20" s="25" t="s">
        <v>25</v>
      </c>
      <c r="BWO20" s="25" t="s">
        <v>25</v>
      </c>
      <c r="BWQ20" s="25" t="s">
        <v>28</v>
      </c>
      <c r="BWR20" s="25" t="s">
        <v>25</v>
      </c>
      <c r="BWT20" s="25" t="s">
        <v>25</v>
      </c>
      <c r="BWV20" s="25" t="s">
        <v>25</v>
      </c>
      <c r="BWX20" s="25" t="s">
        <v>28</v>
      </c>
      <c r="BWY20" s="25" t="s">
        <v>8358</v>
      </c>
      <c r="BWZ20" s="25" t="s">
        <v>28</v>
      </c>
      <c r="BXA20" s="56">
        <v>25</v>
      </c>
      <c r="BXB20" s="25" t="s">
        <v>25</v>
      </c>
      <c r="BXD20" s="25" t="s">
        <v>28</v>
      </c>
      <c r="BXE20" s="25" t="s">
        <v>8358</v>
      </c>
      <c r="BXF20" s="25" t="s">
        <v>28</v>
      </c>
      <c r="BXG20" s="56">
        <v>20</v>
      </c>
      <c r="BXH20" s="25" t="s">
        <v>25</v>
      </c>
      <c r="BXJ20" s="25" t="s">
        <v>28</v>
      </c>
      <c r="BXK20" s="25" t="s">
        <v>8463</v>
      </c>
      <c r="BXL20" s="25" t="s">
        <v>8464</v>
      </c>
      <c r="BXM20" s="25" t="s">
        <v>28</v>
      </c>
      <c r="BXN20" s="25" t="s">
        <v>8272</v>
      </c>
      <c r="BXO20" s="25" t="s">
        <v>8274</v>
      </c>
      <c r="BXP20" s="25" t="s">
        <v>8274</v>
      </c>
      <c r="BXQ20" s="25" t="s">
        <v>8274</v>
      </c>
      <c r="BXR20" s="25" t="s">
        <v>8274</v>
      </c>
      <c r="BXS20" s="25" t="s">
        <v>8274</v>
      </c>
      <c r="BXT20" s="25" t="s">
        <v>8465</v>
      </c>
      <c r="BXU20" s="25" t="s">
        <v>25</v>
      </c>
      <c r="BXW20" s="25" t="s">
        <v>25</v>
      </c>
      <c r="BXX20" s="25" t="s">
        <v>25</v>
      </c>
      <c r="BXY20" s="25" t="s">
        <v>25</v>
      </c>
      <c r="BXZ20" s="25" t="s">
        <v>25</v>
      </c>
      <c r="BYA20" s="25" t="s">
        <v>25</v>
      </c>
      <c r="BYB20" s="25" t="s">
        <v>25</v>
      </c>
      <c r="BYC20" s="25" t="s">
        <v>8276</v>
      </c>
      <c r="BYD20" s="25" t="s">
        <v>28</v>
      </c>
      <c r="BYE20" s="25" t="s">
        <v>13611</v>
      </c>
      <c r="BYF20" s="25" t="s">
        <v>8277</v>
      </c>
      <c r="BYH20" s="25" t="s">
        <v>8466</v>
      </c>
      <c r="BYK20" s="25" t="s">
        <v>28</v>
      </c>
      <c r="BYL20" s="25" t="s">
        <v>28</v>
      </c>
      <c r="BYM20" s="25">
        <v>100</v>
      </c>
      <c r="BYN20" s="25" t="s">
        <v>28</v>
      </c>
      <c r="BYO20" s="25">
        <v>100</v>
      </c>
      <c r="BYP20" s="25" t="s">
        <v>25</v>
      </c>
      <c r="BYR20" s="25" t="s">
        <v>28</v>
      </c>
      <c r="BYS20" s="25" t="s">
        <v>732</v>
      </c>
      <c r="BYT20" s="25" t="s">
        <v>732</v>
      </c>
      <c r="BYU20" s="25" t="s">
        <v>732</v>
      </c>
      <c r="BYV20" s="25" t="s">
        <v>25</v>
      </c>
      <c r="BYW20" s="25" t="s">
        <v>28</v>
      </c>
      <c r="BYX20" s="56">
        <v>1000</v>
      </c>
      <c r="BYY20" s="56">
        <v>2000</v>
      </c>
      <c r="BYZ20" s="25" t="s">
        <v>8280</v>
      </c>
      <c r="BZA20" s="25" t="s">
        <v>8467</v>
      </c>
      <c r="BZB20" s="25" t="s">
        <v>256</v>
      </c>
      <c r="BZC20" s="25" t="s">
        <v>8282</v>
      </c>
      <c r="BZD20" s="25" t="s">
        <v>28</v>
      </c>
      <c r="BZE20" s="25" t="s">
        <v>28</v>
      </c>
      <c r="BZF20" s="25" t="s">
        <v>28</v>
      </c>
      <c r="BZG20" s="25" t="s">
        <v>25</v>
      </c>
      <c r="BZJ20" s="25" t="s">
        <v>25</v>
      </c>
      <c r="BZM20" s="25" t="s">
        <v>28</v>
      </c>
      <c r="BZN20" s="25" t="s">
        <v>8283</v>
      </c>
      <c r="BZP20" s="25" t="s">
        <v>8366</v>
      </c>
      <c r="BZQ20" s="56">
        <v>2000</v>
      </c>
      <c r="BZR20" s="25" t="s">
        <v>28</v>
      </c>
      <c r="BZS20" s="25" t="s">
        <v>25</v>
      </c>
      <c r="BZT20" s="25" t="s">
        <v>8468</v>
      </c>
      <c r="BZV20" s="25" t="s">
        <v>13640</v>
      </c>
      <c r="BZX20" s="25" t="s">
        <v>8469</v>
      </c>
      <c r="BZZ20" s="25" t="s">
        <v>25</v>
      </c>
      <c r="CAC20" s="25" t="s">
        <v>25</v>
      </c>
      <c r="CAE20" s="25" t="s">
        <v>25</v>
      </c>
      <c r="CAG20" s="25" t="s">
        <v>25</v>
      </c>
      <c r="CAH20" s="25" t="s">
        <v>631</v>
      </c>
      <c r="CAI20" s="25" t="s">
        <v>8290</v>
      </c>
      <c r="CAJ20" s="25" t="s">
        <v>631</v>
      </c>
      <c r="CAK20" s="25" t="s">
        <v>631</v>
      </c>
      <c r="CAL20" s="25" t="s">
        <v>8470</v>
      </c>
      <c r="CAM20" s="25" t="s">
        <v>8290</v>
      </c>
      <c r="CAN20" s="25" t="s">
        <v>8290</v>
      </c>
      <c r="CAO20" s="25" t="s">
        <v>8290</v>
      </c>
      <c r="CAP20" s="25" t="s">
        <v>631</v>
      </c>
      <c r="CAQ20" s="25" t="s">
        <v>631</v>
      </c>
      <c r="CAR20" s="25" t="s">
        <v>8291</v>
      </c>
      <c r="CAT20" s="25" t="s">
        <v>25</v>
      </c>
      <c r="CAV20" s="25" t="s">
        <v>8471</v>
      </c>
      <c r="CAW20" s="25" t="s">
        <v>8341</v>
      </c>
      <c r="CBB20" s="25">
        <v>2</v>
      </c>
      <c r="CBC20" s="25">
        <v>1</v>
      </c>
      <c r="CBD20" s="25">
        <v>0</v>
      </c>
      <c r="CBE20" s="56">
        <v>50</v>
      </c>
      <c r="CBF20" s="56">
        <v>150</v>
      </c>
      <c r="CBG20" s="56">
        <v>50</v>
      </c>
      <c r="CBH20" s="56">
        <v>150</v>
      </c>
      <c r="CBI20" s="56">
        <v>2000</v>
      </c>
      <c r="CBK20" s="56">
        <v>2000</v>
      </c>
      <c r="CBM20" s="26">
        <v>0</v>
      </c>
      <c r="CBN20" s="26">
        <v>0</v>
      </c>
      <c r="CBO20" s="26">
        <v>0.1</v>
      </c>
      <c r="CBP20" s="26">
        <v>0.2</v>
      </c>
      <c r="CBQ20" s="26">
        <v>0.4</v>
      </c>
      <c r="CBR20" s="26">
        <v>0.5</v>
      </c>
      <c r="CBS20" s="26">
        <v>0.5</v>
      </c>
      <c r="CBT20" s="26">
        <v>0.5</v>
      </c>
      <c r="CBU20" s="27" t="s">
        <v>28</v>
      </c>
      <c r="CBV20" s="27" t="s">
        <v>8369</v>
      </c>
      <c r="CBW20" s="27" t="s">
        <v>8294</v>
      </c>
      <c r="CBX20" s="27" t="s">
        <v>8418</v>
      </c>
      <c r="CBY20" s="27" t="s">
        <v>8296</v>
      </c>
      <c r="CBZ20" s="27" t="s">
        <v>8296</v>
      </c>
      <c r="CCA20" s="27" t="s">
        <v>8297</v>
      </c>
      <c r="CCB20" s="27" t="s">
        <v>8298</v>
      </c>
      <c r="CCC20" s="27" t="s">
        <v>8296</v>
      </c>
      <c r="CCD20" s="27" t="s">
        <v>8297</v>
      </c>
      <c r="CCE20" s="27" t="s">
        <v>8297</v>
      </c>
      <c r="CCF20" s="27" t="s">
        <v>8297</v>
      </c>
      <c r="CCG20" s="27" t="s">
        <v>8297</v>
      </c>
      <c r="CCH20" s="27" t="s">
        <v>8298</v>
      </c>
      <c r="CCI20" s="27" t="s">
        <v>8298</v>
      </c>
      <c r="CCJ20" s="27" t="s">
        <v>8298</v>
      </c>
      <c r="CCK20" s="27" t="s">
        <v>8297</v>
      </c>
      <c r="CCL20" s="27" t="s">
        <v>8297</v>
      </c>
      <c r="CCM20" s="27" t="s">
        <v>8297</v>
      </c>
      <c r="CCN20" s="27" t="s">
        <v>8296</v>
      </c>
      <c r="CCO20" s="27" t="s">
        <v>8300</v>
      </c>
      <c r="CCP20" s="27" t="s">
        <v>8296</v>
      </c>
      <c r="CCQ20" s="27" t="s">
        <v>8296</v>
      </c>
      <c r="CCR20" s="27" t="s">
        <v>8296</v>
      </c>
      <c r="CCS20" s="27" t="s">
        <v>8298</v>
      </c>
      <c r="CCT20" s="27" t="s">
        <v>8296</v>
      </c>
      <c r="CCU20" s="27" t="s">
        <v>8298</v>
      </c>
      <c r="CCV20" s="27" t="s">
        <v>8298</v>
      </c>
      <c r="CCW20" s="27" t="s">
        <v>8298</v>
      </c>
      <c r="CCX20" s="27" t="s">
        <v>8298</v>
      </c>
      <c r="CCY20" s="27" t="s">
        <v>8298</v>
      </c>
      <c r="CCZ20" s="27" t="s">
        <v>28</v>
      </c>
      <c r="CDA20" s="27" t="s">
        <v>28</v>
      </c>
      <c r="CDB20" s="27" t="s">
        <v>28</v>
      </c>
      <c r="CDC20" s="27" t="s">
        <v>28</v>
      </c>
      <c r="CDD20" s="27" t="s">
        <v>28</v>
      </c>
      <c r="CDE20" s="27" t="s">
        <v>28</v>
      </c>
      <c r="CDF20" s="27" t="s">
        <v>28</v>
      </c>
      <c r="CDG20" s="27" t="s">
        <v>28</v>
      </c>
      <c r="CDH20" s="27" t="s">
        <v>28</v>
      </c>
      <c r="CDI20" s="27" t="s">
        <v>28</v>
      </c>
      <c r="CDJ20" s="27" t="s">
        <v>28</v>
      </c>
      <c r="CDK20" s="27" t="s">
        <v>28</v>
      </c>
      <c r="CDL20" s="27" t="s">
        <v>28</v>
      </c>
      <c r="CDM20" s="27" t="s">
        <v>28</v>
      </c>
      <c r="CDN20" s="27" t="s">
        <v>28</v>
      </c>
      <c r="CDO20" s="27" t="s">
        <v>28</v>
      </c>
      <c r="CDP20" s="27" t="s">
        <v>25</v>
      </c>
      <c r="CDQ20" s="27" t="s">
        <v>28</v>
      </c>
      <c r="CDR20" s="27" t="s">
        <v>28</v>
      </c>
      <c r="CDS20" s="27" t="s">
        <v>28</v>
      </c>
      <c r="CDT20" s="27" t="s">
        <v>28</v>
      </c>
      <c r="CDU20" s="27" t="s">
        <v>28</v>
      </c>
      <c r="CDV20" s="27" t="s">
        <v>28</v>
      </c>
      <c r="CDW20" s="27" t="s">
        <v>28</v>
      </c>
      <c r="CDX20" s="27" t="s">
        <v>28</v>
      </c>
      <c r="CDY20" s="27" t="s">
        <v>28</v>
      </c>
      <c r="CDZ20" s="27" t="s">
        <v>28</v>
      </c>
      <c r="CEA20" s="27" t="s">
        <v>2673</v>
      </c>
      <c r="CEB20" s="27" t="s">
        <v>2673</v>
      </c>
      <c r="CEC20" s="27" t="s">
        <v>2673</v>
      </c>
      <c r="CED20" s="27" t="s">
        <v>8302</v>
      </c>
      <c r="CEE20" s="27" t="s">
        <v>2673</v>
      </c>
      <c r="CEF20" s="27" t="s">
        <v>2673</v>
      </c>
      <c r="CEG20" s="27" t="s">
        <v>2673</v>
      </c>
      <c r="CEH20" s="27" t="s">
        <v>2673</v>
      </c>
      <c r="CEI20" s="27" t="s">
        <v>2673</v>
      </c>
      <c r="CEJ20" s="27" t="s">
        <v>8302</v>
      </c>
      <c r="CEK20" s="27" t="s">
        <v>8302</v>
      </c>
      <c r="CEL20" s="27" t="s">
        <v>8303</v>
      </c>
      <c r="CEM20" s="27" t="s">
        <v>2673</v>
      </c>
      <c r="CEN20" s="27" t="s">
        <v>2673</v>
      </c>
      <c r="CEO20" s="27" t="s">
        <v>29</v>
      </c>
      <c r="CEP20" s="27" t="s">
        <v>2673</v>
      </c>
      <c r="CEQ20" s="27" t="s">
        <v>8304</v>
      </c>
      <c r="CER20" s="27" t="s">
        <v>8421</v>
      </c>
      <c r="CES20" s="27" t="s">
        <v>8421</v>
      </c>
      <c r="CET20" s="27" t="s">
        <v>8303</v>
      </c>
      <c r="CEU20" s="27" t="s">
        <v>2673</v>
      </c>
      <c r="CEV20" s="27" t="s">
        <v>2673</v>
      </c>
      <c r="CEW20" s="27" t="s">
        <v>8302</v>
      </c>
      <c r="CEX20" s="27" t="s">
        <v>8303</v>
      </c>
      <c r="CEY20" s="27" t="s">
        <v>8302</v>
      </c>
      <c r="CEZ20" s="27" t="s">
        <v>8301</v>
      </c>
      <c r="CFA20" s="27" t="s">
        <v>8303</v>
      </c>
      <c r="CFB20" s="27" t="s">
        <v>25</v>
      </c>
      <c r="CFC20" s="27" t="s">
        <v>25</v>
      </c>
      <c r="CFD20" s="27" t="s">
        <v>25</v>
      </c>
      <c r="CFE20" s="27" t="s">
        <v>25</v>
      </c>
      <c r="CFF20" s="27" t="s">
        <v>25</v>
      </c>
      <c r="CFG20" s="27" t="s">
        <v>25</v>
      </c>
      <c r="CFH20" s="27" t="s">
        <v>25</v>
      </c>
      <c r="CFI20" s="27" t="s">
        <v>25</v>
      </c>
      <c r="CFJ20" s="27" t="s">
        <v>25</v>
      </c>
      <c r="CFK20" s="27" t="s">
        <v>25</v>
      </c>
      <c r="CFL20" s="27" t="s">
        <v>25</v>
      </c>
      <c r="CFM20" s="27" t="s">
        <v>28</v>
      </c>
      <c r="CFN20" s="27" t="s">
        <v>25</v>
      </c>
      <c r="CFO20" s="27" t="s">
        <v>25</v>
      </c>
      <c r="CFP20" s="27" t="s">
        <v>25</v>
      </c>
      <c r="CFQ20" s="27" t="s">
        <v>25</v>
      </c>
      <c r="CFR20" s="27" t="s">
        <v>25</v>
      </c>
      <c r="CFS20" s="27" t="s">
        <v>25</v>
      </c>
      <c r="CFT20" s="27" t="s">
        <v>25</v>
      </c>
      <c r="CFU20" s="27" t="s">
        <v>25</v>
      </c>
      <c r="CFV20" s="27" t="s">
        <v>28</v>
      </c>
      <c r="CFW20" s="27" t="s">
        <v>25</v>
      </c>
      <c r="CFX20" s="27" t="s">
        <v>28</v>
      </c>
      <c r="CFY20" s="27" t="s">
        <v>28</v>
      </c>
      <c r="CFZ20" s="27" t="s">
        <v>28</v>
      </c>
      <c r="CGA20" s="27" t="s">
        <v>25</v>
      </c>
      <c r="CGB20" s="27" t="s">
        <v>25</v>
      </c>
      <c r="CGC20" s="56">
        <v>25</v>
      </c>
      <c r="CGD20" s="56">
        <v>75</v>
      </c>
      <c r="CGG20" s="56">
        <v>1500</v>
      </c>
      <c r="CGI20" s="56">
        <v>1500</v>
      </c>
      <c r="CGK20" s="26">
        <v>0</v>
      </c>
      <c r="CGL20" s="26">
        <v>1</v>
      </c>
      <c r="CGM20" s="26">
        <v>0</v>
      </c>
      <c r="CGN20" s="26">
        <v>1</v>
      </c>
      <c r="CGO20" s="26">
        <v>0.3</v>
      </c>
      <c r="CGP20" s="26">
        <v>1</v>
      </c>
      <c r="CGQ20" s="26">
        <v>0.5</v>
      </c>
      <c r="CGR20" s="26">
        <v>1</v>
      </c>
      <c r="CGS20" s="27" t="s">
        <v>8369</v>
      </c>
      <c r="CGT20" s="27" t="s">
        <v>8294</v>
      </c>
      <c r="CGU20" s="27" t="s">
        <v>13837</v>
      </c>
      <c r="CGV20" s="27" t="s">
        <v>8296</v>
      </c>
      <c r="CGW20" s="27" t="s">
        <v>8296</v>
      </c>
      <c r="CGX20" s="27" t="s">
        <v>8297</v>
      </c>
      <c r="CGY20" s="27" t="s">
        <v>8298</v>
      </c>
      <c r="CGZ20" s="27" t="s">
        <v>8296</v>
      </c>
      <c r="CHA20" s="27" t="s">
        <v>8297</v>
      </c>
      <c r="CHB20" s="27" t="s">
        <v>8297</v>
      </c>
      <c r="CHC20" s="27" t="s">
        <v>8297</v>
      </c>
      <c r="CHD20" s="27" t="s">
        <v>8297</v>
      </c>
      <c r="CHE20" s="27" t="s">
        <v>8296</v>
      </c>
      <c r="CHF20" s="27" t="s">
        <v>8298</v>
      </c>
      <c r="CHG20" s="27" t="s">
        <v>8298</v>
      </c>
      <c r="CHH20" s="27" t="s">
        <v>8297</v>
      </c>
      <c r="CHI20" s="27" t="s">
        <v>8297</v>
      </c>
      <c r="CHJ20" s="27" t="s">
        <v>8297</v>
      </c>
      <c r="CHK20" s="27" t="s">
        <v>8296</v>
      </c>
      <c r="CHL20" s="27" t="s">
        <v>8300</v>
      </c>
      <c r="CHM20" s="27" t="s">
        <v>8296</v>
      </c>
      <c r="CHN20" s="27" t="s">
        <v>8296</v>
      </c>
      <c r="CHO20" s="27" t="s">
        <v>8296</v>
      </c>
      <c r="CHP20" s="27" t="s">
        <v>8298</v>
      </c>
      <c r="CHQ20" s="27" t="s">
        <v>8296</v>
      </c>
      <c r="CHR20" s="27" t="s">
        <v>8298</v>
      </c>
      <c r="CHS20" s="27" t="s">
        <v>8298</v>
      </c>
      <c r="CHT20" s="27" t="s">
        <v>8298</v>
      </c>
      <c r="CHU20" s="27" t="s">
        <v>8298</v>
      </c>
      <c r="CHV20" s="27" t="s">
        <v>8298</v>
      </c>
      <c r="CHW20" s="27" t="s">
        <v>28</v>
      </c>
      <c r="CHX20" s="27" t="s">
        <v>28</v>
      </c>
      <c r="CHY20" s="27" t="s">
        <v>28</v>
      </c>
      <c r="CHZ20" s="27" t="s">
        <v>28</v>
      </c>
      <c r="CIA20" s="27" t="s">
        <v>28</v>
      </c>
      <c r="CIB20" s="27" t="s">
        <v>28</v>
      </c>
      <c r="CIC20" s="27" t="s">
        <v>28</v>
      </c>
      <c r="CID20" s="27" t="s">
        <v>28</v>
      </c>
      <c r="CIE20" s="27" t="s">
        <v>28</v>
      </c>
      <c r="CIF20" s="27" t="s">
        <v>28</v>
      </c>
      <c r="CIG20" s="27" t="s">
        <v>28</v>
      </c>
      <c r="CIH20" s="27" t="s">
        <v>28</v>
      </c>
      <c r="CII20" s="27" t="s">
        <v>28</v>
      </c>
      <c r="CIJ20" s="27" t="s">
        <v>28</v>
      </c>
      <c r="CIK20" s="27" t="s">
        <v>28</v>
      </c>
      <c r="CIL20" s="27" t="s">
        <v>28</v>
      </c>
      <c r="CIM20" s="27" t="s">
        <v>25</v>
      </c>
      <c r="CIN20" s="27" t="s">
        <v>28</v>
      </c>
      <c r="CIO20" s="27" t="s">
        <v>28</v>
      </c>
      <c r="CIP20" s="27" t="s">
        <v>28</v>
      </c>
      <c r="CIQ20" s="27" t="s">
        <v>28</v>
      </c>
      <c r="CIR20" s="27" t="s">
        <v>28</v>
      </c>
      <c r="CIS20" s="27" t="s">
        <v>28</v>
      </c>
      <c r="CIT20" s="27" t="s">
        <v>28</v>
      </c>
      <c r="CIU20" s="27" t="s">
        <v>28</v>
      </c>
      <c r="CIV20" s="27" t="s">
        <v>28</v>
      </c>
      <c r="CIW20" s="27" t="s">
        <v>28</v>
      </c>
      <c r="CIX20" s="27" t="s">
        <v>2673</v>
      </c>
      <c r="CIY20" s="27" t="s">
        <v>2673</v>
      </c>
      <c r="CIZ20" s="27" t="s">
        <v>2673</v>
      </c>
      <c r="CJA20" s="27" t="s">
        <v>8302</v>
      </c>
      <c r="CJB20" s="27" t="s">
        <v>2673</v>
      </c>
      <c r="CJC20" s="27" t="s">
        <v>2673</v>
      </c>
      <c r="CJD20" s="27" t="s">
        <v>2673</v>
      </c>
      <c r="CJE20" s="27" t="s">
        <v>2673</v>
      </c>
      <c r="CJF20" s="27" t="s">
        <v>2673</v>
      </c>
      <c r="CJG20" s="27" t="s">
        <v>2673</v>
      </c>
      <c r="CJH20" s="27" t="s">
        <v>8302</v>
      </c>
      <c r="CJI20" s="27" t="s">
        <v>8303</v>
      </c>
      <c r="CJJ20" s="27" t="s">
        <v>2673</v>
      </c>
      <c r="CJK20" s="27" t="s">
        <v>2673</v>
      </c>
      <c r="CJL20" s="27" t="s">
        <v>29</v>
      </c>
      <c r="CJM20" s="27" t="s">
        <v>2673</v>
      </c>
      <c r="CJN20" s="27" t="s">
        <v>2673</v>
      </c>
      <c r="CJO20" s="27" t="s">
        <v>8421</v>
      </c>
      <c r="CJP20" s="27" t="s">
        <v>8421</v>
      </c>
      <c r="CJQ20" s="27" t="s">
        <v>8303</v>
      </c>
      <c r="CJR20" s="27" t="s">
        <v>2673</v>
      </c>
      <c r="CJS20" s="27" t="s">
        <v>2673</v>
      </c>
      <c r="CJT20" s="27" t="s">
        <v>8302</v>
      </c>
      <c r="CJU20" s="27" t="s">
        <v>8303</v>
      </c>
      <c r="CJV20" s="27" t="s">
        <v>8302</v>
      </c>
      <c r="CJW20" s="27" t="s">
        <v>8301</v>
      </c>
      <c r="CJX20" s="27" t="s">
        <v>8303</v>
      </c>
      <c r="CJY20" s="27" t="s">
        <v>25</v>
      </c>
      <c r="CJZ20" s="27" t="s">
        <v>25</v>
      </c>
      <c r="CKA20" s="27" t="s">
        <v>25</v>
      </c>
      <c r="CKB20" s="27" t="s">
        <v>25</v>
      </c>
      <c r="CKC20" s="27" t="s">
        <v>25</v>
      </c>
      <c r="CKD20" s="27" t="s">
        <v>25</v>
      </c>
      <c r="CKE20" s="27" t="s">
        <v>25</v>
      </c>
      <c r="CKF20" s="27" t="s">
        <v>25</v>
      </c>
      <c r="CKG20" s="27" t="s">
        <v>25</v>
      </c>
      <c r="CKH20" s="27" t="s">
        <v>25</v>
      </c>
      <c r="CKI20" s="27" t="s">
        <v>25</v>
      </c>
      <c r="CKJ20" s="27" t="s">
        <v>28</v>
      </c>
      <c r="CKK20" s="27" t="s">
        <v>25</v>
      </c>
      <c r="CKL20" s="27" t="s">
        <v>25</v>
      </c>
      <c r="CKM20" s="27" t="s">
        <v>25</v>
      </c>
      <c r="CKN20" s="27" t="s">
        <v>25</v>
      </c>
      <c r="CKO20" s="27" t="s">
        <v>25</v>
      </c>
      <c r="CKP20" s="27" t="s">
        <v>25</v>
      </c>
      <c r="CKQ20" s="27" t="s">
        <v>25</v>
      </c>
      <c r="CKR20" s="27" t="s">
        <v>25</v>
      </c>
      <c r="CKS20" s="27" t="s">
        <v>28</v>
      </c>
      <c r="CKT20" s="27" t="s">
        <v>25</v>
      </c>
      <c r="CKU20" s="27" t="s">
        <v>28</v>
      </c>
      <c r="CKV20" s="27" t="s">
        <v>28</v>
      </c>
      <c r="CKW20" s="27" t="s">
        <v>28</v>
      </c>
      <c r="CKX20" s="27" t="s">
        <v>25</v>
      </c>
      <c r="CKY20" s="27" t="s">
        <v>25</v>
      </c>
      <c r="CPW20" s="27">
        <v>2</v>
      </c>
      <c r="CPX20" s="56">
        <v>15</v>
      </c>
      <c r="CPY20" s="26">
        <v>0</v>
      </c>
      <c r="CQA20" s="26">
        <v>0</v>
      </c>
      <c r="CQB20" s="25" t="s">
        <v>8307</v>
      </c>
      <c r="CQC20" s="25" t="s">
        <v>8307</v>
      </c>
      <c r="CQD20" s="25" t="s">
        <v>8307</v>
      </c>
      <c r="CQE20" s="25" t="s">
        <v>8307</v>
      </c>
      <c r="CQF20" s="25" t="s">
        <v>8307</v>
      </c>
      <c r="CQH20" s="56">
        <v>160</v>
      </c>
      <c r="CQI20" s="56">
        <v>170</v>
      </c>
      <c r="CQJ20" s="56">
        <v>300</v>
      </c>
      <c r="CQK20" s="56">
        <v>300</v>
      </c>
      <c r="CQL20" s="25" t="s">
        <v>13746</v>
      </c>
      <c r="CQM20" s="25" t="s">
        <v>8308</v>
      </c>
      <c r="CQN20" s="25" t="s">
        <v>28</v>
      </c>
      <c r="CQO20" s="25" t="s">
        <v>8309</v>
      </c>
      <c r="CQQ20" s="25" t="s">
        <v>8472</v>
      </c>
      <c r="CQR20" s="25" t="s">
        <v>8473</v>
      </c>
      <c r="CQS20" s="25" t="s">
        <v>25</v>
      </c>
      <c r="CQT20" s="25" t="s">
        <v>8314</v>
      </c>
      <c r="CQU20" s="25" t="s">
        <v>8312</v>
      </c>
      <c r="CQV20" s="25" t="s">
        <v>8313</v>
      </c>
      <c r="CQW20" s="25" t="s">
        <v>8312</v>
      </c>
      <c r="CQX20" s="25" t="s">
        <v>8312</v>
      </c>
      <c r="CQY20" s="25" t="s">
        <v>8312</v>
      </c>
      <c r="CQZ20" s="25" t="s">
        <v>8312</v>
      </c>
      <c r="CRA20" s="25" t="s">
        <v>8312</v>
      </c>
      <c r="CRB20" s="25" t="s">
        <v>8312</v>
      </c>
      <c r="CRC20" s="25" t="s">
        <v>8312</v>
      </c>
      <c r="CRD20" s="25" t="s">
        <v>8312</v>
      </c>
      <c r="CRE20" s="27" t="s">
        <v>8312</v>
      </c>
    </row>
    <row r="21" spans="1:2501" ht="89.25" x14ac:dyDescent="0.2">
      <c r="A21" s="21" t="s">
        <v>169</v>
      </c>
      <c r="B21" s="26">
        <v>0</v>
      </c>
      <c r="C21" s="26">
        <v>0.28999999999999998</v>
      </c>
      <c r="D21" s="26">
        <v>0.14000000000000001</v>
      </c>
      <c r="E21" s="26">
        <v>0.19</v>
      </c>
      <c r="F21" s="26">
        <v>0</v>
      </c>
      <c r="G21" s="26">
        <v>0</v>
      </c>
      <c r="H21" s="26">
        <v>0</v>
      </c>
      <c r="I21" s="26">
        <v>0</v>
      </c>
      <c r="J21" s="26">
        <v>0.35</v>
      </c>
      <c r="K21" s="26">
        <v>0</v>
      </c>
      <c r="L21" s="26">
        <v>0</v>
      </c>
      <c r="M21" s="26">
        <v>0.03</v>
      </c>
      <c r="N21" s="26">
        <v>0</v>
      </c>
      <c r="O21" s="26">
        <v>0</v>
      </c>
      <c r="P21" s="26">
        <v>0</v>
      </c>
      <c r="Q21" s="26">
        <v>0</v>
      </c>
      <c r="R21" s="26">
        <v>0</v>
      </c>
      <c r="S21" s="26">
        <v>0</v>
      </c>
      <c r="T21" s="26">
        <v>0</v>
      </c>
      <c r="U21" s="26">
        <v>0</v>
      </c>
      <c r="V21" s="26">
        <v>0</v>
      </c>
      <c r="W21" s="26">
        <v>0</v>
      </c>
      <c r="X21" s="26">
        <v>0</v>
      </c>
      <c r="Y21" s="26">
        <v>1</v>
      </c>
      <c r="Z21" s="25">
        <v>0</v>
      </c>
      <c r="KP21" s="25">
        <v>1</v>
      </c>
      <c r="KQ21" s="25" t="s">
        <v>8528</v>
      </c>
      <c r="KS21" s="56">
        <v>4000</v>
      </c>
      <c r="KT21" s="56">
        <v>8000</v>
      </c>
      <c r="KU21" s="56">
        <v>10000</v>
      </c>
      <c r="KV21" s="56">
        <v>20000</v>
      </c>
      <c r="KY21" s="25" t="s">
        <v>13411</v>
      </c>
      <c r="KZ21" s="56">
        <v>2000</v>
      </c>
      <c r="LA21" s="56">
        <v>4000</v>
      </c>
      <c r="LB21" s="56">
        <v>6000</v>
      </c>
      <c r="LC21" s="56">
        <v>12000</v>
      </c>
      <c r="LD21" s="25" t="s">
        <v>8247</v>
      </c>
      <c r="LE21" s="25" t="s">
        <v>8248</v>
      </c>
      <c r="LR21" s="25" t="s">
        <v>8249</v>
      </c>
      <c r="OE21" s="25" t="s">
        <v>25</v>
      </c>
      <c r="OF21" s="25" t="s">
        <v>25</v>
      </c>
      <c r="OH21" s="25" t="s">
        <v>25</v>
      </c>
      <c r="OJ21" s="25" t="s">
        <v>13431</v>
      </c>
      <c r="OK21" s="25" t="s">
        <v>13434</v>
      </c>
      <c r="OQ21" s="56">
        <v>85</v>
      </c>
      <c r="OS21" s="26">
        <v>0.1</v>
      </c>
      <c r="OT21" s="26">
        <v>0.1</v>
      </c>
      <c r="OV21" s="26">
        <v>0.1</v>
      </c>
      <c r="OW21" s="26">
        <v>0.1</v>
      </c>
      <c r="PG21" s="26">
        <v>0.3</v>
      </c>
      <c r="PH21" s="26">
        <v>0.3</v>
      </c>
      <c r="PJ21" s="26">
        <v>0.1</v>
      </c>
      <c r="PK21" s="26">
        <v>0.1</v>
      </c>
      <c r="PN21" s="25" t="s">
        <v>8250</v>
      </c>
      <c r="PO21" s="25" t="s">
        <v>8250</v>
      </c>
      <c r="PP21" s="25" t="s">
        <v>8250</v>
      </c>
      <c r="PQ21" s="25" t="s">
        <v>8250</v>
      </c>
      <c r="PR21" s="25" t="s">
        <v>8250</v>
      </c>
      <c r="PS21" s="25" t="s">
        <v>8250</v>
      </c>
      <c r="PW21" s="25" t="s">
        <v>13593</v>
      </c>
      <c r="QB21" s="25" t="s">
        <v>13810</v>
      </c>
      <c r="QC21" s="25" t="s">
        <v>13810</v>
      </c>
      <c r="QD21" s="25" t="s">
        <v>13810</v>
      </c>
      <c r="QE21" s="25" t="s">
        <v>8252</v>
      </c>
      <c r="QF21" s="25" t="s">
        <v>13810</v>
      </c>
      <c r="QG21" s="25" t="s">
        <v>13810</v>
      </c>
      <c r="QH21" s="25" t="s">
        <v>13810</v>
      </c>
      <c r="QI21" s="25" t="s">
        <v>631</v>
      </c>
      <c r="QJ21" s="25" t="s">
        <v>631</v>
      </c>
      <c r="QK21" s="25" t="s">
        <v>631</v>
      </c>
      <c r="QL21" s="25" t="s">
        <v>8253</v>
      </c>
      <c r="QM21" s="25" t="s">
        <v>8253</v>
      </c>
      <c r="QN21" s="25" t="s">
        <v>8253</v>
      </c>
      <c r="QO21" s="25" t="s">
        <v>13453</v>
      </c>
      <c r="QP21" s="25" t="s">
        <v>8386</v>
      </c>
      <c r="QQ21" s="25" t="s">
        <v>8386</v>
      </c>
      <c r="QR21" s="25" t="s">
        <v>8386</v>
      </c>
      <c r="QU21" s="56">
        <v>10</v>
      </c>
      <c r="QW21" s="56">
        <v>20</v>
      </c>
      <c r="QY21" s="56">
        <v>25</v>
      </c>
      <c r="RA21" s="56">
        <v>50</v>
      </c>
      <c r="RC21" s="56">
        <v>40</v>
      </c>
      <c r="RE21" s="56">
        <v>80</v>
      </c>
      <c r="RZ21" s="26">
        <v>0.2</v>
      </c>
      <c r="VC21" s="25" t="s">
        <v>8255</v>
      </c>
      <c r="VD21" s="25" t="s">
        <v>8256</v>
      </c>
      <c r="VE21" s="25" t="s">
        <v>8321</v>
      </c>
      <c r="VF21" s="25">
        <v>1</v>
      </c>
      <c r="VG21" s="25" t="s">
        <v>8624</v>
      </c>
      <c r="VI21" s="56">
        <v>3000</v>
      </c>
      <c r="VJ21" s="56">
        <v>6000</v>
      </c>
      <c r="VO21" s="25" t="s">
        <v>13592</v>
      </c>
      <c r="VP21" s="56">
        <v>0</v>
      </c>
      <c r="VQ21" s="56">
        <v>0</v>
      </c>
      <c r="VT21" s="25" t="s">
        <v>8248</v>
      </c>
      <c r="WG21" s="25" t="s">
        <v>8249</v>
      </c>
      <c r="YT21" s="25" t="s">
        <v>25</v>
      </c>
      <c r="YU21" s="25" t="s">
        <v>25</v>
      </c>
      <c r="YW21" s="25" t="s">
        <v>25</v>
      </c>
      <c r="YY21" s="25" t="s">
        <v>13426</v>
      </c>
      <c r="YZ21" s="25" t="s">
        <v>8404</v>
      </c>
      <c r="ZA21" s="56">
        <v>15</v>
      </c>
      <c r="ZB21" s="56">
        <v>30</v>
      </c>
      <c r="ZD21" s="56">
        <v>100</v>
      </c>
      <c r="ZE21" s="56">
        <v>35</v>
      </c>
      <c r="ZF21" s="56">
        <v>85</v>
      </c>
      <c r="ZH21" s="26">
        <v>0</v>
      </c>
      <c r="ZI21" s="26">
        <v>0</v>
      </c>
      <c r="ZK21" s="26">
        <v>0</v>
      </c>
      <c r="ZL21" s="26">
        <v>0</v>
      </c>
      <c r="ZM21" s="26">
        <v>0</v>
      </c>
      <c r="ZR21" s="56">
        <v>100</v>
      </c>
      <c r="ZY21" s="26">
        <v>0</v>
      </c>
      <c r="AAC21" s="25" t="s">
        <v>8250</v>
      </c>
      <c r="AAD21" s="25" t="s">
        <v>8250</v>
      </c>
      <c r="AAF21" s="25" t="s">
        <v>8250</v>
      </c>
      <c r="AAG21" s="25" t="s">
        <v>8250</v>
      </c>
      <c r="AAH21" s="25" t="s">
        <v>8250</v>
      </c>
      <c r="AAJ21" s="25" t="s">
        <v>25</v>
      </c>
      <c r="AAK21" s="25" t="s">
        <v>25</v>
      </c>
      <c r="AAL21" s="25" t="s">
        <v>13593</v>
      </c>
      <c r="AAM21" s="25" t="s">
        <v>25</v>
      </c>
      <c r="AAN21" s="25" t="s">
        <v>25</v>
      </c>
      <c r="AAO21" s="25" t="s">
        <v>25</v>
      </c>
      <c r="AAQ21" s="25" t="s">
        <v>13810</v>
      </c>
      <c r="AAR21" s="25" t="s">
        <v>13810</v>
      </c>
      <c r="AAS21" s="25" t="s">
        <v>13810</v>
      </c>
      <c r="AAT21" s="25" t="s">
        <v>8252</v>
      </c>
      <c r="AAU21" s="25" t="s">
        <v>13810</v>
      </c>
      <c r="AAV21" s="25" t="s">
        <v>13810</v>
      </c>
      <c r="AAW21" s="25" t="s">
        <v>13810</v>
      </c>
      <c r="AAX21" s="25" t="s">
        <v>631</v>
      </c>
      <c r="AAY21" s="25" t="s">
        <v>631</v>
      </c>
      <c r="AAZ21" s="25" t="s">
        <v>631</v>
      </c>
      <c r="ABA21" s="25" t="s">
        <v>8253</v>
      </c>
      <c r="ABB21" s="25" t="s">
        <v>8253</v>
      </c>
      <c r="ABC21" s="25" t="s">
        <v>8253</v>
      </c>
      <c r="ABD21" s="25" t="s">
        <v>13453</v>
      </c>
      <c r="ABE21" s="25" t="s">
        <v>13442</v>
      </c>
      <c r="ABF21" s="25" t="s">
        <v>13442</v>
      </c>
      <c r="ABG21" s="25" t="s">
        <v>13442</v>
      </c>
      <c r="ABJ21" s="56">
        <v>10</v>
      </c>
      <c r="ABL21" s="56">
        <v>20</v>
      </c>
      <c r="ABN21" s="56">
        <v>25</v>
      </c>
      <c r="ABP21" s="56">
        <v>50</v>
      </c>
      <c r="ABR21" s="56">
        <v>40</v>
      </c>
      <c r="ABT21" s="56">
        <v>80</v>
      </c>
      <c r="ACQ21" s="26">
        <v>0.2</v>
      </c>
      <c r="ADD21" s="56">
        <v>150</v>
      </c>
      <c r="AFR21" s="25" t="s">
        <v>8255</v>
      </c>
      <c r="AFS21" s="25" t="s">
        <v>8256</v>
      </c>
      <c r="AFT21" s="25" t="s">
        <v>8321</v>
      </c>
      <c r="AFU21" s="25">
        <v>0</v>
      </c>
      <c r="AFX21" s="25"/>
      <c r="AFY21" s="25"/>
      <c r="AFZ21" s="25"/>
      <c r="AGA21" s="25"/>
      <c r="AGB21" s="25"/>
      <c r="AGC21" s="25"/>
      <c r="AGE21" s="25"/>
      <c r="AGF21" s="25"/>
      <c r="AGG21" s="25"/>
      <c r="AGH21" s="25"/>
      <c r="AJP21" s="25"/>
      <c r="AJQ21" s="25"/>
      <c r="AJR21" s="25"/>
      <c r="AJS21" s="25"/>
      <c r="AJT21" s="25"/>
      <c r="AJU21" s="25"/>
      <c r="AJV21" s="25"/>
      <c r="AKD21" s="25"/>
      <c r="AKE21" s="25"/>
      <c r="AKF21" s="25"/>
      <c r="AKG21" s="25"/>
      <c r="AKH21" s="25"/>
      <c r="AKI21" s="25"/>
      <c r="AKJ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H21" s="25"/>
      <c r="ANI21" s="25"/>
      <c r="ANJ21" s="25"/>
      <c r="ANK21" s="25"/>
      <c r="ANL21" s="25"/>
      <c r="ANM21" s="25"/>
      <c r="ANN21" s="25"/>
      <c r="ANO21" s="25"/>
      <c r="ANP21" s="25"/>
      <c r="ANQ21" s="25"/>
      <c r="ANR21" s="25"/>
      <c r="ANS21" s="25"/>
      <c r="ANT21" s="25"/>
      <c r="ANU21" s="25"/>
      <c r="AOC21" s="25"/>
      <c r="AOD21" s="25"/>
      <c r="AOE21" s="25"/>
      <c r="AOF21" s="25"/>
      <c r="AOG21" s="25"/>
      <c r="AOH21" s="25"/>
      <c r="AOI21" s="25"/>
      <c r="AOJ21" s="25"/>
      <c r="AOK21" s="25"/>
      <c r="AOL21" s="25"/>
      <c r="AOM21" s="25"/>
      <c r="AON21" s="25"/>
      <c r="AOO21" s="25"/>
      <c r="AOP21" s="25"/>
      <c r="AOX21" s="25"/>
      <c r="AOY21" s="25"/>
      <c r="AOZ21" s="25"/>
      <c r="APA21" s="25"/>
      <c r="APB21" s="25"/>
      <c r="APC21" s="25"/>
      <c r="APD21" s="25"/>
      <c r="APE21" s="25"/>
      <c r="APF21" s="25"/>
      <c r="APG21" s="25"/>
      <c r="APH21" s="25"/>
      <c r="API21" s="25"/>
      <c r="APJ21" s="25"/>
      <c r="APK21" s="25"/>
      <c r="APS21" s="25"/>
      <c r="APT21" s="25"/>
      <c r="APU21" s="25"/>
      <c r="APV21" s="25"/>
      <c r="APW21" s="25"/>
      <c r="APX21" s="25"/>
      <c r="APY21" s="25"/>
      <c r="APZ21" s="25"/>
      <c r="AQA21" s="25"/>
      <c r="AQB21" s="25"/>
      <c r="AQC21" s="25"/>
      <c r="AQD21" s="25"/>
      <c r="AQE21" s="25"/>
      <c r="AQF21" s="25"/>
      <c r="AQJ21" s="25">
        <v>3</v>
      </c>
      <c r="AQK21" s="25" t="s">
        <v>8354</v>
      </c>
      <c r="AQL21" s="25" t="s">
        <v>8914</v>
      </c>
      <c r="AQM21" s="56">
        <v>3000</v>
      </c>
      <c r="AQN21" s="56">
        <v>6000</v>
      </c>
      <c r="AQO21" s="56">
        <v>0</v>
      </c>
      <c r="AQP21" s="56">
        <v>0</v>
      </c>
      <c r="AQQ21" s="56">
        <v>0</v>
      </c>
      <c r="AQR21" s="56">
        <v>0</v>
      </c>
      <c r="AQS21" s="25" t="s">
        <v>13596</v>
      </c>
      <c r="AQT21" s="56">
        <v>0</v>
      </c>
      <c r="AQU21" s="56">
        <v>0</v>
      </c>
      <c r="AQX21" s="25" t="s">
        <v>8248</v>
      </c>
      <c r="ARK21" s="25" t="s">
        <v>8249</v>
      </c>
      <c r="ATX21" s="25" t="s">
        <v>25</v>
      </c>
      <c r="ATY21" s="25" t="s">
        <v>25</v>
      </c>
      <c r="AUA21" s="25" t="s">
        <v>25</v>
      </c>
      <c r="AUC21" s="25" t="s">
        <v>13431</v>
      </c>
      <c r="AUD21" s="25" t="s">
        <v>8404</v>
      </c>
      <c r="AUE21" s="56">
        <v>15</v>
      </c>
      <c r="AUF21" s="56">
        <v>30</v>
      </c>
      <c r="AUH21" s="56">
        <v>100</v>
      </c>
      <c r="AUI21" s="56">
        <v>15</v>
      </c>
      <c r="AUJ21" s="56">
        <v>0</v>
      </c>
      <c r="AUL21" s="26">
        <v>0</v>
      </c>
      <c r="AUM21" s="26">
        <v>0</v>
      </c>
      <c r="AUO21" s="26">
        <v>0</v>
      </c>
      <c r="AUP21" s="26">
        <v>0</v>
      </c>
      <c r="AUQ21" s="26">
        <v>0</v>
      </c>
      <c r="AUV21" s="56">
        <v>100</v>
      </c>
      <c r="AVG21" s="25" t="s">
        <v>8250</v>
      </c>
      <c r="AVH21" s="25" t="s">
        <v>8250</v>
      </c>
      <c r="AVJ21" s="25" t="s">
        <v>8250</v>
      </c>
      <c r="AVK21" s="25" t="s">
        <v>8250</v>
      </c>
      <c r="AVL21" s="25" t="s">
        <v>8250</v>
      </c>
      <c r="AVN21" s="25" t="s">
        <v>25</v>
      </c>
      <c r="AVO21" s="25" t="s">
        <v>25</v>
      </c>
      <c r="AVP21" s="25" t="s">
        <v>13593</v>
      </c>
      <c r="AVQ21" s="25" t="s">
        <v>25</v>
      </c>
      <c r="AVR21" s="25" t="s">
        <v>25</v>
      </c>
      <c r="AVS21" s="25" t="s">
        <v>25</v>
      </c>
      <c r="AVU21" s="25" t="s">
        <v>13810</v>
      </c>
      <c r="AVV21" s="25" t="s">
        <v>13810</v>
      </c>
      <c r="AVW21" s="25" t="s">
        <v>13810</v>
      </c>
      <c r="AVX21" s="25" t="s">
        <v>8252</v>
      </c>
      <c r="AVY21" s="25" t="s">
        <v>13810</v>
      </c>
      <c r="AVZ21" s="25" t="s">
        <v>8252</v>
      </c>
      <c r="AWA21" s="25" t="s">
        <v>8252</v>
      </c>
      <c r="AWB21" s="25" t="s">
        <v>8252</v>
      </c>
      <c r="AWC21" s="25" t="s">
        <v>631</v>
      </c>
      <c r="AWD21" s="25" t="s">
        <v>631</v>
      </c>
      <c r="AWE21" s="25" t="s">
        <v>8253</v>
      </c>
      <c r="AWF21" s="25" t="s">
        <v>8253</v>
      </c>
      <c r="AWG21" s="25" t="s">
        <v>8253</v>
      </c>
      <c r="AWH21" s="25" t="s">
        <v>8383</v>
      </c>
      <c r="AWI21" s="25" t="s">
        <v>8325</v>
      </c>
      <c r="AWJ21" s="25" t="s">
        <v>8253</v>
      </c>
      <c r="AWK21" s="25" t="s">
        <v>8383</v>
      </c>
      <c r="AWL21" s="25" t="s">
        <v>8253</v>
      </c>
      <c r="AWN21" s="56">
        <v>10</v>
      </c>
      <c r="AWR21" s="56">
        <v>25</v>
      </c>
      <c r="AXU21" s="26">
        <v>0.2</v>
      </c>
      <c r="AYH21" s="56">
        <v>150</v>
      </c>
      <c r="BAV21" s="25" t="s">
        <v>8255</v>
      </c>
      <c r="BAW21" s="25" t="s">
        <v>8256</v>
      </c>
      <c r="BAX21" s="25" t="s">
        <v>8321</v>
      </c>
      <c r="BAY21" s="25">
        <v>1</v>
      </c>
      <c r="BAZ21" s="25" t="s">
        <v>8915</v>
      </c>
      <c r="BBB21" s="56">
        <v>3500</v>
      </c>
      <c r="BBC21" s="56">
        <v>7000</v>
      </c>
      <c r="BBD21" s="56">
        <v>6250</v>
      </c>
      <c r="BBE21" s="56">
        <v>12500</v>
      </c>
      <c r="BBH21" s="25" t="s">
        <v>13411</v>
      </c>
      <c r="BBI21" s="56">
        <v>500</v>
      </c>
      <c r="BBJ21" s="56">
        <v>1000</v>
      </c>
      <c r="BBK21" s="56">
        <v>1000</v>
      </c>
      <c r="BBL21" s="56">
        <v>2000</v>
      </c>
      <c r="BBM21" s="25" t="s">
        <v>8248</v>
      </c>
      <c r="BBZ21" s="25" t="s">
        <v>8249</v>
      </c>
      <c r="BEM21" s="25" t="s">
        <v>25</v>
      </c>
      <c r="BEN21" s="25" t="s">
        <v>25</v>
      </c>
      <c r="BEP21" s="25" t="s">
        <v>25</v>
      </c>
      <c r="BER21" s="25" t="s">
        <v>13426</v>
      </c>
      <c r="BES21" s="25" t="s">
        <v>13426</v>
      </c>
      <c r="BET21" s="56">
        <v>15</v>
      </c>
      <c r="BEU21" s="56">
        <v>30</v>
      </c>
      <c r="BEW21" s="56">
        <v>100</v>
      </c>
      <c r="BEX21" s="56">
        <v>35</v>
      </c>
      <c r="BEY21" s="56">
        <v>85</v>
      </c>
      <c r="BFA21" s="26">
        <v>0</v>
      </c>
      <c r="BFB21" s="26">
        <v>0</v>
      </c>
      <c r="BFD21" s="26">
        <v>0.1</v>
      </c>
      <c r="BFF21" s="26">
        <v>0</v>
      </c>
      <c r="BFH21" s="56">
        <v>0</v>
      </c>
      <c r="BFI21" s="56">
        <v>0</v>
      </c>
      <c r="BFK21" s="56">
        <v>100</v>
      </c>
      <c r="BFM21" s="56">
        <v>0</v>
      </c>
      <c r="BFO21" s="26">
        <v>0.3</v>
      </c>
      <c r="BFP21" s="26">
        <v>0.3</v>
      </c>
      <c r="BFR21" s="26">
        <v>0.1</v>
      </c>
      <c r="BFS21" s="26">
        <v>0.3</v>
      </c>
      <c r="BFT21" s="26">
        <v>0.85</v>
      </c>
      <c r="BFV21" s="25" t="s">
        <v>8250</v>
      </c>
      <c r="BFW21" s="25" t="s">
        <v>8250</v>
      </c>
      <c r="BFY21" s="25" t="s">
        <v>8250</v>
      </c>
      <c r="BFZ21" s="25" t="s">
        <v>8250</v>
      </c>
      <c r="BGA21" s="25" t="s">
        <v>8250</v>
      </c>
      <c r="BGC21" s="25" t="s">
        <v>25</v>
      </c>
      <c r="BGD21" s="25" t="s">
        <v>25</v>
      </c>
      <c r="BGE21" s="25" t="s">
        <v>13593</v>
      </c>
      <c r="BGF21" s="25" t="s">
        <v>25</v>
      </c>
      <c r="BGG21" s="25" t="s">
        <v>25</v>
      </c>
      <c r="BGH21" s="25" t="s">
        <v>25</v>
      </c>
      <c r="BGJ21" s="25" t="s">
        <v>13810</v>
      </c>
      <c r="BGK21" s="25" t="s">
        <v>13810</v>
      </c>
      <c r="BGL21" s="25" t="s">
        <v>13810</v>
      </c>
      <c r="BGM21" s="25" t="s">
        <v>8252</v>
      </c>
      <c r="BGN21" s="25" t="s">
        <v>13810</v>
      </c>
      <c r="BGO21" s="25" t="s">
        <v>13810</v>
      </c>
      <c r="BGP21" s="25" t="s">
        <v>13810</v>
      </c>
      <c r="BGQ21" s="25" t="s">
        <v>631</v>
      </c>
      <c r="BGR21" s="25" t="s">
        <v>631</v>
      </c>
      <c r="BGS21" s="25" t="s">
        <v>631</v>
      </c>
      <c r="BGT21" s="25" t="s">
        <v>8253</v>
      </c>
      <c r="BGU21" s="25" t="s">
        <v>8253</v>
      </c>
      <c r="BGV21" s="25" t="s">
        <v>8253</v>
      </c>
      <c r="BGW21" s="25" t="s">
        <v>13453</v>
      </c>
      <c r="BGX21" s="25" t="s">
        <v>13442</v>
      </c>
      <c r="BGY21" s="25" t="s">
        <v>13442</v>
      </c>
      <c r="BGZ21" s="25" t="s">
        <v>13442</v>
      </c>
      <c r="BHC21" s="56">
        <v>10</v>
      </c>
      <c r="BHE21" s="56">
        <v>20</v>
      </c>
      <c r="BHG21" s="56">
        <v>25</v>
      </c>
      <c r="BHI21" s="56">
        <v>50</v>
      </c>
      <c r="BHK21" s="56">
        <v>40</v>
      </c>
      <c r="BHM21" s="56">
        <v>80</v>
      </c>
      <c r="BIJ21" s="26">
        <v>0.2</v>
      </c>
      <c r="BIW21" s="56">
        <v>150</v>
      </c>
      <c r="BIZ21" s="26">
        <v>0.5</v>
      </c>
      <c r="BJA21" s="26">
        <v>0.5</v>
      </c>
      <c r="BJB21" s="26">
        <v>0.5</v>
      </c>
      <c r="BLK21" s="25" t="s">
        <v>8255</v>
      </c>
      <c r="BLL21" s="25" t="s">
        <v>8256</v>
      </c>
      <c r="BLM21" s="25" t="s">
        <v>8321</v>
      </c>
      <c r="BLN21" s="25">
        <v>0</v>
      </c>
      <c r="BLQ21" s="25"/>
      <c r="BLR21" s="25"/>
      <c r="BLS21" s="25"/>
      <c r="BLT21" s="25"/>
      <c r="BLU21" s="25"/>
      <c r="BLV21" s="25"/>
      <c r="BLX21" s="25"/>
      <c r="BLY21" s="25"/>
      <c r="BLZ21" s="25"/>
      <c r="BMA21" s="25"/>
      <c r="BPI21" s="25"/>
      <c r="BPJ21" s="25"/>
      <c r="BPK21" s="25"/>
      <c r="BPL21" s="25"/>
      <c r="BPM21" s="25"/>
      <c r="BPN21" s="25"/>
      <c r="BPO21" s="25"/>
      <c r="BPW21" s="25"/>
      <c r="BPX21" s="25"/>
      <c r="BPY21" s="25"/>
      <c r="BPZ21" s="25"/>
      <c r="BQA21" s="25"/>
      <c r="BQB21" s="25"/>
      <c r="BQC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TA21" s="25"/>
      <c r="BTB21" s="25"/>
      <c r="BTC21" s="25"/>
      <c r="BTD21" s="25"/>
      <c r="BTE21" s="25"/>
      <c r="BTF21" s="25"/>
      <c r="BTG21" s="25"/>
      <c r="BTH21" s="25"/>
      <c r="BTI21" s="25"/>
      <c r="BTJ21" s="25"/>
      <c r="BTK21" s="25"/>
      <c r="BTL21" s="25"/>
      <c r="BTM21" s="25"/>
      <c r="BTN21" s="25"/>
      <c r="BUQ21" s="25"/>
      <c r="BUR21" s="25"/>
      <c r="BUS21" s="25"/>
      <c r="BUT21" s="25"/>
      <c r="BUU21" s="25"/>
      <c r="BUV21" s="25"/>
      <c r="BUW21" s="25"/>
      <c r="BUX21" s="25"/>
      <c r="BUY21" s="25"/>
      <c r="BUZ21" s="25"/>
      <c r="BVA21" s="25"/>
      <c r="BVB21" s="25"/>
      <c r="BVC21" s="25"/>
      <c r="BVD21" s="25"/>
      <c r="BWC21" s="25" t="s">
        <v>28</v>
      </c>
      <c r="BWD21" s="25" t="s">
        <v>8265</v>
      </c>
      <c r="BWE21" s="25" t="s">
        <v>8266</v>
      </c>
      <c r="BWF21" s="25" t="s">
        <v>13715</v>
      </c>
      <c r="BWG21" s="25" t="s">
        <v>28</v>
      </c>
      <c r="BWH21" s="25" t="s">
        <v>2169</v>
      </c>
      <c r="BWI21" s="25" t="s">
        <v>28</v>
      </c>
      <c r="BWJ21" s="25" t="s">
        <v>8267</v>
      </c>
      <c r="BWK21" s="25" t="s">
        <v>28</v>
      </c>
      <c r="BWL21" s="56">
        <v>2000</v>
      </c>
      <c r="BWM21" s="25" t="s">
        <v>25</v>
      </c>
      <c r="BWO21" s="25" t="s">
        <v>25</v>
      </c>
      <c r="BWQ21" s="25" t="s">
        <v>28</v>
      </c>
      <c r="BWR21" s="25" t="s">
        <v>25</v>
      </c>
      <c r="BWT21" s="25" t="s">
        <v>25</v>
      </c>
      <c r="BWV21" s="25" t="s">
        <v>25</v>
      </c>
      <c r="BWX21" s="25" t="s">
        <v>28</v>
      </c>
      <c r="BWY21" s="25" t="s">
        <v>8358</v>
      </c>
      <c r="BWZ21" s="25" t="s">
        <v>28</v>
      </c>
      <c r="BXA21" s="56">
        <v>20</v>
      </c>
      <c r="BXB21" s="25" t="s">
        <v>25</v>
      </c>
      <c r="BXD21" s="25" t="s">
        <v>28</v>
      </c>
      <c r="BXE21" s="25" t="s">
        <v>8358</v>
      </c>
      <c r="BXF21" s="25" t="s">
        <v>28</v>
      </c>
      <c r="BXG21" s="56">
        <v>20</v>
      </c>
      <c r="BXH21" s="25" t="s">
        <v>25</v>
      </c>
      <c r="BXJ21" s="25" t="s">
        <v>28</v>
      </c>
      <c r="BXK21" s="25" t="s">
        <v>8360</v>
      </c>
      <c r="BXL21" s="25" t="s">
        <v>13821</v>
      </c>
      <c r="BXM21" s="25" t="s">
        <v>2201</v>
      </c>
      <c r="BXN21" s="25" t="s">
        <v>8332</v>
      </c>
      <c r="BXO21" s="25" t="s">
        <v>8274</v>
      </c>
      <c r="BXP21" s="25" t="s">
        <v>8274</v>
      </c>
      <c r="BXQ21" s="25" t="s">
        <v>8274</v>
      </c>
      <c r="BXR21" s="25" t="s">
        <v>8274</v>
      </c>
      <c r="BXS21" s="25" t="s">
        <v>8274</v>
      </c>
      <c r="BXT21" s="25" t="s">
        <v>8567</v>
      </c>
      <c r="BXU21" s="25" t="s">
        <v>25</v>
      </c>
      <c r="BXW21" s="25" t="s">
        <v>25</v>
      </c>
      <c r="BXX21" s="25" t="s">
        <v>25</v>
      </c>
      <c r="BXY21" s="25" t="s">
        <v>25</v>
      </c>
      <c r="BXZ21" s="25" t="s">
        <v>25</v>
      </c>
      <c r="BYA21" s="25" t="s">
        <v>25</v>
      </c>
      <c r="BYB21" s="25" t="s">
        <v>25</v>
      </c>
      <c r="BYC21" s="25" t="s">
        <v>8276</v>
      </c>
      <c r="BYD21" s="25" t="s">
        <v>28</v>
      </c>
      <c r="BYF21" s="25" t="s">
        <v>8277</v>
      </c>
      <c r="BYH21" s="25" t="s">
        <v>8814</v>
      </c>
      <c r="BYK21" s="25" t="s">
        <v>28</v>
      </c>
      <c r="BYL21" s="25" t="s">
        <v>25</v>
      </c>
      <c r="BYN21" s="25" t="s">
        <v>25</v>
      </c>
      <c r="BYP21" s="25" t="s">
        <v>25</v>
      </c>
      <c r="BYR21" s="25" t="s">
        <v>28</v>
      </c>
      <c r="BYS21" s="25" t="s">
        <v>8279</v>
      </c>
      <c r="BYT21" s="25" t="s">
        <v>732</v>
      </c>
      <c r="BYU21" s="25" t="s">
        <v>732</v>
      </c>
      <c r="BYV21" s="25" t="s">
        <v>25</v>
      </c>
      <c r="BYW21" s="25" t="s">
        <v>28</v>
      </c>
      <c r="BYX21" s="56">
        <v>1000</v>
      </c>
      <c r="BYY21" s="56">
        <v>2000</v>
      </c>
      <c r="BYZ21" s="25" t="s">
        <v>8280</v>
      </c>
      <c r="BZA21" s="25" t="s">
        <v>8916</v>
      </c>
      <c r="BZB21" s="25" t="s">
        <v>248</v>
      </c>
      <c r="BZD21" s="25" t="s">
        <v>28</v>
      </c>
      <c r="BZE21" s="25" t="s">
        <v>28</v>
      </c>
      <c r="BZF21" s="25" t="s">
        <v>25</v>
      </c>
      <c r="BZG21" s="25" t="s">
        <v>25</v>
      </c>
      <c r="BZJ21" s="25" t="s">
        <v>25</v>
      </c>
      <c r="BZM21" s="25" t="s">
        <v>28</v>
      </c>
      <c r="BZN21" s="25" t="s">
        <v>8283</v>
      </c>
      <c r="BZP21" s="25" t="s">
        <v>8366</v>
      </c>
      <c r="BZQ21" s="56">
        <v>1000</v>
      </c>
      <c r="BZR21" s="25" t="s">
        <v>819</v>
      </c>
      <c r="BZS21" s="25" t="s">
        <v>25</v>
      </c>
      <c r="BZT21" s="25" t="s">
        <v>8337</v>
      </c>
      <c r="BZV21" s="25" t="s">
        <v>8367</v>
      </c>
      <c r="BZX21" s="25" t="s">
        <v>8393</v>
      </c>
      <c r="BZZ21" s="25" t="s">
        <v>25</v>
      </c>
      <c r="CAC21" s="25" t="s">
        <v>25</v>
      </c>
      <c r="CAE21" s="25" t="s">
        <v>25</v>
      </c>
      <c r="CAG21" s="25" t="s">
        <v>25</v>
      </c>
      <c r="CAH21" s="25" t="s">
        <v>631</v>
      </c>
      <c r="CAI21" s="25" t="s">
        <v>631</v>
      </c>
      <c r="CAJ21" s="25" t="s">
        <v>631</v>
      </c>
      <c r="CAK21" s="25" t="s">
        <v>631</v>
      </c>
      <c r="CAL21" s="25" t="s">
        <v>631</v>
      </c>
      <c r="CAM21" s="25" t="s">
        <v>8290</v>
      </c>
      <c r="CAN21" s="25" t="s">
        <v>631</v>
      </c>
      <c r="CAO21" s="25" t="s">
        <v>631</v>
      </c>
      <c r="CAP21" s="25" t="s">
        <v>8470</v>
      </c>
      <c r="CAQ21" s="25" t="s">
        <v>631</v>
      </c>
      <c r="CAR21" s="25" t="s">
        <v>8455</v>
      </c>
      <c r="CAT21" s="25" t="s">
        <v>25</v>
      </c>
      <c r="CAV21" s="25" t="s">
        <v>8471</v>
      </c>
      <c r="CAW21" s="25" t="s">
        <v>8341</v>
      </c>
      <c r="CBB21" s="25">
        <v>1</v>
      </c>
      <c r="CBC21" s="25">
        <v>0</v>
      </c>
      <c r="CBD21" s="25">
        <v>0</v>
      </c>
      <c r="CBE21" s="56">
        <v>50</v>
      </c>
      <c r="CBF21" s="56">
        <v>150</v>
      </c>
      <c r="CBG21" s="56">
        <v>50</v>
      </c>
      <c r="CBH21" s="56">
        <v>150</v>
      </c>
      <c r="CBI21" s="56">
        <v>2500</v>
      </c>
      <c r="CBK21" s="56">
        <v>2500</v>
      </c>
      <c r="CBM21" s="26">
        <v>0</v>
      </c>
      <c r="CBN21" s="26">
        <v>0</v>
      </c>
      <c r="CBO21" s="26">
        <v>0.1</v>
      </c>
      <c r="CBP21" s="26">
        <v>0.2</v>
      </c>
      <c r="CBQ21" s="26">
        <v>0.4</v>
      </c>
      <c r="CBR21" s="26">
        <v>0.5</v>
      </c>
      <c r="CBS21" s="26">
        <v>0.5</v>
      </c>
      <c r="CBT21" s="26">
        <v>0.5</v>
      </c>
      <c r="CBU21" s="27" t="s">
        <v>28</v>
      </c>
      <c r="CBV21" s="27" t="s">
        <v>8522</v>
      </c>
      <c r="CBW21" s="27" t="s">
        <v>8294</v>
      </c>
      <c r="CBX21" s="27" t="s">
        <v>8550</v>
      </c>
      <c r="CBY21" s="27" t="s">
        <v>8296</v>
      </c>
      <c r="CBZ21" s="27" t="s">
        <v>29</v>
      </c>
      <c r="CCA21" s="27" t="s">
        <v>8297</v>
      </c>
      <c r="CCB21" s="27" t="s">
        <v>8298</v>
      </c>
      <c r="CCC21" s="27" t="s">
        <v>8296</v>
      </c>
      <c r="CCD21" s="27" t="s">
        <v>8297</v>
      </c>
      <c r="CCE21" s="27" t="s">
        <v>8297</v>
      </c>
      <c r="CCF21" s="27" t="s">
        <v>8297</v>
      </c>
      <c r="CCG21" s="27" t="s">
        <v>8297</v>
      </c>
      <c r="CCI21" s="27" t="s">
        <v>8298</v>
      </c>
      <c r="CCJ21" s="27" t="s">
        <v>8298</v>
      </c>
      <c r="CCK21" s="27" t="s">
        <v>8297</v>
      </c>
      <c r="CCL21" s="27" t="s">
        <v>8297</v>
      </c>
      <c r="CCN21" s="27" t="s">
        <v>8296</v>
      </c>
      <c r="CCO21" s="27" t="s">
        <v>8300</v>
      </c>
      <c r="CCP21" s="27" t="s">
        <v>8298</v>
      </c>
      <c r="CCQ21" s="27" t="s">
        <v>8296</v>
      </c>
      <c r="CCR21" s="27" t="s">
        <v>8296</v>
      </c>
      <c r="CCS21" s="27" t="s">
        <v>8298</v>
      </c>
      <c r="CCT21" s="27" t="s">
        <v>8296</v>
      </c>
      <c r="CCU21" s="27" t="s">
        <v>8298</v>
      </c>
      <c r="CCV21" s="27" t="s">
        <v>8298</v>
      </c>
      <c r="CCW21" s="27" t="s">
        <v>8298</v>
      </c>
      <c r="CCX21" s="27" t="s">
        <v>8298</v>
      </c>
      <c r="CCY21" s="27" t="s">
        <v>8298</v>
      </c>
      <c r="CCZ21" s="27" t="s">
        <v>28</v>
      </c>
      <c r="CDA21" s="27" t="s">
        <v>28</v>
      </c>
      <c r="CDB21" s="27" t="s">
        <v>28</v>
      </c>
      <c r="CDC21" s="27" t="s">
        <v>28</v>
      </c>
      <c r="CDD21" s="27" t="s">
        <v>28</v>
      </c>
      <c r="CDE21" s="27" t="s">
        <v>28</v>
      </c>
      <c r="CDF21" s="27" t="s">
        <v>28</v>
      </c>
      <c r="CDG21" s="27" t="s">
        <v>28</v>
      </c>
      <c r="CDH21" s="27" t="s">
        <v>28</v>
      </c>
      <c r="CDI21" s="27" t="s">
        <v>25</v>
      </c>
      <c r="CDJ21" s="27" t="s">
        <v>25</v>
      </c>
      <c r="CDK21" s="27" t="s">
        <v>28</v>
      </c>
      <c r="CDL21" s="27" t="s">
        <v>28</v>
      </c>
      <c r="CDM21" s="27" t="s">
        <v>28</v>
      </c>
      <c r="CDO21" s="27" t="s">
        <v>28</v>
      </c>
      <c r="CDP21" s="27" t="s">
        <v>25</v>
      </c>
      <c r="CDQ21" s="27" t="s">
        <v>28</v>
      </c>
      <c r="CDR21" s="27" t="s">
        <v>28</v>
      </c>
      <c r="CDS21" s="27" t="s">
        <v>28</v>
      </c>
      <c r="CDT21" s="27" t="s">
        <v>28</v>
      </c>
      <c r="CDU21" s="27" t="s">
        <v>28</v>
      </c>
      <c r="CDV21" s="27" t="s">
        <v>28</v>
      </c>
      <c r="CDW21" s="27" t="s">
        <v>28</v>
      </c>
      <c r="CDX21" s="27" t="s">
        <v>28</v>
      </c>
      <c r="CDY21" s="27" t="s">
        <v>28</v>
      </c>
      <c r="CDZ21" s="27" t="s">
        <v>28</v>
      </c>
      <c r="CEA21" s="27" t="s">
        <v>8305</v>
      </c>
      <c r="CEB21" s="27" t="s">
        <v>29</v>
      </c>
      <c r="CEC21" s="27" t="s">
        <v>8301</v>
      </c>
      <c r="CED21" s="27" t="s">
        <v>8302</v>
      </c>
      <c r="CEE21" s="27" t="s">
        <v>8305</v>
      </c>
      <c r="CEF21" s="27" t="s">
        <v>8301</v>
      </c>
      <c r="CEG21" s="27" t="s">
        <v>8420</v>
      </c>
      <c r="CEH21" s="27" t="s">
        <v>8305</v>
      </c>
      <c r="CEI21" s="27" t="s">
        <v>8301</v>
      </c>
      <c r="CEJ21" s="27" t="s">
        <v>2673</v>
      </c>
      <c r="CEK21" s="27" t="s">
        <v>8302</v>
      </c>
      <c r="CEL21" s="27" t="s">
        <v>8302</v>
      </c>
      <c r="CEM21" s="27" t="s">
        <v>8301</v>
      </c>
      <c r="CEN21" s="27" t="s">
        <v>8301</v>
      </c>
      <c r="CEP21" s="27" t="s">
        <v>8304</v>
      </c>
      <c r="CEQ21" s="27" t="s">
        <v>8304</v>
      </c>
      <c r="CER21" s="27" t="s">
        <v>8302</v>
      </c>
      <c r="CES21" s="27" t="s">
        <v>8306</v>
      </c>
      <c r="CET21" s="27" t="s">
        <v>8304</v>
      </c>
      <c r="CEU21" s="27" t="s">
        <v>8304</v>
      </c>
      <c r="CEV21" s="27" t="s">
        <v>8304</v>
      </c>
      <c r="CEW21" s="27" t="s">
        <v>8305</v>
      </c>
      <c r="CEX21" s="27" t="s">
        <v>8302</v>
      </c>
      <c r="CEY21" s="27" t="s">
        <v>8303</v>
      </c>
      <c r="CEZ21" s="27" t="s">
        <v>8301</v>
      </c>
      <c r="CFA21" s="27" t="s">
        <v>29</v>
      </c>
      <c r="CFB21" s="27" t="s">
        <v>25</v>
      </c>
      <c r="CFC21" s="27" t="s">
        <v>25</v>
      </c>
      <c r="CFD21" s="27" t="s">
        <v>28</v>
      </c>
      <c r="CFE21" s="27" t="s">
        <v>25</v>
      </c>
      <c r="CFF21" s="27" t="s">
        <v>25</v>
      </c>
      <c r="CFG21" s="27" t="s">
        <v>28</v>
      </c>
      <c r="CFH21" s="27" t="s">
        <v>28</v>
      </c>
      <c r="CFI21" s="27" t="s">
        <v>28</v>
      </c>
      <c r="CFJ21" s="27" t="s">
        <v>28</v>
      </c>
      <c r="CFK21" s="27" t="s">
        <v>25</v>
      </c>
      <c r="CFL21" s="27" t="s">
        <v>25</v>
      </c>
      <c r="CFM21" s="27" t="s">
        <v>25</v>
      </c>
      <c r="CFN21" s="27" t="s">
        <v>28</v>
      </c>
      <c r="CFO21" s="27" t="s">
        <v>28</v>
      </c>
      <c r="CFQ21" s="27" t="s">
        <v>25</v>
      </c>
      <c r="CFR21" s="27" t="s">
        <v>25</v>
      </c>
      <c r="CFS21" s="27" t="s">
        <v>25</v>
      </c>
      <c r="CFT21" s="27" t="s">
        <v>28</v>
      </c>
      <c r="CFU21" s="27" t="s">
        <v>25</v>
      </c>
      <c r="CFV21" s="27" t="s">
        <v>28</v>
      </c>
      <c r="CFW21" s="27" t="s">
        <v>25</v>
      </c>
      <c r="CFX21" s="27" t="s">
        <v>28</v>
      </c>
      <c r="CFY21" s="27" t="s">
        <v>25</v>
      </c>
      <c r="CFZ21" s="27" t="s">
        <v>25</v>
      </c>
      <c r="CGA21" s="27" t="s">
        <v>25</v>
      </c>
      <c r="CGB21" s="27" t="s">
        <v>25</v>
      </c>
      <c r="CPW21" s="27">
        <v>1</v>
      </c>
      <c r="CPX21" s="56">
        <v>10</v>
      </c>
      <c r="CPY21" s="26">
        <v>0</v>
      </c>
      <c r="CQB21" s="25" t="s">
        <v>8372</v>
      </c>
      <c r="CQC21" s="25" t="s">
        <v>8372</v>
      </c>
      <c r="CQD21" s="25" t="s">
        <v>8372</v>
      </c>
      <c r="CQE21" s="25" t="s">
        <v>8372</v>
      </c>
      <c r="CQF21" s="25" t="s">
        <v>635</v>
      </c>
      <c r="CQG21" s="56">
        <v>10</v>
      </c>
      <c r="CQI21" s="56">
        <v>175</v>
      </c>
      <c r="CQJ21" s="56">
        <v>175</v>
      </c>
      <c r="CQL21" s="25" t="s">
        <v>13667</v>
      </c>
      <c r="CQM21" s="25" t="s">
        <v>8345</v>
      </c>
      <c r="CQN21" s="25" t="s">
        <v>28</v>
      </c>
      <c r="CQO21" s="25" t="s">
        <v>8574</v>
      </c>
      <c r="CQP21" s="56">
        <v>2000</v>
      </c>
      <c r="CQQ21" s="25" t="s">
        <v>8917</v>
      </c>
      <c r="CQR21" s="25" t="s">
        <v>1041</v>
      </c>
      <c r="CQS21" s="25" t="s">
        <v>25</v>
      </c>
      <c r="CQT21" s="25" t="s">
        <v>8314</v>
      </c>
      <c r="CQU21" s="25" t="s">
        <v>8312</v>
      </c>
      <c r="CQV21" s="25" t="s">
        <v>8312</v>
      </c>
      <c r="CQW21" s="25" t="s">
        <v>8312</v>
      </c>
      <c r="CQX21" s="25" t="s">
        <v>8312</v>
      </c>
      <c r="CQY21" s="25" t="s">
        <v>8312</v>
      </c>
      <c r="CQZ21" s="25" t="s">
        <v>8312</v>
      </c>
      <c r="CRA21" s="25" t="s">
        <v>8314</v>
      </c>
      <c r="CRB21" s="25" t="s">
        <v>8312</v>
      </c>
      <c r="CRC21" s="25" t="s">
        <v>8312</v>
      </c>
      <c r="CRD21" s="25" t="s">
        <v>8312</v>
      </c>
      <c r="CRE21" s="27" t="s">
        <v>8312</v>
      </c>
    </row>
    <row r="22" spans="1:2501" ht="89.25" x14ac:dyDescent="0.2">
      <c r="A22" s="21" t="s">
        <v>159</v>
      </c>
      <c r="B22" s="26">
        <v>0.46</v>
      </c>
      <c r="C22" s="26">
        <v>0.16</v>
      </c>
      <c r="D22" s="26">
        <v>0.11</v>
      </c>
      <c r="E22" s="26">
        <v>0.2</v>
      </c>
      <c r="F22" s="26">
        <v>0</v>
      </c>
      <c r="G22" s="26">
        <v>0</v>
      </c>
      <c r="H22" s="26">
        <v>0</v>
      </c>
      <c r="I22" s="26">
        <v>0</v>
      </c>
      <c r="J22" s="26">
        <v>0</v>
      </c>
      <c r="K22" s="26">
        <v>0</v>
      </c>
      <c r="L22" s="26">
        <v>0</v>
      </c>
      <c r="M22" s="26">
        <v>7.0000000000000007E-2</v>
      </c>
      <c r="N22" s="26">
        <v>0</v>
      </c>
      <c r="O22" s="26">
        <v>0</v>
      </c>
      <c r="P22" s="26">
        <v>0.33</v>
      </c>
      <c r="Q22" s="26">
        <v>0.33</v>
      </c>
      <c r="R22" s="26">
        <v>0</v>
      </c>
      <c r="S22" s="26">
        <v>0</v>
      </c>
      <c r="T22" s="26">
        <v>0</v>
      </c>
      <c r="U22" s="26">
        <v>0</v>
      </c>
      <c r="V22" s="26">
        <v>0</v>
      </c>
      <c r="W22" s="26">
        <v>0</v>
      </c>
      <c r="X22" s="26">
        <v>0</v>
      </c>
      <c r="Y22" s="26">
        <v>0.34</v>
      </c>
      <c r="Z22" s="25">
        <v>1</v>
      </c>
      <c r="AA22" s="25" t="s">
        <v>8838</v>
      </c>
      <c r="AC22" s="56">
        <v>2500</v>
      </c>
      <c r="AD22" s="56">
        <v>5000</v>
      </c>
      <c r="AE22" s="56">
        <v>6500</v>
      </c>
      <c r="AF22" s="56">
        <v>13000</v>
      </c>
      <c r="AI22" s="25" t="s">
        <v>8246</v>
      </c>
      <c r="AJ22" s="56">
        <v>250</v>
      </c>
      <c r="AK22" s="56">
        <v>750</v>
      </c>
      <c r="AL22" s="56">
        <v>250</v>
      </c>
      <c r="AM22" s="56">
        <v>750</v>
      </c>
      <c r="AN22" s="25" t="s">
        <v>8350</v>
      </c>
      <c r="AO22" s="25" t="s">
        <v>8248</v>
      </c>
      <c r="BB22" s="25" t="s">
        <v>8249</v>
      </c>
      <c r="DO22" s="25" t="s">
        <v>25</v>
      </c>
      <c r="DP22" s="25" t="s">
        <v>28</v>
      </c>
      <c r="DQ22" s="25" t="s">
        <v>25</v>
      </c>
      <c r="DR22" s="25" t="s">
        <v>25</v>
      </c>
      <c r="DT22" s="25" t="s">
        <v>13417</v>
      </c>
      <c r="DU22" s="25" t="s">
        <v>13417</v>
      </c>
      <c r="DV22" s="56">
        <v>20</v>
      </c>
      <c r="DW22" s="56">
        <v>20</v>
      </c>
      <c r="DX22" s="56">
        <v>20</v>
      </c>
      <c r="DY22" s="56">
        <v>100</v>
      </c>
      <c r="DZ22" s="56">
        <v>50</v>
      </c>
      <c r="EA22" s="56">
        <v>0</v>
      </c>
      <c r="EM22" s="56">
        <v>100</v>
      </c>
      <c r="EN22" s="56">
        <v>50</v>
      </c>
      <c r="EQ22" s="26">
        <v>0.3</v>
      </c>
      <c r="ER22" s="26">
        <v>0.3</v>
      </c>
      <c r="ES22" s="26">
        <v>0.3</v>
      </c>
      <c r="EV22" s="26">
        <v>1</v>
      </c>
      <c r="EX22" s="25" t="s">
        <v>8250</v>
      </c>
      <c r="EY22" s="25" t="s">
        <v>8250</v>
      </c>
      <c r="EZ22" s="25" t="s">
        <v>8250</v>
      </c>
      <c r="FA22" s="25" t="s">
        <v>8250</v>
      </c>
      <c r="FB22" s="25" t="s">
        <v>8250</v>
      </c>
      <c r="FC22" s="25" t="s">
        <v>8261</v>
      </c>
      <c r="FE22" s="25" t="s">
        <v>25</v>
      </c>
      <c r="FF22" s="25" t="s">
        <v>25</v>
      </c>
      <c r="FG22" s="25" t="s">
        <v>25</v>
      </c>
      <c r="FH22" s="25" t="s">
        <v>25</v>
      </c>
      <c r="FI22" s="25" t="s">
        <v>25</v>
      </c>
      <c r="FJ22" s="25" t="s">
        <v>25</v>
      </c>
      <c r="FK22" s="25" t="s">
        <v>13593</v>
      </c>
      <c r="FL22" s="25" t="s">
        <v>13810</v>
      </c>
      <c r="FM22" s="25" t="s">
        <v>13810</v>
      </c>
      <c r="FN22" s="25" t="s">
        <v>13810</v>
      </c>
      <c r="FO22" s="25" t="s">
        <v>13810</v>
      </c>
      <c r="FP22" s="25" t="s">
        <v>13810</v>
      </c>
      <c r="FQ22" s="25" t="s">
        <v>13810</v>
      </c>
      <c r="FR22" s="25" t="s">
        <v>13810</v>
      </c>
      <c r="FS22" s="25" t="s">
        <v>631</v>
      </c>
      <c r="FT22" s="25" t="s">
        <v>631</v>
      </c>
      <c r="FU22" s="25" t="s">
        <v>631</v>
      </c>
      <c r="FV22" s="25" t="s">
        <v>13458</v>
      </c>
      <c r="FW22" s="25" t="s">
        <v>13439</v>
      </c>
      <c r="FX22" s="25" t="s">
        <v>13443</v>
      </c>
      <c r="FY22" s="25" t="s">
        <v>13436</v>
      </c>
      <c r="FZ22" s="25" t="s">
        <v>8262</v>
      </c>
      <c r="GA22" s="25" t="s">
        <v>8262</v>
      </c>
      <c r="GB22" s="25" t="s">
        <v>13458</v>
      </c>
      <c r="GE22" s="56">
        <v>0</v>
      </c>
      <c r="GF22" s="56">
        <v>0</v>
      </c>
      <c r="GG22" s="56">
        <v>0</v>
      </c>
      <c r="GI22" s="56">
        <v>10</v>
      </c>
      <c r="GJ22" s="56">
        <v>10</v>
      </c>
      <c r="GK22" s="56">
        <v>10</v>
      </c>
      <c r="GM22" s="56">
        <v>30</v>
      </c>
      <c r="GN22" s="56">
        <v>30</v>
      </c>
      <c r="GO22" s="56">
        <v>60</v>
      </c>
      <c r="GQ22" s="56">
        <v>50</v>
      </c>
      <c r="GR22" s="56">
        <v>50</v>
      </c>
      <c r="GS22" s="56">
        <v>100</v>
      </c>
      <c r="KM22" s="25" t="s">
        <v>8255</v>
      </c>
      <c r="KN22" s="25" t="s">
        <v>8298</v>
      </c>
      <c r="KO22" s="25" t="s">
        <v>8321</v>
      </c>
      <c r="KP22" s="25">
        <v>1</v>
      </c>
      <c r="KQ22" s="25" t="s">
        <v>8838</v>
      </c>
      <c r="KS22" s="56">
        <v>6000</v>
      </c>
      <c r="KT22" s="56">
        <v>6000</v>
      </c>
      <c r="KU22" s="56">
        <v>12000</v>
      </c>
      <c r="KV22" s="56">
        <v>12000</v>
      </c>
      <c r="KY22" s="25" t="s">
        <v>8246</v>
      </c>
      <c r="KZ22" s="56">
        <v>3000</v>
      </c>
      <c r="LA22" s="56">
        <v>3000</v>
      </c>
      <c r="LB22" s="56">
        <v>3000</v>
      </c>
      <c r="LC22" s="56">
        <v>3000</v>
      </c>
      <c r="LD22" s="25" t="s">
        <v>8350</v>
      </c>
      <c r="LE22" s="25" t="s">
        <v>8248</v>
      </c>
      <c r="LR22" s="25" t="s">
        <v>8249</v>
      </c>
      <c r="OE22" s="25" t="s">
        <v>25</v>
      </c>
      <c r="OF22" s="25" t="s">
        <v>28</v>
      </c>
      <c r="OG22" s="25" t="s">
        <v>25</v>
      </c>
      <c r="OH22" s="25" t="s">
        <v>25</v>
      </c>
      <c r="OJ22" s="25" t="s">
        <v>13416</v>
      </c>
      <c r="OK22" s="25" t="s">
        <v>13420</v>
      </c>
      <c r="OQ22" s="56">
        <v>0</v>
      </c>
      <c r="OS22" s="26">
        <v>0.2</v>
      </c>
      <c r="OT22" s="26">
        <v>0.2</v>
      </c>
      <c r="OU22" s="26">
        <v>0.2</v>
      </c>
      <c r="OV22" s="26">
        <v>0.2</v>
      </c>
      <c r="OW22" s="26">
        <v>0.2</v>
      </c>
      <c r="OX22" s="26">
        <v>0</v>
      </c>
      <c r="OZ22" s="56">
        <v>40</v>
      </c>
      <c r="PA22" s="56">
        <v>40</v>
      </c>
      <c r="PB22" s="56">
        <v>20</v>
      </c>
      <c r="PC22" s="56">
        <v>20</v>
      </c>
      <c r="PD22" s="56">
        <v>20</v>
      </c>
      <c r="PN22" s="25" t="s">
        <v>8250</v>
      </c>
      <c r="PO22" s="25" t="s">
        <v>8250</v>
      </c>
      <c r="PP22" s="25" t="s">
        <v>8250</v>
      </c>
      <c r="PQ22" s="25" t="s">
        <v>8250</v>
      </c>
      <c r="PR22" s="25" t="s">
        <v>8250</v>
      </c>
      <c r="PS22" s="25" t="s">
        <v>8261</v>
      </c>
      <c r="PU22" s="25" t="s">
        <v>25</v>
      </c>
      <c r="PV22" s="25" t="s">
        <v>25</v>
      </c>
      <c r="PW22" s="25" t="s">
        <v>25</v>
      </c>
      <c r="PX22" s="25" t="s">
        <v>25</v>
      </c>
      <c r="PY22" s="25" t="s">
        <v>25</v>
      </c>
      <c r="PZ22" s="25" t="s">
        <v>25</v>
      </c>
      <c r="QA22" s="25" t="s">
        <v>13593</v>
      </c>
      <c r="QB22" s="25" t="s">
        <v>13810</v>
      </c>
      <c r="QC22" s="25" t="s">
        <v>13810</v>
      </c>
      <c r="QD22" s="25" t="s">
        <v>13810</v>
      </c>
      <c r="QE22" s="25" t="s">
        <v>13810</v>
      </c>
      <c r="QF22" s="25" t="s">
        <v>13810</v>
      </c>
      <c r="QG22" s="25" t="s">
        <v>13810</v>
      </c>
      <c r="QH22" s="25" t="s">
        <v>13810</v>
      </c>
      <c r="QI22" s="25" t="s">
        <v>631</v>
      </c>
      <c r="QJ22" s="25" t="s">
        <v>631</v>
      </c>
      <c r="QK22" s="25" t="s">
        <v>631</v>
      </c>
      <c r="QL22" s="25" t="s">
        <v>8510</v>
      </c>
      <c r="QM22" s="25" t="s">
        <v>13439</v>
      </c>
      <c r="QN22" s="25" t="s">
        <v>13443</v>
      </c>
      <c r="QO22" s="25" t="s">
        <v>13436</v>
      </c>
      <c r="QP22" s="25" t="s">
        <v>8262</v>
      </c>
      <c r="QQ22" s="25" t="s">
        <v>8262</v>
      </c>
      <c r="QR22" s="25" t="s">
        <v>13458</v>
      </c>
      <c r="QU22" s="56">
        <v>0</v>
      </c>
      <c r="QV22" s="56">
        <v>0</v>
      </c>
      <c r="QW22" s="56">
        <v>0</v>
      </c>
      <c r="QY22" s="56">
        <v>10</v>
      </c>
      <c r="QZ22" s="56">
        <v>10</v>
      </c>
      <c r="RA22" s="56">
        <v>10</v>
      </c>
      <c r="RC22" s="56">
        <v>30</v>
      </c>
      <c r="RD22" s="56">
        <v>30</v>
      </c>
      <c r="RE22" s="56">
        <v>60</v>
      </c>
      <c r="RG22" s="56">
        <v>50</v>
      </c>
      <c r="RH22" s="56">
        <v>50</v>
      </c>
      <c r="RI22" s="56">
        <v>100</v>
      </c>
      <c r="VC22" s="25" t="s">
        <v>8255</v>
      </c>
      <c r="VD22" s="25" t="s">
        <v>8298</v>
      </c>
      <c r="VE22" s="25" t="s">
        <v>8321</v>
      </c>
      <c r="VF22" s="25">
        <v>1</v>
      </c>
      <c r="VG22" s="25" t="s">
        <v>8838</v>
      </c>
      <c r="VI22" s="56">
        <v>2500</v>
      </c>
      <c r="VJ22" s="56">
        <v>5000</v>
      </c>
      <c r="VO22" s="25" t="s">
        <v>8246</v>
      </c>
      <c r="VT22" s="25" t="s">
        <v>8248</v>
      </c>
      <c r="WG22" s="25" t="s">
        <v>8249</v>
      </c>
      <c r="YT22" s="25" t="s">
        <v>25</v>
      </c>
      <c r="YU22" s="25" t="s">
        <v>28</v>
      </c>
      <c r="YV22" s="25" t="s">
        <v>25</v>
      </c>
      <c r="YW22" s="25" t="s">
        <v>25</v>
      </c>
      <c r="YY22" s="25" t="s">
        <v>13417</v>
      </c>
      <c r="ZA22" s="56">
        <v>20</v>
      </c>
      <c r="ZB22" s="56">
        <v>20</v>
      </c>
      <c r="ZC22" s="56">
        <v>20</v>
      </c>
      <c r="ZD22" s="56">
        <v>100</v>
      </c>
      <c r="ZE22" s="56">
        <v>50</v>
      </c>
      <c r="ZF22" s="56">
        <v>0</v>
      </c>
      <c r="AAC22" s="25" t="s">
        <v>8250</v>
      </c>
      <c r="AAD22" s="25" t="s">
        <v>8250</v>
      </c>
      <c r="AAE22" s="25" t="s">
        <v>8250</v>
      </c>
      <c r="AAF22" s="25" t="s">
        <v>8250</v>
      </c>
      <c r="AAG22" s="25" t="s">
        <v>8250</v>
      </c>
      <c r="AAH22" s="25" t="s">
        <v>8261</v>
      </c>
      <c r="AAJ22" s="25" t="s">
        <v>25</v>
      </c>
      <c r="AAK22" s="25" t="s">
        <v>25</v>
      </c>
      <c r="AAL22" s="25" t="s">
        <v>25</v>
      </c>
      <c r="AAM22" s="25" t="s">
        <v>25</v>
      </c>
      <c r="AAN22" s="25" t="s">
        <v>25</v>
      </c>
      <c r="AAO22" s="25" t="s">
        <v>25</v>
      </c>
      <c r="AAP22" s="25" t="s">
        <v>13593</v>
      </c>
      <c r="AAQ22" s="25" t="s">
        <v>13810</v>
      </c>
      <c r="AAR22" s="25" t="s">
        <v>13810</v>
      </c>
      <c r="AAS22" s="25" t="s">
        <v>13810</v>
      </c>
      <c r="AAT22" s="25" t="s">
        <v>13810</v>
      </c>
      <c r="AAU22" s="25" t="s">
        <v>13810</v>
      </c>
      <c r="AAV22" s="25" t="s">
        <v>13810</v>
      </c>
      <c r="AAW22" s="25" t="s">
        <v>13810</v>
      </c>
      <c r="AAX22" s="25" t="s">
        <v>631</v>
      </c>
      <c r="AAY22" s="25" t="s">
        <v>631</v>
      </c>
      <c r="AAZ22" s="25" t="s">
        <v>631</v>
      </c>
      <c r="ABA22" s="25" t="s">
        <v>13601</v>
      </c>
      <c r="ABB22" s="25" t="s">
        <v>13439</v>
      </c>
      <c r="ABC22" s="25" t="s">
        <v>13816</v>
      </c>
      <c r="ABD22" s="25" t="s">
        <v>13436</v>
      </c>
      <c r="ABE22" s="25" t="s">
        <v>8262</v>
      </c>
      <c r="ABF22" s="25" t="s">
        <v>8262</v>
      </c>
      <c r="ABG22" s="25" t="s">
        <v>13601</v>
      </c>
      <c r="ABJ22" s="56">
        <v>0</v>
      </c>
      <c r="ABK22" s="56">
        <v>0</v>
      </c>
      <c r="ABL22" s="56">
        <v>0</v>
      </c>
      <c r="ABN22" s="56">
        <v>10</v>
      </c>
      <c r="ABO22" s="56">
        <v>10</v>
      </c>
      <c r="ABP22" s="56">
        <v>10</v>
      </c>
      <c r="ABR22" s="56">
        <v>30</v>
      </c>
      <c r="ABS22" s="56">
        <v>30</v>
      </c>
      <c r="ABT22" s="56">
        <v>60</v>
      </c>
      <c r="ABV22" s="56">
        <v>50</v>
      </c>
      <c r="ABW22" s="56">
        <v>50</v>
      </c>
      <c r="ABX22" s="56">
        <v>100</v>
      </c>
      <c r="AFR22" s="25" t="s">
        <v>8255</v>
      </c>
      <c r="AFS22" s="25" t="s">
        <v>8298</v>
      </c>
      <c r="AFT22" s="25" t="s">
        <v>8321</v>
      </c>
      <c r="AFU22" s="25">
        <v>0</v>
      </c>
      <c r="AFX22" s="25"/>
      <c r="AFY22" s="25"/>
      <c r="AFZ22" s="25"/>
      <c r="AGA22" s="25"/>
      <c r="AGB22" s="25"/>
      <c r="AGC22" s="25"/>
      <c r="AGE22" s="25"/>
      <c r="AGF22" s="25"/>
      <c r="AGG22" s="25"/>
      <c r="AGH22" s="25"/>
      <c r="AJP22" s="25"/>
      <c r="AJQ22" s="25"/>
      <c r="AJR22" s="25"/>
      <c r="AJS22" s="25"/>
      <c r="AJT22" s="25"/>
      <c r="AJU22" s="25"/>
      <c r="AJV22" s="25"/>
      <c r="AKD22" s="25"/>
      <c r="AKE22" s="25"/>
      <c r="AKF22" s="25"/>
      <c r="AKG22" s="25"/>
      <c r="AKH22" s="25"/>
      <c r="AKI22" s="25"/>
      <c r="AKJ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H22" s="25"/>
      <c r="ANI22" s="25"/>
      <c r="ANJ22" s="25"/>
      <c r="ANK22" s="25"/>
      <c r="ANL22" s="25"/>
      <c r="ANM22" s="25"/>
      <c r="ANN22" s="25"/>
      <c r="ANO22" s="25"/>
      <c r="ANP22" s="25"/>
      <c r="ANQ22" s="25"/>
      <c r="ANR22" s="25"/>
      <c r="ANS22" s="25"/>
      <c r="ANT22" s="25"/>
      <c r="ANU22" s="25"/>
      <c r="AOC22" s="25"/>
      <c r="AOD22" s="25"/>
      <c r="AOE22" s="25"/>
      <c r="AOF22" s="25"/>
      <c r="AOG22" s="25"/>
      <c r="AOH22" s="25"/>
      <c r="AOI22" s="25"/>
      <c r="AOJ22" s="25"/>
      <c r="AOK22" s="25"/>
      <c r="AOL22" s="25"/>
      <c r="AOM22" s="25"/>
      <c r="AON22" s="25"/>
      <c r="AOO22" s="25"/>
      <c r="AOP22" s="25"/>
      <c r="AOX22" s="25"/>
      <c r="AOY22" s="25"/>
      <c r="AOZ22" s="25"/>
      <c r="APA22" s="25"/>
      <c r="APB22" s="25"/>
      <c r="APC22" s="25"/>
      <c r="APD22" s="25"/>
      <c r="APE22" s="25"/>
      <c r="APF22" s="25"/>
      <c r="APG22" s="25"/>
      <c r="APH22" s="25"/>
      <c r="API22" s="25"/>
      <c r="APJ22" s="25"/>
      <c r="APK22" s="25"/>
      <c r="APS22" s="25"/>
      <c r="APT22" s="25"/>
      <c r="APU22" s="25"/>
      <c r="APV22" s="25"/>
      <c r="APW22" s="25"/>
      <c r="APX22" s="25"/>
      <c r="APY22" s="25"/>
      <c r="APZ22" s="25"/>
      <c r="AQA22" s="25"/>
      <c r="AQB22" s="25"/>
      <c r="AQC22" s="25"/>
      <c r="AQD22" s="25"/>
      <c r="AQE22" s="25"/>
      <c r="AQF22" s="25"/>
      <c r="AQJ22" s="25">
        <v>2</v>
      </c>
      <c r="AQK22" s="25" t="s">
        <v>8448</v>
      </c>
      <c r="AQL22" s="25" t="s">
        <v>8839</v>
      </c>
      <c r="AQM22" s="56">
        <v>1500</v>
      </c>
      <c r="AQN22" s="56">
        <v>3000</v>
      </c>
      <c r="AQS22" s="25" t="s">
        <v>8260</v>
      </c>
      <c r="AQX22" s="25" t="s">
        <v>8248</v>
      </c>
      <c r="ARK22" s="25" t="s">
        <v>8249</v>
      </c>
      <c r="ATX22" s="25" t="s">
        <v>25</v>
      </c>
      <c r="ATY22" s="25" t="s">
        <v>28</v>
      </c>
      <c r="ATZ22" s="25" t="s">
        <v>25</v>
      </c>
      <c r="AUA22" s="25" t="s">
        <v>25</v>
      </c>
      <c r="AUC22" s="25" t="s">
        <v>13431</v>
      </c>
      <c r="AUE22" s="56">
        <v>20</v>
      </c>
      <c r="AUF22" s="56">
        <v>20</v>
      </c>
      <c r="AUH22" s="56">
        <v>50</v>
      </c>
      <c r="AUI22" s="56">
        <v>20</v>
      </c>
      <c r="AUJ22" s="56">
        <v>0</v>
      </c>
      <c r="AVG22" s="25" t="s">
        <v>8250</v>
      </c>
      <c r="AVH22" s="25" t="s">
        <v>8250</v>
      </c>
      <c r="AVJ22" s="25" t="s">
        <v>8250</v>
      </c>
      <c r="AVK22" s="25" t="s">
        <v>8250</v>
      </c>
      <c r="AVL22" s="25" t="s">
        <v>8261</v>
      </c>
      <c r="AVN22" s="25" t="s">
        <v>25</v>
      </c>
      <c r="AVO22" s="25" t="s">
        <v>25</v>
      </c>
      <c r="AVP22" s="25" t="s">
        <v>13593</v>
      </c>
      <c r="AVQ22" s="25" t="s">
        <v>25</v>
      </c>
      <c r="AVR22" s="25" t="s">
        <v>25</v>
      </c>
      <c r="AVS22" s="25" t="s">
        <v>25</v>
      </c>
      <c r="AVU22" s="25" t="s">
        <v>13810</v>
      </c>
      <c r="AVV22" s="25" t="s">
        <v>13810</v>
      </c>
      <c r="AVW22" s="25" t="s">
        <v>13810</v>
      </c>
      <c r="AVX22" s="25" t="s">
        <v>13810</v>
      </c>
      <c r="AVY22" s="25" t="s">
        <v>13810</v>
      </c>
      <c r="AVZ22" s="25" t="s">
        <v>13810</v>
      </c>
      <c r="AWA22" s="25" t="s">
        <v>13810</v>
      </c>
      <c r="AWB22" s="25" t="s">
        <v>13810</v>
      </c>
      <c r="AWC22" s="25" t="s">
        <v>631</v>
      </c>
      <c r="AWD22" s="25" t="s">
        <v>631</v>
      </c>
      <c r="AWE22" s="25" t="s">
        <v>8253</v>
      </c>
      <c r="AWF22" s="25" t="s">
        <v>8253</v>
      </c>
      <c r="AWG22" s="25" t="s">
        <v>8253</v>
      </c>
      <c r="AWH22" s="25" t="s">
        <v>8253</v>
      </c>
      <c r="AWI22" s="25" t="s">
        <v>8253</v>
      </c>
      <c r="AWJ22" s="25" t="s">
        <v>8253</v>
      </c>
      <c r="AWK22" s="25" t="s">
        <v>8253</v>
      </c>
      <c r="AWL22" s="25" t="s">
        <v>8253</v>
      </c>
      <c r="AWN22" s="56">
        <v>10</v>
      </c>
      <c r="AWP22" s="56">
        <v>20</v>
      </c>
      <c r="AWR22" s="56">
        <v>25</v>
      </c>
      <c r="AWT22" s="56">
        <v>50</v>
      </c>
      <c r="AWV22" s="56">
        <v>25</v>
      </c>
      <c r="AWX22" s="56">
        <v>50</v>
      </c>
      <c r="AXH22" s="56">
        <v>25</v>
      </c>
      <c r="BAV22" s="25" t="s">
        <v>8255</v>
      </c>
      <c r="BAW22" s="25" t="s">
        <v>8256</v>
      </c>
      <c r="BAX22" s="25" t="s">
        <v>8321</v>
      </c>
      <c r="BAY22" s="25">
        <v>0</v>
      </c>
      <c r="BBB22" s="25"/>
      <c r="BBC22" s="25"/>
      <c r="BBD22" s="25"/>
      <c r="BBE22" s="25"/>
      <c r="BBF22" s="25"/>
      <c r="BBG22" s="25"/>
      <c r="BBI22" s="25"/>
      <c r="BBJ22" s="25"/>
      <c r="BBK22" s="25"/>
      <c r="BBL22" s="25"/>
      <c r="BET22" s="25"/>
      <c r="BEU22" s="25"/>
      <c r="BEV22" s="25"/>
      <c r="BEW22" s="25"/>
      <c r="BEX22" s="25"/>
      <c r="BEY22" s="25"/>
      <c r="BEZ22" s="25"/>
      <c r="BFH22" s="25"/>
      <c r="BFI22" s="25"/>
      <c r="BFJ22" s="25"/>
      <c r="BFK22" s="25"/>
      <c r="BFL22" s="25"/>
      <c r="BFM22" s="25"/>
      <c r="BFN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L22" s="25"/>
      <c r="BIM22" s="25"/>
      <c r="BIN22" s="25"/>
      <c r="BIO22" s="25"/>
      <c r="BIP22" s="25"/>
      <c r="BIQ22" s="25"/>
      <c r="BIR22" s="25"/>
      <c r="BIS22" s="25"/>
      <c r="BIT22" s="25"/>
      <c r="BIU22" s="25"/>
      <c r="BIV22" s="25"/>
      <c r="BIW22" s="25"/>
      <c r="BIX22" s="25"/>
      <c r="BIY22" s="25"/>
      <c r="BJG22" s="25"/>
      <c r="BJH22" s="25"/>
      <c r="BJI22" s="25"/>
      <c r="BJJ22" s="25"/>
      <c r="BJK22" s="25"/>
      <c r="BJL22" s="25"/>
      <c r="BJM22" s="25"/>
      <c r="BJN22" s="25"/>
      <c r="BJO22" s="25"/>
      <c r="BJP22" s="25"/>
      <c r="BJQ22" s="25"/>
      <c r="BJR22" s="25"/>
      <c r="BJS22" s="25"/>
      <c r="BJT22" s="25"/>
      <c r="BKB22" s="25"/>
      <c r="BKC22" s="25"/>
      <c r="BKD22" s="25"/>
      <c r="BKE22" s="25"/>
      <c r="BKF22" s="25"/>
      <c r="BKG22" s="25"/>
      <c r="BKH22" s="25"/>
      <c r="BKI22" s="25"/>
      <c r="BKJ22" s="25"/>
      <c r="BKK22" s="25"/>
      <c r="BKL22" s="25"/>
      <c r="BKM22" s="25"/>
      <c r="BKN22" s="25"/>
      <c r="BKO22" s="25"/>
      <c r="BKW22" s="25"/>
      <c r="BKX22" s="25"/>
      <c r="BKY22" s="25"/>
      <c r="BKZ22" s="25"/>
      <c r="BLA22" s="25"/>
      <c r="BLB22" s="25"/>
      <c r="BLC22" s="25"/>
      <c r="BLD22" s="25"/>
      <c r="BLE22" s="25"/>
      <c r="BLF22" s="25"/>
      <c r="BLG22" s="25"/>
      <c r="BLH22" s="25"/>
      <c r="BLI22" s="25"/>
      <c r="BLJ22" s="25"/>
      <c r="BLN22" s="25">
        <v>0</v>
      </c>
      <c r="BLQ22" s="25"/>
      <c r="BLR22" s="25"/>
      <c r="BLS22" s="25"/>
      <c r="BLT22" s="25"/>
      <c r="BLU22" s="25"/>
      <c r="BLV22" s="25"/>
      <c r="BLX22" s="25"/>
      <c r="BLY22" s="25"/>
      <c r="BLZ22" s="25"/>
      <c r="BMA22" s="25"/>
      <c r="BPI22" s="25"/>
      <c r="BPJ22" s="25"/>
      <c r="BPK22" s="25"/>
      <c r="BPL22" s="25"/>
      <c r="BPM22" s="25"/>
      <c r="BPN22" s="25"/>
      <c r="BPO22" s="25"/>
      <c r="BPW22" s="25"/>
      <c r="BPX22" s="25"/>
      <c r="BPY22" s="25"/>
      <c r="BPZ22" s="25"/>
      <c r="BQA22" s="25"/>
      <c r="BQB22" s="25"/>
      <c r="BQC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TA22" s="25"/>
      <c r="BTB22" s="25"/>
      <c r="BTC22" s="25"/>
      <c r="BTD22" s="25"/>
      <c r="BTE22" s="25"/>
      <c r="BTF22" s="25"/>
      <c r="BTG22" s="25"/>
      <c r="BTH22" s="25"/>
      <c r="BTI22" s="25"/>
      <c r="BTJ22" s="25"/>
      <c r="BTK22" s="25"/>
      <c r="BTL22" s="25"/>
      <c r="BTM22" s="25"/>
      <c r="BTN22" s="25"/>
      <c r="BUQ22" s="25"/>
      <c r="BUR22" s="25"/>
      <c r="BUS22" s="25"/>
      <c r="BUT22" s="25"/>
      <c r="BUU22" s="25"/>
      <c r="BUV22" s="25"/>
      <c r="BUW22" s="25"/>
      <c r="BUX22" s="25"/>
      <c r="BUY22" s="25"/>
      <c r="BUZ22" s="25"/>
      <c r="BVA22" s="25"/>
      <c r="BVB22" s="25"/>
      <c r="BVC22" s="25"/>
      <c r="BVD22" s="25"/>
      <c r="BWC22" s="25" t="s">
        <v>28</v>
      </c>
      <c r="BWD22" s="25" t="s">
        <v>8265</v>
      </c>
      <c r="BWE22" s="25" t="s">
        <v>8266</v>
      </c>
      <c r="BWF22" s="25" t="s">
        <v>13709</v>
      </c>
      <c r="BWG22" s="25" t="s">
        <v>28</v>
      </c>
      <c r="BWH22" s="25" t="s">
        <v>2169</v>
      </c>
      <c r="BWI22" s="25" t="s">
        <v>28</v>
      </c>
      <c r="BWJ22" s="25" t="s">
        <v>8481</v>
      </c>
      <c r="BWK22" s="25" t="s">
        <v>28</v>
      </c>
      <c r="BWL22" s="56">
        <v>2500</v>
      </c>
      <c r="BWM22" s="25" t="s">
        <v>25</v>
      </c>
      <c r="BWO22" s="25" t="s">
        <v>25</v>
      </c>
      <c r="BWQ22" s="25" t="s">
        <v>28</v>
      </c>
      <c r="BWR22" s="25" t="s">
        <v>25</v>
      </c>
      <c r="BWT22" s="25" t="s">
        <v>25</v>
      </c>
      <c r="BWV22" s="25" t="s">
        <v>25</v>
      </c>
      <c r="BWX22" s="25" t="s">
        <v>28</v>
      </c>
      <c r="BWY22" s="25" t="s">
        <v>8358</v>
      </c>
      <c r="BWZ22" s="25" t="s">
        <v>28</v>
      </c>
      <c r="BXA22" s="56">
        <v>20</v>
      </c>
      <c r="BXB22" s="25" t="s">
        <v>28</v>
      </c>
      <c r="BXC22" s="56">
        <v>20</v>
      </c>
      <c r="BXD22" s="25" t="s">
        <v>28</v>
      </c>
      <c r="BXE22" s="25" t="s">
        <v>8358</v>
      </c>
      <c r="BXF22" s="25" t="s">
        <v>28</v>
      </c>
      <c r="BXG22" s="56">
        <v>30</v>
      </c>
      <c r="BXH22" s="25" t="s">
        <v>28</v>
      </c>
      <c r="BXI22" s="56">
        <v>30</v>
      </c>
      <c r="BXJ22" s="25" t="s">
        <v>28</v>
      </c>
      <c r="BXK22" s="25" t="s">
        <v>8840</v>
      </c>
      <c r="BXL22" s="25" t="s">
        <v>8271</v>
      </c>
      <c r="BXM22" s="25" t="s">
        <v>2201</v>
      </c>
      <c r="BXN22" s="25" t="s">
        <v>8332</v>
      </c>
      <c r="BXO22" s="25" t="s">
        <v>8274</v>
      </c>
      <c r="BXP22" s="25" t="s">
        <v>8274</v>
      </c>
      <c r="BXS22" s="25" t="s">
        <v>8361</v>
      </c>
      <c r="BXT22" s="25" t="s">
        <v>8275</v>
      </c>
      <c r="BXU22" s="25" t="s">
        <v>25</v>
      </c>
      <c r="BXW22" s="25" t="s">
        <v>25</v>
      </c>
      <c r="BXX22" s="25" t="s">
        <v>28</v>
      </c>
      <c r="BXY22" s="25" t="s">
        <v>25</v>
      </c>
      <c r="BXZ22" s="25" t="s">
        <v>25</v>
      </c>
      <c r="BYA22" s="25" t="s">
        <v>25</v>
      </c>
      <c r="BYB22" s="25" t="s">
        <v>25</v>
      </c>
      <c r="BYC22" s="25" t="s">
        <v>8276</v>
      </c>
      <c r="BYD22" s="25" t="s">
        <v>28</v>
      </c>
      <c r="BYE22" s="25" t="s">
        <v>13620</v>
      </c>
      <c r="BYF22" s="25" t="s">
        <v>8277</v>
      </c>
      <c r="BYH22" s="25" t="s">
        <v>8482</v>
      </c>
      <c r="BYK22" s="25" t="s">
        <v>8333</v>
      </c>
      <c r="BYL22" s="25" t="s">
        <v>28</v>
      </c>
      <c r="BYM22" s="25">
        <v>60</v>
      </c>
      <c r="BYN22" s="25" t="s">
        <v>25</v>
      </c>
      <c r="BYP22" s="25" t="s">
        <v>25</v>
      </c>
      <c r="BYR22" s="25" t="s">
        <v>28</v>
      </c>
      <c r="BYS22" s="25" t="s">
        <v>8279</v>
      </c>
      <c r="BYT22" s="25" t="s">
        <v>8279</v>
      </c>
      <c r="BYU22" s="25" t="s">
        <v>732</v>
      </c>
      <c r="BYV22" s="25" t="s">
        <v>28</v>
      </c>
      <c r="BYW22" s="25" t="s">
        <v>28</v>
      </c>
      <c r="BYX22" s="56">
        <v>750</v>
      </c>
      <c r="BYY22" s="56">
        <v>1500</v>
      </c>
      <c r="BYZ22" s="25" t="s">
        <v>8408</v>
      </c>
      <c r="BZA22" s="25" t="s">
        <v>13829</v>
      </c>
      <c r="BZB22" s="25" t="s">
        <v>2269</v>
      </c>
      <c r="BZD22" s="25" t="s">
        <v>28</v>
      </c>
      <c r="BZE22" s="25" t="s">
        <v>28</v>
      </c>
      <c r="BZF22" s="25" t="s">
        <v>28</v>
      </c>
      <c r="BZG22" s="25" t="s">
        <v>25</v>
      </c>
      <c r="BZJ22" s="25" t="s">
        <v>25</v>
      </c>
      <c r="BZM22" s="25" t="s">
        <v>28</v>
      </c>
      <c r="BZN22" s="25" t="s">
        <v>8283</v>
      </c>
      <c r="BZP22" s="25" t="s">
        <v>8366</v>
      </c>
      <c r="BZQ22" s="56">
        <v>1000</v>
      </c>
      <c r="BZR22" s="25" t="s">
        <v>607</v>
      </c>
      <c r="BZS22" s="25" t="s">
        <v>25</v>
      </c>
      <c r="BZT22" s="25" t="s">
        <v>8337</v>
      </c>
      <c r="BZV22" s="25" t="s">
        <v>8841</v>
      </c>
      <c r="BZW22" s="25" t="s">
        <v>8842</v>
      </c>
      <c r="BZX22" s="25" t="s">
        <v>8393</v>
      </c>
      <c r="BZZ22" s="25" t="s">
        <v>25</v>
      </c>
      <c r="CAC22" s="25" t="s">
        <v>25</v>
      </c>
      <c r="CAE22" s="25" t="s">
        <v>25</v>
      </c>
      <c r="CAG22" s="25" t="s">
        <v>25</v>
      </c>
      <c r="CAH22" s="25" t="s">
        <v>631</v>
      </c>
      <c r="CAI22" s="25" t="s">
        <v>631</v>
      </c>
      <c r="CAJ22" s="25" t="s">
        <v>631</v>
      </c>
      <c r="CAK22" s="25" t="s">
        <v>631</v>
      </c>
      <c r="CAL22" s="25" t="s">
        <v>631</v>
      </c>
      <c r="CAM22" s="25" t="s">
        <v>8290</v>
      </c>
      <c r="CAN22" s="25" t="s">
        <v>631</v>
      </c>
      <c r="CAO22" s="25" t="s">
        <v>631</v>
      </c>
      <c r="CAP22" s="25" t="s">
        <v>8290</v>
      </c>
      <c r="CAQ22" s="25" t="s">
        <v>631</v>
      </c>
      <c r="CAR22" s="25" t="s">
        <v>8663</v>
      </c>
      <c r="CAT22" s="25" t="s">
        <v>25</v>
      </c>
      <c r="CBB22" s="25">
        <v>1</v>
      </c>
      <c r="CBC22" s="25">
        <v>0</v>
      </c>
      <c r="CBD22" s="25">
        <v>0</v>
      </c>
      <c r="CBE22" s="56">
        <v>50</v>
      </c>
      <c r="CBF22" s="56">
        <v>150</v>
      </c>
      <c r="CBG22" s="56">
        <v>50</v>
      </c>
      <c r="CBH22" s="56">
        <v>150</v>
      </c>
      <c r="CBI22" s="56">
        <v>2250</v>
      </c>
      <c r="CBK22" s="56">
        <v>2500</v>
      </c>
      <c r="CBM22" s="26">
        <v>0</v>
      </c>
      <c r="CBN22" s="26">
        <v>0</v>
      </c>
      <c r="CBO22" s="26">
        <v>0.1</v>
      </c>
      <c r="CBP22" s="26">
        <v>0.2</v>
      </c>
      <c r="CBQ22" s="26">
        <v>0.4</v>
      </c>
      <c r="CBR22" s="26">
        <v>0.5</v>
      </c>
      <c r="CBS22" s="26">
        <v>0.5</v>
      </c>
      <c r="CBT22" s="26">
        <v>0.5</v>
      </c>
      <c r="CBU22" s="27" t="s">
        <v>28</v>
      </c>
      <c r="CBV22" s="27" t="s">
        <v>8537</v>
      </c>
      <c r="CBW22" s="27" t="s">
        <v>8294</v>
      </c>
      <c r="CBX22" s="27" t="s">
        <v>8418</v>
      </c>
      <c r="CBY22" s="27" t="s">
        <v>8296</v>
      </c>
      <c r="CBZ22" s="27" t="s">
        <v>8296</v>
      </c>
      <c r="CCA22" s="27" t="s">
        <v>29</v>
      </c>
      <c r="CCB22" s="27" t="s">
        <v>8298</v>
      </c>
      <c r="CCC22" s="27" t="s">
        <v>8296</v>
      </c>
      <c r="CCD22" s="27" t="s">
        <v>8297</v>
      </c>
      <c r="CCE22" s="27" t="s">
        <v>29</v>
      </c>
      <c r="CCF22" s="27" t="s">
        <v>29</v>
      </c>
      <c r="CCG22" s="27" t="s">
        <v>29</v>
      </c>
      <c r="CCH22" s="27" t="s">
        <v>8298</v>
      </c>
      <c r="CCI22" s="27" t="s">
        <v>8298</v>
      </c>
      <c r="CCJ22" s="27" t="s">
        <v>8298</v>
      </c>
      <c r="CCK22" s="27" t="s">
        <v>29</v>
      </c>
      <c r="CCL22" s="27" t="s">
        <v>8297</v>
      </c>
      <c r="CCM22" s="27" t="s">
        <v>8298</v>
      </c>
      <c r="CCN22" s="27" t="s">
        <v>29</v>
      </c>
      <c r="CCO22" s="27" t="s">
        <v>8300</v>
      </c>
      <c r="CCP22" s="27" t="s">
        <v>8298</v>
      </c>
      <c r="CCQ22" s="27" t="s">
        <v>8296</v>
      </c>
      <c r="CCR22" s="27" t="s">
        <v>8296</v>
      </c>
      <c r="CCS22" s="27" t="s">
        <v>8298</v>
      </c>
      <c r="CCT22" s="27" t="s">
        <v>8296</v>
      </c>
      <c r="CCU22" s="27" t="s">
        <v>8296</v>
      </c>
      <c r="CCV22" s="27" t="s">
        <v>8296</v>
      </c>
      <c r="CCW22" s="27" t="s">
        <v>8296</v>
      </c>
      <c r="CCX22" s="27" t="s">
        <v>8296</v>
      </c>
      <c r="CCY22" s="27" t="s">
        <v>8296</v>
      </c>
      <c r="CCZ22" s="27" t="s">
        <v>28</v>
      </c>
      <c r="CDA22" s="27" t="s">
        <v>28</v>
      </c>
      <c r="CDB22" s="27" t="s">
        <v>28</v>
      </c>
      <c r="CDC22" s="27" t="s">
        <v>28</v>
      </c>
      <c r="CDD22" s="27" t="s">
        <v>28</v>
      </c>
      <c r="CDE22" s="27" t="s">
        <v>28</v>
      </c>
      <c r="CDF22" s="27" t="s">
        <v>28</v>
      </c>
      <c r="CDG22" s="27" t="s">
        <v>28</v>
      </c>
      <c r="CDH22" s="27" t="s">
        <v>28</v>
      </c>
      <c r="CDI22" s="27" t="s">
        <v>28</v>
      </c>
      <c r="CDJ22" s="27" t="s">
        <v>28</v>
      </c>
      <c r="CDK22" s="27" t="s">
        <v>28</v>
      </c>
      <c r="CDL22" s="27" t="s">
        <v>28</v>
      </c>
      <c r="CDM22" s="27" t="s">
        <v>28</v>
      </c>
      <c r="CDN22" s="27" t="s">
        <v>28</v>
      </c>
      <c r="CDO22" s="27" t="s">
        <v>28</v>
      </c>
      <c r="CDP22" s="27" t="s">
        <v>25</v>
      </c>
      <c r="CDQ22" s="27" t="s">
        <v>28</v>
      </c>
      <c r="CDR22" s="27" t="s">
        <v>28</v>
      </c>
      <c r="CDS22" s="27" t="s">
        <v>28</v>
      </c>
      <c r="CDT22" s="27" t="s">
        <v>28</v>
      </c>
      <c r="CDU22" s="27" t="s">
        <v>28</v>
      </c>
      <c r="CDV22" s="27" t="s">
        <v>28</v>
      </c>
      <c r="CDW22" s="27" t="s">
        <v>28</v>
      </c>
      <c r="CDX22" s="27" t="s">
        <v>28</v>
      </c>
      <c r="CDY22" s="27" t="s">
        <v>28</v>
      </c>
      <c r="CDZ22" s="27" t="s">
        <v>28</v>
      </c>
      <c r="CEA22" s="27" t="s">
        <v>2673</v>
      </c>
      <c r="CEB22" s="27" t="s">
        <v>29</v>
      </c>
      <c r="CEC22" s="27" t="s">
        <v>8303</v>
      </c>
      <c r="CED22" s="27" t="s">
        <v>8421</v>
      </c>
      <c r="CEE22" s="27" t="s">
        <v>2673</v>
      </c>
      <c r="CEF22" s="27" t="s">
        <v>8303</v>
      </c>
      <c r="CEG22" s="27" t="s">
        <v>8420</v>
      </c>
      <c r="CEH22" s="27" t="s">
        <v>8303</v>
      </c>
      <c r="CEI22" s="27" t="s">
        <v>8420</v>
      </c>
      <c r="CEJ22" s="27" t="s">
        <v>8302</v>
      </c>
      <c r="CEK22" s="27" t="s">
        <v>8302</v>
      </c>
      <c r="CEL22" s="27" t="s">
        <v>8421</v>
      </c>
      <c r="CEM22" s="27" t="s">
        <v>8304</v>
      </c>
      <c r="CEN22" s="27" t="s">
        <v>8303</v>
      </c>
      <c r="CEO22" s="27" t="s">
        <v>8301</v>
      </c>
      <c r="CEP22" s="27" t="s">
        <v>8304</v>
      </c>
      <c r="CEQ22" s="27" t="s">
        <v>8304</v>
      </c>
      <c r="CER22" s="27" t="s">
        <v>2673</v>
      </c>
      <c r="CES22" s="27" t="s">
        <v>8306</v>
      </c>
      <c r="CET22" s="27" t="s">
        <v>8304</v>
      </c>
      <c r="CEU22" s="27" t="s">
        <v>8304</v>
      </c>
      <c r="CEV22" s="27" t="s">
        <v>2673</v>
      </c>
      <c r="CEW22" s="27" t="s">
        <v>8306</v>
      </c>
      <c r="CEX22" s="27" t="s">
        <v>8302</v>
      </c>
      <c r="CEY22" s="27" t="s">
        <v>8302</v>
      </c>
      <c r="CEZ22" s="27" t="s">
        <v>8301</v>
      </c>
      <c r="CFA22" s="27" t="s">
        <v>8302</v>
      </c>
      <c r="CFB22" s="27" t="s">
        <v>25</v>
      </c>
      <c r="CFC22" s="27" t="s">
        <v>25</v>
      </c>
      <c r="CFD22" s="27" t="s">
        <v>28</v>
      </c>
      <c r="CFE22" s="27" t="s">
        <v>25</v>
      </c>
      <c r="CFF22" s="27" t="s">
        <v>25</v>
      </c>
      <c r="CFG22" s="27" t="s">
        <v>28</v>
      </c>
      <c r="CFH22" s="27" t="s">
        <v>25</v>
      </c>
      <c r="CFI22" s="27" t="s">
        <v>28</v>
      </c>
      <c r="CFJ22" s="27" t="s">
        <v>28</v>
      </c>
      <c r="CFK22" s="27" t="s">
        <v>25</v>
      </c>
      <c r="CFL22" s="27" t="s">
        <v>25</v>
      </c>
      <c r="CFM22" s="27" t="s">
        <v>28</v>
      </c>
      <c r="CFN22" s="27" t="s">
        <v>28</v>
      </c>
      <c r="CFO22" s="27" t="s">
        <v>28</v>
      </c>
      <c r="CFP22" s="27" t="s">
        <v>25</v>
      </c>
      <c r="CFQ22" s="27" t="s">
        <v>28</v>
      </c>
      <c r="CFR22" s="27" t="s">
        <v>25</v>
      </c>
      <c r="CFS22" s="27" t="s">
        <v>25</v>
      </c>
      <c r="CFT22" s="27" t="s">
        <v>25</v>
      </c>
      <c r="CFU22" s="27" t="s">
        <v>25</v>
      </c>
      <c r="CFV22" s="27" t="s">
        <v>28</v>
      </c>
      <c r="CFW22" s="27" t="s">
        <v>25</v>
      </c>
      <c r="CFX22" s="27" t="s">
        <v>28</v>
      </c>
      <c r="CFY22" s="27" t="s">
        <v>28</v>
      </c>
      <c r="CFZ22" s="27" t="s">
        <v>28</v>
      </c>
      <c r="CGA22" s="27" t="s">
        <v>25</v>
      </c>
      <c r="CGB22" s="27" t="s">
        <v>28</v>
      </c>
      <c r="CPW22" s="27">
        <v>1</v>
      </c>
      <c r="CPX22" s="56">
        <v>10</v>
      </c>
      <c r="CPZ22" s="56">
        <v>25</v>
      </c>
      <c r="CQB22" s="25" t="s">
        <v>8307</v>
      </c>
      <c r="CQC22" s="25" t="s">
        <v>8307</v>
      </c>
      <c r="CQD22" s="25" t="s">
        <v>8307</v>
      </c>
      <c r="CQE22" s="25" t="s">
        <v>8307</v>
      </c>
      <c r="CQF22" s="25" t="s">
        <v>8307</v>
      </c>
      <c r="CQI22" s="56">
        <v>200</v>
      </c>
      <c r="CQJ22" s="56">
        <v>200</v>
      </c>
      <c r="CQK22" s="56">
        <v>200</v>
      </c>
      <c r="CQL22" s="25" t="s">
        <v>13691</v>
      </c>
      <c r="CQM22" s="25" t="s">
        <v>8345</v>
      </c>
      <c r="CQN22" s="25" t="s">
        <v>28</v>
      </c>
      <c r="CQO22" s="25" t="s">
        <v>8309</v>
      </c>
      <c r="CQS22" s="25" t="s">
        <v>25</v>
      </c>
      <c r="CQT22" s="25" t="s">
        <v>8313</v>
      </c>
      <c r="CQU22" s="25" t="s">
        <v>8313</v>
      </c>
      <c r="CQV22" s="25" t="s">
        <v>8313</v>
      </c>
      <c r="CQW22" s="25" t="s">
        <v>8313</v>
      </c>
      <c r="CQX22" s="25" t="s">
        <v>8313</v>
      </c>
      <c r="CQY22" s="25" t="s">
        <v>8313</v>
      </c>
      <c r="CQZ22" s="25" t="s">
        <v>8313</v>
      </c>
      <c r="CRA22" s="25" t="s">
        <v>8314</v>
      </c>
      <c r="CRB22" s="25" t="s">
        <v>8313</v>
      </c>
      <c r="CRC22" s="25" t="s">
        <v>8314</v>
      </c>
      <c r="CRD22" s="25" t="s">
        <v>8313</v>
      </c>
      <c r="CRE22" s="27" t="s">
        <v>8314</v>
      </c>
    </row>
    <row r="23" spans="1:2501" ht="89.25" x14ac:dyDescent="0.2">
      <c r="A23" s="21" t="s">
        <v>166</v>
      </c>
      <c r="B23" s="26">
        <v>0.41</v>
      </c>
      <c r="C23" s="26">
        <v>0</v>
      </c>
      <c r="D23" s="26">
        <v>0.17</v>
      </c>
      <c r="E23" s="26">
        <v>0.42</v>
      </c>
      <c r="F23" s="26">
        <v>0</v>
      </c>
      <c r="G23" s="26">
        <v>0</v>
      </c>
      <c r="H23" s="26">
        <v>0</v>
      </c>
      <c r="I23" s="26">
        <v>0</v>
      </c>
      <c r="J23" s="26">
        <v>0</v>
      </c>
      <c r="K23" s="26">
        <v>0</v>
      </c>
      <c r="L23" s="26">
        <v>0</v>
      </c>
      <c r="M23" s="26">
        <v>0</v>
      </c>
      <c r="N23" s="26">
        <v>0</v>
      </c>
      <c r="O23" s="26">
        <v>0</v>
      </c>
      <c r="P23" s="26">
        <v>0</v>
      </c>
      <c r="Q23" s="26">
        <v>0</v>
      </c>
      <c r="R23" s="26">
        <v>0</v>
      </c>
      <c r="S23" s="26">
        <v>0</v>
      </c>
      <c r="T23" s="26">
        <v>0</v>
      </c>
      <c r="U23" s="26">
        <v>0</v>
      </c>
      <c r="V23" s="26">
        <v>0</v>
      </c>
      <c r="W23" s="26">
        <v>0</v>
      </c>
      <c r="X23" s="26">
        <v>0</v>
      </c>
      <c r="Y23" s="26">
        <v>1</v>
      </c>
      <c r="Z23" s="25">
        <v>1</v>
      </c>
      <c r="AA23" s="25" t="s">
        <v>8880</v>
      </c>
      <c r="AC23" s="56">
        <v>3000</v>
      </c>
      <c r="AD23" s="56">
        <v>6000</v>
      </c>
      <c r="AE23" s="56">
        <v>4500</v>
      </c>
      <c r="AF23" s="56">
        <v>9000</v>
      </c>
      <c r="AG23" s="56">
        <v>0</v>
      </c>
      <c r="AH23" s="56">
        <v>0</v>
      </c>
      <c r="AI23" s="25" t="s">
        <v>8260</v>
      </c>
      <c r="AJ23" s="56">
        <v>500</v>
      </c>
      <c r="AK23" s="56">
        <v>1500</v>
      </c>
      <c r="AL23" s="56">
        <v>500</v>
      </c>
      <c r="AM23" s="56">
        <v>1500</v>
      </c>
      <c r="AN23" s="25" t="s">
        <v>8350</v>
      </c>
      <c r="AO23" s="25" t="s">
        <v>8248</v>
      </c>
      <c r="BB23" s="25" t="s">
        <v>8249</v>
      </c>
      <c r="DO23" s="25" t="s">
        <v>25</v>
      </c>
      <c r="DP23" s="25" t="s">
        <v>28</v>
      </c>
      <c r="DQ23" s="25" t="s">
        <v>25</v>
      </c>
      <c r="DR23" s="25" t="s">
        <v>25</v>
      </c>
      <c r="DT23" s="25" t="s">
        <v>13417</v>
      </c>
      <c r="DU23" s="25" t="s">
        <v>13420</v>
      </c>
      <c r="DV23" s="56">
        <v>25</v>
      </c>
      <c r="DW23" s="56">
        <v>25</v>
      </c>
      <c r="DX23" s="56">
        <v>25</v>
      </c>
      <c r="DY23" s="56">
        <v>100</v>
      </c>
      <c r="DZ23" s="56">
        <v>50</v>
      </c>
      <c r="EA23" s="56">
        <v>49</v>
      </c>
      <c r="EC23" s="26">
        <v>0</v>
      </c>
      <c r="ED23" s="26">
        <v>0</v>
      </c>
      <c r="EE23" s="26">
        <v>0.1</v>
      </c>
      <c r="EF23" s="26">
        <v>0</v>
      </c>
      <c r="EG23" s="26">
        <v>0</v>
      </c>
      <c r="EH23" s="26">
        <v>0</v>
      </c>
      <c r="EJ23" s="56">
        <v>0</v>
      </c>
      <c r="EK23" s="56">
        <v>0</v>
      </c>
      <c r="EL23" s="56">
        <v>0</v>
      </c>
      <c r="EM23" s="56">
        <v>100</v>
      </c>
      <c r="EN23" s="56">
        <v>50</v>
      </c>
      <c r="EQ23" s="26">
        <v>0.4</v>
      </c>
      <c r="ER23" s="26">
        <v>0.4</v>
      </c>
      <c r="ES23" s="26">
        <v>0.4</v>
      </c>
      <c r="ET23" s="26">
        <v>0</v>
      </c>
      <c r="EU23" s="26">
        <v>0</v>
      </c>
      <c r="EX23" s="25" t="s">
        <v>8250</v>
      </c>
      <c r="EY23" s="25" t="s">
        <v>8250</v>
      </c>
      <c r="EZ23" s="25" t="s">
        <v>8250</v>
      </c>
      <c r="FA23" s="25" t="s">
        <v>8261</v>
      </c>
      <c r="FB23" s="25" t="s">
        <v>8250</v>
      </c>
      <c r="FC23" s="25" t="s">
        <v>8250</v>
      </c>
      <c r="FE23" s="25" t="s">
        <v>25</v>
      </c>
      <c r="FF23" s="25" t="s">
        <v>25</v>
      </c>
      <c r="FG23" s="25" t="s">
        <v>25</v>
      </c>
      <c r="FH23" s="25" t="s">
        <v>25</v>
      </c>
      <c r="FI23" s="25" t="s">
        <v>25</v>
      </c>
      <c r="FJ23" s="25" t="s">
        <v>25</v>
      </c>
      <c r="FL23" s="25" t="s">
        <v>13810</v>
      </c>
      <c r="FM23" s="25" t="s">
        <v>13810</v>
      </c>
      <c r="FN23" s="25" t="s">
        <v>13810</v>
      </c>
      <c r="FP23" s="25" t="s">
        <v>8251</v>
      </c>
      <c r="FQ23" s="25" t="s">
        <v>8252</v>
      </c>
      <c r="FR23" s="25" t="s">
        <v>8252</v>
      </c>
      <c r="FS23" s="25" t="s">
        <v>8252</v>
      </c>
      <c r="FT23" s="25" t="s">
        <v>631</v>
      </c>
      <c r="FV23" s="25" t="s">
        <v>8253</v>
      </c>
      <c r="FW23" s="25" t="s">
        <v>8253</v>
      </c>
      <c r="FX23" s="25" t="s">
        <v>8253</v>
      </c>
      <c r="FZ23" s="25" t="s">
        <v>8320</v>
      </c>
      <c r="GA23" s="25" t="s">
        <v>8386</v>
      </c>
      <c r="GB23" s="25" t="s">
        <v>8253</v>
      </c>
      <c r="GC23" s="25" t="s">
        <v>8253</v>
      </c>
      <c r="GE23" s="56">
        <v>10</v>
      </c>
      <c r="GG23" s="56">
        <v>20</v>
      </c>
      <c r="GI23" s="56">
        <v>25</v>
      </c>
      <c r="GK23" s="56">
        <v>50</v>
      </c>
      <c r="GM23" s="56">
        <v>40</v>
      </c>
      <c r="GO23" s="56">
        <v>80</v>
      </c>
      <c r="IB23" s="26">
        <v>0.25</v>
      </c>
      <c r="IC23" s="26">
        <v>0.25</v>
      </c>
      <c r="ID23" s="26">
        <v>0.25</v>
      </c>
      <c r="JR23" s="26">
        <v>0</v>
      </c>
      <c r="JS23" s="26">
        <v>0</v>
      </c>
      <c r="JT23" s="26">
        <v>0</v>
      </c>
      <c r="KM23" s="25" t="s">
        <v>8255</v>
      </c>
      <c r="KN23" s="25" t="s">
        <v>8298</v>
      </c>
      <c r="KO23" s="25" t="s">
        <v>8321</v>
      </c>
      <c r="KP23" s="25">
        <v>1</v>
      </c>
      <c r="KQ23" s="25" t="s">
        <v>8881</v>
      </c>
      <c r="KS23" s="56">
        <v>3000</v>
      </c>
      <c r="KT23" s="56">
        <v>6000</v>
      </c>
      <c r="KU23" s="56">
        <v>4500</v>
      </c>
      <c r="KV23" s="56">
        <v>9000</v>
      </c>
      <c r="KW23" s="56">
        <v>0</v>
      </c>
      <c r="KX23" s="56">
        <v>0</v>
      </c>
      <c r="KY23" s="25" t="s">
        <v>8349</v>
      </c>
      <c r="KZ23" s="56">
        <v>1500</v>
      </c>
      <c r="LA23" s="56">
        <v>3000</v>
      </c>
      <c r="LB23" s="56">
        <v>1500</v>
      </c>
      <c r="LC23" s="56">
        <v>3000</v>
      </c>
      <c r="LD23" s="25" t="s">
        <v>8247</v>
      </c>
      <c r="LE23" s="25" t="s">
        <v>8248</v>
      </c>
      <c r="LR23" s="25" t="s">
        <v>8249</v>
      </c>
      <c r="OE23" s="25" t="s">
        <v>25</v>
      </c>
      <c r="OF23" s="25" t="s">
        <v>28</v>
      </c>
      <c r="OG23" s="25" t="s">
        <v>25</v>
      </c>
      <c r="OH23" s="25" t="s">
        <v>25</v>
      </c>
      <c r="OJ23" s="25" t="s">
        <v>13433</v>
      </c>
      <c r="OK23" s="25" t="s">
        <v>13420</v>
      </c>
      <c r="OS23" s="26">
        <v>0.1</v>
      </c>
      <c r="OT23" s="26">
        <v>0.1</v>
      </c>
      <c r="OU23" s="26">
        <v>0.1</v>
      </c>
      <c r="OX23" s="26">
        <v>0.49</v>
      </c>
      <c r="PG23" s="26">
        <v>0.4</v>
      </c>
      <c r="PH23" s="26">
        <v>0.4</v>
      </c>
      <c r="PI23" s="26">
        <v>0.4</v>
      </c>
      <c r="PJ23" s="26">
        <v>0.1</v>
      </c>
      <c r="PK23" s="26">
        <v>0.1</v>
      </c>
      <c r="PN23" s="25" t="s">
        <v>8250</v>
      </c>
      <c r="PO23" s="25" t="s">
        <v>8250</v>
      </c>
      <c r="PP23" s="25" t="s">
        <v>8250</v>
      </c>
      <c r="PQ23" s="25" t="s">
        <v>8527</v>
      </c>
      <c r="PR23" s="25" t="s">
        <v>8250</v>
      </c>
      <c r="PS23" s="25" t="s">
        <v>8250</v>
      </c>
      <c r="PU23" s="25" t="s">
        <v>25</v>
      </c>
      <c r="PV23" s="25" t="s">
        <v>25</v>
      </c>
      <c r="PW23" s="25" t="s">
        <v>25</v>
      </c>
      <c r="PX23" s="25" t="s">
        <v>25</v>
      </c>
      <c r="PY23" s="25" t="s">
        <v>25</v>
      </c>
      <c r="PZ23" s="25" t="s">
        <v>25</v>
      </c>
      <c r="QB23" s="25" t="s">
        <v>13810</v>
      </c>
      <c r="QC23" s="25" t="s">
        <v>13810</v>
      </c>
      <c r="QD23" s="25" t="s">
        <v>13810</v>
      </c>
      <c r="QE23" s="25" t="s">
        <v>8252</v>
      </c>
      <c r="QF23" s="25" t="s">
        <v>631</v>
      </c>
      <c r="QG23" s="25" t="s">
        <v>13810</v>
      </c>
      <c r="QH23" s="25" t="s">
        <v>13810</v>
      </c>
      <c r="QI23" s="25" t="s">
        <v>13810</v>
      </c>
      <c r="QJ23" s="25" t="s">
        <v>631</v>
      </c>
      <c r="QL23" s="25" t="s">
        <v>8882</v>
      </c>
      <c r="QM23" s="25" t="s">
        <v>8882</v>
      </c>
      <c r="QN23" s="25" t="s">
        <v>8882</v>
      </c>
      <c r="QO23" s="25" t="s">
        <v>8262</v>
      </c>
      <c r="QQ23" s="25" t="s">
        <v>8262</v>
      </c>
      <c r="QR23" s="25" t="s">
        <v>13453</v>
      </c>
      <c r="QS23" s="25" t="s">
        <v>8253</v>
      </c>
      <c r="QU23" s="56">
        <v>10</v>
      </c>
      <c r="QW23" s="56">
        <v>20</v>
      </c>
      <c r="QY23" s="56">
        <v>25</v>
      </c>
      <c r="RA23" s="56">
        <v>50</v>
      </c>
      <c r="RC23" s="56">
        <v>40</v>
      </c>
      <c r="RE23" s="56">
        <v>80</v>
      </c>
      <c r="VC23" s="25" t="s">
        <v>8255</v>
      </c>
      <c r="VD23" s="25" t="s">
        <v>8256</v>
      </c>
      <c r="VE23" s="25" t="s">
        <v>8321</v>
      </c>
      <c r="VF23" s="25">
        <v>0</v>
      </c>
      <c r="VI23" s="25"/>
      <c r="VJ23" s="25"/>
      <c r="VK23" s="25"/>
      <c r="VL23" s="25"/>
      <c r="VM23" s="25"/>
      <c r="VN23" s="25"/>
      <c r="VP23" s="25"/>
      <c r="VQ23" s="25"/>
      <c r="VR23" s="25"/>
      <c r="VS23" s="25"/>
      <c r="ZA23" s="25"/>
      <c r="ZB23" s="25"/>
      <c r="ZC23" s="25"/>
      <c r="ZD23" s="25"/>
      <c r="ZE23" s="25"/>
      <c r="ZF23" s="25"/>
      <c r="ZG23" s="25"/>
      <c r="ZO23" s="25"/>
      <c r="ZP23" s="25"/>
      <c r="ZQ23" s="25"/>
      <c r="ZR23" s="25"/>
      <c r="ZS23" s="25"/>
      <c r="ZT23" s="25"/>
      <c r="ZU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S23" s="25"/>
      <c r="ACT23" s="25"/>
      <c r="ACU23" s="25"/>
      <c r="ACV23" s="25"/>
      <c r="ACW23" s="25"/>
      <c r="ACX23" s="25"/>
      <c r="ACY23" s="25"/>
      <c r="ACZ23" s="25"/>
      <c r="ADA23" s="25"/>
      <c r="ADB23" s="25"/>
      <c r="ADC23" s="25"/>
      <c r="ADD23" s="25"/>
      <c r="ADE23" s="25"/>
      <c r="ADF23" s="25"/>
      <c r="ADN23" s="25"/>
      <c r="ADO23" s="25"/>
      <c r="ADP23" s="25"/>
      <c r="ADQ23" s="25"/>
      <c r="ADR23" s="25"/>
      <c r="ADS23" s="25"/>
      <c r="ADT23" s="25"/>
      <c r="ADU23" s="25"/>
      <c r="ADV23" s="25"/>
      <c r="ADW23" s="25"/>
      <c r="ADX23" s="25"/>
      <c r="ADY23" s="25"/>
      <c r="ADZ23" s="25"/>
      <c r="AEA23" s="25"/>
      <c r="AEI23" s="25"/>
      <c r="AEJ23" s="25"/>
      <c r="AEK23" s="25"/>
      <c r="AEL23" s="25"/>
      <c r="AEM23" s="25"/>
      <c r="AEN23" s="25"/>
      <c r="AEO23" s="25"/>
      <c r="AEP23" s="25"/>
      <c r="AEQ23" s="25"/>
      <c r="AER23" s="25"/>
      <c r="AES23" s="25"/>
      <c r="AET23" s="25"/>
      <c r="AEU23" s="25"/>
      <c r="AEV23" s="25"/>
      <c r="AFD23" s="25"/>
      <c r="AFE23" s="25"/>
      <c r="AFF23" s="25"/>
      <c r="AFG23" s="25"/>
      <c r="AFH23" s="25"/>
      <c r="AFI23" s="25"/>
      <c r="AFJ23" s="25"/>
      <c r="AFK23" s="25"/>
      <c r="AFL23" s="25"/>
      <c r="AFM23" s="25"/>
      <c r="AFN23" s="25"/>
      <c r="AFO23" s="25"/>
      <c r="AFP23" s="25"/>
      <c r="AFQ23" s="25"/>
      <c r="AFU23" s="25">
        <v>0</v>
      </c>
      <c r="AFX23" s="25"/>
      <c r="AFY23" s="25"/>
      <c r="AFZ23" s="25"/>
      <c r="AGA23" s="25"/>
      <c r="AGB23" s="25"/>
      <c r="AGC23" s="25"/>
      <c r="AGE23" s="25"/>
      <c r="AGF23" s="25"/>
      <c r="AGG23" s="25"/>
      <c r="AGH23" s="25"/>
      <c r="AJP23" s="25"/>
      <c r="AJQ23" s="25"/>
      <c r="AJR23" s="25"/>
      <c r="AJS23" s="25"/>
      <c r="AJT23" s="25"/>
      <c r="AJU23" s="25"/>
      <c r="AJV23" s="25"/>
      <c r="AKD23" s="25"/>
      <c r="AKE23" s="25"/>
      <c r="AKF23" s="25"/>
      <c r="AKG23" s="25"/>
      <c r="AKH23" s="25"/>
      <c r="AKI23" s="25"/>
      <c r="AKJ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H23" s="25"/>
      <c r="ANI23" s="25"/>
      <c r="ANJ23" s="25"/>
      <c r="ANK23" s="25"/>
      <c r="ANL23" s="25"/>
      <c r="ANM23" s="25"/>
      <c r="ANN23" s="25"/>
      <c r="ANO23" s="25"/>
      <c r="ANP23" s="25"/>
      <c r="ANQ23" s="25"/>
      <c r="ANR23" s="25"/>
      <c r="ANS23" s="25"/>
      <c r="ANT23" s="25"/>
      <c r="ANU23" s="25"/>
      <c r="AOC23" s="25"/>
      <c r="AOD23" s="25"/>
      <c r="AOE23" s="25"/>
      <c r="AOF23" s="25"/>
      <c r="AOG23" s="25"/>
      <c r="AOH23" s="25"/>
      <c r="AOI23" s="25"/>
      <c r="AOJ23" s="25"/>
      <c r="AOK23" s="25"/>
      <c r="AOL23" s="25"/>
      <c r="AOM23" s="25"/>
      <c r="AON23" s="25"/>
      <c r="AOO23" s="25"/>
      <c r="AOP23" s="25"/>
      <c r="AOX23" s="25"/>
      <c r="AOY23" s="25"/>
      <c r="AOZ23" s="25"/>
      <c r="APA23" s="25"/>
      <c r="APB23" s="25"/>
      <c r="APC23" s="25"/>
      <c r="APD23" s="25"/>
      <c r="APE23" s="25"/>
      <c r="APF23" s="25"/>
      <c r="APG23" s="25"/>
      <c r="APH23" s="25"/>
      <c r="API23" s="25"/>
      <c r="APJ23" s="25"/>
      <c r="APK23" s="25"/>
      <c r="APS23" s="25"/>
      <c r="APT23" s="25"/>
      <c r="APU23" s="25"/>
      <c r="APV23" s="25"/>
      <c r="APW23" s="25"/>
      <c r="APX23" s="25"/>
      <c r="APY23" s="25"/>
      <c r="APZ23" s="25"/>
      <c r="AQA23" s="25"/>
      <c r="AQB23" s="25"/>
      <c r="AQC23" s="25"/>
      <c r="AQD23" s="25"/>
      <c r="AQE23" s="25"/>
      <c r="AQF23" s="25"/>
      <c r="AQJ23" s="25">
        <v>2</v>
      </c>
      <c r="AQK23" s="25" t="s">
        <v>8883</v>
      </c>
      <c r="AQL23" s="25" t="s">
        <v>8884</v>
      </c>
      <c r="AQM23" s="56">
        <v>1500</v>
      </c>
      <c r="AQN23" s="56">
        <v>3000</v>
      </c>
      <c r="AQO23" s="56">
        <v>0</v>
      </c>
      <c r="AQP23" s="56">
        <v>0</v>
      </c>
      <c r="AQQ23" s="56">
        <v>0</v>
      </c>
      <c r="AQR23" s="56">
        <v>0</v>
      </c>
      <c r="AQS23" s="25" t="s">
        <v>8260</v>
      </c>
      <c r="AQT23" s="56">
        <v>0</v>
      </c>
      <c r="AQU23" s="56">
        <v>0</v>
      </c>
      <c r="AQV23" s="56">
        <v>0</v>
      </c>
      <c r="AQW23" s="56">
        <v>0</v>
      </c>
      <c r="AQX23" s="25" t="s">
        <v>8248</v>
      </c>
      <c r="ARK23" s="25" t="s">
        <v>8249</v>
      </c>
      <c r="ATX23" s="25" t="s">
        <v>25</v>
      </c>
      <c r="ATY23" s="25" t="s">
        <v>25</v>
      </c>
      <c r="AUA23" s="25" t="s">
        <v>25</v>
      </c>
      <c r="AUC23" s="25" t="s">
        <v>13420</v>
      </c>
      <c r="AUD23" s="25" t="s">
        <v>8432</v>
      </c>
      <c r="AUE23" s="56">
        <v>25</v>
      </c>
      <c r="AUF23" s="56">
        <v>25</v>
      </c>
      <c r="AUG23" s="56">
        <v>25</v>
      </c>
      <c r="AUH23" s="56">
        <v>100</v>
      </c>
      <c r="AUI23" s="56">
        <v>25</v>
      </c>
      <c r="AUV23" s="56">
        <v>100</v>
      </c>
      <c r="AUW23" s="56">
        <v>25</v>
      </c>
      <c r="AVG23" s="25" t="s">
        <v>8250</v>
      </c>
      <c r="AVH23" s="25" t="s">
        <v>8250</v>
      </c>
      <c r="AVI23" s="25" t="s">
        <v>8250</v>
      </c>
      <c r="AVJ23" s="25" t="s">
        <v>8250</v>
      </c>
      <c r="AVK23" s="25" t="s">
        <v>8250</v>
      </c>
      <c r="AVN23" s="25" t="s">
        <v>25</v>
      </c>
      <c r="AVO23" s="25" t="s">
        <v>25</v>
      </c>
      <c r="AVP23" s="25" t="s">
        <v>25</v>
      </c>
      <c r="AVQ23" s="25" t="s">
        <v>25</v>
      </c>
      <c r="AVR23" s="25" t="s">
        <v>25</v>
      </c>
      <c r="AVU23" s="25" t="s">
        <v>13810</v>
      </c>
      <c r="AVV23" s="25" t="s">
        <v>13810</v>
      </c>
      <c r="AVW23" s="25" t="s">
        <v>13810</v>
      </c>
      <c r="AVX23" s="25" t="s">
        <v>631</v>
      </c>
      <c r="AVY23" s="25" t="s">
        <v>631</v>
      </c>
      <c r="AVZ23" s="25" t="s">
        <v>631</v>
      </c>
      <c r="AWA23" s="25" t="s">
        <v>631</v>
      </c>
      <c r="AWB23" s="25" t="s">
        <v>8252</v>
      </c>
      <c r="AWC23" s="25" t="s">
        <v>631</v>
      </c>
      <c r="AWE23" s="25" t="s">
        <v>8253</v>
      </c>
      <c r="AWF23" s="25" t="s">
        <v>8253</v>
      </c>
      <c r="AWG23" s="25" t="s">
        <v>8253</v>
      </c>
      <c r="AWL23" s="25" t="s">
        <v>8253</v>
      </c>
      <c r="AWN23" s="56">
        <v>10</v>
      </c>
      <c r="AWO23" s="56">
        <v>0</v>
      </c>
      <c r="AWP23" s="56">
        <v>20</v>
      </c>
      <c r="AWQ23" s="56">
        <v>0</v>
      </c>
      <c r="AWR23" s="56">
        <v>20</v>
      </c>
      <c r="AWS23" s="56">
        <v>0</v>
      </c>
      <c r="AWT23" s="56">
        <v>40</v>
      </c>
      <c r="AWU23" s="56">
        <v>0</v>
      </c>
      <c r="AWV23" s="56">
        <v>20</v>
      </c>
      <c r="AWW23" s="56">
        <v>0</v>
      </c>
      <c r="AWX23" s="56">
        <v>0</v>
      </c>
      <c r="AWY23" s="56">
        <v>0</v>
      </c>
      <c r="BAV23" s="25" t="s">
        <v>8255</v>
      </c>
      <c r="BAW23" s="25" t="s">
        <v>8256</v>
      </c>
      <c r="BAX23" s="25" t="s">
        <v>8321</v>
      </c>
      <c r="BAY23" s="25">
        <v>0</v>
      </c>
      <c r="BBB23" s="25"/>
      <c r="BBC23" s="25"/>
      <c r="BBD23" s="25"/>
      <c r="BBE23" s="25"/>
      <c r="BBF23" s="25"/>
      <c r="BBG23" s="25"/>
      <c r="BBI23" s="25"/>
      <c r="BBJ23" s="25"/>
      <c r="BBK23" s="25"/>
      <c r="BBL23" s="25"/>
      <c r="BET23" s="25"/>
      <c r="BEU23" s="25"/>
      <c r="BEV23" s="25"/>
      <c r="BEW23" s="25"/>
      <c r="BEX23" s="25"/>
      <c r="BEY23" s="25"/>
      <c r="BEZ23" s="25"/>
      <c r="BFH23" s="25"/>
      <c r="BFI23" s="25"/>
      <c r="BFJ23" s="25"/>
      <c r="BFK23" s="25"/>
      <c r="BFL23" s="25"/>
      <c r="BFM23" s="25"/>
      <c r="BFN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L23" s="25"/>
      <c r="BIM23" s="25"/>
      <c r="BIN23" s="25"/>
      <c r="BIO23" s="25"/>
      <c r="BIP23" s="25"/>
      <c r="BIQ23" s="25"/>
      <c r="BIR23" s="25"/>
      <c r="BIS23" s="25"/>
      <c r="BIT23" s="25"/>
      <c r="BIU23" s="25"/>
      <c r="BIV23" s="25"/>
      <c r="BIW23" s="25"/>
      <c r="BIX23" s="25"/>
      <c r="BIY23" s="25"/>
      <c r="BJG23" s="25"/>
      <c r="BJH23" s="25"/>
      <c r="BJI23" s="25"/>
      <c r="BJJ23" s="25"/>
      <c r="BJK23" s="25"/>
      <c r="BJL23" s="25"/>
      <c r="BJM23" s="25"/>
      <c r="BJN23" s="25"/>
      <c r="BJO23" s="25"/>
      <c r="BJP23" s="25"/>
      <c r="BJQ23" s="25"/>
      <c r="BJR23" s="25"/>
      <c r="BJS23" s="25"/>
      <c r="BJT23" s="25"/>
      <c r="BKB23" s="25"/>
      <c r="BKC23" s="25"/>
      <c r="BKD23" s="25"/>
      <c r="BKE23" s="25"/>
      <c r="BKF23" s="25"/>
      <c r="BKG23" s="25"/>
      <c r="BKH23" s="25"/>
      <c r="BKI23" s="25"/>
      <c r="BKJ23" s="25"/>
      <c r="BKK23" s="25"/>
      <c r="BKL23" s="25"/>
      <c r="BKM23" s="25"/>
      <c r="BKN23" s="25"/>
      <c r="BKO23" s="25"/>
      <c r="BKW23" s="25"/>
      <c r="BKX23" s="25"/>
      <c r="BKY23" s="25"/>
      <c r="BKZ23" s="25"/>
      <c r="BLA23" s="25"/>
      <c r="BLB23" s="25"/>
      <c r="BLC23" s="25"/>
      <c r="BLD23" s="25"/>
      <c r="BLE23" s="25"/>
      <c r="BLF23" s="25"/>
      <c r="BLG23" s="25"/>
      <c r="BLH23" s="25"/>
      <c r="BLI23" s="25"/>
      <c r="BLJ23" s="25"/>
      <c r="BLN23" s="25">
        <v>0</v>
      </c>
      <c r="BLQ23" s="25"/>
      <c r="BLR23" s="25"/>
      <c r="BLS23" s="25"/>
      <c r="BLT23" s="25"/>
      <c r="BLU23" s="25"/>
      <c r="BLV23" s="25"/>
      <c r="BLX23" s="25"/>
      <c r="BLY23" s="25"/>
      <c r="BLZ23" s="25"/>
      <c r="BMA23" s="25"/>
      <c r="BPI23" s="25"/>
      <c r="BPJ23" s="25"/>
      <c r="BPK23" s="25"/>
      <c r="BPL23" s="25"/>
      <c r="BPM23" s="25"/>
      <c r="BPN23" s="25"/>
      <c r="BPO23" s="25"/>
      <c r="BPW23" s="25"/>
      <c r="BPX23" s="25"/>
      <c r="BPY23" s="25"/>
      <c r="BPZ23" s="25"/>
      <c r="BQA23" s="25"/>
      <c r="BQB23" s="25"/>
      <c r="BQC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TA23" s="25"/>
      <c r="BTB23" s="25"/>
      <c r="BTC23" s="25"/>
      <c r="BTD23" s="25"/>
      <c r="BTE23" s="25"/>
      <c r="BTF23" s="25"/>
      <c r="BTG23" s="25"/>
      <c r="BTH23" s="25"/>
      <c r="BTI23" s="25"/>
      <c r="BTJ23" s="25"/>
      <c r="BTK23" s="25"/>
      <c r="BTL23" s="25"/>
      <c r="BTM23" s="25"/>
      <c r="BTN23" s="25"/>
      <c r="BUQ23" s="25"/>
      <c r="BUR23" s="25"/>
      <c r="BUS23" s="25"/>
      <c r="BUT23" s="25"/>
      <c r="BUU23" s="25"/>
      <c r="BUV23" s="25"/>
      <c r="BUW23" s="25"/>
      <c r="BUX23" s="25"/>
      <c r="BUY23" s="25"/>
      <c r="BUZ23" s="25"/>
      <c r="BVA23" s="25"/>
      <c r="BVB23" s="25"/>
      <c r="BVC23" s="25"/>
      <c r="BVD23" s="25"/>
      <c r="BWC23" s="25" t="s">
        <v>28</v>
      </c>
      <c r="BWD23" s="25" t="s">
        <v>8265</v>
      </c>
      <c r="BWE23" s="25" t="s">
        <v>8357</v>
      </c>
      <c r="BWF23" s="25" t="s">
        <v>13708</v>
      </c>
      <c r="BWG23" s="25" t="s">
        <v>28</v>
      </c>
      <c r="BWH23" s="25" t="s">
        <v>2169</v>
      </c>
      <c r="BWI23" s="25" t="s">
        <v>28</v>
      </c>
      <c r="BWJ23" s="25" t="s">
        <v>8267</v>
      </c>
      <c r="BWK23" s="25" t="s">
        <v>28</v>
      </c>
      <c r="BWL23" s="56">
        <v>3000</v>
      </c>
      <c r="BWM23" s="25" t="s">
        <v>28</v>
      </c>
      <c r="BWN23" s="56">
        <v>3000</v>
      </c>
      <c r="BWO23" s="25" t="s">
        <v>25</v>
      </c>
      <c r="BWQ23" s="25" t="s">
        <v>28</v>
      </c>
      <c r="BWR23" s="25" t="s">
        <v>25</v>
      </c>
      <c r="BWT23" s="25" t="s">
        <v>25</v>
      </c>
      <c r="BWV23" s="25" t="s">
        <v>25</v>
      </c>
      <c r="BWX23" s="25" t="s">
        <v>28</v>
      </c>
      <c r="BWY23" s="25" t="s">
        <v>8566</v>
      </c>
      <c r="BWZ23" s="25" t="s">
        <v>28</v>
      </c>
      <c r="BXA23" s="56">
        <v>20</v>
      </c>
      <c r="BXB23" s="25" t="s">
        <v>28</v>
      </c>
      <c r="BXC23" s="56">
        <v>20</v>
      </c>
      <c r="BXD23" s="25" t="s">
        <v>28</v>
      </c>
      <c r="BXE23" s="25" t="s">
        <v>8790</v>
      </c>
      <c r="BXF23" s="25" t="s">
        <v>28</v>
      </c>
      <c r="BXG23" s="56">
        <v>30</v>
      </c>
      <c r="BXH23" s="25" t="s">
        <v>25</v>
      </c>
      <c r="BXJ23" s="25" t="s">
        <v>28</v>
      </c>
      <c r="BXK23" s="25" t="s">
        <v>8330</v>
      </c>
      <c r="BXL23" s="25" t="s">
        <v>8435</v>
      </c>
      <c r="BXM23" s="25" t="s">
        <v>2201</v>
      </c>
      <c r="BXN23" s="25" t="s">
        <v>8272</v>
      </c>
      <c r="BXO23" s="25" t="s">
        <v>8274</v>
      </c>
      <c r="BXP23" s="25" t="s">
        <v>8274</v>
      </c>
      <c r="BXQ23" s="25" t="s">
        <v>8274</v>
      </c>
      <c r="BXR23" s="25" t="s">
        <v>8274</v>
      </c>
      <c r="BXS23" s="25" t="s">
        <v>8274</v>
      </c>
      <c r="BXW23" s="25" t="s">
        <v>28</v>
      </c>
      <c r="BXX23" s="25" t="s">
        <v>28</v>
      </c>
      <c r="BXY23" s="25" t="s">
        <v>25</v>
      </c>
      <c r="BXZ23" s="25" t="s">
        <v>25</v>
      </c>
      <c r="BYA23" s="25" t="s">
        <v>25</v>
      </c>
      <c r="BYB23" s="25" t="s">
        <v>25</v>
      </c>
      <c r="BYC23" s="25" t="s">
        <v>2201</v>
      </c>
      <c r="BYD23" s="25" t="s">
        <v>28</v>
      </c>
      <c r="BYE23" s="25" t="s">
        <v>13612</v>
      </c>
      <c r="BYF23" s="25" t="s">
        <v>13627</v>
      </c>
      <c r="BYH23" s="25" t="s">
        <v>8515</v>
      </c>
      <c r="BYK23" s="25" t="s">
        <v>28</v>
      </c>
      <c r="BYL23" s="25" t="s">
        <v>28</v>
      </c>
      <c r="BYM23" s="25">
        <v>60</v>
      </c>
      <c r="BYN23" s="25" t="s">
        <v>28</v>
      </c>
      <c r="BYO23" s="25">
        <v>60</v>
      </c>
      <c r="BYP23" s="25" t="s">
        <v>28</v>
      </c>
      <c r="BYR23" s="25" t="s">
        <v>28</v>
      </c>
      <c r="BYS23" s="25" t="s">
        <v>8279</v>
      </c>
      <c r="BYT23" s="25" t="s">
        <v>732</v>
      </c>
      <c r="BYU23" s="25" t="s">
        <v>732</v>
      </c>
      <c r="BYV23" s="25" t="s">
        <v>25</v>
      </c>
      <c r="BYW23" s="25" t="s">
        <v>28</v>
      </c>
      <c r="BYX23" s="56">
        <v>1000</v>
      </c>
      <c r="BYY23" s="56">
        <v>2000</v>
      </c>
      <c r="BYZ23" s="25" t="s">
        <v>8408</v>
      </c>
      <c r="BZA23" s="25" t="s">
        <v>8885</v>
      </c>
      <c r="BZB23" s="25" t="s">
        <v>256</v>
      </c>
      <c r="BZC23" s="25" t="s">
        <v>8282</v>
      </c>
      <c r="BZD23" s="25" t="s">
        <v>28</v>
      </c>
      <c r="BZE23" s="25" t="s">
        <v>28</v>
      </c>
      <c r="BZF23" s="25" t="s">
        <v>28</v>
      </c>
      <c r="BZG23" s="25" t="s">
        <v>25</v>
      </c>
      <c r="BZJ23" s="25" t="s">
        <v>28</v>
      </c>
      <c r="BZK23" s="25" t="s">
        <v>8410</v>
      </c>
      <c r="BZM23" s="25" t="s">
        <v>25</v>
      </c>
      <c r="BZR23" s="25" t="s">
        <v>607</v>
      </c>
      <c r="BZS23" s="25" t="s">
        <v>25</v>
      </c>
      <c r="BZT23" s="25" t="s">
        <v>8337</v>
      </c>
      <c r="BZV23" s="25" t="s">
        <v>8886</v>
      </c>
      <c r="BZX23" s="25" t="s">
        <v>8368</v>
      </c>
      <c r="BZZ23" s="25" t="s">
        <v>25</v>
      </c>
      <c r="CAC23" s="25" t="s">
        <v>25</v>
      </c>
      <c r="CAE23" s="25" t="s">
        <v>25</v>
      </c>
      <c r="CAG23" s="25" t="s">
        <v>25</v>
      </c>
      <c r="CAH23" s="25" t="s">
        <v>631</v>
      </c>
      <c r="CAI23" s="25" t="s">
        <v>631</v>
      </c>
      <c r="CAJ23" s="25" t="s">
        <v>631</v>
      </c>
      <c r="CAK23" s="25" t="s">
        <v>631</v>
      </c>
      <c r="CAL23" s="25" t="s">
        <v>631</v>
      </c>
      <c r="CAM23" s="25" t="s">
        <v>8290</v>
      </c>
      <c r="CAN23" s="25" t="s">
        <v>247</v>
      </c>
      <c r="CAO23" s="25" t="s">
        <v>631</v>
      </c>
      <c r="CAP23" s="25" t="s">
        <v>8290</v>
      </c>
      <c r="CAR23" s="25" t="s">
        <v>8339</v>
      </c>
      <c r="CAT23" s="25" t="s">
        <v>28</v>
      </c>
      <c r="CAU23" s="25" t="s">
        <v>8887</v>
      </c>
      <c r="CBB23" s="25">
        <v>1</v>
      </c>
      <c r="CBC23" s="25">
        <v>0</v>
      </c>
      <c r="CBD23" s="25">
        <v>0</v>
      </c>
      <c r="CBE23" s="56">
        <v>50</v>
      </c>
      <c r="CBF23" s="56">
        <v>150</v>
      </c>
      <c r="CBG23" s="56">
        <v>50</v>
      </c>
      <c r="CBH23" s="56">
        <v>150</v>
      </c>
      <c r="CBI23" s="56">
        <v>2000</v>
      </c>
      <c r="CBJ23" s="56">
        <v>2000</v>
      </c>
      <c r="CBK23" s="56">
        <v>2000</v>
      </c>
      <c r="CBM23" s="26">
        <v>0</v>
      </c>
      <c r="CBN23" s="26">
        <v>0</v>
      </c>
      <c r="CBO23" s="26">
        <v>0</v>
      </c>
      <c r="CBP23" s="26">
        <v>0</v>
      </c>
      <c r="CBQ23" s="26">
        <v>0.6</v>
      </c>
      <c r="CBR23" s="26">
        <v>0.6</v>
      </c>
      <c r="CBS23" s="26">
        <v>0.5</v>
      </c>
      <c r="CBT23" s="26">
        <v>0.5</v>
      </c>
      <c r="CBU23" s="27" t="s">
        <v>28</v>
      </c>
      <c r="CBV23" s="27" t="s">
        <v>8417</v>
      </c>
      <c r="CBW23" s="27" t="s">
        <v>8888</v>
      </c>
      <c r="CBX23" s="27" t="s">
        <v>8418</v>
      </c>
      <c r="CBY23" s="27" t="s">
        <v>29</v>
      </c>
      <c r="CBZ23" s="27" t="s">
        <v>29</v>
      </c>
      <c r="CCA23" s="27" t="s">
        <v>8297</v>
      </c>
      <c r="CCB23" s="27" t="s">
        <v>8298</v>
      </c>
      <c r="CCC23" s="27" t="s">
        <v>29</v>
      </c>
      <c r="CCD23" s="27" t="s">
        <v>29</v>
      </c>
      <c r="CCE23" s="27" t="s">
        <v>8297</v>
      </c>
      <c r="CCF23" s="27" t="s">
        <v>8297</v>
      </c>
      <c r="CCG23" s="27" t="s">
        <v>8297</v>
      </c>
      <c r="CCH23" s="27" t="s">
        <v>29</v>
      </c>
      <c r="CCI23" s="27" t="s">
        <v>29</v>
      </c>
      <c r="CCJ23" s="27" t="s">
        <v>8298</v>
      </c>
      <c r="CCK23" s="27" t="s">
        <v>8297</v>
      </c>
      <c r="CCL23" s="27" t="s">
        <v>8297</v>
      </c>
      <c r="CCM23" s="27" t="s">
        <v>8296</v>
      </c>
      <c r="CCN23" s="27" t="s">
        <v>29</v>
      </c>
      <c r="CCO23" s="27" t="s">
        <v>8300</v>
      </c>
      <c r="CCP23" s="27" t="s">
        <v>8296</v>
      </c>
      <c r="CCQ23" s="27" t="s">
        <v>8296</v>
      </c>
      <c r="CCR23" s="27" t="s">
        <v>8296</v>
      </c>
      <c r="CCS23" s="27" t="s">
        <v>8298</v>
      </c>
      <c r="CCT23" s="27" t="s">
        <v>8296</v>
      </c>
      <c r="CCU23" s="27" t="s">
        <v>8298</v>
      </c>
      <c r="CCV23" s="27" t="s">
        <v>8298</v>
      </c>
      <c r="CCW23" s="27" t="s">
        <v>29</v>
      </c>
      <c r="CCX23" s="27" t="s">
        <v>29</v>
      </c>
      <c r="CCY23" s="27" t="s">
        <v>29</v>
      </c>
      <c r="CCZ23" s="27" t="s">
        <v>28</v>
      </c>
      <c r="CDA23" s="27" t="s">
        <v>28</v>
      </c>
      <c r="CDB23" s="27" t="s">
        <v>28</v>
      </c>
      <c r="CDC23" s="27" t="s">
        <v>28</v>
      </c>
      <c r="CDD23" s="27" t="s">
        <v>28</v>
      </c>
      <c r="CDE23" s="27" t="s">
        <v>28</v>
      </c>
      <c r="CDF23" s="27" t="s">
        <v>28</v>
      </c>
      <c r="CDG23" s="27" t="s">
        <v>28</v>
      </c>
      <c r="CDH23" s="27" t="s">
        <v>28</v>
      </c>
      <c r="CDI23" s="27" t="s">
        <v>28</v>
      </c>
      <c r="CDJ23" s="27" t="s">
        <v>28</v>
      </c>
      <c r="CDK23" s="27" t="s">
        <v>28</v>
      </c>
      <c r="CDL23" s="27" t="s">
        <v>28</v>
      </c>
      <c r="CDM23" s="27" t="s">
        <v>28</v>
      </c>
      <c r="CDN23" s="27" t="s">
        <v>28</v>
      </c>
      <c r="CDO23" s="27" t="s">
        <v>28</v>
      </c>
      <c r="CDP23" s="27" t="s">
        <v>28</v>
      </c>
      <c r="CDQ23" s="27" t="s">
        <v>28</v>
      </c>
      <c r="CDR23" s="27" t="s">
        <v>28</v>
      </c>
      <c r="CDS23" s="27" t="s">
        <v>28</v>
      </c>
      <c r="CDT23" s="27" t="s">
        <v>28</v>
      </c>
      <c r="CDU23" s="27" t="s">
        <v>28</v>
      </c>
      <c r="CDV23" s="27" t="s">
        <v>28</v>
      </c>
      <c r="CDW23" s="27" t="s">
        <v>28</v>
      </c>
      <c r="CDX23" s="27" t="s">
        <v>28</v>
      </c>
      <c r="CDY23" s="27" t="s">
        <v>28</v>
      </c>
      <c r="CDZ23" s="27" t="s">
        <v>28</v>
      </c>
      <c r="CEA23" s="27" t="s">
        <v>8305</v>
      </c>
      <c r="CEB23" s="27" t="s">
        <v>29</v>
      </c>
      <c r="CEC23" s="27" t="s">
        <v>8301</v>
      </c>
      <c r="CED23" s="27" t="s">
        <v>29</v>
      </c>
      <c r="CEE23" s="27" t="s">
        <v>8303</v>
      </c>
      <c r="CEF23" s="27" t="s">
        <v>8301</v>
      </c>
      <c r="CEG23" s="27" t="s">
        <v>8420</v>
      </c>
      <c r="CEH23" s="27" t="s">
        <v>8420</v>
      </c>
      <c r="CEI23" s="27" t="s">
        <v>8301</v>
      </c>
      <c r="CEJ23" s="27" t="s">
        <v>8302</v>
      </c>
      <c r="CEK23" s="27" t="s">
        <v>8302</v>
      </c>
      <c r="CEL23" s="27" t="s">
        <v>8303</v>
      </c>
      <c r="CEM23" s="27" t="s">
        <v>8301</v>
      </c>
      <c r="CEN23" s="27" t="s">
        <v>8301</v>
      </c>
      <c r="CEO23" s="27" t="s">
        <v>29</v>
      </c>
      <c r="CEP23" s="27" t="s">
        <v>29</v>
      </c>
      <c r="CEQ23" s="27" t="s">
        <v>29</v>
      </c>
      <c r="CER23" s="27" t="s">
        <v>8305</v>
      </c>
      <c r="CES23" s="27" t="s">
        <v>8306</v>
      </c>
      <c r="CET23" s="27" t="s">
        <v>29</v>
      </c>
      <c r="CEU23" s="27" t="s">
        <v>29</v>
      </c>
      <c r="CEV23" s="27" t="s">
        <v>29</v>
      </c>
      <c r="CEW23" s="27" t="s">
        <v>8306</v>
      </c>
      <c r="CEX23" s="27" t="s">
        <v>8303</v>
      </c>
      <c r="CEY23" s="27" t="s">
        <v>8302</v>
      </c>
      <c r="CEZ23" s="27" t="s">
        <v>8306</v>
      </c>
      <c r="CFA23" s="27" t="s">
        <v>29</v>
      </c>
      <c r="CFB23" s="27" t="s">
        <v>25</v>
      </c>
      <c r="CFC23" s="27" t="s">
        <v>25</v>
      </c>
      <c r="CFD23" s="27" t="s">
        <v>28</v>
      </c>
      <c r="CFE23" s="27" t="s">
        <v>25</v>
      </c>
      <c r="CFF23" s="27" t="s">
        <v>25</v>
      </c>
      <c r="CFG23" s="27" t="s">
        <v>28</v>
      </c>
      <c r="CFH23" s="27" t="s">
        <v>25</v>
      </c>
      <c r="CFI23" s="27" t="s">
        <v>25</v>
      </c>
      <c r="CFJ23" s="27" t="s">
        <v>25</v>
      </c>
      <c r="CFK23" s="27" t="s">
        <v>25</v>
      </c>
      <c r="CFL23" s="27" t="s">
        <v>25</v>
      </c>
      <c r="CFM23" s="27" t="s">
        <v>28</v>
      </c>
      <c r="CFN23" s="27" t="s">
        <v>25</v>
      </c>
      <c r="CFO23" s="27" t="s">
        <v>28</v>
      </c>
      <c r="CFP23" s="27" t="s">
        <v>25</v>
      </c>
      <c r="CFQ23" s="27" t="s">
        <v>25</v>
      </c>
      <c r="CFR23" s="27" t="s">
        <v>25</v>
      </c>
      <c r="CFS23" s="27" t="s">
        <v>25</v>
      </c>
      <c r="CFT23" s="27" t="s">
        <v>25</v>
      </c>
      <c r="CFU23" s="27" t="s">
        <v>25</v>
      </c>
      <c r="CFV23" s="27" t="s">
        <v>28</v>
      </c>
      <c r="CFW23" s="27" t="s">
        <v>25</v>
      </c>
      <c r="CFX23" s="27" t="s">
        <v>28</v>
      </c>
      <c r="CFY23" s="27" t="s">
        <v>28</v>
      </c>
      <c r="CFZ23" s="27" t="s">
        <v>25</v>
      </c>
      <c r="CGA23" s="27" t="s">
        <v>25</v>
      </c>
      <c r="CGB23" s="27" t="s">
        <v>25</v>
      </c>
      <c r="CPW23" s="27">
        <v>1</v>
      </c>
      <c r="CPX23" s="56">
        <v>10</v>
      </c>
      <c r="CPY23" s="26">
        <v>1</v>
      </c>
      <c r="CQB23" s="25" t="s">
        <v>8372</v>
      </c>
      <c r="CQC23" s="25" t="s">
        <v>8372</v>
      </c>
      <c r="CQD23" s="25" t="s">
        <v>8372</v>
      </c>
      <c r="CQE23" s="25" t="s">
        <v>8372</v>
      </c>
      <c r="CQF23" s="25" t="s">
        <v>8372</v>
      </c>
      <c r="CQI23" s="56">
        <v>150</v>
      </c>
      <c r="CQJ23" s="56">
        <v>130</v>
      </c>
      <c r="CQK23" s="56">
        <v>210</v>
      </c>
      <c r="CQL23" s="25" t="s">
        <v>8889</v>
      </c>
      <c r="CQM23" s="25" t="s">
        <v>8345</v>
      </c>
      <c r="CQN23" s="25" t="s">
        <v>28</v>
      </c>
      <c r="CQO23" s="25" t="s">
        <v>8309</v>
      </c>
      <c r="CQQ23" s="25" t="s">
        <v>8890</v>
      </c>
      <c r="CQR23" s="25" t="s">
        <v>8891</v>
      </c>
      <c r="CQS23" s="25" t="s">
        <v>28</v>
      </c>
      <c r="CQT23" s="25" t="s">
        <v>8312</v>
      </c>
      <c r="CQU23" s="25" t="s">
        <v>8312</v>
      </c>
      <c r="CQV23" s="25" t="s">
        <v>8313</v>
      </c>
      <c r="CQW23" s="25" t="s">
        <v>8312</v>
      </c>
      <c r="CQX23" s="25" t="s">
        <v>8312</v>
      </c>
      <c r="CQY23" s="25" t="s">
        <v>8312</v>
      </c>
      <c r="CQZ23" s="25" t="s">
        <v>8312</v>
      </c>
      <c r="CRA23" s="25" t="s">
        <v>8314</v>
      </c>
      <c r="CRB23" s="25" t="s">
        <v>8313</v>
      </c>
      <c r="CRC23" s="25" t="s">
        <v>8314</v>
      </c>
      <c r="CRD23" s="25" t="s">
        <v>8313</v>
      </c>
      <c r="CRE23" s="27" t="s">
        <v>8312</v>
      </c>
    </row>
    <row r="24" spans="1:2501" ht="76.5" x14ac:dyDescent="0.2">
      <c r="A24" s="21" t="s">
        <v>157</v>
      </c>
      <c r="B24" s="26">
        <v>0.39200000000000002</v>
      </c>
      <c r="C24" s="26">
        <v>0</v>
      </c>
      <c r="D24" s="26">
        <v>0.13550000000000001</v>
      </c>
      <c r="E24" s="26">
        <v>0.38150000000000001</v>
      </c>
      <c r="F24" s="26">
        <v>0</v>
      </c>
      <c r="G24" s="26">
        <v>0</v>
      </c>
      <c r="H24" s="26">
        <v>0</v>
      </c>
      <c r="I24" s="26">
        <v>0</v>
      </c>
      <c r="J24" s="26">
        <v>0</v>
      </c>
      <c r="K24" s="26">
        <v>0</v>
      </c>
      <c r="L24" s="26">
        <v>0</v>
      </c>
      <c r="M24" s="26">
        <v>9.0999999999999998E-2</v>
      </c>
      <c r="N24" s="26">
        <v>0</v>
      </c>
      <c r="O24" s="26">
        <v>0</v>
      </c>
      <c r="P24" s="26">
        <v>0</v>
      </c>
      <c r="Q24" s="26">
        <v>0</v>
      </c>
      <c r="R24" s="26">
        <v>0</v>
      </c>
      <c r="S24" s="26">
        <v>0</v>
      </c>
      <c r="T24" s="26">
        <v>0</v>
      </c>
      <c r="U24" s="26">
        <v>0</v>
      </c>
      <c r="V24" s="26">
        <v>0</v>
      </c>
      <c r="W24" s="26">
        <v>0</v>
      </c>
      <c r="X24" s="26">
        <v>0</v>
      </c>
      <c r="Y24" s="26">
        <v>1</v>
      </c>
      <c r="Z24" s="25">
        <v>1</v>
      </c>
      <c r="AA24" s="25" t="s">
        <v>8819</v>
      </c>
      <c r="AC24" s="56">
        <v>3000</v>
      </c>
      <c r="AD24" s="56">
        <v>6000</v>
      </c>
      <c r="AE24" s="56">
        <v>6000</v>
      </c>
      <c r="AF24" s="56">
        <v>12000</v>
      </c>
      <c r="AG24" s="56">
        <v>0</v>
      </c>
      <c r="AH24" s="56">
        <v>0</v>
      </c>
      <c r="AI24" s="25" t="s">
        <v>13413</v>
      </c>
      <c r="AJ24" s="56">
        <v>400</v>
      </c>
      <c r="AK24" s="56">
        <v>1200</v>
      </c>
      <c r="AL24" s="56">
        <v>800</v>
      </c>
      <c r="AM24" s="56">
        <v>2400</v>
      </c>
      <c r="AN24" s="25" t="s">
        <v>8350</v>
      </c>
      <c r="AO24" s="25" t="s">
        <v>8248</v>
      </c>
      <c r="BB24" s="25" t="s">
        <v>8249</v>
      </c>
      <c r="DO24" s="25" t="s">
        <v>25</v>
      </c>
      <c r="DP24" s="25" t="s">
        <v>25</v>
      </c>
      <c r="DR24" s="25" t="s">
        <v>25</v>
      </c>
      <c r="DT24" s="25" t="s">
        <v>13417</v>
      </c>
      <c r="DU24" s="25" t="s">
        <v>13420</v>
      </c>
      <c r="DV24" s="56">
        <v>20</v>
      </c>
      <c r="DW24" s="56">
        <v>20</v>
      </c>
      <c r="DY24" s="56">
        <v>100</v>
      </c>
      <c r="DZ24" s="56">
        <v>20</v>
      </c>
      <c r="EA24" s="56">
        <v>10</v>
      </c>
      <c r="EM24" s="56">
        <v>100</v>
      </c>
      <c r="EQ24" s="26">
        <v>0.3</v>
      </c>
      <c r="ER24" s="26">
        <v>0.3</v>
      </c>
      <c r="EU24" s="26">
        <v>0.3</v>
      </c>
      <c r="EX24" s="25" t="s">
        <v>8250</v>
      </c>
      <c r="EY24" s="25" t="s">
        <v>8250</v>
      </c>
      <c r="EZ24" s="25" t="s">
        <v>8250</v>
      </c>
      <c r="FA24" s="25" t="s">
        <v>8250</v>
      </c>
      <c r="FB24" s="25" t="s">
        <v>8250</v>
      </c>
      <c r="FC24" s="25" t="s">
        <v>8250</v>
      </c>
      <c r="FE24" s="25" t="s">
        <v>25</v>
      </c>
      <c r="FF24" s="25" t="s">
        <v>25</v>
      </c>
      <c r="FG24" s="25" t="s">
        <v>25</v>
      </c>
      <c r="FL24" s="25" t="s">
        <v>13810</v>
      </c>
      <c r="FM24" s="25" t="s">
        <v>13810</v>
      </c>
      <c r="FN24" s="25" t="s">
        <v>13810</v>
      </c>
      <c r="FO24" s="25" t="s">
        <v>13810</v>
      </c>
      <c r="FP24" s="25" t="s">
        <v>631</v>
      </c>
      <c r="FQ24" s="25" t="s">
        <v>13810</v>
      </c>
      <c r="FR24" s="25" t="s">
        <v>13810</v>
      </c>
      <c r="FS24" s="25" t="s">
        <v>631</v>
      </c>
      <c r="FT24" s="25" t="s">
        <v>631</v>
      </c>
      <c r="FU24" s="25" t="s">
        <v>631</v>
      </c>
      <c r="FV24" s="25" t="s">
        <v>8317</v>
      </c>
      <c r="FW24" s="25" t="s">
        <v>8317</v>
      </c>
      <c r="FX24" s="25" t="s">
        <v>8317</v>
      </c>
      <c r="FY24" s="25" t="s">
        <v>8317</v>
      </c>
      <c r="GA24" s="25" t="s">
        <v>8424</v>
      </c>
      <c r="GB24" s="25" t="s">
        <v>8425</v>
      </c>
      <c r="GE24" s="56">
        <v>10</v>
      </c>
      <c r="GG24" s="56">
        <v>10</v>
      </c>
      <c r="GI24" s="56">
        <v>30</v>
      </c>
      <c r="GK24" s="56">
        <v>60</v>
      </c>
      <c r="GM24" s="56">
        <v>50</v>
      </c>
      <c r="GO24" s="56">
        <v>100</v>
      </c>
      <c r="HJ24" s="57">
        <v>0.2</v>
      </c>
      <c r="HT24" s="56">
        <v>0</v>
      </c>
      <c r="HU24" s="56">
        <v>150</v>
      </c>
      <c r="IB24" s="26">
        <v>0.5</v>
      </c>
      <c r="IC24" s="26">
        <v>0.5</v>
      </c>
      <c r="ID24" s="26">
        <v>0.5</v>
      </c>
      <c r="IE24" s="26">
        <v>0.5</v>
      </c>
      <c r="II24" s="56">
        <v>0</v>
      </c>
      <c r="IJ24" s="56">
        <v>250</v>
      </c>
      <c r="IK24" s="56">
        <v>0</v>
      </c>
      <c r="IL24" s="56">
        <v>250</v>
      </c>
      <c r="IM24" s="56">
        <v>0</v>
      </c>
      <c r="IN24" s="56">
        <v>250</v>
      </c>
      <c r="IO24" s="56">
        <v>0</v>
      </c>
      <c r="IP24" s="56">
        <v>250</v>
      </c>
      <c r="IZ24" s="26">
        <v>0.2</v>
      </c>
      <c r="JJ24" s="56">
        <v>0</v>
      </c>
      <c r="JK24" s="56">
        <v>300</v>
      </c>
      <c r="KM24" s="25" t="s">
        <v>8352</v>
      </c>
      <c r="KN24" s="25" t="s">
        <v>8298</v>
      </c>
      <c r="KO24" s="25" t="s">
        <v>8321</v>
      </c>
      <c r="KP24" s="25">
        <v>3</v>
      </c>
      <c r="KQ24" s="25" t="s">
        <v>8820</v>
      </c>
      <c r="KR24" s="25" t="s">
        <v>8821</v>
      </c>
      <c r="KS24" s="56">
        <v>3000</v>
      </c>
      <c r="KT24" s="56">
        <v>6000</v>
      </c>
      <c r="KU24" s="56">
        <v>6000</v>
      </c>
      <c r="KV24" s="56">
        <v>12000</v>
      </c>
      <c r="KW24" s="56">
        <v>0</v>
      </c>
      <c r="KX24" s="56">
        <v>0</v>
      </c>
      <c r="KY24" s="25" t="s">
        <v>8349</v>
      </c>
      <c r="KZ24" s="56">
        <v>1500</v>
      </c>
      <c r="LA24" s="56">
        <v>3000</v>
      </c>
      <c r="LB24" s="56">
        <v>3000</v>
      </c>
      <c r="LC24" s="56">
        <v>6000</v>
      </c>
      <c r="LE24" s="25" t="s">
        <v>8248</v>
      </c>
      <c r="LR24" s="25" t="s">
        <v>8249</v>
      </c>
      <c r="OE24" s="25" t="s">
        <v>25</v>
      </c>
      <c r="OF24" s="25" t="s">
        <v>25</v>
      </c>
      <c r="OH24" s="25" t="s">
        <v>25</v>
      </c>
      <c r="OJ24" s="25" t="s">
        <v>13416</v>
      </c>
      <c r="OK24" s="25" t="s">
        <v>13420</v>
      </c>
      <c r="OS24" s="26">
        <v>0.1</v>
      </c>
      <c r="OT24" s="26">
        <v>0.1</v>
      </c>
      <c r="OU24" s="26">
        <v>0.1</v>
      </c>
      <c r="PG24" s="26">
        <v>0.3</v>
      </c>
      <c r="PH24" s="26">
        <v>0.3</v>
      </c>
      <c r="PI24" s="26">
        <v>0.3</v>
      </c>
      <c r="PN24" s="25" t="s">
        <v>8250</v>
      </c>
      <c r="PO24" s="25" t="s">
        <v>8250</v>
      </c>
      <c r="PP24" s="25" t="s">
        <v>8250</v>
      </c>
      <c r="PU24" s="25" t="s">
        <v>25</v>
      </c>
      <c r="PV24" s="25" t="s">
        <v>25</v>
      </c>
      <c r="PW24" s="25" t="s">
        <v>25</v>
      </c>
      <c r="QB24" s="25" t="s">
        <v>13810</v>
      </c>
      <c r="QC24" s="25" t="s">
        <v>13810</v>
      </c>
      <c r="QD24" s="25" t="s">
        <v>13810</v>
      </c>
      <c r="QE24" s="25" t="s">
        <v>13810</v>
      </c>
      <c r="QF24" s="25" t="s">
        <v>631</v>
      </c>
      <c r="QG24" s="25" t="s">
        <v>13810</v>
      </c>
      <c r="QH24" s="25" t="s">
        <v>13810</v>
      </c>
      <c r="QI24" s="25" t="s">
        <v>13810</v>
      </c>
      <c r="QJ24" s="25" t="s">
        <v>631</v>
      </c>
      <c r="QK24" s="25" t="s">
        <v>631</v>
      </c>
      <c r="QL24" s="25" t="s">
        <v>8317</v>
      </c>
      <c r="QM24" s="25" t="s">
        <v>8317</v>
      </c>
      <c r="QN24" s="25" t="s">
        <v>8317</v>
      </c>
      <c r="QO24" s="25" t="s">
        <v>8317</v>
      </c>
      <c r="QQ24" s="25" t="s">
        <v>8317</v>
      </c>
      <c r="QS24" s="25" t="s">
        <v>8253</v>
      </c>
      <c r="QU24" s="56">
        <v>10</v>
      </c>
      <c r="QV24" s="56">
        <v>0</v>
      </c>
      <c r="QW24" s="56">
        <v>10</v>
      </c>
      <c r="QX24" s="56">
        <v>0</v>
      </c>
      <c r="QY24" s="56">
        <v>30</v>
      </c>
      <c r="QZ24" s="56">
        <v>0</v>
      </c>
      <c r="RA24" s="56">
        <v>60</v>
      </c>
      <c r="RB24" s="56">
        <v>0</v>
      </c>
      <c r="RC24" s="56">
        <v>50</v>
      </c>
      <c r="RD24" s="56">
        <v>0</v>
      </c>
      <c r="RE24" s="56">
        <v>100</v>
      </c>
      <c r="RF24" s="56">
        <v>0</v>
      </c>
      <c r="RG24" s="56">
        <v>0</v>
      </c>
      <c r="RH24" s="56">
        <v>0</v>
      </c>
      <c r="RI24" s="56">
        <v>0</v>
      </c>
      <c r="RJ24" s="56">
        <v>0</v>
      </c>
      <c r="RZ24" s="26">
        <v>0.3</v>
      </c>
      <c r="SH24" s="56">
        <v>0</v>
      </c>
      <c r="SJ24" s="56">
        <v>0</v>
      </c>
      <c r="SK24" s="56">
        <v>150</v>
      </c>
      <c r="SR24" s="26">
        <v>0.5</v>
      </c>
      <c r="SS24" s="26">
        <v>0.5</v>
      </c>
      <c r="ST24" s="26">
        <v>0.5</v>
      </c>
      <c r="SU24" s="26">
        <v>0.5</v>
      </c>
      <c r="SZ24" s="56">
        <v>250</v>
      </c>
      <c r="TB24" s="56">
        <v>250</v>
      </c>
      <c r="TD24" s="56">
        <v>250</v>
      </c>
      <c r="TF24" s="56">
        <v>250</v>
      </c>
      <c r="TP24" s="26">
        <v>0.3</v>
      </c>
      <c r="UA24" s="56">
        <v>300</v>
      </c>
      <c r="VC24" s="25" t="s">
        <v>8352</v>
      </c>
      <c r="VD24" s="25" t="s">
        <v>8256</v>
      </c>
      <c r="VE24" s="25" t="s">
        <v>8321</v>
      </c>
      <c r="VF24" s="25">
        <v>0</v>
      </c>
      <c r="VI24" s="25"/>
      <c r="VJ24" s="25"/>
      <c r="VK24" s="25"/>
      <c r="VL24" s="25"/>
      <c r="VM24" s="25"/>
      <c r="VN24" s="25"/>
      <c r="VP24" s="25"/>
      <c r="VQ24" s="25"/>
      <c r="VR24" s="25"/>
      <c r="VS24" s="25"/>
      <c r="ZA24" s="25"/>
      <c r="ZB24" s="25"/>
      <c r="ZC24" s="25"/>
      <c r="ZD24" s="25"/>
      <c r="ZE24" s="25"/>
      <c r="ZF24" s="25"/>
      <c r="ZG24" s="25"/>
      <c r="ZO24" s="25"/>
      <c r="ZP24" s="25"/>
      <c r="ZQ24" s="25"/>
      <c r="ZR24" s="25"/>
      <c r="ZS24" s="25"/>
      <c r="ZT24" s="25"/>
      <c r="ZU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S24" s="25"/>
      <c r="ACT24" s="25"/>
      <c r="ACU24" s="25"/>
      <c r="ACV24" s="25"/>
      <c r="ACW24" s="25"/>
      <c r="ACX24" s="25"/>
      <c r="ACY24" s="25"/>
      <c r="ACZ24" s="25"/>
      <c r="ADA24" s="25"/>
      <c r="ADB24" s="25"/>
      <c r="ADC24" s="25"/>
      <c r="ADD24" s="25"/>
      <c r="ADE24" s="25"/>
      <c r="ADF24" s="25"/>
      <c r="ADN24" s="25"/>
      <c r="ADO24" s="25"/>
      <c r="ADP24" s="25"/>
      <c r="ADQ24" s="25"/>
      <c r="ADR24" s="25"/>
      <c r="ADS24" s="25"/>
      <c r="ADT24" s="25"/>
      <c r="ADU24" s="25"/>
      <c r="ADV24" s="25"/>
      <c r="ADW24" s="25"/>
      <c r="ADX24" s="25"/>
      <c r="ADY24" s="25"/>
      <c r="ADZ24" s="25"/>
      <c r="AEA24" s="25"/>
      <c r="AEI24" s="25"/>
      <c r="AEJ24" s="25"/>
      <c r="AEK24" s="25"/>
      <c r="AEL24" s="25"/>
      <c r="AEM24" s="25"/>
      <c r="AEN24" s="25"/>
      <c r="AEO24" s="25"/>
      <c r="AEP24" s="25"/>
      <c r="AEQ24" s="25"/>
      <c r="AER24" s="25"/>
      <c r="AES24" s="25"/>
      <c r="AET24" s="25"/>
      <c r="AEU24" s="25"/>
      <c r="AEV24" s="25"/>
      <c r="AFD24" s="25"/>
      <c r="AFE24" s="25"/>
      <c r="AFF24" s="25"/>
      <c r="AFG24" s="25"/>
      <c r="AFH24" s="25"/>
      <c r="AFI24" s="25"/>
      <c r="AFJ24" s="25"/>
      <c r="AFK24" s="25"/>
      <c r="AFL24" s="25"/>
      <c r="AFM24" s="25"/>
      <c r="AFN24" s="25"/>
      <c r="AFO24" s="25"/>
      <c r="AFP24" s="25"/>
      <c r="AFQ24" s="25"/>
      <c r="AFU24" s="25">
        <v>0</v>
      </c>
      <c r="AFX24" s="25"/>
      <c r="AFY24" s="25"/>
      <c r="AFZ24" s="25"/>
      <c r="AGA24" s="25"/>
      <c r="AGB24" s="25"/>
      <c r="AGC24" s="25"/>
      <c r="AGE24" s="25"/>
      <c r="AGF24" s="25"/>
      <c r="AGG24" s="25"/>
      <c r="AGH24" s="25"/>
      <c r="AJP24" s="25"/>
      <c r="AJQ24" s="25"/>
      <c r="AJR24" s="25"/>
      <c r="AJS24" s="25"/>
      <c r="AJT24" s="25"/>
      <c r="AJU24" s="25"/>
      <c r="AJV24" s="25"/>
      <c r="AKD24" s="25"/>
      <c r="AKE24" s="25"/>
      <c r="AKF24" s="25"/>
      <c r="AKG24" s="25"/>
      <c r="AKH24" s="25"/>
      <c r="AKI24" s="25"/>
      <c r="AKJ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H24" s="25"/>
      <c r="ANI24" s="25"/>
      <c r="ANJ24" s="25"/>
      <c r="ANK24" s="25"/>
      <c r="ANL24" s="25"/>
      <c r="ANM24" s="25"/>
      <c r="ANN24" s="25"/>
      <c r="ANO24" s="25"/>
      <c r="ANP24" s="25"/>
      <c r="ANQ24" s="25"/>
      <c r="ANR24" s="25"/>
      <c r="ANS24" s="25"/>
      <c r="ANT24" s="25"/>
      <c r="ANU24" s="25"/>
      <c r="AOC24" s="25"/>
      <c r="AOD24" s="25"/>
      <c r="AOE24" s="25"/>
      <c r="AOF24" s="25"/>
      <c r="AOG24" s="25"/>
      <c r="AOH24" s="25"/>
      <c r="AOI24" s="25"/>
      <c r="AOJ24" s="25"/>
      <c r="AOK24" s="25"/>
      <c r="AOL24" s="25"/>
      <c r="AOM24" s="25"/>
      <c r="AON24" s="25"/>
      <c r="AOO24" s="25"/>
      <c r="AOP24" s="25"/>
      <c r="AOX24" s="25"/>
      <c r="AOY24" s="25"/>
      <c r="AOZ24" s="25"/>
      <c r="APA24" s="25"/>
      <c r="APB24" s="25"/>
      <c r="APC24" s="25"/>
      <c r="APD24" s="25"/>
      <c r="APE24" s="25"/>
      <c r="APF24" s="25"/>
      <c r="APG24" s="25"/>
      <c r="APH24" s="25"/>
      <c r="API24" s="25"/>
      <c r="APJ24" s="25"/>
      <c r="APK24" s="25"/>
      <c r="APS24" s="25"/>
      <c r="APT24" s="25"/>
      <c r="APU24" s="25"/>
      <c r="APV24" s="25"/>
      <c r="APW24" s="25"/>
      <c r="APX24" s="25"/>
      <c r="APY24" s="25"/>
      <c r="APZ24" s="25"/>
      <c r="AQA24" s="25"/>
      <c r="AQB24" s="25"/>
      <c r="AQC24" s="25"/>
      <c r="AQD24" s="25"/>
      <c r="AQE24" s="25"/>
      <c r="AQF24" s="25"/>
      <c r="AQJ24" s="25">
        <v>1</v>
      </c>
      <c r="AQK24" s="25" t="s">
        <v>8749</v>
      </c>
      <c r="AQM24" s="56">
        <v>1500</v>
      </c>
      <c r="AQN24" s="56">
        <v>3000</v>
      </c>
      <c r="AQS24" s="25" t="s">
        <v>8349</v>
      </c>
      <c r="AQT24" s="56">
        <v>0</v>
      </c>
      <c r="AQU24" s="56">
        <v>0</v>
      </c>
      <c r="AQV24" s="56">
        <v>0</v>
      </c>
      <c r="AQW24" s="56">
        <v>0</v>
      </c>
      <c r="AQX24" s="25" t="s">
        <v>8248</v>
      </c>
      <c r="ARK24" s="25" t="s">
        <v>8249</v>
      </c>
      <c r="ATX24" s="25" t="s">
        <v>25</v>
      </c>
      <c r="ATY24" s="25" t="s">
        <v>25</v>
      </c>
      <c r="AUA24" s="25" t="s">
        <v>25</v>
      </c>
      <c r="AUC24" s="25" t="s">
        <v>13417</v>
      </c>
      <c r="AUD24" s="25" t="s">
        <v>8432</v>
      </c>
      <c r="AUE24" s="56">
        <v>20</v>
      </c>
      <c r="AUF24" s="56">
        <v>20</v>
      </c>
      <c r="AUG24" s="56">
        <v>20</v>
      </c>
      <c r="AUH24" s="56">
        <v>100</v>
      </c>
      <c r="AUI24" s="56">
        <v>20</v>
      </c>
      <c r="AUV24" s="56">
        <v>100</v>
      </c>
      <c r="AUW24" s="56">
        <v>20</v>
      </c>
      <c r="AVG24" s="25" t="s">
        <v>8250</v>
      </c>
      <c r="AVH24" s="25" t="s">
        <v>8250</v>
      </c>
      <c r="AVI24" s="25" t="s">
        <v>8250</v>
      </c>
      <c r="AVJ24" s="25" t="s">
        <v>8250</v>
      </c>
      <c r="AVK24" s="25" t="s">
        <v>8250</v>
      </c>
      <c r="AVL24" s="25" t="s">
        <v>8250</v>
      </c>
      <c r="AVN24" s="25" t="s">
        <v>25</v>
      </c>
      <c r="AVO24" s="25" t="s">
        <v>25</v>
      </c>
      <c r="AVP24" s="25" t="s">
        <v>25</v>
      </c>
      <c r="AVU24" s="25" t="s">
        <v>13810</v>
      </c>
      <c r="AVV24" s="25" t="s">
        <v>13810</v>
      </c>
      <c r="AVW24" s="25" t="s">
        <v>13810</v>
      </c>
      <c r="AVX24" s="25" t="s">
        <v>8252</v>
      </c>
      <c r="AVY24" s="25" t="s">
        <v>631</v>
      </c>
      <c r="AVZ24" s="25" t="s">
        <v>8252</v>
      </c>
      <c r="AWA24" s="25" t="s">
        <v>8252</v>
      </c>
      <c r="AWB24" s="25" t="s">
        <v>631</v>
      </c>
      <c r="AWC24" s="25" t="s">
        <v>631</v>
      </c>
      <c r="AWD24" s="25" t="s">
        <v>631</v>
      </c>
      <c r="AWE24" s="25" t="s">
        <v>8317</v>
      </c>
      <c r="AWF24" s="25" t="s">
        <v>8317</v>
      </c>
      <c r="AWG24" s="25" t="s">
        <v>8317</v>
      </c>
      <c r="AWN24" s="56">
        <v>15</v>
      </c>
      <c r="AWO24" s="56">
        <v>0</v>
      </c>
      <c r="AWP24" s="56">
        <v>30</v>
      </c>
      <c r="AWQ24" s="56">
        <v>0</v>
      </c>
      <c r="AWR24" s="56">
        <v>30</v>
      </c>
      <c r="AWS24" s="56">
        <v>0</v>
      </c>
      <c r="AWT24" s="56">
        <v>60</v>
      </c>
      <c r="AWU24" s="56">
        <v>0</v>
      </c>
      <c r="AWV24" s="56">
        <v>30</v>
      </c>
      <c r="AWW24" s="56">
        <v>0</v>
      </c>
      <c r="AWX24" s="56">
        <v>0</v>
      </c>
      <c r="AWY24" s="56">
        <v>0</v>
      </c>
      <c r="BAV24" s="25" t="s">
        <v>8255</v>
      </c>
      <c r="BAW24" s="25" t="s">
        <v>8256</v>
      </c>
      <c r="BAX24" s="25" t="s">
        <v>8321</v>
      </c>
      <c r="BAY24" s="25">
        <v>0</v>
      </c>
      <c r="BBB24" s="25"/>
      <c r="BBC24" s="25"/>
      <c r="BBD24" s="25"/>
      <c r="BBE24" s="25"/>
      <c r="BBF24" s="25"/>
      <c r="BBG24" s="25"/>
      <c r="BBI24" s="25"/>
      <c r="BBJ24" s="25"/>
      <c r="BBK24" s="25"/>
      <c r="BBL24" s="25"/>
      <c r="BET24" s="25"/>
      <c r="BEU24" s="25"/>
      <c r="BEV24" s="25"/>
      <c r="BEW24" s="25"/>
      <c r="BEX24" s="25"/>
      <c r="BEY24" s="25"/>
      <c r="BEZ24" s="25"/>
      <c r="BFH24" s="25"/>
      <c r="BFI24" s="25"/>
      <c r="BFJ24" s="25"/>
      <c r="BFK24" s="25"/>
      <c r="BFL24" s="25"/>
      <c r="BFM24" s="25"/>
      <c r="BFN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L24" s="25"/>
      <c r="BIM24" s="25"/>
      <c r="BIN24" s="25"/>
      <c r="BIO24" s="25"/>
      <c r="BIP24" s="25"/>
      <c r="BIQ24" s="25"/>
      <c r="BIR24" s="25"/>
      <c r="BIS24" s="25"/>
      <c r="BIT24" s="25"/>
      <c r="BIU24" s="25"/>
      <c r="BIV24" s="25"/>
      <c r="BIW24" s="25"/>
      <c r="BIX24" s="25"/>
      <c r="BIY24" s="25"/>
      <c r="BJG24" s="25"/>
      <c r="BJH24" s="25"/>
      <c r="BJI24" s="25"/>
      <c r="BJJ24" s="25"/>
      <c r="BJK24" s="25"/>
      <c r="BJL24" s="25"/>
      <c r="BJM24" s="25"/>
      <c r="BJN24" s="25"/>
      <c r="BJO24" s="25"/>
      <c r="BJP24" s="25"/>
      <c r="BJQ24" s="25"/>
      <c r="BJR24" s="25"/>
      <c r="BJS24" s="25"/>
      <c r="BJT24" s="25"/>
      <c r="BKB24" s="25"/>
      <c r="BKC24" s="25"/>
      <c r="BKD24" s="25"/>
      <c r="BKE24" s="25"/>
      <c r="BKF24" s="25"/>
      <c r="BKG24" s="25"/>
      <c r="BKH24" s="25"/>
      <c r="BKI24" s="25"/>
      <c r="BKJ24" s="25"/>
      <c r="BKK24" s="25"/>
      <c r="BKL24" s="25"/>
      <c r="BKM24" s="25"/>
      <c r="BKN24" s="25"/>
      <c r="BKO24" s="25"/>
      <c r="BKW24" s="25"/>
      <c r="BKX24" s="25"/>
      <c r="BKY24" s="25"/>
      <c r="BKZ24" s="25"/>
      <c r="BLA24" s="25"/>
      <c r="BLB24" s="25"/>
      <c r="BLC24" s="25"/>
      <c r="BLD24" s="25"/>
      <c r="BLE24" s="25"/>
      <c r="BLF24" s="25"/>
      <c r="BLG24" s="25"/>
      <c r="BLH24" s="25"/>
      <c r="BLI24" s="25"/>
      <c r="BLJ24" s="25"/>
      <c r="BLN24" s="25">
        <v>0</v>
      </c>
      <c r="BLQ24" s="25"/>
      <c r="BLR24" s="25"/>
      <c r="BLS24" s="25"/>
      <c r="BLT24" s="25"/>
      <c r="BLU24" s="25"/>
      <c r="BLV24" s="25"/>
      <c r="BLX24" s="25"/>
      <c r="BLY24" s="25"/>
      <c r="BLZ24" s="25"/>
      <c r="BMA24" s="25"/>
      <c r="BPI24" s="25"/>
      <c r="BPJ24" s="25"/>
      <c r="BPK24" s="25"/>
      <c r="BPL24" s="25"/>
      <c r="BPM24" s="25"/>
      <c r="BPN24" s="25"/>
      <c r="BPO24" s="25"/>
      <c r="BPW24" s="25"/>
      <c r="BPX24" s="25"/>
      <c r="BPY24" s="25"/>
      <c r="BPZ24" s="25"/>
      <c r="BQA24" s="25"/>
      <c r="BQB24" s="25"/>
      <c r="BQC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TA24" s="25"/>
      <c r="BTB24" s="25"/>
      <c r="BTC24" s="25"/>
      <c r="BTD24" s="25"/>
      <c r="BTE24" s="25"/>
      <c r="BTF24" s="25"/>
      <c r="BTG24" s="25"/>
      <c r="BTH24" s="25"/>
      <c r="BTI24" s="25"/>
      <c r="BTJ24" s="25"/>
      <c r="BTK24" s="25"/>
      <c r="BTL24" s="25"/>
      <c r="BTM24" s="25"/>
      <c r="BTN24" s="25"/>
      <c r="BUQ24" s="25"/>
      <c r="BUR24" s="25"/>
      <c r="BUS24" s="25"/>
      <c r="BUT24" s="25"/>
      <c r="BUU24" s="25"/>
      <c r="BUV24" s="25"/>
      <c r="BUW24" s="25"/>
      <c r="BUX24" s="25"/>
      <c r="BUY24" s="25"/>
      <c r="BUZ24" s="25"/>
      <c r="BVA24" s="25"/>
      <c r="BVB24" s="25"/>
      <c r="BVC24" s="25"/>
      <c r="BVD24" s="25"/>
      <c r="BWC24" s="25" t="s">
        <v>28</v>
      </c>
      <c r="BWD24" s="25" t="s">
        <v>8326</v>
      </c>
      <c r="BWF24" s="25" t="s">
        <v>8822</v>
      </c>
      <c r="BWG24" s="25" t="s">
        <v>25</v>
      </c>
      <c r="BWH24" s="25" t="s">
        <v>2169</v>
      </c>
      <c r="BWI24" s="25" t="s">
        <v>28</v>
      </c>
      <c r="BWJ24" s="25" t="s">
        <v>8267</v>
      </c>
      <c r="BWK24" s="25" t="s">
        <v>25</v>
      </c>
      <c r="BWM24" s="25" t="s">
        <v>28</v>
      </c>
      <c r="BWN24" s="56">
        <v>5000</v>
      </c>
      <c r="BWO24" s="25" t="s">
        <v>25</v>
      </c>
      <c r="BWQ24" s="25" t="s">
        <v>25</v>
      </c>
      <c r="BWX24" s="25" t="s">
        <v>28</v>
      </c>
      <c r="BWY24" s="25" t="s">
        <v>8823</v>
      </c>
      <c r="BWZ24" s="25" t="s">
        <v>28</v>
      </c>
      <c r="BXA24" s="56">
        <v>20</v>
      </c>
      <c r="BXB24" s="25" t="s">
        <v>25</v>
      </c>
      <c r="BXD24" s="25" t="s">
        <v>28</v>
      </c>
      <c r="BXE24" s="25" t="s">
        <v>8791</v>
      </c>
      <c r="BXF24" s="25" t="s">
        <v>28</v>
      </c>
      <c r="BXG24" s="56">
        <v>30</v>
      </c>
      <c r="BXH24" s="25" t="s">
        <v>25</v>
      </c>
      <c r="BXJ24" s="25" t="s">
        <v>28</v>
      </c>
      <c r="BXK24" s="25" t="s">
        <v>8360</v>
      </c>
      <c r="BXL24" s="25" t="s">
        <v>8331</v>
      </c>
      <c r="BXN24" s="25" t="s">
        <v>8332</v>
      </c>
      <c r="BXT24" s="25" t="s">
        <v>8824</v>
      </c>
      <c r="BXW24" s="25" t="s">
        <v>25</v>
      </c>
      <c r="BXX24" s="25" t="s">
        <v>25</v>
      </c>
      <c r="BXY24" s="25" t="s">
        <v>28</v>
      </c>
      <c r="BXZ24" s="25" t="s">
        <v>25</v>
      </c>
      <c r="BYA24" s="25" t="s">
        <v>25</v>
      </c>
      <c r="BYB24" s="25" t="s">
        <v>25</v>
      </c>
      <c r="BYC24" s="25" t="s">
        <v>2201</v>
      </c>
      <c r="BYD24" s="25" t="s">
        <v>28</v>
      </c>
      <c r="BYE24" s="25" t="s">
        <v>13619</v>
      </c>
      <c r="BYH24" s="25" t="s">
        <v>8515</v>
      </c>
      <c r="BYK24" s="25" t="s">
        <v>8333</v>
      </c>
      <c r="BYL24" s="25" t="s">
        <v>25</v>
      </c>
      <c r="BYN24" s="25" t="s">
        <v>25</v>
      </c>
      <c r="BYP24" s="25" t="s">
        <v>25</v>
      </c>
      <c r="BYR24" s="25" t="s">
        <v>28</v>
      </c>
      <c r="BYS24" s="25" t="s">
        <v>8279</v>
      </c>
      <c r="BYT24" s="25" t="s">
        <v>8279</v>
      </c>
      <c r="BYU24" s="25" t="s">
        <v>732</v>
      </c>
      <c r="BYV24" s="25" t="s">
        <v>25</v>
      </c>
      <c r="BYW24" s="25" t="s">
        <v>28</v>
      </c>
      <c r="BYX24" s="56">
        <v>750</v>
      </c>
      <c r="BYY24" s="56">
        <v>1500</v>
      </c>
      <c r="BYZ24" s="25" t="s">
        <v>8408</v>
      </c>
      <c r="BZA24" s="25" t="s">
        <v>8825</v>
      </c>
      <c r="BZB24" s="25" t="s">
        <v>2269</v>
      </c>
      <c r="BZD24" s="25" t="s">
        <v>28</v>
      </c>
      <c r="BZE24" s="25" t="s">
        <v>28</v>
      </c>
      <c r="BZF24" s="25" t="s">
        <v>28</v>
      </c>
      <c r="BZG24" s="25" t="s">
        <v>25</v>
      </c>
      <c r="BZJ24" s="25" t="s">
        <v>25</v>
      </c>
      <c r="BZM24" s="25" t="s">
        <v>28</v>
      </c>
      <c r="BZN24" s="25" t="s">
        <v>8283</v>
      </c>
      <c r="BZP24" s="25" t="s">
        <v>8674</v>
      </c>
      <c r="BZQ24" s="56" t="s">
        <v>8392</v>
      </c>
      <c r="BZR24" s="25" t="s">
        <v>819</v>
      </c>
      <c r="BZS24" s="25" t="s">
        <v>28</v>
      </c>
      <c r="BZT24" s="25" t="s">
        <v>8337</v>
      </c>
      <c r="BZV24" s="25" t="s">
        <v>13654</v>
      </c>
      <c r="BZX24" s="25" t="s">
        <v>8484</v>
      </c>
      <c r="BZZ24" s="25" t="s">
        <v>25</v>
      </c>
      <c r="CAC24" s="25" t="s">
        <v>25</v>
      </c>
      <c r="CAE24" s="25" t="s">
        <v>25</v>
      </c>
      <c r="CAG24" s="25" t="s">
        <v>25</v>
      </c>
      <c r="CAH24" s="25" t="s">
        <v>631</v>
      </c>
      <c r="CAI24" s="25" t="s">
        <v>631</v>
      </c>
      <c r="CAJ24" s="25" t="s">
        <v>631</v>
      </c>
      <c r="CAK24" s="25" t="s">
        <v>631</v>
      </c>
      <c r="CAL24" s="25" t="s">
        <v>631</v>
      </c>
      <c r="CAM24" s="25" t="s">
        <v>8290</v>
      </c>
      <c r="CAN24" s="25" t="s">
        <v>631</v>
      </c>
      <c r="CAO24" s="25" t="s">
        <v>631</v>
      </c>
      <c r="CAP24" s="25" t="s">
        <v>631</v>
      </c>
      <c r="CAQ24" s="25" t="s">
        <v>631</v>
      </c>
      <c r="CAR24" s="25" t="s">
        <v>8291</v>
      </c>
      <c r="CAT24" s="25" t="s">
        <v>28</v>
      </c>
      <c r="CAU24" s="25" t="s">
        <v>8826</v>
      </c>
      <c r="CBB24" s="25">
        <v>2</v>
      </c>
      <c r="CBC24" s="25">
        <v>0</v>
      </c>
      <c r="CBD24" s="25">
        <v>0</v>
      </c>
      <c r="CBE24" s="56">
        <v>0</v>
      </c>
      <c r="CBF24" s="56">
        <v>0</v>
      </c>
      <c r="CBI24" s="56">
        <v>2500</v>
      </c>
      <c r="CBK24" s="56">
        <v>2000</v>
      </c>
      <c r="CBM24" s="26">
        <v>0</v>
      </c>
      <c r="CBN24" s="26">
        <v>0</v>
      </c>
      <c r="CBO24" s="26">
        <v>0.1</v>
      </c>
      <c r="CBP24" s="26">
        <v>0.1</v>
      </c>
      <c r="CBQ24" s="26">
        <v>0.4</v>
      </c>
      <c r="CBR24" s="26">
        <v>0.4</v>
      </c>
      <c r="CBS24" s="26">
        <v>0.5</v>
      </c>
      <c r="CBT24" s="26">
        <v>0.5</v>
      </c>
      <c r="CBU24" s="27" t="s">
        <v>28</v>
      </c>
      <c r="CBV24" s="27" t="s">
        <v>8369</v>
      </c>
      <c r="CBW24" s="27" t="s">
        <v>8294</v>
      </c>
      <c r="CBX24" s="27" t="s">
        <v>8827</v>
      </c>
      <c r="CBY24" s="27" t="s">
        <v>8296</v>
      </c>
      <c r="CBZ24" s="27" t="s">
        <v>8296</v>
      </c>
      <c r="CCA24" s="27" t="s">
        <v>8297</v>
      </c>
      <c r="CCB24" s="27" t="s">
        <v>8298</v>
      </c>
      <c r="CCC24" s="27" t="s">
        <v>8296</v>
      </c>
      <c r="CCD24" s="27" t="s">
        <v>8297</v>
      </c>
      <c r="CCE24" s="27" t="s">
        <v>8296</v>
      </c>
      <c r="CCF24" s="27" t="s">
        <v>8296</v>
      </c>
      <c r="CCG24" s="27" t="s">
        <v>8297</v>
      </c>
      <c r="CCH24" s="27" t="s">
        <v>8298</v>
      </c>
      <c r="CCI24" s="27" t="s">
        <v>8298</v>
      </c>
      <c r="CCJ24" s="27" t="s">
        <v>8298</v>
      </c>
      <c r="CCK24" s="27" t="s">
        <v>8297</v>
      </c>
      <c r="CCL24" s="27" t="s">
        <v>8297</v>
      </c>
      <c r="CCN24" s="27" t="s">
        <v>8296</v>
      </c>
      <c r="CCO24" s="27" t="s">
        <v>8300</v>
      </c>
      <c r="CCP24" s="27" t="s">
        <v>8296</v>
      </c>
      <c r="CCQ24" s="27" t="s">
        <v>8296</v>
      </c>
      <c r="CCR24" s="27" t="s">
        <v>8296</v>
      </c>
      <c r="CCS24" s="27" t="s">
        <v>8298</v>
      </c>
      <c r="CCT24" s="27" t="s">
        <v>8296</v>
      </c>
      <c r="CCU24" s="27" t="s">
        <v>8298</v>
      </c>
      <c r="CCV24" s="27" t="s">
        <v>8298</v>
      </c>
      <c r="CCW24" s="27" t="s">
        <v>8298</v>
      </c>
      <c r="CCZ24" s="27" t="s">
        <v>28</v>
      </c>
      <c r="CDA24" s="27" t="s">
        <v>28</v>
      </c>
      <c r="CDB24" s="27" t="s">
        <v>28</v>
      </c>
      <c r="CDC24" s="27" t="s">
        <v>28</v>
      </c>
      <c r="CDD24" s="27" t="s">
        <v>28</v>
      </c>
      <c r="CDE24" s="27" t="s">
        <v>28</v>
      </c>
      <c r="CDF24" s="27" t="s">
        <v>28</v>
      </c>
      <c r="CDG24" s="27" t="s">
        <v>28</v>
      </c>
      <c r="CDH24" s="27" t="s">
        <v>28</v>
      </c>
      <c r="CDI24" s="27" t="s">
        <v>28</v>
      </c>
      <c r="CDJ24" s="27" t="s">
        <v>28</v>
      </c>
      <c r="CDK24" s="27" t="s">
        <v>28</v>
      </c>
      <c r="CDL24" s="27" t="s">
        <v>28</v>
      </c>
      <c r="CDM24" s="27" t="s">
        <v>28</v>
      </c>
      <c r="CDO24" s="27" t="s">
        <v>28</v>
      </c>
      <c r="CDP24" s="27" t="s">
        <v>25</v>
      </c>
      <c r="CDQ24" s="27" t="s">
        <v>28</v>
      </c>
      <c r="CDR24" s="27" t="s">
        <v>28</v>
      </c>
      <c r="CDS24" s="27" t="s">
        <v>28</v>
      </c>
      <c r="CDT24" s="27" t="s">
        <v>28</v>
      </c>
      <c r="CDU24" s="27" t="s">
        <v>28</v>
      </c>
      <c r="CDV24" s="27" t="s">
        <v>28</v>
      </c>
      <c r="CDW24" s="27" t="s">
        <v>28</v>
      </c>
      <c r="CDX24" s="27" t="s">
        <v>28</v>
      </c>
      <c r="CEA24" s="27" t="s">
        <v>8303</v>
      </c>
      <c r="CEB24" s="27" t="s">
        <v>2673</v>
      </c>
      <c r="CEC24" s="27" t="s">
        <v>8305</v>
      </c>
      <c r="CED24" s="27" t="s">
        <v>8420</v>
      </c>
      <c r="CEE24" s="27" t="s">
        <v>8303</v>
      </c>
      <c r="CEF24" s="27" t="s">
        <v>8301</v>
      </c>
      <c r="CEG24" s="27" t="s">
        <v>8420</v>
      </c>
      <c r="CEH24" s="27" t="s">
        <v>8305</v>
      </c>
      <c r="CEI24" s="27" t="s">
        <v>29</v>
      </c>
      <c r="CEJ24" s="27" t="s">
        <v>8420</v>
      </c>
      <c r="CEK24" s="27" t="s">
        <v>8420</v>
      </c>
      <c r="CEL24" s="27" t="s">
        <v>8420</v>
      </c>
      <c r="CEM24" s="27" t="s">
        <v>29</v>
      </c>
      <c r="CEN24" s="27" t="s">
        <v>8301</v>
      </c>
      <c r="CEP24" s="27" t="s">
        <v>8306</v>
      </c>
      <c r="CEQ24" s="27" t="s">
        <v>8304</v>
      </c>
      <c r="CER24" s="27" t="s">
        <v>8305</v>
      </c>
      <c r="CES24" s="27" t="s">
        <v>8306</v>
      </c>
      <c r="CET24" s="27" t="s">
        <v>8304</v>
      </c>
      <c r="CEU24" s="27" t="s">
        <v>8304</v>
      </c>
      <c r="CEV24" s="27" t="s">
        <v>29</v>
      </c>
      <c r="CEW24" s="27" t="s">
        <v>8304</v>
      </c>
      <c r="CEX24" s="27" t="s">
        <v>8420</v>
      </c>
      <c r="CEY24" s="27" t="s">
        <v>8303</v>
      </c>
      <c r="CFB24" s="27" t="s">
        <v>25</v>
      </c>
      <c r="CFC24" s="27" t="s">
        <v>25</v>
      </c>
      <c r="CFD24" s="27" t="s">
        <v>25</v>
      </c>
      <c r="CFE24" s="27" t="s">
        <v>25</v>
      </c>
      <c r="CFF24" s="27" t="s">
        <v>25</v>
      </c>
      <c r="CFG24" s="27" t="s">
        <v>25</v>
      </c>
      <c r="CFH24" s="27" t="s">
        <v>25</v>
      </c>
      <c r="CFI24" s="27" t="s">
        <v>25</v>
      </c>
      <c r="CFJ24" s="27" t="s">
        <v>25</v>
      </c>
      <c r="CFK24" s="27" t="s">
        <v>25</v>
      </c>
      <c r="CFL24" s="27" t="s">
        <v>25</v>
      </c>
      <c r="CFM24" s="27" t="s">
        <v>28</v>
      </c>
      <c r="CFN24" s="27" t="s">
        <v>25</v>
      </c>
      <c r="CFO24" s="27" t="s">
        <v>25</v>
      </c>
      <c r="CFQ24" s="27" t="s">
        <v>25</v>
      </c>
      <c r="CFR24" s="27" t="s">
        <v>25</v>
      </c>
      <c r="CFS24" s="27" t="s">
        <v>25</v>
      </c>
      <c r="CFT24" s="27" t="s">
        <v>25</v>
      </c>
      <c r="CFU24" s="27" t="s">
        <v>25</v>
      </c>
      <c r="CFV24" s="27" t="s">
        <v>28</v>
      </c>
      <c r="CFW24" s="27" t="s">
        <v>25</v>
      </c>
      <c r="CFX24" s="27" t="s">
        <v>28</v>
      </c>
      <c r="CFY24" s="27" t="s">
        <v>28</v>
      </c>
      <c r="CFZ24" s="27" t="s">
        <v>25</v>
      </c>
      <c r="CPW24" s="27">
        <v>1</v>
      </c>
      <c r="CPX24" s="56">
        <v>20</v>
      </c>
      <c r="CQB24" s="25" t="s">
        <v>8372</v>
      </c>
      <c r="CQC24" s="25" t="s">
        <v>8372</v>
      </c>
      <c r="CQD24" s="25" t="s">
        <v>8523</v>
      </c>
      <c r="CQE24" s="25" t="s">
        <v>635</v>
      </c>
      <c r="CQF24" s="25" t="s">
        <v>8372</v>
      </c>
      <c r="CQG24" s="56">
        <v>20</v>
      </c>
      <c r="CQH24" s="56">
        <v>160</v>
      </c>
      <c r="CQI24" s="56">
        <v>170</v>
      </c>
      <c r="CQJ24" s="56">
        <v>150</v>
      </c>
      <c r="CQK24" s="56">
        <v>210</v>
      </c>
      <c r="CQL24" s="25" t="s">
        <v>13665</v>
      </c>
      <c r="CQM24" s="25" t="s">
        <v>8665</v>
      </c>
      <c r="CQN24" s="25" t="s">
        <v>25</v>
      </c>
      <c r="CQO24" s="25" t="s">
        <v>8309</v>
      </c>
      <c r="CQR24" s="25" t="s">
        <v>8828</v>
      </c>
      <c r="CQS24" s="25" t="s">
        <v>25</v>
      </c>
      <c r="CQT24" s="25" t="s">
        <v>8312</v>
      </c>
      <c r="CQU24" s="25" t="s">
        <v>8312</v>
      </c>
      <c r="CQV24" s="25" t="s">
        <v>8312</v>
      </c>
      <c r="CQW24" s="25" t="s">
        <v>8312</v>
      </c>
      <c r="CQX24" s="25" t="s">
        <v>8312</v>
      </c>
      <c r="CQY24" s="25" t="s">
        <v>8312</v>
      </c>
      <c r="CQZ24" s="25" t="s">
        <v>8312</v>
      </c>
      <c r="CRA24" s="25" t="s">
        <v>8312</v>
      </c>
      <c r="CRB24" s="25" t="s">
        <v>8312</v>
      </c>
      <c r="CRC24" s="25" t="s">
        <v>8312</v>
      </c>
      <c r="CRD24" s="25" t="s">
        <v>8312</v>
      </c>
      <c r="CRE24" s="27" t="s">
        <v>8312</v>
      </c>
    </row>
    <row r="25" spans="1:2501" ht="114.75" x14ac:dyDescent="0.2">
      <c r="A25" s="21" t="s">
        <v>144</v>
      </c>
      <c r="B25" s="26">
        <v>0.24</v>
      </c>
      <c r="C25" s="26">
        <v>0.17</v>
      </c>
      <c r="D25" s="26">
        <v>0.01</v>
      </c>
      <c r="E25" s="26">
        <v>0.52</v>
      </c>
      <c r="F25" s="26">
        <v>0</v>
      </c>
      <c r="G25" s="26">
        <v>0</v>
      </c>
      <c r="H25" s="26">
        <v>0</v>
      </c>
      <c r="I25" s="26">
        <v>0</v>
      </c>
      <c r="J25" s="26">
        <v>0</v>
      </c>
      <c r="K25" s="26">
        <v>0</v>
      </c>
      <c r="L25" s="26">
        <v>0</v>
      </c>
      <c r="M25" s="26">
        <v>0.06</v>
      </c>
      <c r="N25" s="26">
        <v>0.5</v>
      </c>
      <c r="O25" s="26">
        <v>0</v>
      </c>
      <c r="P25" s="26">
        <v>0</v>
      </c>
      <c r="Q25" s="26">
        <v>0.5</v>
      </c>
      <c r="R25" s="26">
        <v>0</v>
      </c>
      <c r="S25" s="26">
        <v>0</v>
      </c>
      <c r="T25" s="26">
        <v>0</v>
      </c>
      <c r="U25" s="26">
        <v>0</v>
      </c>
      <c r="V25" s="26">
        <v>0</v>
      </c>
      <c r="W25" s="26">
        <v>0</v>
      </c>
      <c r="X25" s="26">
        <v>0</v>
      </c>
      <c r="Y25" s="26">
        <v>0</v>
      </c>
      <c r="Z25" s="25">
        <v>1</v>
      </c>
      <c r="AA25" s="25" t="s">
        <v>8379</v>
      </c>
      <c r="AC25" s="56">
        <v>3700</v>
      </c>
      <c r="AD25" s="56">
        <v>7400</v>
      </c>
      <c r="AE25" s="56">
        <v>7200</v>
      </c>
      <c r="AF25" s="56">
        <v>14400</v>
      </c>
      <c r="AI25" s="25" t="s">
        <v>8246</v>
      </c>
      <c r="AJ25" s="56">
        <v>700</v>
      </c>
      <c r="AK25" s="56">
        <v>1400</v>
      </c>
      <c r="AL25" s="56">
        <v>1200</v>
      </c>
      <c r="AM25" s="56">
        <v>2400</v>
      </c>
      <c r="AN25" s="25" t="s">
        <v>8350</v>
      </c>
      <c r="AO25" s="25" t="s">
        <v>8248</v>
      </c>
      <c r="BB25" s="25" t="s">
        <v>8249</v>
      </c>
      <c r="DO25" s="25" t="s">
        <v>25</v>
      </c>
      <c r="DP25" s="25" t="s">
        <v>25</v>
      </c>
      <c r="DT25" s="25" t="s">
        <v>13417</v>
      </c>
      <c r="DU25" s="25" t="s">
        <v>13420</v>
      </c>
      <c r="EC25" s="26">
        <v>0.1</v>
      </c>
      <c r="ED25" s="26">
        <v>0.1</v>
      </c>
      <c r="EE25" s="26">
        <v>0.1</v>
      </c>
      <c r="EF25" s="26">
        <v>0.1</v>
      </c>
      <c r="EG25" s="26">
        <v>0.1</v>
      </c>
      <c r="EH25" s="26">
        <v>0.1</v>
      </c>
      <c r="EQ25" s="26">
        <v>0.3</v>
      </c>
      <c r="ER25" s="26">
        <v>0.3</v>
      </c>
      <c r="ES25" s="26">
        <v>0.3</v>
      </c>
      <c r="ET25" s="26">
        <v>0.1</v>
      </c>
      <c r="EU25" s="26">
        <v>0.1</v>
      </c>
      <c r="EX25" s="25" t="s">
        <v>8250</v>
      </c>
      <c r="EY25" s="25" t="s">
        <v>8250</v>
      </c>
      <c r="EZ25" s="25" t="s">
        <v>8250</v>
      </c>
      <c r="FA25" s="25" t="s">
        <v>8250</v>
      </c>
      <c r="FB25" s="25" t="s">
        <v>8250</v>
      </c>
      <c r="FC25" s="25" t="s">
        <v>8250</v>
      </c>
      <c r="FE25" s="25" t="s">
        <v>25</v>
      </c>
      <c r="FF25" s="25" t="s">
        <v>25</v>
      </c>
      <c r="FG25" s="25" t="s">
        <v>25</v>
      </c>
      <c r="FH25" s="25" t="s">
        <v>25</v>
      </c>
      <c r="FI25" s="25" t="s">
        <v>25</v>
      </c>
      <c r="FJ25" s="25" t="s">
        <v>25</v>
      </c>
      <c r="FL25" s="25" t="s">
        <v>13810</v>
      </c>
      <c r="FM25" s="25" t="s">
        <v>13810</v>
      </c>
      <c r="FN25" s="25" t="s">
        <v>13810</v>
      </c>
      <c r="FO25" s="25" t="s">
        <v>8252</v>
      </c>
      <c r="FP25" s="25" t="s">
        <v>8252</v>
      </c>
      <c r="FQ25" s="25" t="s">
        <v>8252</v>
      </c>
      <c r="FR25" s="25" t="s">
        <v>8252</v>
      </c>
      <c r="FS25" s="25" t="s">
        <v>631</v>
      </c>
      <c r="FT25" s="25" t="s">
        <v>631</v>
      </c>
      <c r="FU25" s="25" t="s">
        <v>631</v>
      </c>
      <c r="FV25" s="25" t="s">
        <v>8253</v>
      </c>
      <c r="FW25" s="25" t="s">
        <v>8317</v>
      </c>
      <c r="FX25" s="25" t="s">
        <v>8253</v>
      </c>
      <c r="FY25" s="25" t="s">
        <v>13453</v>
      </c>
      <c r="FZ25" s="25" t="s">
        <v>8262</v>
      </c>
      <c r="GA25" s="25" t="s">
        <v>8262</v>
      </c>
      <c r="GB25" s="25" t="s">
        <v>8262</v>
      </c>
      <c r="GE25" s="56">
        <v>10</v>
      </c>
      <c r="GG25" s="56">
        <v>20</v>
      </c>
      <c r="HH25" s="57">
        <v>0.3</v>
      </c>
      <c r="HI25" s="57">
        <v>0.5</v>
      </c>
      <c r="HN25" s="58">
        <v>0</v>
      </c>
      <c r="HO25" s="56">
        <v>0</v>
      </c>
      <c r="HP25" s="56">
        <v>0</v>
      </c>
      <c r="HQ25" s="56">
        <v>65</v>
      </c>
      <c r="HR25" s="56">
        <v>0</v>
      </c>
      <c r="HS25" s="56">
        <v>90</v>
      </c>
      <c r="IX25" s="11">
        <v>0.3</v>
      </c>
      <c r="IY25" s="11">
        <v>0.5</v>
      </c>
      <c r="JD25" s="56">
        <v>0</v>
      </c>
      <c r="JE25" s="56">
        <v>0</v>
      </c>
      <c r="JF25" s="56">
        <v>0</v>
      </c>
      <c r="JG25" s="56">
        <v>130</v>
      </c>
      <c r="JH25" s="56">
        <v>0</v>
      </c>
      <c r="JI25" s="56">
        <v>210</v>
      </c>
      <c r="KM25" s="25" t="s">
        <v>8352</v>
      </c>
      <c r="KN25" s="25" t="s">
        <v>8256</v>
      </c>
      <c r="KO25" s="25" t="s">
        <v>8321</v>
      </c>
      <c r="KP25" s="25">
        <v>1</v>
      </c>
      <c r="KQ25" s="25" t="s">
        <v>8702</v>
      </c>
      <c r="KS25" s="56">
        <v>2800</v>
      </c>
      <c r="KT25" s="56">
        <v>5600</v>
      </c>
      <c r="KU25" s="56">
        <v>5600</v>
      </c>
      <c r="KV25" s="56">
        <v>11200</v>
      </c>
      <c r="KY25" s="25" t="s">
        <v>8246</v>
      </c>
      <c r="KZ25" s="56">
        <v>1500</v>
      </c>
      <c r="LA25" s="56">
        <v>3000</v>
      </c>
      <c r="LB25" s="56">
        <v>2800</v>
      </c>
      <c r="LC25" s="56">
        <v>5600</v>
      </c>
      <c r="LD25" s="25" t="s">
        <v>8247</v>
      </c>
      <c r="LE25" s="25" t="s">
        <v>8248</v>
      </c>
      <c r="LR25" s="25" t="s">
        <v>8249</v>
      </c>
      <c r="OE25" s="25" t="s">
        <v>25</v>
      </c>
      <c r="OF25" s="25" t="s">
        <v>25</v>
      </c>
      <c r="OH25" s="25" t="s">
        <v>25</v>
      </c>
      <c r="OJ25" s="25" t="s">
        <v>13416</v>
      </c>
      <c r="OK25" s="25" t="s">
        <v>13420</v>
      </c>
      <c r="OS25" s="26">
        <v>0.1</v>
      </c>
      <c r="OT25" s="26">
        <v>0.1</v>
      </c>
      <c r="OU25" s="26">
        <v>0.1</v>
      </c>
      <c r="OV25" s="26">
        <v>0.1</v>
      </c>
      <c r="OW25" s="26">
        <v>0.1</v>
      </c>
      <c r="OX25" s="26">
        <v>0.1</v>
      </c>
      <c r="PG25" s="26">
        <v>0.3</v>
      </c>
      <c r="PH25" s="26">
        <v>0.3</v>
      </c>
      <c r="PI25" s="26">
        <v>0.3</v>
      </c>
      <c r="PJ25" s="26">
        <v>0.1</v>
      </c>
      <c r="PK25" s="26">
        <v>0.1</v>
      </c>
      <c r="PN25" s="25" t="s">
        <v>8250</v>
      </c>
      <c r="PO25" s="25" t="s">
        <v>8250</v>
      </c>
      <c r="PP25" s="25" t="s">
        <v>8250</v>
      </c>
      <c r="PQ25" s="25" t="s">
        <v>8250</v>
      </c>
      <c r="PR25" s="25" t="s">
        <v>8250</v>
      </c>
      <c r="PS25" s="25" t="s">
        <v>8250</v>
      </c>
      <c r="PU25" s="25" t="s">
        <v>25</v>
      </c>
      <c r="PV25" s="25" t="s">
        <v>25</v>
      </c>
      <c r="PW25" s="25" t="s">
        <v>25</v>
      </c>
      <c r="PX25" s="25" t="s">
        <v>25</v>
      </c>
      <c r="PY25" s="25" t="s">
        <v>25</v>
      </c>
      <c r="PZ25" s="25" t="s">
        <v>25</v>
      </c>
      <c r="QB25" s="25" t="s">
        <v>13810</v>
      </c>
      <c r="QC25" s="25" t="s">
        <v>13810</v>
      </c>
      <c r="QD25" s="25" t="s">
        <v>13810</v>
      </c>
      <c r="QE25" s="25" t="s">
        <v>8252</v>
      </c>
      <c r="QF25" s="25" t="s">
        <v>8252</v>
      </c>
      <c r="QG25" s="25" t="s">
        <v>8252</v>
      </c>
      <c r="QH25" s="25" t="s">
        <v>8252</v>
      </c>
      <c r="QI25" s="25" t="s">
        <v>631</v>
      </c>
      <c r="QJ25" s="25" t="s">
        <v>631</v>
      </c>
      <c r="QK25" s="25" t="s">
        <v>631</v>
      </c>
      <c r="QL25" s="25" t="s">
        <v>8253</v>
      </c>
      <c r="QM25" s="25" t="s">
        <v>8317</v>
      </c>
      <c r="QN25" s="25" t="s">
        <v>8253</v>
      </c>
      <c r="QO25" s="25" t="s">
        <v>13453</v>
      </c>
      <c r="QP25" s="25" t="s">
        <v>8262</v>
      </c>
      <c r="QQ25" s="25" t="s">
        <v>8262</v>
      </c>
      <c r="QR25" s="25" t="s">
        <v>8262</v>
      </c>
      <c r="RW25" s="26">
        <v>0.1</v>
      </c>
      <c r="RX25" s="26">
        <v>0.3</v>
      </c>
      <c r="RY25" s="26">
        <v>0.3</v>
      </c>
      <c r="SH25" s="56">
        <v>0</v>
      </c>
      <c r="VC25" s="25" t="s">
        <v>8352</v>
      </c>
      <c r="VD25" s="25" t="s">
        <v>8298</v>
      </c>
      <c r="VE25" s="25" t="s">
        <v>8321</v>
      </c>
      <c r="VF25" s="25">
        <v>1</v>
      </c>
      <c r="VG25" s="25" t="s">
        <v>5487</v>
      </c>
      <c r="VI25" s="56">
        <v>5800</v>
      </c>
      <c r="VJ25" s="56">
        <v>11600</v>
      </c>
      <c r="VO25" s="25" t="s">
        <v>8246</v>
      </c>
      <c r="VP25" s="56">
        <v>200</v>
      </c>
      <c r="VQ25" s="56">
        <v>400</v>
      </c>
      <c r="VT25" s="25" t="s">
        <v>8248</v>
      </c>
      <c r="WG25" s="25" t="s">
        <v>8249</v>
      </c>
      <c r="YT25" s="25" t="s">
        <v>25</v>
      </c>
      <c r="YU25" s="25" t="s">
        <v>25</v>
      </c>
      <c r="YW25" s="25" t="s">
        <v>25</v>
      </c>
      <c r="YY25" s="25" t="s">
        <v>13417</v>
      </c>
      <c r="ZA25" s="56">
        <v>20</v>
      </c>
      <c r="ZB25" s="56">
        <v>35</v>
      </c>
      <c r="ZC25" s="56">
        <v>35</v>
      </c>
      <c r="ZD25" s="56">
        <v>200</v>
      </c>
      <c r="ZE25" s="56">
        <v>60</v>
      </c>
      <c r="ZF25" s="56">
        <v>20</v>
      </c>
      <c r="AAC25" s="25" t="s">
        <v>8250</v>
      </c>
      <c r="AAD25" s="25" t="s">
        <v>8250</v>
      </c>
      <c r="AAE25" s="25" t="s">
        <v>8250</v>
      </c>
      <c r="AAF25" s="25" t="s">
        <v>8250</v>
      </c>
      <c r="AAG25" s="25" t="s">
        <v>8250</v>
      </c>
      <c r="AAH25" s="25" t="s">
        <v>8250</v>
      </c>
      <c r="AAJ25" s="25" t="s">
        <v>25</v>
      </c>
      <c r="AAK25" s="25" t="s">
        <v>25</v>
      </c>
      <c r="AAL25" s="25" t="s">
        <v>25</v>
      </c>
      <c r="AAM25" s="25" t="s">
        <v>25</v>
      </c>
      <c r="AAN25" s="25" t="s">
        <v>25</v>
      </c>
      <c r="AAO25" s="25" t="s">
        <v>25</v>
      </c>
      <c r="AAQ25" s="25" t="s">
        <v>13810</v>
      </c>
      <c r="AAR25" s="25" t="s">
        <v>13810</v>
      </c>
      <c r="AAS25" s="25" t="s">
        <v>13810</v>
      </c>
      <c r="AAT25" s="25" t="s">
        <v>8252</v>
      </c>
      <c r="AAU25" s="25" t="s">
        <v>8252</v>
      </c>
      <c r="AAV25" s="25" t="s">
        <v>8252</v>
      </c>
      <c r="AAW25" s="25" t="s">
        <v>8252</v>
      </c>
      <c r="AAX25" s="25" t="s">
        <v>631</v>
      </c>
      <c r="AAY25" s="25" t="s">
        <v>631</v>
      </c>
      <c r="AAZ25" s="25" t="s">
        <v>631</v>
      </c>
      <c r="ABA25" s="25" t="s">
        <v>8253</v>
      </c>
      <c r="ABB25" s="25" t="s">
        <v>8317</v>
      </c>
      <c r="ABC25" s="25" t="s">
        <v>8253</v>
      </c>
      <c r="ABD25" s="25" t="s">
        <v>13453</v>
      </c>
      <c r="ABE25" s="25" t="s">
        <v>8262</v>
      </c>
      <c r="ABF25" s="25" t="s">
        <v>8262</v>
      </c>
      <c r="ABG25" s="25" t="s">
        <v>8262</v>
      </c>
      <c r="ABJ25" s="56">
        <v>10</v>
      </c>
      <c r="ABL25" s="56">
        <v>20</v>
      </c>
      <c r="ACN25" s="26">
        <v>0.5</v>
      </c>
      <c r="ACU25" s="56">
        <v>0</v>
      </c>
      <c r="ACV25" s="56">
        <v>65</v>
      </c>
      <c r="ACW25" s="56">
        <v>0</v>
      </c>
      <c r="ACX25" s="56">
        <v>90</v>
      </c>
      <c r="AEC25" s="26">
        <v>0.25</v>
      </c>
      <c r="AED25" s="26">
        <v>0.45</v>
      </c>
      <c r="AEI25" s="56">
        <v>0</v>
      </c>
      <c r="AEK25" s="56">
        <v>0</v>
      </c>
      <c r="AEL25" s="56">
        <v>130</v>
      </c>
      <c r="AEM25" s="56">
        <v>0</v>
      </c>
      <c r="AEN25" s="56">
        <v>210</v>
      </c>
      <c r="AFR25" s="25" t="s">
        <v>8352</v>
      </c>
      <c r="AFS25" s="25" t="s">
        <v>8256</v>
      </c>
      <c r="AFT25" s="25" t="s">
        <v>8321</v>
      </c>
      <c r="AFU25" s="25">
        <v>0</v>
      </c>
      <c r="AFX25" s="25"/>
      <c r="AFY25" s="25"/>
      <c r="AFZ25" s="25"/>
      <c r="AGA25" s="25"/>
      <c r="AGB25" s="25"/>
      <c r="AGC25" s="25"/>
      <c r="AGE25" s="25"/>
      <c r="AGF25" s="25"/>
      <c r="AGG25" s="25"/>
      <c r="AGH25" s="25"/>
      <c r="AJP25" s="25"/>
      <c r="AJQ25" s="25"/>
      <c r="AJR25" s="25"/>
      <c r="AJS25" s="25"/>
      <c r="AJT25" s="25"/>
      <c r="AJU25" s="25"/>
      <c r="AJV25" s="25"/>
      <c r="AKD25" s="25"/>
      <c r="AKE25" s="25"/>
      <c r="AKF25" s="25"/>
      <c r="AKG25" s="25"/>
      <c r="AKH25" s="25"/>
      <c r="AKI25" s="25"/>
      <c r="AKJ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H25" s="25"/>
      <c r="ANI25" s="25"/>
      <c r="ANJ25" s="25"/>
      <c r="ANK25" s="25"/>
      <c r="ANL25" s="25"/>
      <c r="ANM25" s="25"/>
      <c r="ANN25" s="25"/>
      <c r="ANO25" s="25"/>
      <c r="ANP25" s="25"/>
      <c r="ANQ25" s="25"/>
      <c r="ANR25" s="25"/>
      <c r="ANS25" s="25"/>
      <c r="ANT25" s="25"/>
      <c r="ANU25" s="25"/>
      <c r="AOC25" s="25"/>
      <c r="AOD25" s="25"/>
      <c r="AOE25" s="25"/>
      <c r="AOF25" s="25"/>
      <c r="AOG25" s="25"/>
      <c r="AOH25" s="25"/>
      <c r="AOI25" s="25"/>
      <c r="AOJ25" s="25"/>
      <c r="AOK25" s="25"/>
      <c r="AOL25" s="25"/>
      <c r="AOM25" s="25"/>
      <c r="AON25" s="25"/>
      <c r="AOO25" s="25"/>
      <c r="AOP25" s="25"/>
      <c r="AOX25" s="25"/>
      <c r="AOY25" s="25"/>
      <c r="AOZ25" s="25"/>
      <c r="APA25" s="25"/>
      <c r="APB25" s="25"/>
      <c r="APC25" s="25"/>
      <c r="APD25" s="25"/>
      <c r="APE25" s="25"/>
      <c r="APF25" s="25"/>
      <c r="APG25" s="25"/>
      <c r="APH25" s="25"/>
      <c r="API25" s="25"/>
      <c r="APJ25" s="25"/>
      <c r="APK25" s="25"/>
      <c r="APS25" s="25"/>
      <c r="APT25" s="25"/>
      <c r="APU25" s="25"/>
      <c r="APV25" s="25"/>
      <c r="APW25" s="25"/>
      <c r="APX25" s="25"/>
      <c r="APY25" s="25"/>
      <c r="APZ25" s="25"/>
      <c r="AQA25" s="25"/>
      <c r="AQB25" s="25"/>
      <c r="AQC25" s="25"/>
      <c r="AQD25" s="25"/>
      <c r="AQE25" s="25"/>
      <c r="AQF25" s="25"/>
      <c r="AQJ25" s="25">
        <v>2</v>
      </c>
      <c r="AQK25" s="25" t="s">
        <v>8460</v>
      </c>
      <c r="AQL25" s="25" t="s">
        <v>8703</v>
      </c>
      <c r="AQM25" s="56">
        <v>1500</v>
      </c>
      <c r="AQN25" s="56">
        <v>3000</v>
      </c>
      <c r="AQS25" s="25" t="s">
        <v>8246</v>
      </c>
      <c r="AQT25" s="56">
        <v>0</v>
      </c>
      <c r="AQU25" s="56">
        <v>0</v>
      </c>
      <c r="AQX25" s="25" t="s">
        <v>8248</v>
      </c>
      <c r="ARK25" s="25" t="s">
        <v>8249</v>
      </c>
      <c r="ATX25" s="25" t="s">
        <v>25</v>
      </c>
      <c r="ATY25" s="25" t="s">
        <v>25</v>
      </c>
      <c r="AUA25" s="25" t="s">
        <v>25</v>
      </c>
      <c r="AUC25" s="25" t="s">
        <v>13433</v>
      </c>
      <c r="AUE25" s="56">
        <v>20</v>
      </c>
      <c r="AUF25" s="56">
        <v>20</v>
      </c>
      <c r="AUG25" s="56">
        <v>20</v>
      </c>
      <c r="AUJ25" s="56">
        <v>20</v>
      </c>
      <c r="AVG25" s="25" t="s">
        <v>8250</v>
      </c>
      <c r="AVH25" s="25" t="s">
        <v>8250</v>
      </c>
      <c r="AVI25" s="25" t="s">
        <v>8250</v>
      </c>
      <c r="AVJ25" s="25" t="s">
        <v>8250</v>
      </c>
      <c r="AVK25" s="25" t="s">
        <v>8250</v>
      </c>
      <c r="AVL25" s="25" t="s">
        <v>8250</v>
      </c>
      <c r="AVU25" s="25" t="s">
        <v>13810</v>
      </c>
      <c r="AVV25" s="25" t="s">
        <v>13810</v>
      </c>
      <c r="AVW25" s="25" t="s">
        <v>13810</v>
      </c>
      <c r="AVX25" s="25" t="s">
        <v>8252</v>
      </c>
      <c r="AVY25" s="25" t="s">
        <v>8252</v>
      </c>
      <c r="AVZ25" s="25" t="s">
        <v>8252</v>
      </c>
      <c r="AWA25" s="25" t="s">
        <v>8252</v>
      </c>
      <c r="AWB25" s="25" t="s">
        <v>631</v>
      </c>
      <c r="AWC25" s="25" t="s">
        <v>631</v>
      </c>
      <c r="AWD25" s="25" t="s">
        <v>631</v>
      </c>
      <c r="AWE25" s="25" t="s">
        <v>8317</v>
      </c>
      <c r="AWF25" s="25" t="s">
        <v>8317</v>
      </c>
      <c r="AWG25" s="25" t="s">
        <v>8317</v>
      </c>
      <c r="AWH25" s="25" t="s">
        <v>13436</v>
      </c>
      <c r="AWI25" s="25" t="s">
        <v>8386</v>
      </c>
      <c r="AWJ25" s="25" t="s">
        <v>8386</v>
      </c>
      <c r="AWK25" s="25" t="s">
        <v>8386</v>
      </c>
      <c r="AWN25" s="56">
        <v>10</v>
      </c>
      <c r="AWR25" s="56">
        <v>20</v>
      </c>
      <c r="AWV25" s="56">
        <v>20</v>
      </c>
      <c r="BAV25" s="25" t="s">
        <v>8255</v>
      </c>
      <c r="BAW25" s="25" t="s">
        <v>8256</v>
      </c>
      <c r="BAX25" s="25" t="s">
        <v>8321</v>
      </c>
      <c r="BAY25" s="25">
        <v>0</v>
      </c>
      <c r="BBB25" s="25"/>
      <c r="BBC25" s="25"/>
      <c r="BBD25" s="25"/>
      <c r="BBE25" s="25"/>
      <c r="BBF25" s="25"/>
      <c r="BBG25" s="25"/>
      <c r="BBI25" s="25"/>
      <c r="BBJ25" s="25"/>
      <c r="BBK25" s="25"/>
      <c r="BBL25" s="25"/>
      <c r="BET25" s="25"/>
      <c r="BEU25" s="25"/>
      <c r="BEV25" s="25"/>
      <c r="BEW25" s="25"/>
      <c r="BEX25" s="25"/>
      <c r="BEY25" s="25"/>
      <c r="BEZ25" s="25"/>
      <c r="BFH25" s="25"/>
      <c r="BFI25" s="25"/>
      <c r="BFJ25" s="25"/>
      <c r="BFK25" s="25"/>
      <c r="BFL25" s="25"/>
      <c r="BFM25" s="25"/>
      <c r="BFN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L25" s="25"/>
      <c r="BIM25" s="25"/>
      <c r="BIN25" s="25"/>
      <c r="BIO25" s="25"/>
      <c r="BIP25" s="25"/>
      <c r="BIQ25" s="25"/>
      <c r="BIR25" s="25"/>
      <c r="BIS25" s="25"/>
      <c r="BIT25" s="25"/>
      <c r="BIU25" s="25"/>
      <c r="BIV25" s="25"/>
      <c r="BIW25" s="25"/>
      <c r="BIX25" s="25"/>
      <c r="BIY25" s="25"/>
      <c r="BJG25" s="25"/>
      <c r="BJH25" s="25"/>
      <c r="BJI25" s="25"/>
      <c r="BJJ25" s="25"/>
      <c r="BJK25" s="25"/>
      <c r="BJL25" s="25"/>
      <c r="BJM25" s="25"/>
      <c r="BJN25" s="25"/>
      <c r="BJO25" s="25"/>
      <c r="BJP25" s="25"/>
      <c r="BJQ25" s="25"/>
      <c r="BJR25" s="25"/>
      <c r="BJS25" s="25"/>
      <c r="BJT25" s="25"/>
      <c r="BKB25" s="25"/>
      <c r="BKC25" s="25"/>
      <c r="BKD25" s="25"/>
      <c r="BKE25" s="25"/>
      <c r="BKF25" s="25"/>
      <c r="BKG25" s="25"/>
      <c r="BKH25" s="25"/>
      <c r="BKI25" s="25"/>
      <c r="BKJ25" s="25"/>
      <c r="BKK25" s="25"/>
      <c r="BKL25" s="25"/>
      <c r="BKM25" s="25"/>
      <c r="BKN25" s="25"/>
      <c r="BKO25" s="25"/>
      <c r="BKW25" s="25"/>
      <c r="BKX25" s="25"/>
      <c r="BKY25" s="25"/>
      <c r="BKZ25" s="25"/>
      <c r="BLA25" s="25"/>
      <c r="BLB25" s="25"/>
      <c r="BLC25" s="25"/>
      <c r="BLD25" s="25"/>
      <c r="BLE25" s="25"/>
      <c r="BLF25" s="25"/>
      <c r="BLG25" s="25"/>
      <c r="BLH25" s="25"/>
      <c r="BLI25" s="25"/>
      <c r="BLJ25" s="25"/>
      <c r="BLN25" s="25">
        <v>0</v>
      </c>
      <c r="BLQ25" s="25"/>
      <c r="BLR25" s="25"/>
      <c r="BLS25" s="25"/>
      <c r="BLT25" s="25"/>
      <c r="BLU25" s="25"/>
      <c r="BLV25" s="25"/>
      <c r="BLX25" s="25"/>
      <c r="BLY25" s="25"/>
      <c r="BLZ25" s="25"/>
      <c r="BMA25" s="25"/>
      <c r="BPI25" s="25"/>
      <c r="BPJ25" s="25"/>
      <c r="BPK25" s="25"/>
      <c r="BPL25" s="25"/>
      <c r="BPM25" s="25"/>
      <c r="BPN25" s="25"/>
      <c r="BPO25" s="25"/>
      <c r="BPW25" s="25"/>
      <c r="BPX25" s="25"/>
      <c r="BPY25" s="25"/>
      <c r="BPZ25" s="25"/>
      <c r="BQA25" s="25"/>
      <c r="BQB25" s="25"/>
      <c r="BQC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TA25" s="25"/>
      <c r="BTB25" s="25"/>
      <c r="BTC25" s="25"/>
      <c r="BTD25" s="25"/>
      <c r="BTE25" s="25"/>
      <c r="BTF25" s="25"/>
      <c r="BTG25" s="25"/>
      <c r="BTH25" s="25"/>
      <c r="BTI25" s="25"/>
      <c r="BTJ25" s="25"/>
      <c r="BTK25" s="25"/>
      <c r="BTL25" s="25"/>
      <c r="BTM25" s="25"/>
      <c r="BTN25" s="25"/>
      <c r="BUQ25" s="25"/>
      <c r="BUR25" s="25"/>
      <c r="BUS25" s="25"/>
      <c r="BUT25" s="25"/>
      <c r="BUU25" s="25"/>
      <c r="BUV25" s="25"/>
      <c r="BUW25" s="25"/>
      <c r="BUX25" s="25"/>
      <c r="BUY25" s="25"/>
      <c r="BUZ25" s="25"/>
      <c r="BVA25" s="25"/>
      <c r="BVB25" s="25"/>
      <c r="BVC25" s="25"/>
      <c r="BVD25" s="25"/>
      <c r="BWC25" s="25" t="s">
        <v>28</v>
      </c>
      <c r="BWD25" s="25" t="s">
        <v>8495</v>
      </c>
      <c r="BWE25" s="25" t="s">
        <v>8357</v>
      </c>
      <c r="BWF25" s="25" t="s">
        <v>13712</v>
      </c>
      <c r="BWG25" s="25" t="s">
        <v>25</v>
      </c>
      <c r="BWH25" s="25" t="s">
        <v>2169</v>
      </c>
      <c r="BWI25" s="25" t="s">
        <v>28</v>
      </c>
      <c r="BWJ25" s="25" t="s">
        <v>8433</v>
      </c>
      <c r="BWK25" s="25" t="s">
        <v>25</v>
      </c>
      <c r="BWM25" s="25" t="s">
        <v>25</v>
      </c>
      <c r="BWO25" s="25" t="s">
        <v>25</v>
      </c>
      <c r="BWQ25" s="25" t="s">
        <v>28</v>
      </c>
      <c r="BWR25" s="25" t="s">
        <v>25</v>
      </c>
      <c r="BWT25" s="25" t="s">
        <v>25</v>
      </c>
      <c r="BWV25" s="25" t="s">
        <v>25</v>
      </c>
      <c r="BWX25" s="25" t="s">
        <v>28</v>
      </c>
      <c r="BWY25" s="25" t="s">
        <v>8704</v>
      </c>
      <c r="BWZ25" s="25" t="s">
        <v>25</v>
      </c>
      <c r="BXB25" s="25" t="s">
        <v>25</v>
      </c>
      <c r="BXD25" s="25" t="s">
        <v>28</v>
      </c>
      <c r="BXE25" s="25" t="s">
        <v>8705</v>
      </c>
      <c r="BXF25" s="25" t="s">
        <v>28</v>
      </c>
      <c r="BXG25" s="56">
        <v>40</v>
      </c>
      <c r="BXH25" s="25" t="s">
        <v>25</v>
      </c>
      <c r="BXJ25" s="25" t="s">
        <v>28</v>
      </c>
      <c r="BXK25" s="25" t="s">
        <v>8270</v>
      </c>
      <c r="BXL25" s="25" t="s">
        <v>8331</v>
      </c>
      <c r="BXM25" s="25" t="s">
        <v>2201</v>
      </c>
      <c r="BXN25" s="25" t="s">
        <v>8272</v>
      </c>
      <c r="BXO25" s="25" t="s">
        <v>8274</v>
      </c>
      <c r="BXP25" s="25" t="s">
        <v>8274</v>
      </c>
      <c r="BXQ25" s="25" t="s">
        <v>8274</v>
      </c>
      <c r="BXR25" s="25" t="s">
        <v>8274</v>
      </c>
      <c r="BXS25" s="25" t="s">
        <v>8274</v>
      </c>
      <c r="BXT25" s="25" t="s">
        <v>8275</v>
      </c>
      <c r="BXW25" s="25" t="s">
        <v>28</v>
      </c>
      <c r="BXX25" s="25" t="s">
        <v>28</v>
      </c>
      <c r="BXY25" s="25" t="s">
        <v>25</v>
      </c>
      <c r="BXZ25" s="25" t="s">
        <v>25</v>
      </c>
      <c r="BYA25" s="25" t="s">
        <v>25</v>
      </c>
      <c r="BYB25" s="25" t="s">
        <v>25</v>
      </c>
      <c r="BYC25" s="25" t="s">
        <v>2201</v>
      </c>
      <c r="BYD25" s="25" t="s">
        <v>28</v>
      </c>
      <c r="BYE25" s="25" t="s">
        <v>13616</v>
      </c>
      <c r="BYF25" s="25" t="s">
        <v>8706</v>
      </c>
      <c r="BYH25" s="25" t="s">
        <v>8515</v>
      </c>
      <c r="BYK25" s="25" t="s">
        <v>28</v>
      </c>
      <c r="BYL25" s="25" t="s">
        <v>28</v>
      </c>
      <c r="BYM25" s="25">
        <v>40</v>
      </c>
      <c r="BYN25" s="25" t="s">
        <v>25</v>
      </c>
      <c r="BYP25" s="25" t="s">
        <v>25</v>
      </c>
      <c r="BYR25" s="25" t="s">
        <v>28</v>
      </c>
      <c r="BYS25" s="25" t="s">
        <v>8279</v>
      </c>
      <c r="BYT25" s="25" t="s">
        <v>8279</v>
      </c>
      <c r="BYU25" s="25" t="s">
        <v>732</v>
      </c>
      <c r="BYV25" s="25" t="s">
        <v>25</v>
      </c>
      <c r="BYW25" s="25" t="s">
        <v>28</v>
      </c>
      <c r="BYX25" s="56">
        <v>750</v>
      </c>
      <c r="BYY25" s="56">
        <v>1500</v>
      </c>
      <c r="BYZ25" s="25" t="s">
        <v>8280</v>
      </c>
      <c r="BZA25" s="25" t="s">
        <v>8707</v>
      </c>
      <c r="BZB25" s="25" t="s">
        <v>256</v>
      </c>
      <c r="BZC25" s="25" t="s">
        <v>8282</v>
      </c>
      <c r="BZD25" s="25" t="s">
        <v>28</v>
      </c>
      <c r="BZE25" s="25" t="s">
        <v>28</v>
      </c>
      <c r="BZF25" s="25" t="s">
        <v>28</v>
      </c>
      <c r="BZG25" s="25" t="s">
        <v>25</v>
      </c>
      <c r="BZJ25" s="25" t="s">
        <v>25</v>
      </c>
      <c r="BZM25" s="25" t="s">
        <v>28</v>
      </c>
      <c r="BZN25" s="25" t="s">
        <v>13633</v>
      </c>
      <c r="BZP25" s="25" t="s">
        <v>8366</v>
      </c>
      <c r="BZQ25" s="56" t="s">
        <v>8392</v>
      </c>
      <c r="BZR25" s="25" t="s">
        <v>28</v>
      </c>
      <c r="BZS25" s="25" t="s">
        <v>25</v>
      </c>
      <c r="BZT25" s="25" t="s">
        <v>8468</v>
      </c>
      <c r="BZV25" s="25" t="s">
        <v>13648</v>
      </c>
      <c r="BZX25" s="25" t="s">
        <v>8484</v>
      </c>
      <c r="BZZ25" s="25" t="s">
        <v>25</v>
      </c>
      <c r="CAC25" s="25" t="s">
        <v>28</v>
      </c>
      <c r="CAD25" s="25" t="s">
        <v>8288</v>
      </c>
      <c r="CAE25" s="25" t="s">
        <v>28</v>
      </c>
      <c r="CAF25" s="25" t="s">
        <v>8289</v>
      </c>
      <c r="CAG25" s="25" t="s">
        <v>25</v>
      </c>
      <c r="CAH25" s="25" t="s">
        <v>631</v>
      </c>
      <c r="CAI25" s="25" t="s">
        <v>631</v>
      </c>
      <c r="CAJ25" s="25" t="s">
        <v>631</v>
      </c>
      <c r="CAK25" s="25" t="s">
        <v>631</v>
      </c>
      <c r="CAL25" s="25" t="s">
        <v>8290</v>
      </c>
      <c r="CAM25" s="25" t="s">
        <v>8290</v>
      </c>
      <c r="CAN25" s="25" t="s">
        <v>8470</v>
      </c>
      <c r="CAO25" s="25" t="s">
        <v>631</v>
      </c>
      <c r="CAP25" s="25" t="s">
        <v>8290</v>
      </c>
      <c r="CAQ25" s="25" t="s">
        <v>8290</v>
      </c>
      <c r="CAR25" s="25" t="s">
        <v>8339</v>
      </c>
      <c r="CAT25" s="25" t="s">
        <v>25</v>
      </c>
      <c r="CBB25" s="25">
        <v>2</v>
      </c>
      <c r="CBC25" s="25">
        <v>0</v>
      </c>
      <c r="CBD25" s="25">
        <v>0</v>
      </c>
      <c r="CBE25" s="56">
        <v>50</v>
      </c>
      <c r="CBF25" s="56">
        <v>150</v>
      </c>
      <c r="CBG25" s="56">
        <v>100</v>
      </c>
      <c r="CBH25" s="56">
        <v>300</v>
      </c>
      <c r="CBI25" s="56">
        <v>2500</v>
      </c>
      <c r="CBJ25" s="56">
        <v>2500</v>
      </c>
      <c r="CBK25" s="56">
        <v>2500</v>
      </c>
      <c r="CBL25" s="56">
        <v>7500</v>
      </c>
      <c r="CBM25" s="26">
        <v>0</v>
      </c>
      <c r="CBN25" s="26">
        <v>0</v>
      </c>
      <c r="CBO25" s="26">
        <v>0.2</v>
      </c>
      <c r="CBP25" s="26">
        <v>0.2</v>
      </c>
      <c r="CBQ25" s="26">
        <v>0.3</v>
      </c>
      <c r="CBR25" s="26">
        <v>0.5</v>
      </c>
      <c r="CBS25" s="26">
        <v>0.3</v>
      </c>
      <c r="CBT25" s="26">
        <v>0.5</v>
      </c>
      <c r="CBU25" s="27" t="s">
        <v>28</v>
      </c>
      <c r="CBV25" s="27" t="s">
        <v>8293</v>
      </c>
      <c r="CBW25" s="27" t="s">
        <v>8294</v>
      </c>
      <c r="CBX25" s="27" t="s">
        <v>8343</v>
      </c>
      <c r="CBY25" s="27" t="s">
        <v>8296</v>
      </c>
      <c r="CBZ25" s="27" t="s">
        <v>8296</v>
      </c>
      <c r="CCA25" s="27" t="s">
        <v>8297</v>
      </c>
      <c r="CCB25" s="27" t="s">
        <v>8298</v>
      </c>
      <c r="CCC25" s="27" t="s">
        <v>8296</v>
      </c>
      <c r="CCD25" s="27" t="s">
        <v>8297</v>
      </c>
      <c r="CCE25" s="27" t="s">
        <v>8297</v>
      </c>
      <c r="CCF25" s="27" t="s">
        <v>8297</v>
      </c>
      <c r="CCG25" s="27" t="s">
        <v>8297</v>
      </c>
      <c r="CCH25" s="27" t="s">
        <v>8296</v>
      </c>
      <c r="CCI25" s="27" t="s">
        <v>8298</v>
      </c>
      <c r="CCJ25" s="27" t="s">
        <v>8298</v>
      </c>
      <c r="CCK25" s="27" t="s">
        <v>8297</v>
      </c>
      <c r="CCL25" s="27" t="s">
        <v>8297</v>
      </c>
      <c r="CCN25" s="27" t="s">
        <v>8296</v>
      </c>
      <c r="CCO25" s="27" t="s">
        <v>8300</v>
      </c>
      <c r="CCP25" s="27" t="s">
        <v>8296</v>
      </c>
      <c r="CCQ25" s="27" t="s">
        <v>8296</v>
      </c>
      <c r="CCR25" s="27" t="s">
        <v>8296</v>
      </c>
      <c r="CCS25" s="27" t="s">
        <v>8296</v>
      </c>
      <c r="CCT25" s="27" t="s">
        <v>8296</v>
      </c>
      <c r="CCU25" s="27" t="s">
        <v>8296</v>
      </c>
      <c r="CCV25" s="27" t="s">
        <v>8298</v>
      </c>
      <c r="CCW25" s="27" t="s">
        <v>8298</v>
      </c>
      <c r="CCX25" s="27" t="s">
        <v>8298</v>
      </c>
      <c r="CCY25" s="27" t="s">
        <v>8298</v>
      </c>
      <c r="CCZ25" s="27" t="s">
        <v>28</v>
      </c>
      <c r="CDA25" s="27" t="s">
        <v>28</v>
      </c>
      <c r="CDB25" s="27" t="s">
        <v>28</v>
      </c>
      <c r="CDC25" s="27" t="s">
        <v>25</v>
      </c>
      <c r="CDD25" s="27" t="s">
        <v>28</v>
      </c>
      <c r="CDE25" s="27" t="s">
        <v>28</v>
      </c>
      <c r="CDF25" s="27" t="s">
        <v>28</v>
      </c>
      <c r="CDG25" s="27" t="s">
        <v>28</v>
      </c>
      <c r="CDH25" s="27" t="s">
        <v>28</v>
      </c>
      <c r="CDI25" s="27" t="s">
        <v>28</v>
      </c>
      <c r="CDJ25" s="27" t="s">
        <v>25</v>
      </c>
      <c r="CDK25" s="27" t="s">
        <v>25</v>
      </c>
      <c r="CDL25" s="27" t="s">
        <v>28</v>
      </c>
      <c r="CDM25" s="27" t="s">
        <v>28</v>
      </c>
      <c r="CDO25" s="27" t="s">
        <v>28</v>
      </c>
      <c r="CDP25" s="27" t="s">
        <v>25</v>
      </c>
      <c r="CDQ25" s="27" t="s">
        <v>28</v>
      </c>
      <c r="CDR25" s="27" t="s">
        <v>28</v>
      </c>
      <c r="CDS25" s="27" t="s">
        <v>28</v>
      </c>
      <c r="CDT25" s="27" t="s">
        <v>28</v>
      </c>
      <c r="CDU25" s="27" t="s">
        <v>25</v>
      </c>
      <c r="CDV25" s="27" t="s">
        <v>28</v>
      </c>
      <c r="CDW25" s="27" t="s">
        <v>25</v>
      </c>
      <c r="CDX25" s="27" t="s">
        <v>25</v>
      </c>
      <c r="CDY25" s="27" t="s">
        <v>25</v>
      </c>
      <c r="CDZ25" s="27" t="s">
        <v>25</v>
      </c>
      <c r="CED25" s="27" t="s">
        <v>8302</v>
      </c>
      <c r="CEK25" s="27" t="s">
        <v>8302</v>
      </c>
      <c r="CEL25" s="27" t="s">
        <v>8302</v>
      </c>
      <c r="CEX25" s="27" t="s">
        <v>8302</v>
      </c>
      <c r="CEY25" s="27" t="s">
        <v>8303</v>
      </c>
      <c r="CEZ25" s="27" t="s">
        <v>8306</v>
      </c>
      <c r="CFA25" s="27" t="s">
        <v>29</v>
      </c>
      <c r="CFB25" s="27" t="s">
        <v>25</v>
      </c>
      <c r="CFC25" s="27" t="s">
        <v>25</v>
      </c>
      <c r="CFD25" s="27" t="s">
        <v>25</v>
      </c>
      <c r="CFE25" s="27" t="s">
        <v>25</v>
      </c>
      <c r="CFF25" s="27" t="s">
        <v>25</v>
      </c>
      <c r="CFG25" s="27" t="s">
        <v>25</v>
      </c>
      <c r="CFH25" s="27" t="s">
        <v>25</v>
      </c>
      <c r="CFI25" s="27" t="s">
        <v>25</v>
      </c>
      <c r="CFJ25" s="27" t="s">
        <v>25</v>
      </c>
      <c r="CFK25" s="27" t="s">
        <v>25</v>
      </c>
      <c r="CFL25" s="27" t="s">
        <v>25</v>
      </c>
      <c r="CFM25" s="27" t="s">
        <v>25</v>
      </c>
      <c r="CFN25" s="27" t="s">
        <v>25</v>
      </c>
      <c r="CFO25" s="27" t="s">
        <v>25</v>
      </c>
      <c r="CFQ25" s="27" t="s">
        <v>25</v>
      </c>
      <c r="CFR25" s="27" t="s">
        <v>25</v>
      </c>
      <c r="CFS25" s="27" t="s">
        <v>25</v>
      </c>
      <c r="CFT25" s="27" t="s">
        <v>25</v>
      </c>
      <c r="CFU25" s="27" t="s">
        <v>25</v>
      </c>
      <c r="CFV25" s="27" t="s">
        <v>25</v>
      </c>
      <c r="CFW25" s="27" t="s">
        <v>25</v>
      </c>
      <c r="CFX25" s="27" t="s">
        <v>25</v>
      </c>
      <c r="CFY25" s="27" t="s">
        <v>25</v>
      </c>
      <c r="CFZ25" s="27" t="s">
        <v>25</v>
      </c>
      <c r="CGA25" s="27" t="s">
        <v>25</v>
      </c>
      <c r="CGB25" s="27" t="s">
        <v>25</v>
      </c>
      <c r="CGV25" s="27" t="s">
        <v>8296</v>
      </c>
      <c r="CGW25" s="27" t="s">
        <v>8296</v>
      </c>
      <c r="CGX25" s="27" t="s">
        <v>8297</v>
      </c>
      <c r="CGY25" s="27" t="s">
        <v>8298</v>
      </c>
      <c r="CGZ25" s="27" t="s">
        <v>8296</v>
      </c>
      <c r="CHA25" s="27" t="s">
        <v>8297</v>
      </c>
      <c r="CHB25" s="27" t="s">
        <v>8297</v>
      </c>
      <c r="CHC25" s="27" t="s">
        <v>8297</v>
      </c>
      <c r="CHD25" s="27" t="s">
        <v>8297</v>
      </c>
      <c r="CHF25" s="27" t="s">
        <v>8298</v>
      </c>
      <c r="CHG25" s="27" t="s">
        <v>8298</v>
      </c>
      <c r="CHH25" s="27" t="s">
        <v>8297</v>
      </c>
      <c r="CHI25" s="27" t="s">
        <v>8297</v>
      </c>
      <c r="CHK25" s="27" t="s">
        <v>8296</v>
      </c>
      <c r="CHL25" s="27" t="s">
        <v>8300</v>
      </c>
      <c r="CHM25" s="27" t="s">
        <v>8296</v>
      </c>
      <c r="CHN25" s="27" t="s">
        <v>8296</v>
      </c>
      <c r="CHO25" s="27" t="s">
        <v>8296</v>
      </c>
      <c r="CHP25" s="27" t="s">
        <v>8296</v>
      </c>
      <c r="CHQ25" s="27" t="s">
        <v>8296</v>
      </c>
      <c r="CHR25" s="27" t="s">
        <v>8296</v>
      </c>
      <c r="CHS25" s="27" t="s">
        <v>8298</v>
      </c>
      <c r="CHT25" s="27" t="s">
        <v>8298</v>
      </c>
      <c r="CHU25" s="27" t="s">
        <v>8298</v>
      </c>
      <c r="CHV25" s="27" t="s">
        <v>8298</v>
      </c>
      <c r="CJA25" s="27" t="s">
        <v>8302</v>
      </c>
      <c r="CJH25" s="27" t="s">
        <v>8302</v>
      </c>
      <c r="CJI25" s="27" t="s">
        <v>8302</v>
      </c>
      <c r="CJU25" s="27" t="s">
        <v>8302</v>
      </c>
      <c r="CJV25" s="27" t="s">
        <v>8303</v>
      </c>
      <c r="CJW25" s="27" t="s">
        <v>8306</v>
      </c>
      <c r="CJX25" s="27" t="s">
        <v>29</v>
      </c>
      <c r="CPW25" s="27">
        <v>0</v>
      </c>
      <c r="CQQ25" s="25" t="s">
        <v>8708</v>
      </c>
      <c r="CQR25" s="25" t="s">
        <v>8709</v>
      </c>
      <c r="CQS25" s="25" t="s">
        <v>25</v>
      </c>
      <c r="CQT25" s="25" t="s">
        <v>8312</v>
      </c>
      <c r="CQU25" s="25" t="s">
        <v>8312</v>
      </c>
      <c r="CQV25" s="25" t="s">
        <v>8312</v>
      </c>
      <c r="CQW25" s="25" t="s">
        <v>8312</v>
      </c>
      <c r="CQX25" s="25" t="s">
        <v>8312</v>
      </c>
      <c r="CQY25" s="25" t="s">
        <v>8313</v>
      </c>
      <c r="CQZ25" s="25" t="s">
        <v>8312</v>
      </c>
      <c r="CRA25" s="25" t="s">
        <v>8314</v>
      </c>
      <c r="CRB25" s="25" t="s">
        <v>8314</v>
      </c>
      <c r="CRC25" s="25" t="s">
        <v>8312</v>
      </c>
      <c r="CRD25" s="25" t="s">
        <v>8314</v>
      </c>
      <c r="CRE25" s="27" t="s">
        <v>8312</v>
      </c>
    </row>
    <row r="26" spans="1:2501" ht="89.25" x14ac:dyDescent="0.2">
      <c r="A26" s="21" t="s">
        <v>140</v>
      </c>
      <c r="B26" s="26">
        <v>0.43</v>
      </c>
      <c r="C26" s="26">
        <v>0.16</v>
      </c>
      <c r="D26" s="26">
        <v>0.15</v>
      </c>
      <c r="E26" s="26">
        <v>0.23</v>
      </c>
      <c r="F26" s="26">
        <v>0</v>
      </c>
      <c r="G26" s="26">
        <v>0</v>
      </c>
      <c r="H26" s="26">
        <v>0</v>
      </c>
      <c r="I26" s="26">
        <v>0</v>
      </c>
      <c r="J26" s="26">
        <v>0</v>
      </c>
      <c r="K26" s="26">
        <v>0</v>
      </c>
      <c r="L26" s="26">
        <v>0</v>
      </c>
      <c r="M26" s="26">
        <v>0.03</v>
      </c>
      <c r="N26" s="26">
        <v>0.43</v>
      </c>
      <c r="O26" s="26">
        <v>0.16</v>
      </c>
      <c r="P26" s="26">
        <v>0.15</v>
      </c>
      <c r="Q26" s="26">
        <v>0.23</v>
      </c>
      <c r="R26" s="26">
        <v>0</v>
      </c>
      <c r="S26" s="26">
        <v>0</v>
      </c>
      <c r="T26" s="26">
        <v>0</v>
      </c>
      <c r="U26" s="26">
        <v>0</v>
      </c>
      <c r="V26" s="26">
        <v>0</v>
      </c>
      <c r="W26" s="26">
        <v>0</v>
      </c>
      <c r="X26" s="26">
        <v>0</v>
      </c>
      <c r="Y26" s="26">
        <v>0.03</v>
      </c>
      <c r="Z26" s="25">
        <v>1</v>
      </c>
      <c r="AA26" s="25" t="s">
        <v>8653</v>
      </c>
      <c r="AC26" s="56">
        <v>4000</v>
      </c>
      <c r="AD26" s="56">
        <v>8000</v>
      </c>
      <c r="AE26" s="56">
        <v>8000</v>
      </c>
      <c r="AF26" s="56">
        <v>16000</v>
      </c>
      <c r="AI26" s="25" t="s">
        <v>13411</v>
      </c>
      <c r="AJ26" s="56">
        <v>400</v>
      </c>
      <c r="AK26" s="56">
        <v>800</v>
      </c>
      <c r="AL26" s="56">
        <v>800</v>
      </c>
      <c r="AM26" s="56">
        <v>1600</v>
      </c>
      <c r="AN26" s="25" t="s">
        <v>8350</v>
      </c>
      <c r="AO26" s="25" t="s">
        <v>8248</v>
      </c>
      <c r="BB26" s="25" t="s">
        <v>8249</v>
      </c>
      <c r="DO26" s="25" t="s">
        <v>25</v>
      </c>
      <c r="DP26" s="25" t="s">
        <v>28</v>
      </c>
      <c r="DQ26" s="25" t="s">
        <v>25</v>
      </c>
      <c r="DR26" s="25" t="s">
        <v>25</v>
      </c>
      <c r="DT26" s="25" t="s">
        <v>13422</v>
      </c>
      <c r="DU26" s="25" t="s">
        <v>13425</v>
      </c>
      <c r="DV26" s="56">
        <v>20</v>
      </c>
      <c r="DX26" s="56">
        <v>20</v>
      </c>
      <c r="DY26" s="56">
        <v>100</v>
      </c>
      <c r="DZ26" s="56">
        <v>25</v>
      </c>
      <c r="EA26" s="56">
        <v>20</v>
      </c>
      <c r="EB26" s="56">
        <v>10</v>
      </c>
      <c r="EC26" s="26">
        <v>0.2</v>
      </c>
      <c r="EE26" s="26">
        <v>0.2</v>
      </c>
      <c r="EF26" s="26">
        <v>0.2</v>
      </c>
      <c r="EG26" s="26">
        <v>0.2</v>
      </c>
      <c r="EH26" s="26">
        <v>0.2</v>
      </c>
      <c r="EI26" s="26">
        <v>0.2</v>
      </c>
      <c r="EM26" s="56">
        <v>100</v>
      </c>
      <c r="EN26" s="56">
        <v>25</v>
      </c>
      <c r="EQ26" s="26">
        <v>0.3</v>
      </c>
      <c r="ER26" s="26">
        <v>0.3</v>
      </c>
      <c r="ES26" s="26">
        <v>0.3</v>
      </c>
      <c r="ET26" s="26">
        <v>0.3</v>
      </c>
      <c r="EX26" s="25" t="s">
        <v>8250</v>
      </c>
      <c r="EY26" s="25" t="s">
        <v>8250</v>
      </c>
      <c r="EZ26" s="25" t="s">
        <v>8250</v>
      </c>
      <c r="FA26" s="25" t="s">
        <v>8250</v>
      </c>
      <c r="FB26" s="25" t="s">
        <v>8250</v>
      </c>
      <c r="FC26" s="25" t="s">
        <v>8250</v>
      </c>
      <c r="FD26" s="25" t="s">
        <v>8250</v>
      </c>
      <c r="FE26" s="25" t="s">
        <v>13593</v>
      </c>
      <c r="FF26" s="25" t="s">
        <v>13593</v>
      </c>
      <c r="FG26" s="25" t="s">
        <v>13593</v>
      </c>
      <c r="FH26" s="25" t="s">
        <v>13593</v>
      </c>
      <c r="FI26" s="25" t="s">
        <v>13593</v>
      </c>
      <c r="FJ26" s="25" t="s">
        <v>13593</v>
      </c>
      <c r="FK26" s="25" t="s">
        <v>13593</v>
      </c>
      <c r="FL26" s="25" t="s">
        <v>13810</v>
      </c>
      <c r="FM26" s="25" t="s">
        <v>13810</v>
      </c>
      <c r="FN26" s="25" t="s">
        <v>13810</v>
      </c>
      <c r="FO26" s="25" t="s">
        <v>13810</v>
      </c>
      <c r="FP26" s="25" t="s">
        <v>13810</v>
      </c>
      <c r="FQ26" s="25" t="s">
        <v>8252</v>
      </c>
      <c r="FR26" s="25" t="s">
        <v>13810</v>
      </c>
      <c r="FS26" s="25" t="s">
        <v>631</v>
      </c>
      <c r="FT26" s="25" t="s">
        <v>631</v>
      </c>
      <c r="FU26" s="25" t="s">
        <v>631</v>
      </c>
      <c r="FV26" s="25" t="s">
        <v>8253</v>
      </c>
      <c r="FW26" s="25" t="s">
        <v>8253</v>
      </c>
      <c r="FX26" s="25" t="s">
        <v>8253</v>
      </c>
      <c r="FY26" s="25" t="s">
        <v>8253</v>
      </c>
      <c r="FZ26" s="25" t="s">
        <v>8253</v>
      </c>
      <c r="GA26" s="25" t="s">
        <v>8253</v>
      </c>
      <c r="GB26" s="25" t="s">
        <v>8253</v>
      </c>
      <c r="GE26" s="56">
        <v>10</v>
      </c>
      <c r="GG26" s="56">
        <v>20</v>
      </c>
      <c r="GI26" s="56">
        <v>25</v>
      </c>
      <c r="GK26" s="56">
        <v>50</v>
      </c>
      <c r="GM26" s="56">
        <v>50</v>
      </c>
      <c r="GO26" s="56">
        <v>100</v>
      </c>
      <c r="IB26" s="26">
        <v>0.5</v>
      </c>
      <c r="IC26" s="26">
        <v>0.5</v>
      </c>
      <c r="ID26" s="26">
        <v>0.5</v>
      </c>
      <c r="KM26" s="25" t="s">
        <v>8352</v>
      </c>
      <c r="KN26" s="25" t="s">
        <v>8298</v>
      </c>
      <c r="KO26" s="25" t="s">
        <v>8321</v>
      </c>
      <c r="KP26" s="25">
        <v>1</v>
      </c>
      <c r="KQ26" s="25" t="s">
        <v>8654</v>
      </c>
      <c r="KS26" s="56">
        <v>4000</v>
      </c>
      <c r="KT26" s="56">
        <v>8000</v>
      </c>
      <c r="KU26" s="56">
        <v>8000</v>
      </c>
      <c r="KV26" s="56">
        <v>16000</v>
      </c>
      <c r="KY26" s="25" t="s">
        <v>8246</v>
      </c>
      <c r="KZ26" s="56">
        <v>2000</v>
      </c>
      <c r="LA26" s="56">
        <v>4000</v>
      </c>
      <c r="LB26" s="56">
        <v>4000</v>
      </c>
      <c r="LC26" s="56">
        <v>8000</v>
      </c>
      <c r="LD26" s="25" t="s">
        <v>8247</v>
      </c>
      <c r="LE26" s="25" t="s">
        <v>8248</v>
      </c>
      <c r="LR26" s="25" t="s">
        <v>8249</v>
      </c>
      <c r="OE26" s="25" t="s">
        <v>25</v>
      </c>
      <c r="OF26" s="25" t="s">
        <v>28</v>
      </c>
      <c r="OG26" s="25" t="s">
        <v>25</v>
      </c>
      <c r="OH26" s="25" t="s">
        <v>25</v>
      </c>
      <c r="OJ26" s="25" t="s">
        <v>13421</v>
      </c>
      <c r="OK26" s="25" t="s">
        <v>13425</v>
      </c>
      <c r="OS26" s="26">
        <v>0.2</v>
      </c>
      <c r="OT26" s="26">
        <v>0.2</v>
      </c>
      <c r="OU26" s="26">
        <v>0.2</v>
      </c>
      <c r="OV26" s="26">
        <v>0.2</v>
      </c>
      <c r="OW26" s="26">
        <v>0.2</v>
      </c>
      <c r="OY26" s="26">
        <v>0.2</v>
      </c>
      <c r="PG26" s="26">
        <v>0.4</v>
      </c>
      <c r="PH26" s="26">
        <v>0.4</v>
      </c>
      <c r="PI26" s="26">
        <v>0.4</v>
      </c>
      <c r="PJ26" s="26">
        <v>0.2</v>
      </c>
      <c r="PK26" s="26">
        <v>0.2</v>
      </c>
      <c r="PM26" s="26">
        <v>0.2</v>
      </c>
      <c r="PN26" s="25" t="s">
        <v>8250</v>
      </c>
      <c r="PO26" s="25" t="s">
        <v>8250</v>
      </c>
      <c r="PP26" s="25" t="s">
        <v>8250</v>
      </c>
      <c r="PQ26" s="25" t="s">
        <v>8250</v>
      </c>
      <c r="PR26" s="25" t="s">
        <v>8250</v>
      </c>
      <c r="PS26" s="25" t="s">
        <v>8250</v>
      </c>
      <c r="PT26" s="25" t="s">
        <v>8250</v>
      </c>
      <c r="PU26" s="25" t="s">
        <v>13593</v>
      </c>
      <c r="PV26" s="25" t="s">
        <v>13593</v>
      </c>
      <c r="PW26" s="25" t="s">
        <v>13593</v>
      </c>
      <c r="PX26" s="25" t="s">
        <v>13593</v>
      </c>
      <c r="PY26" s="25" t="s">
        <v>13593</v>
      </c>
      <c r="PZ26" s="25" t="s">
        <v>13593</v>
      </c>
      <c r="QA26" s="25" t="s">
        <v>13593</v>
      </c>
      <c r="QB26" s="25" t="s">
        <v>13810</v>
      </c>
      <c r="QC26" s="25" t="s">
        <v>13810</v>
      </c>
      <c r="QD26" s="25" t="s">
        <v>13810</v>
      </c>
      <c r="QE26" s="25" t="s">
        <v>13810</v>
      </c>
      <c r="QF26" s="25" t="s">
        <v>13810</v>
      </c>
      <c r="QG26" s="25" t="s">
        <v>8252</v>
      </c>
      <c r="QH26" s="25" t="s">
        <v>13810</v>
      </c>
      <c r="QI26" s="25" t="s">
        <v>631</v>
      </c>
      <c r="QJ26" s="25" t="s">
        <v>631</v>
      </c>
      <c r="QK26" s="25" t="s">
        <v>631</v>
      </c>
      <c r="QL26" s="25" t="s">
        <v>8253</v>
      </c>
      <c r="QM26" s="25" t="s">
        <v>8253</v>
      </c>
      <c r="QN26" s="25" t="s">
        <v>8253</v>
      </c>
      <c r="QO26" s="25" t="s">
        <v>8253</v>
      </c>
      <c r="QP26" s="25" t="s">
        <v>8253</v>
      </c>
      <c r="QQ26" s="25" t="s">
        <v>8253</v>
      </c>
      <c r="QR26" s="25" t="s">
        <v>8253</v>
      </c>
      <c r="RW26" s="26">
        <v>0.1</v>
      </c>
      <c r="RX26" s="26">
        <v>0.2</v>
      </c>
      <c r="RY26" s="26">
        <v>0.3</v>
      </c>
      <c r="SR26" s="26">
        <v>0.5</v>
      </c>
      <c r="SS26" s="26">
        <v>0.5</v>
      </c>
      <c r="ST26" s="26">
        <v>0.5</v>
      </c>
      <c r="SY26" s="56">
        <v>10</v>
      </c>
      <c r="TA26" s="56">
        <v>10</v>
      </c>
      <c r="TC26" s="56">
        <v>10</v>
      </c>
      <c r="VC26" s="25" t="s">
        <v>8477</v>
      </c>
      <c r="VD26" s="25" t="s">
        <v>8298</v>
      </c>
      <c r="VE26" s="25" t="s">
        <v>8321</v>
      </c>
      <c r="VF26" s="25">
        <v>2</v>
      </c>
      <c r="VG26" s="25" t="s">
        <v>8655</v>
      </c>
      <c r="VH26" s="25" t="s">
        <v>8656</v>
      </c>
      <c r="VI26" s="56">
        <v>3000</v>
      </c>
      <c r="VJ26" s="56">
        <v>6000</v>
      </c>
      <c r="VO26" s="25" t="s">
        <v>8260</v>
      </c>
      <c r="VP26" s="56">
        <v>200</v>
      </c>
      <c r="VQ26" s="56">
        <v>400</v>
      </c>
      <c r="VT26" s="25" t="s">
        <v>8248</v>
      </c>
      <c r="WG26" s="25" t="s">
        <v>8249</v>
      </c>
      <c r="YT26" s="25" t="s">
        <v>25</v>
      </c>
      <c r="YU26" s="25" t="s">
        <v>28</v>
      </c>
      <c r="YV26" s="25" t="s">
        <v>25</v>
      </c>
      <c r="YW26" s="25" t="s">
        <v>25</v>
      </c>
      <c r="YY26" s="25" t="s">
        <v>13423</v>
      </c>
      <c r="YZ26" s="25" t="s">
        <v>8432</v>
      </c>
      <c r="ZA26" s="56">
        <v>20</v>
      </c>
      <c r="ZB26" s="56">
        <v>30</v>
      </c>
      <c r="ZC26" s="56">
        <v>20</v>
      </c>
      <c r="ZD26" s="56">
        <v>100</v>
      </c>
      <c r="ZE26" s="56">
        <v>25</v>
      </c>
      <c r="ZN26" s="26">
        <v>0</v>
      </c>
      <c r="ZR26" s="56">
        <v>100</v>
      </c>
      <c r="ZS26" s="56">
        <v>25</v>
      </c>
      <c r="AAC26" s="25" t="s">
        <v>8250</v>
      </c>
      <c r="AAD26" s="25" t="s">
        <v>8250</v>
      </c>
      <c r="AAE26" s="25" t="s">
        <v>8250</v>
      </c>
      <c r="AAF26" s="25" t="s">
        <v>8250</v>
      </c>
      <c r="AAG26" s="25" t="s">
        <v>8250</v>
      </c>
      <c r="AAH26" s="25" t="s">
        <v>8250</v>
      </c>
      <c r="AAI26" s="25" t="s">
        <v>8250</v>
      </c>
      <c r="AAJ26" s="25" t="s">
        <v>13593</v>
      </c>
      <c r="AAK26" s="25" t="s">
        <v>13593</v>
      </c>
      <c r="AAL26" s="25" t="s">
        <v>13593</v>
      </c>
      <c r="AAM26" s="25" t="s">
        <v>13593</v>
      </c>
      <c r="AAN26" s="25" t="s">
        <v>13593</v>
      </c>
      <c r="AAO26" s="25" t="s">
        <v>13593</v>
      </c>
      <c r="AAP26" s="25" t="s">
        <v>13593</v>
      </c>
      <c r="AAQ26" s="25" t="s">
        <v>13810</v>
      </c>
      <c r="AAR26" s="25" t="s">
        <v>13810</v>
      </c>
      <c r="AAS26" s="25" t="s">
        <v>13810</v>
      </c>
      <c r="AAT26" s="25" t="s">
        <v>13810</v>
      </c>
      <c r="AAU26" s="25" t="s">
        <v>13810</v>
      </c>
      <c r="AAV26" s="25" t="s">
        <v>8252</v>
      </c>
      <c r="AAW26" s="25" t="s">
        <v>13810</v>
      </c>
      <c r="AAX26" s="25" t="s">
        <v>631</v>
      </c>
      <c r="AAY26" s="25" t="s">
        <v>631</v>
      </c>
      <c r="AAZ26" s="25" t="s">
        <v>631</v>
      </c>
      <c r="ABA26" s="25" t="s">
        <v>8253</v>
      </c>
      <c r="ABB26" s="25" t="s">
        <v>8253</v>
      </c>
      <c r="ABC26" s="25" t="s">
        <v>8253</v>
      </c>
      <c r="ABD26" s="25" t="s">
        <v>8253</v>
      </c>
      <c r="ABE26" s="25" t="s">
        <v>8253</v>
      </c>
      <c r="ABF26" s="25" t="s">
        <v>8253</v>
      </c>
      <c r="ABG26" s="25" t="s">
        <v>8253</v>
      </c>
      <c r="ABJ26" s="56">
        <v>10</v>
      </c>
      <c r="ABL26" s="56">
        <v>20</v>
      </c>
      <c r="ABN26" s="56">
        <v>25</v>
      </c>
      <c r="ABP26" s="56">
        <v>50</v>
      </c>
      <c r="ABR26" s="56">
        <v>50</v>
      </c>
      <c r="ABT26" s="56">
        <v>100</v>
      </c>
      <c r="AFR26" s="25" t="s">
        <v>8352</v>
      </c>
      <c r="AFS26" s="25" t="s">
        <v>8298</v>
      </c>
      <c r="AFT26" s="25" t="s">
        <v>8321</v>
      </c>
      <c r="AFU26" s="25">
        <v>0</v>
      </c>
      <c r="AFX26" s="25"/>
      <c r="AFY26" s="25"/>
      <c r="AFZ26" s="25"/>
      <c r="AGA26" s="25"/>
      <c r="AGB26" s="25"/>
      <c r="AGC26" s="25"/>
      <c r="AGE26" s="25"/>
      <c r="AGF26" s="25"/>
      <c r="AGG26" s="25"/>
      <c r="AGH26" s="25"/>
      <c r="AJP26" s="25"/>
      <c r="AJQ26" s="25"/>
      <c r="AJR26" s="25"/>
      <c r="AJS26" s="25"/>
      <c r="AJT26" s="25"/>
      <c r="AJU26" s="25"/>
      <c r="AJV26" s="25"/>
      <c r="AKD26" s="25"/>
      <c r="AKE26" s="25"/>
      <c r="AKF26" s="25"/>
      <c r="AKG26" s="25"/>
      <c r="AKH26" s="25"/>
      <c r="AKI26" s="25"/>
      <c r="AKJ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H26" s="25"/>
      <c r="ANI26" s="25"/>
      <c r="ANJ26" s="25"/>
      <c r="ANK26" s="25"/>
      <c r="ANL26" s="25"/>
      <c r="ANM26" s="25"/>
      <c r="ANN26" s="25"/>
      <c r="ANO26" s="25"/>
      <c r="ANP26" s="25"/>
      <c r="ANQ26" s="25"/>
      <c r="ANR26" s="25"/>
      <c r="ANS26" s="25"/>
      <c r="ANT26" s="25"/>
      <c r="ANU26" s="25"/>
      <c r="AOC26" s="25"/>
      <c r="AOD26" s="25"/>
      <c r="AOE26" s="25"/>
      <c r="AOF26" s="25"/>
      <c r="AOG26" s="25"/>
      <c r="AOH26" s="25"/>
      <c r="AOI26" s="25"/>
      <c r="AOJ26" s="25"/>
      <c r="AOK26" s="25"/>
      <c r="AOL26" s="25"/>
      <c r="AOM26" s="25"/>
      <c r="AON26" s="25"/>
      <c r="AOO26" s="25"/>
      <c r="AOP26" s="25"/>
      <c r="AOX26" s="25"/>
      <c r="AOY26" s="25"/>
      <c r="AOZ26" s="25"/>
      <c r="APA26" s="25"/>
      <c r="APB26" s="25"/>
      <c r="APC26" s="25"/>
      <c r="APD26" s="25"/>
      <c r="APE26" s="25"/>
      <c r="APF26" s="25"/>
      <c r="APG26" s="25"/>
      <c r="APH26" s="25"/>
      <c r="API26" s="25"/>
      <c r="APJ26" s="25"/>
      <c r="APK26" s="25"/>
      <c r="APS26" s="25"/>
      <c r="APT26" s="25"/>
      <c r="APU26" s="25"/>
      <c r="APV26" s="25"/>
      <c r="APW26" s="25"/>
      <c r="APX26" s="25"/>
      <c r="APY26" s="25"/>
      <c r="APZ26" s="25"/>
      <c r="AQA26" s="25"/>
      <c r="AQB26" s="25"/>
      <c r="AQC26" s="25"/>
      <c r="AQD26" s="25"/>
      <c r="AQE26" s="25"/>
      <c r="AQF26" s="25"/>
      <c r="AQJ26" s="25">
        <v>2</v>
      </c>
      <c r="AQK26" s="25" t="s">
        <v>8657</v>
      </c>
      <c r="AQL26" s="25" t="s">
        <v>8658</v>
      </c>
      <c r="AQM26" s="56">
        <v>1500</v>
      </c>
      <c r="AQN26" s="56">
        <v>3000</v>
      </c>
      <c r="AQS26" s="25" t="s">
        <v>13592</v>
      </c>
      <c r="AQT26" s="56">
        <v>0</v>
      </c>
      <c r="AQU26" s="56">
        <v>0</v>
      </c>
      <c r="AQX26" s="25" t="s">
        <v>8248</v>
      </c>
      <c r="ARK26" s="25" t="s">
        <v>8249</v>
      </c>
      <c r="ATX26" s="25" t="s">
        <v>25</v>
      </c>
      <c r="ATY26" s="25" t="s">
        <v>28</v>
      </c>
      <c r="ATZ26" s="25" t="s">
        <v>25</v>
      </c>
      <c r="AUA26" s="25" t="s">
        <v>25</v>
      </c>
      <c r="AUC26" s="25" t="s">
        <v>13423</v>
      </c>
      <c r="AUE26" s="56">
        <v>20</v>
      </c>
      <c r="AUF26" s="56">
        <v>30</v>
      </c>
      <c r="AUG26" s="56">
        <v>20</v>
      </c>
      <c r="AUH26" s="56">
        <v>100</v>
      </c>
      <c r="AUI26" s="56">
        <v>20</v>
      </c>
      <c r="AUJ26" s="56">
        <v>20</v>
      </c>
      <c r="AUK26" s="56">
        <v>0</v>
      </c>
      <c r="AVG26" s="25" t="s">
        <v>8250</v>
      </c>
      <c r="AVH26" s="25" t="s">
        <v>8250</v>
      </c>
      <c r="AVI26" s="25" t="s">
        <v>8250</v>
      </c>
      <c r="AVJ26" s="25" t="s">
        <v>8250</v>
      </c>
      <c r="AVK26" s="25" t="s">
        <v>8250</v>
      </c>
      <c r="AVL26" s="25" t="s">
        <v>8250</v>
      </c>
      <c r="AVM26" s="25" t="s">
        <v>8250</v>
      </c>
      <c r="AVN26" s="25" t="s">
        <v>13593</v>
      </c>
      <c r="AVO26" s="25" t="s">
        <v>13593</v>
      </c>
      <c r="AVP26" s="25" t="s">
        <v>13593</v>
      </c>
      <c r="AVQ26" s="25" t="s">
        <v>13593</v>
      </c>
      <c r="AVR26" s="25" t="s">
        <v>13593</v>
      </c>
      <c r="AVS26" s="25" t="s">
        <v>13593</v>
      </c>
      <c r="AVT26" s="25" t="s">
        <v>13593</v>
      </c>
      <c r="AVU26" s="25" t="s">
        <v>13810</v>
      </c>
      <c r="AVV26" s="25" t="s">
        <v>13810</v>
      </c>
      <c r="AVW26" s="25" t="s">
        <v>13810</v>
      </c>
      <c r="AVX26" s="25" t="s">
        <v>13810</v>
      </c>
      <c r="AVY26" s="25" t="s">
        <v>631</v>
      </c>
      <c r="AVZ26" s="25" t="s">
        <v>631</v>
      </c>
      <c r="AWA26" s="25" t="s">
        <v>631</v>
      </c>
      <c r="AWB26" s="25" t="s">
        <v>631</v>
      </c>
      <c r="AWC26" s="25" t="s">
        <v>631</v>
      </c>
      <c r="AWD26" s="25" t="s">
        <v>631</v>
      </c>
      <c r="AWE26" s="25" t="s">
        <v>8253</v>
      </c>
      <c r="AWF26" s="25" t="s">
        <v>8253</v>
      </c>
      <c r="AWG26" s="25" t="s">
        <v>8253</v>
      </c>
      <c r="AWH26" s="25" t="s">
        <v>8253</v>
      </c>
      <c r="AWN26" s="56">
        <v>10</v>
      </c>
      <c r="AWP26" s="56">
        <v>20</v>
      </c>
      <c r="AWR26" s="56">
        <v>25</v>
      </c>
      <c r="AWT26" s="56">
        <v>50</v>
      </c>
      <c r="AWV26" s="56">
        <v>25</v>
      </c>
      <c r="AWX26" s="56">
        <v>50</v>
      </c>
      <c r="AXH26" s="56">
        <v>25</v>
      </c>
      <c r="AXJ26" s="56">
        <v>25</v>
      </c>
      <c r="BAV26" s="25" t="s">
        <v>8255</v>
      </c>
      <c r="BAW26" s="25" t="s">
        <v>8256</v>
      </c>
      <c r="BAX26" s="25" t="s">
        <v>8321</v>
      </c>
      <c r="BAY26" s="25">
        <v>0</v>
      </c>
      <c r="BBB26" s="25"/>
      <c r="BBC26" s="25"/>
      <c r="BBD26" s="25"/>
      <c r="BBE26" s="25"/>
      <c r="BBF26" s="25"/>
      <c r="BBG26" s="25"/>
      <c r="BBI26" s="25"/>
      <c r="BBJ26" s="25"/>
      <c r="BBK26" s="25"/>
      <c r="BBL26" s="25"/>
      <c r="BET26" s="25"/>
      <c r="BEU26" s="25"/>
      <c r="BEV26" s="25"/>
      <c r="BEW26" s="25"/>
      <c r="BEX26" s="25"/>
      <c r="BEY26" s="25"/>
      <c r="BEZ26" s="25"/>
      <c r="BFH26" s="25"/>
      <c r="BFI26" s="25"/>
      <c r="BFJ26" s="25"/>
      <c r="BFK26" s="25"/>
      <c r="BFL26" s="25"/>
      <c r="BFM26" s="25"/>
      <c r="BFN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L26" s="25"/>
      <c r="BIM26" s="25"/>
      <c r="BIN26" s="25"/>
      <c r="BIO26" s="25"/>
      <c r="BIP26" s="25"/>
      <c r="BIQ26" s="25"/>
      <c r="BIR26" s="25"/>
      <c r="BIS26" s="25"/>
      <c r="BIT26" s="25"/>
      <c r="BIU26" s="25"/>
      <c r="BIV26" s="25"/>
      <c r="BIW26" s="25"/>
      <c r="BIX26" s="25"/>
      <c r="BIY26" s="25"/>
      <c r="BJG26" s="25"/>
      <c r="BJH26" s="25"/>
      <c r="BJI26" s="25"/>
      <c r="BJJ26" s="25"/>
      <c r="BJK26" s="25"/>
      <c r="BJL26" s="25"/>
      <c r="BJM26" s="25"/>
      <c r="BJN26" s="25"/>
      <c r="BJO26" s="25"/>
      <c r="BJP26" s="25"/>
      <c r="BJQ26" s="25"/>
      <c r="BJR26" s="25"/>
      <c r="BJS26" s="25"/>
      <c r="BJT26" s="25"/>
      <c r="BKB26" s="25"/>
      <c r="BKC26" s="25"/>
      <c r="BKD26" s="25"/>
      <c r="BKE26" s="25"/>
      <c r="BKF26" s="25"/>
      <c r="BKG26" s="25"/>
      <c r="BKH26" s="25"/>
      <c r="BKI26" s="25"/>
      <c r="BKJ26" s="25"/>
      <c r="BKK26" s="25"/>
      <c r="BKL26" s="25"/>
      <c r="BKM26" s="25"/>
      <c r="BKN26" s="25"/>
      <c r="BKO26" s="25"/>
      <c r="BKW26" s="25"/>
      <c r="BKX26" s="25"/>
      <c r="BKY26" s="25"/>
      <c r="BKZ26" s="25"/>
      <c r="BLA26" s="25"/>
      <c r="BLB26" s="25"/>
      <c r="BLC26" s="25"/>
      <c r="BLD26" s="25"/>
      <c r="BLE26" s="25"/>
      <c r="BLF26" s="25"/>
      <c r="BLG26" s="25"/>
      <c r="BLH26" s="25"/>
      <c r="BLI26" s="25"/>
      <c r="BLJ26" s="25"/>
      <c r="BLN26" s="25">
        <v>0</v>
      </c>
      <c r="BLQ26" s="25"/>
      <c r="BLR26" s="25"/>
      <c r="BLS26" s="25"/>
      <c r="BLT26" s="25"/>
      <c r="BLU26" s="25"/>
      <c r="BLV26" s="25"/>
      <c r="BLX26" s="25"/>
      <c r="BLY26" s="25"/>
      <c r="BLZ26" s="25"/>
      <c r="BMA26" s="25"/>
      <c r="BPI26" s="25"/>
      <c r="BPJ26" s="25"/>
      <c r="BPK26" s="25"/>
      <c r="BPL26" s="25"/>
      <c r="BPM26" s="25"/>
      <c r="BPN26" s="25"/>
      <c r="BPO26" s="25"/>
      <c r="BPW26" s="25"/>
      <c r="BPX26" s="25"/>
      <c r="BPY26" s="25"/>
      <c r="BPZ26" s="25"/>
      <c r="BQA26" s="25"/>
      <c r="BQB26" s="25"/>
      <c r="BQC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TA26" s="25"/>
      <c r="BTB26" s="25"/>
      <c r="BTC26" s="25"/>
      <c r="BTD26" s="25"/>
      <c r="BTE26" s="25"/>
      <c r="BTF26" s="25"/>
      <c r="BTG26" s="25"/>
      <c r="BTH26" s="25"/>
      <c r="BTI26" s="25"/>
      <c r="BTJ26" s="25"/>
      <c r="BTK26" s="25"/>
      <c r="BTL26" s="25"/>
      <c r="BTM26" s="25"/>
      <c r="BTN26" s="25"/>
      <c r="BUQ26" s="25"/>
      <c r="BUR26" s="25"/>
      <c r="BUS26" s="25"/>
      <c r="BUT26" s="25"/>
      <c r="BUU26" s="25"/>
      <c r="BUV26" s="25"/>
      <c r="BUW26" s="25"/>
      <c r="BUX26" s="25"/>
      <c r="BUY26" s="25"/>
      <c r="BUZ26" s="25"/>
      <c r="BVA26" s="25"/>
      <c r="BVB26" s="25"/>
      <c r="BVC26" s="25"/>
      <c r="BVD26" s="25"/>
      <c r="BWC26" s="25" t="s">
        <v>28</v>
      </c>
      <c r="BWD26" s="25" t="s">
        <v>8659</v>
      </c>
      <c r="BWE26" s="25" t="s">
        <v>8660</v>
      </c>
      <c r="BWF26" s="25" t="s">
        <v>13712</v>
      </c>
      <c r="BWG26" s="25" t="s">
        <v>28</v>
      </c>
      <c r="BWH26" s="25" t="s">
        <v>2169</v>
      </c>
      <c r="BWI26" s="25" t="s">
        <v>28</v>
      </c>
      <c r="BWK26" s="25" t="s">
        <v>25</v>
      </c>
      <c r="BWM26" s="25" t="s">
        <v>25</v>
      </c>
      <c r="BWO26" s="25" t="s">
        <v>25</v>
      </c>
      <c r="BWQ26" s="25" t="s">
        <v>28</v>
      </c>
      <c r="BWR26" s="25" t="s">
        <v>25</v>
      </c>
      <c r="BWT26" s="25" t="s">
        <v>25</v>
      </c>
      <c r="BWV26" s="25" t="s">
        <v>25</v>
      </c>
      <c r="BWX26" s="25" t="s">
        <v>28</v>
      </c>
      <c r="BWY26" s="25" t="s">
        <v>8497</v>
      </c>
      <c r="BWZ26" s="25" t="s">
        <v>28</v>
      </c>
      <c r="BXA26" s="56">
        <v>20</v>
      </c>
      <c r="BXB26" s="25" t="s">
        <v>25</v>
      </c>
      <c r="BXD26" s="25" t="s">
        <v>28</v>
      </c>
      <c r="BXE26" s="25" t="s">
        <v>8497</v>
      </c>
      <c r="BXF26" s="25" t="s">
        <v>28</v>
      </c>
      <c r="BXG26" s="56">
        <v>20</v>
      </c>
      <c r="BXH26" s="25" t="s">
        <v>25</v>
      </c>
      <c r="BXJ26" s="25" t="s">
        <v>28</v>
      </c>
      <c r="BXK26" s="25" t="s">
        <v>8270</v>
      </c>
      <c r="BXL26" s="25" t="s">
        <v>8331</v>
      </c>
      <c r="BXM26" s="25" t="s">
        <v>28</v>
      </c>
      <c r="BXN26" s="25" t="s">
        <v>8332</v>
      </c>
      <c r="BXO26" s="25" t="s">
        <v>8274</v>
      </c>
      <c r="BXP26" s="25" t="s">
        <v>8274</v>
      </c>
      <c r="BXW26" s="25" t="s">
        <v>28</v>
      </c>
      <c r="BXX26" s="25" t="s">
        <v>28</v>
      </c>
      <c r="BYB26" s="25" t="s">
        <v>28</v>
      </c>
      <c r="BYC26" s="25" t="s">
        <v>2201</v>
      </c>
      <c r="BYD26" s="25" t="s">
        <v>28</v>
      </c>
      <c r="BYE26" s="25" t="s">
        <v>13612</v>
      </c>
      <c r="BYF26" s="25" t="s">
        <v>8277</v>
      </c>
      <c r="BYH26" s="25" t="s">
        <v>8363</v>
      </c>
      <c r="BYK26" s="25" t="s">
        <v>25</v>
      </c>
      <c r="BYL26" s="25" t="s">
        <v>25</v>
      </c>
      <c r="BYN26" s="25" t="s">
        <v>25</v>
      </c>
      <c r="BYP26" s="25" t="s">
        <v>25</v>
      </c>
      <c r="BYR26" s="25" t="s">
        <v>28</v>
      </c>
      <c r="BYS26" s="25" t="s">
        <v>8279</v>
      </c>
      <c r="BYT26" s="25" t="s">
        <v>8279</v>
      </c>
      <c r="BYU26" s="25" t="s">
        <v>732</v>
      </c>
      <c r="BYV26" s="25" t="s">
        <v>25</v>
      </c>
      <c r="BYW26" s="25" t="s">
        <v>28</v>
      </c>
      <c r="BYX26" s="56">
        <v>1000</v>
      </c>
      <c r="BYY26" s="56">
        <v>2000</v>
      </c>
      <c r="BYZ26" s="25" t="s">
        <v>8280</v>
      </c>
      <c r="BZA26" s="25" t="s">
        <v>8661</v>
      </c>
      <c r="BZB26" s="25" t="s">
        <v>256</v>
      </c>
      <c r="BZC26" s="25" t="s">
        <v>8282</v>
      </c>
      <c r="BZD26" s="25" t="s">
        <v>28</v>
      </c>
      <c r="BZE26" s="25" t="s">
        <v>28</v>
      </c>
      <c r="BZF26" s="25" t="s">
        <v>28</v>
      </c>
      <c r="BZG26" s="25" t="s">
        <v>25</v>
      </c>
      <c r="BZJ26" s="25" t="s">
        <v>25</v>
      </c>
      <c r="BZM26" s="25" t="s">
        <v>28</v>
      </c>
      <c r="BZN26" s="25" t="s">
        <v>13633</v>
      </c>
      <c r="BZP26" s="25" t="s">
        <v>8366</v>
      </c>
      <c r="BZQ26" s="56">
        <v>2000</v>
      </c>
      <c r="BZR26" s="25" t="s">
        <v>607</v>
      </c>
      <c r="BZS26" s="25" t="s">
        <v>25</v>
      </c>
      <c r="BZT26" s="25" t="s">
        <v>8468</v>
      </c>
      <c r="BZV26" s="25" t="s">
        <v>13646</v>
      </c>
      <c r="BZX26" s="25" t="s">
        <v>8662</v>
      </c>
      <c r="BZZ26" s="25" t="s">
        <v>25</v>
      </c>
      <c r="CAC26" s="25" t="s">
        <v>28</v>
      </c>
      <c r="CAD26" s="25" t="s">
        <v>8288</v>
      </c>
      <c r="CAE26" s="25" t="s">
        <v>25</v>
      </c>
      <c r="CAH26" s="25" t="s">
        <v>631</v>
      </c>
      <c r="CAI26" s="25" t="s">
        <v>8290</v>
      </c>
      <c r="CAJ26" s="25" t="s">
        <v>631</v>
      </c>
      <c r="CAK26" s="25" t="s">
        <v>631</v>
      </c>
      <c r="CAL26" s="25" t="s">
        <v>631</v>
      </c>
      <c r="CAM26" s="25" t="s">
        <v>8290</v>
      </c>
      <c r="CAN26" s="25" t="s">
        <v>8290</v>
      </c>
      <c r="CAO26" s="25" t="s">
        <v>631</v>
      </c>
      <c r="CAP26" s="25" t="s">
        <v>631</v>
      </c>
      <c r="CAQ26" s="25" t="s">
        <v>631</v>
      </c>
      <c r="CAR26" s="25" t="s">
        <v>8663</v>
      </c>
      <c r="CAT26" s="25" t="s">
        <v>28</v>
      </c>
      <c r="CAU26" s="25" t="s">
        <v>8664</v>
      </c>
      <c r="CAV26" s="25" t="s">
        <v>8414</v>
      </c>
      <c r="CAW26" s="25" t="s">
        <v>8441</v>
      </c>
      <c r="CAX26" s="25" t="s">
        <v>8342</v>
      </c>
      <c r="CAY26" s="25">
        <v>5</v>
      </c>
      <c r="CAZ26" s="25">
        <v>50</v>
      </c>
      <c r="CBB26" s="25">
        <v>1</v>
      </c>
      <c r="CBC26" s="25">
        <v>0</v>
      </c>
      <c r="CBD26" s="25">
        <v>0</v>
      </c>
      <c r="CBE26" s="56">
        <v>50</v>
      </c>
      <c r="CBF26" s="56">
        <v>150</v>
      </c>
      <c r="CBG26" s="56">
        <v>100</v>
      </c>
      <c r="CBH26" s="56">
        <v>300</v>
      </c>
      <c r="CBI26" s="56">
        <v>2000</v>
      </c>
      <c r="CBK26" s="56">
        <v>2000</v>
      </c>
      <c r="CBM26" s="26">
        <v>0</v>
      </c>
      <c r="CBN26" s="26">
        <v>0</v>
      </c>
      <c r="CBO26" s="26">
        <v>0.1</v>
      </c>
      <c r="CBP26" s="26">
        <v>0.3</v>
      </c>
      <c r="CBQ26" s="26">
        <v>0.4</v>
      </c>
      <c r="CBR26" s="26">
        <v>0.4</v>
      </c>
      <c r="CBS26" s="26">
        <v>0.5</v>
      </c>
      <c r="CBT26" s="26">
        <v>0.5</v>
      </c>
      <c r="CBU26" s="27" t="s">
        <v>28</v>
      </c>
      <c r="CBV26" s="27" t="s">
        <v>8369</v>
      </c>
      <c r="CBW26" s="27" t="s">
        <v>8294</v>
      </c>
      <c r="CBX26" s="27" t="s">
        <v>8343</v>
      </c>
      <c r="CBY26" s="27" t="s">
        <v>8296</v>
      </c>
      <c r="CBZ26" s="27" t="s">
        <v>8296</v>
      </c>
      <c r="CCA26" s="27" t="s">
        <v>8297</v>
      </c>
      <c r="CCB26" s="27" t="s">
        <v>8298</v>
      </c>
      <c r="CCC26" s="27" t="s">
        <v>8296</v>
      </c>
      <c r="CCD26" s="27" t="s">
        <v>8297</v>
      </c>
      <c r="CCE26" s="27" t="s">
        <v>8297</v>
      </c>
      <c r="CCF26" s="27" t="s">
        <v>8297</v>
      </c>
      <c r="CCG26" s="27" t="s">
        <v>8297</v>
      </c>
      <c r="CCH26" s="27" t="s">
        <v>8298</v>
      </c>
      <c r="CCI26" s="27" t="s">
        <v>8298</v>
      </c>
      <c r="CCJ26" s="27" t="s">
        <v>8298</v>
      </c>
      <c r="CCK26" s="27" t="s">
        <v>8299</v>
      </c>
      <c r="CCL26" s="27" t="s">
        <v>8297</v>
      </c>
      <c r="CCN26" s="27" t="s">
        <v>8296</v>
      </c>
      <c r="CCO26" s="27" t="s">
        <v>8300</v>
      </c>
      <c r="CCP26" s="27" t="s">
        <v>8296</v>
      </c>
      <c r="CCQ26" s="27" t="s">
        <v>8296</v>
      </c>
      <c r="CCR26" s="27" t="s">
        <v>8296</v>
      </c>
      <c r="CCS26" s="27" t="s">
        <v>8298</v>
      </c>
      <c r="CCT26" s="27" t="s">
        <v>8296</v>
      </c>
      <c r="CCU26" s="27" t="s">
        <v>8298</v>
      </c>
      <c r="CCV26" s="27" t="s">
        <v>8298</v>
      </c>
      <c r="CCW26" s="27" t="s">
        <v>8298</v>
      </c>
      <c r="CCX26" s="27" t="s">
        <v>8298</v>
      </c>
      <c r="CCY26" s="27" t="s">
        <v>8298</v>
      </c>
      <c r="CCZ26" s="27" t="s">
        <v>28</v>
      </c>
      <c r="CDA26" s="27" t="s">
        <v>28</v>
      </c>
      <c r="CDB26" s="27" t="s">
        <v>28</v>
      </c>
      <c r="CDC26" s="27" t="s">
        <v>28</v>
      </c>
      <c r="CDD26" s="27" t="s">
        <v>28</v>
      </c>
      <c r="CDE26" s="27" t="s">
        <v>28</v>
      </c>
      <c r="CDF26" s="27" t="s">
        <v>28</v>
      </c>
      <c r="CDG26" s="27" t="s">
        <v>28</v>
      </c>
      <c r="CDH26" s="27" t="s">
        <v>28</v>
      </c>
      <c r="CDI26" s="27" t="s">
        <v>28</v>
      </c>
      <c r="CDJ26" s="27" t="s">
        <v>28</v>
      </c>
      <c r="CDK26" s="27" t="s">
        <v>28</v>
      </c>
      <c r="CDL26" s="27" t="s">
        <v>28</v>
      </c>
      <c r="CDM26" s="27" t="s">
        <v>28</v>
      </c>
      <c r="CDO26" s="27" t="s">
        <v>28</v>
      </c>
      <c r="CDP26" s="27" t="s">
        <v>25</v>
      </c>
      <c r="CDQ26" s="27" t="s">
        <v>28</v>
      </c>
      <c r="CDR26" s="27" t="s">
        <v>28</v>
      </c>
      <c r="CDS26" s="27" t="s">
        <v>28</v>
      </c>
      <c r="CDT26" s="27" t="s">
        <v>28</v>
      </c>
      <c r="CDU26" s="27" t="s">
        <v>28</v>
      </c>
      <c r="CDV26" s="27" t="s">
        <v>28</v>
      </c>
      <c r="CDW26" s="27" t="s">
        <v>28</v>
      </c>
      <c r="CDX26" s="27" t="s">
        <v>28</v>
      </c>
      <c r="CDY26" s="27" t="s">
        <v>28</v>
      </c>
      <c r="CDZ26" s="27" t="s">
        <v>28</v>
      </c>
      <c r="CEA26" s="27" t="s">
        <v>2673</v>
      </c>
      <c r="CEB26" s="27" t="s">
        <v>2673</v>
      </c>
      <c r="CEC26" s="27" t="s">
        <v>2673</v>
      </c>
      <c r="CED26" s="27" t="s">
        <v>8302</v>
      </c>
      <c r="CEE26" s="27" t="s">
        <v>2673</v>
      </c>
      <c r="CEF26" s="27" t="s">
        <v>8301</v>
      </c>
      <c r="CEG26" s="27" t="s">
        <v>2673</v>
      </c>
      <c r="CEH26" s="27" t="s">
        <v>8301</v>
      </c>
      <c r="CEI26" s="27" t="s">
        <v>2673</v>
      </c>
      <c r="CEJ26" s="27" t="s">
        <v>2673</v>
      </c>
      <c r="CEK26" s="27" t="s">
        <v>8302</v>
      </c>
      <c r="CEL26" s="27" t="s">
        <v>8302</v>
      </c>
      <c r="CEM26" s="27" t="s">
        <v>8301</v>
      </c>
      <c r="CEN26" s="27" t="s">
        <v>8301</v>
      </c>
      <c r="CEP26" s="27" t="s">
        <v>2673</v>
      </c>
      <c r="CEQ26" s="27" t="s">
        <v>8304</v>
      </c>
      <c r="CER26" s="27" t="s">
        <v>8305</v>
      </c>
      <c r="CES26" s="27" t="s">
        <v>8306</v>
      </c>
      <c r="CET26" s="27" t="s">
        <v>2673</v>
      </c>
      <c r="CEU26" s="27" t="s">
        <v>2673</v>
      </c>
      <c r="CEV26" s="27" t="s">
        <v>2673</v>
      </c>
      <c r="CEW26" s="27" t="s">
        <v>8302</v>
      </c>
      <c r="CEX26" s="27" t="s">
        <v>29</v>
      </c>
      <c r="CEY26" s="27" t="s">
        <v>8303</v>
      </c>
      <c r="CEZ26" s="27" t="s">
        <v>8301</v>
      </c>
      <c r="CFA26" s="27" t="s">
        <v>8301</v>
      </c>
      <c r="CFB26" s="27" t="s">
        <v>25</v>
      </c>
      <c r="CFC26" s="27" t="s">
        <v>25</v>
      </c>
      <c r="CFD26" s="27" t="s">
        <v>25</v>
      </c>
      <c r="CFE26" s="27" t="s">
        <v>25</v>
      </c>
      <c r="CFF26" s="27" t="s">
        <v>25</v>
      </c>
      <c r="CFG26" s="27" t="s">
        <v>25</v>
      </c>
      <c r="CFH26" s="27" t="s">
        <v>25</v>
      </c>
      <c r="CFI26" s="27" t="s">
        <v>25</v>
      </c>
      <c r="CFJ26" s="27" t="s">
        <v>25</v>
      </c>
      <c r="CFK26" s="27" t="s">
        <v>25</v>
      </c>
      <c r="CFL26" s="27" t="s">
        <v>25</v>
      </c>
      <c r="CFM26" s="27" t="s">
        <v>28</v>
      </c>
      <c r="CFN26" s="27" t="s">
        <v>25</v>
      </c>
      <c r="CFO26" s="27" t="s">
        <v>25</v>
      </c>
      <c r="CFQ26" s="27" t="s">
        <v>25</v>
      </c>
      <c r="CFR26" s="27" t="s">
        <v>25</v>
      </c>
      <c r="CFS26" s="27" t="s">
        <v>25</v>
      </c>
      <c r="CFT26" s="27" t="s">
        <v>25</v>
      </c>
      <c r="CFU26" s="27" t="s">
        <v>25</v>
      </c>
      <c r="CFV26" s="27" t="s">
        <v>25</v>
      </c>
      <c r="CFW26" s="27" t="s">
        <v>25</v>
      </c>
      <c r="CFX26" s="27" t="s">
        <v>28</v>
      </c>
      <c r="CFY26" s="27" t="s">
        <v>28</v>
      </c>
      <c r="CFZ26" s="27" t="s">
        <v>25</v>
      </c>
      <c r="CGA26" s="27" t="s">
        <v>25</v>
      </c>
      <c r="CGB26" s="27" t="s">
        <v>25</v>
      </c>
      <c r="CPW26" s="27">
        <v>1</v>
      </c>
      <c r="CPX26" s="56">
        <v>10</v>
      </c>
      <c r="CQB26" s="25" t="s">
        <v>8372</v>
      </c>
      <c r="CQC26" s="25" t="s">
        <v>8372</v>
      </c>
      <c r="CQD26" s="25" t="s">
        <v>8372</v>
      </c>
      <c r="CQE26" s="25" t="s">
        <v>8372</v>
      </c>
      <c r="CQF26" s="25" t="s">
        <v>8372</v>
      </c>
      <c r="CQG26" s="56">
        <v>10</v>
      </c>
      <c r="CQH26" s="56">
        <v>160</v>
      </c>
      <c r="CQI26" s="56">
        <v>175</v>
      </c>
      <c r="CQJ26" s="56">
        <v>150</v>
      </c>
      <c r="CQK26" s="56">
        <v>175</v>
      </c>
      <c r="CQL26" s="25" t="s">
        <v>13748</v>
      </c>
      <c r="CQM26" s="25" t="s">
        <v>8665</v>
      </c>
      <c r="CQN26" s="25" t="s">
        <v>25</v>
      </c>
      <c r="CQO26" s="25" t="s">
        <v>8309</v>
      </c>
      <c r="CQQ26" s="25" t="s">
        <v>8666</v>
      </c>
      <c r="CQS26" s="25" t="s">
        <v>25</v>
      </c>
      <c r="CQT26" s="25" t="s">
        <v>8312</v>
      </c>
      <c r="CQU26" s="25" t="s">
        <v>8312</v>
      </c>
      <c r="CQV26" s="25" t="s">
        <v>8313</v>
      </c>
      <c r="CQW26" s="25" t="s">
        <v>8312</v>
      </c>
      <c r="CQX26" s="25" t="s">
        <v>8312</v>
      </c>
      <c r="CQY26" s="25" t="s">
        <v>8312</v>
      </c>
      <c r="CQZ26" s="25" t="s">
        <v>8312</v>
      </c>
      <c r="CRA26" s="25" t="s">
        <v>8314</v>
      </c>
      <c r="CRB26" s="25" t="s">
        <v>8314</v>
      </c>
      <c r="CRC26" s="25" t="s">
        <v>8314</v>
      </c>
      <c r="CRD26" s="25" t="s">
        <v>8313</v>
      </c>
      <c r="CRE26" s="27" t="s">
        <v>8314</v>
      </c>
    </row>
    <row r="27" spans="1:2501" s="8" customFormat="1" ht="89.25" x14ac:dyDescent="0.2">
      <c r="A27" s="21" t="s">
        <v>127</v>
      </c>
      <c r="B27" s="11">
        <v>0.23</v>
      </c>
      <c r="C27" s="11">
        <v>0.04</v>
      </c>
      <c r="D27" s="11">
        <v>0.15</v>
      </c>
      <c r="E27" s="11">
        <v>0.51</v>
      </c>
      <c r="F27" s="11">
        <v>0</v>
      </c>
      <c r="G27" s="11">
        <v>0</v>
      </c>
      <c r="H27" s="11">
        <v>0</v>
      </c>
      <c r="I27" s="11">
        <v>0</v>
      </c>
      <c r="J27" s="11">
        <v>0</v>
      </c>
      <c r="K27" s="11">
        <v>0</v>
      </c>
      <c r="L27" s="11">
        <v>0</v>
      </c>
      <c r="M27" s="11">
        <v>7.0000000000000007E-2</v>
      </c>
      <c r="N27" s="11">
        <v>0.28000000000000003</v>
      </c>
      <c r="O27" s="11">
        <v>0</v>
      </c>
      <c r="P27" s="11">
        <v>0</v>
      </c>
      <c r="Q27" s="11">
        <v>0.21</v>
      </c>
      <c r="R27" s="11">
        <v>0</v>
      </c>
      <c r="S27" s="11">
        <v>0</v>
      </c>
      <c r="T27" s="11">
        <v>0</v>
      </c>
      <c r="U27" s="11">
        <v>0</v>
      </c>
      <c r="V27" s="11">
        <v>0</v>
      </c>
      <c r="W27" s="11">
        <v>0</v>
      </c>
      <c r="X27" s="11">
        <v>0</v>
      </c>
      <c r="Y27" s="11">
        <v>0.51</v>
      </c>
      <c r="Z27" s="9">
        <v>1</v>
      </c>
      <c r="AA27" s="9" t="s">
        <v>8379</v>
      </c>
      <c r="AB27" s="9"/>
      <c r="AC27" s="39">
        <v>3200</v>
      </c>
      <c r="AD27" s="39">
        <v>6400</v>
      </c>
      <c r="AE27" s="39">
        <v>6400</v>
      </c>
      <c r="AF27" s="39">
        <v>12800</v>
      </c>
      <c r="AG27" s="39">
        <v>12800</v>
      </c>
      <c r="AH27" s="39">
        <v>12800</v>
      </c>
      <c r="AI27" s="9" t="s">
        <v>8246</v>
      </c>
      <c r="AJ27" s="39">
        <v>500</v>
      </c>
      <c r="AK27" s="39">
        <v>1000</v>
      </c>
      <c r="AL27" s="39">
        <v>1000</v>
      </c>
      <c r="AM27" s="39">
        <v>2000</v>
      </c>
      <c r="AN27" s="9" t="s">
        <v>8350</v>
      </c>
      <c r="AO27" s="9" t="s">
        <v>8248</v>
      </c>
      <c r="AP27" s="9"/>
      <c r="AQ27" s="9"/>
      <c r="AR27" s="9"/>
      <c r="AS27" s="9"/>
      <c r="AT27" s="9"/>
      <c r="AU27" s="9"/>
      <c r="AV27" s="9"/>
      <c r="AW27" s="9"/>
      <c r="AX27" s="9"/>
      <c r="AY27" s="9"/>
      <c r="AZ27" s="9"/>
      <c r="BA27" s="9"/>
      <c r="BB27" s="9" t="s">
        <v>8249</v>
      </c>
      <c r="BC27" s="9"/>
      <c r="BD27" s="9"/>
      <c r="BE27" s="9"/>
      <c r="BF27" s="9"/>
      <c r="BG27" s="9"/>
      <c r="BH27" s="9"/>
      <c r="BI27" s="9"/>
      <c r="BJ27" s="9"/>
      <c r="BK27" s="9"/>
      <c r="BL27" s="9"/>
      <c r="BM27" s="9"/>
      <c r="BN27" s="9"/>
      <c r="BO27" s="9"/>
      <c r="BP27" s="9"/>
      <c r="BQ27" s="9"/>
      <c r="BR27" s="9"/>
      <c r="BS27" s="9"/>
      <c r="BT27" s="9"/>
      <c r="BU27" s="9"/>
      <c r="BV27" s="9"/>
      <c r="BW27" s="9"/>
      <c r="BX27" s="39"/>
      <c r="BY27" s="9"/>
      <c r="BZ27" s="9"/>
      <c r="CA27" s="9"/>
      <c r="CB27" s="9"/>
      <c r="CC27" s="9"/>
      <c r="CD27" s="9"/>
      <c r="CE27" s="9"/>
      <c r="CF27" s="9"/>
      <c r="CG27" s="9"/>
      <c r="CH27" s="9"/>
      <c r="CI27" s="9"/>
      <c r="CJ27" s="9"/>
      <c r="CK27" s="39"/>
      <c r="CL27" s="9"/>
      <c r="CM27" s="9"/>
      <c r="CN27" s="9"/>
      <c r="CO27" s="9"/>
      <c r="CP27" s="9"/>
      <c r="CQ27" s="9"/>
      <c r="CR27" s="9"/>
      <c r="CS27" s="9"/>
      <c r="CT27" s="9"/>
      <c r="CU27" s="9"/>
      <c r="CV27" s="39"/>
      <c r="CW27" s="39"/>
      <c r="CX27" s="39"/>
      <c r="CY27" s="39"/>
      <c r="CZ27" s="39"/>
      <c r="DA27" s="39"/>
      <c r="DB27" s="54"/>
      <c r="DC27" s="39"/>
      <c r="DD27" s="39"/>
      <c r="DE27" s="39"/>
      <c r="DF27" s="39"/>
      <c r="DG27" s="39"/>
      <c r="DH27" s="39"/>
      <c r="DI27" s="39"/>
      <c r="DJ27" s="39"/>
      <c r="DK27" s="39"/>
      <c r="DL27" s="39"/>
      <c r="DM27" s="39"/>
      <c r="DN27" s="39"/>
      <c r="DO27" s="9" t="s">
        <v>25</v>
      </c>
      <c r="DP27" s="9" t="s">
        <v>28</v>
      </c>
      <c r="DQ27" s="9" t="s">
        <v>25</v>
      </c>
      <c r="DR27" s="9" t="s">
        <v>25</v>
      </c>
      <c r="DS27" s="9"/>
      <c r="DT27" s="9" t="s">
        <v>13417</v>
      </c>
      <c r="DU27" s="9" t="s">
        <v>13420</v>
      </c>
      <c r="DV27" s="39"/>
      <c r="DW27" s="39"/>
      <c r="DX27" s="39"/>
      <c r="DY27" s="39"/>
      <c r="DZ27" s="39"/>
      <c r="EA27" s="39"/>
      <c r="EB27" s="39"/>
      <c r="EC27" s="26">
        <v>0.2</v>
      </c>
      <c r="ED27" s="26">
        <v>0.2</v>
      </c>
      <c r="EE27" s="26">
        <v>0.2</v>
      </c>
      <c r="EF27" s="26">
        <v>0.2</v>
      </c>
      <c r="EG27" s="26">
        <v>0.2</v>
      </c>
      <c r="EH27" s="26">
        <v>0.2</v>
      </c>
      <c r="EI27" s="9"/>
      <c r="EJ27" s="39"/>
      <c r="EK27" s="39"/>
      <c r="EL27" s="39"/>
      <c r="EM27" s="39"/>
      <c r="EN27" s="39"/>
      <c r="EO27" s="39"/>
      <c r="EP27" s="39"/>
      <c r="EQ27" s="26">
        <v>0.4</v>
      </c>
      <c r="ER27" s="26">
        <v>0.4</v>
      </c>
      <c r="ES27" s="26">
        <v>0.2</v>
      </c>
      <c r="ET27" s="26">
        <v>0.4</v>
      </c>
      <c r="EU27" s="26">
        <v>0.4</v>
      </c>
      <c r="EV27" s="9"/>
      <c r="EW27" s="9"/>
      <c r="EX27" s="9" t="s">
        <v>8250</v>
      </c>
      <c r="EY27" s="9" t="s">
        <v>8250</v>
      </c>
      <c r="EZ27" s="9" t="s">
        <v>8250</v>
      </c>
      <c r="FA27" s="9" t="s">
        <v>8250</v>
      </c>
      <c r="FB27" s="9" t="s">
        <v>8250</v>
      </c>
      <c r="FC27" s="9" t="s">
        <v>8250</v>
      </c>
      <c r="FD27" s="9"/>
      <c r="FE27" s="9" t="s">
        <v>25</v>
      </c>
      <c r="FF27" s="9" t="s">
        <v>25</v>
      </c>
      <c r="FG27" s="9" t="s">
        <v>28</v>
      </c>
      <c r="FH27" s="9" t="s">
        <v>25</v>
      </c>
      <c r="FI27" s="9" t="s">
        <v>25</v>
      </c>
      <c r="FJ27" s="9" t="s">
        <v>25</v>
      </c>
      <c r="FK27" s="9"/>
      <c r="FL27" s="9" t="s">
        <v>8252</v>
      </c>
      <c r="FM27" s="25" t="s">
        <v>13810</v>
      </c>
      <c r="FN27" s="25" t="s">
        <v>13810</v>
      </c>
      <c r="FO27" s="9"/>
      <c r="FP27" s="25" t="s">
        <v>13810</v>
      </c>
      <c r="FQ27" s="25" t="s">
        <v>13810</v>
      </c>
      <c r="FR27" s="25" t="s">
        <v>13810</v>
      </c>
      <c r="FS27" s="25" t="s">
        <v>13810</v>
      </c>
      <c r="FT27" s="9" t="s">
        <v>631</v>
      </c>
      <c r="FU27" s="9" t="s">
        <v>631</v>
      </c>
      <c r="FV27" s="9" t="s">
        <v>8253</v>
      </c>
      <c r="FW27" s="9" t="s">
        <v>8351</v>
      </c>
      <c r="FX27" s="9" t="s">
        <v>8253</v>
      </c>
      <c r="FY27" s="9"/>
      <c r="FZ27" s="9" t="s">
        <v>8486</v>
      </c>
      <c r="GA27" s="9" t="s">
        <v>8262</v>
      </c>
      <c r="GB27" s="9" t="s">
        <v>13436</v>
      </c>
      <c r="GC27" s="9" t="s">
        <v>8487</v>
      </c>
      <c r="GD27" s="9"/>
      <c r="GE27" s="39">
        <v>5</v>
      </c>
      <c r="GF27" s="39"/>
      <c r="GG27" s="39">
        <v>10</v>
      </c>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9"/>
      <c r="HH27" s="57">
        <v>0.2</v>
      </c>
      <c r="HI27" s="57">
        <v>0.4</v>
      </c>
      <c r="HJ27" s="9"/>
      <c r="HK27" s="9"/>
      <c r="HL27" s="9"/>
      <c r="HM27" s="9"/>
      <c r="HN27" s="39"/>
      <c r="HO27" s="39"/>
      <c r="HP27" s="39">
        <v>25</v>
      </c>
      <c r="HQ27" s="39">
        <v>50</v>
      </c>
      <c r="HR27" s="39">
        <v>50</v>
      </c>
      <c r="HS27" s="39">
        <v>75</v>
      </c>
      <c r="HT27" s="39"/>
      <c r="HU27" s="39"/>
      <c r="HV27" s="39"/>
      <c r="HW27" s="39"/>
      <c r="HX27" s="39"/>
      <c r="HY27" s="39"/>
      <c r="HZ27" s="39"/>
      <c r="IA27" s="39"/>
      <c r="IB27" s="26">
        <v>0.4</v>
      </c>
      <c r="IC27" s="26">
        <v>0.4</v>
      </c>
      <c r="ID27" s="26">
        <v>0.4</v>
      </c>
      <c r="IE27" s="9"/>
      <c r="IF27" s="9"/>
      <c r="IG27" s="9"/>
      <c r="IH27" s="9"/>
      <c r="II27" s="39"/>
      <c r="IJ27" s="39"/>
      <c r="IK27" s="39"/>
      <c r="IL27" s="39"/>
      <c r="IM27" s="39"/>
      <c r="IN27" s="39"/>
      <c r="IO27" s="39"/>
      <c r="IP27" s="39"/>
      <c r="IQ27" s="39"/>
      <c r="IR27" s="39"/>
      <c r="IS27" s="39"/>
      <c r="IT27" s="39"/>
      <c r="IU27" s="39"/>
      <c r="IV27" s="39"/>
      <c r="IW27" s="9"/>
      <c r="IX27" s="11">
        <v>0.2</v>
      </c>
      <c r="IY27" s="11">
        <v>0.4</v>
      </c>
      <c r="IZ27" s="9"/>
      <c r="JA27" s="9"/>
      <c r="JB27" s="9"/>
      <c r="JC27" s="9"/>
      <c r="JD27" s="39"/>
      <c r="JE27" s="39"/>
      <c r="JF27" s="39">
        <v>50</v>
      </c>
      <c r="JG27" s="39">
        <v>100</v>
      </c>
      <c r="JH27" s="39">
        <v>100</v>
      </c>
      <c r="JI27" s="39">
        <v>150</v>
      </c>
      <c r="JJ27" s="39"/>
      <c r="JK27" s="39"/>
      <c r="JL27" s="39"/>
      <c r="JM27" s="39"/>
      <c r="JN27" s="39"/>
      <c r="JO27" s="39"/>
      <c r="JP27" s="39"/>
      <c r="JQ27" s="39"/>
      <c r="JR27" s="9"/>
      <c r="JS27" s="9"/>
      <c r="JT27" s="9"/>
      <c r="JU27" s="9"/>
      <c r="JV27" s="9"/>
      <c r="JW27" s="9"/>
      <c r="JX27" s="9"/>
      <c r="JY27" s="39"/>
      <c r="JZ27" s="39"/>
      <c r="KA27" s="39"/>
      <c r="KB27" s="39"/>
      <c r="KC27" s="39"/>
      <c r="KD27" s="39"/>
      <c r="KE27" s="39"/>
      <c r="KF27" s="39"/>
      <c r="KG27" s="39"/>
      <c r="KH27" s="39"/>
      <c r="KI27" s="39"/>
      <c r="KJ27" s="39"/>
      <c r="KK27" s="39"/>
      <c r="KL27" s="39"/>
      <c r="KM27" s="9" t="s">
        <v>8352</v>
      </c>
      <c r="KN27" s="9" t="s">
        <v>8256</v>
      </c>
      <c r="KO27" s="9" t="s">
        <v>8321</v>
      </c>
      <c r="KP27" s="9">
        <v>1</v>
      </c>
      <c r="KQ27" s="9" t="s">
        <v>9345</v>
      </c>
      <c r="KR27" s="9"/>
      <c r="KS27" s="39">
        <v>3000</v>
      </c>
      <c r="KT27" s="39">
        <v>4500</v>
      </c>
      <c r="KU27" s="39">
        <v>4000</v>
      </c>
      <c r="KV27" s="39">
        <v>6000</v>
      </c>
      <c r="KW27" s="39">
        <v>6000</v>
      </c>
      <c r="KX27" s="39">
        <v>6000</v>
      </c>
      <c r="KY27" s="9" t="s">
        <v>8246</v>
      </c>
      <c r="KZ27" s="39">
        <v>2000</v>
      </c>
      <c r="LA27" s="39">
        <v>3000</v>
      </c>
      <c r="LB27" s="39">
        <v>3000</v>
      </c>
      <c r="LC27" s="39">
        <v>4500</v>
      </c>
      <c r="LD27" s="9" t="s">
        <v>8247</v>
      </c>
      <c r="LE27" s="9" t="s">
        <v>8248</v>
      </c>
      <c r="LF27" s="9"/>
      <c r="LG27" s="9"/>
      <c r="LH27" s="9"/>
      <c r="LI27" s="9"/>
      <c r="LJ27" s="9"/>
      <c r="LK27" s="9"/>
      <c r="LL27" s="9"/>
      <c r="LM27" s="9"/>
      <c r="LN27" s="9"/>
      <c r="LO27" s="9"/>
      <c r="LP27" s="9"/>
      <c r="LQ27" s="9"/>
      <c r="LR27" s="9" t="s">
        <v>8249</v>
      </c>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39"/>
      <c r="OB27" s="9"/>
      <c r="OC27" s="9"/>
      <c r="OD27" s="9"/>
      <c r="OE27" s="9" t="s">
        <v>25</v>
      </c>
      <c r="OF27" s="9" t="s">
        <v>28</v>
      </c>
      <c r="OG27" s="9" t="s">
        <v>25</v>
      </c>
      <c r="OH27" s="9" t="s">
        <v>25</v>
      </c>
      <c r="OI27" s="9"/>
      <c r="OJ27" s="9" t="s">
        <v>13420</v>
      </c>
      <c r="OK27" s="9" t="s">
        <v>13420</v>
      </c>
      <c r="OL27" s="39"/>
      <c r="OM27" s="39"/>
      <c r="ON27" s="39"/>
      <c r="OO27" s="39"/>
      <c r="OP27" s="39"/>
      <c r="OQ27" s="39"/>
      <c r="OR27" s="39"/>
      <c r="OS27" s="26">
        <v>0.1</v>
      </c>
      <c r="OT27" s="26">
        <v>0.1</v>
      </c>
      <c r="OU27" s="26">
        <v>0.1</v>
      </c>
      <c r="OV27" s="26">
        <v>0.1</v>
      </c>
      <c r="OW27" s="26">
        <v>0.1</v>
      </c>
      <c r="OX27" s="9"/>
      <c r="OY27" s="9"/>
      <c r="OZ27" s="39"/>
      <c r="PA27" s="39"/>
      <c r="PB27" s="39"/>
      <c r="PC27" s="39"/>
      <c r="PD27" s="39"/>
      <c r="PE27" s="39"/>
      <c r="PF27" s="39"/>
      <c r="PG27" s="26">
        <v>0.3</v>
      </c>
      <c r="PH27" s="26">
        <v>0.3</v>
      </c>
      <c r="PI27" s="26">
        <v>0.1</v>
      </c>
      <c r="PJ27" s="26">
        <v>0.3</v>
      </c>
      <c r="PK27" s="26">
        <v>0.1</v>
      </c>
      <c r="PL27" s="9"/>
      <c r="PM27" s="9"/>
      <c r="PN27" s="9" t="s">
        <v>8250</v>
      </c>
      <c r="PO27" s="9" t="s">
        <v>8250</v>
      </c>
      <c r="PP27" s="9" t="s">
        <v>8250</v>
      </c>
      <c r="PQ27" s="9" t="s">
        <v>8250</v>
      </c>
      <c r="PR27" s="9" t="s">
        <v>8250</v>
      </c>
      <c r="PS27" s="9"/>
      <c r="PT27" s="9"/>
      <c r="PU27" s="9" t="s">
        <v>25</v>
      </c>
      <c r="PV27" s="9" t="s">
        <v>25</v>
      </c>
      <c r="PW27" s="9" t="s">
        <v>28</v>
      </c>
      <c r="PX27" s="9" t="s">
        <v>25</v>
      </c>
      <c r="PY27" s="9" t="s">
        <v>25</v>
      </c>
      <c r="PZ27" s="9"/>
      <c r="QA27" s="9"/>
      <c r="QB27" s="25" t="s">
        <v>13810</v>
      </c>
      <c r="QC27" s="25" t="s">
        <v>13810</v>
      </c>
      <c r="QD27" s="25" t="s">
        <v>13810</v>
      </c>
      <c r="QE27" s="25" t="s">
        <v>13810</v>
      </c>
      <c r="QF27" s="25" t="s">
        <v>13810</v>
      </c>
      <c r="QG27" s="25" t="s">
        <v>13810</v>
      </c>
      <c r="QH27" s="25" t="s">
        <v>13810</v>
      </c>
      <c r="QI27" s="25" t="s">
        <v>13810</v>
      </c>
      <c r="QJ27" s="9" t="s">
        <v>631</v>
      </c>
      <c r="QK27" s="9" t="s">
        <v>631</v>
      </c>
      <c r="QL27" s="9" t="s">
        <v>8253</v>
      </c>
      <c r="QM27" s="9" t="s">
        <v>8317</v>
      </c>
      <c r="QN27" s="9" t="s">
        <v>8253</v>
      </c>
      <c r="QO27" s="9" t="s">
        <v>13436</v>
      </c>
      <c r="QP27" s="9" t="s">
        <v>8486</v>
      </c>
      <c r="QQ27" s="9" t="s">
        <v>8262</v>
      </c>
      <c r="QR27" s="9" t="s">
        <v>13436</v>
      </c>
      <c r="QS27" s="9" t="s">
        <v>8487</v>
      </c>
      <c r="QT27" s="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26">
        <v>0.1</v>
      </c>
      <c r="RX27" s="26">
        <v>0.2</v>
      </c>
      <c r="RY27" s="26">
        <v>0.35</v>
      </c>
      <c r="RZ27" s="9"/>
      <c r="SA27" s="9"/>
      <c r="SB27" s="9"/>
      <c r="SC27" s="9"/>
      <c r="SD27" s="39"/>
      <c r="SE27" s="39"/>
      <c r="SF27" s="39"/>
      <c r="SG27" s="39"/>
      <c r="SH27" s="39"/>
      <c r="SI27" s="39"/>
      <c r="SJ27" s="39"/>
      <c r="SK27" s="39"/>
      <c r="SL27" s="39"/>
      <c r="SM27" s="39"/>
      <c r="SN27" s="39"/>
      <c r="SO27" s="39"/>
      <c r="SP27" s="39"/>
      <c r="SQ27" s="39"/>
      <c r="SR27" s="9"/>
      <c r="SS27" s="9"/>
      <c r="ST27" s="9"/>
      <c r="SU27" s="9"/>
      <c r="SV27" s="9"/>
      <c r="SW27" s="9"/>
      <c r="SX27" s="9"/>
      <c r="SY27" s="39"/>
      <c r="SZ27" s="39"/>
      <c r="TA27" s="39"/>
      <c r="TB27" s="39"/>
      <c r="TC27" s="39"/>
      <c r="TD27" s="39"/>
      <c r="TE27" s="39"/>
      <c r="TF27" s="39"/>
      <c r="TG27" s="39"/>
      <c r="TH27" s="39"/>
      <c r="TI27" s="39"/>
      <c r="TJ27" s="39"/>
      <c r="TK27" s="39"/>
      <c r="TL27" s="39"/>
      <c r="TM27" s="9"/>
      <c r="TN27" s="9"/>
      <c r="TO27" s="9"/>
      <c r="TP27" s="9"/>
      <c r="TQ27" s="9"/>
      <c r="TR27" s="9"/>
      <c r="TS27" s="9"/>
      <c r="TT27" s="39"/>
      <c r="TU27" s="39"/>
      <c r="TV27" s="39"/>
      <c r="TW27" s="39"/>
      <c r="TX27" s="39"/>
      <c r="TY27" s="39"/>
      <c r="TZ27" s="39"/>
      <c r="UA27" s="39"/>
      <c r="UB27" s="39"/>
      <c r="UC27" s="39"/>
      <c r="UD27" s="39"/>
      <c r="UE27" s="39"/>
      <c r="UF27" s="39"/>
      <c r="UG27" s="39"/>
      <c r="UH27" s="9"/>
      <c r="UI27" s="9"/>
      <c r="UJ27" s="9"/>
      <c r="UK27" s="9"/>
      <c r="UL27" s="9"/>
      <c r="UM27" s="9"/>
      <c r="UN27" s="9"/>
      <c r="UO27" s="39"/>
      <c r="UP27" s="39"/>
      <c r="UQ27" s="39"/>
      <c r="UR27" s="39"/>
      <c r="US27" s="39"/>
      <c r="UT27" s="39"/>
      <c r="UU27" s="39"/>
      <c r="UV27" s="39"/>
      <c r="UW27" s="39"/>
      <c r="UX27" s="39"/>
      <c r="UY27" s="39"/>
      <c r="UZ27" s="39"/>
      <c r="VA27" s="39"/>
      <c r="VB27" s="39"/>
      <c r="VC27" s="9" t="s">
        <v>8352</v>
      </c>
      <c r="VD27" s="9" t="s">
        <v>8256</v>
      </c>
      <c r="VE27" s="9" t="s">
        <v>8321</v>
      </c>
      <c r="VF27" s="9">
        <v>2</v>
      </c>
      <c r="VG27" s="9" t="s">
        <v>9346</v>
      </c>
      <c r="VH27" s="9" t="s">
        <v>13813</v>
      </c>
      <c r="VI27" s="39">
        <v>3000</v>
      </c>
      <c r="VJ27" s="39">
        <v>4500</v>
      </c>
      <c r="VK27" s="39"/>
      <c r="VL27" s="39"/>
      <c r="VM27" s="39"/>
      <c r="VN27" s="39"/>
      <c r="VO27" s="9" t="s">
        <v>8260</v>
      </c>
      <c r="VP27" s="39">
        <v>1350</v>
      </c>
      <c r="VQ27" s="39">
        <v>2700</v>
      </c>
      <c r="VR27" s="39"/>
      <c r="VS27" s="39"/>
      <c r="VT27" s="9" t="s">
        <v>8248</v>
      </c>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t="s">
        <v>25</v>
      </c>
      <c r="YU27" s="9" t="s">
        <v>25</v>
      </c>
      <c r="YV27" s="9"/>
      <c r="YW27" s="9" t="s">
        <v>25</v>
      </c>
      <c r="YX27" s="9"/>
      <c r="YY27" s="9"/>
      <c r="YZ27" s="9"/>
      <c r="ZA27" s="39"/>
      <c r="ZB27" s="39"/>
      <c r="ZC27" s="39"/>
      <c r="ZD27" s="39"/>
      <c r="ZE27" s="39"/>
      <c r="ZF27" s="39"/>
      <c r="ZG27" s="39"/>
      <c r="ZH27" s="9"/>
      <c r="ZI27" s="9"/>
      <c r="ZJ27" s="9"/>
      <c r="ZK27" s="9"/>
      <c r="ZL27" s="9"/>
      <c r="ZM27" s="9"/>
      <c r="ZN27" s="9"/>
      <c r="ZO27" s="39"/>
      <c r="ZP27" s="39"/>
      <c r="ZQ27" s="39"/>
      <c r="ZR27" s="39"/>
      <c r="ZS27" s="39"/>
      <c r="ZT27" s="39"/>
      <c r="ZU27" s="39"/>
      <c r="ZV27" s="9"/>
      <c r="ZW27" s="9"/>
      <c r="ZX27" s="9"/>
      <c r="ZY27" s="9"/>
      <c r="ZZ27" s="9"/>
      <c r="AAA27" s="9"/>
      <c r="AAB27" s="9"/>
      <c r="AAC27" s="9" t="s">
        <v>8250</v>
      </c>
      <c r="AAD27" s="9" t="s">
        <v>8250</v>
      </c>
      <c r="AAE27" s="9" t="s">
        <v>8250</v>
      </c>
      <c r="AAF27" s="9" t="s">
        <v>8250</v>
      </c>
      <c r="AAG27" s="9" t="s">
        <v>8250</v>
      </c>
      <c r="AAH27" s="9"/>
      <c r="AAI27" s="9" t="s">
        <v>8250</v>
      </c>
      <c r="AAJ27" s="9" t="s">
        <v>25</v>
      </c>
      <c r="AAK27" s="9" t="s">
        <v>25</v>
      </c>
      <c r="AAL27" s="9" t="s">
        <v>25</v>
      </c>
      <c r="AAM27" s="9" t="s">
        <v>25</v>
      </c>
      <c r="AAN27" s="9" t="s">
        <v>25</v>
      </c>
      <c r="AAO27" s="9"/>
      <c r="AAP27" s="9"/>
      <c r="AAQ27" s="9" t="s">
        <v>8252</v>
      </c>
      <c r="AAR27" s="9" t="s">
        <v>8252</v>
      </c>
      <c r="AAS27" s="9" t="s">
        <v>8252</v>
      </c>
      <c r="AAT27" s="9" t="s">
        <v>8252</v>
      </c>
      <c r="AAU27" s="9" t="s">
        <v>8252</v>
      </c>
      <c r="AAV27" s="9" t="s">
        <v>8252</v>
      </c>
      <c r="AAW27" s="9" t="s">
        <v>8252</v>
      </c>
      <c r="AAX27" s="9" t="s">
        <v>8252</v>
      </c>
      <c r="AAY27" s="9" t="s">
        <v>631</v>
      </c>
      <c r="AAZ27" s="9" t="s">
        <v>631</v>
      </c>
      <c r="ABA27" s="9" t="s">
        <v>8253</v>
      </c>
      <c r="ABB27" s="9" t="s">
        <v>8351</v>
      </c>
      <c r="ABC27" s="9" t="s">
        <v>8253</v>
      </c>
      <c r="ABD27" s="9" t="s">
        <v>13436</v>
      </c>
      <c r="ABE27" s="9" t="s">
        <v>8486</v>
      </c>
      <c r="ABF27" s="9" t="s">
        <v>8262</v>
      </c>
      <c r="ABG27" s="9" t="s">
        <v>13436</v>
      </c>
      <c r="ABH27" s="9" t="s">
        <v>8487</v>
      </c>
      <c r="ABI27" s="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9"/>
      <c r="ACM27" s="9"/>
      <c r="ACN27" s="26">
        <v>0.35</v>
      </c>
      <c r="ACO27" s="9"/>
      <c r="ACP27" s="9"/>
      <c r="ACQ27" s="9"/>
      <c r="ACR27" s="9"/>
      <c r="ACS27" s="39"/>
      <c r="ACT27" s="39"/>
      <c r="ACU27" s="39"/>
      <c r="ACV27" s="39"/>
      <c r="ACW27" s="39"/>
      <c r="ACX27" s="39"/>
      <c r="ACY27" s="39"/>
      <c r="ACZ27" s="39"/>
      <c r="ADA27" s="39"/>
      <c r="ADB27" s="39"/>
      <c r="ADC27" s="39"/>
      <c r="ADD27" s="39"/>
      <c r="ADE27" s="39"/>
      <c r="ADF27" s="39"/>
      <c r="ADG27" s="9"/>
      <c r="ADH27" s="9"/>
      <c r="ADI27" s="9"/>
      <c r="ADJ27" s="9"/>
      <c r="ADK27" s="9"/>
      <c r="ADL27" s="9"/>
      <c r="ADM27" s="9"/>
      <c r="ADN27" s="39"/>
      <c r="ADO27" s="39"/>
      <c r="ADP27" s="39"/>
      <c r="ADQ27" s="39"/>
      <c r="ADR27" s="39"/>
      <c r="ADS27" s="39"/>
      <c r="ADT27" s="39"/>
      <c r="ADU27" s="39"/>
      <c r="ADV27" s="39"/>
      <c r="ADW27" s="39"/>
      <c r="ADX27" s="39"/>
      <c r="ADY27" s="39"/>
      <c r="ADZ27" s="39"/>
      <c r="AEA27" s="39"/>
      <c r="AEB27" s="26">
        <v>0.09</v>
      </c>
      <c r="AEC27" s="26">
        <v>0.2</v>
      </c>
      <c r="AED27" s="26">
        <v>0.35</v>
      </c>
      <c r="AEE27" s="9"/>
      <c r="AEF27" s="9"/>
      <c r="AEG27" s="9"/>
      <c r="AEH27" s="9"/>
      <c r="AEI27" s="39"/>
      <c r="AEJ27" s="39"/>
      <c r="AEK27" s="39"/>
      <c r="AEL27" s="39"/>
      <c r="AEM27" s="39"/>
      <c r="AEN27" s="39"/>
      <c r="AEO27" s="39"/>
      <c r="AEP27" s="39"/>
      <c r="AEQ27" s="39"/>
      <c r="AER27" s="39"/>
      <c r="AES27" s="39"/>
      <c r="AET27" s="39"/>
      <c r="AEU27" s="39"/>
      <c r="AEV27" s="39"/>
      <c r="AEW27" s="9"/>
      <c r="AEX27" s="9"/>
      <c r="AEY27" s="9"/>
      <c r="AEZ27" s="9"/>
      <c r="AFA27" s="9"/>
      <c r="AFB27" s="9"/>
      <c r="AFC27" s="9"/>
      <c r="AFD27" s="39"/>
      <c r="AFE27" s="39"/>
      <c r="AFF27" s="39"/>
      <c r="AFG27" s="39"/>
      <c r="AFH27" s="39"/>
      <c r="AFI27" s="39"/>
      <c r="AFJ27" s="39"/>
      <c r="AFK27" s="39"/>
      <c r="AFL27" s="39"/>
      <c r="AFM27" s="39"/>
      <c r="AFN27" s="39"/>
      <c r="AFO27" s="39"/>
      <c r="AFP27" s="39"/>
      <c r="AFQ27" s="39"/>
      <c r="AFR27" s="9" t="s">
        <v>8352</v>
      </c>
      <c r="AFS27" s="9" t="s">
        <v>8256</v>
      </c>
      <c r="AFT27" s="9" t="s">
        <v>8321</v>
      </c>
      <c r="AFU27" s="9">
        <v>0</v>
      </c>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v>3</v>
      </c>
      <c r="AQK27" s="9" t="s">
        <v>8448</v>
      </c>
      <c r="AQL27" s="9" t="s">
        <v>13817</v>
      </c>
      <c r="AQM27" s="39">
        <v>1500</v>
      </c>
      <c r="AQN27" s="39">
        <v>3000</v>
      </c>
      <c r="AQO27" s="39"/>
      <c r="AQP27" s="39"/>
      <c r="AQQ27" s="39"/>
      <c r="AQR27" s="39"/>
      <c r="AQS27" s="9" t="s">
        <v>8246</v>
      </c>
      <c r="AQT27" s="39">
        <v>0</v>
      </c>
      <c r="AQU27" s="39">
        <v>0</v>
      </c>
      <c r="AQV27" s="39"/>
      <c r="AQW27" s="39"/>
      <c r="AQX27" s="9" t="s">
        <v>8248</v>
      </c>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t="s">
        <v>25</v>
      </c>
      <c r="ATY27" s="9" t="s">
        <v>25</v>
      </c>
      <c r="ATZ27" s="9"/>
      <c r="AUA27" s="9" t="s">
        <v>25</v>
      </c>
      <c r="AUB27" s="9"/>
      <c r="AUC27" s="9" t="s">
        <v>13418</v>
      </c>
      <c r="AUD27" s="9"/>
      <c r="AUE27" s="39">
        <v>20</v>
      </c>
      <c r="AUF27" s="39">
        <v>20</v>
      </c>
      <c r="AUG27" s="39">
        <v>20</v>
      </c>
      <c r="AUH27" s="39"/>
      <c r="AUI27" s="39"/>
      <c r="AUJ27" s="39"/>
      <c r="AUK27" s="39"/>
      <c r="AUL27" s="26">
        <v>0</v>
      </c>
      <c r="AUM27" s="26">
        <v>0</v>
      </c>
      <c r="AUN27" s="26">
        <v>0</v>
      </c>
      <c r="AUO27" s="9"/>
      <c r="AUP27" s="9"/>
      <c r="AUQ27" s="9"/>
      <c r="AUR27" s="9"/>
      <c r="AUS27" s="39"/>
      <c r="AUT27" s="39"/>
      <c r="AUU27" s="39"/>
      <c r="AUV27" s="39"/>
      <c r="AUW27" s="39"/>
      <c r="AUX27" s="39"/>
      <c r="AUY27" s="39"/>
      <c r="AUZ27" s="9"/>
      <c r="AVA27" s="9"/>
      <c r="AVB27" s="9"/>
      <c r="AVC27" s="9"/>
      <c r="AVD27" s="9"/>
      <c r="AVE27" s="9"/>
      <c r="AVF27" s="9"/>
      <c r="AVG27" s="9" t="s">
        <v>8250</v>
      </c>
      <c r="AVH27" s="9" t="s">
        <v>8250</v>
      </c>
      <c r="AVI27" s="9" t="s">
        <v>8250</v>
      </c>
      <c r="AVJ27" s="9"/>
      <c r="AVK27" s="9"/>
      <c r="AVL27" s="9"/>
      <c r="AVM27" s="9"/>
      <c r="AVN27" s="9" t="s">
        <v>25</v>
      </c>
      <c r="AVO27" s="9" t="s">
        <v>28</v>
      </c>
      <c r="AVP27" s="9" t="s">
        <v>28</v>
      </c>
      <c r="AVQ27" s="9"/>
      <c r="AVR27" s="9"/>
      <c r="AVS27" s="9"/>
      <c r="AVT27" s="9"/>
      <c r="AVU27" s="25" t="s">
        <v>13810</v>
      </c>
      <c r="AVV27" s="25" t="s">
        <v>13810</v>
      </c>
      <c r="AVW27" s="25" t="s">
        <v>13810</v>
      </c>
      <c r="AVX27" s="9" t="s">
        <v>8252</v>
      </c>
      <c r="AVY27" s="25" t="s">
        <v>13810</v>
      </c>
      <c r="AVZ27" s="9" t="s">
        <v>8252</v>
      </c>
      <c r="AWA27" s="9" t="s">
        <v>8252</v>
      </c>
      <c r="AWB27" s="9" t="s">
        <v>8252</v>
      </c>
      <c r="AWC27" s="9" t="s">
        <v>631</v>
      </c>
      <c r="AWD27" s="9" t="s">
        <v>631</v>
      </c>
      <c r="AWE27" s="9" t="s">
        <v>8253</v>
      </c>
      <c r="AWF27" s="9" t="s">
        <v>8253</v>
      </c>
      <c r="AWG27" s="9" t="s">
        <v>8253</v>
      </c>
      <c r="AWH27" s="9" t="s">
        <v>8383</v>
      </c>
      <c r="AWI27" s="9" t="s">
        <v>8325</v>
      </c>
      <c r="AWJ27" s="9" t="s">
        <v>8253</v>
      </c>
      <c r="AWK27" s="9" t="s">
        <v>8383</v>
      </c>
      <c r="AWL27" s="9" t="s">
        <v>8253</v>
      </c>
      <c r="AWM27" s="9"/>
      <c r="AWN27" s="39">
        <v>10</v>
      </c>
      <c r="AWO27" s="39"/>
      <c r="AWP27" s="39">
        <v>10</v>
      </c>
      <c r="AWQ27" s="39"/>
      <c r="AWR27" s="39">
        <v>30</v>
      </c>
      <c r="AWS27" s="39"/>
      <c r="AWT27" s="39">
        <v>30</v>
      </c>
      <c r="AWU27" s="39"/>
      <c r="AWV27" s="39"/>
      <c r="AWW27" s="39"/>
      <c r="AWX27" s="39"/>
      <c r="AWY27" s="39"/>
      <c r="AWZ27" s="39"/>
      <c r="AXA27" s="39"/>
      <c r="AXB27" s="39"/>
      <c r="AXC27" s="39"/>
      <c r="AXD27" s="39"/>
      <c r="AXE27" s="39"/>
      <c r="AXF27" s="39"/>
      <c r="AXG27" s="39"/>
      <c r="AXH27" s="39"/>
      <c r="AXI27" s="39"/>
      <c r="AXJ27" s="39"/>
      <c r="AXK27" s="39"/>
      <c r="AXL27" s="39"/>
      <c r="AXM27" s="39"/>
      <c r="AXN27" s="39"/>
      <c r="AXO27" s="39"/>
      <c r="AXP27" s="9"/>
      <c r="AXQ27" s="9"/>
      <c r="AXR27" s="9"/>
      <c r="AXS27" s="9"/>
      <c r="AXT27" s="9"/>
      <c r="AXU27" s="9"/>
      <c r="AXV27" s="9"/>
      <c r="AXW27" s="39"/>
      <c r="AXX27" s="39"/>
      <c r="AXY27" s="39"/>
      <c r="AXZ27" s="39"/>
      <c r="AYA27" s="39"/>
      <c r="AYB27" s="39"/>
      <c r="AYC27" s="39"/>
      <c r="AYD27" s="39"/>
      <c r="AYE27" s="39"/>
      <c r="AYF27" s="39"/>
      <c r="AYG27" s="39"/>
      <c r="AYH27" s="39"/>
      <c r="AYI27" s="39"/>
      <c r="AYJ27" s="3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39"/>
      <c r="AZN27" s="39"/>
      <c r="AZO27" s="39"/>
      <c r="AZP27" s="39"/>
      <c r="AZQ27" s="39"/>
      <c r="AZR27" s="39"/>
      <c r="AZS27" s="39"/>
      <c r="AZT27" s="39"/>
      <c r="AZU27" s="39"/>
      <c r="AZV27" s="39"/>
      <c r="AZW27" s="39"/>
      <c r="AZX27" s="39"/>
      <c r="AZY27" s="39"/>
      <c r="AZZ27" s="39"/>
      <c r="BAA27" s="9"/>
      <c r="BAB27" s="9"/>
      <c r="BAC27" s="9"/>
      <c r="BAD27" s="9"/>
      <c r="BAE27" s="9"/>
      <c r="BAF27" s="9"/>
      <c r="BAG27" s="9"/>
      <c r="BAH27" s="9"/>
      <c r="BAI27" s="9"/>
      <c r="BAJ27" s="9"/>
      <c r="BAK27" s="9"/>
      <c r="BAL27" s="9"/>
      <c r="BAM27" s="9"/>
      <c r="BAN27" s="9"/>
      <c r="BAO27" s="9"/>
      <c r="BAP27" s="9"/>
      <c r="BAQ27" s="9"/>
      <c r="BAR27" s="39"/>
      <c r="BAS27" s="39"/>
      <c r="BAT27" s="39"/>
      <c r="BAU27" s="39"/>
      <c r="BAV27" s="9" t="s">
        <v>8255</v>
      </c>
      <c r="BAW27" s="9" t="s">
        <v>8256</v>
      </c>
      <c r="BAX27" s="9" t="s">
        <v>8321</v>
      </c>
      <c r="BAY27" s="9">
        <v>0</v>
      </c>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v>1</v>
      </c>
      <c r="BLO27" s="9" t="s">
        <v>8488</v>
      </c>
      <c r="BLP27" s="9"/>
      <c r="BLQ27" s="39">
        <v>3200</v>
      </c>
      <c r="BLR27" s="39">
        <v>6400</v>
      </c>
      <c r="BLS27" s="39">
        <v>3200</v>
      </c>
      <c r="BLT27" s="39">
        <v>6400</v>
      </c>
      <c r="BLU27" s="39">
        <v>6400</v>
      </c>
      <c r="BLV27" s="39">
        <v>6400</v>
      </c>
      <c r="BLW27" s="9" t="s">
        <v>8246</v>
      </c>
      <c r="BLX27" s="39">
        <v>500</v>
      </c>
      <c r="BLY27" s="39">
        <v>1000</v>
      </c>
      <c r="BLZ27" s="39">
        <v>500</v>
      </c>
      <c r="BMA27" s="39">
        <v>1000</v>
      </c>
      <c r="BMB27" s="9" t="s">
        <v>8248</v>
      </c>
      <c r="BMC27" s="9"/>
      <c r="BMD27" s="9"/>
      <c r="BME27" s="9"/>
      <c r="BMF27" s="9"/>
      <c r="BMG27" s="9"/>
      <c r="BMH27" s="9"/>
      <c r="BMI27" s="9"/>
      <c r="BMJ27" s="9"/>
      <c r="BMK27" s="9"/>
      <c r="BML27" s="9"/>
      <c r="BMM27" s="9"/>
      <c r="BMN27" s="9"/>
      <c r="BMO27" s="9" t="s">
        <v>8249</v>
      </c>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t="s">
        <v>25</v>
      </c>
      <c r="BPC27" s="9" t="s">
        <v>28</v>
      </c>
      <c r="BPD27" s="9" t="s">
        <v>28</v>
      </c>
      <c r="BPE27" s="9" t="s">
        <v>25</v>
      </c>
      <c r="BPF27" s="9"/>
      <c r="BPG27" s="9" t="s">
        <v>13423</v>
      </c>
      <c r="BPH27" s="9" t="s">
        <v>13425</v>
      </c>
      <c r="BPI27" s="39"/>
      <c r="BPJ27" s="39"/>
      <c r="BPK27" s="39"/>
      <c r="BPL27" s="39"/>
      <c r="BPM27" s="39"/>
      <c r="BPN27" s="39"/>
      <c r="BPO27" s="39"/>
      <c r="BPP27" s="26">
        <v>0.2</v>
      </c>
      <c r="BPQ27" s="26">
        <v>0.2</v>
      </c>
      <c r="BPR27" s="26">
        <v>0.2</v>
      </c>
      <c r="BPS27" s="26">
        <v>0.2</v>
      </c>
      <c r="BPT27" s="26">
        <v>0.2</v>
      </c>
      <c r="BPU27" s="26">
        <v>0.2</v>
      </c>
      <c r="BPV27" s="26">
        <v>0.2</v>
      </c>
      <c r="BPW27" s="39"/>
      <c r="BPX27" s="39"/>
      <c r="BPY27" s="39"/>
      <c r="BPZ27" s="39"/>
      <c r="BQA27" s="39"/>
      <c r="BQB27" s="39"/>
      <c r="BQC27" s="39"/>
      <c r="BQD27" s="26">
        <v>0.2</v>
      </c>
      <c r="BQE27" s="26">
        <v>0.2</v>
      </c>
      <c r="BQF27" s="26">
        <v>0.2</v>
      </c>
      <c r="BQG27" s="26">
        <v>0.2</v>
      </c>
      <c r="BQH27" s="26">
        <v>0.2</v>
      </c>
      <c r="BQI27" s="9"/>
      <c r="BQJ27" s="26">
        <v>0.2</v>
      </c>
      <c r="BQK27" s="9" t="s">
        <v>8250</v>
      </c>
      <c r="BQL27" s="9" t="s">
        <v>8250</v>
      </c>
      <c r="BQM27" s="9" t="s">
        <v>8250</v>
      </c>
      <c r="BQN27" s="9"/>
      <c r="BQO27" s="9"/>
      <c r="BQP27" s="9" t="s">
        <v>8250</v>
      </c>
      <c r="BQQ27" s="9"/>
      <c r="BQR27" s="9" t="s">
        <v>25</v>
      </c>
      <c r="BQS27" s="9" t="s">
        <v>25</v>
      </c>
      <c r="BQT27" s="9" t="s">
        <v>28</v>
      </c>
      <c r="BQU27" s="9"/>
      <c r="BQV27" s="9"/>
      <c r="BQW27" s="9" t="s">
        <v>25</v>
      </c>
      <c r="BQX27" s="9"/>
      <c r="BQY27" s="25" t="s">
        <v>13810</v>
      </c>
      <c r="BQZ27" s="25" t="s">
        <v>13810</v>
      </c>
      <c r="BRA27" s="25" t="s">
        <v>13810</v>
      </c>
      <c r="BRB27" s="25" t="s">
        <v>13810</v>
      </c>
      <c r="BRC27" s="25" t="s">
        <v>13810</v>
      </c>
      <c r="BRD27" s="25" t="s">
        <v>13810</v>
      </c>
      <c r="BRE27" s="25" t="s">
        <v>13810</v>
      </c>
      <c r="BRF27" s="25" t="s">
        <v>13810</v>
      </c>
      <c r="BRG27" s="9" t="s">
        <v>631</v>
      </c>
      <c r="BRH27" s="9" t="s">
        <v>631</v>
      </c>
      <c r="BRI27" s="9" t="s">
        <v>8253</v>
      </c>
      <c r="BRJ27" s="9" t="s">
        <v>8351</v>
      </c>
      <c r="BRK27" s="9" t="s">
        <v>8253</v>
      </c>
      <c r="BRL27" s="9" t="s">
        <v>13436</v>
      </c>
      <c r="BRM27" s="9" t="s">
        <v>8486</v>
      </c>
      <c r="BRN27" s="9" t="s">
        <v>8262</v>
      </c>
      <c r="BRO27" s="9" t="s">
        <v>13436</v>
      </c>
      <c r="BRP27" s="9" t="s">
        <v>8487</v>
      </c>
      <c r="BRQ27" s="9"/>
      <c r="BRR27" s="39">
        <v>5</v>
      </c>
      <c r="BRS27" s="39"/>
      <c r="BRT27" s="39">
        <v>10</v>
      </c>
      <c r="BRU27" s="39"/>
      <c r="BRV27" s="39"/>
      <c r="BRW27" s="39"/>
      <c r="BRX27" s="39"/>
      <c r="BRY27" s="39"/>
      <c r="BRZ27" s="39"/>
      <c r="BSA27" s="39"/>
      <c r="BSB27" s="39"/>
      <c r="BSC27" s="39"/>
      <c r="BSD27" s="39"/>
      <c r="BSE27" s="39"/>
      <c r="BSF27" s="39"/>
      <c r="BSG27" s="39"/>
      <c r="BSH27" s="39"/>
      <c r="BSI27" s="39"/>
      <c r="BSJ27" s="39"/>
      <c r="BSK27" s="39"/>
      <c r="BSL27" s="39"/>
      <c r="BSM27" s="39"/>
      <c r="BSN27" s="39"/>
      <c r="BSO27" s="39"/>
      <c r="BSP27" s="39"/>
      <c r="BSQ27" s="39"/>
      <c r="BSR27" s="39"/>
      <c r="BSS27" s="39"/>
      <c r="BST27" s="9"/>
      <c r="BSU27" s="26">
        <v>0.2</v>
      </c>
      <c r="BSV27" s="26">
        <v>0.4</v>
      </c>
      <c r="BSW27" s="9"/>
      <c r="BSX27" s="9"/>
      <c r="BSY27" s="9"/>
      <c r="BSZ27" s="9"/>
      <c r="BTA27" s="39"/>
      <c r="BTB27" s="39"/>
      <c r="BTC27" s="39">
        <v>25</v>
      </c>
      <c r="BTD27" s="39">
        <v>50</v>
      </c>
      <c r="BTE27" s="39">
        <v>50</v>
      </c>
      <c r="BTF27" s="39">
        <v>75</v>
      </c>
      <c r="BTG27" s="39"/>
      <c r="BTH27" s="39"/>
      <c r="BTI27" s="39"/>
      <c r="BTJ27" s="39"/>
      <c r="BTK27" s="39"/>
      <c r="BTL27" s="39"/>
      <c r="BTM27" s="39"/>
      <c r="BTN27" s="39"/>
      <c r="BTO27" s="26">
        <v>0.4</v>
      </c>
      <c r="BTP27" s="26">
        <v>0.4</v>
      </c>
      <c r="BTQ27" s="26">
        <v>0.4</v>
      </c>
      <c r="BTR27" s="9"/>
      <c r="BTS27" s="9"/>
      <c r="BTT27" s="9"/>
      <c r="BTU27" s="9"/>
      <c r="BTV27" s="9"/>
      <c r="BTW27" s="9"/>
      <c r="BTX27" s="9"/>
      <c r="BTY27" s="9"/>
      <c r="BTZ27" s="9"/>
      <c r="BUA27" s="9"/>
      <c r="BUB27" s="9"/>
      <c r="BUC27" s="9"/>
      <c r="BUD27" s="9"/>
      <c r="BUE27" s="9"/>
      <c r="BUF27" s="9"/>
      <c r="BUG27" s="9"/>
      <c r="BUH27" s="9"/>
      <c r="BUI27" s="9"/>
      <c r="BUJ27" s="9"/>
      <c r="BUK27" s="26">
        <v>0.2</v>
      </c>
      <c r="BUL27" s="26">
        <v>0.4</v>
      </c>
      <c r="BUM27" s="9"/>
      <c r="BUN27" s="9"/>
      <c r="BUO27" s="9"/>
      <c r="BUP27" s="9"/>
      <c r="BUQ27" s="39"/>
      <c r="BUR27" s="39"/>
      <c r="BUS27" s="39">
        <v>50</v>
      </c>
      <c r="BUT27" s="39">
        <v>100</v>
      </c>
      <c r="BUU27" s="39">
        <v>100</v>
      </c>
      <c r="BUV27" s="39">
        <v>150</v>
      </c>
      <c r="BUW27" s="39"/>
      <c r="BUX27" s="39"/>
      <c r="BUY27" s="39"/>
      <c r="BUZ27" s="39"/>
      <c r="BVA27" s="39"/>
      <c r="BVB27" s="39"/>
      <c r="BVC27" s="39"/>
      <c r="BVD27" s="39"/>
      <c r="BVE27" s="9"/>
      <c r="BVF27" s="9"/>
      <c r="BVG27" s="9"/>
      <c r="BVH27" s="9"/>
      <c r="BVI27" s="9"/>
      <c r="BVJ27" s="9"/>
      <c r="BVK27" s="9"/>
      <c r="BVL27" s="9"/>
      <c r="BVM27" s="9"/>
      <c r="BVN27" s="9"/>
      <c r="BVO27" s="9"/>
      <c r="BVP27" s="9"/>
      <c r="BVQ27" s="9"/>
      <c r="BVR27" s="9"/>
      <c r="BVS27" s="9"/>
      <c r="BVT27" s="9"/>
      <c r="BVU27" s="9"/>
      <c r="BVV27" s="9"/>
      <c r="BVW27" s="9"/>
      <c r="BVX27" s="9"/>
      <c r="BVY27" s="9"/>
      <c r="BVZ27" s="9" t="s">
        <v>8352</v>
      </c>
      <c r="BWA27" s="9" t="s">
        <v>8256</v>
      </c>
      <c r="BWB27" s="9" t="s">
        <v>8321</v>
      </c>
      <c r="BWC27" s="9" t="s">
        <v>28</v>
      </c>
      <c r="BWD27" s="9" t="s">
        <v>8265</v>
      </c>
      <c r="BWE27" s="9" t="s">
        <v>8266</v>
      </c>
      <c r="BWF27" s="9" t="s">
        <v>13712</v>
      </c>
      <c r="BWG27" s="9" t="s">
        <v>28</v>
      </c>
      <c r="BWH27" s="9" t="s">
        <v>2169</v>
      </c>
      <c r="BWI27" s="9" t="s">
        <v>28</v>
      </c>
      <c r="BWJ27" s="9" t="s">
        <v>8267</v>
      </c>
      <c r="BWK27" s="9" t="s">
        <v>28</v>
      </c>
      <c r="BWL27" s="39">
        <v>4000</v>
      </c>
      <c r="BWM27" s="9" t="s">
        <v>25</v>
      </c>
      <c r="BWN27" s="39"/>
      <c r="BWO27" s="9" t="s">
        <v>25</v>
      </c>
      <c r="BWP27" s="9"/>
      <c r="BWQ27" s="9" t="s">
        <v>28</v>
      </c>
      <c r="BWR27" s="9" t="s">
        <v>25</v>
      </c>
      <c r="BWS27" s="9"/>
      <c r="BWT27" s="9" t="s">
        <v>25</v>
      </c>
      <c r="BWU27" s="39"/>
      <c r="BWV27" s="9" t="s">
        <v>25</v>
      </c>
      <c r="BWW27" s="9"/>
      <c r="BWX27" s="9" t="s">
        <v>28</v>
      </c>
      <c r="BWY27" s="9" t="s">
        <v>8497</v>
      </c>
      <c r="BWZ27" s="9" t="s">
        <v>28</v>
      </c>
      <c r="BXA27" s="39">
        <v>25</v>
      </c>
      <c r="BXB27" s="9" t="s">
        <v>25</v>
      </c>
      <c r="BXC27" s="39"/>
      <c r="BXD27" s="9" t="s">
        <v>28</v>
      </c>
      <c r="BXE27" s="9" t="s">
        <v>8497</v>
      </c>
      <c r="BXF27" s="9" t="s">
        <v>28</v>
      </c>
      <c r="BXG27" s="39">
        <v>25</v>
      </c>
      <c r="BXH27" s="9" t="s">
        <v>25</v>
      </c>
      <c r="BXI27" s="39"/>
      <c r="BXJ27" s="9" t="s">
        <v>28</v>
      </c>
      <c r="BXK27" s="9" t="s">
        <v>8270</v>
      </c>
      <c r="BXL27" s="9" t="s">
        <v>13821</v>
      </c>
      <c r="BXM27" s="9" t="s">
        <v>2201</v>
      </c>
      <c r="BXN27" s="9" t="s">
        <v>8272</v>
      </c>
      <c r="BXO27" s="9" t="s">
        <v>8361</v>
      </c>
      <c r="BXP27" s="9" t="s">
        <v>8361</v>
      </c>
      <c r="BXQ27" s="9"/>
      <c r="BXR27" s="9"/>
      <c r="BXS27" s="9"/>
      <c r="BXT27" s="9" t="s">
        <v>9347</v>
      </c>
      <c r="BXU27" s="9" t="s">
        <v>25</v>
      </c>
      <c r="BXV27" s="9"/>
      <c r="BXW27" s="9" t="s">
        <v>28</v>
      </c>
      <c r="BXX27" s="9" t="s">
        <v>28</v>
      </c>
      <c r="BXY27" s="9"/>
      <c r="BXZ27" s="9"/>
      <c r="BYA27" s="9"/>
      <c r="BYB27" s="9"/>
      <c r="BYC27" s="9" t="s">
        <v>2201</v>
      </c>
      <c r="BYD27" s="9" t="s">
        <v>28</v>
      </c>
      <c r="BYE27" s="9" t="s">
        <v>13612</v>
      </c>
      <c r="BYF27" s="9" t="s">
        <v>8277</v>
      </c>
      <c r="BYG27" s="9"/>
      <c r="BYH27" s="9" t="s">
        <v>9348</v>
      </c>
      <c r="BYI27" s="39"/>
      <c r="BYJ27" s="39"/>
      <c r="BYK27" s="9" t="s">
        <v>8333</v>
      </c>
      <c r="BYL27" s="9" t="s">
        <v>25</v>
      </c>
      <c r="BYM27" s="9"/>
      <c r="BYN27" s="9" t="s">
        <v>25</v>
      </c>
      <c r="BYO27" s="9"/>
      <c r="BYP27" s="9" t="s">
        <v>25</v>
      </c>
      <c r="BYQ27" s="9"/>
      <c r="BYR27" s="9" t="s">
        <v>28</v>
      </c>
      <c r="BYS27" s="9" t="s">
        <v>8279</v>
      </c>
      <c r="BYT27" s="9" t="s">
        <v>732</v>
      </c>
      <c r="BYU27" s="9" t="s">
        <v>732</v>
      </c>
      <c r="BYV27" s="9" t="s">
        <v>25</v>
      </c>
      <c r="BYW27" s="9" t="s">
        <v>28</v>
      </c>
      <c r="BYX27" s="39">
        <v>600</v>
      </c>
      <c r="BYY27" s="39">
        <v>900</v>
      </c>
      <c r="BYZ27" s="9" t="s">
        <v>8280</v>
      </c>
      <c r="BZA27" s="9" t="s">
        <v>9349</v>
      </c>
      <c r="BZB27" s="9" t="s">
        <v>256</v>
      </c>
      <c r="BZC27" s="9" t="s">
        <v>8282</v>
      </c>
      <c r="BZD27" s="9" t="s">
        <v>28</v>
      </c>
      <c r="BZE27" s="9" t="s">
        <v>28</v>
      </c>
      <c r="BZF27" s="9" t="s">
        <v>28</v>
      </c>
      <c r="BZG27" s="9"/>
      <c r="BZH27" s="39"/>
      <c r="BZI27" s="39"/>
      <c r="BZJ27" s="9"/>
      <c r="BZK27" s="9"/>
      <c r="BZL27" s="9"/>
      <c r="BZM27" s="9"/>
      <c r="BZN27" s="9"/>
      <c r="BZO27" s="9"/>
      <c r="BZP27" s="9"/>
      <c r="BZQ27" s="39"/>
      <c r="BZR27" s="9"/>
      <c r="BZS27" s="9"/>
      <c r="BZT27" s="9"/>
      <c r="BZU27" s="9"/>
      <c r="BZV27" s="9"/>
      <c r="BZW27" s="9"/>
      <c r="BZX27" s="9"/>
      <c r="BZY27" s="9"/>
      <c r="BZZ27" s="9" t="s">
        <v>25</v>
      </c>
      <c r="CAA27" s="9"/>
      <c r="CAB27" s="9"/>
      <c r="CAC27" s="9" t="s">
        <v>28</v>
      </c>
      <c r="CAD27" s="9" t="s">
        <v>8288</v>
      </c>
      <c r="CAE27" s="9" t="s">
        <v>28</v>
      </c>
      <c r="CAF27" s="9" t="s">
        <v>8289</v>
      </c>
      <c r="CAG27" s="9" t="s">
        <v>25</v>
      </c>
      <c r="CAH27" s="9" t="s">
        <v>631</v>
      </c>
      <c r="CAI27" s="9" t="s">
        <v>631</v>
      </c>
      <c r="CAJ27" s="9" t="s">
        <v>631</v>
      </c>
      <c r="CAK27" s="9" t="s">
        <v>631</v>
      </c>
      <c r="CAL27" s="9" t="s">
        <v>8290</v>
      </c>
      <c r="CAM27" s="9" t="s">
        <v>8290</v>
      </c>
      <c r="CAN27" s="9" t="s">
        <v>8290</v>
      </c>
      <c r="CAO27" s="9" t="s">
        <v>8290</v>
      </c>
      <c r="CAP27" s="9" t="s">
        <v>8290</v>
      </c>
      <c r="CAQ27" s="9"/>
      <c r="CAR27" s="9" t="s">
        <v>8518</v>
      </c>
      <c r="CAS27" s="9" t="s">
        <v>4991</v>
      </c>
      <c r="CAT27" s="9"/>
      <c r="CAU27" s="9"/>
      <c r="CAV27" s="9" t="s">
        <v>8456</v>
      </c>
      <c r="CAW27" s="9" t="s">
        <v>8341</v>
      </c>
      <c r="CAX27" s="9" t="s">
        <v>8415</v>
      </c>
      <c r="CAY27" s="9"/>
      <c r="CAZ27" s="9"/>
      <c r="CBA27" s="9" t="s">
        <v>8489</v>
      </c>
      <c r="CBB27" s="9">
        <v>2</v>
      </c>
      <c r="CBC27" s="9">
        <v>0</v>
      </c>
      <c r="CBD27" s="9">
        <v>0</v>
      </c>
      <c r="CBE27" s="39">
        <v>50</v>
      </c>
      <c r="CBF27" s="39">
        <v>150</v>
      </c>
      <c r="CBG27" s="39">
        <v>50</v>
      </c>
      <c r="CBH27" s="39">
        <v>150</v>
      </c>
      <c r="CBI27" s="39">
        <v>2500</v>
      </c>
      <c r="CBJ27" s="39"/>
      <c r="CBK27" s="39">
        <v>2500</v>
      </c>
      <c r="CBL27" s="39"/>
      <c r="CBM27" s="11">
        <v>0</v>
      </c>
      <c r="CBN27" s="11">
        <v>0</v>
      </c>
      <c r="CBO27" s="11">
        <v>0.2</v>
      </c>
      <c r="CBP27" s="11">
        <v>0.2</v>
      </c>
      <c r="CBQ27" s="11">
        <v>0.5</v>
      </c>
      <c r="CBR27" s="11">
        <v>0.5</v>
      </c>
      <c r="CBS27" s="11">
        <v>0.5</v>
      </c>
      <c r="CBT27" s="11">
        <v>0.5</v>
      </c>
      <c r="CBU27" s="9" t="s">
        <v>28</v>
      </c>
      <c r="CBV27" s="9" t="s">
        <v>8369</v>
      </c>
      <c r="CBW27" s="9" t="s">
        <v>8294</v>
      </c>
      <c r="CBX27" s="9" t="s">
        <v>8418</v>
      </c>
      <c r="CBY27" s="9" t="s">
        <v>8296</v>
      </c>
      <c r="CBZ27" s="9" t="s">
        <v>29</v>
      </c>
      <c r="CCA27" s="9" t="s">
        <v>8297</v>
      </c>
      <c r="CCB27" s="9" t="s">
        <v>8298</v>
      </c>
      <c r="CCC27" s="9" t="s">
        <v>8296</v>
      </c>
      <c r="CCD27" s="9" t="s">
        <v>8297</v>
      </c>
      <c r="CCE27" s="9" t="s">
        <v>8296</v>
      </c>
      <c r="CCF27" s="9" t="s">
        <v>8296</v>
      </c>
      <c r="CCG27" s="9" t="s">
        <v>8297</v>
      </c>
      <c r="CCH27" s="9" t="s">
        <v>8298</v>
      </c>
      <c r="CCI27" s="9" t="s">
        <v>8298</v>
      </c>
      <c r="CCJ27" s="9" t="s">
        <v>8298</v>
      </c>
      <c r="CCK27" s="9" t="s">
        <v>8297</v>
      </c>
      <c r="CCL27" s="9" t="s">
        <v>8297</v>
      </c>
      <c r="CCM27" s="9" t="s">
        <v>8297</v>
      </c>
      <c r="CCN27" s="9" t="s">
        <v>8296</v>
      </c>
      <c r="CCO27" s="9" t="s">
        <v>8300</v>
      </c>
      <c r="CCP27" s="9" t="s">
        <v>8296</v>
      </c>
      <c r="CCQ27" s="9" t="s">
        <v>8296</v>
      </c>
      <c r="CCR27" s="9" t="s">
        <v>8296</v>
      </c>
      <c r="CCS27" s="9" t="s">
        <v>8298</v>
      </c>
      <c r="CCT27" s="9" t="s">
        <v>8296</v>
      </c>
      <c r="CCU27" s="9" t="s">
        <v>8298</v>
      </c>
      <c r="CCV27" s="9" t="s">
        <v>8298</v>
      </c>
      <c r="CCW27" s="9" t="s">
        <v>8298</v>
      </c>
      <c r="CCX27" s="9" t="s">
        <v>8298</v>
      </c>
      <c r="CCY27" s="9" t="s">
        <v>8298</v>
      </c>
      <c r="CCZ27" s="9" t="s">
        <v>28</v>
      </c>
      <c r="CDA27" s="9" t="s">
        <v>28</v>
      </c>
      <c r="CDB27" s="9" t="s">
        <v>28</v>
      </c>
      <c r="CDC27" s="9" t="s">
        <v>25</v>
      </c>
      <c r="CDD27" s="9" t="s">
        <v>28</v>
      </c>
      <c r="CDE27" s="9" t="s">
        <v>28</v>
      </c>
      <c r="CDF27" s="9" t="s">
        <v>28</v>
      </c>
      <c r="CDG27" s="9" t="s">
        <v>28</v>
      </c>
      <c r="CDH27" s="9" t="s">
        <v>28</v>
      </c>
      <c r="CDI27" s="9" t="s">
        <v>25</v>
      </c>
      <c r="CDJ27" s="9" t="s">
        <v>25</v>
      </c>
      <c r="CDK27" s="9" t="s">
        <v>25</v>
      </c>
      <c r="CDL27" s="9" t="s">
        <v>28</v>
      </c>
      <c r="CDM27" s="9" t="s">
        <v>28</v>
      </c>
      <c r="CDN27" s="9" t="s">
        <v>28</v>
      </c>
      <c r="CDO27" s="9" t="s">
        <v>28</v>
      </c>
      <c r="CDP27" s="9" t="s">
        <v>28</v>
      </c>
      <c r="CDQ27" s="9" t="s">
        <v>28</v>
      </c>
      <c r="CDR27" s="9" t="s">
        <v>28</v>
      </c>
      <c r="CDS27" s="9" t="s">
        <v>28</v>
      </c>
      <c r="CDT27" s="9" t="s">
        <v>25</v>
      </c>
      <c r="CDU27" s="9" t="s">
        <v>28</v>
      </c>
      <c r="CDV27" s="9" t="s">
        <v>25</v>
      </c>
      <c r="CDW27" s="9" t="s">
        <v>25</v>
      </c>
      <c r="CDX27" s="9" t="s">
        <v>25</v>
      </c>
      <c r="CDY27" s="9" t="s">
        <v>25</v>
      </c>
      <c r="CDZ27" s="9" t="s">
        <v>25</v>
      </c>
      <c r="CEA27" s="9" t="s">
        <v>2673</v>
      </c>
      <c r="CEB27" s="9" t="s">
        <v>29</v>
      </c>
      <c r="CEC27" s="9" t="s">
        <v>8301</v>
      </c>
      <c r="CED27" s="9" t="s">
        <v>8302</v>
      </c>
      <c r="CEE27" s="9" t="s">
        <v>2673</v>
      </c>
      <c r="CEF27" s="9" t="s">
        <v>8301</v>
      </c>
      <c r="CEG27" s="9" t="s">
        <v>2673</v>
      </c>
      <c r="CEH27" s="9" t="s">
        <v>2673</v>
      </c>
      <c r="CEI27" s="9" t="s">
        <v>8301</v>
      </c>
      <c r="CEJ27" s="9" t="s">
        <v>8302</v>
      </c>
      <c r="CEK27" s="9" t="s">
        <v>8302</v>
      </c>
      <c r="CEL27" s="9" t="s">
        <v>8302</v>
      </c>
      <c r="CEM27" s="9" t="s">
        <v>8301</v>
      </c>
      <c r="CEN27" s="9" t="s">
        <v>8301</v>
      </c>
      <c r="CEO27" s="9" t="s">
        <v>8305</v>
      </c>
      <c r="CEP27" s="9" t="s">
        <v>2673</v>
      </c>
      <c r="CEQ27" s="9" t="s">
        <v>8304</v>
      </c>
      <c r="CER27" s="9" t="s">
        <v>8302</v>
      </c>
      <c r="CES27" s="9" t="s">
        <v>2673</v>
      </c>
      <c r="CET27" s="9" t="s">
        <v>2673</v>
      </c>
      <c r="CEU27" s="9" t="s">
        <v>2673</v>
      </c>
      <c r="CEV27" s="9" t="s">
        <v>2673</v>
      </c>
      <c r="CEW27" s="9" t="s">
        <v>8306</v>
      </c>
      <c r="CEX27" s="9" t="s">
        <v>8302</v>
      </c>
      <c r="CEY27" s="9" t="s">
        <v>8420</v>
      </c>
      <c r="CEZ27" s="9" t="s">
        <v>8371</v>
      </c>
      <c r="CFA27" s="9" t="s">
        <v>8420</v>
      </c>
      <c r="CFB27" s="9" t="s">
        <v>25</v>
      </c>
      <c r="CFC27" s="9" t="s">
        <v>25</v>
      </c>
      <c r="CFD27" s="9" t="s">
        <v>25</v>
      </c>
      <c r="CFE27" s="9" t="s">
        <v>25</v>
      </c>
      <c r="CFF27" s="9" t="s">
        <v>25</v>
      </c>
      <c r="CFG27" s="9" t="s">
        <v>25</v>
      </c>
      <c r="CFH27" s="9" t="s">
        <v>25</v>
      </c>
      <c r="CFI27" s="9" t="s">
        <v>25</v>
      </c>
      <c r="CFJ27" s="9" t="s">
        <v>25</v>
      </c>
      <c r="CFK27" s="9" t="s">
        <v>25</v>
      </c>
      <c r="CFL27" s="9" t="s">
        <v>25</v>
      </c>
      <c r="CFM27" s="9" t="s">
        <v>28</v>
      </c>
      <c r="CFN27" s="9" t="s">
        <v>25</v>
      </c>
      <c r="CFO27" s="9" t="s">
        <v>25</v>
      </c>
      <c r="CFP27" s="9"/>
      <c r="CFQ27" s="9" t="s">
        <v>25</v>
      </c>
      <c r="CFR27" s="9" t="s">
        <v>25</v>
      </c>
      <c r="CFS27" s="9" t="s">
        <v>25</v>
      </c>
      <c r="CFT27" s="9" t="s">
        <v>25</v>
      </c>
      <c r="CFU27" s="9" t="s">
        <v>25</v>
      </c>
      <c r="CFV27" s="9" t="s">
        <v>25</v>
      </c>
      <c r="CFW27" s="9" t="s">
        <v>25</v>
      </c>
      <c r="CFX27" s="9" t="s">
        <v>28</v>
      </c>
      <c r="CFY27" s="9" t="s">
        <v>28</v>
      </c>
      <c r="CFZ27" s="9" t="s">
        <v>25</v>
      </c>
      <c r="CGA27" s="9" t="s">
        <v>25</v>
      </c>
      <c r="CGB27" s="9" t="s">
        <v>25</v>
      </c>
      <c r="CGC27" s="39"/>
      <c r="CGD27" s="39"/>
      <c r="CGE27" s="39"/>
      <c r="CGF27" s="39"/>
      <c r="CGG27" s="39"/>
      <c r="CGH27" s="39"/>
      <c r="CGI27" s="39"/>
      <c r="CGJ27" s="3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39"/>
      <c r="CLA27" s="39"/>
      <c r="CLB27" s="39"/>
      <c r="CLC27" s="39"/>
      <c r="CLD27" s="39"/>
      <c r="CLE27" s="39"/>
      <c r="CLF27" s="39"/>
      <c r="CLG27" s="3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v>1</v>
      </c>
      <c r="CPX27" s="39">
        <v>25</v>
      </c>
      <c r="CPY27" s="9"/>
      <c r="CPZ27" s="39"/>
      <c r="CQA27" s="9"/>
      <c r="CQB27" s="9" t="s">
        <v>8372</v>
      </c>
      <c r="CQC27" s="9" t="s">
        <v>8372</v>
      </c>
      <c r="CQD27" s="9" t="s">
        <v>8372</v>
      </c>
      <c r="CQE27" s="9" t="s">
        <v>8372</v>
      </c>
      <c r="CQF27" s="9" t="s">
        <v>8372</v>
      </c>
      <c r="CQG27" s="39"/>
      <c r="CQH27" s="39"/>
      <c r="CQI27" s="39">
        <v>150</v>
      </c>
      <c r="CQJ27" s="39">
        <v>140</v>
      </c>
      <c r="CQK27" s="39"/>
      <c r="CQL27" s="9" t="s">
        <v>13661</v>
      </c>
      <c r="CQM27" s="9" t="s">
        <v>8308</v>
      </c>
      <c r="CQN27" s="9" t="s">
        <v>25</v>
      </c>
      <c r="CQO27" s="9" t="s">
        <v>8309</v>
      </c>
      <c r="CQP27" s="39"/>
      <c r="CQQ27" s="9" t="s">
        <v>1041</v>
      </c>
      <c r="CQR27" s="9" t="s">
        <v>1041</v>
      </c>
      <c r="CQS27" s="9" t="s">
        <v>28</v>
      </c>
      <c r="CQT27" s="9" t="s">
        <v>8313</v>
      </c>
      <c r="CQU27" s="9" t="s">
        <v>8313</v>
      </c>
      <c r="CQV27" s="9" t="s">
        <v>8312</v>
      </c>
      <c r="CQW27" s="9" t="s">
        <v>8312</v>
      </c>
      <c r="CQX27" s="9" t="s">
        <v>8312</v>
      </c>
      <c r="CQY27" s="9" t="s">
        <v>8312</v>
      </c>
      <c r="CQZ27" s="9" t="s">
        <v>8312</v>
      </c>
      <c r="CRA27" s="9" t="s">
        <v>8314</v>
      </c>
      <c r="CRB27" s="9" t="s">
        <v>8314</v>
      </c>
      <c r="CRC27" s="9" t="s">
        <v>8314</v>
      </c>
      <c r="CRD27" s="9" t="s">
        <v>8314</v>
      </c>
      <c r="CRE27" s="9" t="s">
        <v>8312</v>
      </c>
    </row>
    <row r="28" spans="1:2501" ht="102" x14ac:dyDescent="0.2">
      <c r="A28" s="21" t="s">
        <v>131</v>
      </c>
      <c r="B28" s="26">
        <v>0.36</v>
      </c>
      <c r="C28" s="26">
        <v>0</v>
      </c>
      <c r="D28" s="26">
        <v>0.28999999999999998</v>
      </c>
      <c r="E28" s="26">
        <v>0.26</v>
      </c>
      <c r="F28" s="26">
        <v>0</v>
      </c>
      <c r="G28" s="26">
        <v>0</v>
      </c>
      <c r="H28" s="26">
        <v>0</v>
      </c>
      <c r="I28" s="26">
        <v>0</v>
      </c>
      <c r="J28" s="26">
        <v>0</v>
      </c>
      <c r="K28" s="26">
        <v>0</v>
      </c>
      <c r="L28" s="26">
        <v>0</v>
      </c>
      <c r="M28" s="26">
        <v>0.09</v>
      </c>
      <c r="N28" s="26">
        <v>0.33</v>
      </c>
      <c r="O28" s="26">
        <v>0</v>
      </c>
      <c r="P28" s="26">
        <v>0.48</v>
      </c>
      <c r="Q28" s="26">
        <v>0.14000000000000001</v>
      </c>
      <c r="R28" s="26">
        <v>0</v>
      </c>
      <c r="S28" s="26">
        <v>0</v>
      </c>
      <c r="T28" s="26">
        <v>0</v>
      </c>
      <c r="U28" s="26">
        <v>0</v>
      </c>
      <c r="V28" s="26">
        <v>0</v>
      </c>
      <c r="W28" s="26">
        <v>0</v>
      </c>
      <c r="X28" s="26">
        <v>0</v>
      </c>
      <c r="Y28" s="26">
        <v>0.05</v>
      </c>
      <c r="Z28" s="25">
        <v>1</v>
      </c>
      <c r="AA28" s="25" t="s">
        <v>8541</v>
      </c>
      <c r="AC28" s="56">
        <v>2300</v>
      </c>
      <c r="AD28" s="56">
        <v>4900</v>
      </c>
      <c r="AE28" s="56">
        <v>3500</v>
      </c>
      <c r="AF28" s="56">
        <v>7500</v>
      </c>
      <c r="AG28" s="56">
        <v>7500</v>
      </c>
      <c r="AH28" s="56">
        <v>2300</v>
      </c>
      <c r="AI28" s="25" t="s">
        <v>8349</v>
      </c>
      <c r="AJ28" s="56">
        <v>300</v>
      </c>
      <c r="AK28" s="56">
        <v>900</v>
      </c>
      <c r="AL28" s="56">
        <v>500</v>
      </c>
      <c r="AM28" s="56">
        <v>1500</v>
      </c>
      <c r="AN28" s="25" t="s">
        <v>8350</v>
      </c>
      <c r="AO28" s="25" t="s">
        <v>8248</v>
      </c>
      <c r="BB28" s="25" t="s">
        <v>8249</v>
      </c>
      <c r="DO28" s="25" t="s">
        <v>25</v>
      </c>
      <c r="DP28" s="25" t="s">
        <v>28</v>
      </c>
      <c r="DQ28" s="25" t="s">
        <v>25</v>
      </c>
      <c r="DR28" s="25" t="s">
        <v>25</v>
      </c>
      <c r="DT28" s="25" t="s">
        <v>13418</v>
      </c>
      <c r="DU28" s="25" t="s">
        <v>13418</v>
      </c>
      <c r="DV28" s="56">
        <v>20</v>
      </c>
      <c r="DW28" s="56">
        <v>35</v>
      </c>
      <c r="DX28" s="56">
        <v>20</v>
      </c>
      <c r="EC28" s="26">
        <v>0.1</v>
      </c>
      <c r="ED28" s="26">
        <v>0.1</v>
      </c>
      <c r="EL28" s="56">
        <v>20</v>
      </c>
      <c r="EQ28" s="26">
        <v>0.3</v>
      </c>
      <c r="ER28" s="26">
        <v>0.3</v>
      </c>
      <c r="EX28" s="25" t="s">
        <v>8250</v>
      </c>
      <c r="EY28" s="25" t="s">
        <v>8250</v>
      </c>
      <c r="EZ28" s="25" t="s">
        <v>8527</v>
      </c>
      <c r="FE28" s="25" t="s">
        <v>25</v>
      </c>
      <c r="FF28" s="25" t="s">
        <v>25</v>
      </c>
      <c r="FG28" s="25" t="s">
        <v>25</v>
      </c>
      <c r="FL28" s="25" t="s">
        <v>13810</v>
      </c>
      <c r="FM28" s="25" t="s">
        <v>13810</v>
      </c>
      <c r="FN28" s="25" t="s">
        <v>13810</v>
      </c>
      <c r="FO28" s="25" t="s">
        <v>8424</v>
      </c>
      <c r="FP28" s="25" t="s">
        <v>13810</v>
      </c>
      <c r="FQ28" s="25" t="s">
        <v>631</v>
      </c>
      <c r="FR28" s="25" t="s">
        <v>13810</v>
      </c>
      <c r="FS28" s="25" t="s">
        <v>631</v>
      </c>
      <c r="FT28" s="25" t="s">
        <v>631</v>
      </c>
      <c r="FV28" s="25" t="s">
        <v>8325</v>
      </c>
      <c r="FW28" s="25" t="s">
        <v>8325</v>
      </c>
      <c r="FX28" s="25" t="s">
        <v>8325</v>
      </c>
      <c r="FY28" s="25" t="s">
        <v>8383</v>
      </c>
      <c r="FZ28" s="25" t="s">
        <v>8325</v>
      </c>
      <c r="GB28" s="25" t="s">
        <v>8325</v>
      </c>
      <c r="GE28" s="56">
        <v>10</v>
      </c>
      <c r="GF28" s="56">
        <v>10</v>
      </c>
      <c r="GG28" s="56">
        <v>20</v>
      </c>
      <c r="GI28" s="56">
        <v>25</v>
      </c>
      <c r="GJ28" s="56">
        <v>25</v>
      </c>
      <c r="GK28" s="56">
        <v>50</v>
      </c>
      <c r="GM28" s="56">
        <v>35</v>
      </c>
      <c r="GN28" s="56">
        <v>35</v>
      </c>
      <c r="GO28" s="56">
        <v>70</v>
      </c>
      <c r="IB28" s="26">
        <v>0.5</v>
      </c>
      <c r="IC28" s="26">
        <v>0.5</v>
      </c>
      <c r="ID28" s="26">
        <v>0.5</v>
      </c>
      <c r="KM28" s="25" t="s">
        <v>8352</v>
      </c>
      <c r="KN28" s="25" t="s">
        <v>8542</v>
      </c>
      <c r="KO28" s="25" t="s">
        <v>8321</v>
      </c>
      <c r="KP28" s="25">
        <v>1</v>
      </c>
      <c r="KQ28" s="25" t="s">
        <v>8543</v>
      </c>
      <c r="KS28" s="56">
        <v>3000</v>
      </c>
      <c r="KT28" s="56">
        <v>6000</v>
      </c>
      <c r="KU28" s="56">
        <v>4500</v>
      </c>
      <c r="KV28" s="56">
        <v>9000</v>
      </c>
      <c r="KW28" s="56">
        <v>9000</v>
      </c>
      <c r="KX28" s="56">
        <v>6000</v>
      </c>
      <c r="KY28" s="25" t="s">
        <v>8349</v>
      </c>
      <c r="KZ28" s="56">
        <v>1400</v>
      </c>
      <c r="LA28" s="56">
        <v>2800</v>
      </c>
      <c r="LB28" s="56">
        <v>2100</v>
      </c>
      <c r="LC28" s="56">
        <v>4200</v>
      </c>
      <c r="LD28" s="25" t="s">
        <v>8247</v>
      </c>
      <c r="LE28" s="25" t="s">
        <v>8248</v>
      </c>
      <c r="LR28" s="25" t="s">
        <v>8249</v>
      </c>
      <c r="OE28" s="25" t="s">
        <v>25</v>
      </c>
      <c r="OF28" s="25" t="s">
        <v>28</v>
      </c>
      <c r="OG28" s="25" t="s">
        <v>25</v>
      </c>
      <c r="OH28" s="25" t="s">
        <v>25</v>
      </c>
      <c r="OJ28" s="25" t="s">
        <v>13425</v>
      </c>
      <c r="OK28" s="25" t="s">
        <v>13418</v>
      </c>
      <c r="OS28" s="26">
        <v>0.1</v>
      </c>
      <c r="OT28" s="26">
        <v>0.1</v>
      </c>
      <c r="OU28" s="26">
        <v>0.1</v>
      </c>
      <c r="OV28" s="26">
        <v>0.1</v>
      </c>
      <c r="OW28" s="26">
        <v>0.1</v>
      </c>
      <c r="OY28" s="26">
        <v>0.1</v>
      </c>
      <c r="PG28" s="26">
        <v>0.3</v>
      </c>
      <c r="PH28" s="26">
        <v>0.3</v>
      </c>
      <c r="PI28" s="26">
        <v>0.1</v>
      </c>
      <c r="PN28" s="25" t="s">
        <v>8250</v>
      </c>
      <c r="PO28" s="25" t="s">
        <v>8250</v>
      </c>
      <c r="PP28" s="25" t="s">
        <v>8527</v>
      </c>
      <c r="PU28" s="25" t="s">
        <v>25</v>
      </c>
      <c r="PV28" s="25" t="s">
        <v>25</v>
      </c>
      <c r="PW28" s="25" t="s">
        <v>25</v>
      </c>
      <c r="QB28" s="25" t="s">
        <v>13810</v>
      </c>
      <c r="QC28" s="25" t="s">
        <v>13810</v>
      </c>
      <c r="QD28" s="25" t="s">
        <v>13810</v>
      </c>
      <c r="QE28" s="25" t="s">
        <v>8424</v>
      </c>
      <c r="QF28" s="25" t="s">
        <v>13810</v>
      </c>
      <c r="QG28" s="25" t="s">
        <v>631</v>
      </c>
      <c r="QH28" s="25" t="s">
        <v>13810</v>
      </c>
      <c r="QI28" s="25" t="s">
        <v>631</v>
      </c>
      <c r="QJ28" s="25" t="s">
        <v>631</v>
      </c>
      <c r="QL28" s="25" t="s">
        <v>8325</v>
      </c>
      <c r="QM28" s="25" t="s">
        <v>8325</v>
      </c>
      <c r="QN28" s="25" t="s">
        <v>8325</v>
      </c>
      <c r="QO28" s="25" t="s">
        <v>8383</v>
      </c>
      <c r="QP28" s="25" t="s">
        <v>8325</v>
      </c>
      <c r="QR28" s="25" t="s">
        <v>8325</v>
      </c>
      <c r="RW28" s="26">
        <v>0.1</v>
      </c>
      <c r="RX28" s="26">
        <v>0.1</v>
      </c>
      <c r="RY28" s="26">
        <v>0.1</v>
      </c>
      <c r="SR28" s="26">
        <v>0.3</v>
      </c>
      <c r="SS28" s="26">
        <v>0.3</v>
      </c>
      <c r="ST28" s="26">
        <v>0.3</v>
      </c>
      <c r="VC28" s="25" t="s">
        <v>8352</v>
      </c>
      <c r="VD28" s="25" t="s">
        <v>8542</v>
      </c>
      <c r="VE28" s="25" t="s">
        <v>8321</v>
      </c>
      <c r="VF28" s="25">
        <v>0</v>
      </c>
      <c r="VI28" s="25"/>
      <c r="VJ28" s="25"/>
      <c r="VK28" s="25"/>
      <c r="VL28" s="25"/>
      <c r="VM28" s="25"/>
      <c r="VN28" s="25"/>
      <c r="VP28" s="25"/>
      <c r="VQ28" s="25"/>
      <c r="VR28" s="25"/>
      <c r="VS28" s="25"/>
      <c r="ZA28" s="25"/>
      <c r="ZB28" s="25"/>
      <c r="ZC28" s="25"/>
      <c r="ZD28" s="25"/>
      <c r="ZE28" s="25"/>
      <c r="ZF28" s="25"/>
      <c r="ZG28" s="25"/>
      <c r="ZO28" s="25"/>
      <c r="ZP28" s="25"/>
      <c r="ZQ28" s="25"/>
      <c r="ZR28" s="25"/>
      <c r="ZS28" s="25"/>
      <c r="ZT28" s="25"/>
      <c r="ZU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S28" s="25"/>
      <c r="ACT28" s="25"/>
      <c r="ACU28" s="25"/>
      <c r="ACV28" s="25"/>
      <c r="ACW28" s="25"/>
      <c r="ACX28" s="25"/>
      <c r="ACY28" s="25"/>
      <c r="ACZ28" s="25"/>
      <c r="ADA28" s="25"/>
      <c r="ADB28" s="25"/>
      <c r="ADC28" s="25"/>
      <c r="ADD28" s="25"/>
      <c r="ADE28" s="25"/>
      <c r="ADF28" s="25"/>
      <c r="ADN28" s="25"/>
      <c r="ADO28" s="25"/>
      <c r="ADP28" s="25"/>
      <c r="ADQ28" s="25"/>
      <c r="ADR28" s="25"/>
      <c r="ADS28" s="25"/>
      <c r="ADT28" s="25"/>
      <c r="ADU28" s="25"/>
      <c r="ADV28" s="25"/>
      <c r="ADW28" s="25"/>
      <c r="ADX28" s="25"/>
      <c r="ADY28" s="25"/>
      <c r="ADZ28" s="25"/>
      <c r="AEA28" s="25"/>
      <c r="AEI28" s="25"/>
      <c r="AEJ28" s="25"/>
      <c r="AEK28" s="25"/>
      <c r="AEL28" s="25"/>
      <c r="AEM28" s="25"/>
      <c r="AEN28" s="25"/>
      <c r="AEO28" s="25"/>
      <c r="AEP28" s="25"/>
      <c r="AEQ28" s="25"/>
      <c r="AER28" s="25"/>
      <c r="AES28" s="25"/>
      <c r="AET28" s="25"/>
      <c r="AEU28" s="25"/>
      <c r="AEV28" s="25"/>
      <c r="AFD28" s="25"/>
      <c r="AFE28" s="25"/>
      <c r="AFF28" s="25"/>
      <c r="AFG28" s="25"/>
      <c r="AFH28" s="25"/>
      <c r="AFI28" s="25"/>
      <c r="AFJ28" s="25"/>
      <c r="AFK28" s="25"/>
      <c r="AFL28" s="25"/>
      <c r="AFM28" s="25"/>
      <c r="AFN28" s="25"/>
      <c r="AFO28" s="25"/>
      <c r="AFP28" s="25"/>
      <c r="AFQ28" s="25"/>
      <c r="AFU28" s="25">
        <v>0</v>
      </c>
      <c r="AFX28" s="25"/>
      <c r="AFY28" s="25"/>
      <c r="AFZ28" s="25"/>
      <c r="AGA28" s="25"/>
      <c r="AGB28" s="25"/>
      <c r="AGC28" s="25"/>
      <c r="AGE28" s="25"/>
      <c r="AGF28" s="25"/>
      <c r="AGG28" s="25"/>
      <c r="AGH28" s="25"/>
      <c r="AJP28" s="25"/>
      <c r="AJQ28" s="25"/>
      <c r="AJR28" s="25"/>
      <c r="AJS28" s="25"/>
      <c r="AJT28" s="25"/>
      <c r="AJU28" s="25"/>
      <c r="AJV28" s="25"/>
      <c r="AKD28" s="25"/>
      <c r="AKE28" s="25"/>
      <c r="AKF28" s="25"/>
      <c r="AKG28" s="25"/>
      <c r="AKH28" s="25"/>
      <c r="AKI28" s="25"/>
      <c r="AKJ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H28" s="25"/>
      <c r="ANI28" s="25"/>
      <c r="ANJ28" s="25"/>
      <c r="ANK28" s="25"/>
      <c r="ANL28" s="25"/>
      <c r="ANM28" s="25"/>
      <c r="ANN28" s="25"/>
      <c r="ANO28" s="25"/>
      <c r="ANP28" s="25"/>
      <c r="ANQ28" s="25"/>
      <c r="ANR28" s="25"/>
      <c r="ANS28" s="25"/>
      <c r="ANT28" s="25"/>
      <c r="ANU28" s="25"/>
      <c r="AOC28" s="25"/>
      <c r="AOD28" s="25"/>
      <c r="AOE28" s="25"/>
      <c r="AOF28" s="25"/>
      <c r="AOG28" s="25"/>
      <c r="AOH28" s="25"/>
      <c r="AOI28" s="25"/>
      <c r="AOJ28" s="25"/>
      <c r="AOK28" s="25"/>
      <c r="AOL28" s="25"/>
      <c r="AOM28" s="25"/>
      <c r="AON28" s="25"/>
      <c r="AOO28" s="25"/>
      <c r="AOP28" s="25"/>
      <c r="AOX28" s="25"/>
      <c r="AOY28" s="25"/>
      <c r="AOZ28" s="25"/>
      <c r="APA28" s="25"/>
      <c r="APB28" s="25"/>
      <c r="APC28" s="25"/>
      <c r="APD28" s="25"/>
      <c r="APE28" s="25"/>
      <c r="APF28" s="25"/>
      <c r="APG28" s="25"/>
      <c r="APH28" s="25"/>
      <c r="API28" s="25"/>
      <c r="APJ28" s="25"/>
      <c r="APK28" s="25"/>
      <c r="APS28" s="25"/>
      <c r="APT28" s="25"/>
      <c r="APU28" s="25"/>
      <c r="APV28" s="25"/>
      <c r="APW28" s="25"/>
      <c r="APX28" s="25"/>
      <c r="APY28" s="25"/>
      <c r="APZ28" s="25"/>
      <c r="AQA28" s="25"/>
      <c r="AQB28" s="25"/>
      <c r="AQC28" s="25"/>
      <c r="AQD28" s="25"/>
      <c r="AQE28" s="25"/>
      <c r="AQF28" s="25"/>
      <c r="AQJ28" s="25">
        <v>2</v>
      </c>
      <c r="AQK28" s="25" t="s">
        <v>8460</v>
      </c>
      <c r="AQL28" s="25" t="s">
        <v>8544</v>
      </c>
      <c r="AQM28" s="56">
        <v>1500</v>
      </c>
      <c r="AQN28" s="56">
        <v>3000</v>
      </c>
      <c r="AQO28" s="56">
        <v>1500</v>
      </c>
      <c r="AQP28" s="56">
        <v>3000</v>
      </c>
      <c r="AQS28" s="25" t="s">
        <v>8356</v>
      </c>
      <c r="AQX28" s="25" t="s">
        <v>8248</v>
      </c>
      <c r="ARK28" s="25" t="s">
        <v>8249</v>
      </c>
      <c r="ATX28" s="25" t="s">
        <v>25</v>
      </c>
      <c r="ATY28" s="25" t="s">
        <v>28</v>
      </c>
      <c r="ATZ28" s="25" t="s">
        <v>25</v>
      </c>
      <c r="AUA28" s="25" t="s">
        <v>25</v>
      </c>
      <c r="AUC28" s="25" t="s">
        <v>13418</v>
      </c>
      <c r="AUE28" s="56">
        <v>20</v>
      </c>
      <c r="AUF28" s="56">
        <v>35</v>
      </c>
      <c r="AUG28" s="56">
        <v>20</v>
      </c>
      <c r="AVG28" s="25" t="s">
        <v>8250</v>
      </c>
      <c r="AVH28" s="25" t="s">
        <v>8250</v>
      </c>
      <c r="AVI28" s="25" t="s">
        <v>8250</v>
      </c>
      <c r="AVN28" s="25" t="s">
        <v>25</v>
      </c>
      <c r="AVO28" s="25" t="s">
        <v>25</v>
      </c>
      <c r="AVP28" s="25" t="s">
        <v>25</v>
      </c>
      <c r="AVU28" s="25" t="s">
        <v>13810</v>
      </c>
      <c r="AVV28" s="25" t="s">
        <v>13810</v>
      </c>
      <c r="AVW28" s="25" t="s">
        <v>13810</v>
      </c>
      <c r="AVX28" s="25" t="s">
        <v>8252</v>
      </c>
      <c r="AVY28" s="25" t="s">
        <v>13810</v>
      </c>
      <c r="AVZ28" s="25" t="s">
        <v>631</v>
      </c>
      <c r="AWB28" s="25" t="s">
        <v>13810</v>
      </c>
      <c r="AWC28" s="25" t="s">
        <v>631</v>
      </c>
      <c r="AWN28" s="56">
        <v>10</v>
      </c>
      <c r="AWP28" s="56">
        <v>20</v>
      </c>
      <c r="AWR28" s="56">
        <v>25</v>
      </c>
      <c r="AWT28" s="56">
        <v>50</v>
      </c>
      <c r="AWV28" s="56">
        <v>25</v>
      </c>
      <c r="AWX28" s="56">
        <v>50</v>
      </c>
      <c r="BAV28" s="25" t="s">
        <v>8255</v>
      </c>
      <c r="BAW28" s="25" t="s">
        <v>8542</v>
      </c>
      <c r="BAX28" s="25" t="s">
        <v>8321</v>
      </c>
      <c r="BAY28" s="25">
        <v>0</v>
      </c>
      <c r="BBB28" s="25"/>
      <c r="BBC28" s="25"/>
      <c r="BBD28" s="25"/>
      <c r="BBE28" s="25"/>
      <c r="BBF28" s="25"/>
      <c r="BBG28" s="25"/>
      <c r="BBI28" s="25"/>
      <c r="BBJ28" s="25"/>
      <c r="BBK28" s="25"/>
      <c r="BBL28" s="25"/>
      <c r="BET28" s="25"/>
      <c r="BEU28" s="25"/>
      <c r="BEV28" s="25"/>
      <c r="BEW28" s="25"/>
      <c r="BEX28" s="25"/>
      <c r="BEY28" s="25"/>
      <c r="BEZ28" s="25"/>
      <c r="BFH28" s="25"/>
      <c r="BFI28" s="25"/>
      <c r="BFJ28" s="25"/>
      <c r="BFK28" s="25"/>
      <c r="BFL28" s="25"/>
      <c r="BFM28" s="25"/>
      <c r="BFN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L28" s="25"/>
      <c r="BIM28" s="25"/>
      <c r="BIN28" s="25"/>
      <c r="BIO28" s="25"/>
      <c r="BIP28" s="25"/>
      <c r="BIQ28" s="25"/>
      <c r="BIR28" s="25"/>
      <c r="BIS28" s="25"/>
      <c r="BIT28" s="25"/>
      <c r="BIU28" s="25"/>
      <c r="BIV28" s="25"/>
      <c r="BIW28" s="25"/>
      <c r="BIX28" s="25"/>
      <c r="BIY28" s="25"/>
      <c r="BJG28" s="25"/>
      <c r="BJH28" s="25"/>
      <c r="BJI28" s="25"/>
      <c r="BJJ28" s="25"/>
      <c r="BJK28" s="25"/>
      <c r="BJL28" s="25"/>
      <c r="BJM28" s="25"/>
      <c r="BJN28" s="25"/>
      <c r="BJO28" s="25"/>
      <c r="BJP28" s="25"/>
      <c r="BJQ28" s="25"/>
      <c r="BJR28" s="25"/>
      <c r="BJS28" s="25"/>
      <c r="BJT28" s="25"/>
      <c r="BKB28" s="25"/>
      <c r="BKC28" s="25"/>
      <c r="BKD28" s="25"/>
      <c r="BKE28" s="25"/>
      <c r="BKF28" s="25"/>
      <c r="BKG28" s="25"/>
      <c r="BKH28" s="25"/>
      <c r="BKI28" s="25"/>
      <c r="BKJ28" s="25"/>
      <c r="BKK28" s="25"/>
      <c r="BKL28" s="25"/>
      <c r="BKM28" s="25"/>
      <c r="BKN28" s="25"/>
      <c r="BKO28" s="25"/>
      <c r="BKW28" s="25"/>
      <c r="BKX28" s="25"/>
      <c r="BKY28" s="25"/>
      <c r="BKZ28" s="25"/>
      <c r="BLA28" s="25"/>
      <c r="BLB28" s="25"/>
      <c r="BLC28" s="25"/>
      <c r="BLD28" s="25"/>
      <c r="BLE28" s="25"/>
      <c r="BLF28" s="25"/>
      <c r="BLG28" s="25"/>
      <c r="BLH28" s="25"/>
      <c r="BLI28" s="25"/>
      <c r="BLJ28" s="25"/>
      <c r="BLN28" s="25">
        <v>1</v>
      </c>
      <c r="BLO28" s="25" t="s">
        <v>8545</v>
      </c>
      <c r="BLQ28" s="56">
        <v>500</v>
      </c>
      <c r="BLR28" s="56">
        <v>1500</v>
      </c>
      <c r="BLS28" s="56">
        <v>1500</v>
      </c>
      <c r="BLT28" s="56">
        <v>4500</v>
      </c>
      <c r="BLW28" s="25" t="s">
        <v>8356</v>
      </c>
      <c r="BLX28" s="56">
        <v>100</v>
      </c>
      <c r="BLY28" s="56">
        <v>300</v>
      </c>
      <c r="BLZ28" s="56">
        <v>300</v>
      </c>
      <c r="BMA28" s="56">
        <v>900</v>
      </c>
      <c r="BMB28" s="25" t="s">
        <v>8248</v>
      </c>
      <c r="BMO28" s="25" t="s">
        <v>8249</v>
      </c>
      <c r="BPB28" s="25" t="s">
        <v>25</v>
      </c>
      <c r="BPC28" s="25" t="s">
        <v>28</v>
      </c>
      <c r="BPD28" s="25" t="s">
        <v>25</v>
      </c>
      <c r="BPE28" s="25" t="s">
        <v>25</v>
      </c>
      <c r="BPH28" s="25" t="s">
        <v>13418</v>
      </c>
      <c r="BQD28" s="26">
        <v>0.3</v>
      </c>
      <c r="BQE28" s="26">
        <v>0.3</v>
      </c>
      <c r="BQF28" s="26">
        <v>0.3</v>
      </c>
      <c r="BQK28" s="25" t="s">
        <v>8250</v>
      </c>
      <c r="BQL28" s="25" t="s">
        <v>8250</v>
      </c>
      <c r="BQM28" s="25" t="s">
        <v>8250</v>
      </c>
      <c r="BQR28" s="25" t="s">
        <v>25</v>
      </c>
      <c r="BQS28" s="25" t="s">
        <v>25</v>
      </c>
      <c r="BQT28" s="25" t="s">
        <v>25</v>
      </c>
      <c r="BQY28" s="25" t="s">
        <v>13810</v>
      </c>
      <c r="BQZ28" s="25" t="s">
        <v>13810</v>
      </c>
      <c r="BRA28" s="25" t="s">
        <v>13810</v>
      </c>
      <c r="BRD28" s="25" t="s">
        <v>631</v>
      </c>
      <c r="BRF28" s="25" t="s">
        <v>631</v>
      </c>
      <c r="BRG28" s="25" t="s">
        <v>631</v>
      </c>
      <c r="BRI28" s="25" t="s">
        <v>8253</v>
      </c>
      <c r="BRJ28" s="25" t="s">
        <v>8253</v>
      </c>
      <c r="BRK28" s="25" t="s">
        <v>8253</v>
      </c>
      <c r="BST28" s="26">
        <v>0.1</v>
      </c>
      <c r="BSU28" s="26">
        <v>0.1</v>
      </c>
      <c r="BSV28" s="26">
        <v>0.1</v>
      </c>
      <c r="BSX28" s="26">
        <v>0.1</v>
      </c>
      <c r="BTO28" s="26">
        <v>0.3</v>
      </c>
      <c r="BTP28" s="26">
        <v>0.3</v>
      </c>
      <c r="BTQ28" s="26">
        <v>0.3</v>
      </c>
      <c r="BTS28" s="26">
        <v>0.3</v>
      </c>
      <c r="BUJ28" s="26">
        <v>0.1</v>
      </c>
      <c r="BUK28" s="26">
        <v>0.1</v>
      </c>
      <c r="BUL28" s="26">
        <v>0.1</v>
      </c>
      <c r="BUN28" s="26">
        <v>0.1</v>
      </c>
      <c r="BVE28" s="26">
        <v>0.1</v>
      </c>
      <c r="BVF28" s="26">
        <v>0.1</v>
      </c>
      <c r="BVG28" s="26">
        <v>0.1</v>
      </c>
      <c r="BVI28" s="26">
        <v>0.1</v>
      </c>
      <c r="BVZ28" s="25" t="s">
        <v>8255</v>
      </c>
      <c r="BWA28" s="25" t="s">
        <v>8256</v>
      </c>
      <c r="BWB28" s="25" t="s">
        <v>8263</v>
      </c>
      <c r="BWC28" s="25" t="s">
        <v>28</v>
      </c>
      <c r="BWD28" s="25" t="s">
        <v>8265</v>
      </c>
      <c r="BWE28" s="25" t="s">
        <v>8357</v>
      </c>
      <c r="BWF28" s="25" t="s">
        <v>13708</v>
      </c>
      <c r="BWG28" s="25" t="s">
        <v>25</v>
      </c>
      <c r="BWH28" s="25" t="s">
        <v>2169</v>
      </c>
      <c r="BWI28" s="25" t="s">
        <v>28</v>
      </c>
      <c r="BWJ28" s="25" t="s">
        <v>8267</v>
      </c>
      <c r="BWK28" s="25" t="s">
        <v>25</v>
      </c>
      <c r="BWM28" s="25" t="s">
        <v>25</v>
      </c>
      <c r="BWO28" s="25" t="s">
        <v>25</v>
      </c>
      <c r="BWQ28" s="25" t="s">
        <v>28</v>
      </c>
      <c r="BWR28" s="25" t="s">
        <v>25</v>
      </c>
      <c r="BWT28" s="25" t="s">
        <v>25</v>
      </c>
      <c r="BWV28" s="25" t="s">
        <v>25</v>
      </c>
      <c r="BWX28" s="25" t="s">
        <v>28</v>
      </c>
      <c r="BWY28" s="25" t="s">
        <v>8358</v>
      </c>
      <c r="BWZ28" s="25" t="s">
        <v>28</v>
      </c>
      <c r="BXA28" s="56">
        <v>24</v>
      </c>
      <c r="BXB28" s="25" t="s">
        <v>28</v>
      </c>
      <c r="BXC28" s="56">
        <v>24</v>
      </c>
      <c r="BXD28" s="25" t="s">
        <v>28</v>
      </c>
      <c r="BXE28" s="25" t="s">
        <v>8358</v>
      </c>
      <c r="BXF28" s="25" t="s">
        <v>28</v>
      </c>
      <c r="BXG28" s="56">
        <v>24</v>
      </c>
      <c r="BXH28" s="25" t="s">
        <v>28</v>
      </c>
      <c r="BXI28" s="56">
        <v>24</v>
      </c>
      <c r="BXJ28" s="25" t="s">
        <v>28</v>
      </c>
      <c r="BXK28" s="25" t="s">
        <v>8360</v>
      </c>
      <c r="BXL28" s="25" t="s">
        <v>13821</v>
      </c>
      <c r="BXM28" s="25" t="s">
        <v>28</v>
      </c>
      <c r="BXN28" s="25" t="s">
        <v>8272</v>
      </c>
      <c r="BXO28" s="25" t="s">
        <v>8274</v>
      </c>
      <c r="BXP28" s="25" t="s">
        <v>8274</v>
      </c>
      <c r="BXT28" s="25" t="s">
        <v>8406</v>
      </c>
      <c r="BXU28" s="25" t="s">
        <v>25</v>
      </c>
      <c r="BXW28" s="25" t="s">
        <v>25</v>
      </c>
      <c r="BXX28" s="25" t="s">
        <v>25</v>
      </c>
      <c r="BXY28" s="25" t="s">
        <v>25</v>
      </c>
      <c r="BXZ28" s="25" t="s">
        <v>25</v>
      </c>
      <c r="BYA28" s="25" t="s">
        <v>25</v>
      </c>
      <c r="BYB28" s="25" t="s">
        <v>25</v>
      </c>
      <c r="BYC28" s="25" t="s">
        <v>2201</v>
      </c>
      <c r="BYD28" s="25" t="s">
        <v>28</v>
      </c>
      <c r="BYE28" s="25" t="s">
        <v>13610</v>
      </c>
      <c r="BYF28" s="25" t="s">
        <v>8277</v>
      </c>
      <c r="BYH28" s="25" t="s">
        <v>635</v>
      </c>
      <c r="BYK28" s="25" t="s">
        <v>28</v>
      </c>
      <c r="BYL28" s="25" t="s">
        <v>25</v>
      </c>
      <c r="BYN28" s="25" t="s">
        <v>25</v>
      </c>
      <c r="BYP28" s="25" t="s">
        <v>25</v>
      </c>
      <c r="BYR28" s="25" t="s">
        <v>28</v>
      </c>
      <c r="BYS28" s="25" t="s">
        <v>8279</v>
      </c>
      <c r="BYT28" s="25" t="s">
        <v>732</v>
      </c>
      <c r="BYU28" s="25" t="s">
        <v>732</v>
      </c>
      <c r="BYV28" s="25" t="s">
        <v>25</v>
      </c>
      <c r="BYW28" s="25" t="s">
        <v>28</v>
      </c>
      <c r="BYX28" s="56">
        <v>650</v>
      </c>
      <c r="BYY28" s="56">
        <v>1300</v>
      </c>
      <c r="BYZ28" s="25" t="s">
        <v>8408</v>
      </c>
      <c r="BZA28" s="25" t="s">
        <v>8546</v>
      </c>
      <c r="BZB28" s="25" t="s">
        <v>256</v>
      </c>
      <c r="BZC28" s="25" t="s">
        <v>8282</v>
      </c>
      <c r="BZD28" s="25" t="s">
        <v>28</v>
      </c>
      <c r="BZE28" s="25" t="s">
        <v>25</v>
      </c>
      <c r="BZF28" s="25" t="s">
        <v>25</v>
      </c>
      <c r="BZG28" s="25" t="s">
        <v>28</v>
      </c>
      <c r="BZH28" s="56">
        <v>650</v>
      </c>
      <c r="BZI28" s="56">
        <v>650</v>
      </c>
      <c r="BZJ28" s="25" t="s">
        <v>25</v>
      </c>
      <c r="BZM28" s="25" t="s">
        <v>28</v>
      </c>
      <c r="BZN28" s="25" t="s">
        <v>8283</v>
      </c>
      <c r="BZP28" s="25" t="s">
        <v>8366</v>
      </c>
      <c r="BZQ28" s="56">
        <v>1000</v>
      </c>
      <c r="BZR28" s="25" t="s">
        <v>28</v>
      </c>
      <c r="BZS28" s="25" t="s">
        <v>25</v>
      </c>
      <c r="BZT28" s="25" t="s">
        <v>8285</v>
      </c>
      <c r="BZV28" s="25" t="s">
        <v>8547</v>
      </c>
      <c r="BZX28" s="25" t="s">
        <v>8548</v>
      </c>
      <c r="BZZ28" s="25" t="s">
        <v>25</v>
      </c>
      <c r="CAC28" s="25" t="s">
        <v>28</v>
      </c>
      <c r="CAD28" s="25" t="s">
        <v>8288</v>
      </c>
      <c r="CAE28" s="25" t="s">
        <v>28</v>
      </c>
      <c r="CAF28" s="25" t="s">
        <v>8289</v>
      </c>
      <c r="CAG28" s="25" t="s">
        <v>25</v>
      </c>
      <c r="CAH28" s="25" t="s">
        <v>8290</v>
      </c>
      <c r="CAI28" s="25" t="s">
        <v>631</v>
      </c>
      <c r="CAJ28" s="25" t="s">
        <v>631</v>
      </c>
      <c r="CAK28" s="25" t="s">
        <v>631</v>
      </c>
      <c r="CAL28" s="25" t="s">
        <v>631</v>
      </c>
      <c r="CAM28" s="25" t="s">
        <v>8290</v>
      </c>
      <c r="CAN28" s="25" t="s">
        <v>8290</v>
      </c>
      <c r="CAO28" s="25" t="s">
        <v>8290</v>
      </c>
      <c r="CAP28" s="25" t="s">
        <v>8290</v>
      </c>
      <c r="CAR28" s="25" t="s">
        <v>8455</v>
      </c>
      <c r="CAT28" s="25" t="s">
        <v>28</v>
      </c>
      <c r="CAU28" s="25" t="s">
        <v>8549</v>
      </c>
      <c r="CBB28" s="25">
        <v>1</v>
      </c>
      <c r="CBC28" s="25">
        <v>0</v>
      </c>
      <c r="CBD28" s="25">
        <v>1</v>
      </c>
      <c r="CBE28" s="56">
        <v>0</v>
      </c>
      <c r="CBF28" s="56">
        <v>0</v>
      </c>
      <c r="CBG28" s="56">
        <v>50</v>
      </c>
      <c r="CBH28" s="56">
        <v>150</v>
      </c>
      <c r="CBI28" s="56">
        <v>2000</v>
      </c>
      <c r="CBK28" s="56">
        <v>2000</v>
      </c>
      <c r="CBM28" s="26">
        <v>0</v>
      </c>
      <c r="CBN28" s="26">
        <v>0</v>
      </c>
      <c r="CBO28" s="26">
        <v>0.2</v>
      </c>
      <c r="CBP28" s="26">
        <v>0.2</v>
      </c>
      <c r="CBQ28" s="26">
        <v>0.5</v>
      </c>
      <c r="CBR28" s="26">
        <v>0.5</v>
      </c>
      <c r="CBS28" s="26">
        <v>0.5</v>
      </c>
      <c r="CBT28" s="26">
        <v>0.5</v>
      </c>
      <c r="CBU28" s="27" t="s">
        <v>28</v>
      </c>
      <c r="CBV28" s="27" t="s">
        <v>8293</v>
      </c>
      <c r="CBW28" s="27" t="s">
        <v>8294</v>
      </c>
      <c r="CBX28" s="27" t="s">
        <v>8418</v>
      </c>
      <c r="CBY28" s="27" t="s">
        <v>8296</v>
      </c>
      <c r="CBZ28" s="27" t="s">
        <v>8296</v>
      </c>
      <c r="CCA28" s="27" t="s">
        <v>8297</v>
      </c>
      <c r="CCB28" s="27" t="s">
        <v>8298</v>
      </c>
      <c r="CCC28" s="27" t="s">
        <v>8296</v>
      </c>
      <c r="CCD28" s="27" t="s">
        <v>8297</v>
      </c>
      <c r="CCE28" s="27" t="s">
        <v>8297</v>
      </c>
      <c r="CCF28" s="27" t="s">
        <v>8297</v>
      </c>
      <c r="CCG28" s="27" t="s">
        <v>8296</v>
      </c>
      <c r="CCH28" s="27" t="s">
        <v>8296</v>
      </c>
      <c r="CCI28" s="27" t="s">
        <v>8298</v>
      </c>
      <c r="CCJ28" s="27" t="s">
        <v>8298</v>
      </c>
      <c r="CCK28" s="27" t="s">
        <v>8297</v>
      </c>
      <c r="CCL28" s="27" t="s">
        <v>8297</v>
      </c>
      <c r="CCN28" s="27" t="s">
        <v>8296</v>
      </c>
      <c r="CCO28" s="27" t="s">
        <v>8300</v>
      </c>
      <c r="CCP28" s="27" t="s">
        <v>8296</v>
      </c>
      <c r="CCQ28" s="27" t="s">
        <v>8296</v>
      </c>
      <c r="CCR28" s="27" t="s">
        <v>8296</v>
      </c>
      <c r="CCS28" s="27" t="s">
        <v>8298</v>
      </c>
      <c r="CCT28" s="27" t="s">
        <v>8296</v>
      </c>
      <c r="CCU28" s="27" t="s">
        <v>8296</v>
      </c>
      <c r="CCV28" s="27" t="s">
        <v>8298</v>
      </c>
      <c r="CCW28" s="27" t="s">
        <v>8298</v>
      </c>
      <c r="CCX28" s="27" t="s">
        <v>8298</v>
      </c>
      <c r="CCY28" s="27" t="s">
        <v>8298</v>
      </c>
      <c r="CCZ28" s="27" t="s">
        <v>28</v>
      </c>
      <c r="CDA28" s="27" t="s">
        <v>28</v>
      </c>
      <c r="CDB28" s="27" t="s">
        <v>28</v>
      </c>
      <c r="CDC28" s="27" t="s">
        <v>25</v>
      </c>
      <c r="CDD28" s="27" t="s">
        <v>28</v>
      </c>
      <c r="CDE28" s="27" t="s">
        <v>28</v>
      </c>
      <c r="CDF28" s="27" t="s">
        <v>28</v>
      </c>
      <c r="CDG28" s="27" t="s">
        <v>28</v>
      </c>
      <c r="CDH28" s="27" t="s">
        <v>28</v>
      </c>
      <c r="CDI28" s="27" t="s">
        <v>28</v>
      </c>
      <c r="CDJ28" s="27" t="s">
        <v>25</v>
      </c>
      <c r="CDK28" s="27" t="s">
        <v>25</v>
      </c>
      <c r="CDL28" s="27" t="s">
        <v>28</v>
      </c>
      <c r="CDM28" s="27" t="s">
        <v>28</v>
      </c>
      <c r="CDO28" s="27" t="s">
        <v>28</v>
      </c>
      <c r="CDP28" s="27" t="s">
        <v>25</v>
      </c>
      <c r="CDQ28" s="27" t="s">
        <v>25</v>
      </c>
      <c r="CDR28" s="27" t="s">
        <v>28</v>
      </c>
      <c r="CDS28" s="27" t="s">
        <v>28</v>
      </c>
      <c r="CDT28" s="27" t="s">
        <v>25</v>
      </c>
      <c r="CDU28" s="27" t="s">
        <v>28</v>
      </c>
      <c r="CDV28" s="27" t="s">
        <v>28</v>
      </c>
      <c r="CDW28" s="27" t="s">
        <v>25</v>
      </c>
      <c r="CDX28" s="27" t="s">
        <v>25</v>
      </c>
      <c r="CDY28" s="27" t="s">
        <v>25</v>
      </c>
      <c r="CDZ28" s="27" t="s">
        <v>25</v>
      </c>
      <c r="CEA28" s="27" t="s">
        <v>2673</v>
      </c>
      <c r="CEB28" s="27" t="s">
        <v>2673</v>
      </c>
      <c r="CEC28" s="27" t="s">
        <v>8304</v>
      </c>
      <c r="CED28" s="27" t="s">
        <v>8302</v>
      </c>
      <c r="CEE28" s="27" t="s">
        <v>2673</v>
      </c>
      <c r="CEF28" s="27" t="s">
        <v>8301</v>
      </c>
      <c r="CEG28" s="27" t="s">
        <v>8420</v>
      </c>
      <c r="CEH28" s="27" t="s">
        <v>8305</v>
      </c>
      <c r="CEI28" s="27" t="s">
        <v>29</v>
      </c>
      <c r="CEJ28" s="27" t="s">
        <v>2673</v>
      </c>
      <c r="CEK28" s="27" t="s">
        <v>8302</v>
      </c>
      <c r="CEL28" s="27" t="s">
        <v>8302</v>
      </c>
      <c r="CEM28" s="27" t="s">
        <v>29</v>
      </c>
      <c r="CEN28" s="27" t="s">
        <v>8301</v>
      </c>
      <c r="CEO28" s="27" t="s">
        <v>8303</v>
      </c>
      <c r="CEP28" s="27" t="s">
        <v>2673</v>
      </c>
      <c r="CEQ28" s="27" t="s">
        <v>8304</v>
      </c>
      <c r="CER28" s="27" t="s">
        <v>8305</v>
      </c>
      <c r="CES28" s="27" t="s">
        <v>8306</v>
      </c>
      <c r="CET28" s="27" t="s">
        <v>8305</v>
      </c>
      <c r="CEU28" s="27" t="s">
        <v>8304</v>
      </c>
      <c r="CEV28" s="27" t="s">
        <v>2673</v>
      </c>
      <c r="CEW28" s="27" t="s">
        <v>29</v>
      </c>
      <c r="CEX28" s="27" t="s">
        <v>8302</v>
      </c>
      <c r="CEY28" s="27" t="s">
        <v>8303</v>
      </c>
      <c r="CEZ28" s="27" t="s">
        <v>8301</v>
      </c>
      <c r="CFA28" s="27" t="s">
        <v>8303</v>
      </c>
      <c r="CFB28" s="27" t="s">
        <v>25</v>
      </c>
      <c r="CFC28" s="27" t="s">
        <v>25</v>
      </c>
      <c r="CFD28" s="27" t="s">
        <v>28</v>
      </c>
      <c r="CFE28" s="27" t="s">
        <v>25</v>
      </c>
      <c r="CFF28" s="27" t="s">
        <v>25</v>
      </c>
      <c r="CFG28" s="27" t="s">
        <v>28</v>
      </c>
      <c r="CFH28" s="27" t="s">
        <v>28</v>
      </c>
      <c r="CFI28" s="27" t="s">
        <v>28</v>
      </c>
      <c r="CFJ28" s="27" t="s">
        <v>28</v>
      </c>
      <c r="CFK28" s="27" t="s">
        <v>25</v>
      </c>
      <c r="CFL28" s="27" t="s">
        <v>25</v>
      </c>
      <c r="CFM28" s="27" t="s">
        <v>25</v>
      </c>
      <c r="CFN28" s="27" t="s">
        <v>28</v>
      </c>
      <c r="CFO28" s="27" t="s">
        <v>25</v>
      </c>
      <c r="CFQ28" s="27" t="s">
        <v>25</v>
      </c>
      <c r="CFR28" s="27" t="s">
        <v>25</v>
      </c>
      <c r="CFS28" s="27" t="s">
        <v>25</v>
      </c>
      <c r="CFT28" s="27" t="s">
        <v>25</v>
      </c>
      <c r="CFU28" s="27" t="s">
        <v>25</v>
      </c>
      <c r="CFV28" s="27" t="s">
        <v>28</v>
      </c>
      <c r="CFW28" s="27" t="s">
        <v>25</v>
      </c>
      <c r="CFX28" s="27" t="s">
        <v>28</v>
      </c>
      <c r="CFY28" s="27" t="s">
        <v>25</v>
      </c>
      <c r="CFZ28" s="27" t="s">
        <v>25</v>
      </c>
      <c r="CGA28" s="27" t="s">
        <v>25</v>
      </c>
      <c r="CGB28" s="27" t="s">
        <v>25</v>
      </c>
      <c r="CKZ28" s="56">
        <v>50</v>
      </c>
      <c r="CLA28" s="56">
        <v>150</v>
      </c>
      <c r="CLB28" s="56">
        <v>50</v>
      </c>
      <c r="CLC28" s="56">
        <v>150</v>
      </c>
      <c r="CLD28" s="56">
        <v>2000</v>
      </c>
      <c r="CLF28" s="56">
        <v>2000</v>
      </c>
      <c r="CLH28" s="26">
        <v>0</v>
      </c>
      <c r="CLI28" s="26">
        <v>0</v>
      </c>
      <c r="CLJ28" s="26">
        <v>0.2</v>
      </c>
      <c r="CLK28" s="26">
        <v>0.2</v>
      </c>
      <c r="CLL28" s="26">
        <v>0.5</v>
      </c>
      <c r="CLM28" s="26">
        <v>0.5</v>
      </c>
      <c r="CLN28" s="26">
        <v>0.5</v>
      </c>
      <c r="CLO28" s="26">
        <v>0.5</v>
      </c>
      <c r="CLP28" s="27" t="s">
        <v>8300</v>
      </c>
      <c r="CLQ28" s="27" t="s">
        <v>8442</v>
      </c>
      <c r="CLR28" s="27" t="s">
        <v>8550</v>
      </c>
      <c r="CLS28" s="27" t="s">
        <v>8296</v>
      </c>
      <c r="CLT28" s="27" t="s">
        <v>8296</v>
      </c>
      <c r="CLU28" s="27" t="s">
        <v>8297</v>
      </c>
      <c r="CLV28" s="27" t="s">
        <v>8298</v>
      </c>
      <c r="CLW28" s="27" t="s">
        <v>8296</v>
      </c>
      <c r="CLX28" s="27" t="s">
        <v>8297</v>
      </c>
      <c r="CLY28" s="27" t="s">
        <v>8297</v>
      </c>
      <c r="CLZ28" s="27" t="s">
        <v>8297</v>
      </c>
      <c r="CMA28" s="27" t="s">
        <v>8297</v>
      </c>
      <c r="CMC28" s="27" t="s">
        <v>8298</v>
      </c>
      <c r="CMD28" s="27" t="s">
        <v>8298</v>
      </c>
      <c r="CME28" s="27" t="s">
        <v>8297</v>
      </c>
      <c r="CMF28" s="27" t="s">
        <v>8297</v>
      </c>
      <c r="CMH28" s="27" t="s">
        <v>8296</v>
      </c>
      <c r="CMI28" s="27" t="s">
        <v>8300</v>
      </c>
      <c r="CMJ28" s="27" t="s">
        <v>8296</v>
      </c>
      <c r="CMK28" s="27" t="s">
        <v>8296</v>
      </c>
      <c r="CML28" s="27" t="s">
        <v>8296</v>
      </c>
      <c r="CMM28" s="27" t="s">
        <v>8298</v>
      </c>
      <c r="CMN28" s="27" t="s">
        <v>8296</v>
      </c>
      <c r="CMO28" s="27" t="s">
        <v>8298</v>
      </c>
      <c r="CMP28" s="27" t="s">
        <v>8298</v>
      </c>
      <c r="CMQ28" s="27" t="s">
        <v>8298</v>
      </c>
      <c r="CMR28" s="27" t="s">
        <v>8298</v>
      </c>
      <c r="CMS28" s="27" t="s">
        <v>8298</v>
      </c>
      <c r="CMT28" s="27" t="s">
        <v>28</v>
      </c>
      <c r="CMU28" s="27" t="s">
        <v>28</v>
      </c>
      <c r="CMV28" s="27" t="s">
        <v>28</v>
      </c>
      <c r="CMW28" s="27" t="s">
        <v>28</v>
      </c>
      <c r="CMX28" s="27" t="s">
        <v>28</v>
      </c>
      <c r="CMY28" s="27" t="s">
        <v>28</v>
      </c>
      <c r="CMZ28" s="27" t="s">
        <v>28</v>
      </c>
      <c r="CNA28" s="27" t="s">
        <v>28</v>
      </c>
      <c r="CNB28" s="27" t="s">
        <v>28</v>
      </c>
      <c r="CND28" s="27" t="s">
        <v>28</v>
      </c>
      <c r="CNE28" s="27" t="s">
        <v>28</v>
      </c>
      <c r="CNF28" s="27" t="s">
        <v>28</v>
      </c>
      <c r="CNG28" s="27" t="s">
        <v>28</v>
      </c>
      <c r="CNI28" s="27" t="s">
        <v>28</v>
      </c>
      <c r="CNJ28" s="27" t="s">
        <v>25</v>
      </c>
      <c r="CNK28" s="27" t="s">
        <v>28</v>
      </c>
      <c r="CNL28" s="27" t="s">
        <v>28</v>
      </c>
      <c r="CNM28" s="27" t="s">
        <v>28</v>
      </c>
      <c r="CNN28" s="27" t="s">
        <v>28</v>
      </c>
      <c r="CNO28" s="27" t="s">
        <v>28</v>
      </c>
      <c r="CNP28" s="27" t="s">
        <v>28</v>
      </c>
      <c r="CNQ28" s="27" t="s">
        <v>28</v>
      </c>
      <c r="CNR28" s="27" t="s">
        <v>28</v>
      </c>
      <c r="CNS28" s="27" t="s">
        <v>28</v>
      </c>
      <c r="CNT28" s="27" t="s">
        <v>28</v>
      </c>
      <c r="CNU28" s="27" t="s">
        <v>2673</v>
      </c>
      <c r="CNV28" s="27" t="s">
        <v>2673</v>
      </c>
      <c r="CNW28" s="27" t="s">
        <v>8301</v>
      </c>
      <c r="CNX28" s="27" t="s">
        <v>8302</v>
      </c>
      <c r="CNY28" s="27" t="s">
        <v>2673</v>
      </c>
      <c r="CNZ28" s="27" t="s">
        <v>8301</v>
      </c>
      <c r="COA28" s="27" t="s">
        <v>8301</v>
      </c>
      <c r="COB28" s="27" t="s">
        <v>8301</v>
      </c>
      <c r="COC28" s="27" t="s">
        <v>8301</v>
      </c>
      <c r="COE28" s="27" t="s">
        <v>8302</v>
      </c>
      <c r="COF28" s="27" t="s">
        <v>8302</v>
      </c>
      <c r="COG28" s="27" t="s">
        <v>8304</v>
      </c>
      <c r="COH28" s="27" t="s">
        <v>8301</v>
      </c>
      <c r="COJ28" s="27" t="s">
        <v>2673</v>
      </c>
      <c r="COK28" s="27" t="s">
        <v>8304</v>
      </c>
      <c r="COL28" s="27" t="s">
        <v>2673</v>
      </c>
      <c r="COM28" s="27" t="s">
        <v>29</v>
      </c>
      <c r="CON28" s="27" t="s">
        <v>2673</v>
      </c>
      <c r="COO28" s="27" t="s">
        <v>29</v>
      </c>
      <c r="COP28" s="27" t="s">
        <v>2673</v>
      </c>
      <c r="COQ28" s="27" t="s">
        <v>8306</v>
      </c>
      <c r="COR28" s="27" t="s">
        <v>8303</v>
      </c>
      <c r="COS28" s="27" t="s">
        <v>8302</v>
      </c>
      <c r="COT28" s="27" t="s">
        <v>8306</v>
      </c>
      <c r="COU28" s="27" t="s">
        <v>8306</v>
      </c>
      <c r="COV28" s="27" t="s">
        <v>25</v>
      </c>
      <c r="COW28" s="27" t="s">
        <v>25</v>
      </c>
      <c r="COX28" s="27" t="s">
        <v>25</v>
      </c>
      <c r="COY28" s="27" t="s">
        <v>25</v>
      </c>
      <c r="COZ28" s="27" t="s">
        <v>25</v>
      </c>
      <c r="CPA28" s="27" t="s">
        <v>25</v>
      </c>
      <c r="CPB28" s="27" t="s">
        <v>28</v>
      </c>
      <c r="CPC28" s="27" t="s">
        <v>28</v>
      </c>
      <c r="CPD28" s="27" t="s">
        <v>28</v>
      </c>
      <c r="CPF28" s="27" t="s">
        <v>25</v>
      </c>
      <c r="CPG28" s="27" t="s">
        <v>28</v>
      </c>
      <c r="CPH28" s="27" t="s">
        <v>25</v>
      </c>
      <c r="CPI28" s="27" t="s">
        <v>25</v>
      </c>
      <c r="CPK28" s="27" t="s">
        <v>25</v>
      </c>
      <c r="CPL28" s="27" t="s">
        <v>25</v>
      </c>
      <c r="CPM28" s="27" t="s">
        <v>25</v>
      </c>
      <c r="CPN28" s="27" t="s">
        <v>25</v>
      </c>
      <c r="CPO28" s="27" t="s">
        <v>25</v>
      </c>
      <c r="CPP28" s="27" t="s">
        <v>25</v>
      </c>
      <c r="CPQ28" s="27" t="s">
        <v>25</v>
      </c>
      <c r="CPR28" s="27" t="s">
        <v>28</v>
      </c>
      <c r="CPS28" s="27" t="s">
        <v>28</v>
      </c>
      <c r="CPT28" s="27" t="s">
        <v>25</v>
      </c>
      <c r="CPU28" s="27" t="s">
        <v>25</v>
      </c>
      <c r="CPV28" s="27" t="s">
        <v>25</v>
      </c>
      <c r="CPW28" s="27">
        <v>1</v>
      </c>
      <c r="CPX28" s="56">
        <v>0</v>
      </c>
      <c r="CPY28" s="26">
        <v>0</v>
      </c>
      <c r="CQB28" s="25" t="s">
        <v>8307</v>
      </c>
      <c r="CQC28" s="25" t="s">
        <v>8307</v>
      </c>
      <c r="CQD28" s="25" t="s">
        <v>8307</v>
      </c>
      <c r="CQE28" s="25" t="s">
        <v>8307</v>
      </c>
      <c r="CQF28" s="25" t="s">
        <v>8307</v>
      </c>
      <c r="CQI28" s="56">
        <v>200</v>
      </c>
      <c r="CQJ28" s="56">
        <v>200</v>
      </c>
      <c r="CQK28" s="56">
        <v>200</v>
      </c>
      <c r="CQL28" s="25" t="s">
        <v>8551</v>
      </c>
      <c r="CQM28" s="25" t="s">
        <v>8308</v>
      </c>
      <c r="CQN28" s="25" t="s">
        <v>25</v>
      </c>
      <c r="CQO28" s="25" t="s">
        <v>8309</v>
      </c>
      <c r="CQQ28" s="25" t="s">
        <v>8552</v>
      </c>
      <c r="CQR28" s="25" t="s">
        <v>8553</v>
      </c>
      <c r="CQS28" s="25" t="s">
        <v>25</v>
      </c>
      <c r="CQT28" s="25" t="s">
        <v>8312</v>
      </c>
      <c r="CQU28" s="25" t="s">
        <v>8312</v>
      </c>
      <c r="CQV28" s="25" t="s">
        <v>8312</v>
      </c>
      <c r="CQW28" s="25" t="s">
        <v>8312</v>
      </c>
      <c r="CQX28" s="25" t="s">
        <v>8312</v>
      </c>
      <c r="CQY28" s="25" t="s">
        <v>8312</v>
      </c>
      <c r="CQZ28" s="25" t="s">
        <v>8312</v>
      </c>
      <c r="CRA28" s="25" t="s">
        <v>8314</v>
      </c>
      <c r="CRB28" s="25" t="s">
        <v>8312</v>
      </c>
      <c r="CRC28" s="25" t="s">
        <v>8314</v>
      </c>
      <c r="CRD28" s="25" t="s">
        <v>8312</v>
      </c>
      <c r="CRE28" s="27" t="s">
        <v>8312</v>
      </c>
    </row>
    <row r="29" spans="1:2501" ht="114.75" x14ac:dyDescent="0.2">
      <c r="A29" s="21" t="s">
        <v>139</v>
      </c>
      <c r="B29" s="26">
        <v>0.09</v>
      </c>
      <c r="C29" s="26">
        <v>0.48</v>
      </c>
      <c r="D29" s="26">
        <v>0.09</v>
      </c>
      <c r="E29" s="26">
        <v>0.21</v>
      </c>
      <c r="F29" s="26">
        <v>0</v>
      </c>
      <c r="G29" s="26">
        <v>0</v>
      </c>
      <c r="H29" s="26">
        <v>0</v>
      </c>
      <c r="I29" s="26">
        <v>0</v>
      </c>
      <c r="J29" s="26">
        <v>0</v>
      </c>
      <c r="K29" s="26">
        <v>0</v>
      </c>
      <c r="L29" s="26">
        <v>0</v>
      </c>
      <c r="M29" s="26">
        <v>0.13</v>
      </c>
      <c r="N29" s="26">
        <v>0.27</v>
      </c>
      <c r="O29" s="26">
        <v>0.05</v>
      </c>
      <c r="P29" s="26">
        <v>0.03</v>
      </c>
      <c r="Q29" s="26">
        <v>0</v>
      </c>
      <c r="R29" s="26">
        <v>0</v>
      </c>
      <c r="S29" s="26">
        <v>0</v>
      </c>
      <c r="T29" s="26">
        <v>0</v>
      </c>
      <c r="U29" s="26">
        <v>0</v>
      </c>
      <c r="V29" s="26">
        <v>0</v>
      </c>
      <c r="W29" s="26">
        <v>0</v>
      </c>
      <c r="X29" s="26">
        <v>0</v>
      </c>
      <c r="Y29" s="26">
        <v>0.65</v>
      </c>
      <c r="Z29" s="25">
        <v>1</v>
      </c>
      <c r="AA29" s="25" t="s">
        <v>8645</v>
      </c>
      <c r="AC29" s="56">
        <v>3250</v>
      </c>
      <c r="AD29" s="56">
        <v>6650</v>
      </c>
      <c r="AE29" s="56">
        <v>6500</v>
      </c>
      <c r="AF29" s="56">
        <v>13300</v>
      </c>
      <c r="AI29" s="25" t="s">
        <v>8246</v>
      </c>
      <c r="AJ29" s="56">
        <v>750</v>
      </c>
      <c r="AK29" s="56">
        <v>1500</v>
      </c>
      <c r="AL29" s="56">
        <v>1500</v>
      </c>
      <c r="AM29" s="56">
        <v>3000</v>
      </c>
      <c r="AN29" s="25" t="s">
        <v>8350</v>
      </c>
      <c r="AO29" s="25" t="s">
        <v>8248</v>
      </c>
      <c r="BB29" s="25" t="s">
        <v>8249</v>
      </c>
      <c r="DO29" s="25" t="s">
        <v>25</v>
      </c>
      <c r="DP29" s="25" t="s">
        <v>25</v>
      </c>
      <c r="DR29" s="25" t="s">
        <v>25</v>
      </c>
      <c r="DT29" s="25" t="s">
        <v>13423</v>
      </c>
      <c r="DU29" s="25" t="s">
        <v>13423</v>
      </c>
      <c r="DV29" s="56">
        <v>30</v>
      </c>
      <c r="DW29" s="56">
        <v>30</v>
      </c>
      <c r="DY29" s="56">
        <v>250</v>
      </c>
      <c r="EA29" s="56">
        <v>0</v>
      </c>
      <c r="EE29" s="26">
        <v>0.2</v>
      </c>
      <c r="EG29" s="26">
        <v>0.2</v>
      </c>
      <c r="EH29" s="26">
        <v>0</v>
      </c>
      <c r="EI29" s="26">
        <v>0.2</v>
      </c>
      <c r="EJ29" s="56">
        <v>30</v>
      </c>
      <c r="EK29" s="56">
        <v>30</v>
      </c>
      <c r="EM29" s="56">
        <v>250</v>
      </c>
      <c r="EO29" s="56">
        <v>0</v>
      </c>
      <c r="EQ29" s="26">
        <v>0.4</v>
      </c>
      <c r="ER29" s="26">
        <v>0.4</v>
      </c>
      <c r="ES29" s="26">
        <v>0.4</v>
      </c>
      <c r="EU29" s="26">
        <v>0.2</v>
      </c>
      <c r="EV29" s="26">
        <v>0</v>
      </c>
      <c r="EW29" s="26">
        <v>0.4</v>
      </c>
      <c r="EX29" s="25" t="s">
        <v>8250</v>
      </c>
      <c r="EY29" s="25" t="s">
        <v>8250</v>
      </c>
      <c r="EZ29" s="25" t="s">
        <v>8250</v>
      </c>
      <c r="FA29" s="25" t="s">
        <v>8261</v>
      </c>
      <c r="FB29" s="25" t="s">
        <v>8250</v>
      </c>
      <c r="FC29" s="25" t="s">
        <v>8250</v>
      </c>
      <c r="FD29" s="25" t="s">
        <v>8250</v>
      </c>
      <c r="FE29" s="25" t="s">
        <v>25</v>
      </c>
      <c r="FF29" s="25" t="s">
        <v>25</v>
      </c>
      <c r="FG29" s="25" t="s">
        <v>25</v>
      </c>
      <c r="FH29" s="25" t="s">
        <v>25</v>
      </c>
      <c r="FI29" s="25" t="s">
        <v>25</v>
      </c>
      <c r="FJ29" s="25" t="s">
        <v>25</v>
      </c>
      <c r="FK29" s="25" t="s">
        <v>25</v>
      </c>
      <c r="FL29" s="25" t="s">
        <v>13810</v>
      </c>
      <c r="FM29" s="25" t="s">
        <v>13810</v>
      </c>
      <c r="FN29" s="25" t="s">
        <v>13810</v>
      </c>
      <c r="FO29" s="25" t="s">
        <v>13810</v>
      </c>
      <c r="FP29" s="25" t="s">
        <v>13810</v>
      </c>
      <c r="FQ29" s="25" t="s">
        <v>13810</v>
      </c>
      <c r="FR29" s="25" t="s">
        <v>13810</v>
      </c>
      <c r="FS29" s="25" t="s">
        <v>8252</v>
      </c>
      <c r="FT29" s="25" t="s">
        <v>631</v>
      </c>
      <c r="FV29" s="25" t="s">
        <v>8325</v>
      </c>
      <c r="FW29" s="25" t="s">
        <v>8507</v>
      </c>
      <c r="FX29" s="25" t="s">
        <v>8325</v>
      </c>
      <c r="FY29" s="25" t="s">
        <v>8325</v>
      </c>
      <c r="FZ29" s="25" t="s">
        <v>8325</v>
      </c>
      <c r="GA29" s="25" t="s">
        <v>8325</v>
      </c>
      <c r="GB29" s="25" t="s">
        <v>8325</v>
      </c>
      <c r="GC29" s="25" t="s">
        <v>8253</v>
      </c>
      <c r="GE29" s="56">
        <v>10</v>
      </c>
      <c r="GG29" s="56">
        <v>20</v>
      </c>
      <c r="GI29" s="56">
        <v>30</v>
      </c>
      <c r="GK29" s="56">
        <v>60</v>
      </c>
      <c r="GM29" s="56">
        <v>50</v>
      </c>
      <c r="GO29" s="56">
        <v>100</v>
      </c>
      <c r="KM29" s="25" t="s">
        <v>8352</v>
      </c>
      <c r="KN29" s="25" t="s">
        <v>8256</v>
      </c>
      <c r="KO29" s="25" t="s">
        <v>8508</v>
      </c>
      <c r="KP29" s="25">
        <v>1</v>
      </c>
      <c r="KQ29" s="25" t="s">
        <v>8646</v>
      </c>
      <c r="KS29" s="56">
        <v>2600</v>
      </c>
      <c r="KT29" s="56">
        <v>5200</v>
      </c>
      <c r="KU29" s="56">
        <v>2600</v>
      </c>
      <c r="KV29" s="56">
        <v>5200</v>
      </c>
      <c r="KY29" s="25" t="s">
        <v>8246</v>
      </c>
      <c r="KZ29" s="56">
        <v>1400</v>
      </c>
      <c r="LA29" s="56">
        <v>2800</v>
      </c>
      <c r="LB29" s="56">
        <v>2500</v>
      </c>
      <c r="LC29" s="56">
        <v>5000</v>
      </c>
      <c r="LD29" s="25" t="s">
        <v>8350</v>
      </c>
      <c r="LE29" s="25" t="s">
        <v>8248</v>
      </c>
      <c r="LR29" s="25" t="s">
        <v>8249</v>
      </c>
      <c r="OE29" s="25" t="s">
        <v>25</v>
      </c>
      <c r="OF29" s="25" t="s">
        <v>25</v>
      </c>
      <c r="OH29" s="25" t="s">
        <v>25</v>
      </c>
      <c r="OJ29" s="25" t="s">
        <v>13421</v>
      </c>
      <c r="OK29" s="25" t="s">
        <v>13421</v>
      </c>
      <c r="OS29" s="26">
        <v>0.1</v>
      </c>
      <c r="OT29" s="26">
        <v>0.1</v>
      </c>
      <c r="OU29" s="26">
        <v>0.1</v>
      </c>
      <c r="OV29" s="26">
        <v>0.1</v>
      </c>
      <c r="OW29" s="26">
        <v>0.1</v>
      </c>
      <c r="OX29" s="26">
        <v>0</v>
      </c>
      <c r="OY29" s="26">
        <v>0.1</v>
      </c>
      <c r="PG29" s="26">
        <v>0.3</v>
      </c>
      <c r="PH29" s="26">
        <v>0.3</v>
      </c>
      <c r="PI29" s="26">
        <v>0.3</v>
      </c>
      <c r="PJ29" s="26">
        <v>0.3</v>
      </c>
      <c r="PK29" s="26">
        <v>0.3</v>
      </c>
      <c r="PL29" s="26">
        <v>0.3</v>
      </c>
      <c r="PM29" s="26">
        <v>0.3</v>
      </c>
      <c r="PN29" s="25" t="s">
        <v>8250</v>
      </c>
      <c r="PO29" s="25" t="s">
        <v>8250</v>
      </c>
      <c r="PP29" s="25" t="s">
        <v>8250</v>
      </c>
      <c r="PQ29" s="25" t="s">
        <v>8261</v>
      </c>
      <c r="PR29" s="25" t="s">
        <v>8250</v>
      </c>
      <c r="PS29" s="25" t="s">
        <v>8250</v>
      </c>
      <c r="PT29" s="25" t="s">
        <v>8250</v>
      </c>
      <c r="PU29" s="25" t="s">
        <v>25</v>
      </c>
      <c r="PV29" s="25" t="s">
        <v>25</v>
      </c>
      <c r="PW29" s="25" t="s">
        <v>25</v>
      </c>
      <c r="PX29" s="25" t="s">
        <v>25</v>
      </c>
      <c r="PY29" s="25" t="s">
        <v>25</v>
      </c>
      <c r="PZ29" s="25" t="s">
        <v>25</v>
      </c>
      <c r="QA29" s="25" t="s">
        <v>25</v>
      </c>
      <c r="QB29" s="25" t="s">
        <v>13810</v>
      </c>
      <c r="QC29" s="25" t="s">
        <v>13810</v>
      </c>
      <c r="QD29" s="25" t="s">
        <v>13810</v>
      </c>
      <c r="QE29" s="25" t="s">
        <v>13810</v>
      </c>
      <c r="QF29" s="25" t="s">
        <v>13810</v>
      </c>
      <c r="QG29" s="25" t="s">
        <v>13810</v>
      </c>
      <c r="QH29" s="25" t="s">
        <v>13810</v>
      </c>
      <c r="QI29" s="25" t="s">
        <v>8252</v>
      </c>
      <c r="QJ29" s="25" t="s">
        <v>631</v>
      </c>
      <c r="QL29" s="25" t="s">
        <v>8325</v>
      </c>
      <c r="QM29" s="25" t="s">
        <v>8507</v>
      </c>
      <c r="QN29" s="25" t="s">
        <v>8325</v>
      </c>
      <c r="QO29" s="25" t="s">
        <v>8325</v>
      </c>
      <c r="QP29" s="25" t="s">
        <v>8325</v>
      </c>
      <c r="QQ29" s="25" t="s">
        <v>8325</v>
      </c>
      <c r="QR29" s="25" t="s">
        <v>8325</v>
      </c>
      <c r="QS29" s="25" t="s">
        <v>8253</v>
      </c>
      <c r="QU29" s="56">
        <v>5</v>
      </c>
      <c r="QW29" s="56">
        <v>10</v>
      </c>
      <c r="RX29" s="26">
        <v>0.1</v>
      </c>
      <c r="RY29" s="26">
        <v>0.1</v>
      </c>
      <c r="SF29" s="56">
        <v>15</v>
      </c>
      <c r="SH29" s="56">
        <v>30</v>
      </c>
      <c r="TN29" s="26">
        <v>0.1</v>
      </c>
      <c r="TO29" s="26">
        <v>0.1</v>
      </c>
      <c r="TV29" s="56">
        <v>30</v>
      </c>
      <c r="TX29" s="56">
        <v>60</v>
      </c>
      <c r="VC29" s="25" t="s">
        <v>8352</v>
      </c>
      <c r="VD29" s="25" t="s">
        <v>8256</v>
      </c>
      <c r="VE29" s="25" t="s">
        <v>8508</v>
      </c>
      <c r="VF29" s="25">
        <v>2</v>
      </c>
      <c r="VG29" s="25" t="s">
        <v>3496</v>
      </c>
      <c r="VH29" s="25" t="s">
        <v>8647</v>
      </c>
      <c r="VI29" s="56">
        <v>2000</v>
      </c>
      <c r="VJ29" s="56">
        <v>6000</v>
      </c>
      <c r="VM29" s="56">
        <v>2000</v>
      </c>
      <c r="VN29" s="56">
        <v>6000</v>
      </c>
      <c r="VO29" s="25" t="s">
        <v>13592</v>
      </c>
      <c r="VT29" s="25" t="s">
        <v>8248</v>
      </c>
      <c r="YT29" s="25" t="s">
        <v>25</v>
      </c>
      <c r="YU29" s="25" t="s">
        <v>25</v>
      </c>
      <c r="YW29" s="25" t="s">
        <v>25</v>
      </c>
      <c r="YY29" s="25" t="s">
        <v>13417</v>
      </c>
      <c r="YZ29" s="25" t="s">
        <v>8404</v>
      </c>
      <c r="ZA29" s="56">
        <v>15</v>
      </c>
      <c r="ZB29" s="56">
        <v>30</v>
      </c>
      <c r="ZC29" s="56">
        <v>0</v>
      </c>
      <c r="ZD29" s="56">
        <v>250</v>
      </c>
      <c r="ZE29" s="56">
        <v>40</v>
      </c>
      <c r="ZF29" s="56">
        <v>0</v>
      </c>
      <c r="ZR29" s="56">
        <v>250</v>
      </c>
      <c r="AAC29" s="25" t="s">
        <v>8250</v>
      </c>
      <c r="AAD29" s="25" t="s">
        <v>8250</v>
      </c>
      <c r="AAE29" s="25" t="s">
        <v>8261</v>
      </c>
      <c r="AAF29" s="25" t="s">
        <v>8261</v>
      </c>
      <c r="AAG29" s="25" t="s">
        <v>8250</v>
      </c>
      <c r="AAH29" s="25" t="s">
        <v>8250</v>
      </c>
      <c r="AAJ29" s="25" t="s">
        <v>25</v>
      </c>
      <c r="AAK29" s="25" t="s">
        <v>25</v>
      </c>
      <c r="AAL29" s="25" t="s">
        <v>25</v>
      </c>
      <c r="AAM29" s="25" t="s">
        <v>25</v>
      </c>
      <c r="AAN29" s="25" t="s">
        <v>25</v>
      </c>
      <c r="AAO29" s="25" t="s">
        <v>25</v>
      </c>
      <c r="AAQ29" s="25" t="s">
        <v>13810</v>
      </c>
      <c r="AAR29" s="25" t="s">
        <v>13810</v>
      </c>
      <c r="AAS29" s="25" t="s">
        <v>13810</v>
      </c>
      <c r="AAT29" s="25" t="s">
        <v>13810</v>
      </c>
      <c r="AAU29" s="25" t="s">
        <v>13810</v>
      </c>
      <c r="AAV29" s="25" t="s">
        <v>13810</v>
      </c>
      <c r="AAW29" s="25" t="s">
        <v>13810</v>
      </c>
      <c r="AAX29" s="25" t="s">
        <v>8252</v>
      </c>
      <c r="AAY29" s="25" t="s">
        <v>631</v>
      </c>
      <c r="ABA29" s="25" t="s">
        <v>8325</v>
      </c>
      <c r="ABB29" s="25" t="s">
        <v>8507</v>
      </c>
      <c r="ABC29" s="25" t="s">
        <v>8325</v>
      </c>
      <c r="ABD29" s="25" t="s">
        <v>8325</v>
      </c>
      <c r="ABE29" s="25" t="s">
        <v>8325</v>
      </c>
      <c r="ABF29" s="25" t="s">
        <v>8325</v>
      </c>
      <c r="ABG29" s="25" t="s">
        <v>8325</v>
      </c>
      <c r="ABJ29" s="56">
        <v>5</v>
      </c>
      <c r="ABL29" s="56">
        <v>10</v>
      </c>
      <c r="ABN29" s="56">
        <v>30</v>
      </c>
      <c r="ABP29" s="56">
        <v>60</v>
      </c>
      <c r="ABR29" s="56">
        <v>60</v>
      </c>
      <c r="ABT29" s="56">
        <v>120</v>
      </c>
      <c r="AFR29" s="25" t="s">
        <v>8352</v>
      </c>
      <c r="AFS29" s="25" t="s">
        <v>8256</v>
      </c>
      <c r="AFT29" s="25" t="s">
        <v>8508</v>
      </c>
      <c r="AFU29" s="25">
        <v>0</v>
      </c>
      <c r="AFX29" s="25"/>
      <c r="AFY29" s="25"/>
      <c r="AFZ29" s="25"/>
      <c r="AGA29" s="25"/>
      <c r="AGB29" s="25"/>
      <c r="AGC29" s="25"/>
      <c r="AGE29" s="25"/>
      <c r="AGF29" s="25"/>
      <c r="AGG29" s="25"/>
      <c r="AGH29" s="25"/>
      <c r="AJP29" s="25"/>
      <c r="AJQ29" s="25"/>
      <c r="AJR29" s="25"/>
      <c r="AJS29" s="25"/>
      <c r="AJT29" s="25"/>
      <c r="AJU29" s="25"/>
      <c r="AJV29" s="25"/>
      <c r="AKD29" s="25"/>
      <c r="AKE29" s="25"/>
      <c r="AKF29" s="25"/>
      <c r="AKG29" s="25"/>
      <c r="AKH29" s="25"/>
      <c r="AKI29" s="25"/>
      <c r="AKJ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H29" s="25"/>
      <c r="ANI29" s="25"/>
      <c r="ANJ29" s="25"/>
      <c r="ANK29" s="25"/>
      <c r="ANL29" s="25"/>
      <c r="ANM29" s="25"/>
      <c r="ANN29" s="25"/>
      <c r="ANO29" s="25"/>
      <c r="ANP29" s="25"/>
      <c r="ANQ29" s="25"/>
      <c r="ANR29" s="25"/>
      <c r="ANS29" s="25"/>
      <c r="ANT29" s="25"/>
      <c r="ANU29" s="25"/>
      <c r="AOC29" s="25"/>
      <c r="AOD29" s="25"/>
      <c r="AOE29" s="25"/>
      <c r="AOF29" s="25"/>
      <c r="AOG29" s="25"/>
      <c r="AOH29" s="25"/>
      <c r="AOI29" s="25"/>
      <c r="AOJ29" s="25"/>
      <c r="AOK29" s="25"/>
      <c r="AOL29" s="25"/>
      <c r="AOM29" s="25"/>
      <c r="AON29" s="25"/>
      <c r="AOO29" s="25"/>
      <c r="AOP29" s="25"/>
      <c r="AOX29" s="25"/>
      <c r="AOY29" s="25"/>
      <c r="AOZ29" s="25"/>
      <c r="APA29" s="25"/>
      <c r="APB29" s="25"/>
      <c r="APC29" s="25"/>
      <c r="APD29" s="25"/>
      <c r="APE29" s="25"/>
      <c r="APF29" s="25"/>
      <c r="APG29" s="25"/>
      <c r="APH29" s="25"/>
      <c r="API29" s="25"/>
      <c r="APJ29" s="25"/>
      <c r="APK29" s="25"/>
      <c r="APS29" s="25"/>
      <c r="APT29" s="25"/>
      <c r="APU29" s="25"/>
      <c r="APV29" s="25"/>
      <c r="APW29" s="25"/>
      <c r="APX29" s="25"/>
      <c r="APY29" s="25"/>
      <c r="APZ29" s="25"/>
      <c r="AQA29" s="25"/>
      <c r="AQB29" s="25"/>
      <c r="AQC29" s="25"/>
      <c r="AQD29" s="25"/>
      <c r="AQE29" s="25"/>
      <c r="AQF29" s="25"/>
      <c r="AQJ29" s="25">
        <v>1</v>
      </c>
      <c r="AQK29" s="25" t="s">
        <v>3971</v>
      </c>
      <c r="AQM29" s="56">
        <v>1500</v>
      </c>
      <c r="AQN29" s="56">
        <v>3000</v>
      </c>
      <c r="AQS29" s="25" t="s">
        <v>8260</v>
      </c>
      <c r="AQX29" s="25" t="s">
        <v>8248</v>
      </c>
      <c r="ATX29" s="25" t="s">
        <v>25</v>
      </c>
      <c r="ATY29" s="25" t="s">
        <v>25</v>
      </c>
      <c r="AUA29" s="25" t="s">
        <v>25</v>
      </c>
      <c r="AUC29" s="25" t="s">
        <v>13417</v>
      </c>
      <c r="AUD29" s="25" t="s">
        <v>8404</v>
      </c>
      <c r="AUE29" s="56">
        <v>20</v>
      </c>
      <c r="AUF29" s="56">
        <v>20</v>
      </c>
      <c r="AUG29" s="56">
        <v>20</v>
      </c>
      <c r="AUH29" s="56">
        <v>100</v>
      </c>
      <c r="AUI29" s="56">
        <v>20</v>
      </c>
      <c r="AUJ29" s="56">
        <v>0</v>
      </c>
      <c r="AUV29" s="56">
        <v>100</v>
      </c>
      <c r="AVG29" s="25" t="s">
        <v>8250</v>
      </c>
      <c r="AVH29" s="25" t="s">
        <v>8250</v>
      </c>
      <c r="AVI29" s="25" t="s">
        <v>8250</v>
      </c>
      <c r="AVJ29" s="25" t="s">
        <v>8250</v>
      </c>
      <c r="AVK29" s="25" t="s">
        <v>8250</v>
      </c>
      <c r="AVL29" s="25" t="s">
        <v>8250</v>
      </c>
      <c r="AVN29" s="25" t="s">
        <v>25</v>
      </c>
      <c r="AVO29" s="25" t="s">
        <v>25</v>
      </c>
      <c r="AVP29" s="25" t="s">
        <v>25</v>
      </c>
      <c r="AVQ29" s="25" t="s">
        <v>25</v>
      </c>
      <c r="AVR29" s="25" t="s">
        <v>25</v>
      </c>
      <c r="AVS29" s="25" t="s">
        <v>25</v>
      </c>
      <c r="AVU29" s="25" t="s">
        <v>13810</v>
      </c>
      <c r="AVV29" s="25" t="s">
        <v>13810</v>
      </c>
      <c r="AVW29" s="25" t="s">
        <v>13810</v>
      </c>
      <c r="AVX29" s="25" t="s">
        <v>13810</v>
      </c>
      <c r="AVY29" s="25" t="s">
        <v>13810</v>
      </c>
      <c r="AVZ29" s="25" t="s">
        <v>13810</v>
      </c>
      <c r="AWA29" s="25" t="s">
        <v>13810</v>
      </c>
      <c r="AWB29" s="25" t="s">
        <v>8252</v>
      </c>
      <c r="AWC29" s="25" t="s">
        <v>631</v>
      </c>
      <c r="AWE29" s="25" t="s">
        <v>8325</v>
      </c>
      <c r="AWF29" s="25" t="s">
        <v>8325</v>
      </c>
      <c r="AWG29" s="25" t="s">
        <v>8325</v>
      </c>
      <c r="AWH29" s="25" t="s">
        <v>8325</v>
      </c>
      <c r="AWI29" s="25" t="s">
        <v>8325</v>
      </c>
      <c r="AWJ29" s="25" t="s">
        <v>8325</v>
      </c>
      <c r="AWK29" s="25" t="s">
        <v>8325</v>
      </c>
      <c r="AWN29" s="56">
        <v>10</v>
      </c>
      <c r="AWP29" s="56">
        <v>20</v>
      </c>
      <c r="AWR29" s="56">
        <v>20</v>
      </c>
      <c r="AWT29" s="56">
        <v>40</v>
      </c>
      <c r="AWV29" s="56">
        <v>20</v>
      </c>
      <c r="AWX29" s="56">
        <v>40</v>
      </c>
      <c r="BAV29" s="25" t="s">
        <v>8255</v>
      </c>
      <c r="BAW29" s="25" t="s">
        <v>8256</v>
      </c>
      <c r="BAX29" s="25" t="s">
        <v>8321</v>
      </c>
      <c r="BAY29" s="25">
        <v>0</v>
      </c>
      <c r="BBB29" s="25"/>
      <c r="BBC29" s="25"/>
      <c r="BBD29" s="25"/>
      <c r="BBE29" s="25"/>
      <c r="BBF29" s="25"/>
      <c r="BBG29" s="25"/>
      <c r="BBI29" s="25"/>
      <c r="BBJ29" s="25"/>
      <c r="BBK29" s="25"/>
      <c r="BBL29" s="25"/>
      <c r="BET29" s="25"/>
      <c r="BEU29" s="25"/>
      <c r="BEV29" s="25"/>
      <c r="BEW29" s="25"/>
      <c r="BEX29" s="25"/>
      <c r="BEY29" s="25"/>
      <c r="BEZ29" s="25"/>
      <c r="BFH29" s="25"/>
      <c r="BFI29" s="25"/>
      <c r="BFJ29" s="25"/>
      <c r="BFK29" s="25"/>
      <c r="BFL29" s="25"/>
      <c r="BFM29" s="25"/>
      <c r="BFN29" s="25"/>
      <c r="BHC29" s="25"/>
      <c r="BHD29" s="25"/>
      <c r="BHE29" s="25"/>
      <c r="BHF29" s="25"/>
      <c r="BHG29" s="25"/>
      <c r="BHH29" s="25"/>
      <c r="BHI29" s="25"/>
      <c r="BHJ29" s="25"/>
      <c r="BHK29" s="25"/>
      <c r="BHL29" s="25"/>
      <c r="BHM29" s="25"/>
      <c r="BHN29" s="25"/>
      <c r="BHO29" s="25"/>
      <c r="BHP29" s="25"/>
      <c r="BHQ29" s="25"/>
      <c r="BHR29" s="25"/>
      <c r="BHS29" s="25"/>
      <c r="BHT29" s="25"/>
      <c r="BHU29" s="25"/>
      <c r="BHV29" s="25"/>
      <c r="BHW29" s="25"/>
      <c r="BHX29" s="25"/>
      <c r="BHY29" s="25"/>
      <c r="BHZ29" s="25"/>
      <c r="BIA29" s="25"/>
      <c r="BIB29" s="25"/>
      <c r="BIC29" s="25"/>
      <c r="BID29" s="25"/>
      <c r="BIL29" s="25"/>
      <c r="BIM29" s="25"/>
      <c r="BIN29" s="25"/>
      <c r="BIO29" s="25"/>
      <c r="BIP29" s="25"/>
      <c r="BIQ29" s="25"/>
      <c r="BIR29" s="25"/>
      <c r="BIS29" s="25"/>
      <c r="BIT29" s="25"/>
      <c r="BIU29" s="25"/>
      <c r="BIV29" s="25"/>
      <c r="BIW29" s="25"/>
      <c r="BIX29" s="25"/>
      <c r="BIY29" s="25"/>
      <c r="BJG29" s="25"/>
      <c r="BJH29" s="25"/>
      <c r="BJI29" s="25"/>
      <c r="BJJ29" s="25"/>
      <c r="BJK29" s="25"/>
      <c r="BJL29" s="25"/>
      <c r="BJM29" s="25"/>
      <c r="BJN29" s="25"/>
      <c r="BJO29" s="25"/>
      <c r="BJP29" s="25"/>
      <c r="BJQ29" s="25"/>
      <c r="BJR29" s="25"/>
      <c r="BJS29" s="25"/>
      <c r="BJT29" s="25"/>
      <c r="BKB29" s="25"/>
      <c r="BKC29" s="25"/>
      <c r="BKD29" s="25"/>
      <c r="BKE29" s="25"/>
      <c r="BKF29" s="25"/>
      <c r="BKG29" s="25"/>
      <c r="BKH29" s="25"/>
      <c r="BKI29" s="25"/>
      <c r="BKJ29" s="25"/>
      <c r="BKK29" s="25"/>
      <c r="BKL29" s="25"/>
      <c r="BKM29" s="25"/>
      <c r="BKN29" s="25"/>
      <c r="BKO29" s="25"/>
      <c r="BKW29" s="25"/>
      <c r="BKX29" s="25"/>
      <c r="BKY29" s="25"/>
      <c r="BKZ29" s="25"/>
      <c r="BLA29" s="25"/>
      <c r="BLB29" s="25"/>
      <c r="BLC29" s="25"/>
      <c r="BLD29" s="25"/>
      <c r="BLE29" s="25"/>
      <c r="BLF29" s="25"/>
      <c r="BLG29" s="25"/>
      <c r="BLH29" s="25"/>
      <c r="BLI29" s="25"/>
      <c r="BLJ29" s="25"/>
      <c r="BLN29" s="25">
        <v>0</v>
      </c>
      <c r="BLQ29" s="25"/>
      <c r="BLR29" s="25"/>
      <c r="BLS29" s="25"/>
      <c r="BLT29" s="25"/>
      <c r="BLU29" s="25"/>
      <c r="BLV29" s="25"/>
      <c r="BLX29" s="25"/>
      <c r="BLY29" s="25"/>
      <c r="BLZ29" s="25"/>
      <c r="BMA29" s="25"/>
      <c r="BPI29" s="25"/>
      <c r="BPJ29" s="25"/>
      <c r="BPK29" s="25"/>
      <c r="BPL29" s="25"/>
      <c r="BPM29" s="25"/>
      <c r="BPN29" s="25"/>
      <c r="BPO29" s="25"/>
      <c r="BPW29" s="25"/>
      <c r="BPX29" s="25"/>
      <c r="BPY29" s="25"/>
      <c r="BPZ29" s="25"/>
      <c r="BQA29" s="25"/>
      <c r="BQB29" s="25"/>
      <c r="BQC29" s="25"/>
      <c r="BRR29" s="25"/>
      <c r="BRS29" s="25"/>
      <c r="BRT29" s="25"/>
      <c r="BRU29" s="25"/>
      <c r="BRV29" s="25"/>
      <c r="BRW29" s="25"/>
      <c r="BRX29" s="25"/>
      <c r="BRY29" s="25"/>
      <c r="BRZ29" s="25"/>
      <c r="BSA29" s="25"/>
      <c r="BSB29" s="25"/>
      <c r="BSC29" s="25"/>
      <c r="BSD29" s="25"/>
      <c r="BSE29" s="25"/>
      <c r="BSF29" s="25"/>
      <c r="BSG29" s="25"/>
      <c r="BSH29" s="25"/>
      <c r="BSI29" s="25"/>
      <c r="BSJ29" s="25"/>
      <c r="BSK29" s="25"/>
      <c r="BSL29" s="25"/>
      <c r="BSM29" s="25"/>
      <c r="BSN29" s="25"/>
      <c r="BSO29" s="25"/>
      <c r="BSP29" s="25"/>
      <c r="BSQ29" s="25"/>
      <c r="BSR29" s="25"/>
      <c r="BSS29" s="25"/>
      <c r="BTA29" s="25"/>
      <c r="BTB29" s="25"/>
      <c r="BTC29" s="25"/>
      <c r="BTD29" s="25"/>
      <c r="BTE29" s="25"/>
      <c r="BTF29" s="25"/>
      <c r="BTG29" s="25"/>
      <c r="BTH29" s="25"/>
      <c r="BTI29" s="25"/>
      <c r="BTJ29" s="25"/>
      <c r="BTK29" s="25"/>
      <c r="BTL29" s="25"/>
      <c r="BTM29" s="25"/>
      <c r="BTN29" s="25"/>
      <c r="BUQ29" s="25"/>
      <c r="BUR29" s="25"/>
      <c r="BUS29" s="25"/>
      <c r="BUT29" s="25"/>
      <c r="BUU29" s="25"/>
      <c r="BUV29" s="25"/>
      <c r="BUW29" s="25"/>
      <c r="BUX29" s="25"/>
      <c r="BUY29" s="25"/>
      <c r="BUZ29" s="25"/>
      <c r="BVA29" s="25"/>
      <c r="BVB29" s="25"/>
      <c r="BVC29" s="25"/>
      <c r="BVD29" s="25"/>
      <c r="BWC29" s="25" t="s">
        <v>28</v>
      </c>
      <c r="BWD29" s="25" t="s">
        <v>8265</v>
      </c>
      <c r="BWE29" s="25" t="s">
        <v>8357</v>
      </c>
      <c r="BWF29" s="25" t="s">
        <v>13716</v>
      </c>
      <c r="BWG29" s="25" t="s">
        <v>28</v>
      </c>
      <c r="BWH29" s="25" t="s">
        <v>2169</v>
      </c>
      <c r="BWI29" s="25" t="s">
        <v>28</v>
      </c>
      <c r="BWJ29" s="25" t="s">
        <v>8267</v>
      </c>
      <c r="BWK29" s="25" t="s">
        <v>25</v>
      </c>
      <c r="BWM29" s="25" t="s">
        <v>25</v>
      </c>
      <c r="BWO29" s="25" t="s">
        <v>25</v>
      </c>
      <c r="BWQ29" s="25" t="s">
        <v>28</v>
      </c>
      <c r="BWR29" s="25" t="s">
        <v>25</v>
      </c>
      <c r="BWT29" s="25" t="s">
        <v>25</v>
      </c>
      <c r="BWV29" s="25" t="s">
        <v>25</v>
      </c>
      <c r="BWX29" s="25" t="s">
        <v>28</v>
      </c>
      <c r="BWY29" s="25" t="s">
        <v>13606</v>
      </c>
      <c r="BWZ29" s="25" t="s">
        <v>28</v>
      </c>
      <c r="BXA29" s="56">
        <v>30</v>
      </c>
      <c r="BXB29" s="25" t="s">
        <v>25</v>
      </c>
      <c r="BXD29" s="25" t="s">
        <v>28</v>
      </c>
      <c r="BXE29" s="25" t="s">
        <v>8648</v>
      </c>
      <c r="BXF29" s="25" t="s">
        <v>28</v>
      </c>
      <c r="BXG29" s="56">
        <v>20</v>
      </c>
      <c r="BXH29" s="25" t="s">
        <v>25</v>
      </c>
      <c r="BXJ29" s="25" t="s">
        <v>28</v>
      </c>
      <c r="BXK29" s="25" t="s">
        <v>8270</v>
      </c>
      <c r="BXL29" s="25" t="s">
        <v>8331</v>
      </c>
      <c r="BXM29" s="25" t="s">
        <v>2201</v>
      </c>
      <c r="BXN29" s="25" t="s">
        <v>8272</v>
      </c>
      <c r="BXO29" s="25" t="s">
        <v>8274</v>
      </c>
      <c r="BXP29" s="25" t="s">
        <v>8274</v>
      </c>
      <c r="BXQ29" s="25" t="s">
        <v>8274</v>
      </c>
      <c r="BXR29" s="25" t="s">
        <v>8361</v>
      </c>
      <c r="BXS29" s="25" t="s">
        <v>8361</v>
      </c>
      <c r="BXW29" s="25" t="s">
        <v>28</v>
      </c>
      <c r="BXX29" s="25" t="s">
        <v>28</v>
      </c>
      <c r="BXY29" s="25" t="s">
        <v>28</v>
      </c>
      <c r="BXZ29" s="25" t="s">
        <v>25</v>
      </c>
      <c r="BYA29" s="25" t="s">
        <v>25</v>
      </c>
      <c r="BYB29" s="25" t="s">
        <v>25</v>
      </c>
      <c r="BYC29" s="25" t="s">
        <v>8276</v>
      </c>
      <c r="BYD29" s="25" t="s">
        <v>28</v>
      </c>
      <c r="BYE29" s="25" t="s">
        <v>13613</v>
      </c>
      <c r="BYF29" s="25" t="s">
        <v>13631</v>
      </c>
      <c r="BYH29" s="25" t="s">
        <v>8515</v>
      </c>
      <c r="BYK29" s="25" t="s">
        <v>28</v>
      </c>
      <c r="BYL29" s="25" t="s">
        <v>28</v>
      </c>
      <c r="BYM29" s="25">
        <v>60</v>
      </c>
      <c r="BYN29" s="25" t="s">
        <v>28</v>
      </c>
      <c r="BYO29" s="25">
        <v>60</v>
      </c>
      <c r="BYP29" s="25" t="s">
        <v>25</v>
      </c>
      <c r="BYR29" s="25" t="s">
        <v>28</v>
      </c>
      <c r="BYS29" s="25" t="s">
        <v>8279</v>
      </c>
      <c r="BYT29" s="25" t="s">
        <v>8438</v>
      </c>
      <c r="BYU29" s="25" t="s">
        <v>732</v>
      </c>
      <c r="BYV29" s="25" t="s">
        <v>25</v>
      </c>
      <c r="BYW29" s="25" t="s">
        <v>28</v>
      </c>
      <c r="BYX29" s="56">
        <v>1000</v>
      </c>
      <c r="BYY29" s="56">
        <v>2000</v>
      </c>
      <c r="BYZ29" s="25" t="s">
        <v>8334</v>
      </c>
      <c r="BZA29" s="25" t="s">
        <v>13826</v>
      </c>
      <c r="BZB29" s="25" t="s">
        <v>256</v>
      </c>
      <c r="BZC29" s="25" t="s">
        <v>8282</v>
      </c>
      <c r="BZD29" s="25" t="s">
        <v>28</v>
      </c>
      <c r="BZE29" s="25" t="s">
        <v>25</v>
      </c>
      <c r="BZF29" s="25" t="s">
        <v>28</v>
      </c>
      <c r="BZG29" s="25" t="s">
        <v>25</v>
      </c>
      <c r="BZJ29" s="25" t="s">
        <v>25</v>
      </c>
      <c r="BZM29" s="25" t="s">
        <v>28</v>
      </c>
      <c r="BZN29" s="25" t="s">
        <v>8283</v>
      </c>
      <c r="BZP29" s="25" t="s">
        <v>8366</v>
      </c>
      <c r="BZQ29" s="56">
        <v>1000</v>
      </c>
      <c r="BZR29" s="25" t="s">
        <v>819</v>
      </c>
      <c r="BZS29" s="25" t="s">
        <v>28</v>
      </c>
      <c r="BZT29" s="25" t="s">
        <v>8337</v>
      </c>
      <c r="BZV29" s="25" t="s">
        <v>13638</v>
      </c>
      <c r="BZX29" s="25" t="s">
        <v>8393</v>
      </c>
      <c r="BZZ29" s="25" t="s">
        <v>25</v>
      </c>
      <c r="CAC29" s="25" t="s">
        <v>28</v>
      </c>
      <c r="CAD29" s="25" t="s">
        <v>8288</v>
      </c>
      <c r="CAE29" s="25" t="s">
        <v>25</v>
      </c>
      <c r="CAH29" s="25" t="s">
        <v>631</v>
      </c>
      <c r="CAI29" s="25" t="s">
        <v>631</v>
      </c>
      <c r="CAJ29" s="25" t="s">
        <v>631</v>
      </c>
      <c r="CAK29" s="25" t="s">
        <v>8290</v>
      </c>
      <c r="CAL29" s="25" t="s">
        <v>631</v>
      </c>
      <c r="CAM29" s="25" t="s">
        <v>8290</v>
      </c>
      <c r="CAN29" s="25" t="s">
        <v>631</v>
      </c>
      <c r="CAO29" s="25" t="s">
        <v>8290</v>
      </c>
      <c r="CAP29" s="25" t="s">
        <v>631</v>
      </c>
      <c r="CAQ29" s="25" t="s">
        <v>631</v>
      </c>
      <c r="CAR29" s="25" t="s">
        <v>8291</v>
      </c>
      <c r="CAT29" s="25" t="s">
        <v>28</v>
      </c>
      <c r="CAU29" s="25" t="s">
        <v>8649</v>
      </c>
      <c r="CBB29" s="25">
        <v>1</v>
      </c>
      <c r="CBC29" s="25">
        <v>1</v>
      </c>
      <c r="CBD29" s="25">
        <v>0</v>
      </c>
      <c r="CBE29" s="56">
        <v>25</v>
      </c>
      <c r="CBF29" s="56">
        <v>50</v>
      </c>
      <c r="CBG29" s="56">
        <v>50</v>
      </c>
      <c r="CBH29" s="56">
        <v>150</v>
      </c>
      <c r="CBI29" s="56">
        <v>2500</v>
      </c>
      <c r="CBK29" s="56">
        <v>3000</v>
      </c>
      <c r="CBM29" s="26">
        <v>0</v>
      </c>
      <c r="CBN29" s="26">
        <v>0</v>
      </c>
      <c r="CBO29" s="26">
        <v>0.1</v>
      </c>
      <c r="CBP29" s="26">
        <v>0.2</v>
      </c>
      <c r="CBQ29" s="26">
        <v>0.4</v>
      </c>
      <c r="CBR29" s="26">
        <v>0.5</v>
      </c>
      <c r="CBS29" s="26">
        <v>0.4</v>
      </c>
      <c r="CBT29" s="26">
        <v>0.5</v>
      </c>
      <c r="CBU29" s="27" t="s">
        <v>28</v>
      </c>
      <c r="CBV29" s="27" t="s">
        <v>8293</v>
      </c>
      <c r="CBW29" s="27" t="s">
        <v>8370</v>
      </c>
      <c r="CBX29" s="27" t="s">
        <v>8418</v>
      </c>
      <c r="CBY29" s="27" t="s">
        <v>8296</v>
      </c>
      <c r="CBZ29" s="27" t="s">
        <v>8296</v>
      </c>
      <c r="CCA29" s="27" t="s">
        <v>8297</v>
      </c>
      <c r="CCB29" s="27" t="s">
        <v>8298</v>
      </c>
      <c r="CCC29" s="27" t="s">
        <v>8296</v>
      </c>
      <c r="CCD29" s="27" t="s">
        <v>8297</v>
      </c>
      <c r="CCE29" s="27" t="s">
        <v>8297</v>
      </c>
      <c r="CCF29" s="27" t="s">
        <v>8297</v>
      </c>
      <c r="CCG29" s="27" t="s">
        <v>8297</v>
      </c>
      <c r="CCH29" s="27" t="s">
        <v>8296</v>
      </c>
      <c r="CCI29" s="27" t="s">
        <v>8298</v>
      </c>
      <c r="CCJ29" s="27" t="s">
        <v>8298</v>
      </c>
      <c r="CCK29" s="27" t="s">
        <v>8297</v>
      </c>
      <c r="CCL29" s="27" t="s">
        <v>8297</v>
      </c>
      <c r="CCM29" s="27" t="s">
        <v>8297</v>
      </c>
      <c r="CCN29" s="27" t="s">
        <v>8296</v>
      </c>
      <c r="CCO29" s="27" t="s">
        <v>8300</v>
      </c>
      <c r="CCP29" s="27" t="s">
        <v>8296</v>
      </c>
      <c r="CCQ29" s="27" t="s">
        <v>8296</v>
      </c>
      <c r="CCR29" s="27" t="s">
        <v>8296</v>
      </c>
      <c r="CCS29" s="27" t="s">
        <v>8298</v>
      </c>
      <c r="CCT29" s="27" t="s">
        <v>8296</v>
      </c>
      <c r="CCU29" s="27" t="s">
        <v>8298</v>
      </c>
      <c r="CCV29" s="27" t="s">
        <v>8298</v>
      </c>
      <c r="CCW29" s="27" t="s">
        <v>8298</v>
      </c>
      <c r="CCX29" s="27" t="s">
        <v>8298</v>
      </c>
      <c r="CCY29" s="27" t="s">
        <v>8296</v>
      </c>
      <c r="CCZ29" s="27" t="s">
        <v>28</v>
      </c>
      <c r="CDA29" s="27" t="s">
        <v>28</v>
      </c>
      <c r="CDB29" s="27" t="s">
        <v>28</v>
      </c>
      <c r="CDC29" s="27" t="s">
        <v>25</v>
      </c>
      <c r="CDD29" s="27" t="s">
        <v>28</v>
      </c>
      <c r="CDE29" s="27" t="s">
        <v>28</v>
      </c>
      <c r="CDF29" s="27" t="s">
        <v>28</v>
      </c>
      <c r="CDG29" s="27" t="s">
        <v>28</v>
      </c>
      <c r="CDH29" s="27" t="s">
        <v>28</v>
      </c>
      <c r="CDI29" s="27" t="s">
        <v>28</v>
      </c>
      <c r="CDJ29" s="27" t="s">
        <v>25</v>
      </c>
      <c r="CDK29" s="27" t="s">
        <v>25</v>
      </c>
      <c r="CDL29" s="27" t="s">
        <v>28</v>
      </c>
      <c r="CDM29" s="27" t="s">
        <v>28</v>
      </c>
      <c r="CDN29" s="27" t="s">
        <v>28</v>
      </c>
      <c r="CDO29" s="27" t="s">
        <v>28</v>
      </c>
      <c r="CDP29" s="27" t="s">
        <v>25</v>
      </c>
      <c r="CDQ29" s="27" t="s">
        <v>28</v>
      </c>
      <c r="CDR29" s="27" t="s">
        <v>28</v>
      </c>
      <c r="CDS29" s="27" t="s">
        <v>28</v>
      </c>
      <c r="CDT29" s="27" t="s">
        <v>25</v>
      </c>
      <c r="CDU29" s="27" t="s">
        <v>28</v>
      </c>
      <c r="CDV29" s="27" t="s">
        <v>25</v>
      </c>
      <c r="CDW29" s="27" t="s">
        <v>25</v>
      </c>
      <c r="CDX29" s="27" t="s">
        <v>25</v>
      </c>
      <c r="CDY29" s="27" t="s">
        <v>25</v>
      </c>
      <c r="CDZ29" s="27" t="s">
        <v>28</v>
      </c>
      <c r="CEC29" s="27" t="s">
        <v>8301</v>
      </c>
      <c r="CED29" s="27" t="s">
        <v>8302</v>
      </c>
      <c r="CEF29" s="27" t="s">
        <v>8301</v>
      </c>
      <c r="CEG29" s="27" t="s">
        <v>8301</v>
      </c>
      <c r="CEH29" s="27" t="s">
        <v>8301</v>
      </c>
      <c r="CEI29" s="27" t="s">
        <v>8301</v>
      </c>
      <c r="CEJ29" s="27" t="s">
        <v>8420</v>
      </c>
      <c r="CEK29" s="27" t="s">
        <v>8420</v>
      </c>
      <c r="CEL29" s="27" t="s">
        <v>8303</v>
      </c>
      <c r="CEM29" s="27" t="s">
        <v>8301</v>
      </c>
      <c r="CEN29" s="27" t="s">
        <v>8301</v>
      </c>
      <c r="CEO29" s="27" t="s">
        <v>8306</v>
      </c>
      <c r="CEP29" s="27" t="s">
        <v>8306</v>
      </c>
      <c r="CEQ29" s="27" t="s">
        <v>8304</v>
      </c>
      <c r="CER29" s="27" t="s">
        <v>8305</v>
      </c>
      <c r="CES29" s="27" t="s">
        <v>8306</v>
      </c>
      <c r="CEW29" s="27" t="s">
        <v>8306</v>
      </c>
      <c r="CEX29" s="27" t="s">
        <v>8303</v>
      </c>
      <c r="CEY29" s="27" t="s">
        <v>8302</v>
      </c>
      <c r="CEZ29" s="27" t="s">
        <v>8306</v>
      </c>
      <c r="CFA29" s="27" t="s">
        <v>8306</v>
      </c>
      <c r="CFB29" s="27" t="s">
        <v>25</v>
      </c>
      <c r="CFC29" s="27" t="s">
        <v>25</v>
      </c>
      <c r="CFD29" s="27" t="s">
        <v>25</v>
      </c>
      <c r="CFE29" s="27" t="s">
        <v>25</v>
      </c>
      <c r="CFF29" s="27" t="s">
        <v>25</v>
      </c>
      <c r="CFG29" s="27" t="s">
        <v>25</v>
      </c>
      <c r="CFH29" s="27" t="s">
        <v>25</v>
      </c>
      <c r="CFI29" s="27" t="s">
        <v>25</v>
      </c>
      <c r="CFJ29" s="27" t="s">
        <v>25</v>
      </c>
      <c r="CFK29" s="27" t="s">
        <v>25</v>
      </c>
      <c r="CFM29" s="27" t="s">
        <v>28</v>
      </c>
      <c r="CFN29" s="27" t="s">
        <v>25</v>
      </c>
      <c r="CFO29" s="27" t="s">
        <v>25</v>
      </c>
      <c r="CFP29" s="27" t="s">
        <v>25</v>
      </c>
      <c r="CFQ29" s="27" t="s">
        <v>25</v>
      </c>
      <c r="CFR29" s="27" t="s">
        <v>25</v>
      </c>
      <c r="CFS29" s="27" t="s">
        <v>25</v>
      </c>
      <c r="CFT29" s="27" t="s">
        <v>25</v>
      </c>
      <c r="CFU29" s="27" t="s">
        <v>25</v>
      </c>
      <c r="CFV29" s="27" t="s">
        <v>25</v>
      </c>
      <c r="CFX29" s="27" t="s">
        <v>28</v>
      </c>
      <c r="CFY29" s="27" t="s">
        <v>28</v>
      </c>
      <c r="CFZ29" s="27" t="s">
        <v>25</v>
      </c>
      <c r="CGA29" s="27" t="s">
        <v>25</v>
      </c>
      <c r="CGB29" s="27" t="s">
        <v>25</v>
      </c>
      <c r="CGC29" s="56">
        <v>0</v>
      </c>
      <c r="CGD29" s="56">
        <v>0</v>
      </c>
      <c r="CGE29" s="56" t="s">
        <v>1041</v>
      </c>
      <c r="CGF29" s="56" t="s">
        <v>1041</v>
      </c>
      <c r="CGG29" s="56" t="s">
        <v>72</v>
      </c>
      <c r="CGH29" s="56" t="s">
        <v>72</v>
      </c>
      <c r="CGI29" s="56" t="s">
        <v>8650</v>
      </c>
      <c r="CGJ29" s="56" t="s">
        <v>8650</v>
      </c>
      <c r="CGK29" s="26">
        <v>0</v>
      </c>
      <c r="CGL29" s="26">
        <v>1</v>
      </c>
      <c r="CGM29" s="26">
        <v>0</v>
      </c>
      <c r="CGN29" s="26">
        <v>1</v>
      </c>
      <c r="CGO29" s="26">
        <v>0.4</v>
      </c>
      <c r="CGP29" s="26">
        <v>1</v>
      </c>
      <c r="CGQ29" s="26">
        <v>0.5</v>
      </c>
      <c r="CGR29" s="26">
        <v>1</v>
      </c>
      <c r="CGT29" s="27" t="s">
        <v>8370</v>
      </c>
      <c r="CGU29" s="27" t="s">
        <v>13837</v>
      </c>
      <c r="CGV29" s="27" t="s">
        <v>8296</v>
      </c>
      <c r="CGW29" s="27" t="s">
        <v>8297</v>
      </c>
      <c r="CGX29" s="27" t="s">
        <v>8297</v>
      </c>
      <c r="CGY29" s="27" t="s">
        <v>8298</v>
      </c>
      <c r="CGZ29" s="27" t="s">
        <v>8296</v>
      </c>
      <c r="CHA29" s="27" t="s">
        <v>8297</v>
      </c>
      <c r="CHB29" s="27" t="s">
        <v>8297</v>
      </c>
      <c r="CHC29" s="27" t="s">
        <v>8297</v>
      </c>
      <c r="CHD29" s="27" t="s">
        <v>8297</v>
      </c>
      <c r="CHE29" s="27" t="s">
        <v>8296</v>
      </c>
      <c r="CHF29" s="27" t="s">
        <v>8298</v>
      </c>
      <c r="CHG29" s="27" t="s">
        <v>8298</v>
      </c>
      <c r="CHH29" s="27" t="s">
        <v>8297</v>
      </c>
      <c r="CHI29" s="27" t="s">
        <v>8297</v>
      </c>
      <c r="CHJ29" s="27" t="s">
        <v>8297</v>
      </c>
      <c r="CHK29" s="27" t="s">
        <v>8297</v>
      </c>
      <c r="CHL29" s="27" t="s">
        <v>8300</v>
      </c>
      <c r="CHM29" s="27" t="s">
        <v>8296</v>
      </c>
      <c r="CHN29" s="27" t="s">
        <v>8297</v>
      </c>
      <c r="CHO29" s="27" t="s">
        <v>8297</v>
      </c>
      <c r="CHP29" s="27" t="s">
        <v>8298</v>
      </c>
      <c r="CHQ29" s="27" t="s">
        <v>8296</v>
      </c>
      <c r="CHR29" s="27" t="s">
        <v>8298</v>
      </c>
      <c r="CHS29" s="27" t="s">
        <v>8298</v>
      </c>
      <c r="CHT29" s="27" t="s">
        <v>8298</v>
      </c>
      <c r="CHU29" s="27" t="s">
        <v>8298</v>
      </c>
      <c r="CHV29" s="27" t="s">
        <v>8296</v>
      </c>
      <c r="CIX29" s="27" t="s">
        <v>2673</v>
      </c>
      <c r="CIY29" s="27" t="s">
        <v>2673</v>
      </c>
      <c r="CIZ29" s="27" t="s">
        <v>8301</v>
      </c>
      <c r="CJA29" s="27" t="s">
        <v>8302</v>
      </c>
      <c r="CJB29" s="27" t="s">
        <v>2673</v>
      </c>
      <c r="CJC29" s="27" t="s">
        <v>8301</v>
      </c>
      <c r="CJD29" s="27" t="s">
        <v>8301</v>
      </c>
      <c r="CJE29" s="27" t="s">
        <v>8301</v>
      </c>
      <c r="CJF29" s="27" t="s">
        <v>8301</v>
      </c>
      <c r="CJG29" s="27" t="s">
        <v>8421</v>
      </c>
      <c r="CJH29" s="27" t="s">
        <v>8421</v>
      </c>
      <c r="CJI29" s="27" t="s">
        <v>8303</v>
      </c>
      <c r="CJJ29" s="27" t="s">
        <v>8301</v>
      </c>
      <c r="CJK29" s="27" t="s">
        <v>8301</v>
      </c>
      <c r="CJL29" s="27" t="s">
        <v>8306</v>
      </c>
      <c r="CJM29" s="27" t="s">
        <v>8306</v>
      </c>
      <c r="CJN29" s="27" t="s">
        <v>8304</v>
      </c>
      <c r="CJO29" s="27" t="s">
        <v>8305</v>
      </c>
      <c r="CJP29" s="27" t="s">
        <v>8306</v>
      </c>
      <c r="CJQ29" s="27" t="s">
        <v>2673</v>
      </c>
      <c r="CJR29" s="27" t="s">
        <v>2673</v>
      </c>
      <c r="CJS29" s="27" t="s">
        <v>2673</v>
      </c>
      <c r="CJT29" s="27" t="s">
        <v>8306</v>
      </c>
      <c r="CJU29" s="27" t="s">
        <v>8303</v>
      </c>
      <c r="CJV29" s="27" t="s">
        <v>8303</v>
      </c>
      <c r="CJW29" s="27" t="s">
        <v>8306</v>
      </c>
      <c r="CJX29" s="27" t="s">
        <v>8306</v>
      </c>
      <c r="CJY29" s="27" t="s">
        <v>25</v>
      </c>
      <c r="CJZ29" s="27" t="s">
        <v>25</v>
      </c>
      <c r="CKA29" s="27" t="s">
        <v>25</v>
      </c>
      <c r="CKB29" s="27" t="s">
        <v>25</v>
      </c>
      <c r="CKC29" s="27" t="s">
        <v>25</v>
      </c>
      <c r="CKD29" s="27" t="s">
        <v>25</v>
      </c>
      <c r="CKE29" s="27" t="s">
        <v>25</v>
      </c>
      <c r="CKF29" s="27" t="s">
        <v>25</v>
      </c>
      <c r="CKG29" s="27" t="s">
        <v>25</v>
      </c>
      <c r="CKH29" s="27" t="s">
        <v>25</v>
      </c>
      <c r="CKI29" s="27" t="s">
        <v>25</v>
      </c>
      <c r="CKJ29" s="27" t="s">
        <v>28</v>
      </c>
      <c r="CKK29" s="27" t="s">
        <v>25</v>
      </c>
      <c r="CKL29" s="27" t="s">
        <v>25</v>
      </c>
      <c r="CKM29" s="27" t="s">
        <v>25</v>
      </c>
      <c r="CKN29" s="27" t="s">
        <v>25</v>
      </c>
      <c r="CKO29" s="27" t="s">
        <v>25</v>
      </c>
      <c r="CKP29" s="27" t="s">
        <v>25</v>
      </c>
      <c r="CKQ29" s="27" t="s">
        <v>25</v>
      </c>
      <c r="CKR29" s="27" t="s">
        <v>25</v>
      </c>
      <c r="CKS29" s="27" t="s">
        <v>28</v>
      </c>
      <c r="CKT29" s="27" t="s">
        <v>25</v>
      </c>
      <c r="CKU29" s="27" t="s">
        <v>28</v>
      </c>
      <c r="CKV29" s="27" t="s">
        <v>28</v>
      </c>
      <c r="CKW29" s="27" t="s">
        <v>25</v>
      </c>
      <c r="CKX29" s="27" t="s">
        <v>25</v>
      </c>
      <c r="CKY29" s="27" t="s">
        <v>25</v>
      </c>
      <c r="CPW29" s="27">
        <v>1</v>
      </c>
      <c r="CPX29" s="56">
        <v>10</v>
      </c>
      <c r="CPY29" s="26">
        <v>0</v>
      </c>
      <c r="CPZ29" s="56" t="s">
        <v>8651</v>
      </c>
      <c r="CQB29" s="25" t="s">
        <v>8307</v>
      </c>
      <c r="CQC29" s="25" t="s">
        <v>8307</v>
      </c>
      <c r="CQD29" s="25" t="s">
        <v>8307</v>
      </c>
      <c r="CQE29" s="25" t="s">
        <v>8307</v>
      </c>
      <c r="CQF29" s="25" t="s">
        <v>8307</v>
      </c>
      <c r="CQI29" s="56">
        <v>200</v>
      </c>
      <c r="CQJ29" s="56">
        <v>300</v>
      </c>
      <c r="CQK29" s="56">
        <v>300</v>
      </c>
      <c r="CQL29" s="25" t="s">
        <v>13677</v>
      </c>
      <c r="CQM29" s="25" t="s">
        <v>8397</v>
      </c>
      <c r="CQN29" s="25" t="s">
        <v>25</v>
      </c>
      <c r="CQO29" s="25" t="s">
        <v>8574</v>
      </c>
      <c r="CQP29" s="56">
        <v>1500</v>
      </c>
      <c r="CQQ29" s="25" t="s">
        <v>8652</v>
      </c>
      <c r="CQS29" s="25" t="s">
        <v>25</v>
      </c>
      <c r="CQT29" s="25" t="s">
        <v>8312</v>
      </c>
      <c r="CQU29" s="25" t="s">
        <v>8313</v>
      </c>
      <c r="CQV29" s="25" t="s">
        <v>8313</v>
      </c>
      <c r="CQW29" s="25" t="s">
        <v>8313</v>
      </c>
      <c r="CQX29" s="25" t="s">
        <v>8313</v>
      </c>
      <c r="CQY29" s="25" t="s">
        <v>8313</v>
      </c>
      <c r="CQZ29" s="25" t="s">
        <v>8313</v>
      </c>
      <c r="CRA29" s="25" t="s">
        <v>8314</v>
      </c>
      <c r="CRB29" s="25" t="s">
        <v>8314</v>
      </c>
      <c r="CRC29" s="25" t="s">
        <v>8312</v>
      </c>
      <c r="CRD29" s="25" t="s">
        <v>8313</v>
      </c>
      <c r="CRE29" s="27" t="s">
        <v>8312</v>
      </c>
    </row>
    <row r="30" spans="1:2501" ht="51" x14ac:dyDescent="0.2">
      <c r="A30" s="21" t="s">
        <v>120</v>
      </c>
      <c r="B30" s="26">
        <v>0.15</v>
      </c>
      <c r="C30" s="26">
        <v>0.8</v>
      </c>
      <c r="D30" s="26">
        <v>0</v>
      </c>
      <c r="E30" s="26">
        <v>0</v>
      </c>
      <c r="F30" s="26">
        <v>0</v>
      </c>
      <c r="G30" s="26">
        <v>0</v>
      </c>
      <c r="H30" s="26">
        <v>0</v>
      </c>
      <c r="I30" s="26">
        <v>0</v>
      </c>
      <c r="J30" s="26">
        <v>0</v>
      </c>
      <c r="K30" s="26">
        <v>0</v>
      </c>
      <c r="L30" s="26">
        <v>0</v>
      </c>
      <c r="M30" s="26">
        <v>0.05</v>
      </c>
      <c r="N30" s="26">
        <v>0</v>
      </c>
      <c r="O30" s="26">
        <v>0</v>
      </c>
      <c r="P30" s="26">
        <v>0</v>
      </c>
      <c r="Q30" s="26">
        <v>0</v>
      </c>
      <c r="R30" s="26">
        <v>0</v>
      </c>
      <c r="S30" s="26">
        <v>0</v>
      </c>
      <c r="T30" s="26">
        <v>0</v>
      </c>
      <c r="U30" s="26">
        <v>0</v>
      </c>
      <c r="V30" s="26">
        <v>0</v>
      </c>
      <c r="W30" s="26">
        <v>0</v>
      </c>
      <c r="X30" s="26">
        <v>1</v>
      </c>
      <c r="Y30" s="26">
        <v>0</v>
      </c>
      <c r="Z30" s="25">
        <v>1</v>
      </c>
      <c r="AA30" s="25" t="s">
        <v>8375</v>
      </c>
      <c r="AC30" s="56">
        <v>2500</v>
      </c>
      <c r="AD30" s="56">
        <v>5000</v>
      </c>
      <c r="AE30" s="56">
        <v>4500</v>
      </c>
      <c r="AF30" s="56">
        <v>9000</v>
      </c>
      <c r="AI30" s="25" t="s">
        <v>8376</v>
      </c>
      <c r="AJ30" s="56">
        <v>250</v>
      </c>
      <c r="AK30" s="56">
        <v>500</v>
      </c>
      <c r="AL30" s="56">
        <v>250</v>
      </c>
      <c r="AM30" s="56">
        <v>500</v>
      </c>
      <c r="AN30" s="25" t="s">
        <v>8247</v>
      </c>
      <c r="AO30" s="25" t="s">
        <v>8248</v>
      </c>
      <c r="BB30" s="25" t="s">
        <v>8249</v>
      </c>
      <c r="DO30" s="25" t="s">
        <v>25</v>
      </c>
      <c r="DP30" s="25" t="s">
        <v>28</v>
      </c>
      <c r="DQ30" s="25" t="s">
        <v>25</v>
      </c>
      <c r="DR30" s="25" t="s">
        <v>25</v>
      </c>
      <c r="DT30" s="25" t="s">
        <v>13415</v>
      </c>
      <c r="DU30" s="25" t="s">
        <v>13415</v>
      </c>
      <c r="DV30" s="56">
        <v>10</v>
      </c>
      <c r="DW30" s="56">
        <v>10</v>
      </c>
      <c r="DY30" s="56">
        <v>100</v>
      </c>
      <c r="DZ30" s="56">
        <v>10</v>
      </c>
      <c r="EC30" s="26">
        <v>0.1</v>
      </c>
      <c r="ED30" s="26">
        <v>0.1</v>
      </c>
      <c r="EF30" s="26">
        <v>0.1</v>
      </c>
      <c r="EG30" s="26">
        <v>0.1</v>
      </c>
      <c r="EM30" s="56">
        <v>100</v>
      </c>
      <c r="EQ30" s="26">
        <v>0.3</v>
      </c>
      <c r="ER30" s="26">
        <v>0.3</v>
      </c>
      <c r="ET30" s="26">
        <v>0.1</v>
      </c>
      <c r="EU30" s="26">
        <v>0.3</v>
      </c>
      <c r="EX30" s="25" t="s">
        <v>8250</v>
      </c>
      <c r="EY30" s="25" t="s">
        <v>8250</v>
      </c>
      <c r="EZ30" s="25" t="s">
        <v>8250</v>
      </c>
      <c r="FA30" s="25" t="s">
        <v>8250</v>
      </c>
      <c r="FB30" s="25" t="s">
        <v>8250</v>
      </c>
      <c r="FC30" s="25" t="s">
        <v>8250</v>
      </c>
      <c r="FD30" s="25" t="s">
        <v>8250</v>
      </c>
      <c r="FE30" s="25" t="s">
        <v>13593</v>
      </c>
      <c r="FF30" s="25" t="s">
        <v>13593</v>
      </c>
      <c r="FG30" s="25" t="s">
        <v>13593</v>
      </c>
      <c r="FH30" s="25" t="s">
        <v>13593</v>
      </c>
      <c r="FI30" s="25" t="s">
        <v>13593</v>
      </c>
      <c r="FJ30" s="25" t="s">
        <v>13593</v>
      </c>
      <c r="FK30" s="25" t="s">
        <v>13593</v>
      </c>
      <c r="FL30" s="25" t="s">
        <v>631</v>
      </c>
      <c r="FM30" s="25" t="s">
        <v>631</v>
      </c>
      <c r="FN30" s="25" t="s">
        <v>13810</v>
      </c>
      <c r="FO30" s="25" t="s">
        <v>13810</v>
      </c>
      <c r="FP30" s="25" t="s">
        <v>631</v>
      </c>
      <c r="FQ30" s="25" t="s">
        <v>631</v>
      </c>
      <c r="FR30" s="25" t="s">
        <v>631</v>
      </c>
      <c r="FS30" s="25" t="s">
        <v>631</v>
      </c>
      <c r="FT30" s="25" t="s">
        <v>631</v>
      </c>
      <c r="FU30" s="25" t="s">
        <v>631</v>
      </c>
      <c r="FX30" s="25" t="s">
        <v>8253</v>
      </c>
      <c r="FY30" s="25" t="s">
        <v>8253</v>
      </c>
      <c r="GE30" s="56">
        <v>5</v>
      </c>
      <c r="GI30" s="56">
        <v>20</v>
      </c>
      <c r="GM30" s="56">
        <v>60</v>
      </c>
      <c r="KM30" s="25" t="s">
        <v>8255</v>
      </c>
      <c r="KN30" s="25" t="s">
        <v>8256</v>
      </c>
      <c r="KO30" s="25" t="s">
        <v>8263</v>
      </c>
      <c r="KP30" s="25">
        <v>0</v>
      </c>
      <c r="VF30" s="25">
        <v>1</v>
      </c>
      <c r="VG30" s="25" t="s">
        <v>8377</v>
      </c>
      <c r="VI30" s="56">
        <v>1500</v>
      </c>
      <c r="VJ30" s="56">
        <v>3000</v>
      </c>
      <c r="VO30" s="25" t="s">
        <v>8246</v>
      </c>
      <c r="VT30" s="25" t="s">
        <v>8248</v>
      </c>
      <c r="WG30" s="25" t="s">
        <v>8249</v>
      </c>
      <c r="YT30" s="25" t="s">
        <v>25</v>
      </c>
      <c r="YU30" s="25" t="s">
        <v>28</v>
      </c>
      <c r="YV30" s="25" t="s">
        <v>25</v>
      </c>
      <c r="YW30" s="25" t="s">
        <v>25</v>
      </c>
      <c r="YY30" s="25" t="s">
        <v>13426</v>
      </c>
      <c r="YZ30" s="25" t="s">
        <v>13426</v>
      </c>
      <c r="ZA30" s="56">
        <v>10</v>
      </c>
      <c r="ZB30" s="56">
        <v>10</v>
      </c>
      <c r="ZD30" s="56">
        <v>100</v>
      </c>
      <c r="ZE30" s="56">
        <v>10</v>
      </c>
      <c r="ZF30" s="56">
        <v>10</v>
      </c>
      <c r="ZK30" s="26">
        <v>0.1</v>
      </c>
      <c r="ZR30" s="56">
        <v>100</v>
      </c>
      <c r="ZT30" s="56">
        <v>10</v>
      </c>
      <c r="ZV30" s="26">
        <v>0.3</v>
      </c>
      <c r="ZW30" s="26">
        <v>0.3</v>
      </c>
      <c r="ZY30" s="26">
        <v>0.1</v>
      </c>
      <c r="ZZ30" s="26">
        <v>0.3</v>
      </c>
      <c r="AAC30" s="25" t="s">
        <v>8250</v>
      </c>
      <c r="AAD30" s="25" t="s">
        <v>8250</v>
      </c>
      <c r="AAE30" s="25" t="s">
        <v>8250</v>
      </c>
      <c r="AAF30" s="25" t="s">
        <v>8250</v>
      </c>
      <c r="AAG30" s="25" t="s">
        <v>8250</v>
      </c>
      <c r="AAH30" s="25" t="s">
        <v>8250</v>
      </c>
      <c r="AAJ30" s="25" t="s">
        <v>25</v>
      </c>
      <c r="AAK30" s="25" t="s">
        <v>25</v>
      </c>
      <c r="AAL30" s="25" t="s">
        <v>25</v>
      </c>
      <c r="AAM30" s="25" t="s">
        <v>28</v>
      </c>
      <c r="AAN30" s="25" t="s">
        <v>25</v>
      </c>
      <c r="AAO30" s="25" t="s">
        <v>25</v>
      </c>
      <c r="AAP30" s="25" t="s">
        <v>13593</v>
      </c>
      <c r="AAQ30" s="25" t="s">
        <v>631</v>
      </c>
      <c r="AAR30" s="25" t="s">
        <v>631</v>
      </c>
      <c r="AAS30" s="25" t="s">
        <v>13810</v>
      </c>
      <c r="AAT30" s="25" t="s">
        <v>13810</v>
      </c>
      <c r="AAU30" s="25" t="s">
        <v>631</v>
      </c>
      <c r="AAV30" s="25" t="s">
        <v>631</v>
      </c>
      <c r="AAW30" s="25" t="s">
        <v>631</v>
      </c>
      <c r="AAX30" s="25" t="s">
        <v>631</v>
      </c>
      <c r="AAY30" s="25" t="s">
        <v>631</v>
      </c>
      <c r="AAZ30" s="25" t="s">
        <v>631</v>
      </c>
      <c r="ABC30" s="25" t="s">
        <v>8253</v>
      </c>
      <c r="ABD30" s="25" t="s">
        <v>8253</v>
      </c>
      <c r="ABJ30" s="56">
        <v>5</v>
      </c>
      <c r="ABL30" s="56">
        <v>5</v>
      </c>
      <c r="ABN30" s="56">
        <v>20</v>
      </c>
      <c r="ABP30" s="56">
        <v>20</v>
      </c>
      <c r="ABR30" s="56">
        <v>60</v>
      </c>
      <c r="ABT30" s="56">
        <v>60</v>
      </c>
      <c r="AFR30" s="25" t="s">
        <v>8255</v>
      </c>
      <c r="AFS30" s="25" t="s">
        <v>8256</v>
      </c>
      <c r="AFT30" s="25" t="s">
        <v>8263</v>
      </c>
      <c r="AFU30" s="25">
        <v>0</v>
      </c>
      <c r="AFX30" s="25"/>
      <c r="AFY30" s="25"/>
      <c r="AFZ30" s="25"/>
      <c r="AGA30" s="25"/>
      <c r="AGB30" s="25"/>
      <c r="AGC30" s="25"/>
      <c r="AGE30" s="25"/>
      <c r="AGF30" s="25"/>
      <c r="AGG30" s="25"/>
      <c r="AGH30" s="25"/>
      <c r="AJP30" s="25"/>
      <c r="AJQ30" s="25"/>
      <c r="AJR30" s="25"/>
      <c r="AJS30" s="25"/>
      <c r="AJT30" s="25"/>
      <c r="AJU30" s="25"/>
      <c r="AJV30" s="25"/>
      <c r="AKD30" s="25"/>
      <c r="AKE30" s="25"/>
      <c r="AKF30" s="25"/>
      <c r="AKG30" s="25"/>
      <c r="AKH30" s="25"/>
      <c r="AKI30" s="25"/>
      <c r="AKJ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H30" s="25"/>
      <c r="ANI30" s="25"/>
      <c r="ANJ30" s="25"/>
      <c r="ANK30" s="25"/>
      <c r="ANL30" s="25"/>
      <c r="ANM30" s="25"/>
      <c r="ANN30" s="25"/>
      <c r="ANO30" s="25"/>
      <c r="ANP30" s="25"/>
      <c r="ANQ30" s="25"/>
      <c r="ANR30" s="25"/>
      <c r="ANS30" s="25"/>
      <c r="ANT30" s="25"/>
      <c r="ANU30" s="25"/>
      <c r="AOC30" s="25"/>
      <c r="AOD30" s="25"/>
      <c r="AOE30" s="25"/>
      <c r="AOF30" s="25"/>
      <c r="AOG30" s="25"/>
      <c r="AOH30" s="25"/>
      <c r="AOI30" s="25"/>
      <c r="AOJ30" s="25"/>
      <c r="AOK30" s="25"/>
      <c r="AOL30" s="25"/>
      <c r="AOM30" s="25"/>
      <c r="AON30" s="25"/>
      <c r="AOO30" s="25"/>
      <c r="AOP30" s="25"/>
      <c r="AOX30" s="25"/>
      <c r="AOY30" s="25"/>
      <c r="AOZ30" s="25"/>
      <c r="APA30" s="25"/>
      <c r="APB30" s="25"/>
      <c r="APC30" s="25"/>
      <c r="APD30" s="25"/>
      <c r="APE30" s="25"/>
      <c r="APF30" s="25"/>
      <c r="APG30" s="25"/>
      <c r="APH30" s="25"/>
      <c r="API30" s="25"/>
      <c r="APJ30" s="25"/>
      <c r="APK30" s="25"/>
      <c r="APS30" s="25"/>
      <c r="APT30" s="25"/>
      <c r="APU30" s="25"/>
      <c r="APV30" s="25"/>
      <c r="APW30" s="25"/>
      <c r="APX30" s="25"/>
      <c r="APY30" s="25"/>
      <c r="APZ30" s="25"/>
      <c r="AQA30" s="25"/>
      <c r="AQB30" s="25"/>
      <c r="AQC30" s="25"/>
      <c r="AQD30" s="25"/>
      <c r="AQE30" s="25"/>
      <c r="AQF30" s="25"/>
      <c r="AQJ30" s="25">
        <v>0</v>
      </c>
      <c r="AQM30" s="25"/>
      <c r="AQN30" s="25"/>
      <c r="AQO30" s="25"/>
      <c r="AQP30" s="25"/>
      <c r="AQQ30" s="25"/>
      <c r="AQR30" s="25"/>
      <c r="AQT30" s="25"/>
      <c r="AQU30" s="25"/>
      <c r="AQV30" s="25"/>
      <c r="AQW30" s="25"/>
      <c r="AUE30" s="25"/>
      <c r="AUF30" s="25"/>
      <c r="AUG30" s="25"/>
      <c r="AUH30" s="25"/>
      <c r="AUI30" s="25"/>
      <c r="AUJ30" s="25"/>
      <c r="AUK30" s="25"/>
      <c r="AUS30" s="25"/>
      <c r="AUT30" s="25"/>
      <c r="AUU30" s="25"/>
      <c r="AUV30" s="25"/>
      <c r="AUW30" s="25"/>
      <c r="AUX30" s="25"/>
      <c r="AUY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W30" s="25"/>
      <c r="AXX30" s="25"/>
      <c r="AXY30" s="25"/>
      <c r="AXZ30" s="25"/>
      <c r="AYA30" s="25"/>
      <c r="AYB30" s="25"/>
      <c r="AYC30" s="25"/>
      <c r="AYD30" s="25"/>
      <c r="AYE30" s="25"/>
      <c r="AYF30" s="25"/>
      <c r="AYG30" s="25"/>
      <c r="AYH30" s="25"/>
      <c r="AYI30" s="25"/>
      <c r="AYJ30" s="25"/>
      <c r="AZM30" s="25"/>
      <c r="AZN30" s="25"/>
      <c r="AZO30" s="25"/>
      <c r="AZP30" s="25"/>
      <c r="AZQ30" s="25"/>
      <c r="AZR30" s="25"/>
      <c r="AZS30" s="25"/>
      <c r="AZT30" s="25"/>
      <c r="AZU30" s="25"/>
      <c r="AZV30" s="25"/>
      <c r="AZW30" s="25"/>
      <c r="AZX30" s="25"/>
      <c r="AZY30" s="25"/>
      <c r="AZZ30" s="25"/>
      <c r="BAR30" s="25"/>
      <c r="BAS30" s="25"/>
      <c r="BAT30" s="25"/>
      <c r="BAU30" s="25"/>
      <c r="BAY30" s="25">
        <v>0</v>
      </c>
      <c r="BBB30" s="25"/>
      <c r="BBC30" s="25"/>
      <c r="BBD30" s="25"/>
      <c r="BBE30" s="25"/>
      <c r="BBF30" s="25"/>
      <c r="BBG30" s="25"/>
      <c r="BBI30" s="25"/>
      <c r="BBJ30" s="25"/>
      <c r="BBK30" s="25"/>
      <c r="BBL30" s="25"/>
      <c r="BET30" s="25"/>
      <c r="BEU30" s="25"/>
      <c r="BEV30" s="25"/>
      <c r="BEW30" s="25"/>
      <c r="BEX30" s="25"/>
      <c r="BEY30" s="25"/>
      <c r="BEZ30" s="25"/>
      <c r="BFH30" s="25"/>
      <c r="BFI30" s="25"/>
      <c r="BFJ30" s="25"/>
      <c r="BFK30" s="25"/>
      <c r="BFL30" s="25"/>
      <c r="BFM30" s="25"/>
      <c r="BFN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L30" s="25"/>
      <c r="BIM30" s="25"/>
      <c r="BIN30" s="25"/>
      <c r="BIO30" s="25"/>
      <c r="BIP30" s="25"/>
      <c r="BIQ30" s="25"/>
      <c r="BIR30" s="25"/>
      <c r="BIS30" s="25"/>
      <c r="BIT30" s="25"/>
      <c r="BIU30" s="25"/>
      <c r="BIV30" s="25"/>
      <c r="BIW30" s="25"/>
      <c r="BIX30" s="25"/>
      <c r="BIY30" s="25"/>
      <c r="BJG30" s="25"/>
      <c r="BJH30" s="25"/>
      <c r="BJI30" s="25"/>
      <c r="BJJ30" s="25"/>
      <c r="BJK30" s="25"/>
      <c r="BJL30" s="25"/>
      <c r="BJM30" s="25"/>
      <c r="BJN30" s="25"/>
      <c r="BJO30" s="25"/>
      <c r="BJP30" s="25"/>
      <c r="BJQ30" s="25"/>
      <c r="BJR30" s="25"/>
      <c r="BJS30" s="25"/>
      <c r="BJT30" s="25"/>
      <c r="BKB30" s="25"/>
      <c r="BKC30" s="25"/>
      <c r="BKD30" s="25"/>
      <c r="BKE30" s="25"/>
      <c r="BKF30" s="25"/>
      <c r="BKG30" s="25"/>
      <c r="BKH30" s="25"/>
      <c r="BKI30" s="25"/>
      <c r="BKJ30" s="25"/>
      <c r="BKK30" s="25"/>
      <c r="BKL30" s="25"/>
      <c r="BKM30" s="25"/>
      <c r="BKN30" s="25"/>
      <c r="BKO30" s="25"/>
      <c r="BKW30" s="25"/>
      <c r="BKX30" s="25"/>
      <c r="BKY30" s="25"/>
      <c r="BKZ30" s="25"/>
      <c r="BLA30" s="25"/>
      <c r="BLB30" s="25"/>
      <c r="BLC30" s="25"/>
      <c r="BLD30" s="25"/>
      <c r="BLE30" s="25"/>
      <c r="BLF30" s="25"/>
      <c r="BLG30" s="25"/>
      <c r="BLH30" s="25"/>
      <c r="BLI30" s="25"/>
      <c r="BLJ30" s="25"/>
      <c r="BLN30" s="25">
        <v>0</v>
      </c>
      <c r="BLQ30" s="25"/>
      <c r="BLR30" s="25"/>
      <c r="BLS30" s="25"/>
      <c r="BLT30" s="25"/>
      <c r="BLU30" s="25"/>
      <c r="BLV30" s="25"/>
      <c r="BLX30" s="25"/>
      <c r="BLY30" s="25"/>
      <c r="BLZ30" s="25"/>
      <c r="BMA30" s="25"/>
      <c r="BPI30" s="25"/>
      <c r="BPJ30" s="25"/>
      <c r="BPK30" s="25"/>
      <c r="BPL30" s="25"/>
      <c r="BPM30" s="25"/>
      <c r="BPN30" s="25"/>
      <c r="BPO30" s="25"/>
      <c r="BPW30" s="25"/>
      <c r="BPX30" s="25"/>
      <c r="BPY30" s="25"/>
      <c r="BPZ30" s="25"/>
      <c r="BQA30" s="25"/>
      <c r="BQB30" s="25"/>
      <c r="BQC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TA30" s="25"/>
      <c r="BTB30" s="25"/>
      <c r="BTC30" s="25"/>
      <c r="BTD30" s="25"/>
      <c r="BTE30" s="25"/>
      <c r="BTF30" s="25"/>
      <c r="BTG30" s="25"/>
      <c r="BTH30" s="25"/>
      <c r="BTI30" s="25"/>
      <c r="BTJ30" s="25"/>
      <c r="BTK30" s="25"/>
      <c r="BTL30" s="25"/>
      <c r="BTM30" s="25"/>
      <c r="BTN30" s="25"/>
      <c r="BUQ30" s="25"/>
      <c r="BUR30" s="25"/>
      <c r="BUS30" s="25"/>
      <c r="BUT30" s="25"/>
      <c r="BUU30" s="25"/>
      <c r="BUV30" s="25"/>
      <c r="BUW30" s="25"/>
      <c r="BUX30" s="25"/>
      <c r="BUY30" s="25"/>
      <c r="BUZ30" s="25"/>
      <c r="BVA30" s="25"/>
      <c r="BVB30" s="25"/>
      <c r="BVC30" s="25"/>
      <c r="BVD30" s="25"/>
      <c r="BWC30" s="25" t="s">
        <v>25</v>
      </c>
      <c r="BWH30" s="25" t="s">
        <v>25</v>
      </c>
      <c r="BWQ30" s="25" t="s">
        <v>25</v>
      </c>
      <c r="BWX30" s="25" t="s">
        <v>28</v>
      </c>
      <c r="BWY30" s="25" t="s">
        <v>8358</v>
      </c>
      <c r="BWZ30" s="25" t="s">
        <v>28</v>
      </c>
      <c r="BXA30" s="56">
        <v>30</v>
      </c>
      <c r="BXB30" s="25" t="s">
        <v>25</v>
      </c>
      <c r="BXD30" s="25" t="s">
        <v>28</v>
      </c>
      <c r="BXE30" s="25" t="s">
        <v>8358</v>
      </c>
      <c r="BXF30" s="25" t="s">
        <v>28</v>
      </c>
      <c r="BXG30" s="56">
        <v>30</v>
      </c>
      <c r="BXH30" s="25" t="s">
        <v>25</v>
      </c>
      <c r="BXJ30" s="25" t="s">
        <v>25</v>
      </c>
      <c r="BYD30" s="25" t="s">
        <v>25</v>
      </c>
      <c r="BYR30" s="25" t="s">
        <v>25</v>
      </c>
      <c r="BZZ30" s="25" t="s">
        <v>25</v>
      </c>
      <c r="CAC30" s="25" t="s">
        <v>25</v>
      </c>
      <c r="CAE30" s="25" t="s">
        <v>25</v>
      </c>
      <c r="CAH30" s="25" t="s">
        <v>631</v>
      </c>
      <c r="CAI30" s="25" t="s">
        <v>631</v>
      </c>
      <c r="CAJ30" s="25" t="s">
        <v>631</v>
      </c>
      <c r="CAK30" s="25" t="s">
        <v>631</v>
      </c>
      <c r="CAL30" s="25" t="s">
        <v>631</v>
      </c>
      <c r="CAM30" s="25" t="s">
        <v>631</v>
      </c>
      <c r="CAN30" s="25" t="s">
        <v>631</v>
      </c>
      <c r="CAO30" s="25" t="s">
        <v>631</v>
      </c>
      <c r="CAP30" s="25" t="s">
        <v>631</v>
      </c>
      <c r="CAQ30" s="25" t="s">
        <v>631</v>
      </c>
      <c r="CBB30" s="25">
        <v>0</v>
      </c>
      <c r="CBC30" s="25">
        <v>0</v>
      </c>
      <c r="CBD30" s="25">
        <v>0</v>
      </c>
      <c r="CPW30" s="27">
        <v>0</v>
      </c>
      <c r="CQQ30" s="25" t="s">
        <v>8378</v>
      </c>
      <c r="CQR30" s="25" t="s">
        <v>8378</v>
      </c>
      <c r="CQS30" s="25" t="s">
        <v>28</v>
      </c>
      <c r="CQT30" s="25" t="s">
        <v>8314</v>
      </c>
      <c r="CQU30" s="25" t="s">
        <v>8314</v>
      </c>
      <c r="CQV30" s="25" t="s">
        <v>8314</v>
      </c>
      <c r="CQW30" s="25" t="s">
        <v>8314</v>
      </c>
      <c r="CQX30" s="25" t="s">
        <v>8314</v>
      </c>
      <c r="CQY30" s="25" t="s">
        <v>8314</v>
      </c>
      <c r="CQZ30" s="25" t="s">
        <v>8314</v>
      </c>
      <c r="CRA30" s="25" t="s">
        <v>8314</v>
      </c>
      <c r="CRB30" s="25" t="s">
        <v>8314</v>
      </c>
      <c r="CRC30" s="25" t="s">
        <v>8314</v>
      </c>
      <c r="CRD30" s="25" t="s">
        <v>8314</v>
      </c>
      <c r="CRE30" s="27" t="s">
        <v>8314</v>
      </c>
    </row>
    <row r="31" spans="1:2501" ht="76.5" x14ac:dyDescent="0.2">
      <c r="A31" s="21" t="s">
        <v>174</v>
      </c>
      <c r="B31" s="26">
        <v>0.51</v>
      </c>
      <c r="C31" s="26">
        <v>0</v>
      </c>
      <c r="D31" s="26">
        <v>0.11</v>
      </c>
      <c r="E31" s="26">
        <v>0.31</v>
      </c>
      <c r="F31" s="26">
        <v>0</v>
      </c>
      <c r="G31" s="26">
        <v>0</v>
      </c>
      <c r="H31" s="26">
        <v>0</v>
      </c>
      <c r="I31" s="26">
        <v>0</v>
      </c>
      <c r="J31" s="26">
        <v>0</v>
      </c>
      <c r="K31" s="26">
        <v>0</v>
      </c>
      <c r="L31" s="26">
        <v>0</v>
      </c>
      <c r="M31" s="26">
        <v>7.0000000000000007E-2</v>
      </c>
      <c r="N31" s="26">
        <v>0</v>
      </c>
      <c r="O31" s="26">
        <v>0</v>
      </c>
      <c r="P31" s="26">
        <v>0</v>
      </c>
      <c r="Q31" s="26">
        <v>0</v>
      </c>
      <c r="R31" s="26">
        <v>0</v>
      </c>
      <c r="S31" s="26">
        <v>0</v>
      </c>
      <c r="T31" s="26">
        <v>0</v>
      </c>
      <c r="U31" s="26">
        <v>0</v>
      </c>
      <c r="V31" s="26">
        <v>0</v>
      </c>
      <c r="W31" s="26">
        <v>0</v>
      </c>
      <c r="X31" s="26">
        <v>0</v>
      </c>
      <c r="Y31" s="26">
        <v>1</v>
      </c>
      <c r="Z31" s="25">
        <v>1</v>
      </c>
      <c r="AA31" s="25" t="s">
        <v>8944</v>
      </c>
      <c r="AC31" s="56">
        <v>2000</v>
      </c>
      <c r="AD31" s="56">
        <v>4000</v>
      </c>
      <c r="AE31" s="56">
        <v>4000</v>
      </c>
      <c r="AF31" s="56">
        <v>8000</v>
      </c>
      <c r="AG31" s="56">
        <v>4000</v>
      </c>
      <c r="AH31" s="56">
        <v>8000</v>
      </c>
      <c r="AI31" s="25" t="s">
        <v>13412</v>
      </c>
      <c r="AJ31" s="56">
        <v>500</v>
      </c>
      <c r="AK31" s="56">
        <v>1000</v>
      </c>
      <c r="AL31" s="56">
        <v>1000</v>
      </c>
      <c r="AM31" s="56">
        <v>2000</v>
      </c>
      <c r="AN31" s="25" t="s">
        <v>8350</v>
      </c>
      <c r="AO31" s="25" t="s">
        <v>8248</v>
      </c>
      <c r="BB31" s="25" t="s">
        <v>8249</v>
      </c>
      <c r="DO31" s="25" t="s">
        <v>25</v>
      </c>
      <c r="DP31" s="25" t="s">
        <v>25</v>
      </c>
      <c r="DR31" s="25" t="s">
        <v>25</v>
      </c>
      <c r="DT31" s="25" t="s">
        <v>13417</v>
      </c>
      <c r="DU31" s="25" t="s">
        <v>13420</v>
      </c>
      <c r="DV31" s="56">
        <v>15</v>
      </c>
      <c r="DW31" s="56">
        <v>25</v>
      </c>
      <c r="DY31" s="56">
        <v>100</v>
      </c>
      <c r="DZ31" s="56">
        <v>35</v>
      </c>
      <c r="EA31" s="56">
        <v>15</v>
      </c>
      <c r="EE31" s="26">
        <v>0.1</v>
      </c>
      <c r="EF31" s="26">
        <v>0.1</v>
      </c>
      <c r="EG31" s="26">
        <v>0.1</v>
      </c>
      <c r="EM31" s="56">
        <v>100</v>
      </c>
      <c r="EN31" s="56">
        <v>35</v>
      </c>
      <c r="EQ31" s="26">
        <v>0.3</v>
      </c>
      <c r="ER31" s="26">
        <v>0.3</v>
      </c>
      <c r="ES31" s="26">
        <v>0.3</v>
      </c>
      <c r="ET31" s="26">
        <v>1</v>
      </c>
      <c r="EU31" s="26">
        <v>0.35</v>
      </c>
      <c r="EX31" s="25" t="s">
        <v>8250</v>
      </c>
      <c r="EY31" s="25" t="s">
        <v>8250</v>
      </c>
      <c r="EZ31" s="25" t="s">
        <v>8250</v>
      </c>
      <c r="FA31" s="25" t="s">
        <v>8250</v>
      </c>
      <c r="FB31" s="25" t="s">
        <v>8250</v>
      </c>
      <c r="FC31" s="25" t="s">
        <v>8250</v>
      </c>
      <c r="FD31" s="25" t="s">
        <v>8250</v>
      </c>
      <c r="FE31" s="25" t="s">
        <v>8324</v>
      </c>
      <c r="FF31" s="25" t="s">
        <v>8324</v>
      </c>
      <c r="FG31" s="25" t="s">
        <v>8324</v>
      </c>
      <c r="FH31" s="25" t="s">
        <v>8324</v>
      </c>
      <c r="FI31" s="25" t="s">
        <v>8324</v>
      </c>
      <c r="FJ31" s="25" t="s">
        <v>8324</v>
      </c>
      <c r="FK31" s="25" t="s">
        <v>8324</v>
      </c>
      <c r="FL31" s="25" t="s">
        <v>13810</v>
      </c>
      <c r="FM31" s="25" t="s">
        <v>13810</v>
      </c>
      <c r="FN31" s="25" t="s">
        <v>13810</v>
      </c>
      <c r="FO31" s="25" t="s">
        <v>13810</v>
      </c>
      <c r="FP31" s="25" t="s">
        <v>631</v>
      </c>
      <c r="FQ31" s="25" t="s">
        <v>13810</v>
      </c>
      <c r="FR31" s="25" t="s">
        <v>13810</v>
      </c>
      <c r="FS31" s="25" t="s">
        <v>13810</v>
      </c>
      <c r="FT31" s="25" t="s">
        <v>631</v>
      </c>
      <c r="FU31" s="25" t="s">
        <v>631</v>
      </c>
      <c r="FV31" s="25" t="s">
        <v>8253</v>
      </c>
      <c r="FW31" s="25" t="s">
        <v>8253</v>
      </c>
      <c r="FX31" s="25" t="s">
        <v>8253</v>
      </c>
      <c r="FY31" s="25" t="s">
        <v>8945</v>
      </c>
      <c r="GA31" s="25" t="s">
        <v>8253</v>
      </c>
      <c r="GB31" s="25" t="s">
        <v>8253</v>
      </c>
      <c r="GC31" s="25" t="s">
        <v>8253</v>
      </c>
      <c r="GE31" s="56">
        <v>15</v>
      </c>
      <c r="GG31" s="56">
        <v>30</v>
      </c>
      <c r="GI31" s="56">
        <v>25</v>
      </c>
      <c r="GK31" s="56">
        <v>50</v>
      </c>
      <c r="GM31" s="56">
        <v>50</v>
      </c>
      <c r="GO31" s="56">
        <v>100</v>
      </c>
      <c r="HG31" s="57">
        <v>0.15</v>
      </c>
      <c r="HH31" s="57">
        <v>0.25</v>
      </c>
      <c r="HI31" s="57">
        <v>0.5</v>
      </c>
      <c r="IB31" s="26">
        <v>0.3</v>
      </c>
      <c r="IC31" s="26">
        <v>0.3</v>
      </c>
      <c r="ID31" s="26">
        <v>0.3</v>
      </c>
      <c r="IW31" s="26">
        <v>0</v>
      </c>
      <c r="IX31" s="26">
        <v>0.5</v>
      </c>
      <c r="IY31" s="26">
        <v>1</v>
      </c>
      <c r="KM31" s="25" t="s">
        <v>8255</v>
      </c>
      <c r="KN31" s="25" t="s">
        <v>8256</v>
      </c>
      <c r="KO31" s="25" t="s">
        <v>8321</v>
      </c>
      <c r="KP31" s="25">
        <v>1</v>
      </c>
      <c r="KQ31" s="25" t="s">
        <v>8946</v>
      </c>
      <c r="KS31" s="56">
        <v>2500</v>
      </c>
      <c r="KT31" s="56">
        <v>5000</v>
      </c>
      <c r="KU31" s="56">
        <v>4000</v>
      </c>
      <c r="KV31" s="56">
        <v>8000</v>
      </c>
      <c r="KW31" s="56">
        <v>8000</v>
      </c>
      <c r="KX31" s="56">
        <v>8000</v>
      </c>
      <c r="KY31" s="25" t="s">
        <v>8690</v>
      </c>
      <c r="KZ31" s="56">
        <v>1500</v>
      </c>
      <c r="LA31" s="56">
        <v>3000</v>
      </c>
      <c r="LB31" s="56">
        <v>3000</v>
      </c>
      <c r="LC31" s="56">
        <v>6000</v>
      </c>
      <c r="LD31" s="25" t="s">
        <v>8350</v>
      </c>
      <c r="LE31" s="25" t="s">
        <v>8248</v>
      </c>
      <c r="LR31" s="25" t="s">
        <v>8249</v>
      </c>
      <c r="OE31" s="25" t="s">
        <v>25</v>
      </c>
      <c r="OF31" s="25" t="s">
        <v>25</v>
      </c>
      <c r="OH31" s="25" t="s">
        <v>25</v>
      </c>
      <c r="OJ31" s="25" t="s">
        <v>13416</v>
      </c>
      <c r="OK31" s="25" t="s">
        <v>13420</v>
      </c>
      <c r="OS31" s="26">
        <v>0.1</v>
      </c>
      <c r="OT31" s="26">
        <v>0.1</v>
      </c>
      <c r="OU31" s="26">
        <v>0.1</v>
      </c>
      <c r="OV31" s="26">
        <v>0.1</v>
      </c>
      <c r="OW31" s="26">
        <v>0.1</v>
      </c>
      <c r="OX31" s="26">
        <v>0.9</v>
      </c>
      <c r="PG31" s="26">
        <v>0.3</v>
      </c>
      <c r="PH31" s="26">
        <v>0.3</v>
      </c>
      <c r="PI31" s="26">
        <v>0.3</v>
      </c>
      <c r="PJ31" s="26">
        <v>0.3</v>
      </c>
      <c r="PK31" s="26">
        <v>0.3</v>
      </c>
      <c r="PN31" s="25" t="s">
        <v>8250</v>
      </c>
      <c r="PO31" s="25" t="s">
        <v>8250</v>
      </c>
      <c r="PP31" s="25" t="s">
        <v>8250</v>
      </c>
      <c r="PQ31" s="25" t="s">
        <v>8250</v>
      </c>
      <c r="PR31" s="25" t="s">
        <v>8250</v>
      </c>
      <c r="PS31" s="25" t="s">
        <v>8250</v>
      </c>
      <c r="PT31" s="25" t="s">
        <v>8250</v>
      </c>
      <c r="PU31" s="25" t="s">
        <v>8324</v>
      </c>
      <c r="PV31" s="25" t="s">
        <v>8324</v>
      </c>
      <c r="PW31" s="25" t="s">
        <v>8324</v>
      </c>
      <c r="PX31" s="25" t="s">
        <v>8324</v>
      </c>
      <c r="PY31" s="25" t="s">
        <v>8324</v>
      </c>
      <c r="PZ31" s="25" t="s">
        <v>8324</v>
      </c>
      <c r="QA31" s="25" t="s">
        <v>8324</v>
      </c>
      <c r="QB31" s="25" t="s">
        <v>13810</v>
      </c>
      <c r="QC31" s="25" t="s">
        <v>13810</v>
      </c>
      <c r="QD31" s="25" t="s">
        <v>13810</v>
      </c>
      <c r="QF31" s="25" t="s">
        <v>631</v>
      </c>
      <c r="QG31" s="25" t="s">
        <v>13810</v>
      </c>
      <c r="QH31" s="25" t="s">
        <v>13810</v>
      </c>
      <c r="QI31" s="25" t="s">
        <v>13810</v>
      </c>
      <c r="QJ31" s="25" t="s">
        <v>631</v>
      </c>
      <c r="QL31" s="25" t="s">
        <v>8325</v>
      </c>
      <c r="QM31" s="25" t="s">
        <v>8325</v>
      </c>
      <c r="QN31" s="25" t="s">
        <v>8325</v>
      </c>
      <c r="QQ31" s="25" t="s">
        <v>8325</v>
      </c>
      <c r="QR31" s="25" t="s">
        <v>8325</v>
      </c>
      <c r="QS31" s="25" t="s">
        <v>8325</v>
      </c>
      <c r="RW31" s="26">
        <v>0.1</v>
      </c>
      <c r="RX31" s="26">
        <v>0.1</v>
      </c>
      <c r="RY31" s="26">
        <v>0.1</v>
      </c>
      <c r="VC31" s="25" t="s">
        <v>8255</v>
      </c>
      <c r="VD31" s="25" t="s">
        <v>8256</v>
      </c>
      <c r="VE31" s="25" t="s">
        <v>8321</v>
      </c>
      <c r="VF31" s="25">
        <v>0</v>
      </c>
      <c r="VI31" s="25"/>
      <c r="VJ31" s="25"/>
      <c r="VK31" s="25"/>
      <c r="VL31" s="25"/>
      <c r="VM31" s="25"/>
      <c r="VN31" s="25"/>
      <c r="VP31" s="25"/>
      <c r="VQ31" s="25"/>
      <c r="VR31" s="25"/>
      <c r="VS31" s="25"/>
      <c r="ZA31" s="25"/>
      <c r="ZB31" s="25"/>
      <c r="ZC31" s="25"/>
      <c r="ZD31" s="25"/>
      <c r="ZE31" s="25"/>
      <c r="ZF31" s="25"/>
      <c r="ZG31" s="25"/>
      <c r="ZO31" s="25"/>
      <c r="ZP31" s="25"/>
      <c r="ZQ31" s="25"/>
      <c r="ZR31" s="25"/>
      <c r="ZS31" s="25"/>
      <c r="ZT31" s="25"/>
      <c r="ZU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S31" s="25"/>
      <c r="ACT31" s="25"/>
      <c r="ACU31" s="25"/>
      <c r="ACV31" s="25"/>
      <c r="ACW31" s="25"/>
      <c r="ACX31" s="25"/>
      <c r="ACY31" s="25"/>
      <c r="ACZ31" s="25"/>
      <c r="ADA31" s="25"/>
      <c r="ADB31" s="25"/>
      <c r="ADC31" s="25"/>
      <c r="ADD31" s="25"/>
      <c r="ADE31" s="25"/>
      <c r="ADF31" s="25"/>
      <c r="ADN31" s="25"/>
      <c r="ADO31" s="25"/>
      <c r="ADP31" s="25"/>
      <c r="ADQ31" s="25"/>
      <c r="ADR31" s="25"/>
      <c r="ADS31" s="25"/>
      <c r="ADT31" s="25"/>
      <c r="ADU31" s="25"/>
      <c r="ADV31" s="25"/>
      <c r="ADW31" s="25"/>
      <c r="ADX31" s="25"/>
      <c r="ADY31" s="25"/>
      <c r="ADZ31" s="25"/>
      <c r="AEA31" s="25"/>
      <c r="AEI31" s="25"/>
      <c r="AEJ31" s="25"/>
      <c r="AEK31" s="25"/>
      <c r="AEL31" s="25"/>
      <c r="AEM31" s="25"/>
      <c r="AEN31" s="25"/>
      <c r="AEO31" s="25"/>
      <c r="AEP31" s="25"/>
      <c r="AEQ31" s="25"/>
      <c r="AER31" s="25"/>
      <c r="AES31" s="25"/>
      <c r="AET31" s="25"/>
      <c r="AEU31" s="25"/>
      <c r="AEV31" s="25"/>
      <c r="AFD31" s="25"/>
      <c r="AFE31" s="25"/>
      <c r="AFF31" s="25"/>
      <c r="AFG31" s="25"/>
      <c r="AFH31" s="25"/>
      <c r="AFI31" s="25"/>
      <c r="AFJ31" s="25"/>
      <c r="AFK31" s="25"/>
      <c r="AFL31" s="25"/>
      <c r="AFM31" s="25"/>
      <c r="AFN31" s="25"/>
      <c r="AFO31" s="25"/>
      <c r="AFP31" s="25"/>
      <c r="AFQ31" s="25"/>
      <c r="AFU31" s="25">
        <v>0</v>
      </c>
      <c r="AFX31" s="25"/>
      <c r="AFY31" s="25"/>
      <c r="AFZ31" s="25"/>
      <c r="AGA31" s="25"/>
      <c r="AGB31" s="25"/>
      <c r="AGC31" s="25"/>
      <c r="AGE31" s="25"/>
      <c r="AGF31" s="25"/>
      <c r="AGG31" s="25"/>
      <c r="AGH31" s="25"/>
      <c r="AJP31" s="25"/>
      <c r="AJQ31" s="25"/>
      <c r="AJR31" s="25"/>
      <c r="AJS31" s="25"/>
      <c r="AJT31" s="25"/>
      <c r="AJU31" s="25"/>
      <c r="AJV31" s="25"/>
      <c r="AKD31" s="25"/>
      <c r="AKE31" s="25"/>
      <c r="AKF31" s="25"/>
      <c r="AKG31" s="25"/>
      <c r="AKH31" s="25"/>
      <c r="AKI31" s="25"/>
      <c r="AKJ31" s="25"/>
      <c r="ALY31" s="25"/>
      <c r="ALZ31" s="25"/>
      <c r="AMA31" s="25"/>
      <c r="AMB31" s="25"/>
      <c r="AMC31" s="25"/>
      <c r="AMD31" s="25"/>
      <c r="AME31" s="25"/>
      <c r="AMF31" s="25"/>
      <c r="AMG31" s="25"/>
      <c r="AMH31" s="25"/>
      <c r="AMI31" s="25"/>
      <c r="AMJ31" s="25"/>
      <c r="AMK31" s="25"/>
      <c r="AML31" s="25"/>
      <c r="AMM31" s="25"/>
      <c r="AMN31" s="25"/>
      <c r="AMO31" s="25"/>
      <c r="AMP31" s="25"/>
      <c r="AMQ31" s="25"/>
      <c r="AMR31" s="25"/>
      <c r="AMS31" s="25"/>
      <c r="AMT31" s="25"/>
      <c r="AMU31" s="25"/>
      <c r="AMV31" s="25"/>
      <c r="AMW31" s="25"/>
      <c r="AMX31" s="25"/>
      <c r="AMY31" s="25"/>
      <c r="AMZ31" s="25"/>
      <c r="ANH31" s="25"/>
      <c r="ANI31" s="25"/>
      <c r="ANJ31" s="25"/>
      <c r="ANK31" s="25"/>
      <c r="ANL31" s="25"/>
      <c r="ANM31" s="25"/>
      <c r="ANN31" s="25"/>
      <c r="ANO31" s="25"/>
      <c r="ANP31" s="25"/>
      <c r="ANQ31" s="25"/>
      <c r="ANR31" s="25"/>
      <c r="ANS31" s="25"/>
      <c r="ANT31" s="25"/>
      <c r="ANU31" s="25"/>
      <c r="AOC31" s="25"/>
      <c r="AOD31" s="25"/>
      <c r="AOE31" s="25"/>
      <c r="AOF31" s="25"/>
      <c r="AOG31" s="25"/>
      <c r="AOH31" s="25"/>
      <c r="AOI31" s="25"/>
      <c r="AOJ31" s="25"/>
      <c r="AOK31" s="25"/>
      <c r="AOL31" s="25"/>
      <c r="AOM31" s="25"/>
      <c r="AON31" s="25"/>
      <c r="AOO31" s="25"/>
      <c r="AOP31" s="25"/>
      <c r="AOX31" s="25"/>
      <c r="AOY31" s="25"/>
      <c r="AOZ31" s="25"/>
      <c r="APA31" s="25"/>
      <c r="APB31" s="25"/>
      <c r="APC31" s="25"/>
      <c r="APD31" s="25"/>
      <c r="APE31" s="25"/>
      <c r="APF31" s="25"/>
      <c r="APG31" s="25"/>
      <c r="APH31" s="25"/>
      <c r="API31" s="25"/>
      <c r="APJ31" s="25"/>
      <c r="APK31" s="25"/>
      <c r="APS31" s="25"/>
      <c r="APT31" s="25"/>
      <c r="APU31" s="25"/>
      <c r="APV31" s="25"/>
      <c r="APW31" s="25"/>
      <c r="APX31" s="25"/>
      <c r="APY31" s="25"/>
      <c r="APZ31" s="25"/>
      <c r="AQA31" s="25"/>
      <c r="AQB31" s="25"/>
      <c r="AQC31" s="25"/>
      <c r="AQD31" s="25"/>
      <c r="AQE31" s="25"/>
      <c r="AQF31" s="25"/>
      <c r="AQJ31" s="25">
        <v>1</v>
      </c>
      <c r="AQK31" s="25" t="s">
        <v>3971</v>
      </c>
      <c r="AQM31" s="56">
        <v>1500</v>
      </c>
      <c r="AQN31" s="56">
        <v>3000</v>
      </c>
      <c r="AQS31" s="25" t="s">
        <v>8690</v>
      </c>
      <c r="AQX31" s="25" t="s">
        <v>8248</v>
      </c>
      <c r="ARK31" s="25" t="s">
        <v>8249</v>
      </c>
      <c r="ATX31" s="25" t="s">
        <v>25</v>
      </c>
      <c r="ATY31" s="25" t="s">
        <v>25</v>
      </c>
      <c r="AUA31" s="25" t="s">
        <v>25</v>
      </c>
      <c r="AUC31" s="25" t="s">
        <v>13417</v>
      </c>
      <c r="AUD31" s="25" t="s">
        <v>8404</v>
      </c>
      <c r="AUE31" s="56">
        <v>10</v>
      </c>
      <c r="AUF31" s="56">
        <v>10</v>
      </c>
      <c r="AUG31" s="56">
        <v>10</v>
      </c>
      <c r="AUH31" s="56">
        <v>100</v>
      </c>
      <c r="AUI31" s="56">
        <v>10</v>
      </c>
      <c r="AUJ31" s="56">
        <v>10</v>
      </c>
      <c r="AUV31" s="56">
        <v>100</v>
      </c>
      <c r="AVG31" s="25" t="s">
        <v>8250</v>
      </c>
      <c r="AVH31" s="25" t="s">
        <v>8250</v>
      </c>
      <c r="AVI31" s="25" t="s">
        <v>8250</v>
      </c>
      <c r="AVJ31" s="25" t="s">
        <v>8250</v>
      </c>
      <c r="AVK31" s="25" t="s">
        <v>8250</v>
      </c>
      <c r="AVL31" s="25" t="s">
        <v>8250</v>
      </c>
      <c r="AVM31" s="25" t="s">
        <v>8250</v>
      </c>
      <c r="AVN31" s="25" t="s">
        <v>13593</v>
      </c>
      <c r="AVO31" s="25" t="s">
        <v>13593</v>
      </c>
      <c r="AVP31" s="25" t="s">
        <v>13593</v>
      </c>
      <c r="AVQ31" s="25" t="s">
        <v>13593</v>
      </c>
      <c r="AVR31" s="25" t="s">
        <v>13593</v>
      </c>
      <c r="AVS31" s="25" t="s">
        <v>13593</v>
      </c>
      <c r="AVT31" s="25" t="s">
        <v>13593</v>
      </c>
      <c r="AVU31" s="25" t="s">
        <v>13810</v>
      </c>
      <c r="AVV31" s="25" t="s">
        <v>13810</v>
      </c>
      <c r="AVW31" s="25" t="s">
        <v>13810</v>
      </c>
      <c r="AVX31" s="25" t="s">
        <v>13810</v>
      </c>
      <c r="AVY31" s="25" t="s">
        <v>8251</v>
      </c>
      <c r="AVZ31" s="25" t="s">
        <v>13810</v>
      </c>
      <c r="AWA31" s="25" t="s">
        <v>13810</v>
      </c>
      <c r="AWB31" s="25" t="s">
        <v>13810</v>
      </c>
      <c r="AWC31" s="25" t="s">
        <v>8251</v>
      </c>
      <c r="AWE31" s="25" t="s">
        <v>8253</v>
      </c>
      <c r="AWF31" s="25" t="s">
        <v>8253</v>
      </c>
      <c r="AWG31" s="25" t="s">
        <v>8253</v>
      </c>
      <c r="AWH31" s="25" t="s">
        <v>8253</v>
      </c>
      <c r="AWI31" s="25" t="s">
        <v>8253</v>
      </c>
      <c r="AWJ31" s="25" t="s">
        <v>8253</v>
      </c>
      <c r="AWK31" s="25" t="s">
        <v>8253</v>
      </c>
      <c r="AWL31" s="25" t="s">
        <v>8253</v>
      </c>
      <c r="AWM31" s="25" t="s">
        <v>8253</v>
      </c>
      <c r="AWN31" s="56">
        <v>10</v>
      </c>
      <c r="AWP31" s="56">
        <v>20</v>
      </c>
      <c r="AWR31" s="56">
        <v>30</v>
      </c>
      <c r="AWT31" s="56">
        <v>60</v>
      </c>
      <c r="BAV31" s="25" t="s">
        <v>8255</v>
      </c>
      <c r="BAW31" s="25" t="s">
        <v>8256</v>
      </c>
      <c r="BAX31" s="25" t="s">
        <v>8508</v>
      </c>
      <c r="BAY31" s="25">
        <v>0</v>
      </c>
      <c r="BBB31" s="25"/>
      <c r="BBC31" s="25"/>
      <c r="BBD31" s="25"/>
      <c r="BBE31" s="25"/>
      <c r="BBF31" s="25"/>
      <c r="BBG31" s="25"/>
      <c r="BBI31" s="25"/>
      <c r="BBJ31" s="25"/>
      <c r="BBK31" s="25"/>
      <c r="BBL31" s="25"/>
      <c r="BET31" s="25"/>
      <c r="BEU31" s="25"/>
      <c r="BEV31" s="25"/>
      <c r="BEW31" s="25"/>
      <c r="BEX31" s="25"/>
      <c r="BEY31" s="25"/>
      <c r="BEZ31" s="25"/>
      <c r="BFH31" s="25"/>
      <c r="BFI31" s="25"/>
      <c r="BFJ31" s="25"/>
      <c r="BFK31" s="25"/>
      <c r="BFL31" s="25"/>
      <c r="BFM31" s="25"/>
      <c r="BFN31" s="25"/>
      <c r="BHC31" s="25"/>
      <c r="BHD31" s="25"/>
      <c r="BHE31" s="25"/>
      <c r="BHF31" s="25"/>
      <c r="BHG31" s="25"/>
      <c r="BHH31" s="25"/>
      <c r="BHI31" s="25"/>
      <c r="BHJ31" s="25"/>
      <c r="BHK31" s="25"/>
      <c r="BHL31" s="25"/>
      <c r="BHM31" s="25"/>
      <c r="BHN31" s="25"/>
      <c r="BHO31" s="25"/>
      <c r="BHP31" s="25"/>
      <c r="BHQ31" s="25"/>
      <c r="BHR31" s="25"/>
      <c r="BHS31" s="25"/>
      <c r="BHT31" s="25"/>
      <c r="BHU31" s="25"/>
      <c r="BHV31" s="25"/>
      <c r="BHW31" s="25"/>
      <c r="BHX31" s="25"/>
      <c r="BHY31" s="25"/>
      <c r="BHZ31" s="25"/>
      <c r="BIA31" s="25"/>
      <c r="BIB31" s="25"/>
      <c r="BIC31" s="25"/>
      <c r="BID31" s="25"/>
      <c r="BIL31" s="25"/>
      <c r="BIM31" s="25"/>
      <c r="BIN31" s="25"/>
      <c r="BIO31" s="25"/>
      <c r="BIP31" s="25"/>
      <c r="BIQ31" s="25"/>
      <c r="BIR31" s="25"/>
      <c r="BIS31" s="25"/>
      <c r="BIT31" s="25"/>
      <c r="BIU31" s="25"/>
      <c r="BIV31" s="25"/>
      <c r="BIW31" s="25"/>
      <c r="BIX31" s="25"/>
      <c r="BIY31" s="25"/>
      <c r="BJG31" s="25"/>
      <c r="BJH31" s="25"/>
      <c r="BJI31" s="25"/>
      <c r="BJJ31" s="25"/>
      <c r="BJK31" s="25"/>
      <c r="BJL31" s="25"/>
      <c r="BJM31" s="25"/>
      <c r="BJN31" s="25"/>
      <c r="BJO31" s="25"/>
      <c r="BJP31" s="25"/>
      <c r="BJQ31" s="25"/>
      <c r="BJR31" s="25"/>
      <c r="BJS31" s="25"/>
      <c r="BJT31" s="25"/>
      <c r="BKB31" s="25"/>
      <c r="BKC31" s="25"/>
      <c r="BKD31" s="25"/>
      <c r="BKE31" s="25"/>
      <c r="BKF31" s="25"/>
      <c r="BKG31" s="25"/>
      <c r="BKH31" s="25"/>
      <c r="BKI31" s="25"/>
      <c r="BKJ31" s="25"/>
      <c r="BKK31" s="25"/>
      <c r="BKL31" s="25"/>
      <c r="BKM31" s="25"/>
      <c r="BKN31" s="25"/>
      <c r="BKO31" s="25"/>
      <c r="BKW31" s="25"/>
      <c r="BKX31" s="25"/>
      <c r="BKY31" s="25"/>
      <c r="BKZ31" s="25"/>
      <c r="BLA31" s="25"/>
      <c r="BLB31" s="25"/>
      <c r="BLC31" s="25"/>
      <c r="BLD31" s="25"/>
      <c r="BLE31" s="25"/>
      <c r="BLF31" s="25"/>
      <c r="BLG31" s="25"/>
      <c r="BLH31" s="25"/>
      <c r="BLI31" s="25"/>
      <c r="BLJ31" s="25"/>
      <c r="BLN31" s="25">
        <v>0</v>
      </c>
      <c r="BLQ31" s="25"/>
      <c r="BLR31" s="25"/>
      <c r="BLS31" s="25"/>
      <c r="BLT31" s="25"/>
      <c r="BLU31" s="25"/>
      <c r="BLV31" s="25"/>
      <c r="BLX31" s="25"/>
      <c r="BLY31" s="25"/>
      <c r="BLZ31" s="25"/>
      <c r="BMA31" s="25"/>
      <c r="BPI31" s="25"/>
      <c r="BPJ31" s="25"/>
      <c r="BPK31" s="25"/>
      <c r="BPL31" s="25"/>
      <c r="BPM31" s="25"/>
      <c r="BPN31" s="25"/>
      <c r="BPO31" s="25"/>
      <c r="BPW31" s="25"/>
      <c r="BPX31" s="25"/>
      <c r="BPY31" s="25"/>
      <c r="BPZ31" s="25"/>
      <c r="BQA31" s="25"/>
      <c r="BQB31" s="25"/>
      <c r="BQC31" s="25"/>
      <c r="BRR31" s="25"/>
      <c r="BRS31" s="25"/>
      <c r="BRT31" s="25"/>
      <c r="BRU31" s="25"/>
      <c r="BRV31" s="25"/>
      <c r="BRW31" s="25"/>
      <c r="BRX31" s="25"/>
      <c r="BRY31" s="25"/>
      <c r="BRZ31" s="25"/>
      <c r="BSA31" s="25"/>
      <c r="BSB31" s="25"/>
      <c r="BSC31" s="25"/>
      <c r="BSD31" s="25"/>
      <c r="BSE31" s="25"/>
      <c r="BSF31" s="25"/>
      <c r="BSG31" s="25"/>
      <c r="BSH31" s="25"/>
      <c r="BSI31" s="25"/>
      <c r="BSJ31" s="25"/>
      <c r="BSK31" s="25"/>
      <c r="BSL31" s="25"/>
      <c r="BSM31" s="25"/>
      <c r="BSN31" s="25"/>
      <c r="BSO31" s="25"/>
      <c r="BSP31" s="25"/>
      <c r="BSQ31" s="25"/>
      <c r="BSR31" s="25"/>
      <c r="BSS31" s="25"/>
      <c r="BTA31" s="25"/>
      <c r="BTB31" s="25"/>
      <c r="BTC31" s="25"/>
      <c r="BTD31" s="25"/>
      <c r="BTE31" s="25"/>
      <c r="BTF31" s="25"/>
      <c r="BTG31" s="25"/>
      <c r="BTH31" s="25"/>
      <c r="BTI31" s="25"/>
      <c r="BTJ31" s="25"/>
      <c r="BTK31" s="25"/>
      <c r="BTL31" s="25"/>
      <c r="BTM31" s="25"/>
      <c r="BTN31" s="25"/>
      <c r="BUQ31" s="25"/>
      <c r="BUR31" s="25"/>
      <c r="BUS31" s="25"/>
      <c r="BUT31" s="25"/>
      <c r="BUU31" s="25"/>
      <c r="BUV31" s="25"/>
      <c r="BUW31" s="25"/>
      <c r="BUX31" s="25"/>
      <c r="BUY31" s="25"/>
      <c r="BUZ31" s="25"/>
      <c r="BVA31" s="25"/>
      <c r="BVB31" s="25"/>
      <c r="BVC31" s="25"/>
      <c r="BVD31" s="25"/>
      <c r="BWC31" s="25" t="s">
        <v>28</v>
      </c>
      <c r="BWD31" s="25" t="s">
        <v>8265</v>
      </c>
      <c r="BWE31" s="25" t="s">
        <v>8357</v>
      </c>
      <c r="BWF31" s="25" t="s">
        <v>13723</v>
      </c>
      <c r="BWG31" s="25" t="s">
        <v>25</v>
      </c>
      <c r="BWH31" s="25" t="s">
        <v>2169</v>
      </c>
      <c r="BWI31" s="25" t="s">
        <v>28</v>
      </c>
      <c r="BWJ31" s="25" t="s">
        <v>8267</v>
      </c>
      <c r="BWK31" s="25" t="s">
        <v>28</v>
      </c>
      <c r="BWL31" s="56">
        <v>2500</v>
      </c>
      <c r="BWM31" s="25" t="s">
        <v>28</v>
      </c>
      <c r="BWN31" s="56">
        <v>2500</v>
      </c>
      <c r="BWO31" s="25" t="s">
        <v>25</v>
      </c>
      <c r="BWQ31" s="25" t="s">
        <v>25</v>
      </c>
      <c r="BWX31" s="25" t="s">
        <v>28</v>
      </c>
      <c r="BWY31" s="25" t="s">
        <v>8358</v>
      </c>
      <c r="BWZ31" s="25" t="s">
        <v>28</v>
      </c>
      <c r="BXA31" s="56">
        <v>20</v>
      </c>
      <c r="BXB31" s="25" t="s">
        <v>25</v>
      </c>
      <c r="BXD31" s="25" t="s">
        <v>28</v>
      </c>
      <c r="BXE31" s="25" t="s">
        <v>8358</v>
      </c>
      <c r="BXF31" s="25" t="s">
        <v>28</v>
      </c>
      <c r="BXG31" s="56">
        <v>20</v>
      </c>
      <c r="BXH31" s="25" t="s">
        <v>25</v>
      </c>
      <c r="BXJ31" s="25" t="s">
        <v>25</v>
      </c>
      <c r="BXM31" s="25" t="s">
        <v>2201</v>
      </c>
      <c r="BXN31" s="25" t="s">
        <v>8332</v>
      </c>
      <c r="BXO31" s="25" t="s">
        <v>8274</v>
      </c>
      <c r="BXP31" s="25" t="s">
        <v>8274</v>
      </c>
      <c r="BXQ31" s="25" t="s">
        <v>8274</v>
      </c>
      <c r="BXR31" s="25" t="s">
        <v>8274</v>
      </c>
      <c r="BXS31" s="25" t="s">
        <v>8274</v>
      </c>
      <c r="BXU31" s="25" t="s">
        <v>25</v>
      </c>
      <c r="BXW31" s="25" t="s">
        <v>28</v>
      </c>
      <c r="BYC31" s="25" t="s">
        <v>2169</v>
      </c>
      <c r="BYD31" s="25" t="s">
        <v>28</v>
      </c>
      <c r="BYE31" s="25" t="s">
        <v>13620</v>
      </c>
      <c r="BYF31" s="25" t="s">
        <v>8277</v>
      </c>
      <c r="BYH31" s="25" t="s">
        <v>8363</v>
      </c>
      <c r="BYK31" s="25" t="s">
        <v>28</v>
      </c>
      <c r="BYL31" s="25" t="s">
        <v>28</v>
      </c>
      <c r="BYN31" s="25" t="s">
        <v>28</v>
      </c>
      <c r="BYP31" s="25" t="s">
        <v>25</v>
      </c>
      <c r="BYR31" s="25" t="s">
        <v>28</v>
      </c>
      <c r="BYS31" s="25" t="s">
        <v>8279</v>
      </c>
      <c r="BYT31" s="25" t="s">
        <v>8279</v>
      </c>
      <c r="BYU31" s="25" t="s">
        <v>8279</v>
      </c>
      <c r="BYV31" s="25" t="s">
        <v>25</v>
      </c>
      <c r="BYW31" s="25" t="s">
        <v>28</v>
      </c>
      <c r="BYX31" s="56">
        <v>500</v>
      </c>
      <c r="BYY31" s="56">
        <v>1000</v>
      </c>
      <c r="BYZ31" s="25" t="s">
        <v>8408</v>
      </c>
      <c r="BZA31" s="25" t="s">
        <v>8947</v>
      </c>
      <c r="BZB31" s="25" t="s">
        <v>2269</v>
      </c>
      <c r="BZD31" s="25" t="s">
        <v>28</v>
      </c>
      <c r="BZE31" s="25" t="s">
        <v>28</v>
      </c>
      <c r="BZF31" s="25" t="s">
        <v>28</v>
      </c>
      <c r="BZG31" s="25" t="s">
        <v>25</v>
      </c>
      <c r="BZJ31" s="25" t="s">
        <v>25</v>
      </c>
      <c r="BZM31" s="25" t="s">
        <v>28</v>
      </c>
      <c r="BZN31" s="25" t="s">
        <v>8283</v>
      </c>
      <c r="BZP31" s="25" t="s">
        <v>8366</v>
      </c>
      <c r="BZQ31" s="56">
        <v>1000</v>
      </c>
      <c r="BZR31" s="25" t="s">
        <v>607</v>
      </c>
      <c r="BZS31" s="25" t="s">
        <v>25</v>
      </c>
      <c r="BZT31" s="25" t="s">
        <v>8337</v>
      </c>
      <c r="BZX31" s="25" t="s">
        <v>8393</v>
      </c>
      <c r="BZZ31" s="25" t="s">
        <v>25</v>
      </c>
      <c r="CAC31" s="25" t="s">
        <v>28</v>
      </c>
      <c r="CAD31" s="25" t="s">
        <v>8485</v>
      </c>
      <c r="CAE31" s="25" t="s">
        <v>28</v>
      </c>
      <c r="CAF31" s="25" t="s">
        <v>8948</v>
      </c>
      <c r="CAG31" s="25" t="s">
        <v>25</v>
      </c>
      <c r="CAH31" s="25" t="s">
        <v>631</v>
      </c>
      <c r="CAI31" s="25" t="s">
        <v>631</v>
      </c>
      <c r="CAJ31" s="25" t="s">
        <v>631</v>
      </c>
      <c r="CAK31" s="25" t="s">
        <v>631</v>
      </c>
      <c r="CAL31" s="25" t="s">
        <v>631</v>
      </c>
      <c r="CAM31" s="25" t="s">
        <v>8290</v>
      </c>
      <c r="CAN31" s="25" t="s">
        <v>631</v>
      </c>
      <c r="CAO31" s="25" t="s">
        <v>631</v>
      </c>
      <c r="CAP31" s="25" t="s">
        <v>8290</v>
      </c>
      <c r="CAR31" s="25" t="s">
        <v>8455</v>
      </c>
      <c r="CAT31" s="25" t="s">
        <v>25</v>
      </c>
      <c r="CBB31" s="25">
        <v>2</v>
      </c>
      <c r="CBE31" s="56">
        <v>50</v>
      </c>
      <c r="CBF31" s="56">
        <v>150</v>
      </c>
      <c r="CBG31" s="56">
        <v>50</v>
      </c>
      <c r="CBH31" s="56">
        <v>150</v>
      </c>
      <c r="CBI31" s="56">
        <v>2000</v>
      </c>
      <c r="CBK31" s="56">
        <v>0</v>
      </c>
      <c r="CBL31" s="56">
        <v>0</v>
      </c>
      <c r="CBM31" s="26">
        <v>0</v>
      </c>
      <c r="CBN31" s="26">
        <v>0</v>
      </c>
      <c r="CBO31" s="26">
        <v>0.1</v>
      </c>
      <c r="CBP31" s="26">
        <v>0.1</v>
      </c>
      <c r="CBQ31" s="26">
        <v>0.4</v>
      </c>
      <c r="CBR31" s="26">
        <v>0.4</v>
      </c>
      <c r="CBU31" s="27" t="s">
        <v>28</v>
      </c>
      <c r="CBV31" s="27" t="s">
        <v>8369</v>
      </c>
      <c r="CBW31" s="27" t="s">
        <v>8949</v>
      </c>
      <c r="CBX31" s="27" t="s">
        <v>8950</v>
      </c>
      <c r="CBY31" s="27" t="s">
        <v>8296</v>
      </c>
      <c r="CBZ31" s="27" t="s">
        <v>8296</v>
      </c>
      <c r="CCA31" s="27" t="s">
        <v>8297</v>
      </c>
      <c r="CCB31" s="27" t="s">
        <v>8298</v>
      </c>
      <c r="CCC31" s="27" t="s">
        <v>8296</v>
      </c>
      <c r="CCD31" s="27" t="s">
        <v>8297</v>
      </c>
      <c r="CCE31" s="27" t="s">
        <v>8297</v>
      </c>
      <c r="CCF31" s="27" t="s">
        <v>8297</v>
      </c>
      <c r="CCG31" s="27" t="s">
        <v>8297</v>
      </c>
      <c r="CCI31" s="27" t="s">
        <v>8296</v>
      </c>
      <c r="CCJ31" s="27" t="s">
        <v>8296</v>
      </c>
      <c r="CCK31" s="27" t="s">
        <v>8297</v>
      </c>
      <c r="CCL31" s="27" t="s">
        <v>8297</v>
      </c>
      <c r="CCN31" s="27" t="s">
        <v>8296</v>
      </c>
      <c r="CCP31" s="27" t="s">
        <v>8296</v>
      </c>
      <c r="CCQ31" s="27" t="s">
        <v>8296</v>
      </c>
      <c r="CCR31" s="27" t="s">
        <v>8297</v>
      </c>
      <c r="CCS31" s="27" t="s">
        <v>8296</v>
      </c>
      <c r="CCT31" s="27" t="s">
        <v>8296</v>
      </c>
      <c r="CCU31" s="27" t="s">
        <v>8298</v>
      </c>
      <c r="CCV31" s="27" t="s">
        <v>8298</v>
      </c>
      <c r="CCW31" s="27" t="s">
        <v>8298</v>
      </c>
      <c r="CCX31" s="27" t="s">
        <v>8298</v>
      </c>
      <c r="CCY31" s="27" t="s">
        <v>8298</v>
      </c>
      <c r="CCZ31" s="27" t="s">
        <v>28</v>
      </c>
      <c r="CDA31" s="27" t="s">
        <v>28</v>
      </c>
      <c r="CDB31" s="27" t="s">
        <v>28</v>
      </c>
      <c r="CDC31" s="27" t="s">
        <v>28</v>
      </c>
      <c r="CDD31" s="27" t="s">
        <v>28</v>
      </c>
      <c r="CDE31" s="27" t="s">
        <v>28</v>
      </c>
      <c r="CDF31" s="27" t="s">
        <v>28</v>
      </c>
      <c r="CDG31" s="27" t="s">
        <v>28</v>
      </c>
      <c r="CDH31" s="27" t="s">
        <v>28</v>
      </c>
      <c r="CDJ31" s="27" t="s">
        <v>28</v>
      </c>
      <c r="CDK31" s="27" t="s">
        <v>28</v>
      </c>
      <c r="CDL31" s="27" t="s">
        <v>28</v>
      </c>
      <c r="CDM31" s="27" t="s">
        <v>28</v>
      </c>
      <c r="CDO31" s="27" t="s">
        <v>28</v>
      </c>
      <c r="CDQ31" s="27" t="s">
        <v>28</v>
      </c>
      <c r="CDR31" s="27" t="s">
        <v>28</v>
      </c>
      <c r="CDS31" s="27" t="s">
        <v>28</v>
      </c>
      <c r="CDT31" s="27" t="s">
        <v>28</v>
      </c>
      <c r="CDU31" s="27" t="s">
        <v>28</v>
      </c>
      <c r="CDV31" s="27" t="s">
        <v>28</v>
      </c>
      <c r="CDW31" s="27" t="s">
        <v>28</v>
      </c>
      <c r="CDX31" s="27" t="s">
        <v>28</v>
      </c>
      <c r="CDY31" s="27" t="s">
        <v>28</v>
      </c>
      <c r="CDZ31" s="27" t="s">
        <v>28</v>
      </c>
      <c r="CED31" s="27" t="s">
        <v>8302</v>
      </c>
      <c r="CEF31" s="27" t="s">
        <v>8301</v>
      </c>
      <c r="CEK31" s="27" t="s">
        <v>8302</v>
      </c>
      <c r="CEL31" s="27" t="s">
        <v>8303</v>
      </c>
      <c r="CEW31" s="27" t="s">
        <v>8306</v>
      </c>
      <c r="CEX31" s="27" t="s">
        <v>8303</v>
      </c>
      <c r="CEY31" s="27" t="s">
        <v>8302</v>
      </c>
      <c r="CEZ31" s="27" t="s">
        <v>8306</v>
      </c>
      <c r="CFA31" s="27" t="s">
        <v>8306</v>
      </c>
      <c r="CFM31" s="27" t="s">
        <v>28</v>
      </c>
      <c r="CFV31" s="27" t="s">
        <v>28</v>
      </c>
      <c r="CFX31" s="27" t="s">
        <v>28</v>
      </c>
      <c r="CFY31" s="27" t="s">
        <v>28</v>
      </c>
      <c r="CPW31" s="27">
        <v>2</v>
      </c>
      <c r="CPX31" s="56">
        <v>10</v>
      </c>
      <c r="CQB31" s="25" t="s">
        <v>8307</v>
      </c>
      <c r="CQC31" s="25" t="s">
        <v>8307</v>
      </c>
      <c r="CQD31" s="25" t="s">
        <v>8307</v>
      </c>
      <c r="CQE31" s="25" t="s">
        <v>8307</v>
      </c>
      <c r="CQF31" s="25" t="s">
        <v>8307</v>
      </c>
      <c r="CQH31" s="56">
        <v>150</v>
      </c>
      <c r="CQI31" s="56">
        <v>150</v>
      </c>
      <c r="CQJ31" s="56">
        <v>150</v>
      </c>
      <c r="CQK31" s="56">
        <v>150</v>
      </c>
      <c r="CQL31" s="25" t="s">
        <v>13697</v>
      </c>
      <c r="CQM31" s="25" t="s">
        <v>8345</v>
      </c>
      <c r="CQN31" s="25" t="s">
        <v>28</v>
      </c>
      <c r="CQO31" s="25" t="s">
        <v>8309</v>
      </c>
      <c r="CQQ31" s="25" t="s">
        <v>8851</v>
      </c>
      <c r="CQR31" s="25" t="s">
        <v>8951</v>
      </c>
      <c r="CQS31" s="25" t="s">
        <v>25</v>
      </c>
      <c r="CQT31" s="25" t="s">
        <v>8313</v>
      </c>
      <c r="CQU31" s="25" t="s">
        <v>8313</v>
      </c>
      <c r="CQV31" s="25" t="s">
        <v>8313</v>
      </c>
      <c r="CQW31" s="25" t="s">
        <v>8313</v>
      </c>
      <c r="CQX31" s="25" t="s">
        <v>8312</v>
      </c>
      <c r="CQY31" s="25" t="s">
        <v>8313</v>
      </c>
      <c r="CQZ31" s="25" t="s">
        <v>8312</v>
      </c>
      <c r="CRA31" s="25" t="s">
        <v>8312</v>
      </c>
      <c r="CRB31" s="25" t="s">
        <v>8314</v>
      </c>
      <c r="CRC31" s="25" t="s">
        <v>8314</v>
      </c>
      <c r="CRD31" s="25" t="s">
        <v>8313</v>
      </c>
      <c r="CRE31" s="27" t="s">
        <v>8314</v>
      </c>
    </row>
    <row r="32" spans="1:2501" ht="89.25" x14ac:dyDescent="0.2">
      <c r="A32" s="21" t="s">
        <v>124</v>
      </c>
      <c r="B32" s="26">
        <v>0.37</v>
      </c>
      <c r="C32" s="26">
        <v>0.04</v>
      </c>
      <c r="D32" s="26">
        <v>0.18</v>
      </c>
      <c r="E32" s="26">
        <v>0.36</v>
      </c>
      <c r="F32" s="26">
        <v>0</v>
      </c>
      <c r="G32" s="26">
        <v>0</v>
      </c>
      <c r="H32" s="26">
        <v>0</v>
      </c>
      <c r="I32" s="26">
        <v>0</v>
      </c>
      <c r="J32" s="26">
        <v>0</v>
      </c>
      <c r="K32" s="26">
        <v>0</v>
      </c>
      <c r="L32" s="26">
        <v>0</v>
      </c>
      <c r="M32" s="26">
        <v>0.05</v>
      </c>
      <c r="N32" s="26">
        <v>0</v>
      </c>
      <c r="O32" s="26">
        <v>0.06</v>
      </c>
      <c r="P32" s="26">
        <v>0</v>
      </c>
      <c r="Q32" s="26">
        <v>0.12</v>
      </c>
      <c r="R32" s="26">
        <v>0</v>
      </c>
      <c r="S32" s="26">
        <v>0</v>
      </c>
      <c r="T32" s="26">
        <v>0</v>
      </c>
      <c r="U32" s="26">
        <v>0</v>
      </c>
      <c r="V32" s="26">
        <v>0</v>
      </c>
      <c r="W32" s="26">
        <v>0</v>
      </c>
      <c r="X32" s="26">
        <v>0</v>
      </c>
      <c r="Y32" s="26">
        <v>0.82</v>
      </c>
      <c r="Z32" s="25">
        <v>1</v>
      </c>
      <c r="AA32" s="25" t="s">
        <v>8444</v>
      </c>
      <c r="AC32" s="56">
        <v>1600</v>
      </c>
      <c r="AD32" s="56">
        <v>3200</v>
      </c>
      <c r="AE32" s="56">
        <v>3200</v>
      </c>
      <c r="AF32" s="56">
        <v>6400</v>
      </c>
      <c r="AI32" s="25" t="s">
        <v>8246</v>
      </c>
      <c r="AJ32" s="56">
        <v>250</v>
      </c>
      <c r="AK32" s="56">
        <v>500</v>
      </c>
      <c r="AL32" s="56">
        <v>500</v>
      </c>
      <c r="AM32" s="56">
        <v>1000</v>
      </c>
      <c r="AN32" s="25" t="s">
        <v>8350</v>
      </c>
      <c r="AO32" s="25" t="s">
        <v>8248</v>
      </c>
      <c r="BB32" s="25" t="s">
        <v>8249</v>
      </c>
      <c r="DO32" s="25" t="s">
        <v>25</v>
      </c>
      <c r="DP32" s="25" t="s">
        <v>25</v>
      </c>
      <c r="DR32" s="25" t="s">
        <v>25</v>
      </c>
      <c r="DT32" s="25" t="s">
        <v>13417</v>
      </c>
      <c r="DU32" s="25" t="s">
        <v>13420</v>
      </c>
      <c r="DV32" s="56">
        <v>25</v>
      </c>
      <c r="DW32" s="56">
        <v>35</v>
      </c>
      <c r="EA32" s="56">
        <v>25</v>
      </c>
      <c r="EE32" s="26">
        <v>0.1</v>
      </c>
      <c r="EF32" s="26">
        <v>0.1</v>
      </c>
      <c r="EG32" s="26">
        <v>0.1</v>
      </c>
      <c r="EQ32" s="26">
        <v>0.3</v>
      </c>
      <c r="ER32" s="26">
        <v>0.3</v>
      </c>
      <c r="ES32" s="26">
        <v>0.3</v>
      </c>
      <c r="ET32" s="26">
        <v>0.1</v>
      </c>
      <c r="EU32" s="26">
        <v>0.3</v>
      </c>
      <c r="EX32" s="25" t="s">
        <v>8250</v>
      </c>
      <c r="EY32" s="25" t="s">
        <v>8250</v>
      </c>
      <c r="EZ32" s="25" t="s">
        <v>8250</v>
      </c>
      <c r="FA32" s="25" t="s">
        <v>8250</v>
      </c>
      <c r="FB32" s="25" t="s">
        <v>8250</v>
      </c>
      <c r="FC32" s="25" t="s">
        <v>8250</v>
      </c>
      <c r="FE32" s="25" t="s">
        <v>25</v>
      </c>
      <c r="FF32" s="25" t="s">
        <v>25</v>
      </c>
      <c r="FG32" s="25" t="s">
        <v>25</v>
      </c>
      <c r="FH32" s="25" t="s">
        <v>25</v>
      </c>
      <c r="FI32" s="25" t="s">
        <v>25</v>
      </c>
      <c r="FJ32" s="25" t="s">
        <v>25</v>
      </c>
      <c r="FL32" s="25" t="s">
        <v>13810</v>
      </c>
      <c r="FM32" s="25" t="s">
        <v>13810</v>
      </c>
      <c r="FN32" s="25" t="s">
        <v>13810</v>
      </c>
      <c r="FO32" s="25" t="s">
        <v>13810</v>
      </c>
      <c r="FV32" s="25" t="s">
        <v>8317</v>
      </c>
      <c r="FW32" s="25" t="s">
        <v>8317</v>
      </c>
      <c r="FX32" s="25" t="s">
        <v>8317</v>
      </c>
      <c r="FY32" s="25" t="s">
        <v>13454</v>
      </c>
      <c r="HG32" s="57">
        <v>0.1</v>
      </c>
      <c r="HH32" s="57">
        <v>0.1</v>
      </c>
      <c r="HI32" s="57">
        <v>0.1</v>
      </c>
      <c r="HL32" s="57">
        <v>0.1</v>
      </c>
      <c r="HN32" s="58">
        <v>10</v>
      </c>
      <c r="HO32" s="56">
        <v>50</v>
      </c>
      <c r="HP32" s="56">
        <v>25</v>
      </c>
      <c r="HQ32" s="56">
        <v>50</v>
      </c>
      <c r="HR32" s="56">
        <v>40</v>
      </c>
      <c r="HS32" s="56">
        <v>50</v>
      </c>
      <c r="HY32" s="56">
        <v>50</v>
      </c>
      <c r="IB32" s="26">
        <v>0.5</v>
      </c>
      <c r="IC32" s="26">
        <v>0.5</v>
      </c>
      <c r="ID32" s="26">
        <v>0.5</v>
      </c>
      <c r="IG32" s="26">
        <v>0.5</v>
      </c>
      <c r="IW32" s="26">
        <v>0.1</v>
      </c>
      <c r="IX32" s="26">
        <v>0.1</v>
      </c>
      <c r="IY32" s="26">
        <v>0.1</v>
      </c>
      <c r="JD32" s="56">
        <v>20</v>
      </c>
      <c r="JE32" s="56">
        <v>100</v>
      </c>
      <c r="JF32" s="56">
        <v>50</v>
      </c>
      <c r="JG32" s="56">
        <v>100</v>
      </c>
      <c r="JH32" s="56">
        <v>80</v>
      </c>
      <c r="JI32" s="56">
        <v>100</v>
      </c>
      <c r="KM32" s="25" t="s">
        <v>8255</v>
      </c>
      <c r="KN32" s="25" t="s">
        <v>8256</v>
      </c>
      <c r="KO32" s="25" t="s">
        <v>8321</v>
      </c>
      <c r="KP32" s="25">
        <v>1</v>
      </c>
      <c r="KQ32" s="25" t="s">
        <v>8445</v>
      </c>
      <c r="KS32" s="56">
        <v>3000</v>
      </c>
      <c r="KT32" s="56">
        <v>6000</v>
      </c>
      <c r="KU32" s="56">
        <v>6000</v>
      </c>
      <c r="KV32" s="56">
        <v>12000</v>
      </c>
      <c r="KY32" s="25" t="s">
        <v>8246</v>
      </c>
      <c r="KZ32" s="56">
        <v>1400</v>
      </c>
      <c r="LA32" s="56">
        <v>2800</v>
      </c>
      <c r="LB32" s="56">
        <v>2700</v>
      </c>
      <c r="LC32" s="56">
        <v>5400</v>
      </c>
      <c r="LD32" s="25" t="s">
        <v>8247</v>
      </c>
      <c r="LE32" s="25" t="s">
        <v>8248</v>
      </c>
      <c r="LR32" s="25" t="s">
        <v>8249</v>
      </c>
      <c r="OE32" s="25" t="s">
        <v>25</v>
      </c>
      <c r="OF32" s="25" t="s">
        <v>25</v>
      </c>
      <c r="OH32" s="25" t="s">
        <v>25</v>
      </c>
      <c r="OJ32" s="25" t="s">
        <v>13420</v>
      </c>
      <c r="OK32" s="25" t="s">
        <v>13420</v>
      </c>
      <c r="OS32" s="26">
        <v>0.2</v>
      </c>
      <c r="OT32" s="26">
        <v>0.2</v>
      </c>
      <c r="OU32" s="26">
        <v>0.2</v>
      </c>
      <c r="OV32" s="26">
        <v>0.2</v>
      </c>
      <c r="OW32" s="26">
        <v>0.2</v>
      </c>
      <c r="PG32" s="26">
        <v>0.4</v>
      </c>
      <c r="PH32" s="26">
        <v>0.4</v>
      </c>
      <c r="PI32" s="26">
        <v>0.4</v>
      </c>
      <c r="PJ32" s="26">
        <v>0.4</v>
      </c>
      <c r="PK32" s="26">
        <v>0.4</v>
      </c>
      <c r="PN32" s="25" t="s">
        <v>8250</v>
      </c>
      <c r="PO32" s="25" t="s">
        <v>8250</v>
      </c>
      <c r="PP32" s="25" t="s">
        <v>8250</v>
      </c>
      <c r="PQ32" s="25" t="s">
        <v>8250</v>
      </c>
      <c r="PR32" s="25" t="s">
        <v>8250</v>
      </c>
      <c r="PU32" s="25" t="s">
        <v>25</v>
      </c>
      <c r="PV32" s="25" t="s">
        <v>25</v>
      </c>
      <c r="PW32" s="25" t="s">
        <v>25</v>
      </c>
      <c r="PX32" s="25" t="s">
        <v>25</v>
      </c>
      <c r="PY32" s="25" t="s">
        <v>25</v>
      </c>
      <c r="PZ32" s="25" t="s">
        <v>25</v>
      </c>
      <c r="QB32" s="25" t="s">
        <v>13810</v>
      </c>
      <c r="QC32" s="25" t="s">
        <v>13810</v>
      </c>
      <c r="QD32" s="25" t="s">
        <v>13810</v>
      </c>
      <c r="QE32" s="25" t="s">
        <v>13810</v>
      </c>
      <c r="QL32" s="25" t="s">
        <v>8317</v>
      </c>
      <c r="QM32" s="25" t="s">
        <v>8317</v>
      </c>
      <c r="QN32" s="25" t="s">
        <v>8317</v>
      </c>
      <c r="QO32" s="25" t="s">
        <v>8317</v>
      </c>
      <c r="RW32" s="26">
        <v>0.2</v>
      </c>
      <c r="RX32" s="26">
        <v>0.2</v>
      </c>
      <c r="RY32" s="26">
        <v>0.2</v>
      </c>
      <c r="SB32" s="26">
        <v>0.2</v>
      </c>
      <c r="SR32" s="26">
        <v>0.4</v>
      </c>
      <c r="SS32" s="26">
        <v>0.4</v>
      </c>
      <c r="ST32" s="26">
        <v>0.4</v>
      </c>
      <c r="SW32" s="26">
        <v>0.4</v>
      </c>
      <c r="TM32" s="26">
        <v>0.2</v>
      </c>
      <c r="TN32" s="26">
        <v>0.2</v>
      </c>
      <c r="TO32" s="26">
        <v>0.2</v>
      </c>
      <c r="UH32" s="26">
        <v>1</v>
      </c>
      <c r="UI32" s="26">
        <v>1</v>
      </c>
      <c r="UJ32" s="26">
        <v>1</v>
      </c>
      <c r="VC32" s="25" t="s">
        <v>8255</v>
      </c>
      <c r="VD32" s="25" t="s">
        <v>8256</v>
      </c>
      <c r="VE32" s="25" t="s">
        <v>8321</v>
      </c>
      <c r="VF32" s="25">
        <v>1</v>
      </c>
      <c r="VG32" s="25" t="s">
        <v>8446</v>
      </c>
      <c r="VI32" s="56">
        <v>2000</v>
      </c>
      <c r="VJ32" s="56">
        <v>4000</v>
      </c>
      <c r="VO32" s="25" t="s">
        <v>8447</v>
      </c>
      <c r="VP32" s="56">
        <v>0</v>
      </c>
      <c r="VQ32" s="56">
        <v>0</v>
      </c>
      <c r="VR32" s="56">
        <v>0</v>
      </c>
      <c r="VS32" s="56">
        <v>0</v>
      </c>
      <c r="VT32" s="25" t="s">
        <v>8248</v>
      </c>
      <c r="WG32" s="25" t="s">
        <v>8249</v>
      </c>
      <c r="YT32" s="25" t="s">
        <v>25</v>
      </c>
      <c r="YU32" s="25" t="s">
        <v>25</v>
      </c>
      <c r="YW32" s="25" t="s">
        <v>25</v>
      </c>
      <c r="YY32" s="25" t="s">
        <v>13426</v>
      </c>
      <c r="ZA32" s="56">
        <v>20</v>
      </c>
      <c r="ZB32" s="56">
        <v>30</v>
      </c>
      <c r="ZE32" s="56">
        <v>50</v>
      </c>
      <c r="ZF32" s="56">
        <v>35</v>
      </c>
      <c r="AAC32" s="25" t="s">
        <v>8250</v>
      </c>
      <c r="AAD32" s="25" t="s">
        <v>8250</v>
      </c>
      <c r="AAE32" s="25" t="s">
        <v>8250</v>
      </c>
      <c r="AAF32" s="25" t="s">
        <v>8250</v>
      </c>
      <c r="AAG32" s="25" t="s">
        <v>8250</v>
      </c>
      <c r="AAJ32" s="25" t="s">
        <v>25</v>
      </c>
      <c r="AAK32" s="25" t="s">
        <v>25</v>
      </c>
      <c r="AAL32" s="25" t="s">
        <v>25</v>
      </c>
      <c r="AAM32" s="25" t="s">
        <v>25</v>
      </c>
      <c r="AAN32" s="25" t="s">
        <v>25</v>
      </c>
      <c r="AAO32" s="25" t="s">
        <v>25</v>
      </c>
      <c r="AAQ32" s="25" t="s">
        <v>13810</v>
      </c>
      <c r="AAR32" s="25" t="s">
        <v>13810</v>
      </c>
      <c r="AAS32" s="25" t="s">
        <v>13810</v>
      </c>
      <c r="AAT32" s="25" t="s">
        <v>13810</v>
      </c>
      <c r="ABA32" s="25" t="s">
        <v>8317</v>
      </c>
      <c r="ABB32" s="25" t="s">
        <v>8317</v>
      </c>
      <c r="ABC32" s="25" t="s">
        <v>8317</v>
      </c>
      <c r="ABD32" s="25" t="s">
        <v>8424</v>
      </c>
      <c r="ACL32" s="26">
        <v>0.1</v>
      </c>
      <c r="ACM32" s="26">
        <v>0.1</v>
      </c>
      <c r="ACN32" s="26">
        <v>0.1</v>
      </c>
      <c r="ACT32" s="56">
        <v>50</v>
      </c>
      <c r="ACV32" s="56">
        <v>50</v>
      </c>
      <c r="ACX32" s="56">
        <v>50</v>
      </c>
      <c r="AEB32" s="26">
        <v>0.1</v>
      </c>
      <c r="AEC32" s="26">
        <v>0.1</v>
      </c>
      <c r="AED32" s="26">
        <v>0.1</v>
      </c>
      <c r="AEG32" s="26">
        <v>0.1</v>
      </c>
      <c r="AEI32" s="56">
        <v>20</v>
      </c>
      <c r="AEJ32" s="56">
        <v>100</v>
      </c>
      <c r="AEK32" s="56">
        <v>50</v>
      </c>
      <c r="AEL32" s="56">
        <v>100</v>
      </c>
      <c r="AEM32" s="56">
        <v>80</v>
      </c>
      <c r="AEN32" s="56">
        <v>100</v>
      </c>
      <c r="AET32" s="56">
        <v>50</v>
      </c>
      <c r="AEW32" s="26">
        <v>0.1</v>
      </c>
      <c r="AEX32" s="26">
        <v>0.1</v>
      </c>
      <c r="AEY32" s="26">
        <v>0.1</v>
      </c>
      <c r="AFD32" s="56">
        <v>20</v>
      </c>
      <c r="AFE32" s="56">
        <v>100</v>
      </c>
      <c r="AFF32" s="56">
        <v>50</v>
      </c>
      <c r="AFG32" s="56">
        <v>100</v>
      </c>
      <c r="AFH32" s="56">
        <v>80</v>
      </c>
      <c r="AFI32" s="56">
        <v>100</v>
      </c>
      <c r="AFR32" s="25" t="s">
        <v>8255</v>
      </c>
      <c r="AFS32" s="25" t="s">
        <v>8256</v>
      </c>
      <c r="AFU32" s="25">
        <v>0</v>
      </c>
      <c r="AFX32" s="25"/>
      <c r="AFY32" s="25"/>
      <c r="AFZ32" s="25"/>
      <c r="AGA32" s="25"/>
      <c r="AGB32" s="25"/>
      <c r="AGC32" s="25"/>
      <c r="AGE32" s="25"/>
      <c r="AGF32" s="25"/>
      <c r="AGG32" s="25"/>
      <c r="AGH32" s="25"/>
      <c r="AJP32" s="25"/>
      <c r="AJQ32" s="25"/>
      <c r="AJR32" s="25"/>
      <c r="AJS32" s="25"/>
      <c r="AJT32" s="25"/>
      <c r="AJU32" s="25"/>
      <c r="AJV32" s="25"/>
      <c r="AKD32" s="25"/>
      <c r="AKE32" s="25"/>
      <c r="AKF32" s="25"/>
      <c r="AKG32" s="25"/>
      <c r="AKH32" s="25"/>
      <c r="AKI32" s="25"/>
      <c r="AKJ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H32" s="25"/>
      <c r="ANI32" s="25"/>
      <c r="ANJ32" s="25"/>
      <c r="ANK32" s="25"/>
      <c r="ANL32" s="25"/>
      <c r="ANM32" s="25"/>
      <c r="ANN32" s="25"/>
      <c r="ANO32" s="25"/>
      <c r="ANP32" s="25"/>
      <c r="ANQ32" s="25"/>
      <c r="ANR32" s="25"/>
      <c r="ANS32" s="25"/>
      <c r="ANT32" s="25"/>
      <c r="ANU32" s="25"/>
      <c r="AOC32" s="25"/>
      <c r="AOD32" s="25"/>
      <c r="AOE32" s="25"/>
      <c r="AOF32" s="25"/>
      <c r="AOG32" s="25"/>
      <c r="AOH32" s="25"/>
      <c r="AOI32" s="25"/>
      <c r="AOJ32" s="25"/>
      <c r="AOK32" s="25"/>
      <c r="AOL32" s="25"/>
      <c r="AOM32" s="25"/>
      <c r="AON32" s="25"/>
      <c r="AOO32" s="25"/>
      <c r="AOP32" s="25"/>
      <c r="AOX32" s="25"/>
      <c r="AOY32" s="25"/>
      <c r="AOZ32" s="25"/>
      <c r="APA32" s="25"/>
      <c r="APB32" s="25"/>
      <c r="APC32" s="25"/>
      <c r="APD32" s="25"/>
      <c r="APE32" s="25"/>
      <c r="APF32" s="25"/>
      <c r="APG32" s="25"/>
      <c r="APH32" s="25"/>
      <c r="API32" s="25"/>
      <c r="APJ32" s="25"/>
      <c r="APK32" s="25"/>
      <c r="APS32" s="25"/>
      <c r="APT32" s="25"/>
      <c r="APU32" s="25"/>
      <c r="APV32" s="25"/>
      <c r="APW32" s="25"/>
      <c r="APX32" s="25"/>
      <c r="APY32" s="25"/>
      <c r="APZ32" s="25"/>
      <c r="AQA32" s="25"/>
      <c r="AQB32" s="25"/>
      <c r="AQC32" s="25"/>
      <c r="AQD32" s="25"/>
      <c r="AQE32" s="25"/>
      <c r="AQF32" s="25"/>
      <c r="AQJ32" s="25">
        <v>3</v>
      </c>
      <c r="AQK32" s="25" t="s">
        <v>8448</v>
      </c>
      <c r="AQL32" s="25" t="s">
        <v>8449</v>
      </c>
      <c r="AQM32" s="56">
        <v>1500</v>
      </c>
      <c r="AQN32" s="56">
        <v>3000</v>
      </c>
      <c r="AQS32" s="25" t="s">
        <v>8356</v>
      </c>
      <c r="AQT32" s="56">
        <v>0</v>
      </c>
      <c r="AQU32" s="56">
        <v>0</v>
      </c>
      <c r="AQX32" s="25" t="s">
        <v>8248</v>
      </c>
      <c r="ARK32" s="25" t="s">
        <v>8249</v>
      </c>
      <c r="ATX32" s="25" t="s">
        <v>25</v>
      </c>
      <c r="ATY32" s="25" t="s">
        <v>25</v>
      </c>
      <c r="AUA32" s="25" t="s">
        <v>25</v>
      </c>
      <c r="AUC32" s="25" t="s">
        <v>13417</v>
      </c>
      <c r="AUE32" s="56">
        <v>20</v>
      </c>
      <c r="AUF32" s="56">
        <v>30</v>
      </c>
      <c r="AUG32" s="56">
        <v>20</v>
      </c>
      <c r="AUH32" s="56">
        <v>75</v>
      </c>
      <c r="AUI32" s="56">
        <v>20</v>
      </c>
      <c r="AUJ32" s="56">
        <v>0</v>
      </c>
      <c r="AVG32" s="25" t="s">
        <v>8250</v>
      </c>
      <c r="AVH32" s="25" t="s">
        <v>8250</v>
      </c>
      <c r="AVI32" s="25" t="s">
        <v>8250</v>
      </c>
      <c r="AVJ32" s="25" t="s">
        <v>8250</v>
      </c>
      <c r="AVK32" s="25" t="s">
        <v>8250</v>
      </c>
      <c r="AVL32" s="25" t="s">
        <v>8250</v>
      </c>
      <c r="AVN32" s="25" t="s">
        <v>25</v>
      </c>
      <c r="AVO32" s="25" t="s">
        <v>25</v>
      </c>
      <c r="AVP32" s="25" t="s">
        <v>25</v>
      </c>
      <c r="AVQ32" s="25" t="s">
        <v>25</v>
      </c>
      <c r="AVR32" s="25" t="s">
        <v>25</v>
      </c>
      <c r="AVS32" s="25" t="s">
        <v>25</v>
      </c>
      <c r="AVU32" s="25" t="s">
        <v>13810</v>
      </c>
      <c r="AVV32" s="25" t="s">
        <v>13810</v>
      </c>
      <c r="AVW32" s="25" t="s">
        <v>13810</v>
      </c>
      <c r="AVX32" s="25" t="s">
        <v>8252</v>
      </c>
      <c r="AWN32" s="56">
        <v>10</v>
      </c>
      <c r="AWP32" s="56">
        <v>20</v>
      </c>
      <c r="AWR32" s="56">
        <v>20</v>
      </c>
      <c r="AWT32" s="56">
        <v>40</v>
      </c>
      <c r="AXH32" s="56">
        <v>20</v>
      </c>
      <c r="BAV32" s="25" t="s">
        <v>8255</v>
      </c>
      <c r="BAW32" s="25" t="s">
        <v>8256</v>
      </c>
      <c r="BAY32" s="25">
        <v>0</v>
      </c>
      <c r="BBB32" s="25"/>
      <c r="BBC32" s="25"/>
      <c r="BBD32" s="25"/>
      <c r="BBE32" s="25"/>
      <c r="BBF32" s="25"/>
      <c r="BBG32" s="25"/>
      <c r="BBI32" s="25"/>
      <c r="BBJ32" s="25"/>
      <c r="BBK32" s="25"/>
      <c r="BBL32" s="25"/>
      <c r="BET32" s="25"/>
      <c r="BEU32" s="25"/>
      <c r="BEV32" s="25"/>
      <c r="BEW32" s="25"/>
      <c r="BEX32" s="25"/>
      <c r="BEY32" s="25"/>
      <c r="BEZ32" s="25"/>
      <c r="BFH32" s="25"/>
      <c r="BFI32" s="25"/>
      <c r="BFJ32" s="25"/>
      <c r="BFK32" s="25"/>
      <c r="BFL32" s="25"/>
      <c r="BFM32" s="25"/>
      <c r="BFN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L32" s="25"/>
      <c r="BIM32" s="25"/>
      <c r="BIN32" s="25"/>
      <c r="BIO32" s="25"/>
      <c r="BIP32" s="25"/>
      <c r="BIQ32" s="25"/>
      <c r="BIR32" s="25"/>
      <c r="BIS32" s="25"/>
      <c r="BIT32" s="25"/>
      <c r="BIU32" s="25"/>
      <c r="BIV32" s="25"/>
      <c r="BIW32" s="25"/>
      <c r="BIX32" s="25"/>
      <c r="BIY32" s="25"/>
      <c r="BJG32" s="25"/>
      <c r="BJH32" s="25"/>
      <c r="BJI32" s="25"/>
      <c r="BJJ32" s="25"/>
      <c r="BJK32" s="25"/>
      <c r="BJL32" s="25"/>
      <c r="BJM32" s="25"/>
      <c r="BJN32" s="25"/>
      <c r="BJO32" s="25"/>
      <c r="BJP32" s="25"/>
      <c r="BJQ32" s="25"/>
      <c r="BJR32" s="25"/>
      <c r="BJS32" s="25"/>
      <c r="BJT32" s="25"/>
      <c r="BKB32" s="25"/>
      <c r="BKC32" s="25"/>
      <c r="BKD32" s="25"/>
      <c r="BKE32" s="25"/>
      <c r="BKF32" s="25"/>
      <c r="BKG32" s="25"/>
      <c r="BKH32" s="25"/>
      <c r="BKI32" s="25"/>
      <c r="BKJ32" s="25"/>
      <c r="BKK32" s="25"/>
      <c r="BKL32" s="25"/>
      <c r="BKM32" s="25"/>
      <c r="BKN32" s="25"/>
      <c r="BKO32" s="25"/>
      <c r="BKW32" s="25"/>
      <c r="BKX32" s="25"/>
      <c r="BKY32" s="25"/>
      <c r="BKZ32" s="25"/>
      <c r="BLA32" s="25"/>
      <c r="BLB32" s="25"/>
      <c r="BLC32" s="25"/>
      <c r="BLD32" s="25"/>
      <c r="BLE32" s="25"/>
      <c r="BLF32" s="25"/>
      <c r="BLG32" s="25"/>
      <c r="BLH32" s="25"/>
      <c r="BLI32" s="25"/>
      <c r="BLJ32" s="25"/>
      <c r="BLN32" s="25">
        <v>1</v>
      </c>
      <c r="BLO32" s="25" t="s">
        <v>8450</v>
      </c>
      <c r="BLQ32" s="56">
        <v>1600</v>
      </c>
      <c r="BLR32" s="56">
        <v>3200</v>
      </c>
      <c r="BLS32" s="56">
        <v>3200</v>
      </c>
      <c r="BLT32" s="56">
        <v>6400</v>
      </c>
      <c r="BLW32" s="25" t="s">
        <v>8246</v>
      </c>
      <c r="BLX32" s="56">
        <v>250</v>
      </c>
      <c r="BLY32" s="56">
        <v>500</v>
      </c>
      <c r="BLZ32" s="56">
        <v>500</v>
      </c>
      <c r="BMA32" s="56">
        <v>1000</v>
      </c>
      <c r="BMB32" s="25" t="s">
        <v>8248</v>
      </c>
      <c r="BMO32" s="25" t="s">
        <v>8249</v>
      </c>
      <c r="BPB32" s="25" t="s">
        <v>25</v>
      </c>
      <c r="BPC32" s="25" t="s">
        <v>25</v>
      </c>
      <c r="BPE32" s="25" t="s">
        <v>25</v>
      </c>
      <c r="BPG32" s="25" t="s">
        <v>13417</v>
      </c>
      <c r="BPH32" s="25" t="s">
        <v>13417</v>
      </c>
      <c r="BPI32" s="56">
        <v>25</v>
      </c>
      <c r="BPJ32" s="56">
        <v>35</v>
      </c>
      <c r="BPR32" s="26">
        <v>0.1</v>
      </c>
      <c r="BPS32" s="26">
        <v>0.1</v>
      </c>
      <c r="BPT32" s="26">
        <v>0.1</v>
      </c>
      <c r="BPU32" s="26">
        <v>0.1</v>
      </c>
      <c r="BPW32" s="56">
        <v>25</v>
      </c>
      <c r="BPX32" s="56">
        <v>35</v>
      </c>
      <c r="BQF32" s="26">
        <v>0.1</v>
      </c>
      <c r="BQG32" s="26">
        <v>0.1</v>
      </c>
      <c r="BQH32" s="26">
        <v>0.1</v>
      </c>
      <c r="BQI32" s="26">
        <v>0.1</v>
      </c>
      <c r="BQK32" s="25" t="s">
        <v>8250</v>
      </c>
      <c r="BQL32" s="25" t="s">
        <v>8250</v>
      </c>
      <c r="BQM32" s="25" t="s">
        <v>8250</v>
      </c>
      <c r="BQN32" s="25" t="s">
        <v>8250</v>
      </c>
      <c r="BQO32" s="25" t="s">
        <v>8250</v>
      </c>
      <c r="BQP32" s="25" t="s">
        <v>8250</v>
      </c>
      <c r="BQR32" s="25" t="s">
        <v>25</v>
      </c>
      <c r="BQS32" s="25" t="s">
        <v>25</v>
      </c>
      <c r="BQT32" s="25" t="s">
        <v>25</v>
      </c>
      <c r="BQU32" s="25" t="s">
        <v>28</v>
      </c>
      <c r="BQV32" s="25" t="s">
        <v>25</v>
      </c>
      <c r="BQW32" s="25" t="s">
        <v>25</v>
      </c>
      <c r="BQY32" s="25" t="s">
        <v>13810</v>
      </c>
      <c r="BQZ32" s="25" t="s">
        <v>13810</v>
      </c>
      <c r="BRA32" s="25" t="s">
        <v>13810</v>
      </c>
      <c r="BRB32" s="25" t="s">
        <v>13810</v>
      </c>
      <c r="BRC32" s="25" t="s">
        <v>631</v>
      </c>
      <c r="BRD32" s="25" t="s">
        <v>8252</v>
      </c>
      <c r="BRE32" s="25" t="s">
        <v>8252</v>
      </c>
      <c r="BRF32" s="25" t="s">
        <v>631</v>
      </c>
      <c r="BRG32" s="25" t="s">
        <v>631</v>
      </c>
      <c r="BRI32" s="25" t="s">
        <v>8253</v>
      </c>
      <c r="BRJ32" s="25" t="s">
        <v>8253</v>
      </c>
      <c r="BRK32" s="25" t="s">
        <v>8253</v>
      </c>
      <c r="BRL32" s="25" t="s">
        <v>8451</v>
      </c>
      <c r="BRN32" s="25" t="s">
        <v>8262</v>
      </c>
      <c r="BRO32" s="25" t="s">
        <v>8253</v>
      </c>
      <c r="BST32" s="26">
        <v>0.1</v>
      </c>
      <c r="BSU32" s="26">
        <v>0.1</v>
      </c>
      <c r="BSV32" s="26">
        <v>0.1</v>
      </c>
      <c r="BSW32" s="26">
        <v>0.1</v>
      </c>
      <c r="BSY32" s="26">
        <v>0.1</v>
      </c>
      <c r="BTA32" s="56">
        <v>10</v>
      </c>
      <c r="BTB32" s="56">
        <v>50</v>
      </c>
      <c r="BTC32" s="56">
        <v>25</v>
      </c>
      <c r="BTD32" s="56">
        <v>50</v>
      </c>
      <c r="BTE32" s="56">
        <v>40</v>
      </c>
      <c r="BTF32" s="56">
        <v>50</v>
      </c>
      <c r="BTH32" s="56">
        <v>50</v>
      </c>
      <c r="BTL32" s="56">
        <v>50</v>
      </c>
      <c r="BTO32" s="26">
        <v>0.5</v>
      </c>
      <c r="BTP32" s="26">
        <v>0.5</v>
      </c>
      <c r="BTQ32" s="26">
        <v>0.5</v>
      </c>
      <c r="BUJ32" s="26">
        <v>0.1</v>
      </c>
      <c r="BUK32" s="26">
        <v>0.1</v>
      </c>
      <c r="BUL32" s="26">
        <v>0.1</v>
      </c>
      <c r="BUM32" s="26">
        <v>0.1</v>
      </c>
      <c r="BUQ32" s="56">
        <v>20</v>
      </c>
      <c r="BUR32" s="56">
        <v>100</v>
      </c>
      <c r="BUS32" s="56">
        <v>50</v>
      </c>
      <c r="BUT32" s="56">
        <v>100</v>
      </c>
      <c r="BUU32" s="56">
        <v>80</v>
      </c>
      <c r="BUV32" s="56">
        <v>100</v>
      </c>
      <c r="BVZ32" s="25" t="s">
        <v>8255</v>
      </c>
      <c r="BWA32" s="25" t="s">
        <v>8256</v>
      </c>
      <c r="BWC32" s="25" t="s">
        <v>28</v>
      </c>
      <c r="BWD32" s="25" t="s">
        <v>8326</v>
      </c>
      <c r="BWF32" s="25" t="s">
        <v>13708</v>
      </c>
      <c r="BWH32" s="25" t="s">
        <v>2169</v>
      </c>
      <c r="BWI32" s="25" t="s">
        <v>28</v>
      </c>
      <c r="BWK32" s="25" t="s">
        <v>25</v>
      </c>
      <c r="BWM32" s="25" t="s">
        <v>25</v>
      </c>
      <c r="BWO32" s="25" t="s">
        <v>25</v>
      </c>
      <c r="BWQ32" s="25" t="s">
        <v>28</v>
      </c>
      <c r="BWR32" s="25" t="s">
        <v>25</v>
      </c>
      <c r="BWT32" s="25" t="s">
        <v>25</v>
      </c>
      <c r="BWV32" s="25" t="s">
        <v>25</v>
      </c>
      <c r="BWX32" s="25" t="s">
        <v>28</v>
      </c>
      <c r="BWY32" s="25" t="s">
        <v>8358</v>
      </c>
      <c r="BWZ32" s="25" t="s">
        <v>28</v>
      </c>
      <c r="BXA32" s="56">
        <v>20</v>
      </c>
      <c r="BXB32" s="25" t="s">
        <v>25</v>
      </c>
      <c r="BXD32" s="25" t="s">
        <v>28</v>
      </c>
      <c r="BXE32" s="25" t="s">
        <v>8358</v>
      </c>
      <c r="BXF32" s="25" t="s">
        <v>28</v>
      </c>
      <c r="BXG32" s="56">
        <v>20</v>
      </c>
      <c r="BXH32" s="25" t="s">
        <v>25</v>
      </c>
      <c r="BXJ32" s="25" t="s">
        <v>28</v>
      </c>
      <c r="BXK32" s="25" t="s">
        <v>8389</v>
      </c>
      <c r="BXL32" s="25" t="s">
        <v>8435</v>
      </c>
      <c r="BXM32" s="25" t="s">
        <v>2201</v>
      </c>
      <c r="BXN32" s="25" t="s">
        <v>8272</v>
      </c>
      <c r="BXO32" s="25" t="s">
        <v>8274</v>
      </c>
      <c r="BXP32" s="25" t="s">
        <v>8274</v>
      </c>
      <c r="BXQ32" s="25" t="s">
        <v>8274</v>
      </c>
      <c r="BXR32" s="25" t="s">
        <v>8274</v>
      </c>
      <c r="BXS32" s="25" t="s">
        <v>8274</v>
      </c>
      <c r="BXT32" s="25" t="s">
        <v>8452</v>
      </c>
      <c r="BXW32" s="25" t="s">
        <v>25</v>
      </c>
      <c r="BXX32" s="25" t="s">
        <v>25</v>
      </c>
      <c r="BXY32" s="25" t="s">
        <v>25</v>
      </c>
      <c r="BXZ32" s="25" t="s">
        <v>25</v>
      </c>
      <c r="BYA32" s="25" t="s">
        <v>25</v>
      </c>
      <c r="BYB32" s="25" t="s">
        <v>25</v>
      </c>
      <c r="BYC32" s="25" t="s">
        <v>2201</v>
      </c>
      <c r="BYD32" s="25" t="s">
        <v>28</v>
      </c>
      <c r="BYE32" s="25" t="s">
        <v>13609</v>
      </c>
      <c r="BYF32" s="25" t="s">
        <v>8453</v>
      </c>
      <c r="BYH32" s="25" t="s">
        <v>8454</v>
      </c>
      <c r="BYK32" s="25" t="s">
        <v>28</v>
      </c>
      <c r="BYL32" s="25" t="s">
        <v>28</v>
      </c>
      <c r="BYM32" s="25">
        <v>60</v>
      </c>
      <c r="BYN32" s="25" t="s">
        <v>25</v>
      </c>
      <c r="BYP32" s="25" t="s">
        <v>25</v>
      </c>
      <c r="BYR32" s="25" t="s">
        <v>28</v>
      </c>
      <c r="BYS32" s="25" t="s">
        <v>732</v>
      </c>
      <c r="BYT32" s="25" t="s">
        <v>732</v>
      </c>
      <c r="BYU32" s="25" t="s">
        <v>732</v>
      </c>
      <c r="BYV32" s="25" t="s">
        <v>25</v>
      </c>
      <c r="BYW32" s="25" t="s">
        <v>25</v>
      </c>
      <c r="BZZ32" s="25" t="s">
        <v>25</v>
      </c>
      <c r="CAC32" s="25" t="s">
        <v>28</v>
      </c>
      <c r="CAE32" s="25" t="s">
        <v>28</v>
      </c>
      <c r="CAF32" s="25" t="s">
        <v>8289</v>
      </c>
      <c r="CAG32" s="25" t="s">
        <v>25</v>
      </c>
      <c r="CAH32" s="25" t="s">
        <v>631</v>
      </c>
      <c r="CAI32" s="25" t="s">
        <v>631</v>
      </c>
      <c r="CAJ32" s="25" t="s">
        <v>631</v>
      </c>
      <c r="CAK32" s="25" t="s">
        <v>631</v>
      </c>
      <c r="CAL32" s="25" t="s">
        <v>631</v>
      </c>
      <c r="CAM32" s="25" t="s">
        <v>8290</v>
      </c>
      <c r="CAN32" s="25" t="s">
        <v>631</v>
      </c>
      <c r="CAO32" s="25" t="s">
        <v>631</v>
      </c>
      <c r="CAP32" s="25" t="s">
        <v>631</v>
      </c>
      <c r="CAR32" s="25" t="s">
        <v>8455</v>
      </c>
      <c r="CAT32" s="25" t="s">
        <v>25</v>
      </c>
      <c r="CAV32" s="25" t="s">
        <v>8456</v>
      </c>
      <c r="CAW32" s="25" t="s">
        <v>8441</v>
      </c>
      <c r="CBB32" s="25">
        <v>1</v>
      </c>
      <c r="CBC32" s="25">
        <v>1</v>
      </c>
      <c r="CBE32" s="56">
        <v>50</v>
      </c>
      <c r="CBF32" s="56">
        <v>150</v>
      </c>
      <c r="CBG32" s="56">
        <v>50</v>
      </c>
      <c r="CBH32" s="56">
        <v>150</v>
      </c>
      <c r="CBI32" s="56">
        <v>2500</v>
      </c>
      <c r="CBK32" s="56">
        <v>2500</v>
      </c>
      <c r="CBM32" s="26">
        <v>0</v>
      </c>
      <c r="CBN32" s="26">
        <v>0</v>
      </c>
      <c r="CBO32" s="26">
        <v>0.2</v>
      </c>
      <c r="CBP32" s="26">
        <v>0.2</v>
      </c>
      <c r="CBQ32" s="26">
        <v>0.4</v>
      </c>
      <c r="CBR32" s="26">
        <v>0.4</v>
      </c>
      <c r="CBS32" s="26">
        <v>0.5</v>
      </c>
      <c r="CBT32" s="26">
        <v>0.5</v>
      </c>
      <c r="CBU32" s="27" t="s">
        <v>28</v>
      </c>
      <c r="CBV32" s="27" t="s">
        <v>8369</v>
      </c>
      <c r="CBW32" s="27" t="s">
        <v>8294</v>
      </c>
      <c r="CBX32" s="27" t="s">
        <v>8343</v>
      </c>
      <c r="CBY32" s="27" t="s">
        <v>8296</v>
      </c>
      <c r="CBZ32" s="27" t="s">
        <v>8297</v>
      </c>
      <c r="CCA32" s="27" t="s">
        <v>8296</v>
      </c>
      <c r="CCB32" s="27" t="s">
        <v>8298</v>
      </c>
      <c r="CCC32" s="27" t="s">
        <v>8296</v>
      </c>
      <c r="CCD32" s="27" t="s">
        <v>8297</v>
      </c>
      <c r="CCE32" s="27" t="s">
        <v>8296</v>
      </c>
      <c r="CCF32" s="27" t="s">
        <v>8297</v>
      </c>
      <c r="CCG32" s="27" t="s">
        <v>8297</v>
      </c>
      <c r="CCH32" s="27" t="s">
        <v>8298</v>
      </c>
      <c r="CCI32" s="27" t="s">
        <v>8298</v>
      </c>
      <c r="CCJ32" s="27" t="s">
        <v>8298</v>
      </c>
      <c r="CCK32" s="27" t="s">
        <v>8297</v>
      </c>
      <c r="CCL32" s="27" t="s">
        <v>8297</v>
      </c>
      <c r="CCN32" s="27" t="s">
        <v>8296</v>
      </c>
      <c r="CCO32" s="27" t="s">
        <v>8300</v>
      </c>
      <c r="CCP32" s="27" t="s">
        <v>8296</v>
      </c>
      <c r="CCQ32" s="27" t="s">
        <v>8296</v>
      </c>
      <c r="CCR32" s="27" t="s">
        <v>8296</v>
      </c>
      <c r="CCS32" s="27" t="s">
        <v>8297</v>
      </c>
      <c r="CCT32" s="27" t="s">
        <v>8296</v>
      </c>
      <c r="CCU32" s="27" t="s">
        <v>8298</v>
      </c>
      <c r="CCV32" s="27" t="s">
        <v>8298</v>
      </c>
      <c r="CCW32" s="27" t="s">
        <v>8298</v>
      </c>
      <c r="CCX32" s="27" t="s">
        <v>8298</v>
      </c>
      <c r="CCY32" s="27" t="s">
        <v>8298</v>
      </c>
      <c r="CCZ32" s="27" t="s">
        <v>28</v>
      </c>
      <c r="CDA32" s="27" t="s">
        <v>28</v>
      </c>
      <c r="CDB32" s="27" t="s">
        <v>28</v>
      </c>
      <c r="CDC32" s="27" t="s">
        <v>28</v>
      </c>
      <c r="CDD32" s="27" t="s">
        <v>28</v>
      </c>
      <c r="CDE32" s="27" t="s">
        <v>28</v>
      </c>
      <c r="CDF32" s="27" t="s">
        <v>28</v>
      </c>
      <c r="CDG32" s="27" t="s">
        <v>28</v>
      </c>
      <c r="CDH32" s="27" t="s">
        <v>28</v>
      </c>
      <c r="CDI32" s="27" t="s">
        <v>28</v>
      </c>
      <c r="CDJ32" s="27" t="s">
        <v>28</v>
      </c>
      <c r="CDK32" s="27" t="s">
        <v>28</v>
      </c>
      <c r="CDL32" s="27" t="s">
        <v>28</v>
      </c>
      <c r="CDM32" s="27" t="s">
        <v>28</v>
      </c>
      <c r="CDO32" s="27" t="s">
        <v>28</v>
      </c>
      <c r="CDP32" s="27" t="s">
        <v>25</v>
      </c>
      <c r="CDQ32" s="27" t="s">
        <v>28</v>
      </c>
      <c r="CDR32" s="27" t="s">
        <v>28</v>
      </c>
      <c r="CDS32" s="27" t="s">
        <v>28</v>
      </c>
      <c r="CDT32" s="27" t="s">
        <v>28</v>
      </c>
      <c r="CDU32" s="27" t="s">
        <v>28</v>
      </c>
      <c r="CDV32" s="27" t="s">
        <v>28</v>
      </c>
      <c r="CDW32" s="27" t="s">
        <v>28</v>
      </c>
      <c r="CDX32" s="27" t="s">
        <v>28</v>
      </c>
      <c r="CDY32" s="27" t="s">
        <v>28</v>
      </c>
      <c r="CDZ32" s="27" t="s">
        <v>28</v>
      </c>
      <c r="CEB32" s="27" t="s">
        <v>29</v>
      </c>
      <c r="CEC32" s="27" t="s">
        <v>8301</v>
      </c>
      <c r="CED32" s="27" t="s">
        <v>8421</v>
      </c>
      <c r="CEF32" s="27" t="s">
        <v>8301</v>
      </c>
      <c r="CEG32" s="27" t="s">
        <v>8301</v>
      </c>
      <c r="CEH32" s="27" t="s">
        <v>8301</v>
      </c>
      <c r="CEI32" s="27" t="s">
        <v>8301</v>
      </c>
      <c r="CEM32" s="27" t="s">
        <v>8301</v>
      </c>
      <c r="CEQ32" s="27" t="s">
        <v>8304</v>
      </c>
      <c r="CER32" s="27" t="s">
        <v>8303</v>
      </c>
      <c r="CFB32" s="27" t="s">
        <v>25</v>
      </c>
      <c r="CFC32" s="27" t="s">
        <v>25</v>
      </c>
      <c r="CFD32" s="27" t="s">
        <v>25</v>
      </c>
      <c r="CFE32" s="27" t="s">
        <v>25</v>
      </c>
      <c r="CFF32" s="27" t="s">
        <v>25</v>
      </c>
      <c r="CFG32" s="27" t="s">
        <v>25</v>
      </c>
      <c r="CFH32" s="27" t="s">
        <v>25</v>
      </c>
      <c r="CFI32" s="27" t="s">
        <v>25</v>
      </c>
      <c r="CFJ32" s="27" t="s">
        <v>25</v>
      </c>
      <c r="CFK32" s="27" t="s">
        <v>25</v>
      </c>
      <c r="CFL32" s="27" t="s">
        <v>25</v>
      </c>
      <c r="CFM32" s="27" t="s">
        <v>28</v>
      </c>
      <c r="CFN32" s="27" t="s">
        <v>25</v>
      </c>
      <c r="CFO32" s="27" t="s">
        <v>25</v>
      </c>
      <c r="CFQ32" s="27" t="s">
        <v>25</v>
      </c>
      <c r="CFR32" s="27" t="s">
        <v>25</v>
      </c>
      <c r="CFS32" s="27" t="s">
        <v>25</v>
      </c>
      <c r="CFT32" s="27" t="s">
        <v>25</v>
      </c>
      <c r="CFU32" s="27" t="s">
        <v>25</v>
      </c>
      <c r="CFV32" s="27" t="s">
        <v>25</v>
      </c>
      <c r="CFW32" s="27" t="s">
        <v>25</v>
      </c>
      <c r="CFX32" s="27" t="s">
        <v>28</v>
      </c>
      <c r="CFY32" s="27" t="s">
        <v>28</v>
      </c>
      <c r="CFZ32" s="27" t="s">
        <v>25</v>
      </c>
      <c r="CGA32" s="27" t="s">
        <v>25</v>
      </c>
      <c r="CGB32" s="27" t="s">
        <v>25</v>
      </c>
      <c r="CGK32" s="26">
        <v>0</v>
      </c>
      <c r="CGL32" s="26">
        <v>1</v>
      </c>
      <c r="CGM32" s="26">
        <v>0</v>
      </c>
      <c r="CGN32" s="26">
        <v>1</v>
      </c>
      <c r="CGO32" s="26">
        <v>0.4</v>
      </c>
      <c r="CGP32" s="26">
        <v>1</v>
      </c>
      <c r="CGQ32" s="26">
        <v>0.5</v>
      </c>
      <c r="CGR32" s="26">
        <v>1</v>
      </c>
      <c r="CGT32" s="27" t="s">
        <v>8294</v>
      </c>
      <c r="CGU32" s="27" t="s">
        <v>13836</v>
      </c>
      <c r="CGV32" s="27" t="s">
        <v>8296</v>
      </c>
      <c r="CGW32" s="27" t="s">
        <v>8297</v>
      </c>
      <c r="CGX32" s="27" t="s">
        <v>8297</v>
      </c>
      <c r="CGY32" s="27" t="s">
        <v>8298</v>
      </c>
      <c r="CGZ32" s="27" t="s">
        <v>8296</v>
      </c>
      <c r="CHA32" s="27" t="s">
        <v>8297</v>
      </c>
      <c r="CHB32" s="27" t="s">
        <v>8297</v>
      </c>
      <c r="CHC32" s="27" t="s">
        <v>8297</v>
      </c>
      <c r="CHD32" s="27" t="s">
        <v>8297</v>
      </c>
      <c r="CHF32" s="27" t="s">
        <v>8298</v>
      </c>
      <c r="CHG32" s="27" t="s">
        <v>8298</v>
      </c>
      <c r="CHI32" s="27" t="s">
        <v>8297</v>
      </c>
      <c r="CHK32" s="27" t="s">
        <v>8297</v>
      </c>
      <c r="CHL32" s="27" t="s">
        <v>8300</v>
      </c>
      <c r="CHM32" s="27" t="s">
        <v>8296</v>
      </c>
      <c r="CHN32" s="27" t="s">
        <v>8296</v>
      </c>
      <c r="CHO32" s="27" t="s">
        <v>8296</v>
      </c>
      <c r="CHP32" s="27" t="s">
        <v>8297</v>
      </c>
      <c r="CHQ32" s="27" t="s">
        <v>8296</v>
      </c>
      <c r="CHR32" s="27" t="s">
        <v>8298</v>
      </c>
      <c r="CHS32" s="27" t="s">
        <v>8298</v>
      </c>
      <c r="CHT32" s="27" t="s">
        <v>8298</v>
      </c>
      <c r="CHU32" s="27" t="s">
        <v>8298</v>
      </c>
      <c r="CHV32" s="27" t="s">
        <v>8298</v>
      </c>
      <c r="CHW32" s="27" t="s">
        <v>25</v>
      </c>
      <c r="CHX32" s="27" t="s">
        <v>25</v>
      </c>
      <c r="CHY32" s="27" t="s">
        <v>25</v>
      </c>
      <c r="CHZ32" s="27" t="s">
        <v>25</v>
      </c>
      <c r="CIA32" s="27" t="s">
        <v>25</v>
      </c>
      <c r="CIB32" s="27" t="s">
        <v>25</v>
      </c>
      <c r="CIC32" s="27" t="s">
        <v>25</v>
      </c>
      <c r="CID32" s="27" t="s">
        <v>25</v>
      </c>
      <c r="CIE32" s="27" t="s">
        <v>25</v>
      </c>
      <c r="CIG32" s="27" t="s">
        <v>25</v>
      </c>
      <c r="CIH32" s="27" t="s">
        <v>25</v>
      </c>
      <c r="CIJ32" s="27" t="s">
        <v>25</v>
      </c>
      <c r="CIL32" s="27" t="s">
        <v>25</v>
      </c>
      <c r="CIM32" s="27" t="s">
        <v>25</v>
      </c>
      <c r="CIN32" s="27" t="s">
        <v>25</v>
      </c>
      <c r="CIO32" s="27" t="s">
        <v>25</v>
      </c>
      <c r="CIP32" s="27" t="s">
        <v>25</v>
      </c>
      <c r="CIQ32" s="27" t="s">
        <v>25</v>
      </c>
      <c r="CIR32" s="27" t="s">
        <v>25</v>
      </c>
      <c r="CIS32" s="27" t="s">
        <v>25</v>
      </c>
      <c r="CIT32" s="27" t="s">
        <v>25</v>
      </c>
      <c r="CIU32" s="27" t="s">
        <v>25</v>
      </c>
      <c r="CIV32" s="27" t="s">
        <v>25</v>
      </c>
      <c r="CIW32" s="27" t="s">
        <v>25</v>
      </c>
      <c r="CIZ32" s="27" t="s">
        <v>8301</v>
      </c>
      <c r="CJA32" s="27" t="s">
        <v>8421</v>
      </c>
      <c r="CJC32" s="27" t="s">
        <v>8301</v>
      </c>
      <c r="CJH32" s="27" t="s">
        <v>8421</v>
      </c>
      <c r="CJI32" s="27" t="s">
        <v>8303</v>
      </c>
      <c r="CJN32" s="27" t="s">
        <v>8304</v>
      </c>
      <c r="CJO32" s="27" t="s">
        <v>8303</v>
      </c>
      <c r="CJP32" s="27" t="s">
        <v>8305</v>
      </c>
      <c r="CJT32" s="27" t="s">
        <v>8306</v>
      </c>
      <c r="CJU32" s="27" t="s">
        <v>8303</v>
      </c>
      <c r="CJV32" s="27" t="s">
        <v>8302</v>
      </c>
      <c r="CJW32" s="27" t="s">
        <v>8306</v>
      </c>
      <c r="CJY32" s="27" t="s">
        <v>25</v>
      </c>
      <c r="CJZ32" s="27" t="s">
        <v>25</v>
      </c>
      <c r="CKA32" s="27" t="s">
        <v>25</v>
      </c>
      <c r="CKB32" s="27" t="s">
        <v>25</v>
      </c>
      <c r="CKC32" s="27" t="s">
        <v>25</v>
      </c>
      <c r="CKD32" s="27" t="s">
        <v>25</v>
      </c>
      <c r="CKE32" s="27" t="s">
        <v>25</v>
      </c>
      <c r="CKF32" s="27" t="s">
        <v>25</v>
      </c>
      <c r="CKG32" s="27" t="s">
        <v>25</v>
      </c>
      <c r="CKI32" s="27" t="s">
        <v>25</v>
      </c>
      <c r="CKJ32" s="27" t="s">
        <v>28</v>
      </c>
      <c r="CKL32" s="27" t="s">
        <v>25</v>
      </c>
      <c r="CKN32" s="27" t="s">
        <v>25</v>
      </c>
      <c r="CKO32" s="27" t="s">
        <v>25</v>
      </c>
      <c r="CKP32" s="27" t="s">
        <v>25</v>
      </c>
      <c r="CKQ32" s="27" t="s">
        <v>25</v>
      </c>
      <c r="CKR32" s="27" t="s">
        <v>25</v>
      </c>
      <c r="CKS32" s="27" t="s">
        <v>28</v>
      </c>
      <c r="CKT32" s="27" t="s">
        <v>25</v>
      </c>
      <c r="CKU32" s="27" t="s">
        <v>28</v>
      </c>
      <c r="CKV32" s="27" t="s">
        <v>28</v>
      </c>
      <c r="CKW32" s="27" t="s">
        <v>25</v>
      </c>
      <c r="CKX32" s="27" t="s">
        <v>25</v>
      </c>
      <c r="CKY32" s="27" t="s">
        <v>25</v>
      </c>
      <c r="CPW32" s="27">
        <v>2</v>
      </c>
      <c r="CPX32" s="56">
        <v>0</v>
      </c>
      <c r="CPZ32" s="56">
        <v>70</v>
      </c>
      <c r="CQB32" s="25" t="s">
        <v>8307</v>
      </c>
      <c r="CQC32" s="25" t="s">
        <v>8344</v>
      </c>
      <c r="CQD32" s="25" t="s">
        <v>8344</v>
      </c>
      <c r="CQE32" s="25" t="s">
        <v>8344</v>
      </c>
      <c r="CQF32" s="25" t="s">
        <v>8344</v>
      </c>
      <c r="CQI32" s="56">
        <v>180</v>
      </c>
      <c r="CQJ32" s="56">
        <v>105</v>
      </c>
      <c r="CQK32" s="56">
        <v>210</v>
      </c>
      <c r="CQL32" s="25" t="s">
        <v>13660</v>
      </c>
      <c r="CQM32" s="25" t="s">
        <v>8397</v>
      </c>
      <c r="CQN32" s="25" t="s">
        <v>28</v>
      </c>
      <c r="CQO32" s="25" t="s">
        <v>8309</v>
      </c>
      <c r="CQQ32" s="25" t="s">
        <v>8457</v>
      </c>
      <c r="CQS32" s="25" t="s">
        <v>28</v>
      </c>
      <c r="CQT32" s="25" t="s">
        <v>8312</v>
      </c>
      <c r="CQU32" s="25" t="s">
        <v>8312</v>
      </c>
      <c r="CQV32" s="25" t="s">
        <v>8312</v>
      </c>
      <c r="CQW32" s="25" t="s">
        <v>8312</v>
      </c>
      <c r="CQX32" s="25" t="s">
        <v>8312</v>
      </c>
      <c r="CQY32" s="25" t="s">
        <v>8312</v>
      </c>
      <c r="CQZ32" s="25" t="s">
        <v>8312</v>
      </c>
      <c r="CRA32" s="25" t="s">
        <v>8314</v>
      </c>
      <c r="CRB32" s="25" t="s">
        <v>8312</v>
      </c>
      <c r="CRC32" s="25" t="s">
        <v>8312</v>
      </c>
      <c r="CRD32" s="25" t="s">
        <v>8312</v>
      </c>
      <c r="CRE32" s="27" t="s">
        <v>8313</v>
      </c>
    </row>
    <row r="33" spans="1:2048 2050:2501" ht="89.25" x14ac:dyDescent="0.2">
      <c r="A33" s="21" t="s">
        <v>117</v>
      </c>
      <c r="B33" s="26">
        <v>0</v>
      </c>
      <c r="C33" s="26">
        <v>0</v>
      </c>
      <c r="D33" s="26">
        <v>0.11</v>
      </c>
      <c r="E33" s="26">
        <v>0.83</v>
      </c>
      <c r="F33" s="26">
        <v>0</v>
      </c>
      <c r="G33" s="26">
        <v>0</v>
      </c>
      <c r="H33" s="26">
        <v>0</v>
      </c>
      <c r="I33" s="26">
        <v>0</v>
      </c>
      <c r="J33" s="26">
        <v>0</v>
      </c>
      <c r="K33" s="26">
        <v>0</v>
      </c>
      <c r="L33" s="26">
        <v>0</v>
      </c>
      <c r="M33" s="26">
        <v>0.06</v>
      </c>
      <c r="N33" s="26">
        <v>0</v>
      </c>
      <c r="O33" s="26">
        <v>0</v>
      </c>
      <c r="P33" s="26">
        <v>0</v>
      </c>
      <c r="Q33" s="26">
        <v>0</v>
      </c>
      <c r="R33" s="26">
        <v>0</v>
      </c>
      <c r="S33" s="26">
        <v>0</v>
      </c>
      <c r="T33" s="26">
        <v>0</v>
      </c>
      <c r="U33" s="26">
        <v>0</v>
      </c>
      <c r="V33" s="26">
        <v>0</v>
      </c>
      <c r="W33" s="26">
        <v>0</v>
      </c>
      <c r="X33" s="26">
        <v>1</v>
      </c>
      <c r="Y33" s="26">
        <v>0</v>
      </c>
      <c r="Z33" s="25">
        <v>0</v>
      </c>
      <c r="KP33" s="25">
        <v>2</v>
      </c>
      <c r="KQ33" s="25" t="s">
        <v>8244</v>
      </c>
      <c r="KR33" s="25" t="s">
        <v>8245</v>
      </c>
      <c r="KS33" s="56">
        <v>3000</v>
      </c>
      <c r="KT33" s="56">
        <v>6900</v>
      </c>
      <c r="KU33" s="56">
        <v>5600</v>
      </c>
      <c r="KV33" s="56">
        <v>11200</v>
      </c>
      <c r="KY33" s="25" t="s">
        <v>8246</v>
      </c>
      <c r="KZ33" s="56">
        <v>1400</v>
      </c>
      <c r="LA33" s="56">
        <v>2800</v>
      </c>
      <c r="LB33" s="56">
        <v>2800</v>
      </c>
      <c r="LC33" s="56">
        <v>5600</v>
      </c>
      <c r="LD33" s="25" t="s">
        <v>8247</v>
      </c>
      <c r="LE33" s="25" t="s">
        <v>8248</v>
      </c>
      <c r="LR33" s="25" t="s">
        <v>8249</v>
      </c>
      <c r="OE33" s="25" t="s">
        <v>25</v>
      </c>
      <c r="OF33" s="25" t="s">
        <v>28</v>
      </c>
      <c r="OG33" s="25" t="s">
        <v>28</v>
      </c>
      <c r="OH33" s="25" t="s">
        <v>25</v>
      </c>
      <c r="OJ33" s="25" t="s">
        <v>13416</v>
      </c>
      <c r="OK33" s="25" t="s">
        <v>13420</v>
      </c>
      <c r="OS33" s="26">
        <v>0.1</v>
      </c>
      <c r="OT33" s="26">
        <v>0.1</v>
      </c>
      <c r="OU33" s="26">
        <v>0.1</v>
      </c>
      <c r="OV33" s="26">
        <v>0.1</v>
      </c>
      <c r="OW33" s="26">
        <v>0.1</v>
      </c>
      <c r="OX33" s="26">
        <v>0.1</v>
      </c>
      <c r="PG33" s="26">
        <v>0.3</v>
      </c>
      <c r="PH33" s="26">
        <v>0.3</v>
      </c>
      <c r="PI33" s="26">
        <v>0.3</v>
      </c>
      <c r="PJ33" s="26">
        <v>0.1</v>
      </c>
      <c r="PK33" s="26">
        <v>0.3</v>
      </c>
      <c r="PN33" s="25" t="s">
        <v>8250</v>
      </c>
      <c r="PO33" s="25" t="s">
        <v>8250</v>
      </c>
      <c r="PP33" s="25" t="s">
        <v>8250</v>
      </c>
      <c r="PQ33" s="25" t="s">
        <v>8250</v>
      </c>
      <c r="PR33" s="25" t="s">
        <v>8250</v>
      </c>
      <c r="PS33" s="25" t="s">
        <v>8250</v>
      </c>
      <c r="PU33" s="25" t="s">
        <v>25</v>
      </c>
      <c r="PV33" s="25" t="s">
        <v>25</v>
      </c>
      <c r="PW33" s="25" t="s">
        <v>25</v>
      </c>
      <c r="PX33" s="25" t="s">
        <v>28</v>
      </c>
      <c r="PY33" s="25" t="s">
        <v>25</v>
      </c>
      <c r="PZ33" s="25" t="s">
        <v>25</v>
      </c>
      <c r="QB33" s="25" t="s">
        <v>13810</v>
      </c>
      <c r="QC33" s="25" t="s">
        <v>13810</v>
      </c>
      <c r="QD33" s="25" t="s">
        <v>13810</v>
      </c>
      <c r="QE33" s="25" t="s">
        <v>13810</v>
      </c>
      <c r="QF33" s="25" t="s">
        <v>13810</v>
      </c>
      <c r="QG33" s="25" t="s">
        <v>8252</v>
      </c>
      <c r="QH33" s="25" t="s">
        <v>631</v>
      </c>
      <c r="QI33" s="25" t="s">
        <v>631</v>
      </c>
      <c r="QJ33" s="25" t="s">
        <v>631</v>
      </c>
      <c r="QL33" s="25" t="s">
        <v>8253</v>
      </c>
      <c r="QM33" s="25" t="s">
        <v>8253</v>
      </c>
      <c r="QN33" s="25" t="s">
        <v>8253</v>
      </c>
      <c r="QO33" s="25" t="s">
        <v>13436</v>
      </c>
      <c r="QP33" s="25" t="s">
        <v>8253</v>
      </c>
      <c r="QQ33" s="25" t="s">
        <v>8253</v>
      </c>
      <c r="QU33" s="56">
        <v>15</v>
      </c>
      <c r="QW33" s="56">
        <v>30</v>
      </c>
      <c r="QY33" s="56">
        <v>45</v>
      </c>
      <c r="RA33" s="56">
        <v>90</v>
      </c>
      <c r="RC33" s="56">
        <v>65</v>
      </c>
      <c r="RE33" s="56">
        <v>130</v>
      </c>
      <c r="VC33" s="25" t="s">
        <v>8255</v>
      </c>
      <c r="VD33" s="25" t="s">
        <v>8256</v>
      </c>
      <c r="VE33" s="25" t="s">
        <v>8257</v>
      </c>
      <c r="VF33" s="25">
        <v>0</v>
      </c>
      <c r="VI33" s="25"/>
      <c r="VJ33" s="25"/>
      <c r="VK33" s="25"/>
      <c r="VL33" s="25"/>
      <c r="VM33" s="25"/>
      <c r="VN33" s="25"/>
      <c r="VP33" s="25"/>
      <c r="VQ33" s="25"/>
      <c r="VR33" s="25"/>
      <c r="VS33" s="25"/>
      <c r="ZA33" s="25"/>
      <c r="ZB33" s="25"/>
      <c r="ZC33" s="25"/>
      <c r="ZD33" s="25"/>
      <c r="ZE33" s="25"/>
      <c r="ZF33" s="25"/>
      <c r="ZG33" s="25"/>
      <c r="ZO33" s="25"/>
      <c r="ZP33" s="25"/>
      <c r="ZQ33" s="25"/>
      <c r="ZR33" s="25"/>
      <c r="ZS33" s="25"/>
      <c r="ZT33" s="25"/>
      <c r="ZU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S33" s="25"/>
      <c r="ACT33" s="25"/>
      <c r="ACU33" s="25"/>
      <c r="ACV33" s="25"/>
      <c r="ACW33" s="25"/>
      <c r="ACX33" s="25"/>
      <c r="ACY33" s="25"/>
      <c r="ACZ33" s="25"/>
      <c r="ADA33" s="25"/>
      <c r="ADB33" s="25"/>
      <c r="ADC33" s="25"/>
      <c r="ADD33" s="25"/>
      <c r="ADE33" s="25"/>
      <c r="ADF33" s="25"/>
      <c r="ADN33" s="25"/>
      <c r="ADO33" s="25"/>
      <c r="ADP33" s="25"/>
      <c r="ADQ33" s="25"/>
      <c r="ADR33" s="25"/>
      <c r="ADS33" s="25"/>
      <c r="ADT33" s="25"/>
      <c r="ADU33" s="25"/>
      <c r="ADV33" s="25"/>
      <c r="ADW33" s="25"/>
      <c r="ADX33" s="25"/>
      <c r="ADY33" s="25"/>
      <c r="ADZ33" s="25"/>
      <c r="AEA33" s="25"/>
      <c r="AEI33" s="25"/>
      <c r="AEJ33" s="25"/>
      <c r="AEK33" s="25"/>
      <c r="AEL33" s="25"/>
      <c r="AEM33" s="25"/>
      <c r="AEN33" s="25"/>
      <c r="AEO33" s="25"/>
      <c r="AEP33" s="25"/>
      <c r="AEQ33" s="25"/>
      <c r="AER33" s="25"/>
      <c r="AES33" s="25"/>
      <c r="AET33" s="25"/>
      <c r="AEU33" s="25"/>
      <c r="AEV33" s="25"/>
      <c r="AFD33" s="25"/>
      <c r="AFE33" s="25"/>
      <c r="AFF33" s="25"/>
      <c r="AFG33" s="25"/>
      <c r="AFH33" s="25"/>
      <c r="AFI33" s="25"/>
      <c r="AFJ33" s="25"/>
      <c r="AFK33" s="25"/>
      <c r="AFL33" s="25"/>
      <c r="AFM33" s="25"/>
      <c r="AFN33" s="25"/>
      <c r="AFO33" s="25"/>
      <c r="AFP33" s="25"/>
      <c r="AFQ33" s="25"/>
      <c r="AFU33" s="25">
        <v>0</v>
      </c>
      <c r="AFX33" s="25"/>
      <c r="AFY33" s="25"/>
      <c r="AFZ33" s="25"/>
      <c r="AGA33" s="25"/>
      <c r="AGB33" s="25"/>
      <c r="AGC33" s="25"/>
      <c r="AGE33" s="25"/>
      <c r="AGF33" s="25"/>
      <c r="AGG33" s="25"/>
      <c r="AGH33" s="25"/>
      <c r="AJP33" s="25"/>
      <c r="AJQ33" s="25"/>
      <c r="AJR33" s="25"/>
      <c r="AJS33" s="25"/>
      <c r="AJT33" s="25"/>
      <c r="AJU33" s="25"/>
      <c r="AJV33" s="25"/>
      <c r="AKD33" s="25"/>
      <c r="AKE33" s="25"/>
      <c r="AKF33" s="25"/>
      <c r="AKG33" s="25"/>
      <c r="AKH33" s="25"/>
      <c r="AKI33" s="25"/>
      <c r="AKJ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H33" s="25"/>
      <c r="ANI33" s="25"/>
      <c r="ANJ33" s="25"/>
      <c r="ANK33" s="25"/>
      <c r="ANL33" s="25"/>
      <c r="ANM33" s="25"/>
      <c r="ANN33" s="25"/>
      <c r="ANO33" s="25"/>
      <c r="ANP33" s="25"/>
      <c r="ANQ33" s="25"/>
      <c r="ANR33" s="25"/>
      <c r="ANS33" s="25"/>
      <c r="ANT33" s="25"/>
      <c r="ANU33" s="25"/>
      <c r="AOC33" s="25"/>
      <c r="AOD33" s="25"/>
      <c r="AOE33" s="25"/>
      <c r="AOF33" s="25"/>
      <c r="AOG33" s="25"/>
      <c r="AOH33" s="25"/>
      <c r="AOI33" s="25"/>
      <c r="AOJ33" s="25"/>
      <c r="AOK33" s="25"/>
      <c r="AOL33" s="25"/>
      <c r="AOM33" s="25"/>
      <c r="AON33" s="25"/>
      <c r="AOO33" s="25"/>
      <c r="AOP33" s="25"/>
      <c r="AOX33" s="25"/>
      <c r="AOY33" s="25"/>
      <c r="AOZ33" s="25"/>
      <c r="APA33" s="25"/>
      <c r="APB33" s="25"/>
      <c r="APC33" s="25"/>
      <c r="APD33" s="25"/>
      <c r="APE33" s="25"/>
      <c r="APF33" s="25"/>
      <c r="APG33" s="25"/>
      <c r="APH33" s="25"/>
      <c r="API33" s="25"/>
      <c r="APJ33" s="25"/>
      <c r="APK33" s="25"/>
      <c r="APS33" s="25"/>
      <c r="APT33" s="25"/>
      <c r="APU33" s="25"/>
      <c r="APV33" s="25"/>
      <c r="APW33" s="25"/>
      <c r="APX33" s="25"/>
      <c r="APY33" s="25"/>
      <c r="APZ33" s="25"/>
      <c r="AQA33" s="25"/>
      <c r="AQB33" s="25"/>
      <c r="AQC33" s="25"/>
      <c r="AQD33" s="25"/>
      <c r="AQE33" s="25"/>
      <c r="AQF33" s="25"/>
      <c r="AQJ33" s="25">
        <v>4</v>
      </c>
      <c r="AQK33" s="25" t="s">
        <v>8258</v>
      </c>
      <c r="AQL33" s="25" t="s">
        <v>8259</v>
      </c>
      <c r="AQM33" s="56">
        <v>3000</v>
      </c>
      <c r="AQN33" s="56">
        <v>6000</v>
      </c>
      <c r="AQS33" s="25" t="s">
        <v>8260</v>
      </c>
      <c r="AQT33" s="56">
        <v>0</v>
      </c>
      <c r="AQU33" s="56">
        <v>0</v>
      </c>
      <c r="AQX33" s="25" t="s">
        <v>8248</v>
      </c>
      <c r="ARK33" s="25" t="s">
        <v>8249</v>
      </c>
      <c r="ATX33" s="25" t="s">
        <v>25</v>
      </c>
      <c r="ATY33" s="25" t="s">
        <v>28</v>
      </c>
      <c r="ATZ33" s="25" t="s">
        <v>25</v>
      </c>
      <c r="AUA33" s="25" t="s">
        <v>25</v>
      </c>
      <c r="AUC33" s="25" t="s">
        <v>13417</v>
      </c>
      <c r="AUE33" s="56">
        <v>20</v>
      </c>
      <c r="AUF33" s="56">
        <v>20</v>
      </c>
      <c r="AUG33" s="56">
        <v>20</v>
      </c>
      <c r="AUH33" s="56">
        <v>100</v>
      </c>
      <c r="AUI33" s="56">
        <v>20</v>
      </c>
      <c r="AUJ33" s="56">
        <v>0</v>
      </c>
      <c r="AVG33" s="25" t="s">
        <v>8250</v>
      </c>
      <c r="AVH33" s="25" t="s">
        <v>8250</v>
      </c>
      <c r="AVI33" s="25" t="s">
        <v>8250</v>
      </c>
      <c r="AVJ33" s="25" t="s">
        <v>8250</v>
      </c>
      <c r="AVK33" s="25" t="s">
        <v>8250</v>
      </c>
      <c r="AVL33" s="25" t="s">
        <v>8261</v>
      </c>
      <c r="AVN33" s="25" t="s">
        <v>25</v>
      </c>
      <c r="AVO33" s="25" t="s">
        <v>25</v>
      </c>
      <c r="AVP33" s="25" t="s">
        <v>25</v>
      </c>
      <c r="AVQ33" s="25" t="s">
        <v>25</v>
      </c>
      <c r="AVR33" s="25" t="s">
        <v>25</v>
      </c>
      <c r="AVS33" s="25" t="s">
        <v>25</v>
      </c>
      <c r="AVU33" s="25" t="s">
        <v>13810</v>
      </c>
      <c r="AVV33" s="25" t="s">
        <v>13810</v>
      </c>
      <c r="AVW33" s="25" t="s">
        <v>13810</v>
      </c>
      <c r="AVX33" s="25" t="s">
        <v>8252</v>
      </c>
      <c r="AVY33" s="25" t="s">
        <v>8252</v>
      </c>
      <c r="AVZ33" s="25" t="s">
        <v>631</v>
      </c>
      <c r="AWA33" s="25" t="s">
        <v>631</v>
      </c>
      <c r="AWE33" s="25" t="s">
        <v>8253</v>
      </c>
      <c r="AWF33" s="25" t="s">
        <v>8253</v>
      </c>
      <c r="AWG33" s="25" t="s">
        <v>8253</v>
      </c>
      <c r="AWH33" s="25" t="s">
        <v>8262</v>
      </c>
      <c r="AWI33" s="25" t="s">
        <v>8253</v>
      </c>
      <c r="AWN33" s="56">
        <v>15</v>
      </c>
      <c r="AWP33" s="56">
        <v>30</v>
      </c>
      <c r="AWR33" s="56">
        <v>45</v>
      </c>
      <c r="AWT33" s="56">
        <v>90</v>
      </c>
      <c r="BAV33" s="25" t="s">
        <v>8255</v>
      </c>
      <c r="BAW33" s="25" t="s">
        <v>8256</v>
      </c>
      <c r="BAX33" s="25" t="s">
        <v>8263</v>
      </c>
      <c r="BAY33" s="25">
        <v>0</v>
      </c>
      <c r="BBB33" s="25"/>
      <c r="BBC33" s="25"/>
      <c r="BBD33" s="25"/>
      <c r="BBE33" s="25"/>
      <c r="BBF33" s="25"/>
      <c r="BBG33" s="25"/>
      <c r="BBI33" s="25"/>
      <c r="BBJ33" s="25"/>
      <c r="BBK33" s="25"/>
      <c r="BBL33" s="25"/>
      <c r="BET33" s="25"/>
      <c r="BEU33" s="25"/>
      <c r="BEV33" s="25"/>
      <c r="BEW33" s="25"/>
      <c r="BEX33" s="25"/>
      <c r="BEY33" s="25"/>
      <c r="BEZ33" s="25"/>
      <c r="BFH33" s="25"/>
      <c r="BFI33" s="25"/>
      <c r="BFJ33" s="25"/>
      <c r="BFK33" s="25"/>
      <c r="BFL33" s="25"/>
      <c r="BFM33" s="25"/>
      <c r="BFN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L33" s="25"/>
      <c r="BIM33" s="25"/>
      <c r="BIN33" s="25"/>
      <c r="BIO33" s="25"/>
      <c r="BIP33" s="25"/>
      <c r="BIQ33" s="25"/>
      <c r="BIR33" s="25"/>
      <c r="BIS33" s="25"/>
      <c r="BIT33" s="25"/>
      <c r="BIU33" s="25"/>
      <c r="BIV33" s="25"/>
      <c r="BIW33" s="25"/>
      <c r="BIX33" s="25"/>
      <c r="BIY33" s="25"/>
      <c r="BJG33" s="25"/>
      <c r="BJH33" s="25"/>
      <c r="BJI33" s="25"/>
      <c r="BJJ33" s="25"/>
      <c r="BJK33" s="25"/>
      <c r="BJL33" s="25"/>
      <c r="BJM33" s="25"/>
      <c r="BJN33" s="25"/>
      <c r="BJO33" s="25"/>
      <c r="BJP33" s="25"/>
      <c r="BJQ33" s="25"/>
      <c r="BJR33" s="25"/>
      <c r="BJS33" s="25"/>
      <c r="BJT33" s="25"/>
      <c r="BKB33" s="25"/>
      <c r="BKC33" s="25"/>
      <c r="BKD33" s="25"/>
      <c r="BKE33" s="25"/>
      <c r="BKF33" s="25"/>
      <c r="BKG33" s="25"/>
      <c r="BKH33" s="25"/>
      <c r="BKI33" s="25"/>
      <c r="BKJ33" s="25"/>
      <c r="BKK33" s="25"/>
      <c r="BKL33" s="25"/>
      <c r="BKM33" s="25"/>
      <c r="BKN33" s="25"/>
      <c r="BKO33" s="25"/>
      <c r="BKW33" s="25"/>
      <c r="BKX33" s="25"/>
      <c r="BKY33" s="25"/>
      <c r="BKZ33" s="25"/>
      <c r="BLA33" s="25"/>
      <c r="BLB33" s="25"/>
      <c r="BLC33" s="25"/>
      <c r="BLD33" s="25"/>
      <c r="BLE33" s="25"/>
      <c r="BLF33" s="25"/>
      <c r="BLG33" s="25"/>
      <c r="BLH33" s="25"/>
      <c r="BLI33" s="25"/>
      <c r="BLJ33" s="25"/>
      <c r="BLN33" s="25">
        <v>1</v>
      </c>
      <c r="BLO33" s="25" t="s">
        <v>8264</v>
      </c>
      <c r="BLQ33" s="56">
        <v>3000</v>
      </c>
      <c r="BLR33" s="56">
        <v>6900</v>
      </c>
      <c r="BLS33" s="56">
        <v>3000</v>
      </c>
      <c r="BLT33" s="56">
        <v>6900</v>
      </c>
      <c r="BLW33" s="25" t="s">
        <v>8246</v>
      </c>
      <c r="BLX33" s="56">
        <v>1400</v>
      </c>
      <c r="BLY33" s="56">
        <v>2800</v>
      </c>
      <c r="BLZ33" s="56">
        <v>1400</v>
      </c>
      <c r="BMA33" s="56">
        <v>2800</v>
      </c>
      <c r="BMB33" s="25" t="s">
        <v>8248</v>
      </c>
      <c r="BMO33" s="25" t="s">
        <v>8249</v>
      </c>
      <c r="BPB33" s="25" t="s">
        <v>25</v>
      </c>
      <c r="BPC33" s="25" t="s">
        <v>28</v>
      </c>
      <c r="BPD33" s="25" t="s">
        <v>25</v>
      </c>
      <c r="BPE33" s="25" t="s">
        <v>25</v>
      </c>
      <c r="BPG33" s="25" t="s">
        <v>13417</v>
      </c>
      <c r="BPH33" s="25" t="s">
        <v>13420</v>
      </c>
      <c r="BPP33" s="26">
        <v>0.2</v>
      </c>
      <c r="BPQ33" s="26">
        <v>0.2</v>
      </c>
      <c r="BPR33" s="26">
        <v>0.2</v>
      </c>
      <c r="BPS33" s="26">
        <v>0.2</v>
      </c>
      <c r="BPT33" s="26">
        <v>0.2</v>
      </c>
      <c r="BPU33" s="26">
        <v>0.2</v>
      </c>
      <c r="BQD33" s="26">
        <v>0.2</v>
      </c>
      <c r="BQE33" s="26">
        <v>0.2</v>
      </c>
      <c r="BQF33" s="26">
        <v>0.2</v>
      </c>
      <c r="BQG33" s="26">
        <v>0.2</v>
      </c>
      <c r="BQH33" s="26">
        <v>0.2</v>
      </c>
      <c r="BQK33" s="25" t="s">
        <v>8250</v>
      </c>
      <c r="BQL33" s="25" t="s">
        <v>8250</v>
      </c>
      <c r="BQM33" s="25" t="s">
        <v>8250</v>
      </c>
      <c r="BQN33" s="25" t="s">
        <v>8250</v>
      </c>
      <c r="BQO33" s="25" t="s">
        <v>8250</v>
      </c>
      <c r="BQP33" s="25" t="s">
        <v>8250</v>
      </c>
      <c r="BQR33" s="25" t="s">
        <v>25</v>
      </c>
      <c r="BQS33" s="25" t="s">
        <v>25</v>
      </c>
      <c r="BQT33" s="25" t="s">
        <v>25</v>
      </c>
      <c r="BQU33" s="25" t="s">
        <v>25</v>
      </c>
      <c r="BQV33" s="25" t="s">
        <v>25</v>
      </c>
      <c r="BQW33" s="25" t="s">
        <v>25</v>
      </c>
      <c r="BQY33" s="25" t="s">
        <v>13810</v>
      </c>
      <c r="BQZ33" s="25" t="s">
        <v>13810</v>
      </c>
      <c r="BRA33" s="25" t="s">
        <v>13810</v>
      </c>
      <c r="BRB33" s="25" t="s">
        <v>13810</v>
      </c>
      <c r="BRC33" s="25" t="s">
        <v>13810</v>
      </c>
      <c r="BRD33" s="25" t="s">
        <v>8252</v>
      </c>
      <c r="BRE33" s="25" t="s">
        <v>631</v>
      </c>
      <c r="BRF33" s="25" t="s">
        <v>631</v>
      </c>
      <c r="BRG33" s="25" t="s">
        <v>631</v>
      </c>
      <c r="BRI33" s="25" t="s">
        <v>8253</v>
      </c>
      <c r="BRJ33" s="25" t="s">
        <v>8253</v>
      </c>
      <c r="BRK33" s="25" t="s">
        <v>8253</v>
      </c>
      <c r="BRL33" s="25" t="s">
        <v>13447</v>
      </c>
      <c r="BRM33" s="25" t="s">
        <v>8253</v>
      </c>
      <c r="BRR33" s="56">
        <v>15</v>
      </c>
      <c r="BRT33" s="56">
        <v>30</v>
      </c>
      <c r="BRV33" s="56">
        <v>45</v>
      </c>
      <c r="BRX33" s="56">
        <v>90</v>
      </c>
      <c r="BRZ33" s="56">
        <v>65</v>
      </c>
      <c r="BSB33" s="56">
        <v>130</v>
      </c>
      <c r="BTO33" s="26">
        <v>0.5</v>
      </c>
      <c r="BTP33" s="26">
        <v>0.5</v>
      </c>
      <c r="BTQ33" s="26">
        <v>0.5</v>
      </c>
      <c r="BVZ33" s="25" t="s">
        <v>8255</v>
      </c>
      <c r="BWA33" s="25" t="s">
        <v>8256</v>
      </c>
      <c r="BWB33" s="25" t="s">
        <v>8257</v>
      </c>
      <c r="BWC33" s="25" t="s">
        <v>28</v>
      </c>
      <c r="BWD33" s="25" t="s">
        <v>8265</v>
      </c>
      <c r="BWE33" s="25" t="s">
        <v>8266</v>
      </c>
      <c r="BWF33" s="25" t="s">
        <v>13705</v>
      </c>
      <c r="BWG33" s="25" t="s">
        <v>28</v>
      </c>
      <c r="BWH33" s="25" t="s">
        <v>2169</v>
      </c>
      <c r="BWI33" s="25" t="s">
        <v>28</v>
      </c>
      <c r="BWJ33" s="25" t="s">
        <v>8267</v>
      </c>
      <c r="BWK33" s="25" t="s">
        <v>25</v>
      </c>
      <c r="BWM33" s="25" t="s">
        <v>25</v>
      </c>
      <c r="BWO33" s="25" t="s">
        <v>25</v>
      </c>
      <c r="BWQ33" s="25" t="s">
        <v>28</v>
      </c>
      <c r="BWR33" s="25" t="s">
        <v>25</v>
      </c>
      <c r="BWT33" s="25" t="s">
        <v>25</v>
      </c>
      <c r="BWV33" s="25" t="s">
        <v>25</v>
      </c>
      <c r="BWX33" s="25" t="s">
        <v>28</v>
      </c>
      <c r="BWY33" s="25" t="s">
        <v>8268</v>
      </c>
      <c r="BWZ33" s="25" t="s">
        <v>25</v>
      </c>
      <c r="BXB33" s="25" t="s">
        <v>25</v>
      </c>
      <c r="BXD33" s="25" t="s">
        <v>28</v>
      </c>
      <c r="BXE33" s="25" t="s">
        <v>8269</v>
      </c>
      <c r="BXF33" s="25" t="s">
        <v>28</v>
      </c>
      <c r="BXG33" s="56">
        <v>45</v>
      </c>
      <c r="BXH33" s="25" t="s">
        <v>25</v>
      </c>
      <c r="BXJ33" s="25" t="s">
        <v>28</v>
      </c>
      <c r="BXK33" s="25" t="s">
        <v>8270</v>
      </c>
      <c r="BXL33" s="25" t="s">
        <v>13821</v>
      </c>
      <c r="BXM33" s="25" t="s">
        <v>28</v>
      </c>
      <c r="BXN33" s="25" t="s">
        <v>8272</v>
      </c>
      <c r="BXO33" s="25" t="s">
        <v>8273</v>
      </c>
      <c r="BXP33" s="25" t="s">
        <v>8274</v>
      </c>
      <c r="BXQ33" s="25" t="s">
        <v>8274</v>
      </c>
      <c r="BXR33" s="25" t="s">
        <v>8274</v>
      </c>
      <c r="BXS33" s="25" t="s">
        <v>8274</v>
      </c>
      <c r="BXT33" s="25" t="s">
        <v>8275</v>
      </c>
      <c r="BXU33" s="25" t="s">
        <v>25</v>
      </c>
      <c r="BXW33" s="25" t="s">
        <v>25</v>
      </c>
      <c r="BXX33" s="25" t="s">
        <v>28</v>
      </c>
      <c r="BXY33" s="25" t="s">
        <v>25</v>
      </c>
      <c r="BXZ33" s="25" t="s">
        <v>25</v>
      </c>
      <c r="BYA33" s="25" t="s">
        <v>25</v>
      </c>
      <c r="BYB33" s="25" t="s">
        <v>25</v>
      </c>
      <c r="BYC33" s="25" t="s">
        <v>8276</v>
      </c>
      <c r="BYD33" s="25" t="s">
        <v>28</v>
      </c>
      <c r="BYE33" s="25" t="s">
        <v>13609</v>
      </c>
      <c r="BYF33" s="25" t="s">
        <v>8277</v>
      </c>
      <c r="BYH33" s="25" t="s">
        <v>8278</v>
      </c>
      <c r="BYK33" s="25" t="s">
        <v>28</v>
      </c>
      <c r="BYL33" s="25" t="s">
        <v>28</v>
      </c>
      <c r="BYM33" s="25">
        <v>60</v>
      </c>
      <c r="BYN33" s="25" t="s">
        <v>25</v>
      </c>
      <c r="BYP33" s="25" t="s">
        <v>25</v>
      </c>
      <c r="BYR33" s="25" t="s">
        <v>28</v>
      </c>
      <c r="BYS33" s="25" t="s">
        <v>8279</v>
      </c>
      <c r="BYT33" s="25" t="s">
        <v>8279</v>
      </c>
      <c r="BYU33" s="25" t="s">
        <v>732</v>
      </c>
      <c r="BYV33" s="25" t="s">
        <v>25</v>
      </c>
      <c r="BYW33" s="25" t="s">
        <v>28</v>
      </c>
      <c r="BYX33" s="56">
        <v>850</v>
      </c>
      <c r="BYY33" s="56">
        <v>1700</v>
      </c>
      <c r="BYZ33" s="25" t="s">
        <v>8280</v>
      </c>
      <c r="BZA33" s="25" t="s">
        <v>8281</v>
      </c>
      <c r="BZB33" s="25" t="s">
        <v>256</v>
      </c>
      <c r="BZC33" s="25" t="s">
        <v>8282</v>
      </c>
      <c r="BZD33" s="25" t="s">
        <v>28</v>
      </c>
      <c r="BZE33" s="25" t="s">
        <v>28</v>
      </c>
      <c r="BZF33" s="25" t="s">
        <v>28</v>
      </c>
      <c r="BZG33" s="25" t="s">
        <v>25</v>
      </c>
      <c r="BZJ33" s="25" t="s">
        <v>25</v>
      </c>
      <c r="BZM33" s="25" t="s">
        <v>28</v>
      </c>
      <c r="BZN33" s="25" t="s">
        <v>8283</v>
      </c>
      <c r="BZP33" s="25" t="s">
        <v>8284</v>
      </c>
      <c r="BZQ33" s="56">
        <v>2000</v>
      </c>
      <c r="BZR33" s="25" t="s">
        <v>28</v>
      </c>
      <c r="BZS33" s="25" t="s">
        <v>25</v>
      </c>
      <c r="BZT33" s="25" t="s">
        <v>8285</v>
      </c>
      <c r="BZV33" s="25" t="s">
        <v>8286</v>
      </c>
      <c r="BZX33" s="25" t="s">
        <v>8287</v>
      </c>
      <c r="BZZ33" s="25" t="s">
        <v>25</v>
      </c>
      <c r="CAC33" s="25" t="s">
        <v>28</v>
      </c>
      <c r="CAD33" s="25" t="s">
        <v>8288</v>
      </c>
      <c r="CAE33" s="25" t="s">
        <v>28</v>
      </c>
      <c r="CAF33" s="25" t="s">
        <v>8289</v>
      </c>
      <c r="CAG33" s="25" t="s">
        <v>25</v>
      </c>
      <c r="CAH33" s="25" t="s">
        <v>631</v>
      </c>
      <c r="CAI33" s="25" t="s">
        <v>631</v>
      </c>
      <c r="CAJ33" s="25" t="s">
        <v>631</v>
      </c>
      <c r="CAK33" s="25" t="s">
        <v>631</v>
      </c>
      <c r="CAL33" s="25" t="s">
        <v>631</v>
      </c>
      <c r="CAM33" s="25" t="s">
        <v>8290</v>
      </c>
      <c r="CAN33" s="25" t="s">
        <v>631</v>
      </c>
      <c r="CAO33" s="25" t="s">
        <v>631</v>
      </c>
      <c r="CAP33" s="25" t="s">
        <v>247</v>
      </c>
      <c r="CAR33" s="25" t="s">
        <v>8291</v>
      </c>
      <c r="CAT33" s="25" t="s">
        <v>28</v>
      </c>
      <c r="CAU33" s="25" t="s">
        <v>8292</v>
      </c>
      <c r="CBB33" s="25">
        <v>1</v>
      </c>
      <c r="CBC33" s="25">
        <v>0</v>
      </c>
      <c r="CBD33" s="25">
        <v>0</v>
      </c>
      <c r="CBE33" s="56">
        <v>50</v>
      </c>
      <c r="CBF33" s="56">
        <v>150</v>
      </c>
      <c r="CBG33" s="56">
        <v>50</v>
      </c>
      <c r="CBH33" s="56">
        <v>150</v>
      </c>
      <c r="CBI33" s="56">
        <v>2500</v>
      </c>
      <c r="CBJ33" s="56">
        <v>2500</v>
      </c>
      <c r="CBK33" s="56">
        <v>2500</v>
      </c>
      <c r="CBL33" s="56">
        <v>2500</v>
      </c>
      <c r="CBM33" s="26">
        <v>0</v>
      </c>
      <c r="CBN33" s="26">
        <v>0</v>
      </c>
      <c r="CBO33" s="26">
        <v>0.1</v>
      </c>
      <c r="CBP33" s="26">
        <v>0.2</v>
      </c>
      <c r="CBQ33" s="26">
        <v>0.4</v>
      </c>
      <c r="CBR33" s="26">
        <v>0.5</v>
      </c>
      <c r="CBS33" s="26">
        <v>0.5</v>
      </c>
      <c r="CBT33" s="26">
        <v>0.5</v>
      </c>
      <c r="CBU33" s="27" t="s">
        <v>28</v>
      </c>
      <c r="CBV33" s="27" t="s">
        <v>8293</v>
      </c>
      <c r="CBW33" s="27" t="s">
        <v>8294</v>
      </c>
      <c r="CBX33" s="27" t="s">
        <v>8295</v>
      </c>
      <c r="CBY33" s="27" t="s">
        <v>8296</v>
      </c>
      <c r="CBZ33" s="27" t="s">
        <v>8296</v>
      </c>
      <c r="CCA33" s="27" t="s">
        <v>8297</v>
      </c>
      <c r="CCB33" s="27" t="s">
        <v>8298</v>
      </c>
      <c r="CCC33" s="27" t="s">
        <v>8296</v>
      </c>
      <c r="CCD33" s="27" t="s">
        <v>8297</v>
      </c>
      <c r="CCE33" s="27" t="s">
        <v>8297</v>
      </c>
      <c r="CCF33" s="27" t="s">
        <v>8297</v>
      </c>
      <c r="CCG33" s="27" t="s">
        <v>8297</v>
      </c>
      <c r="CCH33" s="27" t="s">
        <v>8298</v>
      </c>
      <c r="CCI33" s="27" t="s">
        <v>8298</v>
      </c>
      <c r="CCJ33" s="27" t="s">
        <v>8298</v>
      </c>
      <c r="CCK33" s="27" t="s">
        <v>8299</v>
      </c>
      <c r="CCL33" s="27" t="s">
        <v>8297</v>
      </c>
      <c r="CCM33" s="27" t="s">
        <v>8298</v>
      </c>
      <c r="CCN33" s="27" t="s">
        <v>8296</v>
      </c>
      <c r="CCO33" s="27" t="s">
        <v>8300</v>
      </c>
      <c r="CCP33" s="27" t="s">
        <v>8298</v>
      </c>
      <c r="CCQ33" s="27" t="s">
        <v>8296</v>
      </c>
      <c r="CCR33" s="27" t="s">
        <v>8296</v>
      </c>
      <c r="CCS33" s="27" t="s">
        <v>8298</v>
      </c>
      <c r="CCT33" s="27" t="s">
        <v>8296</v>
      </c>
      <c r="CCU33" s="27" t="s">
        <v>8298</v>
      </c>
      <c r="CCV33" s="27" t="s">
        <v>8298</v>
      </c>
      <c r="CCW33" s="27" t="s">
        <v>8298</v>
      </c>
      <c r="CCX33" s="27" t="s">
        <v>8298</v>
      </c>
      <c r="CCZ33" s="27" t="s">
        <v>28</v>
      </c>
      <c r="CDA33" s="27" t="s">
        <v>28</v>
      </c>
      <c r="CDB33" s="27" t="s">
        <v>28</v>
      </c>
      <c r="CDC33" s="27" t="s">
        <v>28</v>
      </c>
      <c r="CDD33" s="27" t="s">
        <v>28</v>
      </c>
      <c r="CDE33" s="27" t="s">
        <v>28</v>
      </c>
      <c r="CDF33" s="27" t="s">
        <v>28</v>
      </c>
      <c r="CDG33" s="27" t="s">
        <v>28</v>
      </c>
      <c r="CDH33" s="27" t="s">
        <v>28</v>
      </c>
      <c r="CDI33" s="27" t="s">
        <v>25</v>
      </c>
      <c r="CDJ33" s="27" t="s">
        <v>25</v>
      </c>
      <c r="CDK33" s="27" t="s">
        <v>25</v>
      </c>
      <c r="CDL33" s="27" t="s">
        <v>28</v>
      </c>
      <c r="CDM33" s="27" t="s">
        <v>28</v>
      </c>
      <c r="CDN33" s="27" t="s">
        <v>28</v>
      </c>
      <c r="CDO33" s="27" t="s">
        <v>25</v>
      </c>
      <c r="CDP33" s="27" t="s">
        <v>25</v>
      </c>
      <c r="CDQ33" s="27" t="s">
        <v>25</v>
      </c>
      <c r="CDR33" s="27" t="s">
        <v>25</v>
      </c>
      <c r="CDS33" s="27" t="s">
        <v>28</v>
      </c>
      <c r="CDT33" s="27" t="s">
        <v>25</v>
      </c>
      <c r="CDU33" s="27" t="s">
        <v>28</v>
      </c>
      <c r="CDV33" s="27" t="s">
        <v>25</v>
      </c>
      <c r="CDW33" s="27" t="s">
        <v>25</v>
      </c>
      <c r="CDX33" s="27" t="s">
        <v>25</v>
      </c>
      <c r="CDY33" s="27" t="s">
        <v>25</v>
      </c>
      <c r="CEA33" s="27" t="s">
        <v>2673</v>
      </c>
      <c r="CEB33" s="27" t="s">
        <v>2673</v>
      </c>
      <c r="CEC33" s="27" t="s">
        <v>8301</v>
      </c>
      <c r="CED33" s="27" t="s">
        <v>8302</v>
      </c>
      <c r="CEE33" s="27" t="s">
        <v>2673</v>
      </c>
      <c r="CEF33" s="27" t="s">
        <v>29</v>
      </c>
      <c r="CEG33" s="27" t="s">
        <v>29</v>
      </c>
      <c r="CEH33" s="27" t="s">
        <v>8301</v>
      </c>
      <c r="CEI33" s="27" t="s">
        <v>8301</v>
      </c>
      <c r="CEJ33" s="27" t="s">
        <v>29</v>
      </c>
      <c r="CEK33" s="27" t="s">
        <v>8302</v>
      </c>
      <c r="CEL33" s="27" t="s">
        <v>8303</v>
      </c>
      <c r="CEM33" s="27" t="s">
        <v>8301</v>
      </c>
      <c r="CEN33" s="27" t="s">
        <v>8301</v>
      </c>
      <c r="CEO33" s="27" t="s">
        <v>2673</v>
      </c>
      <c r="CEP33" s="27" t="s">
        <v>2673</v>
      </c>
      <c r="CEQ33" s="27" t="s">
        <v>8304</v>
      </c>
      <c r="CER33" s="27" t="s">
        <v>8302</v>
      </c>
      <c r="CES33" s="27" t="s">
        <v>2673</v>
      </c>
      <c r="CET33" s="27" t="s">
        <v>2673</v>
      </c>
      <c r="CEU33" s="27" t="s">
        <v>2673</v>
      </c>
      <c r="CEV33" s="27" t="s">
        <v>2673</v>
      </c>
      <c r="CEW33" s="27" t="s">
        <v>8305</v>
      </c>
      <c r="CEX33" s="27" t="s">
        <v>8303</v>
      </c>
      <c r="CEY33" s="27" t="s">
        <v>8303</v>
      </c>
      <c r="CEZ33" s="27" t="s">
        <v>8306</v>
      </c>
      <c r="CFB33" s="27" t="s">
        <v>25</v>
      </c>
      <c r="CFC33" s="27" t="s">
        <v>25</v>
      </c>
      <c r="CFD33" s="27" t="s">
        <v>25</v>
      </c>
      <c r="CFE33" s="27" t="s">
        <v>25</v>
      </c>
      <c r="CFF33" s="27" t="s">
        <v>25</v>
      </c>
      <c r="CFG33" s="27" t="s">
        <v>25</v>
      </c>
      <c r="CFH33" s="27" t="s">
        <v>25</v>
      </c>
      <c r="CFI33" s="27" t="s">
        <v>28</v>
      </c>
      <c r="CFJ33" s="27" t="s">
        <v>28</v>
      </c>
      <c r="CFK33" s="27" t="s">
        <v>25</v>
      </c>
      <c r="CFL33" s="27" t="s">
        <v>25</v>
      </c>
      <c r="CFM33" s="27" t="s">
        <v>28</v>
      </c>
      <c r="CFN33" s="27" t="s">
        <v>25</v>
      </c>
      <c r="CFO33" s="27" t="s">
        <v>25</v>
      </c>
      <c r="CFP33" s="27" t="s">
        <v>25</v>
      </c>
      <c r="CFQ33" s="27" t="s">
        <v>25</v>
      </c>
      <c r="CFR33" s="27" t="s">
        <v>25</v>
      </c>
      <c r="CFS33" s="27" t="s">
        <v>25</v>
      </c>
      <c r="CFT33" s="27" t="s">
        <v>25</v>
      </c>
      <c r="CFU33" s="27" t="s">
        <v>25</v>
      </c>
      <c r="CFV33" s="27" t="s">
        <v>25</v>
      </c>
      <c r="CFW33" s="27" t="s">
        <v>25</v>
      </c>
      <c r="CFX33" s="27" t="s">
        <v>28</v>
      </c>
      <c r="CFY33" s="27" t="s">
        <v>28</v>
      </c>
      <c r="CFZ33" s="27" t="s">
        <v>28</v>
      </c>
      <c r="CGA33" s="27" t="s">
        <v>25</v>
      </c>
      <c r="CPW33" s="27">
        <v>2</v>
      </c>
      <c r="CPX33" s="56">
        <v>0</v>
      </c>
      <c r="CPY33" s="26">
        <v>1</v>
      </c>
      <c r="CPZ33" s="56">
        <v>0</v>
      </c>
      <c r="CQA33" s="26">
        <v>1</v>
      </c>
      <c r="CQB33" s="25" t="s">
        <v>8307</v>
      </c>
      <c r="CQC33" s="25" t="s">
        <v>8307</v>
      </c>
      <c r="CQD33" s="25" t="s">
        <v>8307</v>
      </c>
      <c r="CQE33" s="25" t="s">
        <v>8307</v>
      </c>
      <c r="CQF33" s="25" t="s">
        <v>8307</v>
      </c>
      <c r="CQI33" s="56">
        <v>250</v>
      </c>
      <c r="CQJ33" s="56">
        <v>200</v>
      </c>
      <c r="CQL33" s="25" t="s">
        <v>13743</v>
      </c>
      <c r="CQM33" s="25" t="s">
        <v>8308</v>
      </c>
      <c r="CQN33" s="25" t="s">
        <v>25</v>
      </c>
      <c r="CQO33" s="25" t="s">
        <v>8309</v>
      </c>
      <c r="CQQ33" s="25" t="s">
        <v>8310</v>
      </c>
      <c r="CQR33" s="25" t="s">
        <v>8311</v>
      </c>
      <c r="CQS33" s="25" t="s">
        <v>28</v>
      </c>
      <c r="CQT33" s="25" t="s">
        <v>8312</v>
      </c>
      <c r="CQU33" s="25" t="s">
        <v>8312</v>
      </c>
      <c r="CQV33" s="25" t="s">
        <v>8312</v>
      </c>
      <c r="CQW33" s="25" t="s">
        <v>8312</v>
      </c>
      <c r="CQX33" s="25" t="s">
        <v>8312</v>
      </c>
      <c r="CQY33" s="25" t="s">
        <v>8313</v>
      </c>
      <c r="CQZ33" s="25" t="s">
        <v>8312</v>
      </c>
      <c r="CRA33" s="25" t="s">
        <v>8314</v>
      </c>
      <c r="CRB33" s="25" t="s">
        <v>8314</v>
      </c>
      <c r="CRC33" s="25" t="s">
        <v>8312</v>
      </c>
      <c r="CRD33" s="25" t="s">
        <v>8312</v>
      </c>
      <c r="CRE33" s="27" t="s">
        <v>8312</v>
      </c>
    </row>
    <row r="34" spans="1:2048 2050:2501" ht="89.25" x14ac:dyDescent="0.2">
      <c r="A34" s="21" t="s">
        <v>168</v>
      </c>
      <c r="B34" s="26">
        <v>0.47</v>
      </c>
      <c r="C34" s="26">
        <v>0</v>
      </c>
      <c r="D34" s="26">
        <v>0.13</v>
      </c>
      <c r="E34" s="26">
        <v>0.3</v>
      </c>
      <c r="F34" s="26">
        <v>0</v>
      </c>
      <c r="G34" s="26">
        <v>0</v>
      </c>
      <c r="H34" s="26">
        <v>0</v>
      </c>
      <c r="I34" s="26">
        <v>0</v>
      </c>
      <c r="J34" s="26">
        <v>0</v>
      </c>
      <c r="K34" s="26">
        <v>0</v>
      </c>
      <c r="L34" s="26">
        <v>0</v>
      </c>
      <c r="M34" s="26">
        <v>0.1</v>
      </c>
      <c r="N34" s="26">
        <v>0.8</v>
      </c>
      <c r="O34" s="26">
        <v>0</v>
      </c>
      <c r="P34" s="26">
        <v>0</v>
      </c>
      <c r="Q34" s="26">
        <v>0</v>
      </c>
      <c r="R34" s="26">
        <v>0.2</v>
      </c>
      <c r="S34" s="26">
        <v>0</v>
      </c>
      <c r="T34" s="26">
        <v>0</v>
      </c>
      <c r="U34" s="26">
        <v>0</v>
      </c>
      <c r="V34" s="26">
        <v>0</v>
      </c>
      <c r="W34" s="26">
        <v>0</v>
      </c>
      <c r="X34" s="26">
        <v>0</v>
      </c>
      <c r="Y34" s="26">
        <v>0</v>
      </c>
      <c r="Z34" s="25">
        <v>1</v>
      </c>
      <c r="AA34" s="25" t="s">
        <v>8898</v>
      </c>
      <c r="AC34" s="56">
        <v>2250</v>
      </c>
      <c r="AD34" s="56">
        <v>4500</v>
      </c>
      <c r="AE34" s="56">
        <v>6250</v>
      </c>
      <c r="AF34" s="56">
        <v>12500</v>
      </c>
      <c r="AI34" s="25" t="s">
        <v>8600</v>
      </c>
      <c r="AJ34" s="56">
        <v>250</v>
      </c>
      <c r="AK34" s="56">
        <v>500</v>
      </c>
      <c r="AL34" s="56">
        <v>500</v>
      </c>
      <c r="AM34" s="56">
        <v>1000</v>
      </c>
      <c r="AN34" s="25" t="s">
        <v>8350</v>
      </c>
      <c r="AO34" s="25" t="s">
        <v>8248</v>
      </c>
      <c r="BB34" s="25" t="s">
        <v>8249</v>
      </c>
      <c r="DO34" s="25" t="s">
        <v>25</v>
      </c>
      <c r="DP34" s="25" t="s">
        <v>28</v>
      </c>
      <c r="DQ34" s="25" t="s">
        <v>25</v>
      </c>
      <c r="DR34" s="25" t="s">
        <v>25</v>
      </c>
      <c r="DT34" s="25" t="s">
        <v>13417</v>
      </c>
      <c r="DU34" s="25" t="s">
        <v>13417</v>
      </c>
      <c r="DV34" s="56">
        <v>20</v>
      </c>
      <c r="DW34" s="56">
        <v>20</v>
      </c>
      <c r="DX34" s="56">
        <v>20</v>
      </c>
      <c r="DY34" s="56">
        <v>100</v>
      </c>
      <c r="DZ34" s="56">
        <v>20</v>
      </c>
      <c r="EA34" s="56">
        <v>20</v>
      </c>
      <c r="EF34" s="26">
        <v>0.1</v>
      </c>
      <c r="EM34" s="56">
        <v>100</v>
      </c>
      <c r="EQ34" s="26">
        <v>0.3</v>
      </c>
      <c r="ER34" s="26">
        <v>0.3</v>
      </c>
      <c r="ES34" s="26">
        <v>0.3</v>
      </c>
      <c r="ET34" s="26">
        <v>0.1</v>
      </c>
      <c r="EU34" s="26">
        <v>0.3</v>
      </c>
      <c r="EV34" s="26">
        <v>0.3</v>
      </c>
      <c r="EX34" s="25" t="s">
        <v>8527</v>
      </c>
      <c r="EY34" s="25" t="s">
        <v>8527</v>
      </c>
      <c r="EZ34" s="25" t="s">
        <v>8527</v>
      </c>
      <c r="FA34" s="25" t="s">
        <v>8527</v>
      </c>
      <c r="FB34" s="25" t="s">
        <v>8527</v>
      </c>
      <c r="FC34" s="25" t="s">
        <v>8527</v>
      </c>
      <c r="FE34" s="25" t="s">
        <v>25</v>
      </c>
      <c r="FF34" s="25" t="s">
        <v>25</v>
      </c>
      <c r="FG34" s="25" t="s">
        <v>25</v>
      </c>
      <c r="FH34" s="25" t="s">
        <v>25</v>
      </c>
      <c r="FI34" s="25" t="s">
        <v>25</v>
      </c>
      <c r="FJ34" s="25" t="s">
        <v>25</v>
      </c>
      <c r="FL34" s="25" t="s">
        <v>13810</v>
      </c>
      <c r="FM34" s="25" t="s">
        <v>13810</v>
      </c>
      <c r="FN34" s="25" t="s">
        <v>13810</v>
      </c>
      <c r="FO34" s="25" t="s">
        <v>13810</v>
      </c>
      <c r="FP34" s="25" t="s">
        <v>13810</v>
      </c>
      <c r="FQ34" s="25" t="s">
        <v>13810</v>
      </c>
      <c r="FR34" s="25" t="s">
        <v>8252</v>
      </c>
      <c r="FS34" s="25" t="s">
        <v>13810</v>
      </c>
      <c r="FT34" s="25" t="s">
        <v>631</v>
      </c>
      <c r="FV34" s="25" t="s">
        <v>13448</v>
      </c>
      <c r="FW34" s="25" t="s">
        <v>13448</v>
      </c>
      <c r="FX34" s="25" t="s">
        <v>13446</v>
      </c>
      <c r="FY34" s="25" t="s">
        <v>13446</v>
      </c>
      <c r="FZ34" s="25" t="s">
        <v>13446</v>
      </c>
      <c r="GA34" s="25" t="s">
        <v>13446</v>
      </c>
      <c r="GB34" s="25" t="s">
        <v>13441</v>
      </c>
      <c r="GC34" s="25" t="s">
        <v>13446</v>
      </c>
      <c r="GE34" s="56">
        <v>10</v>
      </c>
      <c r="GF34" s="56">
        <v>10</v>
      </c>
      <c r="GG34" s="56">
        <v>10</v>
      </c>
      <c r="GI34" s="56">
        <v>25</v>
      </c>
      <c r="GJ34" s="56">
        <v>25</v>
      </c>
      <c r="GK34" s="56">
        <v>50</v>
      </c>
      <c r="GM34" s="56">
        <v>40</v>
      </c>
      <c r="GN34" s="56">
        <v>40</v>
      </c>
      <c r="GO34" s="56">
        <v>80</v>
      </c>
      <c r="KM34" s="25" t="s">
        <v>8352</v>
      </c>
      <c r="KN34" s="25" t="s">
        <v>8298</v>
      </c>
      <c r="KO34" s="25" t="s">
        <v>8321</v>
      </c>
      <c r="KP34" s="25">
        <v>1</v>
      </c>
      <c r="KQ34" s="25" t="s">
        <v>8900</v>
      </c>
      <c r="KS34" s="56">
        <v>3000</v>
      </c>
      <c r="KT34" s="56">
        <v>6000</v>
      </c>
      <c r="KU34" s="56">
        <v>6000</v>
      </c>
      <c r="KV34" s="56">
        <v>12000</v>
      </c>
      <c r="KY34" s="25" t="s">
        <v>8600</v>
      </c>
      <c r="KZ34" s="56">
        <v>1500</v>
      </c>
      <c r="LA34" s="56">
        <v>3000</v>
      </c>
      <c r="LB34" s="56">
        <v>3000</v>
      </c>
      <c r="LC34" s="56">
        <v>6000</v>
      </c>
      <c r="LD34" s="25" t="s">
        <v>8247</v>
      </c>
      <c r="LE34" s="25" t="s">
        <v>8248</v>
      </c>
      <c r="LR34" s="25" t="s">
        <v>8249</v>
      </c>
      <c r="OE34" s="25" t="s">
        <v>25</v>
      </c>
      <c r="OF34" s="25" t="s">
        <v>28</v>
      </c>
      <c r="OG34" s="25" t="s">
        <v>28</v>
      </c>
      <c r="OH34" s="25" t="s">
        <v>28</v>
      </c>
      <c r="OI34" s="25" t="s">
        <v>8901</v>
      </c>
      <c r="OJ34" s="25" t="s">
        <v>13416</v>
      </c>
      <c r="OK34" s="25" t="s">
        <v>13416</v>
      </c>
      <c r="OS34" s="26">
        <v>0.1</v>
      </c>
      <c r="OT34" s="26">
        <v>0.1</v>
      </c>
      <c r="OU34" s="26">
        <v>0.1</v>
      </c>
      <c r="OV34" s="26">
        <v>0.1</v>
      </c>
      <c r="OW34" s="26">
        <v>0.1</v>
      </c>
      <c r="OX34" s="26">
        <v>0.1</v>
      </c>
      <c r="PG34" s="26">
        <v>0.3</v>
      </c>
      <c r="PH34" s="26">
        <v>0.3</v>
      </c>
      <c r="PI34" s="26">
        <v>0.3</v>
      </c>
      <c r="PJ34" s="26">
        <v>0.1</v>
      </c>
      <c r="PK34" s="26">
        <v>0.3</v>
      </c>
      <c r="PL34" s="26">
        <v>0.3</v>
      </c>
      <c r="PN34" s="25" t="s">
        <v>8527</v>
      </c>
      <c r="PO34" s="25" t="s">
        <v>8527</v>
      </c>
      <c r="PP34" s="25" t="s">
        <v>8527</v>
      </c>
      <c r="PQ34" s="25" t="s">
        <v>8527</v>
      </c>
      <c r="PR34" s="25" t="s">
        <v>8527</v>
      </c>
      <c r="PS34" s="25" t="s">
        <v>8527</v>
      </c>
      <c r="PU34" s="25" t="s">
        <v>25</v>
      </c>
      <c r="PV34" s="25" t="s">
        <v>25</v>
      </c>
      <c r="PW34" s="25" t="s">
        <v>25</v>
      </c>
      <c r="PX34" s="25" t="s">
        <v>25</v>
      </c>
      <c r="PY34" s="25" t="s">
        <v>25</v>
      </c>
      <c r="PZ34" s="25" t="s">
        <v>25</v>
      </c>
      <c r="QB34" s="25" t="s">
        <v>13810</v>
      </c>
      <c r="QC34" s="25" t="s">
        <v>13810</v>
      </c>
      <c r="QD34" s="25" t="s">
        <v>13810</v>
      </c>
      <c r="QE34" s="25" t="s">
        <v>13810</v>
      </c>
      <c r="QF34" s="25" t="s">
        <v>13810</v>
      </c>
      <c r="QG34" s="25" t="s">
        <v>13810</v>
      </c>
      <c r="QH34" s="25" t="s">
        <v>8252</v>
      </c>
      <c r="QI34" s="25" t="s">
        <v>13810</v>
      </c>
      <c r="QJ34" s="25" t="s">
        <v>631</v>
      </c>
      <c r="QL34" s="25" t="s">
        <v>8253</v>
      </c>
      <c r="QM34" s="25" t="s">
        <v>13440</v>
      </c>
      <c r="QN34" s="25" t="s">
        <v>13440</v>
      </c>
      <c r="QO34" s="25" t="s">
        <v>13448</v>
      </c>
      <c r="QP34" s="25" t="s">
        <v>13448</v>
      </c>
      <c r="QQ34" s="25" t="s">
        <v>13448</v>
      </c>
      <c r="QR34" s="25" t="s">
        <v>13457</v>
      </c>
      <c r="QS34" s="25" t="s">
        <v>13448</v>
      </c>
      <c r="RW34" s="26">
        <v>0.1</v>
      </c>
      <c r="RX34" s="26">
        <v>0.1</v>
      </c>
      <c r="RY34" s="26">
        <v>0.1</v>
      </c>
      <c r="SD34" s="56">
        <v>10</v>
      </c>
      <c r="SE34" s="56">
        <v>30</v>
      </c>
      <c r="SF34" s="56">
        <v>25</v>
      </c>
      <c r="SG34" s="56">
        <v>75</v>
      </c>
      <c r="SI34" s="56">
        <v>120</v>
      </c>
      <c r="SR34" s="26">
        <v>0.1</v>
      </c>
      <c r="SS34" s="26">
        <v>0.1</v>
      </c>
      <c r="ST34" s="26">
        <v>0.1</v>
      </c>
      <c r="SY34" s="56">
        <v>10</v>
      </c>
      <c r="SZ34" s="56">
        <v>30</v>
      </c>
      <c r="TA34" s="56">
        <v>25</v>
      </c>
      <c r="TB34" s="56">
        <v>75</v>
      </c>
      <c r="TC34" s="56">
        <v>40</v>
      </c>
      <c r="TD34" s="56">
        <v>120</v>
      </c>
      <c r="TM34" s="26">
        <v>0.1</v>
      </c>
      <c r="TN34" s="26">
        <v>0.1</v>
      </c>
      <c r="TO34" s="26">
        <v>0.1</v>
      </c>
      <c r="TT34" s="56">
        <v>20</v>
      </c>
      <c r="TU34" s="56">
        <v>60</v>
      </c>
      <c r="TV34" s="56">
        <v>50</v>
      </c>
      <c r="TW34" s="56">
        <v>150</v>
      </c>
      <c r="TX34" s="56">
        <v>80</v>
      </c>
      <c r="TY34" s="56">
        <v>240</v>
      </c>
      <c r="VC34" s="25" t="s">
        <v>8352</v>
      </c>
      <c r="VD34" s="25" t="s">
        <v>8298</v>
      </c>
      <c r="VE34" s="25" t="s">
        <v>8321</v>
      </c>
      <c r="VF34" s="25">
        <v>0</v>
      </c>
      <c r="VI34" s="25"/>
      <c r="VJ34" s="25"/>
      <c r="VK34" s="25"/>
      <c r="VL34" s="25"/>
      <c r="VM34" s="25"/>
      <c r="VN34" s="25"/>
      <c r="VP34" s="25"/>
      <c r="VQ34" s="25"/>
      <c r="VR34" s="25"/>
      <c r="VS34" s="25"/>
      <c r="ZA34" s="25"/>
      <c r="ZB34" s="25"/>
      <c r="ZC34" s="25"/>
      <c r="ZD34" s="25"/>
      <c r="ZE34" s="25"/>
      <c r="ZF34" s="25"/>
      <c r="ZG34" s="25"/>
      <c r="ZO34" s="25"/>
      <c r="ZP34" s="25"/>
      <c r="ZQ34" s="25"/>
      <c r="ZR34" s="25"/>
      <c r="ZS34" s="25"/>
      <c r="ZT34" s="25"/>
      <c r="ZU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S34" s="25"/>
      <c r="ACT34" s="25"/>
      <c r="ACU34" s="25"/>
      <c r="ACV34" s="25"/>
      <c r="ACW34" s="25"/>
      <c r="ACX34" s="25"/>
      <c r="ACY34" s="25"/>
      <c r="ACZ34" s="25"/>
      <c r="ADA34" s="25"/>
      <c r="ADB34" s="25"/>
      <c r="ADC34" s="25"/>
      <c r="ADD34" s="25"/>
      <c r="ADE34" s="25"/>
      <c r="ADF34" s="25"/>
      <c r="ADN34" s="25"/>
      <c r="ADO34" s="25"/>
      <c r="ADP34" s="25"/>
      <c r="ADQ34" s="25"/>
      <c r="ADR34" s="25"/>
      <c r="ADS34" s="25"/>
      <c r="ADT34" s="25"/>
      <c r="ADU34" s="25"/>
      <c r="ADV34" s="25"/>
      <c r="ADW34" s="25"/>
      <c r="ADX34" s="25"/>
      <c r="ADY34" s="25"/>
      <c r="ADZ34" s="25"/>
      <c r="AEA34" s="25"/>
      <c r="AEI34" s="25"/>
      <c r="AEJ34" s="25"/>
      <c r="AEK34" s="25"/>
      <c r="AEL34" s="25"/>
      <c r="AEM34" s="25"/>
      <c r="AEN34" s="25"/>
      <c r="AEO34" s="25"/>
      <c r="AEP34" s="25"/>
      <c r="AEQ34" s="25"/>
      <c r="AER34" s="25"/>
      <c r="AES34" s="25"/>
      <c r="AET34" s="25"/>
      <c r="AEU34" s="25"/>
      <c r="AEV34" s="25"/>
      <c r="AFD34" s="25"/>
      <c r="AFE34" s="25"/>
      <c r="AFF34" s="25"/>
      <c r="AFG34" s="25"/>
      <c r="AFH34" s="25"/>
      <c r="AFI34" s="25"/>
      <c r="AFJ34" s="25"/>
      <c r="AFK34" s="25"/>
      <c r="AFL34" s="25"/>
      <c r="AFM34" s="25"/>
      <c r="AFN34" s="25"/>
      <c r="AFO34" s="25"/>
      <c r="AFP34" s="25"/>
      <c r="AFQ34" s="25"/>
      <c r="AFU34" s="25">
        <v>0</v>
      </c>
      <c r="AFX34" s="25"/>
      <c r="AFY34" s="25"/>
      <c r="AFZ34" s="25"/>
      <c r="AGA34" s="25"/>
      <c r="AGB34" s="25"/>
      <c r="AGC34" s="25"/>
      <c r="AGE34" s="25"/>
      <c r="AGF34" s="25"/>
      <c r="AGG34" s="25"/>
      <c r="AGH34" s="25"/>
      <c r="AJP34" s="25"/>
      <c r="AJQ34" s="25"/>
      <c r="AJR34" s="25"/>
      <c r="AJS34" s="25"/>
      <c r="AJT34" s="25"/>
      <c r="AJU34" s="25"/>
      <c r="AJV34" s="25"/>
      <c r="AKD34" s="25"/>
      <c r="AKE34" s="25"/>
      <c r="AKF34" s="25"/>
      <c r="AKG34" s="25"/>
      <c r="AKH34" s="25"/>
      <c r="AKI34" s="25"/>
      <c r="AKJ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H34" s="25"/>
      <c r="ANI34" s="25"/>
      <c r="ANJ34" s="25"/>
      <c r="ANK34" s="25"/>
      <c r="ANL34" s="25"/>
      <c r="ANM34" s="25"/>
      <c r="ANN34" s="25"/>
      <c r="ANO34" s="25"/>
      <c r="ANP34" s="25"/>
      <c r="ANQ34" s="25"/>
      <c r="ANR34" s="25"/>
      <c r="ANS34" s="25"/>
      <c r="ANT34" s="25"/>
      <c r="ANU34" s="25"/>
      <c r="AOC34" s="25"/>
      <c r="AOD34" s="25"/>
      <c r="AOE34" s="25"/>
      <c r="AOF34" s="25"/>
      <c r="AOG34" s="25"/>
      <c r="AOH34" s="25"/>
      <c r="AOI34" s="25"/>
      <c r="AOJ34" s="25"/>
      <c r="AOK34" s="25"/>
      <c r="AOL34" s="25"/>
      <c r="AOM34" s="25"/>
      <c r="AON34" s="25"/>
      <c r="AOO34" s="25"/>
      <c r="AOP34" s="25"/>
      <c r="AOX34" s="25"/>
      <c r="AOY34" s="25"/>
      <c r="AOZ34" s="25"/>
      <c r="APA34" s="25"/>
      <c r="APB34" s="25"/>
      <c r="APC34" s="25"/>
      <c r="APD34" s="25"/>
      <c r="APE34" s="25"/>
      <c r="APF34" s="25"/>
      <c r="APG34" s="25"/>
      <c r="APH34" s="25"/>
      <c r="API34" s="25"/>
      <c r="APJ34" s="25"/>
      <c r="APK34" s="25"/>
      <c r="APS34" s="25"/>
      <c r="APT34" s="25"/>
      <c r="APU34" s="25"/>
      <c r="APV34" s="25"/>
      <c r="APW34" s="25"/>
      <c r="APX34" s="25"/>
      <c r="APY34" s="25"/>
      <c r="APZ34" s="25"/>
      <c r="AQA34" s="25"/>
      <c r="AQB34" s="25"/>
      <c r="AQC34" s="25"/>
      <c r="AQD34" s="25"/>
      <c r="AQE34" s="25"/>
      <c r="AQF34" s="25"/>
      <c r="AQJ34" s="25">
        <v>5</v>
      </c>
      <c r="AQK34" s="25" t="s">
        <v>8902</v>
      </c>
      <c r="AQL34" s="25" t="s">
        <v>8903</v>
      </c>
      <c r="AQM34" s="56">
        <v>2000</v>
      </c>
      <c r="AQN34" s="56">
        <v>4000</v>
      </c>
      <c r="AQS34" s="25" t="s">
        <v>8789</v>
      </c>
      <c r="AQX34" s="25" t="s">
        <v>8248</v>
      </c>
      <c r="ARK34" s="25" t="s">
        <v>8249</v>
      </c>
      <c r="ATX34" s="25" t="s">
        <v>25</v>
      </c>
      <c r="ATY34" s="25" t="s">
        <v>28</v>
      </c>
      <c r="ATZ34" s="25" t="s">
        <v>25</v>
      </c>
      <c r="AUA34" s="25" t="s">
        <v>25</v>
      </c>
      <c r="AUC34" s="25" t="s">
        <v>13417</v>
      </c>
      <c r="AUD34" s="25" t="s">
        <v>8404</v>
      </c>
      <c r="AUE34" s="56">
        <v>20</v>
      </c>
      <c r="AUF34" s="56">
        <v>20</v>
      </c>
      <c r="AUG34" s="56">
        <v>20</v>
      </c>
      <c r="AUH34" s="56">
        <v>100</v>
      </c>
      <c r="AUI34" s="56">
        <v>20</v>
      </c>
      <c r="AUJ34" s="56">
        <v>20</v>
      </c>
      <c r="AUV34" s="56">
        <v>100</v>
      </c>
      <c r="AVG34" s="25" t="s">
        <v>8250</v>
      </c>
      <c r="AVH34" s="25" t="s">
        <v>8250</v>
      </c>
      <c r="AVI34" s="25" t="s">
        <v>8250</v>
      </c>
      <c r="AVJ34" s="25" t="s">
        <v>8250</v>
      </c>
      <c r="AVK34" s="25" t="s">
        <v>8250</v>
      </c>
      <c r="AVL34" s="25" t="s">
        <v>8261</v>
      </c>
      <c r="AVM34" s="25" t="s">
        <v>8250</v>
      </c>
      <c r="AVN34" s="25" t="s">
        <v>25</v>
      </c>
      <c r="AVO34" s="25" t="s">
        <v>25</v>
      </c>
      <c r="AVP34" s="25" t="s">
        <v>25</v>
      </c>
      <c r="AVQ34" s="25" t="s">
        <v>25</v>
      </c>
      <c r="AVR34" s="25" t="s">
        <v>25</v>
      </c>
      <c r="AVS34" s="25" t="s">
        <v>25</v>
      </c>
      <c r="AVT34" s="25" t="s">
        <v>25</v>
      </c>
      <c r="AVU34" s="25" t="s">
        <v>13810</v>
      </c>
      <c r="AVV34" s="25" t="s">
        <v>13810</v>
      </c>
      <c r="AVW34" s="25" t="s">
        <v>13810</v>
      </c>
      <c r="AVX34" s="25" t="s">
        <v>13810</v>
      </c>
      <c r="AVY34" s="25" t="s">
        <v>631</v>
      </c>
      <c r="AVZ34" s="25" t="s">
        <v>631</v>
      </c>
      <c r="AWA34" s="25" t="s">
        <v>631</v>
      </c>
      <c r="AWB34" s="25" t="s">
        <v>8252</v>
      </c>
      <c r="AWC34" s="25" t="s">
        <v>631</v>
      </c>
      <c r="AWE34" s="25" t="s">
        <v>8424</v>
      </c>
      <c r="AWF34" s="25" t="s">
        <v>8424</v>
      </c>
      <c r="AWG34" s="25" t="s">
        <v>8424</v>
      </c>
      <c r="AWH34" s="25" t="s">
        <v>8424</v>
      </c>
      <c r="AWL34" s="25" t="s">
        <v>8253</v>
      </c>
      <c r="AWN34" s="56">
        <v>10</v>
      </c>
      <c r="AWP34" s="56">
        <v>20</v>
      </c>
      <c r="AWR34" s="56">
        <v>25</v>
      </c>
      <c r="AWT34" s="56">
        <v>50</v>
      </c>
      <c r="BAV34" s="25" t="s">
        <v>8255</v>
      </c>
      <c r="BAW34" s="25" t="s">
        <v>8298</v>
      </c>
      <c r="BAX34" s="25" t="s">
        <v>8321</v>
      </c>
      <c r="BAY34" s="25">
        <v>0</v>
      </c>
      <c r="BBB34" s="25"/>
      <c r="BBC34" s="25"/>
      <c r="BBD34" s="25"/>
      <c r="BBE34" s="25"/>
      <c r="BBF34" s="25"/>
      <c r="BBG34" s="25"/>
      <c r="BBI34" s="25"/>
      <c r="BBJ34" s="25"/>
      <c r="BBK34" s="25"/>
      <c r="BBL34" s="25"/>
      <c r="BET34" s="25"/>
      <c r="BEU34" s="25"/>
      <c r="BEV34" s="25"/>
      <c r="BEW34" s="25"/>
      <c r="BEX34" s="25"/>
      <c r="BEY34" s="25"/>
      <c r="BEZ34" s="25"/>
      <c r="BFH34" s="25"/>
      <c r="BFI34" s="25"/>
      <c r="BFJ34" s="25"/>
      <c r="BFK34" s="25"/>
      <c r="BFL34" s="25"/>
      <c r="BFM34" s="25"/>
      <c r="BFN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L34" s="25"/>
      <c r="BIM34" s="25"/>
      <c r="BIN34" s="25"/>
      <c r="BIO34" s="25"/>
      <c r="BIP34" s="25"/>
      <c r="BIQ34" s="25"/>
      <c r="BIR34" s="25"/>
      <c r="BIS34" s="25"/>
      <c r="BIT34" s="25"/>
      <c r="BIU34" s="25"/>
      <c r="BIV34" s="25"/>
      <c r="BIW34" s="25"/>
      <c r="BIX34" s="25"/>
      <c r="BIY34" s="25"/>
      <c r="BJG34" s="25"/>
      <c r="BJH34" s="25"/>
      <c r="BJI34" s="25"/>
      <c r="BJJ34" s="25"/>
      <c r="BJK34" s="25"/>
      <c r="BJL34" s="25"/>
      <c r="BJM34" s="25"/>
      <c r="BJN34" s="25"/>
      <c r="BJO34" s="25"/>
      <c r="BJP34" s="25"/>
      <c r="BJQ34" s="25"/>
      <c r="BJR34" s="25"/>
      <c r="BJS34" s="25"/>
      <c r="BJT34" s="25"/>
      <c r="BKB34" s="25"/>
      <c r="BKC34" s="25"/>
      <c r="BKD34" s="25"/>
      <c r="BKE34" s="25"/>
      <c r="BKF34" s="25"/>
      <c r="BKG34" s="25"/>
      <c r="BKH34" s="25"/>
      <c r="BKI34" s="25"/>
      <c r="BKJ34" s="25"/>
      <c r="BKK34" s="25"/>
      <c r="BKL34" s="25"/>
      <c r="BKM34" s="25"/>
      <c r="BKN34" s="25"/>
      <c r="BKO34" s="25"/>
      <c r="BKW34" s="25"/>
      <c r="BKX34" s="25"/>
      <c r="BKY34" s="25"/>
      <c r="BKZ34" s="25"/>
      <c r="BLA34" s="25"/>
      <c r="BLB34" s="25"/>
      <c r="BLC34" s="25"/>
      <c r="BLD34" s="25"/>
      <c r="BLE34" s="25"/>
      <c r="BLF34" s="25"/>
      <c r="BLG34" s="25"/>
      <c r="BLH34" s="25"/>
      <c r="BLI34" s="25"/>
      <c r="BLJ34" s="25"/>
      <c r="BLN34" s="25">
        <v>0</v>
      </c>
      <c r="BLQ34" s="25"/>
      <c r="BLR34" s="25"/>
      <c r="BLS34" s="25"/>
      <c r="BLT34" s="25"/>
      <c r="BLU34" s="25"/>
      <c r="BLV34" s="25"/>
      <c r="BLX34" s="25"/>
      <c r="BLY34" s="25"/>
      <c r="BLZ34" s="25"/>
      <c r="BMA34" s="25"/>
      <c r="BPI34" s="25"/>
      <c r="BPJ34" s="25"/>
      <c r="BPK34" s="25"/>
      <c r="BPL34" s="25"/>
      <c r="BPM34" s="25"/>
      <c r="BPN34" s="25"/>
      <c r="BPO34" s="25"/>
      <c r="BPW34" s="25"/>
      <c r="BPX34" s="25"/>
      <c r="BPY34" s="25"/>
      <c r="BPZ34" s="25"/>
      <c r="BQA34" s="25"/>
      <c r="BQB34" s="25"/>
      <c r="BQC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TA34" s="25"/>
      <c r="BTB34" s="25"/>
      <c r="BTC34" s="25"/>
      <c r="BTD34" s="25"/>
      <c r="BTE34" s="25"/>
      <c r="BTF34" s="25"/>
      <c r="BTG34" s="25"/>
      <c r="BTH34" s="25"/>
      <c r="BTI34" s="25"/>
      <c r="BTJ34" s="25"/>
      <c r="BTK34" s="25"/>
      <c r="BTL34" s="25"/>
      <c r="BTM34" s="25"/>
      <c r="BTN34" s="25"/>
      <c r="BUQ34" s="25"/>
      <c r="BUR34" s="25"/>
      <c r="BUS34" s="25"/>
      <c r="BUT34" s="25"/>
      <c r="BUU34" s="25"/>
      <c r="BUV34" s="25"/>
      <c r="BUW34" s="25"/>
      <c r="BUX34" s="25"/>
      <c r="BUY34" s="25"/>
      <c r="BUZ34" s="25"/>
      <c r="BVA34" s="25"/>
      <c r="BVB34" s="25"/>
      <c r="BVC34" s="25"/>
      <c r="BVD34" s="25"/>
      <c r="BWC34" s="25" t="s">
        <v>28</v>
      </c>
      <c r="BWD34" s="25" t="s">
        <v>8659</v>
      </c>
      <c r="BWE34" s="25" t="s">
        <v>8357</v>
      </c>
      <c r="BWF34" s="25" t="s">
        <v>13720</v>
      </c>
      <c r="BWG34" s="25" t="s">
        <v>28</v>
      </c>
      <c r="BWH34" s="25" t="s">
        <v>2169</v>
      </c>
      <c r="BWI34" s="25" t="s">
        <v>28</v>
      </c>
      <c r="BWJ34" s="25" t="s">
        <v>8405</v>
      </c>
      <c r="BWK34" s="25" t="s">
        <v>25</v>
      </c>
      <c r="BWM34" s="25" t="s">
        <v>25</v>
      </c>
      <c r="BWO34" s="25" t="s">
        <v>25</v>
      </c>
      <c r="BWQ34" s="25" t="s">
        <v>28</v>
      </c>
      <c r="BWR34" s="25" t="s">
        <v>25</v>
      </c>
      <c r="BWT34" s="25" t="s">
        <v>25</v>
      </c>
      <c r="BWV34" s="25" t="s">
        <v>25</v>
      </c>
      <c r="BWX34" s="25" t="s">
        <v>28</v>
      </c>
      <c r="BWY34" s="25" t="s">
        <v>8904</v>
      </c>
      <c r="BWZ34" s="25" t="s">
        <v>25</v>
      </c>
      <c r="BXB34" s="25" t="s">
        <v>28</v>
      </c>
      <c r="BXC34" s="56">
        <v>12</v>
      </c>
      <c r="BXD34" s="25" t="s">
        <v>28</v>
      </c>
      <c r="BXE34" s="25" t="s">
        <v>8905</v>
      </c>
      <c r="BXF34" s="25" t="s">
        <v>28</v>
      </c>
      <c r="BXG34" s="56">
        <v>24</v>
      </c>
      <c r="BXH34" s="25" t="s">
        <v>28</v>
      </c>
      <c r="BXI34" s="56">
        <v>24</v>
      </c>
      <c r="BXJ34" s="25" t="s">
        <v>28</v>
      </c>
      <c r="BXK34" s="25" t="s">
        <v>8685</v>
      </c>
      <c r="BXL34" s="25" t="s">
        <v>13821</v>
      </c>
      <c r="BXM34" s="25" t="s">
        <v>2201</v>
      </c>
      <c r="BXN34" s="25" t="s">
        <v>8272</v>
      </c>
      <c r="BXO34" s="25" t="s">
        <v>8274</v>
      </c>
      <c r="BXP34" s="25" t="s">
        <v>8361</v>
      </c>
      <c r="BXQ34" s="25" t="s">
        <v>8274</v>
      </c>
      <c r="BXR34" s="25" t="s">
        <v>8361</v>
      </c>
      <c r="BXS34" s="25" t="s">
        <v>8361</v>
      </c>
      <c r="BXT34" s="25" t="s">
        <v>8906</v>
      </c>
      <c r="BXU34" s="25" t="s">
        <v>25</v>
      </c>
      <c r="BXW34" s="25" t="s">
        <v>28</v>
      </c>
      <c r="BXX34" s="25" t="s">
        <v>28</v>
      </c>
      <c r="BXY34" s="25" t="s">
        <v>28</v>
      </c>
      <c r="BXZ34" s="25" t="s">
        <v>28</v>
      </c>
      <c r="BYA34" s="25" t="s">
        <v>28</v>
      </c>
      <c r="BYB34" s="25" t="s">
        <v>28</v>
      </c>
      <c r="BYC34" s="25" t="s">
        <v>8276</v>
      </c>
      <c r="BYD34" s="25" t="s">
        <v>28</v>
      </c>
      <c r="BYE34" s="25" t="s">
        <v>13623</v>
      </c>
      <c r="BYF34" s="25" t="s">
        <v>8277</v>
      </c>
      <c r="BYH34" s="25" t="s">
        <v>8363</v>
      </c>
      <c r="BYK34" s="25" t="s">
        <v>28</v>
      </c>
      <c r="BYL34" s="25" t="s">
        <v>28</v>
      </c>
      <c r="BYM34" s="25">
        <v>24</v>
      </c>
      <c r="BYN34" s="25" t="s">
        <v>28</v>
      </c>
      <c r="BYO34" s="25">
        <v>24</v>
      </c>
      <c r="BYP34" s="25" t="s">
        <v>28</v>
      </c>
      <c r="BYQ34" s="25">
        <v>72</v>
      </c>
      <c r="BYR34" s="25" t="s">
        <v>28</v>
      </c>
      <c r="BYS34" s="25" t="s">
        <v>8279</v>
      </c>
      <c r="BYT34" s="25" t="s">
        <v>8279</v>
      </c>
      <c r="BYU34" s="25" t="s">
        <v>732</v>
      </c>
      <c r="BYV34" s="25" t="s">
        <v>25</v>
      </c>
      <c r="BYW34" s="25" t="s">
        <v>28</v>
      </c>
      <c r="BYX34" s="56">
        <v>500</v>
      </c>
      <c r="BYY34" s="56">
        <v>1000</v>
      </c>
      <c r="BYZ34" s="25" t="s">
        <v>8280</v>
      </c>
      <c r="BZA34" s="25" t="s">
        <v>8907</v>
      </c>
      <c r="BZB34" s="25" t="s">
        <v>249</v>
      </c>
      <c r="BZD34" s="25" t="s">
        <v>28</v>
      </c>
      <c r="BZE34" s="25" t="s">
        <v>28</v>
      </c>
      <c r="BZF34" s="25" t="s">
        <v>28</v>
      </c>
      <c r="BZG34" s="25" t="s">
        <v>25</v>
      </c>
      <c r="BZJ34" s="25" t="s">
        <v>25</v>
      </c>
      <c r="BZM34" s="25" t="s">
        <v>28</v>
      </c>
      <c r="BZN34" s="25" t="s">
        <v>13633</v>
      </c>
      <c r="BZP34" s="25" t="s">
        <v>8366</v>
      </c>
      <c r="BZQ34" s="56">
        <v>1000</v>
      </c>
      <c r="BZR34" s="25" t="s">
        <v>607</v>
      </c>
      <c r="BZS34" s="25" t="s">
        <v>25</v>
      </c>
      <c r="BZT34" s="25" t="s">
        <v>8337</v>
      </c>
      <c r="BZV34" s="25" t="s">
        <v>8908</v>
      </c>
      <c r="BZX34" s="25" t="s">
        <v>8909</v>
      </c>
      <c r="BZY34" s="25" t="s">
        <v>8910</v>
      </c>
      <c r="BZZ34" s="25" t="s">
        <v>25</v>
      </c>
      <c r="CAC34" s="25" t="s">
        <v>28</v>
      </c>
      <c r="CAE34" s="25" t="s">
        <v>28</v>
      </c>
      <c r="CAF34" s="25" t="s">
        <v>8289</v>
      </c>
      <c r="CAG34" s="25" t="s">
        <v>25</v>
      </c>
      <c r="CAH34" s="25" t="s">
        <v>631</v>
      </c>
      <c r="CAI34" s="25" t="s">
        <v>631</v>
      </c>
      <c r="CAJ34" s="25" t="s">
        <v>631</v>
      </c>
      <c r="CAK34" s="25" t="s">
        <v>631</v>
      </c>
      <c r="CAL34" s="25" t="s">
        <v>631</v>
      </c>
      <c r="CAM34" s="25" t="s">
        <v>8290</v>
      </c>
      <c r="CAN34" s="25" t="s">
        <v>631</v>
      </c>
      <c r="CAO34" s="25" t="s">
        <v>8290</v>
      </c>
      <c r="CAP34" s="25" t="s">
        <v>631</v>
      </c>
      <c r="CAR34" s="25" t="s">
        <v>8339</v>
      </c>
      <c r="CAT34" s="25" t="s">
        <v>25</v>
      </c>
      <c r="CBB34" s="25">
        <v>2</v>
      </c>
      <c r="CBC34" s="25">
        <v>0</v>
      </c>
      <c r="CBD34" s="25">
        <v>0</v>
      </c>
      <c r="CBE34" s="56">
        <v>50</v>
      </c>
      <c r="CBF34" s="56">
        <v>150</v>
      </c>
      <c r="CBG34" s="56">
        <v>50</v>
      </c>
      <c r="CBH34" s="56">
        <v>150</v>
      </c>
      <c r="CBI34" s="56">
        <v>1500</v>
      </c>
      <c r="CBK34" s="56">
        <v>0</v>
      </c>
      <c r="CBL34" s="56">
        <v>0</v>
      </c>
      <c r="CBO34" s="26">
        <v>0.1</v>
      </c>
      <c r="CBP34" s="26">
        <v>0.2</v>
      </c>
      <c r="CBQ34" s="26">
        <v>0.4</v>
      </c>
      <c r="CBR34" s="26">
        <v>0.5</v>
      </c>
      <c r="CBU34" s="27" t="s">
        <v>28</v>
      </c>
      <c r="CBV34" s="27" t="s">
        <v>8537</v>
      </c>
      <c r="CBW34" s="27" t="s">
        <v>8888</v>
      </c>
      <c r="CBX34" s="27" t="s">
        <v>8911</v>
      </c>
      <c r="CBY34" s="27" t="s">
        <v>8296</v>
      </c>
      <c r="CBZ34" s="27" t="s">
        <v>8296</v>
      </c>
      <c r="CCA34" s="27" t="s">
        <v>8296</v>
      </c>
      <c r="CCB34" s="27" t="s">
        <v>8298</v>
      </c>
      <c r="CCC34" s="27" t="s">
        <v>8296</v>
      </c>
      <c r="CCD34" s="27" t="s">
        <v>8297</v>
      </c>
      <c r="CCE34" s="27" t="s">
        <v>8296</v>
      </c>
      <c r="CCF34" s="27" t="s">
        <v>8296</v>
      </c>
      <c r="CCG34" s="27" t="s">
        <v>8297</v>
      </c>
      <c r="CCH34" s="27" t="s">
        <v>8298</v>
      </c>
      <c r="CCI34" s="27" t="s">
        <v>8298</v>
      </c>
      <c r="CCJ34" s="27" t="s">
        <v>8298</v>
      </c>
      <c r="CCK34" s="27" t="s">
        <v>8297</v>
      </c>
      <c r="CCL34" s="27" t="s">
        <v>8297</v>
      </c>
      <c r="CCM34" s="27" t="s">
        <v>8297</v>
      </c>
      <c r="CCP34" s="27" t="s">
        <v>8296</v>
      </c>
      <c r="CCQ34" s="27" t="s">
        <v>8296</v>
      </c>
      <c r="CCR34" s="27" t="s">
        <v>8296</v>
      </c>
      <c r="CCS34" s="27" t="s">
        <v>8298</v>
      </c>
      <c r="CCT34" s="27" t="s">
        <v>8296</v>
      </c>
      <c r="CCU34" s="27" t="s">
        <v>8298</v>
      </c>
      <c r="CCV34" s="27" t="s">
        <v>8298</v>
      </c>
      <c r="CCW34" s="27" t="s">
        <v>8298</v>
      </c>
      <c r="CCX34" s="27" t="s">
        <v>8298</v>
      </c>
      <c r="CCY34" s="27" t="s">
        <v>8298</v>
      </c>
      <c r="CCZ34" s="27" t="s">
        <v>28</v>
      </c>
      <c r="CDA34" s="27" t="s">
        <v>28</v>
      </c>
      <c r="CDB34" s="27" t="s">
        <v>28</v>
      </c>
      <c r="CDC34" s="27" t="s">
        <v>28</v>
      </c>
      <c r="CDD34" s="27" t="s">
        <v>28</v>
      </c>
      <c r="CDE34" s="27" t="s">
        <v>28</v>
      </c>
      <c r="CDF34" s="27" t="s">
        <v>28</v>
      </c>
      <c r="CDG34" s="27" t="s">
        <v>28</v>
      </c>
      <c r="CDH34" s="27" t="s">
        <v>28</v>
      </c>
      <c r="CDI34" s="27" t="s">
        <v>28</v>
      </c>
      <c r="CDJ34" s="27" t="s">
        <v>28</v>
      </c>
      <c r="CDK34" s="27" t="s">
        <v>28</v>
      </c>
      <c r="CDL34" s="27" t="s">
        <v>28</v>
      </c>
      <c r="CDM34" s="27" t="s">
        <v>28</v>
      </c>
      <c r="CDN34" s="27" t="s">
        <v>28</v>
      </c>
      <c r="CDQ34" s="27" t="s">
        <v>28</v>
      </c>
      <c r="CDR34" s="27" t="s">
        <v>28</v>
      </c>
      <c r="CDS34" s="27" t="s">
        <v>28</v>
      </c>
      <c r="CDT34" s="27" t="s">
        <v>28</v>
      </c>
      <c r="CDU34" s="27" t="s">
        <v>28</v>
      </c>
      <c r="CDV34" s="27" t="s">
        <v>28</v>
      </c>
      <c r="CDW34" s="27" t="s">
        <v>28</v>
      </c>
      <c r="CDX34" s="27" t="s">
        <v>28</v>
      </c>
      <c r="CDY34" s="27" t="s">
        <v>28</v>
      </c>
      <c r="CDZ34" s="27" t="s">
        <v>28</v>
      </c>
      <c r="CEA34" s="27" t="s">
        <v>29</v>
      </c>
      <c r="CEB34" s="27" t="s">
        <v>29</v>
      </c>
      <c r="CEC34" s="27" t="s">
        <v>29</v>
      </c>
      <c r="CED34" s="27" t="s">
        <v>8302</v>
      </c>
      <c r="CEE34" s="27" t="s">
        <v>29</v>
      </c>
      <c r="CEF34" s="27" t="s">
        <v>8305</v>
      </c>
      <c r="CEG34" s="27" t="s">
        <v>2673</v>
      </c>
      <c r="CEH34" s="27" t="s">
        <v>8305</v>
      </c>
      <c r="CEI34" s="27" t="s">
        <v>29</v>
      </c>
      <c r="CEJ34" s="27" t="s">
        <v>8420</v>
      </c>
      <c r="CEK34" s="27" t="s">
        <v>8420</v>
      </c>
      <c r="CEL34" s="27" t="s">
        <v>8420</v>
      </c>
      <c r="CEM34" s="27" t="s">
        <v>29</v>
      </c>
      <c r="CEN34" s="27" t="s">
        <v>29</v>
      </c>
      <c r="CEO34" s="27" t="s">
        <v>8306</v>
      </c>
      <c r="CER34" s="27" t="s">
        <v>8305</v>
      </c>
      <c r="CES34" s="27" t="s">
        <v>29</v>
      </c>
      <c r="CET34" s="27" t="s">
        <v>8304</v>
      </c>
      <c r="CEU34" s="27" t="s">
        <v>8304</v>
      </c>
      <c r="CEV34" s="27" t="s">
        <v>29</v>
      </c>
      <c r="CEW34" s="27" t="s">
        <v>8306</v>
      </c>
      <c r="CEX34" s="27" t="s">
        <v>8420</v>
      </c>
      <c r="CEY34" s="27" t="s">
        <v>8303</v>
      </c>
      <c r="CEZ34" s="27" t="s">
        <v>8301</v>
      </c>
      <c r="CFA34" s="27" t="s">
        <v>2673</v>
      </c>
      <c r="CFB34" s="27" t="s">
        <v>28</v>
      </c>
      <c r="CFC34" s="27" t="s">
        <v>25</v>
      </c>
      <c r="CFD34" s="27" t="s">
        <v>25</v>
      </c>
      <c r="CFE34" s="27" t="s">
        <v>25</v>
      </c>
      <c r="CFF34" s="27" t="s">
        <v>28</v>
      </c>
      <c r="CFG34" s="27" t="s">
        <v>25</v>
      </c>
      <c r="CFH34" s="27" t="s">
        <v>25</v>
      </c>
      <c r="CFI34" s="27" t="s">
        <v>25</v>
      </c>
      <c r="CFJ34" s="27" t="s">
        <v>25</v>
      </c>
      <c r="CFK34" s="27" t="s">
        <v>25</v>
      </c>
      <c r="CFL34" s="27" t="s">
        <v>25</v>
      </c>
      <c r="CFM34" s="27" t="s">
        <v>28</v>
      </c>
      <c r="CFN34" s="27" t="s">
        <v>25</v>
      </c>
      <c r="CFO34" s="27" t="s">
        <v>25</v>
      </c>
      <c r="CFP34" s="27" t="s">
        <v>25</v>
      </c>
      <c r="CFS34" s="27" t="s">
        <v>25</v>
      </c>
      <c r="CFT34" s="27" t="s">
        <v>25</v>
      </c>
      <c r="CFU34" s="27" t="s">
        <v>25</v>
      </c>
      <c r="CFV34" s="27" t="s">
        <v>28</v>
      </c>
      <c r="CFW34" s="27" t="s">
        <v>25</v>
      </c>
      <c r="CFX34" s="27" t="s">
        <v>28</v>
      </c>
      <c r="CFY34" s="27" t="s">
        <v>28</v>
      </c>
      <c r="CFZ34" s="27" t="s">
        <v>25</v>
      </c>
      <c r="CGA34" s="27" t="s">
        <v>25</v>
      </c>
      <c r="CGB34" s="27" t="s">
        <v>25</v>
      </c>
      <c r="CPW34" s="27">
        <v>2</v>
      </c>
      <c r="CPX34" s="56">
        <v>20</v>
      </c>
      <c r="CPY34" s="26">
        <v>0</v>
      </c>
      <c r="CPZ34" s="56">
        <v>0</v>
      </c>
      <c r="CQB34" s="25" t="s">
        <v>8372</v>
      </c>
      <c r="CQC34" s="25" t="s">
        <v>8372</v>
      </c>
      <c r="CQD34" s="25" t="s">
        <v>8372</v>
      </c>
      <c r="CQE34" s="25" t="s">
        <v>8372</v>
      </c>
      <c r="CQF34" s="25" t="s">
        <v>8372</v>
      </c>
      <c r="CQI34" s="56">
        <v>200</v>
      </c>
      <c r="CQJ34" s="56">
        <v>200</v>
      </c>
      <c r="CQL34" s="25" t="s">
        <v>8551</v>
      </c>
      <c r="CQM34" s="25" t="s">
        <v>8308</v>
      </c>
      <c r="CQN34" s="25" t="s">
        <v>25</v>
      </c>
      <c r="CQO34" s="25" t="s">
        <v>8309</v>
      </c>
      <c r="CQQ34" s="25" t="s">
        <v>8912</v>
      </c>
      <c r="CQR34" s="25" t="s">
        <v>8913</v>
      </c>
      <c r="CQS34" s="25" t="s">
        <v>28</v>
      </c>
      <c r="CQT34" s="25" t="s">
        <v>8312</v>
      </c>
      <c r="CQU34" s="25" t="s">
        <v>8313</v>
      </c>
      <c r="CQV34" s="25" t="s">
        <v>8313</v>
      </c>
      <c r="CQW34" s="25" t="s">
        <v>8313</v>
      </c>
      <c r="CQX34" s="25" t="s">
        <v>8312</v>
      </c>
      <c r="CQY34" s="25" t="s">
        <v>8313</v>
      </c>
      <c r="CQZ34" s="25" t="s">
        <v>8312</v>
      </c>
      <c r="CRA34" s="25" t="s">
        <v>8314</v>
      </c>
      <c r="CRB34" s="25" t="s">
        <v>8313</v>
      </c>
      <c r="CRC34" s="25" t="s">
        <v>8314</v>
      </c>
      <c r="CRD34" s="25" t="s">
        <v>8314</v>
      </c>
      <c r="CRE34" s="27" t="s">
        <v>8314</v>
      </c>
    </row>
    <row r="35" spans="1:2048 2050:2501" ht="76.5" x14ac:dyDescent="0.2">
      <c r="A35" s="21" t="s">
        <v>143</v>
      </c>
      <c r="B35" s="26">
        <v>0.27</v>
      </c>
      <c r="C35" s="26">
        <v>0</v>
      </c>
      <c r="D35" s="26">
        <v>0.1</v>
      </c>
      <c r="E35" s="26">
        <v>0.56000000000000005</v>
      </c>
      <c r="F35" s="26">
        <v>0</v>
      </c>
      <c r="G35" s="26">
        <v>0</v>
      </c>
      <c r="H35" s="26">
        <v>0</v>
      </c>
      <c r="I35" s="26">
        <v>0</v>
      </c>
      <c r="J35" s="26">
        <v>0</v>
      </c>
      <c r="K35" s="26">
        <v>0</v>
      </c>
      <c r="L35" s="26">
        <v>0</v>
      </c>
      <c r="M35" s="26">
        <v>7.0000000000000007E-2</v>
      </c>
      <c r="N35" s="26">
        <v>0.22</v>
      </c>
      <c r="O35" s="26">
        <v>0</v>
      </c>
      <c r="P35" s="26">
        <v>0.22</v>
      </c>
      <c r="Q35" s="26">
        <v>0.45</v>
      </c>
      <c r="R35" s="26">
        <v>0</v>
      </c>
      <c r="S35" s="26">
        <v>0</v>
      </c>
      <c r="T35" s="26">
        <v>0</v>
      </c>
      <c r="U35" s="26">
        <v>0</v>
      </c>
      <c r="V35" s="26">
        <v>0</v>
      </c>
      <c r="W35" s="26">
        <v>0</v>
      </c>
      <c r="X35" s="26">
        <v>0</v>
      </c>
      <c r="Y35" s="26">
        <v>0.11</v>
      </c>
      <c r="Z35" s="25">
        <v>1</v>
      </c>
      <c r="AA35" s="25" t="s">
        <v>8689</v>
      </c>
      <c r="AC35" s="56">
        <v>3000</v>
      </c>
      <c r="AD35" s="56">
        <v>6000</v>
      </c>
      <c r="AE35" s="56">
        <v>6000</v>
      </c>
      <c r="AF35" s="56">
        <v>12000</v>
      </c>
      <c r="AI35" s="25" t="s">
        <v>8690</v>
      </c>
      <c r="AJ35" s="56">
        <v>1300</v>
      </c>
      <c r="AK35" s="56">
        <v>2600</v>
      </c>
      <c r="AL35" s="56">
        <v>2600</v>
      </c>
      <c r="AM35" s="56">
        <v>5200</v>
      </c>
      <c r="AX35" s="25" t="s">
        <v>8248</v>
      </c>
      <c r="BK35" s="25" t="s">
        <v>8249</v>
      </c>
      <c r="BX35" s="56">
        <v>1300</v>
      </c>
      <c r="CK35" s="56">
        <v>2600</v>
      </c>
      <c r="CX35" s="56">
        <v>2600</v>
      </c>
      <c r="DK35" s="56">
        <v>5200</v>
      </c>
      <c r="DO35" s="25" t="s">
        <v>25</v>
      </c>
      <c r="DP35" s="25" t="s">
        <v>28</v>
      </c>
      <c r="DQ35" s="25" t="s">
        <v>25</v>
      </c>
      <c r="DR35" s="25" t="s">
        <v>25</v>
      </c>
      <c r="DT35" s="25" t="s">
        <v>13417</v>
      </c>
      <c r="DU35" s="25" t="s">
        <v>13417</v>
      </c>
      <c r="DV35" s="56">
        <v>25</v>
      </c>
      <c r="DW35" s="56">
        <v>30</v>
      </c>
      <c r="DY35" s="56">
        <v>150</v>
      </c>
      <c r="DZ35" s="56">
        <v>25</v>
      </c>
      <c r="EA35" s="56">
        <v>25</v>
      </c>
      <c r="EE35" s="26">
        <v>0.15</v>
      </c>
      <c r="EH35" s="26">
        <v>0.25</v>
      </c>
      <c r="EM35" s="56">
        <v>150</v>
      </c>
      <c r="EO35" s="56">
        <v>25</v>
      </c>
      <c r="EQ35" s="26">
        <v>0.3</v>
      </c>
      <c r="ER35" s="26">
        <v>0.3</v>
      </c>
      <c r="ES35" s="26">
        <v>0.3</v>
      </c>
      <c r="EU35" s="26">
        <v>0.3</v>
      </c>
      <c r="EX35" s="25" t="s">
        <v>8250</v>
      </c>
      <c r="EY35" s="25" t="s">
        <v>8250</v>
      </c>
      <c r="EZ35" s="25" t="s">
        <v>8250</v>
      </c>
      <c r="FA35" s="25" t="s">
        <v>8250</v>
      </c>
      <c r="FB35" s="25" t="s">
        <v>8250</v>
      </c>
      <c r="FC35" s="25" t="s">
        <v>8250</v>
      </c>
      <c r="FE35" s="25" t="s">
        <v>25</v>
      </c>
      <c r="FF35" s="25" t="s">
        <v>25</v>
      </c>
      <c r="FG35" s="25" t="s">
        <v>25</v>
      </c>
      <c r="FH35" s="25" t="s">
        <v>25</v>
      </c>
      <c r="FI35" s="25" t="s">
        <v>25</v>
      </c>
      <c r="FJ35" s="25" t="s">
        <v>25</v>
      </c>
      <c r="FL35" s="25" t="s">
        <v>13810</v>
      </c>
      <c r="FM35" s="25" t="s">
        <v>13810</v>
      </c>
      <c r="FN35" s="25" t="s">
        <v>13810</v>
      </c>
      <c r="FO35" s="25" t="s">
        <v>13810</v>
      </c>
      <c r="FQ35" s="25" t="s">
        <v>13810</v>
      </c>
      <c r="FV35" s="25" t="s">
        <v>8317</v>
      </c>
      <c r="FW35" s="25" t="s">
        <v>8317</v>
      </c>
      <c r="FX35" s="25" t="s">
        <v>8317</v>
      </c>
      <c r="FY35" s="25" t="s">
        <v>8317</v>
      </c>
      <c r="GA35" s="25" t="s">
        <v>8262</v>
      </c>
      <c r="GE35" s="56">
        <v>10</v>
      </c>
      <c r="GG35" s="56">
        <v>20</v>
      </c>
      <c r="GI35" s="56">
        <v>30</v>
      </c>
      <c r="GK35" s="56">
        <v>60</v>
      </c>
      <c r="GM35" s="56">
        <v>60</v>
      </c>
      <c r="GO35" s="56">
        <v>120</v>
      </c>
      <c r="IB35" s="26">
        <v>0.5</v>
      </c>
      <c r="IC35" s="26">
        <v>0.5</v>
      </c>
      <c r="ID35" s="26">
        <v>0.5</v>
      </c>
      <c r="KM35" s="25" t="s">
        <v>8352</v>
      </c>
      <c r="KN35" s="25" t="s">
        <v>8256</v>
      </c>
      <c r="KO35" s="25" t="s">
        <v>8321</v>
      </c>
      <c r="KP35" s="25">
        <v>2</v>
      </c>
      <c r="KQ35" s="25" t="s">
        <v>8691</v>
      </c>
      <c r="KR35" s="25" t="s">
        <v>8692</v>
      </c>
      <c r="KS35" s="56">
        <v>3000</v>
      </c>
      <c r="KT35" s="56">
        <v>6000</v>
      </c>
      <c r="KU35" s="56">
        <v>6000</v>
      </c>
      <c r="KV35" s="56">
        <v>12000</v>
      </c>
      <c r="KY35" s="25" t="s">
        <v>8690</v>
      </c>
      <c r="KZ35" s="56">
        <v>2000</v>
      </c>
      <c r="LA35" s="56">
        <v>4000</v>
      </c>
      <c r="LB35" s="56">
        <v>4000</v>
      </c>
      <c r="LC35" s="56">
        <v>8000</v>
      </c>
      <c r="LN35" s="25" t="s">
        <v>8248</v>
      </c>
      <c r="MA35" s="25" t="s">
        <v>8249</v>
      </c>
      <c r="MN35" s="56">
        <v>2000</v>
      </c>
      <c r="NA35" s="56">
        <v>4000</v>
      </c>
      <c r="NN35" s="56">
        <v>4000</v>
      </c>
      <c r="OA35" s="56">
        <v>8000</v>
      </c>
      <c r="OE35" s="25" t="s">
        <v>25</v>
      </c>
      <c r="OF35" s="25" t="s">
        <v>28</v>
      </c>
      <c r="OG35" s="25" t="s">
        <v>25</v>
      </c>
      <c r="OH35" s="25" t="s">
        <v>25</v>
      </c>
      <c r="OJ35" s="25" t="s">
        <v>13416</v>
      </c>
      <c r="OK35" s="25" t="s">
        <v>13416</v>
      </c>
      <c r="OQ35" s="56">
        <v>59</v>
      </c>
      <c r="OS35" s="26">
        <v>0.15</v>
      </c>
      <c r="OT35" s="26">
        <v>0.15</v>
      </c>
      <c r="OU35" s="26">
        <v>0.15</v>
      </c>
      <c r="OV35" s="26">
        <v>0.15</v>
      </c>
      <c r="OW35" s="26">
        <v>0.15</v>
      </c>
      <c r="PE35" s="56">
        <v>59</v>
      </c>
      <c r="PG35" s="26">
        <v>0.3</v>
      </c>
      <c r="PH35" s="26">
        <v>0.3</v>
      </c>
      <c r="PI35" s="26">
        <v>0.3</v>
      </c>
      <c r="PJ35" s="26">
        <v>0.15</v>
      </c>
      <c r="PK35" s="26">
        <v>0.3</v>
      </c>
      <c r="PN35" s="25" t="s">
        <v>8250</v>
      </c>
      <c r="PO35" s="25" t="s">
        <v>8250</v>
      </c>
      <c r="PP35" s="25" t="s">
        <v>8250</v>
      </c>
      <c r="PQ35" s="25" t="s">
        <v>8250</v>
      </c>
      <c r="PR35" s="25" t="s">
        <v>8250</v>
      </c>
      <c r="PS35" s="25" t="s">
        <v>8250</v>
      </c>
      <c r="PU35" s="25" t="s">
        <v>25</v>
      </c>
      <c r="PV35" s="25" t="s">
        <v>25</v>
      </c>
      <c r="PW35" s="25" t="s">
        <v>25</v>
      </c>
      <c r="PX35" s="25" t="s">
        <v>25</v>
      </c>
      <c r="PY35" s="25" t="s">
        <v>25</v>
      </c>
      <c r="PZ35" s="25" t="s">
        <v>25</v>
      </c>
      <c r="QB35" s="25" t="s">
        <v>13810</v>
      </c>
      <c r="QC35" s="25" t="s">
        <v>13810</v>
      </c>
      <c r="QD35" s="25" t="s">
        <v>13810</v>
      </c>
      <c r="QE35" s="25" t="s">
        <v>13810</v>
      </c>
      <c r="QG35" s="25" t="s">
        <v>13810</v>
      </c>
      <c r="QL35" s="25" t="s">
        <v>8317</v>
      </c>
      <c r="QM35" s="25" t="s">
        <v>8317</v>
      </c>
      <c r="QN35" s="25" t="s">
        <v>8317</v>
      </c>
      <c r="QO35" s="25" t="s">
        <v>8317</v>
      </c>
      <c r="QQ35" s="25" t="s">
        <v>8262</v>
      </c>
      <c r="RX35" s="26">
        <v>0.15</v>
      </c>
      <c r="RY35" s="26">
        <v>0.15</v>
      </c>
      <c r="RZ35" s="26">
        <v>0.15</v>
      </c>
      <c r="SS35" s="26">
        <v>0.3</v>
      </c>
      <c r="ST35" s="26">
        <v>0.3</v>
      </c>
      <c r="SU35" s="26">
        <v>0.3</v>
      </c>
      <c r="VC35" s="25" t="s">
        <v>8352</v>
      </c>
      <c r="VD35" s="25" t="s">
        <v>8298</v>
      </c>
      <c r="VE35" s="25" t="s">
        <v>8321</v>
      </c>
      <c r="VF35" s="25">
        <v>0</v>
      </c>
      <c r="VI35" s="25"/>
      <c r="VJ35" s="25"/>
      <c r="VK35" s="25"/>
      <c r="VL35" s="25"/>
      <c r="VM35" s="25"/>
      <c r="VN35" s="25"/>
      <c r="VP35" s="25"/>
      <c r="VQ35" s="25"/>
      <c r="VR35" s="25"/>
      <c r="VS35" s="25"/>
      <c r="ZA35" s="25"/>
      <c r="ZB35" s="25"/>
      <c r="ZC35" s="25"/>
      <c r="ZD35" s="25"/>
      <c r="ZE35" s="25"/>
      <c r="ZF35" s="25"/>
      <c r="ZG35" s="25"/>
      <c r="ZO35" s="25"/>
      <c r="ZP35" s="25"/>
      <c r="ZQ35" s="25"/>
      <c r="ZR35" s="25"/>
      <c r="ZS35" s="25"/>
      <c r="ZT35" s="25"/>
      <c r="ZU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S35" s="25"/>
      <c r="ACT35" s="25"/>
      <c r="ACU35" s="25"/>
      <c r="ACV35" s="25"/>
      <c r="ACW35" s="25"/>
      <c r="ACX35" s="25"/>
      <c r="ACY35" s="25"/>
      <c r="ACZ35" s="25"/>
      <c r="ADA35" s="25"/>
      <c r="ADB35" s="25"/>
      <c r="ADC35" s="25"/>
      <c r="ADD35" s="25"/>
      <c r="ADE35" s="25"/>
      <c r="ADF35" s="25"/>
      <c r="ADN35" s="25"/>
      <c r="ADO35" s="25"/>
      <c r="ADP35" s="25"/>
      <c r="ADQ35" s="25"/>
      <c r="ADR35" s="25"/>
      <c r="ADS35" s="25"/>
      <c r="ADT35" s="25"/>
      <c r="ADU35" s="25"/>
      <c r="ADV35" s="25"/>
      <c r="ADW35" s="25"/>
      <c r="ADX35" s="25"/>
      <c r="ADY35" s="25"/>
      <c r="ADZ35" s="25"/>
      <c r="AEA35" s="25"/>
      <c r="AEI35" s="25"/>
      <c r="AEJ35" s="25"/>
      <c r="AEK35" s="25"/>
      <c r="AEL35" s="25"/>
      <c r="AEM35" s="25"/>
      <c r="AEN35" s="25"/>
      <c r="AEO35" s="25"/>
      <c r="AEP35" s="25"/>
      <c r="AEQ35" s="25"/>
      <c r="AER35" s="25"/>
      <c r="AES35" s="25"/>
      <c r="AET35" s="25"/>
      <c r="AEU35" s="25"/>
      <c r="AEV35" s="25"/>
      <c r="AFD35" s="25"/>
      <c r="AFE35" s="25"/>
      <c r="AFF35" s="25"/>
      <c r="AFG35" s="25"/>
      <c r="AFH35" s="25"/>
      <c r="AFI35" s="25"/>
      <c r="AFJ35" s="25"/>
      <c r="AFK35" s="25"/>
      <c r="AFL35" s="25"/>
      <c r="AFM35" s="25"/>
      <c r="AFN35" s="25"/>
      <c r="AFO35" s="25"/>
      <c r="AFP35" s="25"/>
      <c r="AFQ35" s="25"/>
      <c r="AFU35" s="25">
        <v>0</v>
      </c>
      <c r="AFX35" s="25"/>
      <c r="AFY35" s="25"/>
      <c r="AFZ35" s="25"/>
      <c r="AGA35" s="25"/>
      <c r="AGB35" s="25"/>
      <c r="AGC35" s="25"/>
      <c r="AGE35" s="25"/>
      <c r="AGF35" s="25"/>
      <c r="AGG35" s="25"/>
      <c r="AGH35" s="25"/>
      <c r="AJP35" s="25"/>
      <c r="AJQ35" s="25"/>
      <c r="AJR35" s="25"/>
      <c r="AJS35" s="25"/>
      <c r="AJT35" s="25"/>
      <c r="AJU35" s="25"/>
      <c r="AJV35" s="25"/>
      <c r="AKD35" s="25"/>
      <c r="AKE35" s="25"/>
      <c r="AKF35" s="25"/>
      <c r="AKG35" s="25"/>
      <c r="AKH35" s="25"/>
      <c r="AKI35" s="25"/>
      <c r="AKJ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H35" s="25"/>
      <c r="ANI35" s="25"/>
      <c r="ANJ35" s="25"/>
      <c r="ANK35" s="25"/>
      <c r="ANL35" s="25"/>
      <c r="ANM35" s="25"/>
      <c r="ANN35" s="25"/>
      <c r="ANO35" s="25"/>
      <c r="ANP35" s="25"/>
      <c r="ANQ35" s="25"/>
      <c r="ANR35" s="25"/>
      <c r="ANS35" s="25"/>
      <c r="ANT35" s="25"/>
      <c r="ANU35" s="25"/>
      <c r="AOC35" s="25"/>
      <c r="AOD35" s="25"/>
      <c r="AOE35" s="25"/>
      <c r="AOF35" s="25"/>
      <c r="AOG35" s="25"/>
      <c r="AOH35" s="25"/>
      <c r="AOI35" s="25"/>
      <c r="AOJ35" s="25"/>
      <c r="AOK35" s="25"/>
      <c r="AOL35" s="25"/>
      <c r="AOM35" s="25"/>
      <c r="AON35" s="25"/>
      <c r="AOO35" s="25"/>
      <c r="AOP35" s="25"/>
      <c r="AOX35" s="25"/>
      <c r="AOY35" s="25"/>
      <c r="AOZ35" s="25"/>
      <c r="APA35" s="25"/>
      <c r="APB35" s="25"/>
      <c r="APC35" s="25"/>
      <c r="APD35" s="25"/>
      <c r="APE35" s="25"/>
      <c r="APF35" s="25"/>
      <c r="APG35" s="25"/>
      <c r="APH35" s="25"/>
      <c r="API35" s="25"/>
      <c r="APJ35" s="25"/>
      <c r="APK35" s="25"/>
      <c r="APS35" s="25"/>
      <c r="APT35" s="25"/>
      <c r="APU35" s="25"/>
      <c r="APV35" s="25"/>
      <c r="APW35" s="25"/>
      <c r="APX35" s="25"/>
      <c r="APY35" s="25"/>
      <c r="APZ35" s="25"/>
      <c r="AQA35" s="25"/>
      <c r="AQB35" s="25"/>
      <c r="AQC35" s="25"/>
      <c r="AQD35" s="25"/>
      <c r="AQE35" s="25"/>
      <c r="AQF35" s="25"/>
      <c r="AQJ35" s="25">
        <v>2</v>
      </c>
      <c r="AQK35" s="25" t="s">
        <v>8693</v>
      </c>
      <c r="AQL35" s="25" t="s">
        <v>8694</v>
      </c>
      <c r="AQM35" s="56">
        <v>1500</v>
      </c>
      <c r="AQN35" s="56">
        <v>3000</v>
      </c>
      <c r="AQS35" s="25" t="s">
        <v>8246</v>
      </c>
      <c r="AQT35" s="56">
        <v>2000</v>
      </c>
      <c r="AQU35" s="56">
        <v>4000</v>
      </c>
      <c r="AQX35" s="25" t="s">
        <v>8248</v>
      </c>
      <c r="ARK35" s="25" t="s">
        <v>8249</v>
      </c>
      <c r="ATX35" s="25" t="s">
        <v>25</v>
      </c>
      <c r="ATY35" s="25" t="s">
        <v>28</v>
      </c>
      <c r="ATZ35" s="25" t="s">
        <v>25</v>
      </c>
      <c r="AUA35" s="25" t="s">
        <v>25</v>
      </c>
      <c r="AUC35" s="25" t="s">
        <v>13417</v>
      </c>
      <c r="AUE35" s="56">
        <v>20</v>
      </c>
      <c r="AUF35" s="56">
        <v>20</v>
      </c>
      <c r="AUG35" s="56">
        <v>20</v>
      </c>
      <c r="AUH35" s="56">
        <v>100</v>
      </c>
      <c r="AUI35" s="56">
        <v>20</v>
      </c>
      <c r="AVG35" s="25" t="s">
        <v>8250</v>
      </c>
      <c r="AVH35" s="25" t="s">
        <v>8250</v>
      </c>
      <c r="AVI35" s="25" t="s">
        <v>8250</v>
      </c>
      <c r="AVJ35" s="25" t="s">
        <v>8250</v>
      </c>
      <c r="AVK35" s="25" t="s">
        <v>8250</v>
      </c>
      <c r="AVL35" s="25" t="s">
        <v>8250</v>
      </c>
      <c r="AVM35" s="25" t="s">
        <v>8250</v>
      </c>
      <c r="AVN35" s="25" t="s">
        <v>25</v>
      </c>
      <c r="AVO35" s="25" t="s">
        <v>25</v>
      </c>
      <c r="AVP35" s="25" t="s">
        <v>25</v>
      </c>
      <c r="AVQ35" s="25" t="s">
        <v>25</v>
      </c>
      <c r="AVR35" s="25" t="s">
        <v>25</v>
      </c>
      <c r="AVS35" s="25" t="s">
        <v>25</v>
      </c>
      <c r="AVT35" s="25" t="s">
        <v>25</v>
      </c>
      <c r="AVU35" s="25" t="s">
        <v>13810</v>
      </c>
      <c r="AVV35" s="25" t="s">
        <v>13810</v>
      </c>
      <c r="AVW35" s="25" t="s">
        <v>13810</v>
      </c>
      <c r="AVX35" s="25" t="s">
        <v>13810</v>
      </c>
      <c r="AWE35" s="25" t="s">
        <v>8253</v>
      </c>
      <c r="AWF35" s="25" t="s">
        <v>8253</v>
      </c>
      <c r="AWG35" s="25" t="s">
        <v>8253</v>
      </c>
      <c r="AWH35" s="25" t="s">
        <v>8253</v>
      </c>
      <c r="AWR35" s="56">
        <v>10</v>
      </c>
      <c r="AWS35" s="56">
        <v>10</v>
      </c>
      <c r="AWV35" s="56">
        <v>30</v>
      </c>
      <c r="AWW35" s="56">
        <v>20</v>
      </c>
      <c r="BAV35" s="25" t="s">
        <v>8255</v>
      </c>
      <c r="BAW35" s="25" t="s">
        <v>8256</v>
      </c>
      <c r="BAY35" s="25">
        <v>0</v>
      </c>
      <c r="BBB35" s="25"/>
      <c r="BBC35" s="25"/>
      <c r="BBD35" s="25"/>
      <c r="BBE35" s="25"/>
      <c r="BBF35" s="25"/>
      <c r="BBG35" s="25"/>
      <c r="BBI35" s="25"/>
      <c r="BBJ35" s="25"/>
      <c r="BBK35" s="25"/>
      <c r="BBL35" s="25"/>
      <c r="BET35" s="25"/>
      <c r="BEU35" s="25"/>
      <c r="BEV35" s="25"/>
      <c r="BEW35" s="25"/>
      <c r="BEX35" s="25"/>
      <c r="BEY35" s="25"/>
      <c r="BEZ35" s="25"/>
      <c r="BFH35" s="25"/>
      <c r="BFI35" s="25"/>
      <c r="BFJ35" s="25"/>
      <c r="BFK35" s="25"/>
      <c r="BFL35" s="25"/>
      <c r="BFM35" s="25"/>
      <c r="BFN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L35" s="25"/>
      <c r="BIM35" s="25"/>
      <c r="BIN35" s="25"/>
      <c r="BIO35" s="25"/>
      <c r="BIP35" s="25"/>
      <c r="BIQ35" s="25"/>
      <c r="BIR35" s="25"/>
      <c r="BIS35" s="25"/>
      <c r="BIT35" s="25"/>
      <c r="BIU35" s="25"/>
      <c r="BIV35" s="25"/>
      <c r="BIW35" s="25"/>
      <c r="BIX35" s="25"/>
      <c r="BIY35" s="25"/>
      <c r="BJG35" s="25"/>
      <c r="BJH35" s="25"/>
      <c r="BJI35" s="25"/>
      <c r="BJJ35" s="25"/>
      <c r="BJK35" s="25"/>
      <c r="BJL35" s="25"/>
      <c r="BJM35" s="25"/>
      <c r="BJN35" s="25"/>
      <c r="BJO35" s="25"/>
      <c r="BJP35" s="25"/>
      <c r="BJQ35" s="25"/>
      <c r="BJR35" s="25"/>
      <c r="BJS35" s="25"/>
      <c r="BJT35" s="25"/>
      <c r="BKB35" s="25"/>
      <c r="BKC35" s="25"/>
      <c r="BKD35" s="25"/>
      <c r="BKE35" s="25"/>
      <c r="BKF35" s="25"/>
      <c r="BKG35" s="25"/>
      <c r="BKH35" s="25"/>
      <c r="BKI35" s="25"/>
      <c r="BKJ35" s="25"/>
      <c r="BKK35" s="25"/>
      <c r="BKL35" s="25"/>
      <c r="BKM35" s="25"/>
      <c r="BKN35" s="25"/>
      <c r="BKO35" s="25"/>
      <c r="BKW35" s="25"/>
      <c r="BKX35" s="25"/>
      <c r="BKY35" s="25"/>
      <c r="BKZ35" s="25"/>
      <c r="BLA35" s="25"/>
      <c r="BLB35" s="25"/>
      <c r="BLC35" s="25"/>
      <c r="BLD35" s="25"/>
      <c r="BLE35" s="25"/>
      <c r="BLF35" s="25"/>
      <c r="BLG35" s="25"/>
      <c r="BLH35" s="25"/>
      <c r="BLI35" s="25"/>
      <c r="BLJ35" s="25"/>
      <c r="BLN35" s="25">
        <v>0</v>
      </c>
      <c r="BLQ35" s="25"/>
      <c r="BLR35" s="25"/>
      <c r="BLS35" s="25"/>
      <c r="BLT35" s="25"/>
      <c r="BLU35" s="25"/>
      <c r="BLV35" s="25"/>
      <c r="BLX35" s="25"/>
      <c r="BLY35" s="25"/>
      <c r="BLZ35" s="25"/>
      <c r="BMA35" s="25"/>
      <c r="BPI35" s="25"/>
      <c r="BPJ35" s="25"/>
      <c r="BPK35" s="25"/>
      <c r="BPL35" s="25"/>
      <c r="BPM35" s="25"/>
      <c r="BPN35" s="25"/>
      <c r="BPO35" s="25"/>
      <c r="BPW35" s="25"/>
      <c r="BPX35" s="25"/>
      <c r="BPY35" s="25"/>
      <c r="BPZ35" s="25"/>
      <c r="BQA35" s="25"/>
      <c r="BQB35" s="25"/>
      <c r="BQC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TA35" s="25"/>
      <c r="BTB35" s="25"/>
      <c r="BTC35" s="25"/>
      <c r="BTD35" s="25"/>
      <c r="BTE35" s="25"/>
      <c r="BTF35" s="25"/>
      <c r="BTG35" s="25"/>
      <c r="BTH35" s="25"/>
      <c r="BTI35" s="25"/>
      <c r="BTJ35" s="25"/>
      <c r="BTK35" s="25"/>
      <c r="BTL35" s="25"/>
      <c r="BTM35" s="25"/>
      <c r="BTN35" s="25"/>
      <c r="BUQ35" s="25"/>
      <c r="BUR35" s="25"/>
      <c r="BUS35" s="25"/>
      <c r="BUT35" s="25"/>
      <c r="BUU35" s="25"/>
      <c r="BUV35" s="25"/>
      <c r="BUW35" s="25"/>
      <c r="BUX35" s="25"/>
      <c r="BUY35" s="25"/>
      <c r="BUZ35" s="25"/>
      <c r="BVA35" s="25"/>
      <c r="BVB35" s="25"/>
      <c r="BVC35" s="25"/>
      <c r="BVD35" s="25"/>
      <c r="BWC35" s="25" t="s">
        <v>28</v>
      </c>
      <c r="BWF35" s="25" t="s">
        <v>8533</v>
      </c>
      <c r="BWH35" s="25" t="s">
        <v>2169</v>
      </c>
      <c r="BWI35" s="25" t="s">
        <v>25</v>
      </c>
      <c r="BWK35" s="25" t="s">
        <v>25</v>
      </c>
      <c r="BWM35" s="25" t="s">
        <v>25</v>
      </c>
      <c r="BWO35" s="25" t="s">
        <v>25</v>
      </c>
      <c r="BWQ35" s="25" t="s">
        <v>25</v>
      </c>
      <c r="BWX35" s="25" t="s">
        <v>28</v>
      </c>
      <c r="BWY35" s="25" t="s">
        <v>8387</v>
      </c>
      <c r="BWZ35" s="25" t="s">
        <v>28</v>
      </c>
      <c r="BXA35" s="56">
        <v>24</v>
      </c>
      <c r="BXB35" s="25" t="s">
        <v>25</v>
      </c>
      <c r="BXD35" s="25" t="s">
        <v>28</v>
      </c>
      <c r="BXE35" s="25" t="s">
        <v>8359</v>
      </c>
      <c r="BXF35" s="25" t="s">
        <v>28</v>
      </c>
      <c r="BXG35" s="56">
        <v>36</v>
      </c>
      <c r="BXH35" s="25" t="s">
        <v>25</v>
      </c>
      <c r="BXJ35" s="25" t="s">
        <v>28</v>
      </c>
      <c r="BXL35" s="25" t="s">
        <v>8331</v>
      </c>
      <c r="BXN35" s="25" t="s">
        <v>8272</v>
      </c>
      <c r="BXO35" s="25" t="s">
        <v>8274</v>
      </c>
      <c r="BXP35" s="25" t="s">
        <v>8274</v>
      </c>
      <c r="BXQ35" s="25" t="s">
        <v>8274</v>
      </c>
      <c r="BXR35" s="25" t="s">
        <v>8274</v>
      </c>
      <c r="BXS35" s="25" t="s">
        <v>8274</v>
      </c>
      <c r="BXT35" s="25" t="s">
        <v>8275</v>
      </c>
      <c r="BXW35" s="25" t="s">
        <v>28</v>
      </c>
      <c r="BXX35" s="25" t="s">
        <v>28</v>
      </c>
      <c r="BYC35" s="25" t="s">
        <v>2201</v>
      </c>
      <c r="BYD35" s="25" t="s">
        <v>28</v>
      </c>
      <c r="BYE35" s="25" t="s">
        <v>13618</v>
      </c>
      <c r="BYH35" s="25" t="s">
        <v>8363</v>
      </c>
      <c r="BYL35" s="25" t="s">
        <v>25</v>
      </c>
      <c r="BYN35" s="25" t="s">
        <v>25</v>
      </c>
      <c r="BYP35" s="25" t="s">
        <v>25</v>
      </c>
      <c r="BYR35" s="25" t="s">
        <v>28</v>
      </c>
      <c r="BYS35" s="25" t="s">
        <v>8279</v>
      </c>
      <c r="BYT35" s="25" t="s">
        <v>8279</v>
      </c>
      <c r="BYU35" s="25" t="s">
        <v>732</v>
      </c>
      <c r="BYV35" s="25" t="s">
        <v>25</v>
      </c>
      <c r="BYW35" s="25" t="s">
        <v>28</v>
      </c>
      <c r="BYX35" s="56">
        <v>1300</v>
      </c>
      <c r="BYY35" s="56">
        <v>2600</v>
      </c>
      <c r="BYZ35" s="25" t="s">
        <v>8408</v>
      </c>
      <c r="BZA35" s="25" t="s">
        <v>8695</v>
      </c>
      <c r="BZB35" s="25" t="s">
        <v>2269</v>
      </c>
      <c r="BZD35" s="25" t="s">
        <v>28</v>
      </c>
      <c r="BZE35" s="25" t="s">
        <v>28</v>
      </c>
      <c r="BZF35" s="25" t="s">
        <v>28</v>
      </c>
      <c r="BZG35" s="25" t="s">
        <v>25</v>
      </c>
      <c r="BZJ35" s="25" t="s">
        <v>25</v>
      </c>
      <c r="BZM35" s="25" t="s">
        <v>28</v>
      </c>
      <c r="BZN35" s="25" t="s">
        <v>29</v>
      </c>
      <c r="BZP35" s="25" t="s">
        <v>8366</v>
      </c>
      <c r="BZR35" s="25" t="s">
        <v>28</v>
      </c>
      <c r="BZS35" s="25" t="s">
        <v>25</v>
      </c>
      <c r="BZT35" s="25" t="s">
        <v>8285</v>
      </c>
      <c r="BZV35" s="25" t="s">
        <v>13645</v>
      </c>
      <c r="BZX35" s="25" t="s">
        <v>8696</v>
      </c>
      <c r="BZY35" s="25" t="s">
        <v>8697</v>
      </c>
      <c r="BZZ35" s="25" t="s">
        <v>25</v>
      </c>
      <c r="CAC35" s="25" t="s">
        <v>28</v>
      </c>
      <c r="CAE35" s="25" t="s">
        <v>25</v>
      </c>
      <c r="CAG35" s="25" t="s">
        <v>25</v>
      </c>
      <c r="CAH35" s="25" t="s">
        <v>631</v>
      </c>
      <c r="CAI35" s="25" t="s">
        <v>247</v>
      </c>
      <c r="CAJ35" s="25" t="s">
        <v>631</v>
      </c>
      <c r="CAK35" s="25" t="s">
        <v>631</v>
      </c>
      <c r="CAL35" s="25" t="s">
        <v>631</v>
      </c>
      <c r="CAM35" s="25" t="s">
        <v>8290</v>
      </c>
      <c r="CAN35" s="25" t="s">
        <v>631</v>
      </c>
      <c r="CAO35" s="25" t="s">
        <v>631</v>
      </c>
      <c r="CAP35" s="25" t="s">
        <v>8290</v>
      </c>
      <c r="CAR35" s="25" t="s">
        <v>8455</v>
      </c>
      <c r="CAT35" s="25" t="s">
        <v>25</v>
      </c>
      <c r="CBB35" s="25">
        <v>3</v>
      </c>
      <c r="CBC35" s="25">
        <v>0</v>
      </c>
      <c r="CBD35" s="25">
        <v>0</v>
      </c>
      <c r="CBG35" s="56">
        <v>25</v>
      </c>
      <c r="CBH35" s="56">
        <v>50</v>
      </c>
      <c r="CBI35" s="56">
        <v>2500</v>
      </c>
      <c r="CBK35" s="56">
        <v>2500</v>
      </c>
      <c r="CBM35" s="26">
        <v>0</v>
      </c>
      <c r="CBN35" s="26">
        <v>0</v>
      </c>
      <c r="CBO35" s="26">
        <v>0.1</v>
      </c>
      <c r="CBP35" s="26">
        <v>0.1</v>
      </c>
      <c r="CBQ35" s="26">
        <v>0.4</v>
      </c>
      <c r="CBR35" s="26">
        <v>0.4</v>
      </c>
      <c r="CBS35" s="26">
        <v>0.5</v>
      </c>
      <c r="CBT35" s="26">
        <v>0.5</v>
      </c>
      <c r="CBU35" s="27" t="s">
        <v>28</v>
      </c>
      <c r="CBV35" s="27" t="s">
        <v>8293</v>
      </c>
      <c r="CBW35" s="27" t="s">
        <v>8294</v>
      </c>
      <c r="CBX35" s="27" t="s">
        <v>8698</v>
      </c>
      <c r="CBY35" s="27" t="s">
        <v>8296</v>
      </c>
      <c r="CBZ35" s="27" t="s">
        <v>8296</v>
      </c>
      <c r="CCA35" s="27" t="s">
        <v>8297</v>
      </c>
      <c r="CCB35" s="27" t="s">
        <v>8298</v>
      </c>
      <c r="CCC35" s="27" t="s">
        <v>8296</v>
      </c>
      <c r="CCD35" s="27" t="s">
        <v>8297</v>
      </c>
      <c r="CCE35" s="27" t="s">
        <v>8297</v>
      </c>
      <c r="CCF35" s="27" t="s">
        <v>8297</v>
      </c>
      <c r="CCG35" s="27" t="s">
        <v>8297</v>
      </c>
      <c r="CCH35" s="27" t="s">
        <v>8296</v>
      </c>
      <c r="CCI35" s="27" t="s">
        <v>8298</v>
      </c>
      <c r="CCK35" s="27" t="s">
        <v>8299</v>
      </c>
      <c r="CCL35" s="27" t="s">
        <v>8297</v>
      </c>
      <c r="CCM35" s="27" t="s">
        <v>8296</v>
      </c>
      <c r="CCN35" s="27" t="s">
        <v>8296</v>
      </c>
      <c r="CCO35" s="27" t="s">
        <v>8300</v>
      </c>
      <c r="CCP35" s="27" t="s">
        <v>8296</v>
      </c>
      <c r="CCQ35" s="27" t="s">
        <v>8296</v>
      </c>
      <c r="CCR35" s="27" t="s">
        <v>8296</v>
      </c>
      <c r="CCS35" s="27" t="s">
        <v>8298</v>
      </c>
      <c r="CCT35" s="27" t="s">
        <v>8296</v>
      </c>
      <c r="CCU35" s="27" t="s">
        <v>8296</v>
      </c>
      <c r="CCV35" s="27" t="s">
        <v>8298</v>
      </c>
      <c r="CCW35" s="27" t="s">
        <v>8298</v>
      </c>
      <c r="CCX35" s="27" t="s">
        <v>8298</v>
      </c>
      <c r="CCY35" s="27" t="s">
        <v>8298</v>
      </c>
      <c r="CCZ35" s="27" t="s">
        <v>28</v>
      </c>
      <c r="CDA35" s="27" t="s">
        <v>28</v>
      </c>
      <c r="CDB35" s="27" t="s">
        <v>28</v>
      </c>
      <c r="CDC35" s="27" t="s">
        <v>25</v>
      </c>
      <c r="CDD35" s="27" t="s">
        <v>28</v>
      </c>
      <c r="CDE35" s="27" t="s">
        <v>28</v>
      </c>
      <c r="CDF35" s="27" t="s">
        <v>28</v>
      </c>
      <c r="CDG35" s="27" t="s">
        <v>28</v>
      </c>
      <c r="CDH35" s="27" t="s">
        <v>28</v>
      </c>
      <c r="CDI35" s="27" t="s">
        <v>25</v>
      </c>
      <c r="CDJ35" s="27" t="s">
        <v>25</v>
      </c>
      <c r="CDL35" s="27" t="s">
        <v>28</v>
      </c>
      <c r="CDM35" s="27" t="s">
        <v>28</v>
      </c>
      <c r="CDN35" s="27" t="s">
        <v>28</v>
      </c>
      <c r="CDO35" s="27" t="s">
        <v>28</v>
      </c>
      <c r="CDP35" s="27" t="s">
        <v>25</v>
      </c>
      <c r="CDQ35" s="27" t="s">
        <v>28</v>
      </c>
      <c r="CDR35" s="27" t="s">
        <v>28</v>
      </c>
      <c r="CDS35" s="27" t="s">
        <v>28</v>
      </c>
      <c r="CDT35" s="27" t="s">
        <v>28</v>
      </c>
      <c r="CDU35" s="27" t="s">
        <v>28</v>
      </c>
      <c r="CDV35" s="27" t="s">
        <v>28</v>
      </c>
      <c r="CDW35" s="27" t="s">
        <v>28</v>
      </c>
      <c r="CDX35" s="27" t="s">
        <v>25</v>
      </c>
      <c r="CDY35" s="27" t="s">
        <v>25</v>
      </c>
      <c r="CDZ35" s="27" t="s">
        <v>25</v>
      </c>
      <c r="CEA35" s="27" t="s">
        <v>2673</v>
      </c>
      <c r="CEB35" s="27" t="s">
        <v>8421</v>
      </c>
      <c r="CEC35" s="27" t="s">
        <v>29</v>
      </c>
      <c r="CED35" s="27" t="s">
        <v>8371</v>
      </c>
      <c r="CEE35" s="27" t="s">
        <v>29</v>
      </c>
      <c r="CEF35" s="27" t="s">
        <v>29</v>
      </c>
      <c r="CEG35" s="27" t="s">
        <v>29</v>
      </c>
      <c r="CEH35" s="27" t="s">
        <v>29</v>
      </c>
      <c r="CEI35" s="27" t="s">
        <v>29</v>
      </c>
      <c r="CEJ35" s="27" t="s">
        <v>29</v>
      </c>
      <c r="CEK35" s="27" t="s">
        <v>8302</v>
      </c>
      <c r="CEM35" s="27" t="s">
        <v>29</v>
      </c>
      <c r="CEN35" s="27" t="s">
        <v>8301</v>
      </c>
      <c r="CEO35" s="27" t="s">
        <v>29</v>
      </c>
      <c r="CEP35" s="27" t="s">
        <v>29</v>
      </c>
      <c r="CEQ35" s="27" t="s">
        <v>8304</v>
      </c>
      <c r="CER35" s="27" t="s">
        <v>8305</v>
      </c>
      <c r="CES35" s="27" t="s">
        <v>8306</v>
      </c>
      <c r="CET35" s="27" t="s">
        <v>8304</v>
      </c>
      <c r="CEU35" s="27" t="s">
        <v>29</v>
      </c>
      <c r="CEV35" s="27" t="s">
        <v>8304</v>
      </c>
      <c r="CEW35" s="27" t="s">
        <v>29</v>
      </c>
      <c r="CEX35" s="27" t="s">
        <v>8371</v>
      </c>
      <c r="CEY35" s="27" t="s">
        <v>8302</v>
      </c>
      <c r="CEZ35" s="27" t="s">
        <v>8301</v>
      </c>
      <c r="CFA35" s="27" t="s">
        <v>8302</v>
      </c>
      <c r="CFB35" s="27" t="s">
        <v>25</v>
      </c>
      <c r="CFC35" s="27" t="s">
        <v>25</v>
      </c>
      <c r="CFD35" s="27" t="s">
        <v>25</v>
      </c>
      <c r="CFE35" s="27" t="s">
        <v>25</v>
      </c>
      <c r="CFF35" s="27" t="s">
        <v>25</v>
      </c>
      <c r="CFG35" s="27" t="s">
        <v>25</v>
      </c>
      <c r="CFH35" s="27" t="s">
        <v>25</v>
      </c>
      <c r="CFI35" s="27" t="s">
        <v>25</v>
      </c>
      <c r="CFJ35" s="27" t="s">
        <v>25</v>
      </c>
      <c r="CFK35" s="27" t="s">
        <v>25</v>
      </c>
      <c r="CFL35" s="27" t="s">
        <v>25</v>
      </c>
      <c r="CFN35" s="27" t="s">
        <v>25</v>
      </c>
      <c r="CFO35" s="27" t="s">
        <v>25</v>
      </c>
      <c r="CFP35" s="27" t="s">
        <v>25</v>
      </c>
      <c r="CFQ35" s="27" t="s">
        <v>25</v>
      </c>
      <c r="CFR35" s="27" t="s">
        <v>25</v>
      </c>
      <c r="CFS35" s="27" t="s">
        <v>25</v>
      </c>
      <c r="CFT35" s="27" t="s">
        <v>25</v>
      </c>
      <c r="CFU35" s="27" t="s">
        <v>25</v>
      </c>
      <c r="CFV35" s="27" t="s">
        <v>25</v>
      </c>
      <c r="CFW35" s="27" t="s">
        <v>25</v>
      </c>
      <c r="CFX35" s="27" t="s">
        <v>28</v>
      </c>
      <c r="CFY35" s="27" t="s">
        <v>28</v>
      </c>
      <c r="CFZ35" s="27" t="s">
        <v>28</v>
      </c>
      <c r="CGA35" s="27" t="s">
        <v>25</v>
      </c>
      <c r="CGB35" s="27" t="s">
        <v>28</v>
      </c>
      <c r="CPW35" s="27">
        <v>2</v>
      </c>
      <c r="CPX35" s="56">
        <v>10</v>
      </c>
      <c r="CPY35" s="26">
        <v>0</v>
      </c>
      <c r="CPZ35" s="56">
        <v>10</v>
      </c>
      <c r="CQA35" s="26">
        <v>0</v>
      </c>
      <c r="CQB35" s="25" t="s">
        <v>8372</v>
      </c>
      <c r="CQC35" s="25" t="s">
        <v>8372</v>
      </c>
      <c r="CQD35" s="25" t="s">
        <v>8523</v>
      </c>
      <c r="CQE35" s="25" t="s">
        <v>8372</v>
      </c>
      <c r="CQF35" s="25" t="s">
        <v>8372</v>
      </c>
      <c r="CQH35" s="56">
        <v>160</v>
      </c>
      <c r="CQI35" s="56">
        <v>170</v>
      </c>
      <c r="CQJ35" s="56">
        <v>150</v>
      </c>
      <c r="CQK35" s="56">
        <v>150</v>
      </c>
      <c r="CQL35" s="25" t="s">
        <v>13679</v>
      </c>
      <c r="CQM35" s="25" t="s">
        <v>8308</v>
      </c>
      <c r="CQN35" s="25" t="s">
        <v>28</v>
      </c>
      <c r="CQO35" s="25" t="s">
        <v>8309</v>
      </c>
      <c r="CQQ35" s="25" t="s">
        <v>8699</v>
      </c>
      <c r="CQR35" s="25" t="s">
        <v>8700</v>
      </c>
      <c r="CQS35" s="25" t="s">
        <v>28</v>
      </c>
      <c r="CQT35" s="25" t="s">
        <v>8314</v>
      </c>
      <c r="CQU35" s="25" t="s">
        <v>8312</v>
      </c>
      <c r="CQV35" s="25" t="s">
        <v>8312</v>
      </c>
      <c r="CQW35" s="25" t="s">
        <v>8313</v>
      </c>
      <c r="CQX35" s="25" t="s">
        <v>8314</v>
      </c>
      <c r="CQY35" s="25" t="s">
        <v>8313</v>
      </c>
      <c r="CQZ35" s="25" t="s">
        <v>8312</v>
      </c>
      <c r="CRA35" s="25" t="s">
        <v>8314</v>
      </c>
      <c r="CRB35" s="25" t="s">
        <v>8314</v>
      </c>
      <c r="CRC35" s="25" t="s">
        <v>8314</v>
      </c>
      <c r="CRD35" s="25" t="s">
        <v>8312</v>
      </c>
      <c r="CRE35" s="27" t="s">
        <v>8314</v>
      </c>
    </row>
    <row r="36" spans="1:2048 2050:2501" ht="76.5" x14ac:dyDescent="0.2">
      <c r="A36" s="21" t="s">
        <v>180</v>
      </c>
      <c r="B36" s="26">
        <v>0.38</v>
      </c>
      <c r="C36" s="26">
        <v>0</v>
      </c>
      <c r="D36" s="26">
        <v>0.21</v>
      </c>
      <c r="E36" s="26">
        <v>0.41</v>
      </c>
      <c r="F36" s="26">
        <v>0</v>
      </c>
      <c r="G36" s="26">
        <v>0</v>
      </c>
      <c r="H36" s="26">
        <v>0</v>
      </c>
      <c r="I36" s="26">
        <v>0</v>
      </c>
      <c r="J36" s="26">
        <v>0</v>
      </c>
      <c r="K36" s="26">
        <v>0</v>
      </c>
      <c r="L36" s="26">
        <v>0</v>
      </c>
      <c r="M36" s="26">
        <v>0</v>
      </c>
      <c r="N36" s="26">
        <v>1</v>
      </c>
      <c r="O36" s="26">
        <v>0</v>
      </c>
      <c r="P36" s="26">
        <v>0</v>
      </c>
      <c r="Q36" s="26">
        <v>0</v>
      </c>
      <c r="R36" s="26">
        <v>0</v>
      </c>
      <c r="S36" s="26">
        <v>0</v>
      </c>
      <c r="T36" s="26">
        <v>0</v>
      </c>
      <c r="U36" s="26">
        <v>0</v>
      </c>
      <c r="V36" s="26">
        <v>0</v>
      </c>
      <c r="W36" s="26">
        <v>0</v>
      </c>
      <c r="X36" s="26">
        <v>0</v>
      </c>
      <c r="Y36" s="26">
        <v>0</v>
      </c>
      <c r="Z36" s="25">
        <v>1</v>
      </c>
      <c r="AA36" s="25" t="s">
        <v>9002</v>
      </c>
      <c r="AC36" s="56">
        <v>3000</v>
      </c>
      <c r="AD36" s="56">
        <v>5000</v>
      </c>
      <c r="AE36" s="56">
        <v>5000</v>
      </c>
      <c r="AF36" s="56">
        <v>10000</v>
      </c>
      <c r="AI36" s="25" t="s">
        <v>8600</v>
      </c>
      <c r="AJ36" s="56">
        <v>500</v>
      </c>
      <c r="AK36" s="56">
        <v>1000</v>
      </c>
      <c r="AL36" s="56">
        <v>1000</v>
      </c>
      <c r="AM36" s="56">
        <v>2000</v>
      </c>
      <c r="AO36" s="25" t="s">
        <v>8248</v>
      </c>
      <c r="BB36" s="25" t="s">
        <v>8249</v>
      </c>
      <c r="DO36" s="25" t="s">
        <v>25</v>
      </c>
      <c r="DP36" s="25" t="s">
        <v>28</v>
      </c>
      <c r="DQ36" s="25" t="s">
        <v>25</v>
      </c>
      <c r="DR36" s="25" t="s">
        <v>25</v>
      </c>
      <c r="DT36" s="25" t="s">
        <v>13424</v>
      </c>
      <c r="DU36" s="25" t="s">
        <v>13426</v>
      </c>
      <c r="DV36" s="56">
        <v>20</v>
      </c>
      <c r="DW36" s="56">
        <v>35</v>
      </c>
      <c r="DY36" s="56">
        <v>150</v>
      </c>
      <c r="DZ36" s="56">
        <v>35</v>
      </c>
      <c r="EA36" s="56">
        <v>0</v>
      </c>
      <c r="EM36" s="56">
        <v>150</v>
      </c>
      <c r="EN36" s="56">
        <v>35</v>
      </c>
      <c r="EO36" s="56">
        <v>0</v>
      </c>
      <c r="EQ36" s="26">
        <v>0.3</v>
      </c>
      <c r="ER36" s="26">
        <v>0.3</v>
      </c>
      <c r="EU36" s="26">
        <v>0.35</v>
      </c>
      <c r="EX36" s="25" t="s">
        <v>8527</v>
      </c>
      <c r="EY36" s="25" t="s">
        <v>8527</v>
      </c>
      <c r="EZ36" s="25" t="s">
        <v>8527</v>
      </c>
      <c r="FA36" s="25" t="s">
        <v>8527</v>
      </c>
      <c r="FB36" s="25" t="s">
        <v>8527</v>
      </c>
      <c r="FC36" s="25" t="s">
        <v>8261</v>
      </c>
      <c r="FE36" s="25" t="s">
        <v>28</v>
      </c>
      <c r="FF36" s="25" t="s">
        <v>28</v>
      </c>
      <c r="FG36" s="25" t="s">
        <v>28</v>
      </c>
      <c r="FH36" s="25" t="s">
        <v>28</v>
      </c>
      <c r="FI36" s="25" t="s">
        <v>28</v>
      </c>
      <c r="FJ36" s="25" t="s">
        <v>28</v>
      </c>
      <c r="FK36" s="25" t="s">
        <v>28</v>
      </c>
      <c r="FL36" s="25" t="s">
        <v>13810</v>
      </c>
      <c r="FM36" s="25" t="s">
        <v>13810</v>
      </c>
      <c r="FN36" s="25" t="s">
        <v>13810</v>
      </c>
      <c r="FO36" s="25" t="s">
        <v>13810</v>
      </c>
      <c r="FP36" s="25" t="s">
        <v>631</v>
      </c>
      <c r="FQ36" s="25" t="s">
        <v>631</v>
      </c>
      <c r="FR36" s="25" t="s">
        <v>631</v>
      </c>
      <c r="FS36" s="25" t="s">
        <v>631</v>
      </c>
      <c r="FT36" s="25" t="s">
        <v>631</v>
      </c>
      <c r="FV36" s="25" t="s">
        <v>8253</v>
      </c>
      <c r="FW36" s="25" t="s">
        <v>8317</v>
      </c>
      <c r="FX36" s="25" t="s">
        <v>8253</v>
      </c>
      <c r="FY36" s="25" t="s">
        <v>8253</v>
      </c>
      <c r="GE36" s="56">
        <v>0</v>
      </c>
      <c r="GF36" s="56">
        <v>0</v>
      </c>
      <c r="GG36" s="56">
        <v>0</v>
      </c>
      <c r="GI36" s="56">
        <v>10</v>
      </c>
      <c r="GJ36" s="56">
        <v>0</v>
      </c>
      <c r="GK36" s="56">
        <v>20</v>
      </c>
      <c r="GM36" s="56">
        <v>30</v>
      </c>
      <c r="GN36" s="56">
        <v>0</v>
      </c>
      <c r="GO36" s="56">
        <v>60</v>
      </c>
      <c r="GQ36" s="56">
        <v>50</v>
      </c>
      <c r="GR36" s="56">
        <v>0</v>
      </c>
      <c r="GS36" s="56">
        <v>100</v>
      </c>
      <c r="GY36" s="56">
        <v>150</v>
      </c>
      <c r="GZ36" s="56">
        <v>0</v>
      </c>
      <c r="HA36" s="56">
        <v>150</v>
      </c>
      <c r="HH36" s="57">
        <v>0.1</v>
      </c>
      <c r="HI36" s="57">
        <v>0.3</v>
      </c>
      <c r="HJ36" s="57">
        <v>0.5</v>
      </c>
      <c r="HL36" s="57">
        <v>0.2</v>
      </c>
      <c r="HN36" s="58">
        <v>0</v>
      </c>
      <c r="HO36" s="56">
        <v>0</v>
      </c>
      <c r="HP36" s="56">
        <v>10</v>
      </c>
      <c r="HQ36" s="56">
        <v>10</v>
      </c>
      <c r="HR36" s="56">
        <v>30</v>
      </c>
      <c r="HS36" s="56">
        <v>30</v>
      </c>
      <c r="HT36" s="56">
        <v>50</v>
      </c>
      <c r="HU36" s="56">
        <v>50</v>
      </c>
      <c r="HX36" s="56">
        <v>150</v>
      </c>
      <c r="HY36" s="56">
        <v>150</v>
      </c>
      <c r="IB36" s="26">
        <v>1</v>
      </c>
      <c r="IC36" s="26">
        <v>1</v>
      </c>
      <c r="ID36" s="26">
        <v>1</v>
      </c>
      <c r="IE36" s="26">
        <v>1</v>
      </c>
      <c r="IG36" s="26">
        <v>1</v>
      </c>
      <c r="II36" s="56">
        <v>0</v>
      </c>
      <c r="IJ36" s="56">
        <v>1000000</v>
      </c>
      <c r="IK36" s="56">
        <v>0</v>
      </c>
      <c r="IL36" s="56">
        <v>1000000</v>
      </c>
      <c r="IM36" s="56">
        <v>0</v>
      </c>
      <c r="IN36" s="56">
        <v>1000000</v>
      </c>
      <c r="IO36" s="56">
        <v>0</v>
      </c>
      <c r="IP36" s="56">
        <v>1000000</v>
      </c>
      <c r="IS36" s="56">
        <v>0</v>
      </c>
      <c r="IT36" s="56">
        <v>1000000</v>
      </c>
      <c r="IW36" s="26">
        <v>0</v>
      </c>
      <c r="IX36" s="26">
        <v>0.2</v>
      </c>
      <c r="IY36" s="26">
        <v>0.6</v>
      </c>
      <c r="IZ36" s="26">
        <v>1</v>
      </c>
      <c r="JB36" s="26">
        <v>0.2</v>
      </c>
      <c r="JD36" s="56">
        <v>0</v>
      </c>
      <c r="JE36" s="56">
        <v>0</v>
      </c>
      <c r="JF36" s="56">
        <v>20</v>
      </c>
      <c r="JG36" s="56">
        <v>20</v>
      </c>
      <c r="JH36" s="56">
        <v>60</v>
      </c>
      <c r="JI36" s="56">
        <v>60</v>
      </c>
      <c r="JJ36" s="56">
        <v>100</v>
      </c>
      <c r="JK36" s="56">
        <v>100</v>
      </c>
      <c r="JN36" s="56">
        <v>150</v>
      </c>
      <c r="JO36" s="56">
        <v>150</v>
      </c>
      <c r="JR36" s="26">
        <v>1</v>
      </c>
      <c r="JS36" s="26">
        <v>1</v>
      </c>
      <c r="JT36" s="26">
        <v>1</v>
      </c>
      <c r="JU36" s="26">
        <v>1</v>
      </c>
      <c r="JW36" s="26">
        <v>1</v>
      </c>
      <c r="JY36" s="56">
        <v>0</v>
      </c>
      <c r="JZ36" s="56">
        <v>1000000</v>
      </c>
      <c r="KA36" s="56">
        <v>0</v>
      </c>
      <c r="KB36" s="56">
        <v>1000000</v>
      </c>
      <c r="KC36" s="56">
        <v>0</v>
      </c>
      <c r="KD36" s="56">
        <v>1000000</v>
      </c>
      <c r="KE36" s="56">
        <v>0</v>
      </c>
      <c r="KF36" s="56">
        <v>1000000</v>
      </c>
      <c r="KI36" s="56">
        <v>0</v>
      </c>
      <c r="KJ36" s="56">
        <v>1000000</v>
      </c>
      <c r="KM36" s="25" t="s">
        <v>8352</v>
      </c>
      <c r="KN36" s="25" t="s">
        <v>8298</v>
      </c>
      <c r="KO36" s="25" t="s">
        <v>8508</v>
      </c>
      <c r="KP36" s="25">
        <v>2</v>
      </c>
      <c r="KQ36" s="25" t="s">
        <v>9003</v>
      </c>
      <c r="KR36" s="25" t="s">
        <v>9004</v>
      </c>
      <c r="KS36" s="56">
        <v>3000</v>
      </c>
      <c r="KT36" s="56">
        <v>6000</v>
      </c>
      <c r="KU36" s="56">
        <v>6000</v>
      </c>
      <c r="KV36" s="56">
        <v>12000</v>
      </c>
      <c r="KY36" s="25" t="s">
        <v>8690</v>
      </c>
      <c r="KZ36" s="56">
        <v>1500</v>
      </c>
      <c r="LA36" s="56">
        <v>3000</v>
      </c>
      <c r="LB36" s="56">
        <v>3000</v>
      </c>
      <c r="LC36" s="56">
        <v>6000</v>
      </c>
      <c r="LD36" s="25" t="s">
        <v>8350</v>
      </c>
      <c r="LE36" s="25" t="s">
        <v>8248</v>
      </c>
      <c r="LR36" s="25" t="s">
        <v>8249</v>
      </c>
      <c r="OE36" s="25" t="s">
        <v>25</v>
      </c>
      <c r="OF36" s="25" t="s">
        <v>28</v>
      </c>
      <c r="OG36" s="25" t="s">
        <v>25</v>
      </c>
      <c r="OH36" s="25" t="s">
        <v>25</v>
      </c>
      <c r="OJ36" s="25" t="s">
        <v>13416</v>
      </c>
      <c r="OK36" s="25" t="s">
        <v>13416</v>
      </c>
      <c r="OS36" s="26">
        <v>0.1</v>
      </c>
      <c r="OT36" s="26">
        <v>0.1</v>
      </c>
      <c r="OU36" s="26">
        <v>0.1</v>
      </c>
      <c r="OV36" s="26">
        <v>0.1</v>
      </c>
      <c r="OW36" s="26">
        <v>0.1</v>
      </c>
      <c r="OX36" s="26">
        <v>0.1</v>
      </c>
      <c r="PG36" s="26">
        <v>0.3</v>
      </c>
      <c r="PH36" s="26">
        <v>0.3</v>
      </c>
      <c r="PI36" s="26">
        <v>0.3</v>
      </c>
      <c r="PJ36" s="26">
        <v>0.1</v>
      </c>
      <c r="PK36" s="26">
        <v>0.3</v>
      </c>
      <c r="PL36" s="26">
        <v>0.3</v>
      </c>
      <c r="PN36" s="25" t="s">
        <v>8527</v>
      </c>
      <c r="PO36" s="25" t="s">
        <v>8527</v>
      </c>
      <c r="PP36" s="25" t="s">
        <v>8527</v>
      </c>
      <c r="PQ36" s="25" t="s">
        <v>8527</v>
      </c>
      <c r="PR36" s="25" t="s">
        <v>8527</v>
      </c>
      <c r="PS36" s="25" t="s">
        <v>8527</v>
      </c>
      <c r="PU36" s="25" t="s">
        <v>25</v>
      </c>
      <c r="PV36" s="25" t="s">
        <v>25</v>
      </c>
      <c r="PW36" s="25" t="s">
        <v>25</v>
      </c>
      <c r="PX36" s="25" t="s">
        <v>25</v>
      </c>
      <c r="PY36" s="25" t="s">
        <v>25</v>
      </c>
      <c r="PZ36" s="25" t="s">
        <v>25</v>
      </c>
      <c r="QA36" s="25" t="s">
        <v>25</v>
      </c>
      <c r="QB36" s="25" t="s">
        <v>13810</v>
      </c>
      <c r="QC36" s="25" t="s">
        <v>13810</v>
      </c>
      <c r="QD36" s="25" t="s">
        <v>13810</v>
      </c>
      <c r="QE36" s="25" t="s">
        <v>13810</v>
      </c>
      <c r="QF36" s="25" t="s">
        <v>631</v>
      </c>
      <c r="QG36" s="25" t="s">
        <v>631</v>
      </c>
      <c r="QH36" s="25" t="s">
        <v>631</v>
      </c>
      <c r="QI36" s="25" t="s">
        <v>631</v>
      </c>
      <c r="QJ36" s="25" t="s">
        <v>631</v>
      </c>
      <c r="QK36" s="25" t="s">
        <v>631</v>
      </c>
      <c r="QL36" s="25" t="s">
        <v>8253</v>
      </c>
      <c r="QM36" s="25" t="s">
        <v>8317</v>
      </c>
      <c r="QN36" s="25" t="s">
        <v>8253</v>
      </c>
      <c r="QO36" s="25" t="s">
        <v>8253</v>
      </c>
      <c r="RW36" s="26">
        <v>0.1</v>
      </c>
      <c r="RX36" s="26">
        <v>0.1</v>
      </c>
      <c r="RY36" s="26">
        <v>0.1</v>
      </c>
      <c r="RZ36" s="26">
        <v>0.1</v>
      </c>
      <c r="SA36" s="26">
        <v>0.1</v>
      </c>
      <c r="SB36" s="26">
        <v>0.1</v>
      </c>
      <c r="SD36" s="56">
        <v>0</v>
      </c>
      <c r="SE36" s="56">
        <v>6000</v>
      </c>
      <c r="SF36" s="56">
        <v>0</v>
      </c>
      <c r="SG36" s="56">
        <v>6000</v>
      </c>
      <c r="SI36" s="56">
        <v>6000</v>
      </c>
      <c r="SK36" s="56">
        <v>6000</v>
      </c>
      <c r="SL36" s="56">
        <v>0</v>
      </c>
      <c r="SM36" s="56">
        <v>6000</v>
      </c>
      <c r="SN36" s="56">
        <v>0</v>
      </c>
      <c r="SO36" s="56">
        <v>6000</v>
      </c>
      <c r="SP36" s="56">
        <v>0</v>
      </c>
      <c r="SQ36" s="56">
        <v>6000</v>
      </c>
      <c r="SR36" s="26">
        <v>1</v>
      </c>
      <c r="SS36" s="26">
        <v>1</v>
      </c>
      <c r="ST36" s="26">
        <v>1</v>
      </c>
      <c r="SU36" s="26">
        <v>1</v>
      </c>
      <c r="SV36" s="26">
        <v>1</v>
      </c>
      <c r="SW36" s="26">
        <v>1</v>
      </c>
      <c r="SY36" s="56">
        <v>0</v>
      </c>
      <c r="SZ36" s="56">
        <v>12000</v>
      </c>
      <c r="TA36" s="56">
        <v>0</v>
      </c>
      <c r="TB36" s="56">
        <v>12000</v>
      </c>
      <c r="TC36" s="56">
        <v>0</v>
      </c>
      <c r="TD36" s="56">
        <v>12000</v>
      </c>
      <c r="TE36" s="56">
        <v>0</v>
      </c>
      <c r="TF36" s="56">
        <v>12000</v>
      </c>
      <c r="TG36" s="56">
        <v>0</v>
      </c>
      <c r="TH36" s="56">
        <v>12000</v>
      </c>
      <c r="TI36" s="56">
        <v>0</v>
      </c>
      <c r="TJ36" s="56">
        <v>12000</v>
      </c>
      <c r="TM36" s="26">
        <v>0.1</v>
      </c>
      <c r="TN36" s="26">
        <v>0.1</v>
      </c>
      <c r="TO36" s="26">
        <v>0.1</v>
      </c>
      <c r="TP36" s="26">
        <v>0.1</v>
      </c>
      <c r="TQ36" s="26">
        <v>0.1</v>
      </c>
      <c r="TR36" s="26">
        <v>0.2</v>
      </c>
      <c r="TT36" s="56">
        <v>0</v>
      </c>
      <c r="TU36" s="56">
        <v>6000</v>
      </c>
      <c r="TV36" s="56">
        <v>0</v>
      </c>
      <c r="TW36" s="56">
        <v>6000</v>
      </c>
      <c r="TX36" s="56">
        <v>0</v>
      </c>
      <c r="TY36" s="56">
        <v>6000</v>
      </c>
      <c r="TZ36" s="56">
        <v>0</v>
      </c>
      <c r="UA36" s="56">
        <v>6000</v>
      </c>
      <c r="UB36" s="56">
        <v>0</v>
      </c>
      <c r="UC36" s="56">
        <v>6000</v>
      </c>
      <c r="UD36" s="56">
        <v>0</v>
      </c>
      <c r="UE36" s="56">
        <v>6000</v>
      </c>
      <c r="UG36" s="56">
        <v>6000</v>
      </c>
      <c r="UH36" s="26">
        <v>1</v>
      </c>
      <c r="UI36" s="26">
        <v>1</v>
      </c>
      <c r="UJ36" s="26">
        <v>1</v>
      </c>
      <c r="UK36" s="26">
        <v>1</v>
      </c>
      <c r="UL36" s="26">
        <v>1</v>
      </c>
      <c r="UM36" s="26">
        <v>1</v>
      </c>
      <c r="UO36" s="56">
        <v>0</v>
      </c>
      <c r="UP36" s="56">
        <v>12000</v>
      </c>
      <c r="UQ36" s="56">
        <v>0</v>
      </c>
      <c r="UR36" s="56">
        <v>12000</v>
      </c>
      <c r="US36" s="56">
        <v>0</v>
      </c>
      <c r="UT36" s="56">
        <v>12000</v>
      </c>
      <c r="UU36" s="56">
        <v>0</v>
      </c>
      <c r="UV36" s="56">
        <v>12000</v>
      </c>
      <c r="UW36" s="56">
        <v>0</v>
      </c>
      <c r="UX36" s="56">
        <v>12000</v>
      </c>
      <c r="UY36" s="56">
        <v>0</v>
      </c>
      <c r="UZ36" s="56">
        <v>12000</v>
      </c>
      <c r="VA36" s="56">
        <v>0</v>
      </c>
      <c r="VB36" s="56">
        <v>12000</v>
      </c>
      <c r="VC36" s="25" t="s">
        <v>8352</v>
      </c>
      <c r="VD36" s="25" t="s">
        <v>8298</v>
      </c>
      <c r="VE36" s="25" t="s">
        <v>8508</v>
      </c>
      <c r="VF36" s="25">
        <v>0</v>
      </c>
      <c r="VI36" s="25"/>
      <c r="VJ36" s="25"/>
      <c r="VK36" s="25"/>
      <c r="VL36" s="25"/>
      <c r="VM36" s="25"/>
      <c r="VN36" s="25"/>
      <c r="VP36" s="25"/>
      <c r="VQ36" s="25"/>
      <c r="VR36" s="25"/>
      <c r="VS36" s="25"/>
      <c r="ZA36" s="25"/>
      <c r="ZB36" s="25"/>
      <c r="ZC36" s="25"/>
      <c r="ZD36" s="25"/>
      <c r="ZE36" s="25"/>
      <c r="ZF36" s="25"/>
      <c r="ZG36" s="25"/>
      <c r="ZO36" s="25"/>
      <c r="ZP36" s="25"/>
      <c r="ZQ36" s="25"/>
      <c r="ZR36" s="25"/>
      <c r="ZS36" s="25"/>
      <c r="ZT36" s="25"/>
      <c r="ZU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S36" s="25"/>
      <c r="ACT36" s="25"/>
      <c r="ACU36" s="25"/>
      <c r="ACV36" s="25"/>
      <c r="ACW36" s="25"/>
      <c r="ACX36" s="25"/>
      <c r="ACY36" s="25"/>
      <c r="ACZ36" s="25"/>
      <c r="ADA36" s="25"/>
      <c r="ADB36" s="25"/>
      <c r="ADC36" s="25"/>
      <c r="ADD36" s="25"/>
      <c r="ADE36" s="25"/>
      <c r="ADF36" s="25"/>
      <c r="ADN36" s="25"/>
      <c r="ADO36" s="25"/>
      <c r="ADP36" s="25"/>
      <c r="ADQ36" s="25"/>
      <c r="ADR36" s="25"/>
      <c r="ADS36" s="25"/>
      <c r="ADT36" s="25"/>
      <c r="ADU36" s="25"/>
      <c r="ADV36" s="25"/>
      <c r="ADW36" s="25"/>
      <c r="ADX36" s="25"/>
      <c r="ADY36" s="25"/>
      <c r="ADZ36" s="25"/>
      <c r="AEA36" s="25"/>
      <c r="AEI36" s="25"/>
      <c r="AEJ36" s="25"/>
      <c r="AEK36" s="25"/>
      <c r="AEL36" s="25"/>
      <c r="AEM36" s="25"/>
      <c r="AEN36" s="25"/>
      <c r="AEO36" s="25"/>
      <c r="AEP36" s="25"/>
      <c r="AEQ36" s="25"/>
      <c r="AER36" s="25"/>
      <c r="AES36" s="25"/>
      <c r="AET36" s="25"/>
      <c r="AEU36" s="25"/>
      <c r="AEV36" s="25"/>
      <c r="AFD36" s="25"/>
      <c r="AFE36" s="25"/>
      <c r="AFF36" s="25"/>
      <c r="AFG36" s="25"/>
      <c r="AFH36" s="25"/>
      <c r="AFI36" s="25"/>
      <c r="AFJ36" s="25"/>
      <c r="AFK36" s="25"/>
      <c r="AFL36" s="25"/>
      <c r="AFM36" s="25"/>
      <c r="AFN36" s="25"/>
      <c r="AFO36" s="25"/>
      <c r="AFP36" s="25"/>
      <c r="AFQ36" s="25"/>
      <c r="AFU36" s="25">
        <v>1</v>
      </c>
      <c r="AFV36" s="25" t="s">
        <v>9005</v>
      </c>
      <c r="AFX36" s="56">
        <v>1500</v>
      </c>
      <c r="AFY36" s="56">
        <v>3000</v>
      </c>
      <c r="AFZ36" s="56">
        <v>1500</v>
      </c>
      <c r="AGA36" s="56">
        <v>3000</v>
      </c>
      <c r="AGD36" s="25" t="s">
        <v>8690</v>
      </c>
      <c r="AGE36" s="56">
        <v>0</v>
      </c>
      <c r="AGF36" s="56">
        <v>0</v>
      </c>
      <c r="AGG36" s="56">
        <v>0</v>
      </c>
      <c r="AGH36" s="56">
        <v>0</v>
      </c>
      <c r="AGI36" s="25" t="s">
        <v>8248</v>
      </c>
      <c r="AGV36" s="25" t="s">
        <v>8249</v>
      </c>
      <c r="AJI36" s="25" t="s">
        <v>25</v>
      </c>
      <c r="AJJ36" s="25" t="s">
        <v>28</v>
      </c>
      <c r="AJK36" s="25" t="s">
        <v>28</v>
      </c>
      <c r="AJL36" s="25" t="s">
        <v>25</v>
      </c>
      <c r="AJN36" s="25" t="s">
        <v>13423</v>
      </c>
      <c r="AJO36" s="25" t="s">
        <v>13423</v>
      </c>
      <c r="AJP36" s="56">
        <v>20</v>
      </c>
      <c r="AJQ36" s="56">
        <v>35</v>
      </c>
      <c r="AJR36" s="56">
        <v>0</v>
      </c>
      <c r="AJS36" s="56">
        <v>150</v>
      </c>
      <c r="AJT36" s="56">
        <v>35</v>
      </c>
      <c r="AJU36" s="56">
        <v>20</v>
      </c>
      <c r="AKD36" s="56">
        <v>20</v>
      </c>
      <c r="AKE36" s="56">
        <v>35</v>
      </c>
      <c r="AKG36" s="56">
        <v>150</v>
      </c>
      <c r="AKH36" s="56">
        <v>35</v>
      </c>
      <c r="AKM36" s="26">
        <v>1</v>
      </c>
      <c r="AKP36" s="26">
        <v>1</v>
      </c>
      <c r="AKR36" s="25" t="s">
        <v>8527</v>
      </c>
      <c r="AKS36" s="25" t="s">
        <v>8527</v>
      </c>
      <c r="AKT36" s="25" t="s">
        <v>8250</v>
      </c>
      <c r="AKU36" s="25" t="s">
        <v>8527</v>
      </c>
      <c r="AKV36" s="25" t="s">
        <v>8527</v>
      </c>
      <c r="AKW36" s="25" t="s">
        <v>8250</v>
      </c>
      <c r="AKY36" s="25" t="s">
        <v>25</v>
      </c>
      <c r="AKZ36" s="25" t="s">
        <v>25</v>
      </c>
      <c r="ALA36" s="25" t="s">
        <v>25</v>
      </c>
      <c r="ALB36" s="25" t="s">
        <v>25</v>
      </c>
      <c r="ALC36" s="25" t="s">
        <v>25</v>
      </c>
      <c r="ALD36" s="25" t="s">
        <v>25</v>
      </c>
      <c r="ALE36" s="25" t="s">
        <v>25</v>
      </c>
      <c r="ALF36" s="25" t="s">
        <v>8252</v>
      </c>
      <c r="ALG36" s="25" t="s">
        <v>13810</v>
      </c>
      <c r="ALH36" s="25" t="s">
        <v>8252</v>
      </c>
      <c r="ALI36" s="25" t="s">
        <v>8252</v>
      </c>
      <c r="ALP36" s="25" t="s">
        <v>8253</v>
      </c>
      <c r="ALQ36" s="25" t="s">
        <v>8317</v>
      </c>
      <c r="ALR36" s="25" t="s">
        <v>8253</v>
      </c>
      <c r="ALS36" s="25" t="s">
        <v>8253</v>
      </c>
      <c r="ALY36" s="56">
        <v>10</v>
      </c>
      <c r="ALZ36" s="56">
        <v>10</v>
      </c>
      <c r="AMA36" s="56">
        <v>10</v>
      </c>
      <c r="AMB36" s="56">
        <v>10</v>
      </c>
      <c r="AMC36" s="56">
        <v>20</v>
      </c>
      <c r="AMD36" s="56">
        <v>20</v>
      </c>
      <c r="AME36" s="56">
        <v>20</v>
      </c>
      <c r="AMF36" s="56">
        <v>20</v>
      </c>
      <c r="AMG36" s="56">
        <v>30</v>
      </c>
      <c r="AMH36" s="56">
        <v>35</v>
      </c>
      <c r="AMI36" s="56">
        <v>30</v>
      </c>
      <c r="AMJ36" s="56">
        <v>35</v>
      </c>
      <c r="AMK36" s="56">
        <v>60</v>
      </c>
      <c r="AML36" s="56">
        <v>70</v>
      </c>
      <c r="AMM36" s="56">
        <v>60</v>
      </c>
      <c r="AMN36" s="56">
        <v>70</v>
      </c>
      <c r="AMO36" s="56">
        <v>50</v>
      </c>
      <c r="AMP36" s="56">
        <v>35</v>
      </c>
      <c r="AMQ36" s="56">
        <v>50</v>
      </c>
      <c r="AMR36" s="56">
        <v>35</v>
      </c>
      <c r="AMW36" s="56">
        <v>100</v>
      </c>
      <c r="AMX36" s="56">
        <v>70</v>
      </c>
      <c r="AMY36" s="56">
        <v>100</v>
      </c>
      <c r="AMZ36" s="56">
        <v>70</v>
      </c>
      <c r="ANF36" s="26">
        <v>0.2</v>
      </c>
      <c r="ANH36" s="56">
        <v>0</v>
      </c>
      <c r="ANI36" s="56">
        <v>10</v>
      </c>
      <c r="ANJ36" s="56">
        <v>0</v>
      </c>
      <c r="ANK36" s="56">
        <v>20</v>
      </c>
      <c r="ANL36" s="56">
        <v>0</v>
      </c>
      <c r="ANM36" s="56">
        <v>30</v>
      </c>
      <c r="ANN36" s="56">
        <v>0</v>
      </c>
      <c r="ANO36" s="56">
        <v>60</v>
      </c>
      <c r="ANP36" s="56">
        <v>0</v>
      </c>
      <c r="ANQ36" s="56">
        <v>50</v>
      </c>
      <c r="ANR36" s="56">
        <v>20</v>
      </c>
      <c r="ANS36" s="56">
        <v>150</v>
      </c>
      <c r="ANT36" s="56">
        <v>0</v>
      </c>
      <c r="ANU36" s="56">
        <v>100</v>
      </c>
      <c r="ANV36" s="26">
        <v>0.1</v>
      </c>
      <c r="ANW36" s="26">
        <v>0.2</v>
      </c>
      <c r="ANX36" s="26">
        <v>0.35</v>
      </c>
      <c r="ANY36" s="26">
        <v>0.7</v>
      </c>
      <c r="ANZ36" s="26">
        <v>0.35</v>
      </c>
      <c r="AOB36" s="26">
        <v>0.7</v>
      </c>
      <c r="AOC36" s="56">
        <v>0</v>
      </c>
      <c r="AOD36" s="56">
        <v>10</v>
      </c>
      <c r="AOE36" s="56">
        <v>0</v>
      </c>
      <c r="AOF36" s="56">
        <v>20</v>
      </c>
      <c r="AOG36" s="56">
        <v>0</v>
      </c>
      <c r="AOH36" s="56">
        <v>35</v>
      </c>
      <c r="AOI36" s="56">
        <v>0</v>
      </c>
      <c r="AOJ36" s="56">
        <v>70</v>
      </c>
      <c r="AOK36" s="56">
        <v>0</v>
      </c>
      <c r="AOL36" s="56">
        <v>35</v>
      </c>
      <c r="AOM36" s="56">
        <v>20</v>
      </c>
      <c r="AON36" s="56">
        <v>150</v>
      </c>
      <c r="AOO36" s="56">
        <v>0</v>
      </c>
      <c r="AOP36" s="56">
        <v>70</v>
      </c>
      <c r="AOV36" s="26">
        <v>0.2</v>
      </c>
      <c r="AOX36" s="56">
        <v>0</v>
      </c>
      <c r="AOY36" s="56">
        <v>10</v>
      </c>
      <c r="AOZ36" s="56">
        <v>0</v>
      </c>
      <c r="APA36" s="56">
        <v>20</v>
      </c>
      <c r="APB36" s="56">
        <v>0</v>
      </c>
      <c r="APC36" s="56">
        <v>30</v>
      </c>
      <c r="APD36" s="56">
        <v>0</v>
      </c>
      <c r="APE36" s="56">
        <v>60</v>
      </c>
      <c r="APF36" s="56">
        <v>0</v>
      </c>
      <c r="APG36" s="56">
        <v>50</v>
      </c>
      <c r="APH36" s="56">
        <v>20</v>
      </c>
      <c r="API36" s="56">
        <v>150</v>
      </c>
      <c r="APJ36" s="56">
        <v>0</v>
      </c>
      <c r="APK36" s="56">
        <v>100</v>
      </c>
      <c r="APQ36" s="26">
        <v>0.2</v>
      </c>
      <c r="AQC36" s="56">
        <v>20</v>
      </c>
      <c r="AQD36" s="56">
        <v>150</v>
      </c>
      <c r="AQG36" s="25" t="s">
        <v>8352</v>
      </c>
      <c r="AQH36" s="25" t="s">
        <v>8298</v>
      </c>
      <c r="AQI36" s="25" t="s">
        <v>8508</v>
      </c>
      <c r="AQJ36" s="25">
        <v>1</v>
      </c>
      <c r="AQK36" s="25" t="s">
        <v>8749</v>
      </c>
      <c r="AQM36" s="56">
        <v>1500</v>
      </c>
      <c r="AQN36" s="56">
        <v>3000</v>
      </c>
      <c r="AQO36" s="56">
        <v>0</v>
      </c>
      <c r="AQP36" s="56">
        <v>0</v>
      </c>
      <c r="AQQ36" s="56">
        <v>0</v>
      </c>
      <c r="AQR36" s="56">
        <v>0</v>
      </c>
      <c r="AQS36" s="25" t="s">
        <v>9006</v>
      </c>
      <c r="AQT36" s="56">
        <v>0</v>
      </c>
      <c r="AQU36" s="56">
        <v>0</v>
      </c>
      <c r="AQV36" s="56">
        <v>0</v>
      </c>
      <c r="AQW36" s="56">
        <v>0</v>
      </c>
      <c r="AQX36" s="25" t="s">
        <v>8248</v>
      </c>
      <c r="ARK36" s="25" t="s">
        <v>8249</v>
      </c>
      <c r="ATX36" s="25" t="s">
        <v>25</v>
      </c>
      <c r="ATY36" s="25" t="s">
        <v>28</v>
      </c>
      <c r="ATZ36" s="25" t="s">
        <v>28</v>
      </c>
      <c r="AUA36" s="25" t="s">
        <v>25</v>
      </c>
      <c r="AUC36" s="25" t="s">
        <v>13417</v>
      </c>
      <c r="AUD36" s="25" t="s">
        <v>29</v>
      </c>
      <c r="AUE36" s="56">
        <v>20</v>
      </c>
      <c r="AUF36" s="56">
        <v>35</v>
      </c>
      <c r="AUG36" s="56">
        <v>35</v>
      </c>
      <c r="AUH36" s="56">
        <v>150</v>
      </c>
      <c r="AUI36" s="56">
        <v>20</v>
      </c>
      <c r="AUJ36" s="56">
        <v>0</v>
      </c>
      <c r="AUL36" s="26">
        <v>0</v>
      </c>
      <c r="AUM36" s="26">
        <v>0</v>
      </c>
      <c r="AUN36" s="26">
        <v>0</v>
      </c>
      <c r="AUO36" s="26">
        <v>0</v>
      </c>
      <c r="AUP36" s="26">
        <v>0</v>
      </c>
      <c r="AUQ36" s="26">
        <v>0</v>
      </c>
      <c r="AUY36" s="56">
        <v>0</v>
      </c>
      <c r="AVF36" s="26">
        <v>0</v>
      </c>
      <c r="AVG36" s="25" t="s">
        <v>8250</v>
      </c>
      <c r="AVH36" s="25" t="s">
        <v>8250</v>
      </c>
      <c r="AVI36" s="25" t="s">
        <v>8250</v>
      </c>
      <c r="AVJ36" s="25" t="s">
        <v>8250</v>
      </c>
      <c r="AVK36" s="25" t="s">
        <v>8250</v>
      </c>
      <c r="AVL36" s="25" t="s">
        <v>8250</v>
      </c>
      <c r="AVM36" s="25" t="s">
        <v>8250</v>
      </c>
      <c r="AVN36" s="25" t="s">
        <v>13593</v>
      </c>
      <c r="AVO36" s="25" t="s">
        <v>13593</v>
      </c>
      <c r="AVP36" s="25" t="s">
        <v>13593</v>
      </c>
      <c r="AVQ36" s="25" t="s">
        <v>13593</v>
      </c>
      <c r="AVR36" s="25" t="s">
        <v>13593</v>
      </c>
      <c r="AVS36" s="25" t="s">
        <v>13593</v>
      </c>
      <c r="AVT36" s="25" t="s">
        <v>13593</v>
      </c>
      <c r="AVU36" s="25" t="s">
        <v>8252</v>
      </c>
      <c r="AVV36" s="25" t="s">
        <v>8252</v>
      </c>
      <c r="AVW36" s="25" t="s">
        <v>8252</v>
      </c>
      <c r="AVX36" s="25" t="s">
        <v>8252</v>
      </c>
      <c r="AVY36" s="25" t="s">
        <v>631</v>
      </c>
      <c r="AVZ36" s="25" t="s">
        <v>631</v>
      </c>
      <c r="AWA36" s="25" t="s">
        <v>631</v>
      </c>
      <c r="AWB36" s="25" t="s">
        <v>631</v>
      </c>
      <c r="AWC36" s="25" t="s">
        <v>631</v>
      </c>
      <c r="AWD36" s="25" t="s">
        <v>631</v>
      </c>
      <c r="AWE36" s="25" t="s">
        <v>8253</v>
      </c>
      <c r="AWF36" s="25" t="s">
        <v>8253</v>
      </c>
      <c r="AWG36" s="25" t="s">
        <v>8253</v>
      </c>
      <c r="AWH36" s="25" t="s">
        <v>8253</v>
      </c>
      <c r="AWN36" s="56">
        <v>20</v>
      </c>
      <c r="AWP36" s="56">
        <v>10</v>
      </c>
      <c r="AWR36" s="56">
        <v>70</v>
      </c>
      <c r="AWT36" s="56">
        <v>35</v>
      </c>
      <c r="AWV36" s="56">
        <v>70</v>
      </c>
      <c r="AWX36" s="56">
        <v>35</v>
      </c>
      <c r="AXH36" s="56">
        <v>0</v>
      </c>
      <c r="AXJ36" s="56">
        <v>0</v>
      </c>
      <c r="AXU36" s="26">
        <v>0.2</v>
      </c>
      <c r="AYG36" s="56">
        <v>20</v>
      </c>
      <c r="AYH36" s="56">
        <v>150</v>
      </c>
      <c r="AZM36" s="56">
        <v>10</v>
      </c>
      <c r="AZN36" s="56">
        <v>20</v>
      </c>
      <c r="AZO36" s="56">
        <v>35</v>
      </c>
      <c r="AZP36" s="56">
        <v>70</v>
      </c>
      <c r="AZQ36" s="56">
        <v>35</v>
      </c>
      <c r="AZR36" s="56">
        <v>70</v>
      </c>
      <c r="BAR36" s="56">
        <v>20</v>
      </c>
      <c r="BAV36" s="25" t="s">
        <v>8352</v>
      </c>
      <c r="BAW36" s="25" t="s">
        <v>8256</v>
      </c>
      <c r="BAX36" s="25" t="s">
        <v>8263</v>
      </c>
      <c r="BAY36" s="25">
        <v>0</v>
      </c>
      <c r="BBB36" s="25"/>
      <c r="BBC36" s="25"/>
      <c r="BBD36" s="25"/>
      <c r="BBE36" s="25"/>
      <c r="BBF36" s="25"/>
      <c r="BBG36" s="25"/>
      <c r="BBI36" s="25"/>
      <c r="BBJ36" s="25"/>
      <c r="BBK36" s="25"/>
      <c r="BBL36" s="25"/>
      <c r="BET36" s="25"/>
      <c r="BEU36" s="25"/>
      <c r="BEV36" s="25"/>
      <c r="BEW36" s="25"/>
      <c r="BEX36" s="25"/>
      <c r="BEY36" s="25"/>
      <c r="BEZ36" s="25"/>
      <c r="BFH36" s="25"/>
      <c r="BFI36" s="25"/>
      <c r="BFJ36" s="25"/>
      <c r="BFK36" s="25"/>
      <c r="BFL36" s="25"/>
      <c r="BFM36" s="25"/>
      <c r="BFN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L36" s="25"/>
      <c r="BIM36" s="25"/>
      <c r="BIN36" s="25"/>
      <c r="BIO36" s="25"/>
      <c r="BIP36" s="25"/>
      <c r="BIQ36" s="25"/>
      <c r="BIR36" s="25"/>
      <c r="BIS36" s="25"/>
      <c r="BIT36" s="25"/>
      <c r="BIU36" s="25"/>
      <c r="BIV36" s="25"/>
      <c r="BIW36" s="25"/>
      <c r="BIX36" s="25"/>
      <c r="BIY36" s="25"/>
      <c r="BJG36" s="25"/>
      <c r="BJH36" s="25"/>
      <c r="BJI36" s="25"/>
      <c r="BJJ36" s="25"/>
      <c r="BJK36" s="25"/>
      <c r="BJL36" s="25"/>
      <c r="BJM36" s="25"/>
      <c r="BJN36" s="25"/>
      <c r="BJO36" s="25"/>
      <c r="BJP36" s="25"/>
      <c r="BJQ36" s="25"/>
      <c r="BJR36" s="25"/>
      <c r="BJS36" s="25"/>
      <c r="BJT36" s="25"/>
      <c r="BKB36" s="25"/>
      <c r="BKC36" s="25"/>
      <c r="BKD36" s="25"/>
      <c r="BKE36" s="25"/>
      <c r="BKF36" s="25"/>
      <c r="BKG36" s="25"/>
      <c r="BKH36" s="25"/>
      <c r="BKI36" s="25"/>
      <c r="BKJ36" s="25"/>
      <c r="BKK36" s="25"/>
      <c r="BKL36" s="25"/>
      <c r="BKM36" s="25"/>
      <c r="BKN36" s="25"/>
      <c r="BKO36" s="25"/>
      <c r="BKW36" s="25"/>
      <c r="BKX36" s="25"/>
      <c r="BKY36" s="25"/>
      <c r="BKZ36" s="25"/>
      <c r="BLA36" s="25"/>
      <c r="BLB36" s="25"/>
      <c r="BLC36" s="25"/>
      <c r="BLD36" s="25"/>
      <c r="BLE36" s="25"/>
      <c r="BLF36" s="25"/>
      <c r="BLG36" s="25"/>
      <c r="BLH36" s="25"/>
      <c r="BLI36" s="25"/>
      <c r="BLJ36" s="25"/>
      <c r="BLN36" s="25">
        <v>0</v>
      </c>
      <c r="BLQ36" s="25"/>
      <c r="BLR36" s="25"/>
      <c r="BLS36" s="25"/>
      <c r="BLT36" s="25"/>
      <c r="BLU36" s="25"/>
      <c r="BLV36" s="25"/>
      <c r="BLX36" s="25"/>
      <c r="BLY36" s="25"/>
      <c r="BLZ36" s="25"/>
      <c r="BMA36" s="25"/>
      <c r="BPI36" s="25"/>
      <c r="BPJ36" s="25"/>
      <c r="BPK36" s="25"/>
      <c r="BPL36" s="25"/>
      <c r="BPM36" s="25"/>
      <c r="BPN36" s="25"/>
      <c r="BPO36" s="25"/>
      <c r="BPW36" s="25"/>
      <c r="BPX36" s="25"/>
      <c r="BPY36" s="25"/>
      <c r="BPZ36" s="25"/>
      <c r="BQA36" s="25"/>
      <c r="BQB36" s="25"/>
      <c r="BQC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TA36" s="25"/>
      <c r="BTB36" s="25"/>
      <c r="BTC36" s="25"/>
      <c r="BTD36" s="25"/>
      <c r="BTE36" s="25"/>
      <c r="BTF36" s="25"/>
      <c r="BTG36" s="25"/>
      <c r="BTH36" s="25"/>
      <c r="BTI36" s="25"/>
      <c r="BTJ36" s="25"/>
      <c r="BTK36" s="25"/>
      <c r="BTL36" s="25"/>
      <c r="BTM36" s="25"/>
      <c r="BTN36" s="25"/>
      <c r="BUQ36" s="25"/>
      <c r="BUR36" s="25"/>
      <c r="BUS36" s="25"/>
      <c r="BUT36" s="25"/>
      <c r="BUU36" s="25"/>
      <c r="BUV36" s="25"/>
      <c r="BUW36" s="25"/>
      <c r="BUX36" s="25"/>
      <c r="BUY36" s="25"/>
      <c r="BUZ36" s="25"/>
      <c r="BVA36" s="25"/>
      <c r="BVB36" s="25"/>
      <c r="BVC36" s="25"/>
      <c r="BVD36" s="25"/>
      <c r="BWC36" s="25" t="s">
        <v>28</v>
      </c>
      <c r="BWD36" s="25" t="s">
        <v>8495</v>
      </c>
      <c r="BWE36" s="25" t="s">
        <v>8495</v>
      </c>
      <c r="BWF36" s="25" t="s">
        <v>8533</v>
      </c>
      <c r="BWG36" s="25" t="s">
        <v>28</v>
      </c>
      <c r="BWH36" s="25" t="s">
        <v>2169</v>
      </c>
      <c r="BWI36" s="25" t="s">
        <v>28</v>
      </c>
      <c r="BWJ36" s="25" t="s">
        <v>8267</v>
      </c>
      <c r="BWK36" s="25" t="s">
        <v>25</v>
      </c>
      <c r="BWM36" s="25" t="s">
        <v>25</v>
      </c>
      <c r="BWO36" s="25" t="s">
        <v>25</v>
      </c>
      <c r="BWQ36" s="25" t="s">
        <v>28</v>
      </c>
      <c r="BWR36" s="25" t="s">
        <v>25</v>
      </c>
      <c r="BWT36" s="25" t="s">
        <v>25</v>
      </c>
      <c r="BWV36" s="25" t="s">
        <v>25</v>
      </c>
      <c r="BWX36" s="25" t="s">
        <v>28</v>
      </c>
      <c r="BWY36" s="25" t="s">
        <v>9007</v>
      </c>
      <c r="BWZ36" s="25" t="s">
        <v>28</v>
      </c>
      <c r="BXA36" s="56">
        <v>12</v>
      </c>
      <c r="BXB36" s="25" t="s">
        <v>25</v>
      </c>
      <c r="BXD36" s="25" t="s">
        <v>28</v>
      </c>
      <c r="BXE36" s="25" t="s">
        <v>8388</v>
      </c>
      <c r="BXF36" s="25" t="s">
        <v>28</v>
      </c>
      <c r="BXG36" s="56">
        <v>20</v>
      </c>
      <c r="BXH36" s="25" t="s">
        <v>25</v>
      </c>
      <c r="BXJ36" s="25" t="s">
        <v>28</v>
      </c>
      <c r="BXK36" s="25" t="s">
        <v>8270</v>
      </c>
      <c r="BXL36" s="25" t="s">
        <v>8610</v>
      </c>
      <c r="BXM36" s="25" t="s">
        <v>2201</v>
      </c>
      <c r="BXN36" s="25" t="s">
        <v>8611</v>
      </c>
      <c r="BXO36" s="25" t="s">
        <v>8274</v>
      </c>
      <c r="BXP36" s="25" t="s">
        <v>8274</v>
      </c>
      <c r="BXQ36" s="25" t="s">
        <v>8274</v>
      </c>
      <c r="BXR36" s="25" t="s">
        <v>8274</v>
      </c>
      <c r="BXS36" s="25" t="s">
        <v>8274</v>
      </c>
      <c r="BXU36" s="25" t="s">
        <v>25</v>
      </c>
      <c r="BXW36" s="25" t="s">
        <v>28</v>
      </c>
      <c r="BXX36" s="25" t="s">
        <v>28</v>
      </c>
      <c r="BXY36" s="25" t="s">
        <v>28</v>
      </c>
      <c r="BXZ36" s="25" t="s">
        <v>28</v>
      </c>
      <c r="BYA36" s="25" t="s">
        <v>28</v>
      </c>
      <c r="BYB36" s="25" t="s">
        <v>28</v>
      </c>
      <c r="BYC36" s="25" t="s">
        <v>8276</v>
      </c>
      <c r="BYD36" s="25" t="s">
        <v>28</v>
      </c>
      <c r="BYE36" s="25" t="s">
        <v>13626</v>
      </c>
      <c r="BYF36" s="25" t="s">
        <v>8277</v>
      </c>
      <c r="BYG36" s="25" t="s">
        <v>9008</v>
      </c>
      <c r="BYH36" s="25" t="s">
        <v>635</v>
      </c>
      <c r="BYK36" s="25" t="s">
        <v>8333</v>
      </c>
      <c r="BYL36" s="25" t="s">
        <v>25</v>
      </c>
      <c r="BYN36" s="25" t="s">
        <v>25</v>
      </c>
      <c r="BYP36" s="25" t="s">
        <v>25</v>
      </c>
      <c r="BYR36" s="25" t="s">
        <v>28</v>
      </c>
      <c r="BYS36" s="25" t="s">
        <v>8279</v>
      </c>
      <c r="BYT36" s="25" t="s">
        <v>8279</v>
      </c>
      <c r="BYU36" s="25" t="s">
        <v>732</v>
      </c>
      <c r="BYV36" s="25" t="s">
        <v>25</v>
      </c>
      <c r="BYW36" s="25" t="s">
        <v>28</v>
      </c>
      <c r="BYX36" s="56">
        <v>500</v>
      </c>
      <c r="BYY36" s="56">
        <v>1000</v>
      </c>
      <c r="BYZ36" s="25" t="s">
        <v>8408</v>
      </c>
      <c r="BZA36" s="25" t="s">
        <v>13834</v>
      </c>
      <c r="BZB36" s="25" t="s">
        <v>2269</v>
      </c>
      <c r="BZD36" s="25" t="s">
        <v>28</v>
      </c>
      <c r="BZE36" s="25" t="s">
        <v>28</v>
      </c>
      <c r="BZF36" s="25" t="s">
        <v>28</v>
      </c>
      <c r="BZG36" s="25" t="s">
        <v>25</v>
      </c>
      <c r="BZJ36" s="25" t="s">
        <v>25</v>
      </c>
      <c r="BZM36" s="25" t="s">
        <v>28</v>
      </c>
      <c r="BZN36" s="25" t="s">
        <v>8336</v>
      </c>
      <c r="BZP36" s="25" t="s">
        <v>8366</v>
      </c>
      <c r="BZQ36" s="56">
        <v>1000</v>
      </c>
      <c r="BZR36" s="25" t="s">
        <v>607</v>
      </c>
      <c r="BZS36" s="25" t="s">
        <v>25</v>
      </c>
      <c r="BZT36" s="25" t="s">
        <v>8337</v>
      </c>
      <c r="BZV36" s="25" t="s">
        <v>13657</v>
      </c>
      <c r="BZX36" s="25" t="s">
        <v>9009</v>
      </c>
      <c r="BZZ36" s="25" t="s">
        <v>25</v>
      </c>
      <c r="CAC36" s="25" t="s">
        <v>25</v>
      </c>
      <c r="CAE36" s="25" t="s">
        <v>25</v>
      </c>
      <c r="CAG36" s="25" t="s">
        <v>25</v>
      </c>
      <c r="CAH36" s="25" t="s">
        <v>631</v>
      </c>
      <c r="CAI36" s="25" t="s">
        <v>631</v>
      </c>
      <c r="CAJ36" s="25" t="s">
        <v>631</v>
      </c>
      <c r="CAK36" s="25" t="s">
        <v>631</v>
      </c>
      <c r="CAL36" s="25" t="s">
        <v>631</v>
      </c>
      <c r="CAM36" s="25" t="s">
        <v>8290</v>
      </c>
      <c r="CAN36" s="25" t="s">
        <v>631</v>
      </c>
      <c r="CAO36" s="25" t="s">
        <v>631</v>
      </c>
      <c r="CAP36" s="25" t="s">
        <v>8290</v>
      </c>
      <c r="CAR36" s="25" t="s">
        <v>8339</v>
      </c>
      <c r="CAT36" s="25" t="s">
        <v>28</v>
      </c>
      <c r="CAU36" s="25" t="s">
        <v>9010</v>
      </c>
      <c r="CAV36" s="25" t="s">
        <v>8471</v>
      </c>
      <c r="CAW36" s="25" t="s">
        <v>8341</v>
      </c>
      <c r="CAX36" s="25" t="s">
        <v>8415</v>
      </c>
      <c r="CBA36" s="25" t="s">
        <v>9011</v>
      </c>
      <c r="CBB36" s="25">
        <v>2</v>
      </c>
      <c r="CBC36" s="25">
        <v>0</v>
      </c>
      <c r="CBD36" s="25">
        <v>0</v>
      </c>
      <c r="CBE36" s="56">
        <v>50</v>
      </c>
      <c r="CBF36" s="56">
        <v>150</v>
      </c>
      <c r="CBG36" s="56">
        <v>50</v>
      </c>
      <c r="CBH36" s="56">
        <v>150</v>
      </c>
      <c r="CBI36" s="56">
        <v>2000</v>
      </c>
      <c r="CBJ36" s="56">
        <v>2000</v>
      </c>
      <c r="CBK36" s="56">
        <v>2000</v>
      </c>
      <c r="CBL36" s="56">
        <v>2000</v>
      </c>
      <c r="CBM36" s="26">
        <v>0</v>
      </c>
      <c r="CBN36" s="26">
        <v>0</v>
      </c>
      <c r="CBO36" s="26">
        <v>0.2</v>
      </c>
      <c r="CBP36" s="26">
        <v>0.2</v>
      </c>
      <c r="CBQ36" s="26">
        <v>0.5</v>
      </c>
      <c r="CBR36" s="26">
        <v>0.5</v>
      </c>
      <c r="CBS36" s="26">
        <v>0.5</v>
      </c>
      <c r="CBT36" s="26">
        <v>0.5</v>
      </c>
      <c r="CBU36" s="27" t="s">
        <v>28</v>
      </c>
      <c r="CBV36" s="27" t="s">
        <v>8369</v>
      </c>
      <c r="CBW36" s="27" t="s">
        <v>8294</v>
      </c>
      <c r="CBX36" s="27" t="s">
        <v>9012</v>
      </c>
      <c r="CCB36" s="27" t="s">
        <v>8298</v>
      </c>
      <c r="CCC36" s="27" t="s">
        <v>8296</v>
      </c>
      <c r="CCD36" s="27" t="s">
        <v>8297</v>
      </c>
      <c r="CCE36" s="27" t="s">
        <v>8297</v>
      </c>
      <c r="CCF36" s="27" t="s">
        <v>8297</v>
      </c>
      <c r="CCG36" s="27" t="s">
        <v>8297</v>
      </c>
      <c r="CCH36" s="27" t="s">
        <v>8296</v>
      </c>
      <c r="CCI36" s="27" t="s">
        <v>8298</v>
      </c>
      <c r="CCJ36" s="27" t="s">
        <v>8298</v>
      </c>
      <c r="CCK36" s="27" t="s">
        <v>8297</v>
      </c>
      <c r="CCL36" s="27" t="s">
        <v>8297</v>
      </c>
      <c r="CCM36" s="27" t="s">
        <v>8297</v>
      </c>
      <c r="CCN36" s="27" t="s">
        <v>8297</v>
      </c>
      <c r="CCO36" s="27" t="s">
        <v>8297</v>
      </c>
      <c r="CCP36" s="27" t="s">
        <v>8297</v>
      </c>
      <c r="CCQ36" s="27" t="s">
        <v>8297</v>
      </c>
      <c r="CCR36" s="27" t="s">
        <v>8297</v>
      </c>
      <c r="CCS36" s="27" t="s">
        <v>8297</v>
      </c>
      <c r="CCT36" s="27" t="s">
        <v>8296</v>
      </c>
      <c r="CCU36" s="27" t="s">
        <v>8296</v>
      </c>
      <c r="CCV36" s="27" t="s">
        <v>8296</v>
      </c>
      <c r="CCW36" s="27" t="s">
        <v>8298</v>
      </c>
      <c r="CCX36" s="27" t="s">
        <v>8298</v>
      </c>
      <c r="CCY36" s="27" t="s">
        <v>8298</v>
      </c>
      <c r="CDC36" s="27" t="s">
        <v>28</v>
      </c>
      <c r="CDD36" s="27" t="s">
        <v>28</v>
      </c>
      <c r="CDE36" s="27" t="s">
        <v>28</v>
      </c>
      <c r="CDF36" s="27" t="s">
        <v>28</v>
      </c>
      <c r="CDG36" s="27" t="s">
        <v>28</v>
      </c>
      <c r="CDH36" s="27" t="s">
        <v>28</v>
      </c>
      <c r="CDI36" s="27" t="s">
        <v>28</v>
      </c>
      <c r="CDJ36" s="27" t="s">
        <v>28</v>
      </c>
      <c r="CDK36" s="27" t="s">
        <v>28</v>
      </c>
      <c r="CDL36" s="27" t="s">
        <v>28</v>
      </c>
      <c r="CDM36" s="27" t="s">
        <v>28</v>
      </c>
      <c r="CDN36" s="27" t="s">
        <v>28</v>
      </c>
      <c r="CDO36" s="27" t="s">
        <v>28</v>
      </c>
      <c r="CDP36" s="27" t="s">
        <v>28</v>
      </c>
      <c r="CDQ36" s="27" t="s">
        <v>28</v>
      </c>
      <c r="CDR36" s="27" t="s">
        <v>28</v>
      </c>
      <c r="CDS36" s="27" t="s">
        <v>28</v>
      </c>
      <c r="CDT36" s="27" t="s">
        <v>28</v>
      </c>
      <c r="CDU36" s="27" t="s">
        <v>28</v>
      </c>
      <c r="CDV36" s="27" t="s">
        <v>28</v>
      </c>
      <c r="CDW36" s="27" t="s">
        <v>28</v>
      </c>
      <c r="CDX36" s="27" t="s">
        <v>28</v>
      </c>
      <c r="CDY36" s="27" t="s">
        <v>28</v>
      </c>
      <c r="CDZ36" s="27" t="s">
        <v>28</v>
      </c>
      <c r="CED36" s="27" t="s">
        <v>8302</v>
      </c>
      <c r="CEE36" s="27" t="s">
        <v>8303</v>
      </c>
      <c r="CEF36" s="27" t="s">
        <v>29</v>
      </c>
      <c r="CEG36" s="27" t="s">
        <v>8420</v>
      </c>
      <c r="CEH36" s="27" t="s">
        <v>8302</v>
      </c>
      <c r="CEI36" s="27" t="s">
        <v>8302</v>
      </c>
      <c r="CEJ36" s="27" t="s">
        <v>29</v>
      </c>
      <c r="CEK36" s="27" t="s">
        <v>8302</v>
      </c>
      <c r="CEL36" s="27" t="s">
        <v>8302</v>
      </c>
      <c r="CEM36" s="27" t="s">
        <v>29</v>
      </c>
      <c r="CEN36" s="27" t="s">
        <v>29</v>
      </c>
      <c r="CEO36" s="27" t="s">
        <v>8301</v>
      </c>
      <c r="CEP36" s="27" t="s">
        <v>29</v>
      </c>
      <c r="CEQ36" s="27" t="s">
        <v>8304</v>
      </c>
      <c r="CER36" s="27" t="s">
        <v>8302</v>
      </c>
      <c r="CES36" s="27" t="s">
        <v>8371</v>
      </c>
      <c r="CET36" s="27" t="s">
        <v>8304</v>
      </c>
      <c r="CEU36" s="27" t="s">
        <v>8304</v>
      </c>
      <c r="CEV36" s="27" t="s">
        <v>29</v>
      </c>
      <c r="CEW36" s="27" t="s">
        <v>8305</v>
      </c>
      <c r="CEX36" s="27" t="s">
        <v>8302</v>
      </c>
      <c r="CEY36" s="27" t="s">
        <v>8303</v>
      </c>
      <c r="CEZ36" s="27" t="s">
        <v>8306</v>
      </c>
      <c r="CFA36" s="27" t="s">
        <v>29</v>
      </c>
      <c r="CFE36" s="27" t="s">
        <v>25</v>
      </c>
      <c r="CFF36" s="27" t="s">
        <v>25</v>
      </c>
      <c r="CFG36" s="27" t="s">
        <v>28</v>
      </c>
      <c r="CFH36" s="27" t="s">
        <v>25</v>
      </c>
      <c r="CFI36" s="27" t="s">
        <v>25</v>
      </c>
      <c r="CFJ36" s="27" t="s">
        <v>25</v>
      </c>
      <c r="CFK36" s="27" t="s">
        <v>25</v>
      </c>
      <c r="CFL36" s="27" t="s">
        <v>25</v>
      </c>
      <c r="CFM36" s="27" t="s">
        <v>25</v>
      </c>
      <c r="CFN36" s="27" t="s">
        <v>25</v>
      </c>
      <c r="CFO36" s="27" t="s">
        <v>28</v>
      </c>
      <c r="CFP36" s="27" t="s">
        <v>25</v>
      </c>
      <c r="CFQ36" s="27" t="s">
        <v>28</v>
      </c>
      <c r="CFR36" s="27" t="s">
        <v>28</v>
      </c>
      <c r="CFS36" s="27" t="s">
        <v>25</v>
      </c>
      <c r="CFT36" s="27" t="s">
        <v>25</v>
      </c>
      <c r="CFU36" s="27" t="s">
        <v>28</v>
      </c>
      <c r="CFV36" s="27" t="s">
        <v>25</v>
      </c>
      <c r="CFW36" s="27" t="s">
        <v>25</v>
      </c>
      <c r="CFX36" s="27" t="s">
        <v>28</v>
      </c>
      <c r="CFY36" s="27" t="s">
        <v>28</v>
      </c>
      <c r="CFZ36" s="27" t="s">
        <v>25</v>
      </c>
      <c r="CGA36" s="27" t="s">
        <v>25</v>
      </c>
      <c r="CGB36" s="27" t="s">
        <v>25</v>
      </c>
      <c r="CPW36" s="27">
        <v>2</v>
      </c>
      <c r="CPX36" s="56">
        <v>0</v>
      </c>
      <c r="CPY36" s="26">
        <v>0</v>
      </c>
      <c r="CPZ36" s="56">
        <v>45</v>
      </c>
      <c r="CQA36" s="26">
        <v>0</v>
      </c>
      <c r="CQB36" s="25" t="s">
        <v>8307</v>
      </c>
      <c r="CQC36" s="25" t="s">
        <v>635</v>
      </c>
      <c r="CQD36" s="25" t="s">
        <v>635</v>
      </c>
      <c r="CQE36" s="25" t="s">
        <v>635</v>
      </c>
      <c r="CQF36" s="25" t="s">
        <v>635</v>
      </c>
      <c r="CQG36" s="56">
        <v>0</v>
      </c>
      <c r="CQH36" s="56">
        <v>0</v>
      </c>
      <c r="CQI36" s="56">
        <v>250</v>
      </c>
      <c r="CQJ36" s="56">
        <v>250</v>
      </c>
      <c r="CQK36" s="56">
        <v>250</v>
      </c>
      <c r="CQM36" s="25" t="s">
        <v>8308</v>
      </c>
      <c r="CQN36" s="25" t="s">
        <v>28</v>
      </c>
      <c r="CQO36" s="25" t="s">
        <v>8772</v>
      </c>
      <c r="CQQ36" s="25" t="s">
        <v>9013</v>
      </c>
      <c r="CQR36" s="25" t="s">
        <v>9014</v>
      </c>
      <c r="CQS36" s="25" t="s">
        <v>25</v>
      </c>
      <c r="CQT36" s="25" t="s">
        <v>8312</v>
      </c>
      <c r="CQU36" s="25" t="s">
        <v>8313</v>
      </c>
      <c r="CQV36" s="25" t="s">
        <v>8313</v>
      </c>
      <c r="CQW36" s="25" t="s">
        <v>8313</v>
      </c>
      <c r="CQX36" s="25" t="s">
        <v>8313</v>
      </c>
      <c r="CQY36" s="25" t="s">
        <v>8313</v>
      </c>
      <c r="CQZ36" s="25" t="s">
        <v>8313</v>
      </c>
      <c r="CRA36" s="25" t="s">
        <v>8314</v>
      </c>
      <c r="CRB36" s="25" t="s">
        <v>8313</v>
      </c>
      <c r="CRC36" s="25" t="s">
        <v>8313</v>
      </c>
      <c r="CRD36" s="25" t="s">
        <v>8314</v>
      </c>
      <c r="CRE36" s="27" t="s">
        <v>8314</v>
      </c>
    </row>
    <row r="37" spans="1:2048 2050:2501" ht="89.25" x14ac:dyDescent="0.2">
      <c r="A37" s="21" t="s">
        <v>158</v>
      </c>
      <c r="B37" s="26">
        <v>0.61</v>
      </c>
      <c r="C37" s="26">
        <v>0</v>
      </c>
      <c r="D37" s="26">
        <v>0.13</v>
      </c>
      <c r="E37" s="26">
        <v>0.15</v>
      </c>
      <c r="F37" s="26">
        <v>0</v>
      </c>
      <c r="G37" s="26">
        <v>0</v>
      </c>
      <c r="H37" s="26">
        <v>0</v>
      </c>
      <c r="I37" s="26">
        <v>0</v>
      </c>
      <c r="J37" s="26">
        <v>0</v>
      </c>
      <c r="K37" s="26">
        <v>0</v>
      </c>
      <c r="L37" s="26">
        <v>0</v>
      </c>
      <c r="M37" s="26">
        <v>0.11</v>
      </c>
      <c r="N37" s="26">
        <v>0</v>
      </c>
      <c r="O37" s="26">
        <v>0</v>
      </c>
      <c r="P37" s="26">
        <v>0</v>
      </c>
      <c r="Q37" s="26">
        <v>0</v>
      </c>
      <c r="R37" s="26">
        <v>0</v>
      </c>
      <c r="S37" s="26">
        <v>0</v>
      </c>
      <c r="T37" s="26">
        <v>0</v>
      </c>
      <c r="U37" s="26">
        <v>0</v>
      </c>
      <c r="V37" s="26">
        <v>0</v>
      </c>
      <c r="W37" s="26">
        <v>0</v>
      </c>
      <c r="X37" s="26">
        <v>0</v>
      </c>
      <c r="Y37" s="26">
        <v>1</v>
      </c>
      <c r="Z37" s="25">
        <v>1</v>
      </c>
      <c r="AA37" s="25" t="s">
        <v>8829</v>
      </c>
      <c r="AC37" s="56">
        <v>2300</v>
      </c>
      <c r="AD37" s="56">
        <v>4900</v>
      </c>
      <c r="AE37" s="56">
        <v>3500</v>
      </c>
      <c r="AF37" s="56">
        <v>7500</v>
      </c>
      <c r="AI37" s="25" t="s">
        <v>8349</v>
      </c>
      <c r="AJ37" s="56">
        <v>300</v>
      </c>
      <c r="AK37" s="56">
        <v>900</v>
      </c>
      <c r="AL37" s="56">
        <v>500</v>
      </c>
      <c r="AM37" s="56">
        <v>1500</v>
      </c>
      <c r="AN37" s="25" t="s">
        <v>8350</v>
      </c>
      <c r="AO37" s="25" t="s">
        <v>8248</v>
      </c>
      <c r="BB37" s="25" t="s">
        <v>8249</v>
      </c>
      <c r="DO37" s="25" t="s">
        <v>25</v>
      </c>
      <c r="DP37" s="25" t="s">
        <v>28</v>
      </c>
      <c r="DQ37" s="25" t="s">
        <v>25</v>
      </c>
      <c r="DR37" s="25" t="s">
        <v>25</v>
      </c>
      <c r="DT37" s="25" t="s">
        <v>13417</v>
      </c>
      <c r="DU37" s="25" t="s">
        <v>13417</v>
      </c>
      <c r="DV37" s="56">
        <v>20</v>
      </c>
      <c r="DW37" s="56">
        <v>35</v>
      </c>
      <c r="DX37" s="56">
        <v>20</v>
      </c>
      <c r="DY37" s="56">
        <v>250</v>
      </c>
      <c r="DZ37" s="56">
        <v>35</v>
      </c>
      <c r="EA37" s="56">
        <v>10</v>
      </c>
      <c r="EC37" s="26">
        <v>0.1</v>
      </c>
      <c r="ED37" s="26">
        <v>0.1</v>
      </c>
      <c r="EE37" s="26">
        <v>0.1</v>
      </c>
      <c r="EF37" s="26">
        <v>0.1</v>
      </c>
      <c r="EG37" s="26">
        <v>0.1</v>
      </c>
      <c r="EH37" s="26">
        <v>0.1</v>
      </c>
      <c r="EJ37" s="56">
        <v>0</v>
      </c>
      <c r="EK37" s="56">
        <v>0</v>
      </c>
      <c r="EL37" s="56">
        <v>0</v>
      </c>
      <c r="EM37" s="56">
        <v>250</v>
      </c>
      <c r="EN37" s="56">
        <v>0</v>
      </c>
      <c r="EO37" s="56">
        <v>0</v>
      </c>
      <c r="EQ37" s="26">
        <v>0.3</v>
      </c>
      <c r="ER37" s="26">
        <v>0.3</v>
      </c>
      <c r="ES37" s="26">
        <v>0.3</v>
      </c>
      <c r="ET37" s="26">
        <v>0.3</v>
      </c>
      <c r="EU37" s="26">
        <v>0.3</v>
      </c>
      <c r="EV37" s="26">
        <v>0.3</v>
      </c>
      <c r="EX37" s="25" t="s">
        <v>8250</v>
      </c>
      <c r="EY37" s="25" t="s">
        <v>8250</v>
      </c>
      <c r="EZ37" s="25" t="s">
        <v>8250</v>
      </c>
      <c r="FA37" s="25" t="s">
        <v>8250</v>
      </c>
      <c r="FB37" s="25" t="s">
        <v>8250</v>
      </c>
      <c r="FC37" s="25" t="s">
        <v>8250</v>
      </c>
      <c r="FD37" s="25" t="s">
        <v>8250</v>
      </c>
      <c r="FH37" s="25" t="s">
        <v>28</v>
      </c>
      <c r="FL37" s="25" t="s">
        <v>13810</v>
      </c>
      <c r="FM37" s="25" t="s">
        <v>13810</v>
      </c>
      <c r="FN37" s="25" t="s">
        <v>13810</v>
      </c>
      <c r="FO37" s="25" t="s">
        <v>13810</v>
      </c>
      <c r="FP37" s="25" t="s">
        <v>13810</v>
      </c>
      <c r="FQ37" s="25" t="s">
        <v>13810</v>
      </c>
      <c r="FR37" s="25" t="s">
        <v>13810</v>
      </c>
      <c r="FS37" s="25" t="s">
        <v>631</v>
      </c>
      <c r="FT37" s="25" t="s">
        <v>631</v>
      </c>
      <c r="FV37" s="25" t="s">
        <v>8325</v>
      </c>
      <c r="FW37" s="25" t="s">
        <v>8253</v>
      </c>
      <c r="FX37" s="25" t="s">
        <v>8325</v>
      </c>
      <c r="FY37" s="25" t="s">
        <v>14227</v>
      </c>
      <c r="FZ37" s="25" t="s">
        <v>8386</v>
      </c>
      <c r="GA37" s="25" t="s">
        <v>8386</v>
      </c>
      <c r="GB37" s="25" t="s">
        <v>8386</v>
      </c>
      <c r="GE37" s="56">
        <v>10</v>
      </c>
      <c r="GF37" s="56">
        <v>10</v>
      </c>
      <c r="GG37" s="56">
        <v>20</v>
      </c>
      <c r="GI37" s="56">
        <v>25</v>
      </c>
      <c r="GJ37" s="56">
        <v>25</v>
      </c>
      <c r="GK37" s="56">
        <v>50</v>
      </c>
      <c r="GM37" s="56">
        <v>40</v>
      </c>
      <c r="GN37" s="56">
        <v>25</v>
      </c>
      <c r="GO37" s="56">
        <v>80</v>
      </c>
      <c r="GY37" s="56">
        <v>40</v>
      </c>
      <c r="GZ37" s="56">
        <v>40</v>
      </c>
      <c r="IB37" s="26">
        <v>0.5</v>
      </c>
      <c r="IC37" s="26">
        <v>0.5</v>
      </c>
      <c r="ID37" s="26">
        <v>0.5</v>
      </c>
      <c r="IG37" s="26">
        <v>0.5</v>
      </c>
      <c r="JR37" s="26">
        <v>0.5</v>
      </c>
      <c r="JS37" s="26">
        <v>0.5</v>
      </c>
      <c r="JT37" s="26">
        <v>0.5</v>
      </c>
      <c r="JW37" s="26">
        <v>0.5</v>
      </c>
      <c r="KM37" s="25" t="s">
        <v>8352</v>
      </c>
      <c r="KN37" s="25" t="s">
        <v>8830</v>
      </c>
      <c r="KO37" s="25" t="s">
        <v>8321</v>
      </c>
      <c r="KP37" s="25">
        <v>1</v>
      </c>
      <c r="KQ37" s="25" t="s">
        <v>8831</v>
      </c>
      <c r="KS37" s="56">
        <v>3500</v>
      </c>
      <c r="KT37" s="56">
        <v>7000</v>
      </c>
      <c r="KU37" s="56">
        <v>6000</v>
      </c>
      <c r="KV37" s="56">
        <v>12000</v>
      </c>
      <c r="KY37" s="25" t="s">
        <v>8784</v>
      </c>
      <c r="KZ37" s="56">
        <v>1500</v>
      </c>
      <c r="LA37" s="56">
        <v>3000</v>
      </c>
      <c r="LB37" s="56">
        <v>2500</v>
      </c>
      <c r="LC37" s="56">
        <v>5000</v>
      </c>
      <c r="LD37" s="25" t="s">
        <v>8247</v>
      </c>
      <c r="LE37" s="25" t="s">
        <v>8248</v>
      </c>
      <c r="LR37" s="25" t="s">
        <v>8249</v>
      </c>
      <c r="OE37" s="25" t="s">
        <v>25</v>
      </c>
      <c r="OF37" s="25" t="s">
        <v>28</v>
      </c>
      <c r="OG37" s="25" t="s">
        <v>25</v>
      </c>
      <c r="OH37" s="25" t="s">
        <v>25</v>
      </c>
      <c r="OJ37" s="25" t="s">
        <v>13421</v>
      </c>
      <c r="OK37" s="25" t="s">
        <v>13421</v>
      </c>
      <c r="OS37" s="26">
        <v>0.1</v>
      </c>
      <c r="OT37" s="26">
        <v>0.1</v>
      </c>
      <c r="OU37" s="26">
        <v>0.1</v>
      </c>
      <c r="OV37" s="26">
        <v>0.1</v>
      </c>
      <c r="OW37" s="26">
        <v>0.1</v>
      </c>
      <c r="OX37" s="26">
        <v>0.1</v>
      </c>
      <c r="OY37" s="26">
        <v>0.1</v>
      </c>
      <c r="PG37" s="26">
        <v>0.3</v>
      </c>
      <c r="PH37" s="26">
        <v>0.3</v>
      </c>
      <c r="PI37" s="26">
        <v>0.3</v>
      </c>
      <c r="PJ37" s="26">
        <v>0.3</v>
      </c>
      <c r="PK37" s="26">
        <v>0.3</v>
      </c>
      <c r="PL37" s="26">
        <v>0.3</v>
      </c>
      <c r="PM37" s="26">
        <v>0.3</v>
      </c>
      <c r="PN37" s="25" t="s">
        <v>8250</v>
      </c>
      <c r="PO37" s="25" t="s">
        <v>8250</v>
      </c>
      <c r="PP37" s="25" t="s">
        <v>8250</v>
      </c>
      <c r="PQ37" s="25" t="s">
        <v>8250</v>
      </c>
      <c r="PR37" s="25" t="s">
        <v>8250</v>
      </c>
      <c r="PS37" s="25" t="s">
        <v>8250</v>
      </c>
      <c r="PT37" s="25" t="s">
        <v>8250</v>
      </c>
      <c r="PX37" s="25" t="s">
        <v>28</v>
      </c>
      <c r="QB37" s="25" t="s">
        <v>13810</v>
      </c>
      <c r="QC37" s="25" t="s">
        <v>13810</v>
      </c>
      <c r="QD37" s="25" t="s">
        <v>13810</v>
      </c>
      <c r="QE37" s="25" t="s">
        <v>13810</v>
      </c>
      <c r="QF37" s="25" t="s">
        <v>13810</v>
      </c>
      <c r="QH37" s="25" t="s">
        <v>13810</v>
      </c>
      <c r="QI37" s="25" t="s">
        <v>631</v>
      </c>
      <c r="QJ37" s="25" t="s">
        <v>631</v>
      </c>
      <c r="QL37" s="25" t="s">
        <v>8253</v>
      </c>
      <c r="QM37" s="25" t="s">
        <v>8253</v>
      </c>
      <c r="QN37" s="25" t="s">
        <v>8253</v>
      </c>
      <c r="QO37" s="25" t="s">
        <v>13447</v>
      </c>
      <c r="QP37" s="25" t="s">
        <v>13442</v>
      </c>
      <c r="QR37" s="25" t="s">
        <v>13459</v>
      </c>
      <c r="RW37" s="26">
        <v>0.1</v>
      </c>
      <c r="RX37" s="26">
        <v>0.1</v>
      </c>
      <c r="RY37" s="26">
        <v>0.1</v>
      </c>
      <c r="SH37" s="56">
        <v>0</v>
      </c>
      <c r="VC37" s="25" t="s">
        <v>8352</v>
      </c>
      <c r="VD37" s="25" t="s">
        <v>8381</v>
      </c>
      <c r="VE37" s="25" t="s">
        <v>8321</v>
      </c>
      <c r="VF37" s="25">
        <v>0</v>
      </c>
      <c r="VI37" s="25"/>
      <c r="VJ37" s="25"/>
      <c r="VK37" s="25"/>
      <c r="VL37" s="25"/>
      <c r="VM37" s="25"/>
      <c r="VN37" s="25"/>
      <c r="VP37" s="25"/>
      <c r="VQ37" s="25"/>
      <c r="VR37" s="25"/>
      <c r="VS37" s="25"/>
      <c r="ZA37" s="25"/>
      <c r="ZB37" s="25"/>
      <c r="ZC37" s="25"/>
      <c r="ZD37" s="25"/>
      <c r="ZE37" s="25"/>
      <c r="ZF37" s="25"/>
      <c r="ZG37" s="25"/>
      <c r="ZO37" s="25"/>
      <c r="ZP37" s="25"/>
      <c r="ZQ37" s="25"/>
      <c r="ZR37" s="25"/>
      <c r="ZS37" s="25"/>
      <c r="ZT37" s="25"/>
      <c r="ZU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S37" s="25"/>
      <c r="ACT37" s="25"/>
      <c r="ACU37" s="25"/>
      <c r="ACV37" s="25"/>
      <c r="ACW37" s="25"/>
      <c r="ACX37" s="25"/>
      <c r="ACY37" s="25"/>
      <c r="ACZ37" s="25"/>
      <c r="ADA37" s="25"/>
      <c r="ADB37" s="25"/>
      <c r="ADC37" s="25"/>
      <c r="ADD37" s="25"/>
      <c r="ADE37" s="25"/>
      <c r="ADF37" s="25"/>
      <c r="ADN37" s="25"/>
      <c r="ADO37" s="25"/>
      <c r="ADP37" s="25"/>
      <c r="ADQ37" s="25"/>
      <c r="ADR37" s="25"/>
      <c r="ADS37" s="25"/>
      <c r="ADT37" s="25"/>
      <c r="ADU37" s="25"/>
      <c r="ADV37" s="25"/>
      <c r="ADW37" s="25"/>
      <c r="ADX37" s="25"/>
      <c r="ADY37" s="25"/>
      <c r="ADZ37" s="25"/>
      <c r="AEA37" s="25"/>
      <c r="AEI37" s="25"/>
      <c r="AEJ37" s="25"/>
      <c r="AEK37" s="25"/>
      <c r="AEL37" s="25"/>
      <c r="AEM37" s="25"/>
      <c r="AEN37" s="25"/>
      <c r="AEO37" s="25"/>
      <c r="AEP37" s="25"/>
      <c r="AEQ37" s="25"/>
      <c r="AER37" s="25"/>
      <c r="AES37" s="25"/>
      <c r="AET37" s="25"/>
      <c r="AEU37" s="25"/>
      <c r="AEV37" s="25"/>
      <c r="AFD37" s="25"/>
      <c r="AFE37" s="25"/>
      <c r="AFF37" s="25"/>
      <c r="AFG37" s="25"/>
      <c r="AFH37" s="25"/>
      <c r="AFI37" s="25"/>
      <c r="AFJ37" s="25"/>
      <c r="AFK37" s="25"/>
      <c r="AFL37" s="25"/>
      <c r="AFM37" s="25"/>
      <c r="AFN37" s="25"/>
      <c r="AFO37" s="25"/>
      <c r="AFP37" s="25"/>
      <c r="AFQ37" s="25"/>
      <c r="AFU37" s="25">
        <v>0</v>
      </c>
      <c r="AFX37" s="25"/>
      <c r="AFY37" s="25"/>
      <c r="AFZ37" s="25"/>
      <c r="AGA37" s="25"/>
      <c r="AGB37" s="25"/>
      <c r="AGC37" s="25"/>
      <c r="AGE37" s="25"/>
      <c r="AGF37" s="25"/>
      <c r="AGG37" s="25"/>
      <c r="AGH37" s="25"/>
      <c r="AJP37" s="25"/>
      <c r="AJQ37" s="25"/>
      <c r="AJR37" s="25"/>
      <c r="AJS37" s="25"/>
      <c r="AJT37" s="25"/>
      <c r="AJU37" s="25"/>
      <c r="AJV37" s="25"/>
      <c r="AKD37" s="25"/>
      <c r="AKE37" s="25"/>
      <c r="AKF37" s="25"/>
      <c r="AKG37" s="25"/>
      <c r="AKH37" s="25"/>
      <c r="AKI37" s="25"/>
      <c r="AKJ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H37" s="25"/>
      <c r="ANI37" s="25"/>
      <c r="ANJ37" s="25"/>
      <c r="ANK37" s="25"/>
      <c r="ANL37" s="25"/>
      <c r="ANM37" s="25"/>
      <c r="ANN37" s="25"/>
      <c r="ANO37" s="25"/>
      <c r="ANP37" s="25"/>
      <c r="ANQ37" s="25"/>
      <c r="ANR37" s="25"/>
      <c r="ANS37" s="25"/>
      <c r="ANT37" s="25"/>
      <c r="ANU37" s="25"/>
      <c r="AOC37" s="25"/>
      <c r="AOD37" s="25"/>
      <c r="AOE37" s="25"/>
      <c r="AOF37" s="25"/>
      <c r="AOG37" s="25"/>
      <c r="AOH37" s="25"/>
      <c r="AOI37" s="25"/>
      <c r="AOJ37" s="25"/>
      <c r="AOK37" s="25"/>
      <c r="AOL37" s="25"/>
      <c r="AOM37" s="25"/>
      <c r="AON37" s="25"/>
      <c r="AOO37" s="25"/>
      <c r="AOP37" s="25"/>
      <c r="AOX37" s="25"/>
      <c r="AOY37" s="25"/>
      <c r="AOZ37" s="25"/>
      <c r="APA37" s="25"/>
      <c r="APB37" s="25"/>
      <c r="APC37" s="25"/>
      <c r="APD37" s="25"/>
      <c r="APE37" s="25"/>
      <c r="APF37" s="25"/>
      <c r="APG37" s="25"/>
      <c r="APH37" s="25"/>
      <c r="API37" s="25"/>
      <c r="APJ37" s="25"/>
      <c r="APK37" s="25"/>
      <c r="APS37" s="25"/>
      <c r="APT37" s="25"/>
      <c r="APU37" s="25"/>
      <c r="APV37" s="25"/>
      <c r="APW37" s="25"/>
      <c r="APX37" s="25"/>
      <c r="APY37" s="25"/>
      <c r="APZ37" s="25"/>
      <c r="AQA37" s="25"/>
      <c r="AQB37" s="25"/>
      <c r="AQC37" s="25"/>
      <c r="AQD37" s="25"/>
      <c r="AQE37" s="25"/>
      <c r="AQF37" s="25"/>
      <c r="AQJ37" s="25">
        <v>1</v>
      </c>
      <c r="AQK37" s="25" t="s">
        <v>8832</v>
      </c>
      <c r="AQM37" s="56">
        <v>1500</v>
      </c>
      <c r="AQN37" s="56">
        <v>3000</v>
      </c>
      <c r="AQS37" s="25" t="s">
        <v>8260</v>
      </c>
      <c r="AQT37" s="56">
        <v>0</v>
      </c>
      <c r="AQU37" s="56">
        <v>0</v>
      </c>
      <c r="AQX37" s="25" t="s">
        <v>8248</v>
      </c>
      <c r="ARK37" s="25" t="s">
        <v>8249</v>
      </c>
      <c r="ATX37" s="25" t="s">
        <v>25</v>
      </c>
      <c r="ATY37" s="25" t="s">
        <v>28</v>
      </c>
      <c r="ATZ37" s="25" t="s">
        <v>25</v>
      </c>
      <c r="AUA37" s="25" t="s">
        <v>25</v>
      </c>
      <c r="AUC37" s="25" t="s">
        <v>13423</v>
      </c>
      <c r="AUE37" s="56">
        <v>20</v>
      </c>
      <c r="AUF37" s="56">
        <v>35</v>
      </c>
      <c r="AUG37" s="56">
        <v>20</v>
      </c>
      <c r="AUH37" s="56">
        <v>100</v>
      </c>
      <c r="AUI37" s="56">
        <v>20</v>
      </c>
      <c r="AUJ37" s="56">
        <v>0</v>
      </c>
      <c r="AUK37" s="56">
        <v>15</v>
      </c>
      <c r="AUL37" s="26">
        <v>0</v>
      </c>
      <c r="AUM37" s="26">
        <v>0</v>
      </c>
      <c r="AUN37" s="26">
        <v>0</v>
      </c>
      <c r="AUO37" s="26">
        <v>0</v>
      </c>
      <c r="AUP37" s="26">
        <v>0</v>
      </c>
      <c r="AUQ37" s="26">
        <v>0</v>
      </c>
      <c r="AUR37" s="26">
        <v>0</v>
      </c>
      <c r="AVG37" s="25" t="s">
        <v>8250</v>
      </c>
      <c r="AVH37" s="25" t="s">
        <v>8250</v>
      </c>
      <c r="AVI37" s="25" t="s">
        <v>8250</v>
      </c>
      <c r="AVJ37" s="25" t="s">
        <v>8250</v>
      </c>
      <c r="AVK37" s="25" t="s">
        <v>8250</v>
      </c>
      <c r="AVL37" s="25" t="s">
        <v>8261</v>
      </c>
      <c r="AVM37" s="25" t="s">
        <v>8250</v>
      </c>
      <c r="AVN37" s="25" t="s">
        <v>25</v>
      </c>
      <c r="AVO37" s="25" t="s">
        <v>28</v>
      </c>
      <c r="AVP37" s="25" t="s">
        <v>28</v>
      </c>
      <c r="AVQ37" s="25" t="s">
        <v>25</v>
      </c>
      <c r="AVR37" s="25" t="s">
        <v>25</v>
      </c>
      <c r="AVS37" s="25" t="s">
        <v>25</v>
      </c>
      <c r="AVU37" s="25" t="s">
        <v>13810</v>
      </c>
      <c r="AVV37" s="25" t="s">
        <v>13810</v>
      </c>
      <c r="AVW37" s="25" t="s">
        <v>13810</v>
      </c>
      <c r="AVX37" s="25" t="s">
        <v>8252</v>
      </c>
      <c r="AVY37" s="25" t="s">
        <v>8252</v>
      </c>
      <c r="AVZ37" s="25" t="s">
        <v>8252</v>
      </c>
      <c r="AWA37" s="25" t="s">
        <v>8252</v>
      </c>
      <c r="AWB37" s="25" t="s">
        <v>8252</v>
      </c>
      <c r="AWC37" s="25" t="s">
        <v>631</v>
      </c>
      <c r="AWE37" s="25" t="s">
        <v>8325</v>
      </c>
      <c r="AWF37" s="25" t="s">
        <v>8325</v>
      </c>
      <c r="AWG37" s="25" t="s">
        <v>8325</v>
      </c>
      <c r="AWH37" s="25" t="s">
        <v>13442</v>
      </c>
      <c r="AWI37" s="25" t="s">
        <v>13442</v>
      </c>
      <c r="AWJ37" s="25" t="s">
        <v>8253</v>
      </c>
      <c r="AWK37" s="25" t="s">
        <v>13442</v>
      </c>
      <c r="AWL37" s="25" t="s">
        <v>8253</v>
      </c>
      <c r="AWN37" s="56">
        <v>10</v>
      </c>
      <c r="AWP37" s="56">
        <v>20</v>
      </c>
      <c r="AWR37" s="56">
        <v>25</v>
      </c>
      <c r="AWT37" s="56">
        <v>50</v>
      </c>
      <c r="AWV37" s="56">
        <v>25</v>
      </c>
      <c r="AWX37" s="56">
        <v>50</v>
      </c>
      <c r="AXH37" s="56">
        <v>25</v>
      </c>
      <c r="BAV37" s="25" t="s">
        <v>8255</v>
      </c>
      <c r="BAW37" s="25" t="s">
        <v>8830</v>
      </c>
      <c r="BAX37" s="25" t="s">
        <v>8321</v>
      </c>
      <c r="BAY37" s="25">
        <v>0</v>
      </c>
      <c r="BBB37" s="25"/>
      <c r="BBC37" s="25"/>
      <c r="BBD37" s="25"/>
      <c r="BBE37" s="25"/>
      <c r="BBF37" s="25"/>
      <c r="BBG37" s="25"/>
      <c r="BBI37" s="25"/>
      <c r="BBJ37" s="25"/>
      <c r="BBK37" s="25"/>
      <c r="BBL37" s="25"/>
      <c r="BET37" s="25"/>
      <c r="BEU37" s="25"/>
      <c r="BEV37" s="25"/>
      <c r="BEW37" s="25"/>
      <c r="BEX37" s="25"/>
      <c r="BEY37" s="25"/>
      <c r="BEZ37" s="25"/>
      <c r="BFH37" s="25"/>
      <c r="BFI37" s="25"/>
      <c r="BFJ37" s="25"/>
      <c r="BFK37" s="25"/>
      <c r="BFL37" s="25"/>
      <c r="BFM37" s="25"/>
      <c r="BFN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L37" s="25"/>
      <c r="BIM37" s="25"/>
      <c r="BIN37" s="25"/>
      <c r="BIO37" s="25"/>
      <c r="BIP37" s="25"/>
      <c r="BIQ37" s="25"/>
      <c r="BIR37" s="25"/>
      <c r="BIS37" s="25"/>
      <c r="BIT37" s="25"/>
      <c r="BIU37" s="25"/>
      <c r="BIV37" s="25"/>
      <c r="BIW37" s="25"/>
      <c r="BIX37" s="25"/>
      <c r="BIY37" s="25"/>
      <c r="BJG37" s="25"/>
      <c r="BJH37" s="25"/>
      <c r="BJI37" s="25"/>
      <c r="BJJ37" s="25"/>
      <c r="BJK37" s="25"/>
      <c r="BJL37" s="25"/>
      <c r="BJM37" s="25"/>
      <c r="BJN37" s="25"/>
      <c r="BJO37" s="25"/>
      <c r="BJP37" s="25"/>
      <c r="BJQ37" s="25"/>
      <c r="BJR37" s="25"/>
      <c r="BJS37" s="25"/>
      <c r="BJT37" s="25"/>
      <c r="BKB37" s="25"/>
      <c r="BKC37" s="25"/>
      <c r="BKD37" s="25"/>
      <c r="BKE37" s="25"/>
      <c r="BKF37" s="25"/>
      <c r="BKG37" s="25"/>
      <c r="BKH37" s="25"/>
      <c r="BKI37" s="25"/>
      <c r="BKJ37" s="25"/>
      <c r="BKK37" s="25"/>
      <c r="BKL37" s="25"/>
      <c r="BKM37" s="25"/>
      <c r="BKN37" s="25"/>
      <c r="BKO37" s="25"/>
      <c r="BKW37" s="25"/>
      <c r="BKX37" s="25"/>
      <c r="BKY37" s="25"/>
      <c r="BKZ37" s="25"/>
      <c r="BLA37" s="25"/>
      <c r="BLB37" s="25"/>
      <c r="BLC37" s="25"/>
      <c r="BLD37" s="25"/>
      <c r="BLE37" s="25"/>
      <c r="BLF37" s="25"/>
      <c r="BLG37" s="25"/>
      <c r="BLH37" s="25"/>
      <c r="BLI37" s="25"/>
      <c r="BLJ37" s="25"/>
      <c r="BLN37" s="25">
        <v>0</v>
      </c>
      <c r="BLQ37" s="25"/>
      <c r="BLR37" s="25"/>
      <c r="BLS37" s="25"/>
      <c r="BLT37" s="25"/>
      <c r="BLU37" s="25"/>
      <c r="BLV37" s="25"/>
      <c r="BLX37" s="25"/>
      <c r="BLY37" s="25"/>
      <c r="BLZ37" s="25"/>
      <c r="BMA37" s="25"/>
      <c r="BPI37" s="25"/>
      <c r="BPJ37" s="25"/>
      <c r="BPK37" s="25"/>
      <c r="BPL37" s="25"/>
      <c r="BPM37" s="25"/>
      <c r="BPN37" s="25"/>
      <c r="BPO37" s="25"/>
      <c r="BPW37" s="25"/>
      <c r="BPX37" s="25"/>
      <c r="BPY37" s="25"/>
      <c r="BPZ37" s="25"/>
      <c r="BQA37" s="25"/>
      <c r="BQB37" s="25"/>
      <c r="BQC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TA37" s="25"/>
      <c r="BTB37" s="25"/>
      <c r="BTC37" s="25"/>
      <c r="BTD37" s="25"/>
      <c r="BTE37" s="25"/>
      <c r="BTF37" s="25"/>
      <c r="BTG37" s="25"/>
      <c r="BTH37" s="25"/>
      <c r="BTI37" s="25"/>
      <c r="BTJ37" s="25"/>
      <c r="BTK37" s="25"/>
      <c r="BTL37" s="25"/>
      <c r="BTM37" s="25"/>
      <c r="BTN37" s="25"/>
      <c r="BUQ37" s="25"/>
      <c r="BUR37" s="25"/>
      <c r="BUS37" s="25"/>
      <c r="BUT37" s="25"/>
      <c r="BUU37" s="25"/>
      <c r="BUV37" s="25"/>
      <c r="BUW37" s="25"/>
      <c r="BUX37" s="25"/>
      <c r="BUY37" s="25"/>
      <c r="BUZ37" s="25"/>
      <c r="BVA37" s="25"/>
      <c r="BVB37" s="25"/>
      <c r="BVC37" s="25"/>
      <c r="BVD37" s="25"/>
      <c r="BWC37" s="25" t="s">
        <v>28</v>
      </c>
      <c r="BWD37" s="25" t="s">
        <v>13605</v>
      </c>
      <c r="BWE37" s="25" t="s">
        <v>8357</v>
      </c>
      <c r="BWF37" s="25" t="s">
        <v>13717</v>
      </c>
      <c r="BWG37" s="25" t="s">
        <v>28</v>
      </c>
      <c r="BWH37" s="25" t="s">
        <v>2169</v>
      </c>
      <c r="BWI37" s="25" t="s">
        <v>28</v>
      </c>
      <c r="BWJ37" s="25" t="s">
        <v>8496</v>
      </c>
      <c r="BWK37" s="25" t="s">
        <v>25</v>
      </c>
      <c r="BWM37" s="25" t="s">
        <v>25</v>
      </c>
      <c r="BWO37" s="25" t="s">
        <v>25</v>
      </c>
      <c r="BWQ37" s="25" t="s">
        <v>28</v>
      </c>
      <c r="BWR37" s="25" t="s">
        <v>25</v>
      </c>
      <c r="BWT37" s="25" t="s">
        <v>25</v>
      </c>
      <c r="BWV37" s="25" t="s">
        <v>25</v>
      </c>
      <c r="BWX37" s="25" t="s">
        <v>28</v>
      </c>
      <c r="BWY37" s="25" t="s">
        <v>8497</v>
      </c>
      <c r="BWZ37" s="25" t="s">
        <v>28</v>
      </c>
      <c r="BXA37" s="56">
        <v>24</v>
      </c>
      <c r="BXB37" s="25" t="s">
        <v>25</v>
      </c>
      <c r="BXD37" s="25" t="s">
        <v>28</v>
      </c>
      <c r="BXE37" s="25" t="s">
        <v>8359</v>
      </c>
      <c r="BXF37" s="25" t="s">
        <v>28</v>
      </c>
      <c r="BXG37" s="56">
        <v>24</v>
      </c>
      <c r="BXH37" s="25" t="s">
        <v>25</v>
      </c>
      <c r="BXJ37" s="25" t="s">
        <v>28</v>
      </c>
      <c r="BXK37" s="25" t="s">
        <v>8833</v>
      </c>
      <c r="BXL37" s="25" t="s">
        <v>13821</v>
      </c>
      <c r="BXM37" s="25" t="s">
        <v>2201</v>
      </c>
      <c r="BXN37" s="25" t="s">
        <v>8332</v>
      </c>
      <c r="BXO37" s="25" t="s">
        <v>8274</v>
      </c>
      <c r="BXP37" s="25" t="s">
        <v>8361</v>
      </c>
      <c r="BXQ37" s="25" t="s">
        <v>8274</v>
      </c>
      <c r="BXR37" s="25" t="s">
        <v>8361</v>
      </c>
      <c r="BXS37" s="25" t="s">
        <v>8361</v>
      </c>
      <c r="BXT37" s="25" t="s">
        <v>8792</v>
      </c>
      <c r="BXU37" s="25" t="s">
        <v>25</v>
      </c>
      <c r="BXW37" s="25" t="s">
        <v>25</v>
      </c>
      <c r="BXX37" s="25" t="s">
        <v>25</v>
      </c>
      <c r="BXY37" s="25" t="s">
        <v>28</v>
      </c>
      <c r="BXZ37" s="25" t="s">
        <v>25</v>
      </c>
      <c r="BYA37" s="25" t="s">
        <v>25</v>
      </c>
      <c r="BYB37" s="25" t="s">
        <v>28</v>
      </c>
      <c r="BYC37" s="25" t="s">
        <v>2169</v>
      </c>
      <c r="BYD37" s="25" t="s">
        <v>28</v>
      </c>
      <c r="BYE37" s="25" t="s">
        <v>13611</v>
      </c>
      <c r="BYF37" s="25" t="s">
        <v>8437</v>
      </c>
      <c r="BYH37" s="25" t="s">
        <v>8363</v>
      </c>
      <c r="BYK37" s="25" t="s">
        <v>28</v>
      </c>
      <c r="BYL37" s="25" t="s">
        <v>28</v>
      </c>
      <c r="BYM37" s="25">
        <v>60</v>
      </c>
      <c r="BYN37" s="25" t="s">
        <v>28</v>
      </c>
      <c r="BYO37" s="25">
        <v>100</v>
      </c>
      <c r="BYP37" s="25" t="s">
        <v>25</v>
      </c>
      <c r="BYR37" s="25" t="s">
        <v>28</v>
      </c>
      <c r="BYS37" s="25" t="s">
        <v>8279</v>
      </c>
      <c r="BYT37" s="25" t="s">
        <v>732</v>
      </c>
      <c r="BYU37" s="25" t="s">
        <v>732</v>
      </c>
      <c r="BYV37" s="25" t="s">
        <v>25</v>
      </c>
      <c r="BYW37" s="25" t="s">
        <v>28</v>
      </c>
      <c r="BYX37" s="56">
        <v>500</v>
      </c>
      <c r="BYY37" s="56">
        <v>1000</v>
      </c>
      <c r="BYZ37" s="25" t="s">
        <v>8408</v>
      </c>
      <c r="BZA37" s="25" t="s">
        <v>8834</v>
      </c>
      <c r="BZB37" s="25" t="s">
        <v>256</v>
      </c>
      <c r="BZC37" s="25" t="s">
        <v>8282</v>
      </c>
      <c r="BZD37" s="25" t="s">
        <v>28</v>
      </c>
      <c r="BZE37" s="25" t="s">
        <v>25</v>
      </c>
      <c r="BZF37" s="25" t="s">
        <v>28</v>
      </c>
      <c r="BZG37" s="25" t="s">
        <v>25</v>
      </c>
      <c r="BZJ37" s="25" t="s">
        <v>25</v>
      </c>
      <c r="BZM37" s="25" t="s">
        <v>28</v>
      </c>
      <c r="BZN37" s="25" t="s">
        <v>8283</v>
      </c>
      <c r="BZP37" s="25" t="s">
        <v>8366</v>
      </c>
      <c r="BZQ37" s="56">
        <v>1000</v>
      </c>
      <c r="BZR37" s="25" t="s">
        <v>28</v>
      </c>
      <c r="BZS37" s="25" t="s">
        <v>28</v>
      </c>
      <c r="BZT37" s="25" t="s">
        <v>8337</v>
      </c>
      <c r="BZV37" s="25" t="s">
        <v>13638</v>
      </c>
      <c r="BZX37" s="25" t="s">
        <v>8536</v>
      </c>
      <c r="BZZ37" s="25" t="s">
        <v>28</v>
      </c>
      <c r="CAA37" s="25" t="s">
        <v>256</v>
      </c>
      <c r="CAB37" s="25" t="s">
        <v>25</v>
      </c>
      <c r="CAC37" s="25" t="s">
        <v>28</v>
      </c>
      <c r="CAD37" s="25" t="s">
        <v>8288</v>
      </c>
      <c r="CAE37" s="25" t="s">
        <v>28</v>
      </c>
      <c r="CAF37" s="25" t="s">
        <v>8289</v>
      </c>
      <c r="CAG37" s="25" t="s">
        <v>28</v>
      </c>
      <c r="CAH37" s="25" t="s">
        <v>631</v>
      </c>
      <c r="CAI37" s="25" t="s">
        <v>631</v>
      </c>
      <c r="CAJ37" s="25" t="s">
        <v>631</v>
      </c>
      <c r="CAK37" s="25" t="s">
        <v>631</v>
      </c>
      <c r="CAL37" s="25" t="s">
        <v>631</v>
      </c>
      <c r="CAM37" s="25" t="s">
        <v>8290</v>
      </c>
      <c r="CAN37" s="25" t="s">
        <v>631</v>
      </c>
      <c r="CAO37" s="25" t="s">
        <v>631</v>
      </c>
      <c r="CAP37" s="25" t="s">
        <v>631</v>
      </c>
      <c r="CAR37" s="25" t="s">
        <v>8412</v>
      </c>
      <c r="CAT37" s="25" t="s">
        <v>28</v>
      </c>
      <c r="CAU37" s="25" t="s">
        <v>8835</v>
      </c>
      <c r="CAW37" s="25" t="s">
        <v>8341</v>
      </c>
      <c r="CBB37" s="25">
        <v>2</v>
      </c>
      <c r="CBC37" s="25">
        <v>0</v>
      </c>
      <c r="CBD37" s="25">
        <v>0</v>
      </c>
      <c r="CBE37" s="56">
        <v>0</v>
      </c>
      <c r="CBF37" s="56">
        <v>0</v>
      </c>
      <c r="CBG37" s="56">
        <v>50</v>
      </c>
      <c r="CBH37" s="56">
        <v>150</v>
      </c>
      <c r="CBI37" s="56">
        <v>2500</v>
      </c>
      <c r="CBK37" s="56">
        <v>2500</v>
      </c>
      <c r="CBM37" s="26">
        <v>0</v>
      </c>
      <c r="CBN37" s="26">
        <v>0</v>
      </c>
      <c r="CBO37" s="26">
        <v>0.2</v>
      </c>
      <c r="CBP37" s="26">
        <v>0.2</v>
      </c>
      <c r="CBQ37" s="26">
        <v>0.5</v>
      </c>
      <c r="CBR37" s="26">
        <v>0.5</v>
      </c>
      <c r="CBS37" s="26">
        <v>0.5</v>
      </c>
      <c r="CBT37" s="26">
        <v>0.5</v>
      </c>
      <c r="CBU37" s="27" t="s">
        <v>28</v>
      </c>
      <c r="CBV37" s="27" t="s">
        <v>8573</v>
      </c>
      <c r="CBW37" s="27" t="s">
        <v>8294</v>
      </c>
      <c r="CBX37" s="27" t="s">
        <v>8343</v>
      </c>
      <c r="CBY37" s="27" t="s">
        <v>8296</v>
      </c>
      <c r="CBZ37" s="27" t="s">
        <v>29</v>
      </c>
      <c r="CCA37" s="27" t="s">
        <v>8297</v>
      </c>
      <c r="CCB37" s="27" t="s">
        <v>8298</v>
      </c>
      <c r="CCC37" s="27" t="s">
        <v>8296</v>
      </c>
      <c r="CCD37" s="27" t="s">
        <v>8297</v>
      </c>
      <c r="CCE37" s="27" t="s">
        <v>8297</v>
      </c>
      <c r="CCF37" s="27" t="s">
        <v>8297</v>
      </c>
      <c r="CCG37" s="27" t="s">
        <v>8297</v>
      </c>
      <c r="CCH37" s="27" t="s">
        <v>29</v>
      </c>
      <c r="CCI37" s="27" t="s">
        <v>8298</v>
      </c>
      <c r="CCJ37" s="27" t="s">
        <v>8296</v>
      </c>
      <c r="CCK37" s="27" t="s">
        <v>8299</v>
      </c>
      <c r="CCL37" s="27" t="s">
        <v>8297</v>
      </c>
      <c r="CCN37" s="27" t="s">
        <v>8297</v>
      </c>
      <c r="CCO37" s="27" t="s">
        <v>8297</v>
      </c>
      <c r="CCP37" s="27" t="s">
        <v>8296</v>
      </c>
      <c r="CCQ37" s="27" t="s">
        <v>8297</v>
      </c>
      <c r="CCR37" s="27" t="s">
        <v>8296</v>
      </c>
      <c r="CCS37" s="27" t="s">
        <v>8298</v>
      </c>
      <c r="CCT37" s="27" t="s">
        <v>8296</v>
      </c>
      <c r="CCU37" s="27" t="s">
        <v>8296</v>
      </c>
      <c r="CCV37" s="27" t="s">
        <v>8298</v>
      </c>
      <c r="CCW37" s="27" t="s">
        <v>8298</v>
      </c>
      <c r="CCX37" s="27" t="s">
        <v>8298</v>
      </c>
      <c r="CCY37" s="27" t="s">
        <v>8298</v>
      </c>
      <c r="CCZ37" s="27" t="s">
        <v>28</v>
      </c>
      <c r="CDA37" s="27" t="s">
        <v>28</v>
      </c>
      <c r="CDB37" s="27" t="s">
        <v>28</v>
      </c>
      <c r="CDC37" s="27" t="s">
        <v>25</v>
      </c>
      <c r="CDD37" s="27" t="s">
        <v>28</v>
      </c>
      <c r="CDE37" s="27" t="s">
        <v>28</v>
      </c>
      <c r="CDF37" s="27" t="s">
        <v>28</v>
      </c>
      <c r="CDG37" s="27" t="s">
        <v>28</v>
      </c>
      <c r="CDH37" s="27" t="s">
        <v>28</v>
      </c>
      <c r="CDI37" s="27" t="s">
        <v>28</v>
      </c>
      <c r="CDJ37" s="27" t="s">
        <v>25</v>
      </c>
      <c r="CDK37" s="27" t="s">
        <v>28</v>
      </c>
      <c r="CDL37" s="27" t="s">
        <v>28</v>
      </c>
      <c r="CDM37" s="27" t="s">
        <v>28</v>
      </c>
      <c r="CDO37" s="27" t="s">
        <v>28</v>
      </c>
      <c r="CDP37" s="27" t="s">
        <v>28</v>
      </c>
      <c r="CDQ37" s="27" t="s">
        <v>28</v>
      </c>
      <c r="CDR37" s="27" t="s">
        <v>28</v>
      </c>
      <c r="CDS37" s="27" t="s">
        <v>28</v>
      </c>
      <c r="CDT37" s="27" t="s">
        <v>28</v>
      </c>
      <c r="CDU37" s="27" t="s">
        <v>28</v>
      </c>
      <c r="CDV37" s="27" t="s">
        <v>28</v>
      </c>
      <c r="CDW37" s="27" t="s">
        <v>28</v>
      </c>
      <c r="CDX37" s="27" t="s">
        <v>25</v>
      </c>
      <c r="CDY37" s="27" t="s">
        <v>25</v>
      </c>
      <c r="CDZ37" s="27" t="s">
        <v>28</v>
      </c>
      <c r="CEA37" s="27" t="s">
        <v>8305</v>
      </c>
      <c r="CEB37" s="27" t="s">
        <v>29</v>
      </c>
      <c r="CEC37" s="27" t="s">
        <v>8301</v>
      </c>
      <c r="CED37" s="27" t="s">
        <v>8302</v>
      </c>
      <c r="CEE37" s="27" t="s">
        <v>2673</v>
      </c>
      <c r="CEF37" s="27" t="s">
        <v>2673</v>
      </c>
      <c r="CEG37" s="27" t="s">
        <v>8420</v>
      </c>
      <c r="CEH37" s="27" t="s">
        <v>8305</v>
      </c>
      <c r="CEI37" s="27" t="s">
        <v>8301</v>
      </c>
      <c r="CEJ37" s="27" t="s">
        <v>29</v>
      </c>
      <c r="CEK37" s="27" t="s">
        <v>8302</v>
      </c>
      <c r="CEL37" s="27" t="s">
        <v>8302</v>
      </c>
      <c r="CEM37" s="27" t="s">
        <v>8301</v>
      </c>
      <c r="CEN37" s="27" t="s">
        <v>8301</v>
      </c>
      <c r="CEP37" s="27" t="s">
        <v>29</v>
      </c>
      <c r="CEQ37" s="27" t="s">
        <v>29</v>
      </c>
      <c r="CER37" s="27" t="s">
        <v>8302</v>
      </c>
      <c r="CES37" s="27" t="s">
        <v>29</v>
      </c>
      <c r="CET37" s="27" t="s">
        <v>8304</v>
      </c>
      <c r="CEU37" s="27" t="s">
        <v>8301</v>
      </c>
      <c r="CEV37" s="27" t="s">
        <v>2673</v>
      </c>
      <c r="CEW37" s="27" t="s">
        <v>8303</v>
      </c>
      <c r="CEX37" s="27" t="s">
        <v>8302</v>
      </c>
      <c r="CEY37" s="27" t="s">
        <v>8303</v>
      </c>
      <c r="CEZ37" s="27" t="s">
        <v>8303</v>
      </c>
      <c r="CFA37" s="27" t="s">
        <v>8303</v>
      </c>
      <c r="CFB37" s="27" t="s">
        <v>25</v>
      </c>
      <c r="CFC37" s="27" t="s">
        <v>25</v>
      </c>
      <c r="CFD37" s="27" t="s">
        <v>25</v>
      </c>
      <c r="CFE37" s="27" t="s">
        <v>25</v>
      </c>
      <c r="CFF37" s="27" t="s">
        <v>25</v>
      </c>
      <c r="CFG37" s="27" t="s">
        <v>25</v>
      </c>
      <c r="CFH37" s="27" t="s">
        <v>25</v>
      </c>
      <c r="CFI37" s="27" t="s">
        <v>25</v>
      </c>
      <c r="CFJ37" s="27" t="s">
        <v>25</v>
      </c>
      <c r="CFK37" s="27" t="s">
        <v>25</v>
      </c>
      <c r="CFL37" s="27" t="s">
        <v>25</v>
      </c>
      <c r="CFM37" s="27" t="s">
        <v>25</v>
      </c>
      <c r="CFN37" s="27" t="s">
        <v>25</v>
      </c>
      <c r="CFO37" s="27" t="s">
        <v>25</v>
      </c>
      <c r="CFQ37" s="27" t="s">
        <v>25</v>
      </c>
      <c r="CFR37" s="27" t="s">
        <v>25</v>
      </c>
      <c r="CFS37" s="27" t="s">
        <v>25</v>
      </c>
      <c r="CFT37" s="27" t="s">
        <v>25</v>
      </c>
      <c r="CFU37" s="27" t="s">
        <v>25</v>
      </c>
      <c r="CFV37" s="27" t="s">
        <v>28</v>
      </c>
      <c r="CFW37" s="27" t="s">
        <v>25</v>
      </c>
      <c r="CFX37" s="27" t="s">
        <v>28</v>
      </c>
      <c r="CFY37" s="27" t="s">
        <v>25</v>
      </c>
      <c r="CFZ37" s="27" t="s">
        <v>25</v>
      </c>
      <c r="CGA37" s="27" t="s">
        <v>25</v>
      </c>
      <c r="CGB37" s="27" t="s">
        <v>25</v>
      </c>
      <c r="CPW37" s="27">
        <v>2</v>
      </c>
      <c r="CPX37" s="56">
        <v>20</v>
      </c>
      <c r="CPY37" s="26">
        <v>0</v>
      </c>
      <c r="CPZ37" s="56">
        <v>20</v>
      </c>
      <c r="CQA37" s="26">
        <v>0</v>
      </c>
      <c r="CQB37" s="25" t="s">
        <v>8307</v>
      </c>
      <c r="CQC37" s="25" t="s">
        <v>8307</v>
      </c>
      <c r="CQD37" s="25" t="s">
        <v>8307</v>
      </c>
      <c r="CQE37" s="25" t="s">
        <v>8307</v>
      </c>
      <c r="CQF37" s="25" t="s">
        <v>8307</v>
      </c>
      <c r="CQH37" s="56">
        <v>20</v>
      </c>
      <c r="CQI37" s="56">
        <v>150</v>
      </c>
      <c r="CQJ37" s="56">
        <v>150</v>
      </c>
      <c r="CQK37" s="56">
        <v>210</v>
      </c>
      <c r="CQL37" s="25" t="s">
        <v>13690</v>
      </c>
      <c r="CQM37" s="25" t="s">
        <v>8665</v>
      </c>
      <c r="CQN37" s="25" t="s">
        <v>25</v>
      </c>
      <c r="CQO37" s="25" t="s">
        <v>8574</v>
      </c>
      <c r="CQP37" s="56">
        <v>1000</v>
      </c>
      <c r="CQQ37" s="25" t="s">
        <v>8836</v>
      </c>
      <c r="CQR37" s="25" t="s">
        <v>8837</v>
      </c>
      <c r="CQS37" s="25" t="s">
        <v>25</v>
      </c>
      <c r="CQT37" s="25" t="s">
        <v>8312</v>
      </c>
      <c r="CQU37" s="25" t="s">
        <v>8312</v>
      </c>
      <c r="CQV37" s="25" t="s">
        <v>8312</v>
      </c>
      <c r="CQW37" s="25" t="s">
        <v>8312</v>
      </c>
      <c r="CQX37" s="25" t="s">
        <v>8312</v>
      </c>
      <c r="CQY37" s="25" t="s">
        <v>8312</v>
      </c>
      <c r="CQZ37" s="25" t="s">
        <v>8312</v>
      </c>
      <c r="CRA37" s="25" t="s">
        <v>8312</v>
      </c>
      <c r="CRB37" s="25" t="s">
        <v>8312</v>
      </c>
      <c r="CRC37" s="25" t="s">
        <v>8312</v>
      </c>
      <c r="CRD37" s="25" t="s">
        <v>8312</v>
      </c>
      <c r="CRE37" s="27" t="s">
        <v>8312</v>
      </c>
    </row>
    <row r="38" spans="1:2048 2050:2501" ht="89.25" x14ac:dyDescent="0.2">
      <c r="A38" s="21" t="s">
        <v>150</v>
      </c>
      <c r="B38" s="26">
        <v>0.32</v>
      </c>
      <c r="C38" s="26">
        <v>0</v>
      </c>
      <c r="D38" s="26">
        <v>0.05</v>
      </c>
      <c r="E38" s="26">
        <v>0.54</v>
      </c>
      <c r="F38" s="26">
        <v>0</v>
      </c>
      <c r="G38" s="26">
        <v>0</v>
      </c>
      <c r="H38" s="26">
        <v>0</v>
      </c>
      <c r="I38" s="26">
        <v>0</v>
      </c>
      <c r="J38" s="26">
        <v>0</v>
      </c>
      <c r="K38" s="26">
        <v>0</v>
      </c>
      <c r="L38" s="26">
        <v>0</v>
      </c>
      <c r="M38" s="26">
        <v>0.09</v>
      </c>
      <c r="N38" s="26">
        <v>0</v>
      </c>
      <c r="O38" s="26">
        <v>0</v>
      </c>
      <c r="P38" s="26">
        <v>0</v>
      </c>
      <c r="Q38" s="26">
        <v>0</v>
      </c>
      <c r="R38" s="26">
        <v>0</v>
      </c>
      <c r="S38" s="26">
        <v>0</v>
      </c>
      <c r="T38" s="26">
        <v>0</v>
      </c>
      <c r="U38" s="26">
        <v>0</v>
      </c>
      <c r="V38" s="26">
        <v>0</v>
      </c>
      <c r="W38" s="26">
        <v>0</v>
      </c>
      <c r="X38" s="26">
        <v>0</v>
      </c>
      <c r="Y38" s="26">
        <v>1</v>
      </c>
      <c r="Z38" s="25">
        <v>1</v>
      </c>
      <c r="AA38" s="25" t="s">
        <v>8474</v>
      </c>
      <c r="AC38" s="56">
        <v>2600</v>
      </c>
      <c r="AD38" s="56">
        <v>5200</v>
      </c>
      <c r="AE38" s="56">
        <v>5200</v>
      </c>
      <c r="AF38" s="56">
        <v>10400</v>
      </c>
      <c r="AG38" s="56">
        <v>10400</v>
      </c>
      <c r="AI38" s="25" t="s">
        <v>8246</v>
      </c>
      <c r="AJ38" s="56">
        <v>600</v>
      </c>
      <c r="AK38" s="56">
        <v>1500</v>
      </c>
      <c r="AL38" s="56">
        <v>800</v>
      </c>
      <c r="AM38" s="56">
        <v>2000</v>
      </c>
      <c r="AN38" s="25" t="s">
        <v>8350</v>
      </c>
      <c r="AO38" s="25" t="s">
        <v>8248</v>
      </c>
      <c r="BB38" s="25" t="s">
        <v>8249</v>
      </c>
      <c r="DO38" s="25" t="s">
        <v>25</v>
      </c>
      <c r="DP38" s="25" t="s">
        <v>28</v>
      </c>
      <c r="DQ38" s="25" t="s">
        <v>25</v>
      </c>
      <c r="DR38" s="25" t="s">
        <v>25</v>
      </c>
      <c r="DT38" s="25" t="s">
        <v>13417</v>
      </c>
      <c r="DU38" s="25" t="s">
        <v>13417</v>
      </c>
      <c r="DV38" s="56">
        <v>25</v>
      </c>
      <c r="DW38" s="56">
        <v>35</v>
      </c>
      <c r="DX38" s="56">
        <v>35</v>
      </c>
      <c r="DY38" s="56">
        <v>100</v>
      </c>
      <c r="DZ38" s="56">
        <v>25</v>
      </c>
      <c r="EA38" s="56">
        <v>25</v>
      </c>
      <c r="EM38" s="56">
        <v>100</v>
      </c>
      <c r="EN38" s="56">
        <v>25</v>
      </c>
      <c r="EQ38" s="26">
        <v>0.3</v>
      </c>
      <c r="ER38" s="26">
        <v>0.3</v>
      </c>
      <c r="ES38" s="26">
        <v>0.3</v>
      </c>
      <c r="EV38" s="26">
        <v>0.3</v>
      </c>
      <c r="EX38" s="25" t="s">
        <v>8250</v>
      </c>
      <c r="EY38" s="25" t="s">
        <v>8250</v>
      </c>
      <c r="EZ38" s="25" t="s">
        <v>8250</v>
      </c>
      <c r="FA38" s="25" t="s">
        <v>8250</v>
      </c>
      <c r="FB38" s="25" t="s">
        <v>8250</v>
      </c>
      <c r="FC38" s="25" t="s">
        <v>8250</v>
      </c>
      <c r="FE38" s="25" t="s">
        <v>25</v>
      </c>
      <c r="FF38" s="25" t="s">
        <v>25</v>
      </c>
      <c r="FG38" s="25" t="s">
        <v>28</v>
      </c>
      <c r="FH38" s="25" t="s">
        <v>25</v>
      </c>
      <c r="FI38" s="25" t="s">
        <v>25</v>
      </c>
      <c r="FJ38" s="25" t="s">
        <v>25</v>
      </c>
      <c r="FL38" s="25" t="s">
        <v>13810</v>
      </c>
      <c r="FM38" s="25" t="s">
        <v>13810</v>
      </c>
      <c r="FN38" s="25" t="s">
        <v>13810</v>
      </c>
      <c r="FO38" s="25" t="s">
        <v>8252</v>
      </c>
      <c r="FP38" s="25" t="s">
        <v>13810</v>
      </c>
      <c r="FQ38" s="25" t="s">
        <v>13810</v>
      </c>
      <c r="FR38" s="25" t="s">
        <v>13810</v>
      </c>
      <c r="FS38" s="25" t="s">
        <v>631</v>
      </c>
      <c r="FT38" s="25" t="s">
        <v>631</v>
      </c>
      <c r="FU38" s="25" t="s">
        <v>631</v>
      </c>
      <c r="FV38" s="25" t="s">
        <v>13445</v>
      </c>
      <c r="FW38" s="25" t="s">
        <v>13438</v>
      </c>
      <c r="FX38" s="25" t="s">
        <v>13445</v>
      </c>
      <c r="FY38" s="25" t="s">
        <v>13444</v>
      </c>
      <c r="FZ38" s="25" t="s">
        <v>13442</v>
      </c>
      <c r="GA38" s="25" t="s">
        <v>13442</v>
      </c>
      <c r="GB38" s="25" t="s">
        <v>13447</v>
      </c>
      <c r="GE38" s="56">
        <v>10</v>
      </c>
      <c r="GG38" s="56">
        <v>20</v>
      </c>
      <c r="HH38" s="57">
        <v>0.2</v>
      </c>
      <c r="HI38" s="57">
        <v>0.3</v>
      </c>
      <c r="HP38" s="56">
        <v>25</v>
      </c>
      <c r="HQ38" s="56">
        <v>50</v>
      </c>
      <c r="HR38" s="56">
        <v>50</v>
      </c>
      <c r="HS38" s="56">
        <v>100</v>
      </c>
      <c r="IB38" s="26">
        <v>0.3</v>
      </c>
      <c r="IC38" s="26">
        <v>0.3</v>
      </c>
      <c r="ID38" s="26">
        <v>0.3</v>
      </c>
      <c r="IX38" s="11">
        <v>0.2</v>
      </c>
      <c r="IY38" s="11">
        <v>0.3</v>
      </c>
      <c r="JF38" s="56">
        <v>50</v>
      </c>
      <c r="JG38" s="56">
        <v>100</v>
      </c>
      <c r="JH38" s="56">
        <v>100</v>
      </c>
      <c r="JI38" s="56">
        <v>200</v>
      </c>
      <c r="KM38" s="25" t="s">
        <v>8352</v>
      </c>
      <c r="KN38" s="25" t="s">
        <v>8298</v>
      </c>
      <c r="KO38" s="25" t="s">
        <v>8321</v>
      </c>
      <c r="KP38" s="25">
        <v>1</v>
      </c>
      <c r="KQ38" s="25" t="s">
        <v>8748</v>
      </c>
      <c r="KS38" s="56">
        <v>2600</v>
      </c>
      <c r="KT38" s="56">
        <v>5200</v>
      </c>
      <c r="KU38" s="56">
        <v>2600</v>
      </c>
      <c r="KV38" s="56">
        <v>5200</v>
      </c>
      <c r="KW38" s="56">
        <v>5200</v>
      </c>
      <c r="KY38" s="25" t="s">
        <v>8246</v>
      </c>
      <c r="KZ38" s="56">
        <v>1400</v>
      </c>
      <c r="LA38" s="56">
        <v>2800</v>
      </c>
      <c r="LB38" s="56">
        <v>1400</v>
      </c>
      <c r="LC38" s="56">
        <v>2800</v>
      </c>
      <c r="LD38" s="25" t="s">
        <v>8247</v>
      </c>
      <c r="LE38" s="25" t="s">
        <v>8248</v>
      </c>
      <c r="LR38" s="25" t="s">
        <v>8249</v>
      </c>
      <c r="OE38" s="25" t="s">
        <v>25</v>
      </c>
      <c r="OF38" s="25" t="s">
        <v>28</v>
      </c>
      <c r="OG38" s="25" t="s">
        <v>25</v>
      </c>
      <c r="OH38" s="25" t="s">
        <v>25</v>
      </c>
      <c r="OJ38" s="25" t="s">
        <v>13416</v>
      </c>
      <c r="OK38" s="25" t="s">
        <v>13416</v>
      </c>
      <c r="OS38" s="26">
        <v>0.1</v>
      </c>
      <c r="OT38" s="26">
        <v>0.1</v>
      </c>
      <c r="OU38" s="26">
        <v>0.1</v>
      </c>
      <c r="OV38" s="26">
        <v>0.1</v>
      </c>
      <c r="OW38" s="26">
        <v>0.1</v>
      </c>
      <c r="OX38" s="26">
        <v>0.1</v>
      </c>
      <c r="PG38" s="26">
        <v>0.3</v>
      </c>
      <c r="PH38" s="26">
        <v>0.3</v>
      </c>
      <c r="PI38" s="26">
        <v>0.3</v>
      </c>
      <c r="PJ38" s="26">
        <v>0.1</v>
      </c>
      <c r="PK38" s="26">
        <v>0.1</v>
      </c>
      <c r="PL38" s="26">
        <v>0.3</v>
      </c>
      <c r="PN38" s="25" t="s">
        <v>8250</v>
      </c>
      <c r="PO38" s="25" t="s">
        <v>8250</v>
      </c>
      <c r="PP38" s="25" t="s">
        <v>8250</v>
      </c>
      <c r="PQ38" s="25" t="s">
        <v>8250</v>
      </c>
      <c r="PR38" s="25" t="s">
        <v>8250</v>
      </c>
      <c r="PS38" s="25" t="s">
        <v>8250</v>
      </c>
      <c r="PU38" s="25" t="s">
        <v>25</v>
      </c>
      <c r="PV38" s="25" t="s">
        <v>25</v>
      </c>
      <c r="PW38" s="25" t="s">
        <v>28</v>
      </c>
      <c r="PX38" s="25" t="s">
        <v>25</v>
      </c>
      <c r="PY38" s="25" t="s">
        <v>25</v>
      </c>
      <c r="PZ38" s="25" t="s">
        <v>25</v>
      </c>
      <c r="QB38" s="25" t="s">
        <v>13810</v>
      </c>
      <c r="QC38" s="25" t="s">
        <v>13810</v>
      </c>
      <c r="QD38" s="25" t="s">
        <v>13810</v>
      </c>
      <c r="QE38" s="25" t="s">
        <v>8252</v>
      </c>
      <c r="QF38" s="25" t="s">
        <v>13810</v>
      </c>
      <c r="QG38" s="25" t="s">
        <v>13810</v>
      </c>
      <c r="QH38" s="25" t="s">
        <v>13810</v>
      </c>
      <c r="QI38" s="25" t="s">
        <v>631</v>
      </c>
      <c r="QJ38" s="25" t="s">
        <v>631</v>
      </c>
      <c r="QK38" s="25" t="s">
        <v>631</v>
      </c>
      <c r="QL38" s="25" t="s">
        <v>8747</v>
      </c>
      <c r="QM38" s="25" t="s">
        <v>13438</v>
      </c>
      <c r="QN38" s="25" t="s">
        <v>13445</v>
      </c>
      <c r="QO38" s="25" t="s">
        <v>13447</v>
      </c>
      <c r="QP38" s="25" t="s">
        <v>8386</v>
      </c>
      <c r="QQ38" s="25" t="s">
        <v>8386</v>
      </c>
      <c r="QR38" s="25" t="s">
        <v>13447</v>
      </c>
      <c r="RW38" s="26">
        <v>0.1</v>
      </c>
      <c r="RX38" s="26">
        <v>0.1</v>
      </c>
      <c r="RY38" s="26">
        <v>0.1</v>
      </c>
      <c r="SR38" s="26">
        <v>0.3</v>
      </c>
      <c r="SS38" s="26">
        <v>0.3</v>
      </c>
      <c r="ST38" s="26">
        <v>0.3</v>
      </c>
      <c r="TM38" s="26">
        <v>0.1</v>
      </c>
      <c r="TN38" s="26">
        <v>0.1</v>
      </c>
      <c r="TO38" s="26">
        <v>0.1</v>
      </c>
      <c r="VC38" s="25" t="s">
        <v>8352</v>
      </c>
      <c r="VD38" s="25" t="s">
        <v>8298</v>
      </c>
      <c r="VE38" s="25" t="s">
        <v>8321</v>
      </c>
      <c r="VF38" s="25">
        <v>0</v>
      </c>
      <c r="VI38" s="25"/>
      <c r="VJ38" s="25"/>
      <c r="VK38" s="25"/>
      <c r="VL38" s="25"/>
      <c r="VM38" s="25"/>
      <c r="VN38" s="25"/>
      <c r="VP38" s="25"/>
      <c r="VQ38" s="25"/>
      <c r="VR38" s="25"/>
      <c r="VS38" s="25"/>
      <c r="ZA38" s="25"/>
      <c r="ZB38" s="25"/>
      <c r="ZC38" s="25"/>
      <c r="ZD38" s="25"/>
      <c r="ZE38" s="25"/>
      <c r="ZF38" s="25"/>
      <c r="ZG38" s="25"/>
      <c r="ZO38" s="25"/>
      <c r="ZP38" s="25"/>
      <c r="ZQ38" s="25"/>
      <c r="ZR38" s="25"/>
      <c r="ZS38" s="25"/>
      <c r="ZT38" s="25"/>
      <c r="ZU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S38" s="25"/>
      <c r="ACT38" s="25"/>
      <c r="ACU38" s="25"/>
      <c r="ACV38" s="25"/>
      <c r="ACW38" s="25"/>
      <c r="ACX38" s="25"/>
      <c r="ACY38" s="25"/>
      <c r="ACZ38" s="25"/>
      <c r="ADA38" s="25"/>
      <c r="ADB38" s="25"/>
      <c r="ADC38" s="25"/>
      <c r="ADD38" s="25"/>
      <c r="ADE38" s="25"/>
      <c r="ADF38" s="25"/>
      <c r="ADN38" s="25"/>
      <c r="ADO38" s="25"/>
      <c r="ADP38" s="25"/>
      <c r="ADQ38" s="25"/>
      <c r="ADR38" s="25"/>
      <c r="ADS38" s="25"/>
      <c r="ADT38" s="25"/>
      <c r="ADU38" s="25"/>
      <c r="ADV38" s="25"/>
      <c r="ADW38" s="25"/>
      <c r="ADX38" s="25"/>
      <c r="ADY38" s="25"/>
      <c r="ADZ38" s="25"/>
      <c r="AEA38" s="25"/>
      <c r="AEI38" s="25"/>
      <c r="AEJ38" s="25"/>
      <c r="AEK38" s="25"/>
      <c r="AEL38" s="25"/>
      <c r="AEM38" s="25"/>
      <c r="AEN38" s="25"/>
      <c r="AEO38" s="25"/>
      <c r="AEP38" s="25"/>
      <c r="AEQ38" s="25"/>
      <c r="AER38" s="25"/>
      <c r="AES38" s="25"/>
      <c r="AET38" s="25"/>
      <c r="AEU38" s="25"/>
      <c r="AEV38" s="25"/>
      <c r="AFD38" s="25"/>
      <c r="AFE38" s="25"/>
      <c r="AFF38" s="25"/>
      <c r="AFG38" s="25"/>
      <c r="AFH38" s="25"/>
      <c r="AFI38" s="25"/>
      <c r="AFJ38" s="25"/>
      <c r="AFK38" s="25"/>
      <c r="AFL38" s="25"/>
      <c r="AFM38" s="25"/>
      <c r="AFN38" s="25"/>
      <c r="AFO38" s="25"/>
      <c r="AFP38" s="25"/>
      <c r="AFQ38" s="25"/>
      <c r="AFU38" s="25">
        <v>0</v>
      </c>
      <c r="AFX38" s="25"/>
      <c r="AFY38" s="25"/>
      <c r="AFZ38" s="25"/>
      <c r="AGA38" s="25"/>
      <c r="AGB38" s="25"/>
      <c r="AGC38" s="25"/>
      <c r="AGE38" s="25"/>
      <c r="AGF38" s="25"/>
      <c r="AGG38" s="25"/>
      <c r="AGH38" s="25"/>
      <c r="AJP38" s="25"/>
      <c r="AJQ38" s="25"/>
      <c r="AJR38" s="25"/>
      <c r="AJS38" s="25"/>
      <c r="AJT38" s="25"/>
      <c r="AJU38" s="25"/>
      <c r="AJV38" s="25"/>
      <c r="AKD38" s="25"/>
      <c r="AKE38" s="25"/>
      <c r="AKF38" s="25"/>
      <c r="AKG38" s="25"/>
      <c r="AKH38" s="25"/>
      <c r="AKI38" s="25"/>
      <c r="AKJ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H38" s="25"/>
      <c r="ANI38" s="25"/>
      <c r="ANJ38" s="25"/>
      <c r="ANK38" s="25"/>
      <c r="ANL38" s="25"/>
      <c r="ANM38" s="25"/>
      <c r="ANN38" s="25"/>
      <c r="ANO38" s="25"/>
      <c r="ANP38" s="25"/>
      <c r="ANQ38" s="25"/>
      <c r="ANR38" s="25"/>
      <c r="ANS38" s="25"/>
      <c r="ANT38" s="25"/>
      <c r="ANU38" s="25"/>
      <c r="AOC38" s="25"/>
      <c r="AOD38" s="25"/>
      <c r="AOE38" s="25"/>
      <c r="AOF38" s="25"/>
      <c r="AOG38" s="25"/>
      <c r="AOH38" s="25"/>
      <c r="AOI38" s="25"/>
      <c r="AOJ38" s="25"/>
      <c r="AOK38" s="25"/>
      <c r="AOL38" s="25"/>
      <c r="AOM38" s="25"/>
      <c r="AON38" s="25"/>
      <c r="AOO38" s="25"/>
      <c r="AOP38" s="25"/>
      <c r="AOX38" s="25"/>
      <c r="AOY38" s="25"/>
      <c r="AOZ38" s="25"/>
      <c r="APA38" s="25"/>
      <c r="APB38" s="25"/>
      <c r="APC38" s="25"/>
      <c r="APD38" s="25"/>
      <c r="APE38" s="25"/>
      <c r="APF38" s="25"/>
      <c r="APG38" s="25"/>
      <c r="APH38" s="25"/>
      <c r="API38" s="25"/>
      <c r="APJ38" s="25"/>
      <c r="APK38" s="25"/>
      <c r="APS38" s="25"/>
      <c r="APT38" s="25"/>
      <c r="APU38" s="25"/>
      <c r="APV38" s="25"/>
      <c r="APW38" s="25"/>
      <c r="APX38" s="25"/>
      <c r="APY38" s="25"/>
      <c r="APZ38" s="25"/>
      <c r="AQA38" s="25"/>
      <c r="AQB38" s="25"/>
      <c r="AQC38" s="25"/>
      <c r="AQD38" s="25"/>
      <c r="AQE38" s="25"/>
      <c r="AQF38" s="25"/>
      <c r="AQJ38" s="25">
        <v>1</v>
      </c>
      <c r="AQK38" s="25" t="s">
        <v>8749</v>
      </c>
      <c r="AQM38" s="56">
        <v>1500</v>
      </c>
      <c r="AQN38" s="56">
        <v>3000</v>
      </c>
      <c r="AQQ38" s="56">
        <v>3000</v>
      </c>
      <c r="AQS38" s="25" t="s">
        <v>8750</v>
      </c>
      <c r="AQT38" s="56">
        <v>0</v>
      </c>
      <c r="AQU38" s="56">
        <v>0</v>
      </c>
      <c r="AQX38" s="25" t="s">
        <v>8248</v>
      </c>
      <c r="ARK38" s="25" t="s">
        <v>8249</v>
      </c>
      <c r="ATX38" s="25" t="s">
        <v>25</v>
      </c>
      <c r="ATY38" s="25" t="s">
        <v>28</v>
      </c>
      <c r="ATZ38" s="25" t="s">
        <v>25</v>
      </c>
      <c r="AUA38" s="25" t="s">
        <v>25</v>
      </c>
      <c r="AUC38" s="25" t="s">
        <v>13417</v>
      </c>
      <c r="AUD38" s="25" t="s">
        <v>8432</v>
      </c>
      <c r="AUE38" s="56">
        <v>25</v>
      </c>
      <c r="AUF38" s="56">
        <v>35</v>
      </c>
      <c r="AUG38" s="56">
        <v>25</v>
      </c>
      <c r="AUH38" s="56">
        <v>100</v>
      </c>
      <c r="AUI38" s="56">
        <v>25</v>
      </c>
      <c r="AUJ38" s="56">
        <v>0</v>
      </c>
      <c r="AUV38" s="56">
        <v>100</v>
      </c>
      <c r="AUW38" s="56">
        <v>25</v>
      </c>
      <c r="AVG38" s="25" t="s">
        <v>8250</v>
      </c>
      <c r="AVH38" s="25" t="s">
        <v>8250</v>
      </c>
      <c r="AVI38" s="25" t="s">
        <v>8250</v>
      </c>
      <c r="AVJ38" s="25" t="s">
        <v>8250</v>
      </c>
      <c r="AVK38" s="25" t="s">
        <v>8250</v>
      </c>
      <c r="AVL38" s="25" t="s">
        <v>8250</v>
      </c>
      <c r="AVN38" s="25" t="s">
        <v>25</v>
      </c>
      <c r="AVO38" s="25" t="s">
        <v>25</v>
      </c>
      <c r="AVP38" s="25" t="s">
        <v>28</v>
      </c>
      <c r="AVQ38" s="25" t="s">
        <v>25</v>
      </c>
      <c r="AVR38" s="25" t="s">
        <v>25</v>
      </c>
      <c r="AVS38" s="25" t="s">
        <v>25</v>
      </c>
      <c r="AVU38" s="25" t="s">
        <v>13810</v>
      </c>
      <c r="AVV38" s="25" t="s">
        <v>13810</v>
      </c>
      <c r="AVW38" s="25" t="s">
        <v>13810</v>
      </c>
      <c r="AVX38" s="25" t="s">
        <v>8252</v>
      </c>
      <c r="AVY38" s="25" t="s">
        <v>13810</v>
      </c>
      <c r="AVZ38" s="25" t="s">
        <v>13810</v>
      </c>
      <c r="AWA38" s="25" t="s">
        <v>13810</v>
      </c>
      <c r="AWB38" s="25" t="s">
        <v>13810</v>
      </c>
      <c r="AWC38" s="25" t="s">
        <v>631</v>
      </c>
      <c r="AWD38" s="25" t="s">
        <v>631</v>
      </c>
      <c r="AWE38" s="25" t="s">
        <v>8253</v>
      </c>
      <c r="AWF38" s="25" t="s">
        <v>8253</v>
      </c>
      <c r="AWG38" s="25" t="s">
        <v>8253</v>
      </c>
      <c r="AWH38" s="25" t="s">
        <v>8383</v>
      </c>
      <c r="AWI38" s="25" t="s">
        <v>8325</v>
      </c>
      <c r="AWJ38" s="25" t="s">
        <v>8253</v>
      </c>
      <c r="AWK38" s="25" t="s">
        <v>8380</v>
      </c>
      <c r="AWL38" s="25" t="s">
        <v>8253</v>
      </c>
      <c r="AWN38" s="56">
        <v>10</v>
      </c>
      <c r="AWP38" s="56">
        <v>10</v>
      </c>
      <c r="AWR38" s="56">
        <v>25</v>
      </c>
      <c r="AWT38" s="56">
        <v>25</v>
      </c>
      <c r="AXR38" s="26">
        <v>0.2</v>
      </c>
      <c r="AYA38" s="56">
        <v>1</v>
      </c>
      <c r="AYB38" s="56">
        <v>150</v>
      </c>
      <c r="BAV38" s="25" t="s">
        <v>8255</v>
      </c>
      <c r="BAW38" s="25" t="s">
        <v>8256</v>
      </c>
      <c r="BAX38" s="25" t="s">
        <v>8321</v>
      </c>
      <c r="BAY38" s="25">
        <v>0</v>
      </c>
      <c r="BBB38" s="25"/>
      <c r="BBC38" s="25"/>
      <c r="BBD38" s="25"/>
      <c r="BBE38" s="25"/>
      <c r="BBF38" s="25"/>
      <c r="BBG38" s="25"/>
      <c r="BBI38" s="25"/>
      <c r="BBJ38" s="25"/>
      <c r="BBK38" s="25"/>
      <c r="BBL38" s="25"/>
      <c r="BET38" s="25"/>
      <c r="BEU38" s="25"/>
      <c r="BEV38" s="25"/>
      <c r="BEW38" s="25"/>
      <c r="BEX38" s="25"/>
      <c r="BEY38" s="25"/>
      <c r="BEZ38" s="25"/>
      <c r="BFH38" s="25"/>
      <c r="BFI38" s="25"/>
      <c r="BFJ38" s="25"/>
      <c r="BFK38" s="25"/>
      <c r="BFL38" s="25"/>
      <c r="BFM38" s="25"/>
      <c r="BFN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L38" s="25"/>
      <c r="BIM38" s="25"/>
      <c r="BIN38" s="25"/>
      <c r="BIO38" s="25"/>
      <c r="BIP38" s="25"/>
      <c r="BIQ38" s="25"/>
      <c r="BIR38" s="25"/>
      <c r="BIS38" s="25"/>
      <c r="BIT38" s="25"/>
      <c r="BIU38" s="25"/>
      <c r="BIV38" s="25"/>
      <c r="BIW38" s="25"/>
      <c r="BIX38" s="25"/>
      <c r="BIY38" s="25"/>
      <c r="BJG38" s="25"/>
      <c r="BJH38" s="25"/>
      <c r="BJI38" s="25"/>
      <c r="BJJ38" s="25"/>
      <c r="BJK38" s="25"/>
      <c r="BJL38" s="25"/>
      <c r="BJM38" s="25"/>
      <c r="BJN38" s="25"/>
      <c r="BJO38" s="25"/>
      <c r="BJP38" s="25"/>
      <c r="BJQ38" s="25"/>
      <c r="BJR38" s="25"/>
      <c r="BJS38" s="25"/>
      <c r="BJT38" s="25"/>
      <c r="BKB38" s="25"/>
      <c r="BKC38" s="25"/>
      <c r="BKD38" s="25"/>
      <c r="BKE38" s="25"/>
      <c r="BKF38" s="25"/>
      <c r="BKG38" s="25"/>
      <c r="BKH38" s="25"/>
      <c r="BKI38" s="25"/>
      <c r="BKJ38" s="25"/>
      <c r="BKK38" s="25"/>
      <c r="BKL38" s="25"/>
      <c r="BKM38" s="25"/>
      <c r="BKN38" s="25"/>
      <c r="BKO38" s="25"/>
      <c r="BKW38" s="25"/>
      <c r="BKX38" s="25"/>
      <c r="BKY38" s="25"/>
      <c r="BKZ38" s="25"/>
      <c r="BLA38" s="25"/>
      <c r="BLB38" s="25"/>
      <c r="BLC38" s="25"/>
      <c r="BLD38" s="25"/>
      <c r="BLE38" s="25"/>
      <c r="BLF38" s="25"/>
      <c r="BLG38" s="25"/>
      <c r="BLH38" s="25"/>
      <c r="BLI38" s="25"/>
      <c r="BLJ38" s="25"/>
      <c r="BLN38" s="25">
        <v>0</v>
      </c>
      <c r="BLQ38" s="25"/>
      <c r="BLR38" s="25"/>
      <c r="BLS38" s="25"/>
      <c r="BLT38" s="25"/>
      <c r="BLU38" s="25"/>
      <c r="BLV38" s="25"/>
      <c r="BLX38" s="25"/>
      <c r="BLY38" s="25"/>
      <c r="BLZ38" s="25"/>
      <c r="BMA38" s="25"/>
      <c r="BPI38" s="25"/>
      <c r="BPJ38" s="25"/>
      <c r="BPK38" s="25"/>
      <c r="BPL38" s="25"/>
      <c r="BPM38" s="25"/>
      <c r="BPN38" s="25"/>
      <c r="BPO38" s="25"/>
      <c r="BPW38" s="25"/>
      <c r="BPX38" s="25"/>
      <c r="BPY38" s="25"/>
      <c r="BPZ38" s="25"/>
      <c r="BQA38" s="25"/>
      <c r="BQB38" s="25"/>
      <c r="BQC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TA38" s="25"/>
      <c r="BTB38" s="25"/>
      <c r="BTC38" s="25"/>
      <c r="BTD38" s="25"/>
      <c r="BTE38" s="25"/>
      <c r="BTF38" s="25"/>
      <c r="BTG38" s="25"/>
      <c r="BTH38" s="25"/>
      <c r="BTI38" s="25"/>
      <c r="BTJ38" s="25"/>
      <c r="BTK38" s="25"/>
      <c r="BTL38" s="25"/>
      <c r="BTM38" s="25"/>
      <c r="BTN38" s="25"/>
      <c r="BUQ38" s="25"/>
      <c r="BUR38" s="25"/>
      <c r="BUS38" s="25"/>
      <c r="BUT38" s="25"/>
      <c r="BUU38" s="25"/>
      <c r="BUV38" s="25"/>
      <c r="BUW38" s="25"/>
      <c r="BUX38" s="25"/>
      <c r="BUY38" s="25"/>
      <c r="BUZ38" s="25"/>
      <c r="BVA38" s="25"/>
      <c r="BVB38" s="25"/>
      <c r="BVC38" s="25"/>
      <c r="BVD38" s="25"/>
      <c r="BWC38" s="25" t="s">
        <v>28</v>
      </c>
      <c r="BWD38" s="25" t="s">
        <v>8265</v>
      </c>
      <c r="BWE38" s="25" t="s">
        <v>8357</v>
      </c>
      <c r="BWF38" s="25" t="s">
        <v>13712</v>
      </c>
      <c r="BWG38" s="25" t="s">
        <v>28</v>
      </c>
      <c r="BWH38" s="25" t="s">
        <v>2169</v>
      </c>
      <c r="BWI38" s="25" t="s">
        <v>28</v>
      </c>
      <c r="BWJ38" s="25" t="s">
        <v>8267</v>
      </c>
      <c r="BWK38" s="25" t="s">
        <v>25</v>
      </c>
      <c r="BWM38" s="25" t="s">
        <v>25</v>
      </c>
      <c r="BWO38" s="25" t="s">
        <v>25</v>
      </c>
      <c r="BWQ38" s="25" t="s">
        <v>25</v>
      </c>
      <c r="BWX38" s="25" t="s">
        <v>28</v>
      </c>
      <c r="BWY38" s="25" t="s">
        <v>8328</v>
      </c>
      <c r="BWZ38" s="25" t="s">
        <v>25</v>
      </c>
      <c r="BXB38" s="25" t="s">
        <v>25</v>
      </c>
      <c r="BXD38" s="25" t="s">
        <v>28</v>
      </c>
      <c r="BXE38" s="25" t="s">
        <v>8705</v>
      </c>
      <c r="BXF38" s="25" t="s">
        <v>28</v>
      </c>
      <c r="BXG38" s="56">
        <v>30</v>
      </c>
      <c r="BXH38" s="25" t="s">
        <v>25</v>
      </c>
      <c r="BXJ38" s="25" t="s">
        <v>28</v>
      </c>
      <c r="BXK38" s="25" t="s">
        <v>8270</v>
      </c>
      <c r="BXL38" s="25" t="s">
        <v>8751</v>
      </c>
      <c r="BXM38" s="25" t="s">
        <v>2201</v>
      </c>
      <c r="BXN38" s="25" t="s">
        <v>8272</v>
      </c>
      <c r="BXO38" s="25" t="s">
        <v>8274</v>
      </c>
      <c r="BXP38" s="25" t="s">
        <v>8274</v>
      </c>
      <c r="BXQ38" s="25" t="s">
        <v>8274</v>
      </c>
      <c r="BXR38" s="25" t="s">
        <v>8274</v>
      </c>
      <c r="BXS38" s="25" t="s">
        <v>8361</v>
      </c>
      <c r="BXT38" s="25" t="s">
        <v>8275</v>
      </c>
      <c r="BXU38" s="25" t="s">
        <v>25</v>
      </c>
      <c r="BXW38" s="25" t="s">
        <v>28</v>
      </c>
      <c r="BXX38" s="25" t="s">
        <v>25</v>
      </c>
      <c r="BXY38" s="25" t="s">
        <v>25</v>
      </c>
      <c r="BXZ38" s="25" t="s">
        <v>25</v>
      </c>
      <c r="BYA38" s="25" t="s">
        <v>25</v>
      </c>
      <c r="BYB38" s="25" t="s">
        <v>25</v>
      </c>
      <c r="BYC38" s="25" t="s">
        <v>2201</v>
      </c>
      <c r="BYD38" s="25" t="s">
        <v>28</v>
      </c>
      <c r="BYE38" s="25" t="s">
        <v>13611</v>
      </c>
      <c r="BYF38" s="25" t="s">
        <v>8277</v>
      </c>
      <c r="BYH38" s="25" t="s">
        <v>8515</v>
      </c>
      <c r="BYK38" s="25" t="s">
        <v>28</v>
      </c>
      <c r="BYL38" s="25" t="s">
        <v>25</v>
      </c>
      <c r="BYN38" s="25" t="s">
        <v>25</v>
      </c>
      <c r="BYP38" s="25" t="s">
        <v>25</v>
      </c>
      <c r="BYR38" s="25" t="s">
        <v>28</v>
      </c>
      <c r="BYS38" s="25" t="s">
        <v>8279</v>
      </c>
      <c r="BYT38" s="25" t="s">
        <v>732</v>
      </c>
      <c r="BYU38" s="25" t="s">
        <v>732</v>
      </c>
      <c r="BYV38" s="25" t="s">
        <v>25</v>
      </c>
      <c r="BYW38" s="25" t="s">
        <v>28</v>
      </c>
      <c r="BYX38" s="56">
        <v>800</v>
      </c>
      <c r="BYY38" s="56">
        <v>1600</v>
      </c>
      <c r="BYZ38" s="25" t="s">
        <v>8280</v>
      </c>
      <c r="BZA38" s="25" t="s">
        <v>13827</v>
      </c>
      <c r="BZB38" s="25" t="s">
        <v>256</v>
      </c>
      <c r="BZC38" s="25" t="s">
        <v>8282</v>
      </c>
      <c r="BZD38" s="25" t="s">
        <v>28</v>
      </c>
      <c r="BZE38" s="25" t="s">
        <v>28</v>
      </c>
      <c r="BZF38" s="25" t="s">
        <v>28</v>
      </c>
      <c r="BZG38" s="25" t="s">
        <v>25</v>
      </c>
      <c r="BZJ38" s="25" t="s">
        <v>28</v>
      </c>
      <c r="BZK38" s="25" t="s">
        <v>8752</v>
      </c>
      <c r="BZM38" s="25" t="s">
        <v>28</v>
      </c>
      <c r="BZN38" s="25" t="s">
        <v>8283</v>
      </c>
      <c r="BZP38" s="25" t="s">
        <v>8366</v>
      </c>
      <c r="BZQ38" s="56">
        <v>1000</v>
      </c>
      <c r="BZR38" s="25" t="s">
        <v>28</v>
      </c>
      <c r="BZS38" s="25" t="s">
        <v>25</v>
      </c>
      <c r="BZT38" s="25" t="s">
        <v>8468</v>
      </c>
      <c r="BZV38" s="25" t="s">
        <v>8589</v>
      </c>
      <c r="BZW38" s="25" t="s">
        <v>8753</v>
      </c>
      <c r="BZX38" s="25" t="s">
        <v>13658</v>
      </c>
      <c r="BZZ38" s="25" t="s">
        <v>25</v>
      </c>
      <c r="CAC38" s="25" t="s">
        <v>28</v>
      </c>
      <c r="CAD38" s="25" t="s">
        <v>8485</v>
      </c>
      <c r="CAE38" s="25" t="s">
        <v>25</v>
      </c>
      <c r="CAH38" s="25" t="s">
        <v>631</v>
      </c>
      <c r="CAI38" s="25" t="s">
        <v>631</v>
      </c>
      <c r="CAJ38" s="25" t="s">
        <v>631</v>
      </c>
      <c r="CAK38" s="25" t="s">
        <v>631</v>
      </c>
      <c r="CAL38" s="25" t="s">
        <v>631</v>
      </c>
      <c r="CAM38" s="25" t="s">
        <v>8290</v>
      </c>
      <c r="CAN38" s="25" t="s">
        <v>631</v>
      </c>
      <c r="CAO38" s="25" t="s">
        <v>631</v>
      </c>
      <c r="CAP38" s="25" t="s">
        <v>631</v>
      </c>
      <c r="CAQ38" s="25" t="s">
        <v>631</v>
      </c>
      <c r="CAR38" s="25" t="s">
        <v>8291</v>
      </c>
      <c r="CAT38" s="25" t="s">
        <v>28</v>
      </c>
      <c r="CAU38" s="25" t="s">
        <v>8754</v>
      </c>
      <c r="CBB38" s="25">
        <v>1</v>
      </c>
      <c r="CBC38" s="25">
        <v>0</v>
      </c>
      <c r="CBD38" s="25">
        <v>0</v>
      </c>
      <c r="CBE38" s="56">
        <v>50</v>
      </c>
      <c r="CBF38" s="56">
        <v>150</v>
      </c>
      <c r="CBG38" s="56">
        <v>50</v>
      </c>
      <c r="CBH38" s="56">
        <v>150</v>
      </c>
      <c r="CBI38" s="56">
        <v>2500</v>
      </c>
      <c r="CBK38" s="56">
        <v>2000</v>
      </c>
      <c r="CBM38" s="26">
        <v>0</v>
      </c>
      <c r="CBN38" s="26">
        <v>0</v>
      </c>
      <c r="CBO38" s="26">
        <v>0.2</v>
      </c>
      <c r="CBP38" s="26">
        <v>0.2</v>
      </c>
      <c r="CBQ38" s="26">
        <v>0.5</v>
      </c>
      <c r="CBR38" s="26">
        <v>0.5</v>
      </c>
      <c r="CBS38" s="26">
        <v>0.5</v>
      </c>
      <c r="CBT38" s="26">
        <v>0.5</v>
      </c>
      <c r="CBU38" s="27" t="s">
        <v>28</v>
      </c>
      <c r="CBV38" s="27" t="s">
        <v>8537</v>
      </c>
      <c r="CBW38" s="27" t="s">
        <v>8294</v>
      </c>
      <c r="CBX38" s="27" t="s">
        <v>8418</v>
      </c>
      <c r="CBY38" s="27" t="s">
        <v>8296</v>
      </c>
      <c r="CBZ38" s="27" t="s">
        <v>8296</v>
      </c>
      <c r="CCA38" s="27" t="s">
        <v>8297</v>
      </c>
      <c r="CCB38" s="27" t="s">
        <v>8298</v>
      </c>
      <c r="CCC38" s="27" t="s">
        <v>8296</v>
      </c>
      <c r="CCD38" s="27" t="s">
        <v>8297</v>
      </c>
      <c r="CCE38" s="27" t="s">
        <v>8297</v>
      </c>
      <c r="CCF38" s="27" t="s">
        <v>8297</v>
      </c>
      <c r="CCG38" s="27" t="s">
        <v>8297</v>
      </c>
      <c r="CCH38" s="27" t="s">
        <v>8296</v>
      </c>
      <c r="CCI38" s="27" t="s">
        <v>8298</v>
      </c>
      <c r="CCJ38" s="27" t="s">
        <v>8298</v>
      </c>
      <c r="CCK38" s="27" t="s">
        <v>8299</v>
      </c>
      <c r="CCL38" s="27" t="s">
        <v>8297</v>
      </c>
      <c r="CCM38" s="27" t="s">
        <v>8296</v>
      </c>
      <c r="CCN38" s="27" t="s">
        <v>8296</v>
      </c>
      <c r="CCO38" s="27" t="s">
        <v>8300</v>
      </c>
      <c r="CCP38" s="27" t="s">
        <v>8296</v>
      </c>
      <c r="CCQ38" s="27" t="s">
        <v>8296</v>
      </c>
      <c r="CCR38" s="27" t="s">
        <v>8296</v>
      </c>
      <c r="CCS38" s="27" t="s">
        <v>8296</v>
      </c>
      <c r="CCT38" s="27" t="s">
        <v>8296</v>
      </c>
      <c r="CCU38" s="27" t="s">
        <v>8298</v>
      </c>
      <c r="CCV38" s="27" t="s">
        <v>8298</v>
      </c>
      <c r="CCW38" s="27" t="s">
        <v>8298</v>
      </c>
      <c r="CCX38" s="27" t="s">
        <v>8298</v>
      </c>
      <c r="CCY38" s="27" t="s">
        <v>8298</v>
      </c>
      <c r="CCZ38" s="27" t="s">
        <v>28</v>
      </c>
      <c r="CDA38" s="27" t="s">
        <v>28</v>
      </c>
      <c r="CDB38" s="27" t="s">
        <v>28</v>
      </c>
      <c r="CDC38" s="27" t="s">
        <v>28</v>
      </c>
      <c r="CDD38" s="27" t="s">
        <v>28</v>
      </c>
      <c r="CDE38" s="27" t="s">
        <v>28</v>
      </c>
      <c r="CDF38" s="27" t="s">
        <v>28</v>
      </c>
      <c r="CDG38" s="27" t="s">
        <v>28</v>
      </c>
      <c r="CDH38" s="27" t="s">
        <v>28</v>
      </c>
      <c r="CDI38" s="27" t="s">
        <v>28</v>
      </c>
      <c r="CDJ38" s="27" t="s">
        <v>28</v>
      </c>
      <c r="CDK38" s="27" t="s">
        <v>28</v>
      </c>
      <c r="CDL38" s="27" t="s">
        <v>28</v>
      </c>
      <c r="CDM38" s="27" t="s">
        <v>28</v>
      </c>
      <c r="CDN38" s="27" t="s">
        <v>28</v>
      </c>
      <c r="CDO38" s="27" t="s">
        <v>28</v>
      </c>
      <c r="CDP38" s="27" t="s">
        <v>25</v>
      </c>
      <c r="CDQ38" s="27" t="s">
        <v>28</v>
      </c>
      <c r="CDR38" s="27" t="s">
        <v>28</v>
      </c>
      <c r="CDS38" s="27" t="s">
        <v>28</v>
      </c>
      <c r="CDT38" s="27" t="s">
        <v>28</v>
      </c>
      <c r="CDU38" s="27" t="s">
        <v>28</v>
      </c>
      <c r="CDV38" s="27" t="s">
        <v>28</v>
      </c>
      <c r="CDW38" s="27" t="s">
        <v>28</v>
      </c>
      <c r="CDX38" s="27" t="s">
        <v>28</v>
      </c>
      <c r="CDY38" s="27" t="s">
        <v>28</v>
      </c>
      <c r="CDZ38" s="27" t="s">
        <v>28</v>
      </c>
      <c r="CEA38" s="27" t="s">
        <v>29</v>
      </c>
      <c r="CEB38" s="27" t="s">
        <v>29</v>
      </c>
      <c r="CEC38" s="27" t="s">
        <v>29</v>
      </c>
      <c r="CED38" s="27" t="s">
        <v>8371</v>
      </c>
      <c r="CEE38" s="27" t="s">
        <v>29</v>
      </c>
      <c r="CEF38" s="27" t="s">
        <v>8301</v>
      </c>
      <c r="CEG38" s="27" t="s">
        <v>29</v>
      </c>
      <c r="CEH38" s="27" t="s">
        <v>29</v>
      </c>
      <c r="CEI38" s="27" t="s">
        <v>8301</v>
      </c>
      <c r="CEJ38" s="27" t="s">
        <v>8302</v>
      </c>
      <c r="CEK38" s="27" t="s">
        <v>8302</v>
      </c>
      <c r="CEL38" s="27" t="s">
        <v>8302</v>
      </c>
      <c r="CEM38" s="27" t="s">
        <v>8301</v>
      </c>
      <c r="CEN38" s="27" t="s">
        <v>8301</v>
      </c>
      <c r="CEO38" s="27" t="s">
        <v>8306</v>
      </c>
      <c r="CEP38" s="27" t="s">
        <v>29</v>
      </c>
      <c r="CEQ38" s="27" t="s">
        <v>8304</v>
      </c>
      <c r="CER38" s="27" t="s">
        <v>8305</v>
      </c>
      <c r="CES38" s="27" t="s">
        <v>8306</v>
      </c>
      <c r="CET38" s="27" t="s">
        <v>29</v>
      </c>
      <c r="CEU38" s="27" t="s">
        <v>29</v>
      </c>
      <c r="CEV38" s="27" t="s">
        <v>29</v>
      </c>
      <c r="CEW38" s="27" t="s">
        <v>29</v>
      </c>
      <c r="CEX38" s="27" t="s">
        <v>8302</v>
      </c>
      <c r="CEY38" s="27" t="s">
        <v>8302</v>
      </c>
      <c r="CEZ38" s="27" t="s">
        <v>8305</v>
      </c>
      <c r="CFA38" s="27" t="s">
        <v>29</v>
      </c>
      <c r="CFB38" s="27" t="s">
        <v>25</v>
      </c>
      <c r="CFC38" s="27" t="s">
        <v>25</v>
      </c>
      <c r="CFD38" s="27" t="s">
        <v>25</v>
      </c>
      <c r="CFE38" s="27" t="s">
        <v>25</v>
      </c>
      <c r="CFF38" s="27" t="s">
        <v>25</v>
      </c>
      <c r="CFG38" s="27" t="s">
        <v>25</v>
      </c>
      <c r="CFH38" s="27" t="s">
        <v>25</v>
      </c>
      <c r="CFI38" s="27" t="s">
        <v>25</v>
      </c>
      <c r="CFJ38" s="27" t="s">
        <v>25</v>
      </c>
      <c r="CFK38" s="27" t="s">
        <v>25</v>
      </c>
      <c r="CFL38" s="27" t="s">
        <v>25</v>
      </c>
      <c r="CFM38" s="27" t="s">
        <v>25</v>
      </c>
      <c r="CFN38" s="27" t="s">
        <v>25</v>
      </c>
      <c r="CFO38" s="27" t="s">
        <v>25</v>
      </c>
      <c r="CFP38" s="27" t="s">
        <v>25</v>
      </c>
      <c r="CFQ38" s="27" t="s">
        <v>25</v>
      </c>
      <c r="CFR38" s="27" t="s">
        <v>25</v>
      </c>
      <c r="CFS38" s="27" t="s">
        <v>25</v>
      </c>
      <c r="CFT38" s="27" t="s">
        <v>25</v>
      </c>
      <c r="CFU38" s="27" t="s">
        <v>25</v>
      </c>
      <c r="CFV38" s="27" t="s">
        <v>25</v>
      </c>
      <c r="CFW38" s="27" t="s">
        <v>25</v>
      </c>
      <c r="CFX38" s="27" t="s">
        <v>28</v>
      </c>
      <c r="CFY38" s="27" t="s">
        <v>25</v>
      </c>
      <c r="CFZ38" s="27" t="s">
        <v>25</v>
      </c>
      <c r="CGA38" s="27" t="s">
        <v>25</v>
      </c>
      <c r="CGB38" s="27" t="s">
        <v>25</v>
      </c>
      <c r="CPW38" s="27">
        <v>2</v>
      </c>
      <c r="CPX38" s="56">
        <v>20</v>
      </c>
      <c r="CPZ38" s="56">
        <v>50</v>
      </c>
      <c r="CQA38" s="26">
        <v>0</v>
      </c>
      <c r="CQB38" s="25" t="s">
        <v>8372</v>
      </c>
      <c r="CQC38" s="25" t="s">
        <v>8372</v>
      </c>
      <c r="CQD38" s="25" t="s">
        <v>8372</v>
      </c>
      <c r="CQE38" s="25" t="s">
        <v>8372</v>
      </c>
      <c r="CQF38" s="25" t="s">
        <v>8372</v>
      </c>
      <c r="CQH38" s="56">
        <v>150</v>
      </c>
      <c r="CQI38" s="56">
        <v>150</v>
      </c>
      <c r="CQJ38" s="56">
        <v>150</v>
      </c>
      <c r="CQL38" s="25" t="s">
        <v>13684</v>
      </c>
      <c r="CQM38" s="25" t="s">
        <v>8308</v>
      </c>
      <c r="CQN38" s="25" t="s">
        <v>25</v>
      </c>
      <c r="CQO38" s="25" t="s">
        <v>8309</v>
      </c>
      <c r="CQQ38" s="25" t="s">
        <v>8755</v>
      </c>
      <c r="CQS38" s="25" t="s">
        <v>25</v>
      </c>
      <c r="CQT38" s="25" t="s">
        <v>8312</v>
      </c>
      <c r="CQU38" s="25" t="s">
        <v>8312</v>
      </c>
      <c r="CQV38" s="25" t="s">
        <v>8313</v>
      </c>
      <c r="CQW38" s="25" t="s">
        <v>8312</v>
      </c>
      <c r="CQX38" s="25" t="s">
        <v>8312</v>
      </c>
      <c r="CQY38" s="25" t="s">
        <v>8313</v>
      </c>
      <c r="CQZ38" s="25" t="s">
        <v>8312</v>
      </c>
      <c r="CRA38" s="25" t="s">
        <v>8314</v>
      </c>
      <c r="CRB38" s="25" t="s">
        <v>8314</v>
      </c>
      <c r="CRC38" s="25" t="s">
        <v>8312</v>
      </c>
      <c r="CRD38" s="25" t="s">
        <v>8312</v>
      </c>
      <c r="CRE38" s="27" t="s">
        <v>8312</v>
      </c>
    </row>
    <row r="39" spans="1:2048 2050:2501" ht="102" x14ac:dyDescent="0.2">
      <c r="A39" s="21" t="s">
        <v>135</v>
      </c>
      <c r="B39" s="26">
        <v>0.26</v>
      </c>
      <c r="C39" s="26">
        <v>0</v>
      </c>
      <c r="D39" s="26">
        <v>0.14000000000000001</v>
      </c>
      <c r="E39" s="26">
        <v>0.42</v>
      </c>
      <c r="F39" s="26">
        <v>0</v>
      </c>
      <c r="G39" s="26">
        <v>0</v>
      </c>
      <c r="H39" s="26">
        <v>0</v>
      </c>
      <c r="I39" s="26">
        <v>0</v>
      </c>
      <c r="J39" s="26">
        <v>0</v>
      </c>
      <c r="K39" s="26">
        <v>0</v>
      </c>
      <c r="L39" s="26">
        <v>0.09</v>
      </c>
      <c r="M39" s="26">
        <v>0.09</v>
      </c>
      <c r="N39" s="26">
        <v>0.12</v>
      </c>
      <c r="O39" s="26">
        <v>0</v>
      </c>
      <c r="P39" s="26">
        <v>0.14000000000000001</v>
      </c>
      <c r="Q39" s="26">
        <v>0.28999999999999998</v>
      </c>
      <c r="R39" s="26">
        <v>0</v>
      </c>
      <c r="S39" s="26">
        <v>0</v>
      </c>
      <c r="T39" s="26">
        <v>0</v>
      </c>
      <c r="U39" s="26">
        <v>0</v>
      </c>
      <c r="V39" s="26">
        <v>0</v>
      </c>
      <c r="W39" s="26">
        <v>0</v>
      </c>
      <c r="X39" s="26">
        <v>0.2</v>
      </c>
      <c r="Y39" s="26">
        <v>0.25</v>
      </c>
      <c r="Z39" s="25">
        <v>2</v>
      </c>
      <c r="AA39" s="25" t="s">
        <v>8593</v>
      </c>
      <c r="AB39" s="25" t="s">
        <v>8594</v>
      </c>
      <c r="AC39" s="56">
        <v>3000</v>
      </c>
      <c r="AD39" s="56">
        <v>9000</v>
      </c>
      <c r="AE39" s="56">
        <v>6000</v>
      </c>
      <c r="AF39" s="56">
        <v>18000</v>
      </c>
      <c r="AI39" s="25" t="s">
        <v>8246</v>
      </c>
      <c r="AJ39" s="56">
        <v>750</v>
      </c>
      <c r="AK39" s="56">
        <v>2250</v>
      </c>
      <c r="AL39" s="56">
        <v>1500</v>
      </c>
      <c r="AM39" s="56">
        <v>4500</v>
      </c>
      <c r="AN39" s="25" t="s">
        <v>8350</v>
      </c>
      <c r="AX39" s="25" t="s">
        <v>8248</v>
      </c>
      <c r="AY39" s="25" t="s">
        <v>8248</v>
      </c>
      <c r="BK39" s="25" t="s">
        <v>8249</v>
      </c>
      <c r="BL39" s="25" t="s">
        <v>8249</v>
      </c>
      <c r="BX39" s="56">
        <v>2100</v>
      </c>
      <c r="CK39" s="56">
        <v>4200</v>
      </c>
      <c r="DO39" s="25" t="s">
        <v>25</v>
      </c>
      <c r="DP39" s="25" t="s">
        <v>28</v>
      </c>
      <c r="DQ39" s="25" t="s">
        <v>28</v>
      </c>
      <c r="DR39" s="25" t="s">
        <v>25</v>
      </c>
      <c r="DT39" s="25" t="s">
        <v>13417</v>
      </c>
      <c r="DU39" s="25" t="s">
        <v>13417</v>
      </c>
      <c r="DV39" s="56">
        <v>20</v>
      </c>
      <c r="DW39" s="56">
        <v>45</v>
      </c>
      <c r="DX39" s="56">
        <v>45</v>
      </c>
      <c r="DY39" s="56">
        <v>200</v>
      </c>
      <c r="DZ39" s="56">
        <v>50</v>
      </c>
      <c r="EA39" s="56">
        <v>0</v>
      </c>
      <c r="EF39" s="26">
        <v>0.2</v>
      </c>
      <c r="EM39" s="56">
        <v>200</v>
      </c>
      <c r="EN39" s="56">
        <v>50</v>
      </c>
      <c r="EO39" s="56">
        <v>0</v>
      </c>
      <c r="EQ39" s="26">
        <v>0.5</v>
      </c>
      <c r="ER39" s="26">
        <v>0.5</v>
      </c>
      <c r="ES39" s="26">
        <v>0.5</v>
      </c>
      <c r="ET39" s="26">
        <v>0.2</v>
      </c>
      <c r="EV39" s="26">
        <v>0</v>
      </c>
      <c r="EX39" s="25" t="s">
        <v>8250</v>
      </c>
      <c r="EY39" s="25" t="s">
        <v>8250</v>
      </c>
      <c r="EZ39" s="25" t="s">
        <v>8250</v>
      </c>
      <c r="FA39" s="25" t="s">
        <v>8250</v>
      </c>
      <c r="FB39" s="25" t="s">
        <v>8250</v>
      </c>
      <c r="FC39" s="25" t="s">
        <v>8250</v>
      </c>
      <c r="FE39" s="25" t="s">
        <v>25</v>
      </c>
      <c r="FF39" s="25" t="s">
        <v>25</v>
      </c>
      <c r="FG39" s="25" t="s">
        <v>25</v>
      </c>
      <c r="FH39" s="25" t="s">
        <v>25</v>
      </c>
      <c r="FI39" s="25" t="s">
        <v>25</v>
      </c>
      <c r="FJ39" s="25" t="s">
        <v>25</v>
      </c>
      <c r="FL39" s="25" t="s">
        <v>13810</v>
      </c>
      <c r="FM39" s="25" t="s">
        <v>13810</v>
      </c>
      <c r="FN39" s="25" t="s">
        <v>13810</v>
      </c>
      <c r="FO39" s="25" t="s">
        <v>13810</v>
      </c>
      <c r="FP39" s="25" t="s">
        <v>13810</v>
      </c>
      <c r="FQ39" s="25" t="s">
        <v>13810</v>
      </c>
      <c r="FR39" s="25" t="s">
        <v>13810</v>
      </c>
      <c r="FS39" s="25" t="s">
        <v>13810</v>
      </c>
      <c r="FT39" s="25" t="s">
        <v>631</v>
      </c>
      <c r="FV39" s="25" t="s">
        <v>8595</v>
      </c>
      <c r="FW39" s="25" t="s">
        <v>8595</v>
      </c>
      <c r="FX39" s="25" t="s">
        <v>8595</v>
      </c>
      <c r="FY39" s="25" t="s">
        <v>8595</v>
      </c>
      <c r="FZ39" s="25" t="s">
        <v>8320</v>
      </c>
      <c r="GA39" s="25" t="s">
        <v>8595</v>
      </c>
      <c r="GB39" s="25" t="s">
        <v>8595</v>
      </c>
      <c r="GC39" s="25" t="s">
        <v>8253</v>
      </c>
      <c r="GE39" s="56">
        <v>10</v>
      </c>
      <c r="GG39" s="56">
        <v>20</v>
      </c>
      <c r="GI39" s="56">
        <v>60</v>
      </c>
      <c r="GK39" s="56">
        <v>120</v>
      </c>
      <c r="GM39" s="56">
        <v>90</v>
      </c>
      <c r="GO39" s="56">
        <v>180</v>
      </c>
      <c r="GY39" s="56">
        <v>270</v>
      </c>
      <c r="HA39" s="56">
        <v>540</v>
      </c>
      <c r="HG39" s="57">
        <v>0</v>
      </c>
      <c r="HH39" s="57">
        <v>0.3</v>
      </c>
      <c r="HI39" s="57">
        <v>0.4</v>
      </c>
      <c r="HJ39" s="57">
        <v>0.5</v>
      </c>
      <c r="HN39" s="58">
        <v>0</v>
      </c>
      <c r="HO39" s="56">
        <v>0</v>
      </c>
      <c r="HP39" s="56">
        <v>30</v>
      </c>
      <c r="HQ39" s="56">
        <v>60</v>
      </c>
      <c r="HR39" s="56">
        <v>45</v>
      </c>
      <c r="HS39" s="56">
        <v>75</v>
      </c>
      <c r="HT39" s="56">
        <v>50</v>
      </c>
      <c r="HU39" s="56">
        <v>100</v>
      </c>
      <c r="IW39" s="26">
        <v>0</v>
      </c>
      <c r="IX39" s="26">
        <v>0.3</v>
      </c>
      <c r="IY39" s="26">
        <v>0.4</v>
      </c>
      <c r="IZ39" s="26">
        <v>0.5</v>
      </c>
      <c r="JD39" s="56">
        <v>0</v>
      </c>
      <c r="JE39" s="56">
        <v>0</v>
      </c>
      <c r="JF39" s="56">
        <v>75</v>
      </c>
      <c r="JG39" s="56">
        <v>150</v>
      </c>
      <c r="JH39" s="56">
        <v>115</v>
      </c>
      <c r="JI39" s="56">
        <v>188</v>
      </c>
      <c r="JJ39" s="56">
        <v>125</v>
      </c>
      <c r="JK39" s="56">
        <v>250</v>
      </c>
      <c r="KM39" s="25" t="s">
        <v>8352</v>
      </c>
      <c r="KN39" s="25" t="s">
        <v>8256</v>
      </c>
      <c r="KO39" s="25" t="s">
        <v>8321</v>
      </c>
      <c r="KP39" s="25">
        <v>1</v>
      </c>
      <c r="KQ39" s="25" t="s">
        <v>8596</v>
      </c>
      <c r="KS39" s="56">
        <v>4000</v>
      </c>
      <c r="KT39" s="56">
        <v>8000</v>
      </c>
      <c r="KU39" s="56">
        <v>8000</v>
      </c>
      <c r="KV39" s="56">
        <v>16000</v>
      </c>
      <c r="KY39" s="25" t="s">
        <v>8246</v>
      </c>
      <c r="KZ39" s="56">
        <v>2000</v>
      </c>
      <c r="LA39" s="56">
        <v>4000</v>
      </c>
      <c r="LB39" s="56">
        <v>4000</v>
      </c>
      <c r="LC39" s="56">
        <v>8000</v>
      </c>
      <c r="LD39" s="25" t="s">
        <v>8350</v>
      </c>
      <c r="LE39" s="25" t="s">
        <v>8248</v>
      </c>
      <c r="LR39" s="25" t="s">
        <v>8249</v>
      </c>
      <c r="OE39" s="25" t="s">
        <v>25</v>
      </c>
      <c r="OF39" s="25" t="s">
        <v>28</v>
      </c>
      <c r="OG39" s="25" t="s">
        <v>25</v>
      </c>
      <c r="OH39" s="25" t="s">
        <v>25</v>
      </c>
      <c r="OJ39" s="25" t="s">
        <v>13416</v>
      </c>
      <c r="OK39" s="25" t="s">
        <v>13416</v>
      </c>
      <c r="OS39" s="26">
        <v>0.2</v>
      </c>
      <c r="OT39" s="26">
        <v>0.2</v>
      </c>
      <c r="OU39" s="26">
        <v>0.2</v>
      </c>
      <c r="OV39" s="26">
        <v>0.2</v>
      </c>
      <c r="OW39" s="26">
        <v>0.2</v>
      </c>
      <c r="OX39" s="26">
        <v>0</v>
      </c>
      <c r="PG39" s="26">
        <v>0.5</v>
      </c>
      <c r="PH39" s="26">
        <v>0.5</v>
      </c>
      <c r="PI39" s="26">
        <v>0.5</v>
      </c>
      <c r="PJ39" s="26">
        <v>0.2</v>
      </c>
      <c r="PK39" s="26">
        <v>0.5</v>
      </c>
      <c r="PN39" s="25" t="s">
        <v>8250</v>
      </c>
      <c r="PO39" s="25" t="s">
        <v>8250</v>
      </c>
      <c r="PP39" s="25" t="s">
        <v>8250</v>
      </c>
      <c r="PQ39" s="25" t="s">
        <v>8250</v>
      </c>
      <c r="PR39" s="25" t="s">
        <v>8250</v>
      </c>
      <c r="PS39" s="25" t="s">
        <v>8250</v>
      </c>
      <c r="PU39" s="25" t="s">
        <v>25</v>
      </c>
      <c r="PV39" s="25" t="s">
        <v>25</v>
      </c>
      <c r="PW39" s="25" t="s">
        <v>25</v>
      </c>
      <c r="PX39" s="25" t="s">
        <v>25</v>
      </c>
      <c r="PY39" s="25" t="s">
        <v>25</v>
      </c>
      <c r="PZ39" s="25" t="s">
        <v>25</v>
      </c>
      <c r="QB39" s="25" t="s">
        <v>13810</v>
      </c>
      <c r="QC39" s="25" t="s">
        <v>13810</v>
      </c>
      <c r="QD39" s="25" t="s">
        <v>13810</v>
      </c>
      <c r="QE39" s="25" t="s">
        <v>13810</v>
      </c>
      <c r="QF39" s="25" t="s">
        <v>13810</v>
      </c>
      <c r="QG39" s="25" t="s">
        <v>13810</v>
      </c>
      <c r="QH39" s="25" t="s">
        <v>13810</v>
      </c>
      <c r="QI39" s="25" t="s">
        <v>13810</v>
      </c>
      <c r="QJ39" s="25" t="s">
        <v>631</v>
      </c>
      <c r="QL39" s="25" t="s">
        <v>8595</v>
      </c>
      <c r="QM39" s="25" t="s">
        <v>8595</v>
      </c>
      <c r="QN39" s="25" t="s">
        <v>8595</v>
      </c>
      <c r="QO39" s="25" t="s">
        <v>8595</v>
      </c>
      <c r="QP39" s="25" t="s">
        <v>8320</v>
      </c>
      <c r="QQ39" s="25" t="s">
        <v>8595</v>
      </c>
      <c r="QR39" s="25" t="s">
        <v>8595</v>
      </c>
      <c r="QS39" s="25" t="s">
        <v>8253</v>
      </c>
      <c r="RW39" s="26">
        <v>0.2</v>
      </c>
      <c r="RX39" s="26">
        <v>0.2</v>
      </c>
      <c r="RY39" s="26">
        <v>0.2</v>
      </c>
      <c r="RZ39" s="26">
        <v>0.2</v>
      </c>
      <c r="TM39" s="26">
        <v>0.2</v>
      </c>
      <c r="TN39" s="26">
        <v>0.2</v>
      </c>
      <c r="TO39" s="26">
        <v>0.2</v>
      </c>
      <c r="TP39" s="26">
        <v>0.2</v>
      </c>
      <c r="VC39" s="25" t="s">
        <v>8352</v>
      </c>
      <c r="VD39" s="25" t="s">
        <v>8256</v>
      </c>
      <c r="VE39" s="25" t="s">
        <v>8321</v>
      </c>
      <c r="VF39" s="25">
        <v>0</v>
      </c>
      <c r="VI39" s="25"/>
      <c r="VJ39" s="25"/>
      <c r="VK39" s="25"/>
      <c r="VL39" s="25"/>
      <c r="VM39" s="25"/>
      <c r="VN39" s="25"/>
      <c r="VP39" s="25"/>
      <c r="VQ39" s="25"/>
      <c r="VR39" s="25"/>
      <c r="VS39" s="25"/>
      <c r="ZA39" s="25"/>
      <c r="ZB39" s="25"/>
      <c r="ZC39" s="25"/>
      <c r="ZD39" s="25"/>
      <c r="ZE39" s="25"/>
      <c r="ZF39" s="25"/>
      <c r="ZG39" s="25"/>
      <c r="ZO39" s="25"/>
      <c r="ZP39" s="25"/>
      <c r="ZQ39" s="25"/>
      <c r="ZR39" s="25"/>
      <c r="ZS39" s="25"/>
      <c r="ZT39" s="25"/>
      <c r="ZU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S39" s="25"/>
      <c r="ACT39" s="25"/>
      <c r="ACU39" s="25"/>
      <c r="ACV39" s="25"/>
      <c r="ACW39" s="25"/>
      <c r="ACX39" s="25"/>
      <c r="ACY39" s="25"/>
      <c r="ACZ39" s="25"/>
      <c r="ADA39" s="25"/>
      <c r="ADB39" s="25"/>
      <c r="ADC39" s="25"/>
      <c r="ADD39" s="25"/>
      <c r="ADE39" s="25"/>
      <c r="ADF39" s="25"/>
      <c r="ADN39" s="25"/>
      <c r="ADO39" s="25"/>
      <c r="ADP39" s="25"/>
      <c r="ADQ39" s="25"/>
      <c r="ADR39" s="25"/>
      <c r="ADS39" s="25"/>
      <c r="ADT39" s="25"/>
      <c r="ADU39" s="25"/>
      <c r="ADV39" s="25"/>
      <c r="ADW39" s="25"/>
      <c r="ADX39" s="25"/>
      <c r="ADY39" s="25"/>
      <c r="ADZ39" s="25"/>
      <c r="AEA39" s="25"/>
      <c r="AEI39" s="25"/>
      <c r="AEJ39" s="25"/>
      <c r="AEK39" s="25"/>
      <c r="AEL39" s="25"/>
      <c r="AEM39" s="25"/>
      <c r="AEN39" s="25"/>
      <c r="AEO39" s="25"/>
      <c r="AEP39" s="25"/>
      <c r="AEQ39" s="25"/>
      <c r="AER39" s="25"/>
      <c r="AES39" s="25"/>
      <c r="AET39" s="25"/>
      <c r="AEU39" s="25"/>
      <c r="AEV39" s="25"/>
      <c r="AFD39" s="25"/>
      <c r="AFE39" s="25"/>
      <c r="AFF39" s="25"/>
      <c r="AFG39" s="25"/>
      <c r="AFH39" s="25"/>
      <c r="AFI39" s="25"/>
      <c r="AFJ39" s="25"/>
      <c r="AFK39" s="25"/>
      <c r="AFL39" s="25"/>
      <c r="AFM39" s="25"/>
      <c r="AFN39" s="25"/>
      <c r="AFO39" s="25"/>
      <c r="AFP39" s="25"/>
      <c r="AFQ39" s="25"/>
      <c r="AFU39" s="25">
        <v>0</v>
      </c>
      <c r="AFX39" s="25"/>
      <c r="AFY39" s="25"/>
      <c r="AFZ39" s="25"/>
      <c r="AGA39" s="25"/>
      <c r="AGB39" s="25"/>
      <c r="AGC39" s="25"/>
      <c r="AGE39" s="25"/>
      <c r="AGF39" s="25"/>
      <c r="AGG39" s="25"/>
      <c r="AGH39" s="25"/>
      <c r="AJP39" s="25"/>
      <c r="AJQ39" s="25"/>
      <c r="AJR39" s="25"/>
      <c r="AJS39" s="25"/>
      <c r="AJT39" s="25"/>
      <c r="AJU39" s="25"/>
      <c r="AJV39" s="25"/>
      <c r="AKD39" s="25"/>
      <c r="AKE39" s="25"/>
      <c r="AKF39" s="25"/>
      <c r="AKG39" s="25"/>
      <c r="AKH39" s="25"/>
      <c r="AKI39" s="25"/>
      <c r="AKJ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H39" s="25"/>
      <c r="ANI39" s="25"/>
      <c r="ANJ39" s="25"/>
      <c r="ANK39" s="25"/>
      <c r="ANL39" s="25"/>
      <c r="ANM39" s="25"/>
      <c r="ANN39" s="25"/>
      <c r="ANO39" s="25"/>
      <c r="ANP39" s="25"/>
      <c r="ANQ39" s="25"/>
      <c r="ANR39" s="25"/>
      <c r="ANS39" s="25"/>
      <c r="ANT39" s="25"/>
      <c r="ANU39" s="25"/>
      <c r="AOC39" s="25"/>
      <c r="AOD39" s="25"/>
      <c r="AOE39" s="25"/>
      <c r="AOF39" s="25"/>
      <c r="AOG39" s="25"/>
      <c r="AOH39" s="25"/>
      <c r="AOI39" s="25"/>
      <c r="AOJ39" s="25"/>
      <c r="AOK39" s="25"/>
      <c r="AOL39" s="25"/>
      <c r="AOM39" s="25"/>
      <c r="AON39" s="25"/>
      <c r="AOO39" s="25"/>
      <c r="AOP39" s="25"/>
      <c r="AOX39" s="25"/>
      <c r="AOY39" s="25"/>
      <c r="AOZ39" s="25"/>
      <c r="APA39" s="25"/>
      <c r="APB39" s="25"/>
      <c r="APC39" s="25"/>
      <c r="APD39" s="25"/>
      <c r="APE39" s="25"/>
      <c r="APF39" s="25"/>
      <c r="APG39" s="25"/>
      <c r="APH39" s="25"/>
      <c r="API39" s="25"/>
      <c r="APJ39" s="25"/>
      <c r="APK39" s="25"/>
      <c r="APS39" s="25"/>
      <c r="APT39" s="25"/>
      <c r="APU39" s="25"/>
      <c r="APV39" s="25"/>
      <c r="APW39" s="25"/>
      <c r="APX39" s="25"/>
      <c r="APY39" s="25"/>
      <c r="APZ39" s="25"/>
      <c r="AQA39" s="25"/>
      <c r="AQB39" s="25"/>
      <c r="AQC39" s="25"/>
      <c r="AQD39" s="25"/>
      <c r="AQE39" s="25"/>
      <c r="AQF39" s="25"/>
      <c r="AQJ39" s="25" t="s">
        <v>8597</v>
      </c>
      <c r="AQK39" s="25" t="s">
        <v>8598</v>
      </c>
      <c r="AQL39" s="25" t="s">
        <v>8599</v>
      </c>
      <c r="AQM39" s="56">
        <v>2000</v>
      </c>
      <c r="AQN39" s="56">
        <v>4000</v>
      </c>
      <c r="AQS39" s="25" t="s">
        <v>8600</v>
      </c>
      <c r="AQT39" s="56">
        <v>200</v>
      </c>
      <c r="AQU39" s="56">
        <v>400</v>
      </c>
      <c r="AQX39" s="25" t="s">
        <v>8248</v>
      </c>
      <c r="ARK39" s="25" t="s">
        <v>8249</v>
      </c>
      <c r="ATX39" s="25" t="s">
        <v>25</v>
      </c>
      <c r="ATY39" s="25" t="s">
        <v>28</v>
      </c>
      <c r="ATZ39" s="25" t="s">
        <v>25</v>
      </c>
      <c r="AUA39" s="25" t="s">
        <v>25</v>
      </c>
      <c r="AUC39" s="25" t="s">
        <v>13417</v>
      </c>
      <c r="AUE39" s="56">
        <v>20</v>
      </c>
      <c r="AUF39" s="56">
        <v>30</v>
      </c>
      <c r="AUG39" s="56">
        <v>20</v>
      </c>
      <c r="AUH39" s="56">
        <v>150</v>
      </c>
      <c r="AUI39" s="56">
        <v>20</v>
      </c>
      <c r="AUJ39" s="56">
        <v>0</v>
      </c>
      <c r="AVN39" s="25" t="s">
        <v>13593</v>
      </c>
      <c r="AVO39" s="25" t="s">
        <v>13593</v>
      </c>
      <c r="AVP39" s="25" t="s">
        <v>13593</v>
      </c>
      <c r="AVU39" s="25" t="s">
        <v>13810</v>
      </c>
      <c r="AVV39" s="25" t="s">
        <v>13810</v>
      </c>
      <c r="AVW39" s="25" t="s">
        <v>13810</v>
      </c>
      <c r="AVX39" s="25" t="s">
        <v>13810</v>
      </c>
      <c r="AVY39" s="25" t="s">
        <v>13810</v>
      </c>
      <c r="AVZ39" s="25" t="s">
        <v>13810</v>
      </c>
      <c r="AWA39" s="25" t="s">
        <v>13810</v>
      </c>
      <c r="AWB39" s="25" t="s">
        <v>631</v>
      </c>
      <c r="AWC39" s="25" t="s">
        <v>631</v>
      </c>
      <c r="AWD39" s="25" t="s">
        <v>631</v>
      </c>
      <c r="AWE39" s="25" t="s">
        <v>8595</v>
      </c>
      <c r="AWF39" s="25" t="s">
        <v>8595</v>
      </c>
      <c r="AWG39" s="25" t="s">
        <v>8595</v>
      </c>
      <c r="AWH39" s="25" t="s">
        <v>8595</v>
      </c>
      <c r="AWI39" s="25" t="s">
        <v>8320</v>
      </c>
      <c r="AWJ39" s="25" t="s">
        <v>8595</v>
      </c>
      <c r="AWK39" s="25" t="s">
        <v>8595</v>
      </c>
      <c r="AWN39" s="56">
        <v>10</v>
      </c>
      <c r="AWP39" s="56">
        <v>20</v>
      </c>
      <c r="AWR39" s="56">
        <v>30</v>
      </c>
      <c r="AWT39" s="56">
        <v>60</v>
      </c>
      <c r="AWV39" s="56">
        <v>30</v>
      </c>
      <c r="AWX39" s="56">
        <v>60</v>
      </c>
      <c r="BAV39" s="25" t="s">
        <v>8255</v>
      </c>
      <c r="BAW39" s="25" t="s">
        <v>8256</v>
      </c>
      <c r="BAX39" s="25" t="s">
        <v>8321</v>
      </c>
      <c r="BAY39" s="25">
        <v>0</v>
      </c>
      <c r="BBB39" s="25"/>
      <c r="BBC39" s="25"/>
      <c r="BBD39" s="25"/>
      <c r="BBE39" s="25"/>
      <c r="BBF39" s="25"/>
      <c r="BBG39" s="25"/>
      <c r="BBI39" s="25"/>
      <c r="BBJ39" s="25"/>
      <c r="BBK39" s="25"/>
      <c r="BBL39" s="25"/>
      <c r="BET39" s="25"/>
      <c r="BEU39" s="25"/>
      <c r="BEV39" s="25"/>
      <c r="BEW39" s="25"/>
      <c r="BEX39" s="25"/>
      <c r="BEY39" s="25"/>
      <c r="BEZ39" s="25"/>
      <c r="BFH39" s="25"/>
      <c r="BFI39" s="25"/>
      <c r="BFJ39" s="25"/>
      <c r="BFK39" s="25"/>
      <c r="BFL39" s="25"/>
      <c r="BFM39" s="25"/>
      <c r="BFN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L39" s="25"/>
      <c r="BIM39" s="25"/>
      <c r="BIN39" s="25"/>
      <c r="BIO39" s="25"/>
      <c r="BIP39" s="25"/>
      <c r="BIQ39" s="25"/>
      <c r="BIR39" s="25"/>
      <c r="BIS39" s="25"/>
      <c r="BIT39" s="25"/>
      <c r="BIU39" s="25"/>
      <c r="BIV39" s="25"/>
      <c r="BIW39" s="25"/>
      <c r="BIX39" s="25"/>
      <c r="BIY39" s="25"/>
      <c r="BJG39" s="25"/>
      <c r="BJH39" s="25"/>
      <c r="BJI39" s="25"/>
      <c r="BJJ39" s="25"/>
      <c r="BJK39" s="25"/>
      <c r="BJL39" s="25"/>
      <c r="BJM39" s="25"/>
      <c r="BJN39" s="25"/>
      <c r="BJO39" s="25"/>
      <c r="BJP39" s="25"/>
      <c r="BJQ39" s="25"/>
      <c r="BJR39" s="25"/>
      <c r="BJS39" s="25"/>
      <c r="BJT39" s="25"/>
      <c r="BKB39" s="25"/>
      <c r="BKC39" s="25"/>
      <c r="BKD39" s="25"/>
      <c r="BKE39" s="25"/>
      <c r="BKF39" s="25"/>
      <c r="BKG39" s="25"/>
      <c r="BKH39" s="25"/>
      <c r="BKI39" s="25"/>
      <c r="BKJ39" s="25"/>
      <c r="BKK39" s="25"/>
      <c r="BKL39" s="25"/>
      <c r="BKM39" s="25"/>
      <c r="BKN39" s="25"/>
      <c r="BKO39" s="25"/>
      <c r="BKW39" s="25"/>
      <c r="BKX39" s="25"/>
      <c r="BKY39" s="25"/>
      <c r="BKZ39" s="25"/>
      <c r="BLA39" s="25"/>
      <c r="BLB39" s="25"/>
      <c r="BLC39" s="25"/>
      <c r="BLD39" s="25"/>
      <c r="BLE39" s="25"/>
      <c r="BLF39" s="25"/>
      <c r="BLG39" s="25"/>
      <c r="BLH39" s="25"/>
      <c r="BLI39" s="25"/>
      <c r="BLJ39" s="25"/>
      <c r="BLN39" s="25">
        <v>0</v>
      </c>
      <c r="BLQ39" s="25"/>
      <c r="BLR39" s="25"/>
      <c r="BLS39" s="25"/>
      <c r="BLT39" s="25"/>
      <c r="BLU39" s="25"/>
      <c r="BLV39" s="25"/>
      <c r="BLX39" s="25"/>
      <c r="BLY39" s="25"/>
      <c r="BLZ39" s="25"/>
      <c r="BMA39" s="25"/>
      <c r="BPI39" s="25"/>
      <c r="BPJ39" s="25"/>
      <c r="BPK39" s="25"/>
      <c r="BPL39" s="25"/>
      <c r="BPM39" s="25"/>
      <c r="BPN39" s="25"/>
      <c r="BPO39" s="25"/>
      <c r="BPW39" s="25"/>
      <c r="BPX39" s="25"/>
      <c r="BPY39" s="25"/>
      <c r="BPZ39" s="25"/>
      <c r="BQA39" s="25"/>
      <c r="BQB39" s="25"/>
      <c r="BQC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TA39" s="25"/>
      <c r="BTB39" s="25"/>
      <c r="BTC39" s="25"/>
      <c r="BTD39" s="25"/>
      <c r="BTE39" s="25"/>
      <c r="BTF39" s="25"/>
      <c r="BTG39" s="25"/>
      <c r="BTH39" s="25"/>
      <c r="BTI39" s="25"/>
      <c r="BTJ39" s="25"/>
      <c r="BTK39" s="25"/>
      <c r="BTL39" s="25"/>
      <c r="BTM39" s="25"/>
      <c r="BTN39" s="25"/>
      <c r="BUQ39" s="25"/>
      <c r="BUR39" s="25"/>
      <c r="BUS39" s="25"/>
      <c r="BUT39" s="25"/>
      <c r="BUU39" s="25"/>
      <c r="BUV39" s="25"/>
      <c r="BUW39" s="25"/>
      <c r="BUX39" s="25"/>
      <c r="BUY39" s="25"/>
      <c r="BUZ39" s="25"/>
      <c r="BVA39" s="25"/>
      <c r="BVB39" s="25"/>
      <c r="BVC39" s="25"/>
      <c r="BVD39" s="25"/>
      <c r="BWC39" s="25" t="s">
        <v>28</v>
      </c>
      <c r="BWD39" s="25" t="s">
        <v>8265</v>
      </c>
      <c r="BWE39" s="25" t="s">
        <v>8357</v>
      </c>
      <c r="BWF39" s="25" t="s">
        <v>13709</v>
      </c>
      <c r="BWG39" s="25" t="s">
        <v>25</v>
      </c>
      <c r="BWH39" s="25" t="s">
        <v>2169</v>
      </c>
      <c r="BWI39" s="25" t="s">
        <v>28</v>
      </c>
      <c r="BWJ39" s="25" t="s">
        <v>8267</v>
      </c>
      <c r="BWK39" s="25" t="s">
        <v>25</v>
      </c>
      <c r="BWM39" s="25" t="s">
        <v>28</v>
      </c>
      <c r="BWN39" s="56">
        <v>1000</v>
      </c>
      <c r="BWO39" s="25" t="s">
        <v>25</v>
      </c>
      <c r="BWQ39" s="25" t="s">
        <v>28</v>
      </c>
      <c r="BWR39" s="25" t="s">
        <v>25</v>
      </c>
      <c r="BWT39" s="25" t="s">
        <v>25</v>
      </c>
      <c r="BWV39" s="25" t="s">
        <v>25</v>
      </c>
      <c r="BWX39" s="25" t="s">
        <v>28</v>
      </c>
      <c r="BWY39" s="25" t="s">
        <v>8358</v>
      </c>
      <c r="BWZ39" s="25" t="s">
        <v>28</v>
      </c>
      <c r="BXA39" s="56">
        <v>20</v>
      </c>
      <c r="BXB39" s="25" t="s">
        <v>28</v>
      </c>
      <c r="BXC39" s="56">
        <v>20</v>
      </c>
      <c r="BXD39" s="25" t="s">
        <v>28</v>
      </c>
      <c r="BXE39" s="25" t="s">
        <v>8358</v>
      </c>
      <c r="BXF39" s="25" t="s">
        <v>28</v>
      </c>
      <c r="BXG39" s="56">
        <v>20</v>
      </c>
      <c r="BXH39" s="25" t="s">
        <v>28</v>
      </c>
      <c r="BXI39" s="56">
        <v>20</v>
      </c>
      <c r="BXJ39" s="25" t="s">
        <v>28</v>
      </c>
      <c r="BXK39" s="25" t="s">
        <v>8270</v>
      </c>
      <c r="BXL39" s="25" t="s">
        <v>13821</v>
      </c>
      <c r="BXM39" s="25" t="s">
        <v>2201</v>
      </c>
      <c r="BXN39" s="25" t="s">
        <v>8272</v>
      </c>
      <c r="BXO39" s="25" t="s">
        <v>8274</v>
      </c>
      <c r="BXP39" s="25" t="s">
        <v>8274</v>
      </c>
      <c r="BXQ39" s="25" t="s">
        <v>8274</v>
      </c>
      <c r="BXR39" s="25" t="s">
        <v>8274</v>
      </c>
      <c r="BXS39" s="25" t="s">
        <v>8361</v>
      </c>
      <c r="BXT39" s="25" t="s">
        <v>8275</v>
      </c>
      <c r="BXU39" s="25" t="s">
        <v>25</v>
      </c>
      <c r="BXW39" s="25" t="s">
        <v>28</v>
      </c>
      <c r="BXX39" s="25" t="s">
        <v>28</v>
      </c>
      <c r="BXY39" s="25" t="s">
        <v>25</v>
      </c>
      <c r="BXZ39" s="25" t="s">
        <v>25</v>
      </c>
      <c r="BYA39" s="25" t="s">
        <v>25</v>
      </c>
      <c r="BYB39" s="25" t="s">
        <v>25</v>
      </c>
      <c r="BYC39" s="25" t="s">
        <v>2169</v>
      </c>
      <c r="BYD39" s="25" t="s">
        <v>28</v>
      </c>
      <c r="BYE39" s="25" t="s">
        <v>13613</v>
      </c>
      <c r="BYF39" s="25" t="s">
        <v>8277</v>
      </c>
      <c r="BYH39" s="25" t="s">
        <v>8515</v>
      </c>
      <c r="BYK39" s="25" t="s">
        <v>8333</v>
      </c>
      <c r="BYL39" s="25" t="s">
        <v>28</v>
      </c>
      <c r="BYM39" s="25">
        <v>60</v>
      </c>
      <c r="BYN39" s="25" t="s">
        <v>28</v>
      </c>
      <c r="BYO39" s="25">
        <v>60</v>
      </c>
      <c r="BYP39" s="25" t="s">
        <v>25</v>
      </c>
      <c r="BYR39" s="25" t="s">
        <v>28</v>
      </c>
      <c r="BYS39" s="25" t="s">
        <v>8279</v>
      </c>
      <c r="BYT39" s="25" t="s">
        <v>8279</v>
      </c>
      <c r="BYU39" s="25" t="s">
        <v>732</v>
      </c>
      <c r="BYV39" s="25" t="s">
        <v>25</v>
      </c>
      <c r="BYW39" s="25" t="s">
        <v>28</v>
      </c>
      <c r="BYX39" s="56">
        <v>500</v>
      </c>
      <c r="BYY39" s="56">
        <v>1000</v>
      </c>
      <c r="BYZ39" s="25" t="s">
        <v>8408</v>
      </c>
      <c r="BZA39" s="25" t="s">
        <v>8601</v>
      </c>
      <c r="BZB39" s="25" t="s">
        <v>2354</v>
      </c>
      <c r="BZD39" s="25" t="s">
        <v>28</v>
      </c>
      <c r="BZE39" s="25" t="s">
        <v>28</v>
      </c>
      <c r="BZF39" s="25" t="s">
        <v>28</v>
      </c>
      <c r="BZG39" s="25" t="s">
        <v>28</v>
      </c>
      <c r="BZH39" s="56">
        <v>0</v>
      </c>
      <c r="BZI39" s="56">
        <v>0</v>
      </c>
      <c r="BZJ39" s="25" t="s">
        <v>28</v>
      </c>
      <c r="BZK39" s="25" t="s">
        <v>8410</v>
      </c>
      <c r="BZM39" s="25" t="s">
        <v>25</v>
      </c>
      <c r="BZR39" s="25" t="s">
        <v>28</v>
      </c>
      <c r="BZS39" s="25" t="s">
        <v>25</v>
      </c>
      <c r="BZT39" s="25" t="s">
        <v>8468</v>
      </c>
      <c r="BZV39" s="25" t="s">
        <v>13638</v>
      </c>
      <c r="BZX39" s="25" t="s">
        <v>8368</v>
      </c>
      <c r="BZZ39" s="25" t="s">
        <v>25</v>
      </c>
      <c r="CAC39" s="25" t="s">
        <v>28</v>
      </c>
      <c r="CAD39" s="25" t="s">
        <v>8288</v>
      </c>
      <c r="CAE39" s="25" t="s">
        <v>28</v>
      </c>
      <c r="CAF39" s="25" t="s">
        <v>8289</v>
      </c>
      <c r="CAG39" s="25" t="s">
        <v>25</v>
      </c>
      <c r="CAH39" s="25" t="s">
        <v>631</v>
      </c>
      <c r="CAI39" s="25" t="s">
        <v>631</v>
      </c>
      <c r="CAJ39" s="25" t="s">
        <v>631</v>
      </c>
      <c r="CAK39" s="25" t="s">
        <v>631</v>
      </c>
      <c r="CAL39" s="25" t="s">
        <v>8290</v>
      </c>
      <c r="CAM39" s="25" t="s">
        <v>8290</v>
      </c>
      <c r="CAN39" s="25" t="s">
        <v>247</v>
      </c>
      <c r="CAO39" s="25" t="s">
        <v>8290</v>
      </c>
      <c r="CAP39" s="25" t="s">
        <v>8290</v>
      </c>
      <c r="CAR39" s="25" t="s">
        <v>8602</v>
      </c>
      <c r="CAS39" s="25" t="s">
        <v>8603</v>
      </c>
      <c r="CAT39" s="25" t="s">
        <v>28</v>
      </c>
      <c r="CAU39" s="25" t="s">
        <v>8604</v>
      </c>
      <c r="CAV39" s="25" t="s">
        <v>8456</v>
      </c>
      <c r="CAW39" s="25" t="s">
        <v>8441</v>
      </c>
      <c r="CAX39" s="25" t="s">
        <v>8415</v>
      </c>
      <c r="CBA39" s="25" t="s">
        <v>8605</v>
      </c>
      <c r="CBB39" s="25">
        <v>1</v>
      </c>
      <c r="CBC39" s="25">
        <v>0</v>
      </c>
      <c r="CBD39" s="25">
        <v>0</v>
      </c>
      <c r="CBE39" s="56">
        <v>50</v>
      </c>
      <c r="CBF39" s="56">
        <v>150</v>
      </c>
      <c r="CBG39" s="56">
        <v>50</v>
      </c>
      <c r="CBH39" s="56">
        <v>150</v>
      </c>
      <c r="CBI39" s="56">
        <v>1750</v>
      </c>
      <c r="CBK39" s="56">
        <v>1500</v>
      </c>
      <c r="CBM39" s="26">
        <v>0</v>
      </c>
      <c r="CBN39" s="26">
        <v>0.1</v>
      </c>
      <c r="CBO39" s="26">
        <v>0.1</v>
      </c>
      <c r="CBP39" s="26">
        <v>0.2</v>
      </c>
      <c r="CBQ39" s="26">
        <v>0.4</v>
      </c>
      <c r="CBR39" s="26">
        <v>0.5</v>
      </c>
      <c r="CBS39" s="26">
        <v>0.5</v>
      </c>
      <c r="CBT39" s="26">
        <v>0.5</v>
      </c>
      <c r="CBU39" s="27" t="s">
        <v>28</v>
      </c>
      <c r="CBV39" s="27" t="s">
        <v>8369</v>
      </c>
      <c r="CBW39" s="27" t="s">
        <v>8370</v>
      </c>
      <c r="CBX39" s="27" t="s">
        <v>8418</v>
      </c>
      <c r="CBY39" s="27" t="s">
        <v>8296</v>
      </c>
      <c r="CBZ39" s="27" t="s">
        <v>8297</v>
      </c>
      <c r="CCA39" s="27" t="s">
        <v>8297</v>
      </c>
      <c r="CCB39" s="27" t="s">
        <v>8298</v>
      </c>
      <c r="CCC39" s="27" t="s">
        <v>8296</v>
      </c>
      <c r="CCD39" s="27" t="s">
        <v>8297</v>
      </c>
      <c r="CCE39" s="27" t="s">
        <v>29</v>
      </c>
      <c r="CCF39" s="27" t="s">
        <v>29</v>
      </c>
      <c r="CCG39" s="27" t="s">
        <v>8297</v>
      </c>
      <c r="CCH39" s="27" t="s">
        <v>8296</v>
      </c>
      <c r="CCI39" s="27" t="s">
        <v>8298</v>
      </c>
      <c r="CCJ39" s="27" t="s">
        <v>8298</v>
      </c>
      <c r="CCK39" s="27" t="s">
        <v>8299</v>
      </c>
      <c r="CCL39" s="27" t="s">
        <v>8297</v>
      </c>
      <c r="CCM39" s="27" t="s">
        <v>8296</v>
      </c>
      <c r="CCN39" s="27" t="s">
        <v>8296</v>
      </c>
      <c r="CCO39" s="27" t="s">
        <v>8300</v>
      </c>
      <c r="CCP39" s="27" t="s">
        <v>8297</v>
      </c>
      <c r="CCQ39" s="27" t="s">
        <v>29</v>
      </c>
      <c r="CCR39" s="27" t="s">
        <v>8297</v>
      </c>
      <c r="CCS39" s="27" t="s">
        <v>8298</v>
      </c>
      <c r="CCT39" s="27" t="s">
        <v>8296</v>
      </c>
      <c r="CCU39" s="27" t="s">
        <v>8298</v>
      </c>
      <c r="CCV39" s="27" t="s">
        <v>8298</v>
      </c>
      <c r="CCW39" s="27" t="s">
        <v>8298</v>
      </c>
      <c r="CCX39" s="27" t="s">
        <v>8298</v>
      </c>
      <c r="CCY39" s="27" t="s">
        <v>8298</v>
      </c>
      <c r="CCZ39" s="27" t="s">
        <v>28</v>
      </c>
      <c r="CDA39" s="27" t="s">
        <v>28</v>
      </c>
      <c r="CDB39" s="27" t="s">
        <v>28</v>
      </c>
      <c r="CDC39" s="27" t="s">
        <v>28</v>
      </c>
      <c r="CDD39" s="27" t="s">
        <v>28</v>
      </c>
      <c r="CDE39" s="27" t="s">
        <v>28</v>
      </c>
      <c r="CDF39" s="27" t="s">
        <v>28</v>
      </c>
      <c r="CDG39" s="27" t="s">
        <v>28</v>
      </c>
      <c r="CDH39" s="27" t="s">
        <v>28</v>
      </c>
      <c r="CDI39" s="27" t="s">
        <v>28</v>
      </c>
      <c r="CDJ39" s="27" t="s">
        <v>28</v>
      </c>
      <c r="CDK39" s="27" t="s">
        <v>28</v>
      </c>
      <c r="CDL39" s="27" t="s">
        <v>28</v>
      </c>
      <c r="CDM39" s="27" t="s">
        <v>28</v>
      </c>
      <c r="CDN39" s="27" t="s">
        <v>28</v>
      </c>
      <c r="CDO39" s="27" t="s">
        <v>28</v>
      </c>
      <c r="CDP39" s="27" t="s">
        <v>28</v>
      </c>
      <c r="CDQ39" s="27" t="s">
        <v>28</v>
      </c>
      <c r="CDR39" s="27" t="s">
        <v>28</v>
      </c>
      <c r="CDS39" s="27" t="s">
        <v>28</v>
      </c>
      <c r="CDT39" s="27" t="s">
        <v>28</v>
      </c>
      <c r="CDU39" s="27" t="s">
        <v>28</v>
      </c>
      <c r="CDV39" s="27" t="s">
        <v>28</v>
      </c>
      <c r="CDW39" s="27" t="s">
        <v>28</v>
      </c>
      <c r="CDX39" s="27" t="s">
        <v>28</v>
      </c>
      <c r="CDY39" s="27" t="s">
        <v>28</v>
      </c>
      <c r="CDZ39" s="27" t="s">
        <v>28</v>
      </c>
      <c r="CEA39" s="27" t="s">
        <v>8305</v>
      </c>
      <c r="CEB39" s="27" t="s">
        <v>2673</v>
      </c>
      <c r="CEC39" s="27" t="s">
        <v>8301</v>
      </c>
      <c r="CED39" s="27" t="s">
        <v>8302</v>
      </c>
      <c r="CEE39" s="27" t="s">
        <v>8305</v>
      </c>
      <c r="CEF39" s="27" t="s">
        <v>8301</v>
      </c>
      <c r="CEG39" s="27" t="s">
        <v>2673</v>
      </c>
      <c r="CEH39" s="27" t="s">
        <v>8303</v>
      </c>
      <c r="CEI39" s="27" t="s">
        <v>8301</v>
      </c>
      <c r="CEJ39" s="27" t="s">
        <v>2673</v>
      </c>
      <c r="CEK39" s="27" t="s">
        <v>8302</v>
      </c>
      <c r="CEL39" s="27" t="s">
        <v>2673</v>
      </c>
      <c r="CEM39" s="27" t="s">
        <v>8301</v>
      </c>
      <c r="CEN39" s="27" t="s">
        <v>8301</v>
      </c>
      <c r="CEO39" s="27" t="s">
        <v>8305</v>
      </c>
      <c r="CEP39" s="27" t="s">
        <v>2673</v>
      </c>
      <c r="CEQ39" s="27" t="s">
        <v>8304</v>
      </c>
      <c r="CER39" s="27" t="s">
        <v>8421</v>
      </c>
      <c r="CES39" s="27" t="s">
        <v>2673</v>
      </c>
      <c r="CET39" s="27" t="s">
        <v>8304</v>
      </c>
      <c r="CEU39" s="27" t="s">
        <v>2673</v>
      </c>
      <c r="CEV39" s="27" t="s">
        <v>2673</v>
      </c>
      <c r="CEW39" s="27" t="s">
        <v>8301</v>
      </c>
      <c r="CEX39" s="27" t="s">
        <v>8302</v>
      </c>
      <c r="CEY39" s="27" t="s">
        <v>8302</v>
      </c>
      <c r="CEZ39" s="27" t="s">
        <v>8301</v>
      </c>
      <c r="CFA39" s="27" t="s">
        <v>8302</v>
      </c>
      <c r="CFB39" s="27" t="s">
        <v>25</v>
      </c>
      <c r="CFC39" s="27" t="s">
        <v>25</v>
      </c>
      <c r="CFD39" s="27" t="s">
        <v>25</v>
      </c>
      <c r="CFE39" s="27" t="s">
        <v>25</v>
      </c>
      <c r="CFF39" s="27" t="s">
        <v>25</v>
      </c>
      <c r="CFG39" s="27" t="s">
        <v>25</v>
      </c>
      <c r="CFH39" s="27" t="s">
        <v>25</v>
      </c>
      <c r="CFI39" s="27" t="s">
        <v>25</v>
      </c>
      <c r="CFJ39" s="27" t="s">
        <v>25</v>
      </c>
      <c r="CFK39" s="27" t="s">
        <v>25</v>
      </c>
      <c r="CFL39" s="27" t="s">
        <v>25</v>
      </c>
      <c r="CFM39" s="27" t="s">
        <v>25</v>
      </c>
      <c r="CFN39" s="27" t="s">
        <v>25</v>
      </c>
      <c r="CFO39" s="27" t="s">
        <v>25</v>
      </c>
      <c r="CFP39" s="27" t="s">
        <v>25</v>
      </c>
      <c r="CFQ39" s="27" t="s">
        <v>25</v>
      </c>
      <c r="CFR39" s="27" t="s">
        <v>25</v>
      </c>
      <c r="CFS39" s="27" t="s">
        <v>25</v>
      </c>
      <c r="CFT39" s="27" t="s">
        <v>25</v>
      </c>
      <c r="CFU39" s="27" t="s">
        <v>25</v>
      </c>
      <c r="CFV39" s="27" t="s">
        <v>25</v>
      </c>
      <c r="CFW39" s="27" t="s">
        <v>25</v>
      </c>
      <c r="CFX39" s="27" t="s">
        <v>28</v>
      </c>
      <c r="CFY39" s="27" t="s">
        <v>25</v>
      </c>
      <c r="CFZ39" s="27" t="s">
        <v>25</v>
      </c>
      <c r="CGA39" s="27" t="s">
        <v>25</v>
      </c>
      <c r="CGB39" s="27" t="s">
        <v>25</v>
      </c>
      <c r="CPW39" s="27">
        <v>0</v>
      </c>
      <c r="CQQ39" s="25" t="s">
        <v>8606</v>
      </c>
      <c r="CQS39" s="25" t="s">
        <v>25</v>
      </c>
      <c r="CQT39" s="25" t="s">
        <v>8312</v>
      </c>
      <c r="CQU39" s="25" t="s">
        <v>8312</v>
      </c>
      <c r="CQV39" s="25" t="s">
        <v>8312</v>
      </c>
      <c r="CQW39" s="25" t="s">
        <v>8312</v>
      </c>
      <c r="CQX39" s="25" t="s">
        <v>8312</v>
      </c>
      <c r="CQY39" s="25" t="s">
        <v>8312</v>
      </c>
      <c r="CQZ39" s="25" t="s">
        <v>8312</v>
      </c>
      <c r="CRA39" s="25" t="s">
        <v>8314</v>
      </c>
      <c r="CRB39" s="25" t="s">
        <v>8314</v>
      </c>
      <c r="CRC39" s="25" t="s">
        <v>8312</v>
      </c>
      <c r="CRD39" s="25" t="s">
        <v>8312</v>
      </c>
      <c r="CRE39" s="27" t="s">
        <v>8312</v>
      </c>
    </row>
    <row r="40" spans="1:2048 2050:2501" ht="114.75" x14ac:dyDescent="0.2">
      <c r="A40" s="21" t="s">
        <v>137</v>
      </c>
      <c r="B40" s="26">
        <v>0.31</v>
      </c>
      <c r="C40" s="26">
        <v>0.23</v>
      </c>
      <c r="D40" s="26">
        <v>0.06</v>
      </c>
      <c r="E40" s="26">
        <v>0.15</v>
      </c>
      <c r="F40" s="26">
        <v>0</v>
      </c>
      <c r="G40" s="26">
        <v>0.14000000000000001</v>
      </c>
      <c r="H40" s="26">
        <v>0</v>
      </c>
      <c r="I40" s="26">
        <v>0</v>
      </c>
      <c r="J40" s="26">
        <v>0</v>
      </c>
      <c r="K40" s="26">
        <v>0</v>
      </c>
      <c r="L40" s="26">
        <v>0</v>
      </c>
      <c r="M40" s="26">
        <v>0.11</v>
      </c>
      <c r="N40" s="26">
        <v>0.31</v>
      </c>
      <c r="O40" s="26">
        <v>0.23</v>
      </c>
      <c r="P40" s="26">
        <v>0.06</v>
      </c>
      <c r="Q40" s="26">
        <v>0.15</v>
      </c>
      <c r="R40" s="26">
        <v>0</v>
      </c>
      <c r="S40" s="26">
        <v>0.14000000000000001</v>
      </c>
      <c r="T40" s="26">
        <v>0</v>
      </c>
      <c r="U40" s="26">
        <v>0</v>
      </c>
      <c r="V40" s="26">
        <v>0</v>
      </c>
      <c r="W40" s="26">
        <v>0</v>
      </c>
      <c r="X40" s="26">
        <v>0</v>
      </c>
      <c r="Y40" s="26">
        <v>0.11</v>
      </c>
      <c r="Z40" s="25">
        <v>6</v>
      </c>
      <c r="AA40" s="25" t="s">
        <v>8617</v>
      </c>
      <c r="AB40" s="25" t="s">
        <v>8618</v>
      </c>
      <c r="AC40" s="56">
        <v>3150</v>
      </c>
      <c r="AD40" s="56">
        <v>9450</v>
      </c>
      <c r="AE40" s="56">
        <v>6150</v>
      </c>
      <c r="AF40" s="56">
        <v>18450</v>
      </c>
      <c r="AH40" s="56">
        <v>18450</v>
      </c>
      <c r="AI40" s="25" t="s">
        <v>8246</v>
      </c>
      <c r="AJ40" s="56">
        <v>1700</v>
      </c>
      <c r="AK40" s="56">
        <v>5100</v>
      </c>
      <c r="AL40" s="56">
        <v>2500</v>
      </c>
      <c r="AM40" s="56">
        <v>7500</v>
      </c>
      <c r="AN40" s="25" t="s">
        <v>8350</v>
      </c>
      <c r="AO40" s="25" t="s">
        <v>8248</v>
      </c>
      <c r="BB40" s="25" t="s">
        <v>8249</v>
      </c>
      <c r="DO40" s="25" t="s">
        <v>25</v>
      </c>
      <c r="DP40" s="25" t="s">
        <v>28</v>
      </c>
      <c r="DQ40" s="25" t="s">
        <v>25</v>
      </c>
      <c r="DR40" s="25" t="s">
        <v>25</v>
      </c>
      <c r="DT40" s="25" t="s">
        <v>13417</v>
      </c>
      <c r="DU40" s="25" t="s">
        <v>13417</v>
      </c>
      <c r="DV40" s="56">
        <v>20</v>
      </c>
      <c r="DW40" s="56">
        <v>45</v>
      </c>
      <c r="DX40" s="56">
        <v>20</v>
      </c>
      <c r="DY40" s="56">
        <v>200</v>
      </c>
      <c r="DZ40" s="56">
        <v>50</v>
      </c>
      <c r="EA40" s="56">
        <v>0</v>
      </c>
      <c r="EC40" s="26">
        <v>0</v>
      </c>
      <c r="ED40" s="26">
        <v>0</v>
      </c>
      <c r="EE40" s="26">
        <v>0</v>
      </c>
      <c r="EF40" s="26">
        <v>0.1</v>
      </c>
      <c r="EG40" s="26">
        <v>0</v>
      </c>
      <c r="EH40" s="26">
        <v>0</v>
      </c>
      <c r="EJ40" s="56">
        <v>0</v>
      </c>
      <c r="EK40" s="56">
        <v>0</v>
      </c>
      <c r="EL40" s="56">
        <v>0</v>
      </c>
      <c r="EM40" s="56">
        <v>200</v>
      </c>
      <c r="EN40" s="56">
        <v>50</v>
      </c>
      <c r="EO40" s="56">
        <v>0</v>
      </c>
      <c r="EQ40" s="26">
        <v>0.4</v>
      </c>
      <c r="ER40" s="26">
        <v>0.4</v>
      </c>
      <c r="ES40" s="26">
        <v>0.4</v>
      </c>
      <c r="ET40" s="26">
        <v>0.1</v>
      </c>
      <c r="EU40" s="26">
        <v>0</v>
      </c>
      <c r="EV40" s="26">
        <v>0</v>
      </c>
      <c r="EX40" s="25" t="s">
        <v>8250</v>
      </c>
      <c r="EY40" s="25" t="s">
        <v>8250</v>
      </c>
      <c r="EZ40" s="25" t="s">
        <v>8250</v>
      </c>
      <c r="FA40" s="25" t="s">
        <v>8250</v>
      </c>
      <c r="FB40" s="25" t="s">
        <v>8250</v>
      </c>
      <c r="FC40" s="25" t="s">
        <v>8261</v>
      </c>
      <c r="FE40" s="25" t="s">
        <v>25</v>
      </c>
      <c r="FF40" s="25" t="s">
        <v>25</v>
      </c>
      <c r="FG40" s="25" t="s">
        <v>25</v>
      </c>
      <c r="FH40" s="25" t="s">
        <v>25</v>
      </c>
      <c r="FI40" s="25" t="s">
        <v>25</v>
      </c>
      <c r="FJ40" s="25" t="s">
        <v>25</v>
      </c>
      <c r="FL40" s="25" t="s">
        <v>13810</v>
      </c>
      <c r="FM40" s="25" t="s">
        <v>13810</v>
      </c>
      <c r="FN40" s="25" t="s">
        <v>13810</v>
      </c>
      <c r="FO40" s="25" t="s">
        <v>13810</v>
      </c>
      <c r="FP40" s="25" t="s">
        <v>13810</v>
      </c>
      <c r="FQ40" s="25" t="s">
        <v>13810</v>
      </c>
      <c r="FR40" s="25" t="s">
        <v>13810</v>
      </c>
      <c r="FS40" s="25" t="s">
        <v>631</v>
      </c>
      <c r="FT40" s="25" t="s">
        <v>631</v>
      </c>
      <c r="FV40" s="25" t="s">
        <v>8619</v>
      </c>
      <c r="FW40" s="25" t="s">
        <v>8619</v>
      </c>
      <c r="FX40" s="25" t="s">
        <v>13435</v>
      </c>
      <c r="FY40" s="25" t="s">
        <v>13446</v>
      </c>
      <c r="FZ40" s="25" t="s">
        <v>8619</v>
      </c>
      <c r="GA40" s="25" t="s">
        <v>8619</v>
      </c>
      <c r="GE40" s="56">
        <v>10</v>
      </c>
      <c r="GG40" s="56">
        <v>20</v>
      </c>
      <c r="GI40" s="56">
        <v>40</v>
      </c>
      <c r="GK40" s="56">
        <v>100</v>
      </c>
      <c r="GM40" s="56">
        <v>55</v>
      </c>
      <c r="GO40" s="56">
        <v>140</v>
      </c>
      <c r="GQ40" s="56">
        <v>100</v>
      </c>
      <c r="GS40" s="56">
        <v>250</v>
      </c>
      <c r="KM40" s="25" t="s">
        <v>8352</v>
      </c>
      <c r="KN40" s="25" t="s">
        <v>8256</v>
      </c>
      <c r="KO40" s="25" t="s">
        <v>8263</v>
      </c>
      <c r="KP40" s="25">
        <v>3</v>
      </c>
      <c r="KQ40" s="25" t="s">
        <v>8621</v>
      </c>
      <c r="KR40" s="25" t="s">
        <v>8622</v>
      </c>
      <c r="KS40" s="56">
        <v>6750</v>
      </c>
      <c r="KT40" s="56">
        <v>13500</v>
      </c>
      <c r="KU40" s="56">
        <v>13500</v>
      </c>
      <c r="KV40" s="56">
        <v>27000</v>
      </c>
      <c r="KX40" s="56">
        <v>27000</v>
      </c>
      <c r="KY40" s="25" t="s">
        <v>8246</v>
      </c>
      <c r="KZ40" s="56">
        <v>2000</v>
      </c>
      <c r="LA40" s="56">
        <v>4000</v>
      </c>
      <c r="LB40" s="56">
        <v>4000</v>
      </c>
      <c r="LC40" s="56">
        <v>8000</v>
      </c>
      <c r="LD40" s="25" t="s">
        <v>8247</v>
      </c>
      <c r="LE40" s="25" t="s">
        <v>8248</v>
      </c>
      <c r="LR40" s="25" t="s">
        <v>8249</v>
      </c>
      <c r="OE40" s="25" t="s">
        <v>25</v>
      </c>
      <c r="OF40" s="25" t="s">
        <v>28</v>
      </c>
      <c r="OG40" s="25" t="s">
        <v>25</v>
      </c>
      <c r="OH40" s="25" t="s">
        <v>25</v>
      </c>
      <c r="OJ40" s="25" t="s">
        <v>13416</v>
      </c>
      <c r="OK40" s="25" t="s">
        <v>13416</v>
      </c>
      <c r="OS40" s="26">
        <v>0.2</v>
      </c>
      <c r="OT40" s="26">
        <v>0.2</v>
      </c>
      <c r="OU40" s="26">
        <v>0.2</v>
      </c>
      <c r="OV40" s="26">
        <v>0.2</v>
      </c>
      <c r="OW40" s="26">
        <v>0.2</v>
      </c>
      <c r="OX40" s="26">
        <v>0</v>
      </c>
      <c r="PG40" s="26">
        <v>0.4</v>
      </c>
      <c r="PH40" s="26">
        <v>0.4</v>
      </c>
      <c r="PI40" s="26">
        <v>0.4</v>
      </c>
      <c r="PJ40" s="26">
        <v>0.4</v>
      </c>
      <c r="PK40" s="26">
        <v>0.4</v>
      </c>
      <c r="PL40" s="26">
        <v>0</v>
      </c>
      <c r="PN40" s="25" t="s">
        <v>8250</v>
      </c>
      <c r="PO40" s="25" t="s">
        <v>8250</v>
      </c>
      <c r="PP40" s="25" t="s">
        <v>8250</v>
      </c>
      <c r="PQ40" s="25" t="s">
        <v>8250</v>
      </c>
      <c r="PR40" s="25" t="s">
        <v>8250</v>
      </c>
      <c r="PS40" s="25" t="s">
        <v>8250</v>
      </c>
      <c r="PU40" s="25" t="s">
        <v>25</v>
      </c>
      <c r="PV40" s="25" t="s">
        <v>25</v>
      </c>
      <c r="PW40" s="25" t="s">
        <v>25</v>
      </c>
      <c r="PX40" s="25" t="s">
        <v>25</v>
      </c>
      <c r="PY40" s="25" t="s">
        <v>25</v>
      </c>
      <c r="PZ40" s="25" t="s">
        <v>25</v>
      </c>
      <c r="QB40" s="25" t="s">
        <v>13810</v>
      </c>
      <c r="QC40" s="25" t="s">
        <v>13810</v>
      </c>
      <c r="QD40" s="25" t="s">
        <v>13810</v>
      </c>
      <c r="QE40" s="25" t="s">
        <v>13810</v>
      </c>
      <c r="QF40" s="25" t="s">
        <v>13810</v>
      </c>
      <c r="QG40" s="25" t="s">
        <v>13810</v>
      </c>
      <c r="QH40" s="25" t="s">
        <v>631</v>
      </c>
      <c r="QI40" s="25" t="s">
        <v>631</v>
      </c>
      <c r="QJ40" s="25" t="s">
        <v>631</v>
      </c>
      <c r="QL40" s="25" t="s">
        <v>8623</v>
      </c>
      <c r="QM40" s="25" t="s">
        <v>8623</v>
      </c>
      <c r="QN40" s="25" t="s">
        <v>8623</v>
      </c>
      <c r="QO40" s="25" t="s">
        <v>13452</v>
      </c>
      <c r="QP40" s="25" t="s">
        <v>13456</v>
      </c>
      <c r="QQ40" s="25" t="s">
        <v>8623</v>
      </c>
      <c r="RW40" s="26">
        <v>0.2</v>
      </c>
      <c r="RX40" s="26">
        <v>0.2</v>
      </c>
      <c r="RY40" s="26">
        <v>0.2</v>
      </c>
      <c r="RZ40" s="26">
        <v>0.2</v>
      </c>
      <c r="VC40" s="25" t="s">
        <v>8352</v>
      </c>
      <c r="VD40" s="25" t="s">
        <v>8256</v>
      </c>
      <c r="VE40" s="25" t="s">
        <v>8263</v>
      </c>
      <c r="VF40" s="25">
        <v>3</v>
      </c>
      <c r="VG40" s="25" t="s">
        <v>8624</v>
      </c>
      <c r="VH40" s="25" t="s">
        <v>8625</v>
      </c>
      <c r="VI40" s="56">
        <v>3150</v>
      </c>
      <c r="VJ40" s="56">
        <v>6300</v>
      </c>
      <c r="VO40" s="25" t="s">
        <v>8260</v>
      </c>
      <c r="VP40" s="56">
        <v>600</v>
      </c>
      <c r="VQ40" s="56">
        <v>1200</v>
      </c>
      <c r="VT40" s="25" t="s">
        <v>8248</v>
      </c>
      <c r="WG40" s="25" t="s">
        <v>8249</v>
      </c>
      <c r="YT40" s="25" t="s">
        <v>25</v>
      </c>
      <c r="YU40" s="25" t="s">
        <v>28</v>
      </c>
      <c r="YV40" s="25" t="s">
        <v>25</v>
      </c>
      <c r="YW40" s="25" t="s">
        <v>25</v>
      </c>
      <c r="YY40" s="25" t="s">
        <v>13433</v>
      </c>
      <c r="ZA40" s="56">
        <v>20</v>
      </c>
      <c r="ZB40" s="56">
        <v>45</v>
      </c>
      <c r="ZC40" s="56">
        <v>45</v>
      </c>
      <c r="ZF40" s="56">
        <v>0</v>
      </c>
      <c r="ZH40" s="26">
        <v>0</v>
      </c>
      <c r="ZI40" s="26">
        <v>0</v>
      </c>
      <c r="ZJ40" s="26">
        <v>0</v>
      </c>
      <c r="ZM40" s="26">
        <v>0</v>
      </c>
      <c r="AAC40" s="25" t="s">
        <v>8250</v>
      </c>
      <c r="AAD40" s="25" t="s">
        <v>8250</v>
      </c>
      <c r="AAE40" s="25" t="s">
        <v>8250</v>
      </c>
      <c r="AAF40" s="25" t="s">
        <v>8250</v>
      </c>
      <c r="AAG40" s="25" t="s">
        <v>8250</v>
      </c>
      <c r="AAH40" s="25" t="s">
        <v>8250</v>
      </c>
      <c r="AAJ40" s="25" t="s">
        <v>25</v>
      </c>
      <c r="AAK40" s="25" t="s">
        <v>25</v>
      </c>
      <c r="AAL40" s="25" t="s">
        <v>25</v>
      </c>
      <c r="AAM40" s="25" t="s">
        <v>25</v>
      </c>
      <c r="AAN40" s="25" t="s">
        <v>25</v>
      </c>
      <c r="AAO40" s="25" t="s">
        <v>25</v>
      </c>
      <c r="AAQ40" s="25" t="s">
        <v>13810</v>
      </c>
      <c r="AAR40" s="25" t="s">
        <v>13810</v>
      </c>
      <c r="AAS40" s="25" t="s">
        <v>13810</v>
      </c>
      <c r="AAT40" s="25" t="s">
        <v>13810</v>
      </c>
      <c r="AAU40" s="25" t="s">
        <v>13810</v>
      </c>
      <c r="AAV40" s="25" t="s">
        <v>631</v>
      </c>
      <c r="AAW40" s="25" t="s">
        <v>631</v>
      </c>
      <c r="AAX40" s="25" t="s">
        <v>631</v>
      </c>
      <c r="AAY40" s="25" t="s">
        <v>631</v>
      </c>
      <c r="AAZ40" s="25" t="s">
        <v>631</v>
      </c>
      <c r="ABA40" s="25" t="s">
        <v>8619</v>
      </c>
      <c r="ABB40" s="25" t="s">
        <v>8619</v>
      </c>
      <c r="ABC40" s="25" t="s">
        <v>13435</v>
      </c>
      <c r="ABD40" s="25" t="s">
        <v>13435</v>
      </c>
      <c r="ABE40" s="25" t="s">
        <v>8619</v>
      </c>
      <c r="ABJ40" s="56">
        <v>10</v>
      </c>
      <c r="ABL40" s="56">
        <v>20</v>
      </c>
      <c r="ACN40" s="26">
        <v>0.4</v>
      </c>
      <c r="ACO40" s="26">
        <v>0.5</v>
      </c>
      <c r="ACU40" s="56">
        <v>30</v>
      </c>
      <c r="ACV40" s="56">
        <v>60</v>
      </c>
      <c r="ACW40" s="56">
        <v>45</v>
      </c>
      <c r="ACX40" s="56">
        <v>90</v>
      </c>
      <c r="ACY40" s="56">
        <v>75</v>
      </c>
      <c r="ACZ40" s="56">
        <v>125</v>
      </c>
      <c r="AEC40" s="26">
        <v>0.3</v>
      </c>
      <c r="AED40" s="26">
        <v>0.4</v>
      </c>
      <c r="AEE40" s="26">
        <v>0.5</v>
      </c>
      <c r="AEK40" s="56">
        <v>75</v>
      </c>
      <c r="AEL40" s="56">
        <v>150</v>
      </c>
      <c r="AEM40" s="56">
        <v>115</v>
      </c>
      <c r="AEN40" s="56">
        <v>215</v>
      </c>
      <c r="AEO40" s="56">
        <v>188</v>
      </c>
      <c r="AEP40" s="56">
        <v>310</v>
      </c>
      <c r="AFR40" s="25" t="s">
        <v>8352</v>
      </c>
      <c r="AFS40" s="25" t="s">
        <v>8256</v>
      </c>
      <c r="AFT40" s="25" t="s">
        <v>8263</v>
      </c>
      <c r="AFU40" s="25">
        <v>0</v>
      </c>
      <c r="AFX40" s="25"/>
      <c r="AFY40" s="25"/>
      <c r="AFZ40" s="25"/>
      <c r="AGA40" s="25"/>
      <c r="AGB40" s="25"/>
      <c r="AGC40" s="25"/>
      <c r="AGE40" s="25"/>
      <c r="AGF40" s="25"/>
      <c r="AGG40" s="25"/>
      <c r="AGH40" s="25"/>
      <c r="AJP40" s="25"/>
      <c r="AJQ40" s="25"/>
      <c r="AJR40" s="25"/>
      <c r="AJS40" s="25"/>
      <c r="AJT40" s="25"/>
      <c r="AJU40" s="25"/>
      <c r="AJV40" s="25"/>
      <c r="AKD40" s="25"/>
      <c r="AKE40" s="25"/>
      <c r="AKF40" s="25"/>
      <c r="AKG40" s="25"/>
      <c r="AKH40" s="25"/>
      <c r="AKI40" s="25"/>
      <c r="AKJ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H40" s="25"/>
      <c r="ANI40" s="25"/>
      <c r="ANJ40" s="25"/>
      <c r="ANK40" s="25"/>
      <c r="ANL40" s="25"/>
      <c r="ANM40" s="25"/>
      <c r="ANN40" s="25"/>
      <c r="ANO40" s="25"/>
      <c r="ANP40" s="25"/>
      <c r="ANQ40" s="25"/>
      <c r="ANR40" s="25"/>
      <c r="ANS40" s="25"/>
      <c r="ANT40" s="25"/>
      <c r="ANU40" s="25"/>
      <c r="AOC40" s="25"/>
      <c r="AOD40" s="25"/>
      <c r="AOE40" s="25"/>
      <c r="AOF40" s="25"/>
      <c r="AOG40" s="25"/>
      <c r="AOH40" s="25"/>
      <c r="AOI40" s="25"/>
      <c r="AOJ40" s="25"/>
      <c r="AOK40" s="25"/>
      <c r="AOL40" s="25"/>
      <c r="AOM40" s="25"/>
      <c r="AON40" s="25"/>
      <c r="AOO40" s="25"/>
      <c r="AOP40" s="25"/>
      <c r="AOX40" s="25"/>
      <c r="AOY40" s="25"/>
      <c r="AOZ40" s="25"/>
      <c r="APA40" s="25"/>
      <c r="APB40" s="25"/>
      <c r="APC40" s="25"/>
      <c r="APD40" s="25"/>
      <c r="APE40" s="25"/>
      <c r="APF40" s="25"/>
      <c r="APG40" s="25"/>
      <c r="APH40" s="25"/>
      <c r="API40" s="25"/>
      <c r="APJ40" s="25"/>
      <c r="APK40" s="25"/>
      <c r="APS40" s="25"/>
      <c r="APT40" s="25"/>
      <c r="APU40" s="25"/>
      <c r="APV40" s="25"/>
      <c r="APW40" s="25"/>
      <c r="APX40" s="25"/>
      <c r="APY40" s="25"/>
      <c r="APZ40" s="25"/>
      <c r="AQA40" s="25"/>
      <c r="AQB40" s="25"/>
      <c r="AQC40" s="25"/>
      <c r="AQD40" s="25"/>
      <c r="AQE40" s="25"/>
      <c r="AQF40" s="25"/>
      <c r="AQJ40" s="25">
        <v>7</v>
      </c>
      <c r="AQK40" s="25" t="s">
        <v>8448</v>
      </c>
      <c r="AQL40" s="25" t="s">
        <v>8626</v>
      </c>
      <c r="AQM40" s="56">
        <v>2750</v>
      </c>
      <c r="AQN40" s="56">
        <v>5500</v>
      </c>
      <c r="AQS40" s="25" t="s">
        <v>8260</v>
      </c>
      <c r="AQT40" s="56">
        <v>550</v>
      </c>
      <c r="AQU40" s="56">
        <v>1100</v>
      </c>
      <c r="AQX40" s="25" t="s">
        <v>8248</v>
      </c>
      <c r="ARK40" s="25" t="s">
        <v>8249</v>
      </c>
      <c r="ATX40" s="25" t="s">
        <v>25</v>
      </c>
      <c r="ATY40" s="25" t="s">
        <v>25</v>
      </c>
      <c r="AUA40" s="25" t="s">
        <v>25</v>
      </c>
      <c r="AUC40" s="25" t="s">
        <v>13417</v>
      </c>
      <c r="AUE40" s="56">
        <v>20</v>
      </c>
      <c r="AUF40" s="56">
        <v>45</v>
      </c>
      <c r="AUG40" s="56">
        <v>20</v>
      </c>
      <c r="AUH40" s="56">
        <v>200</v>
      </c>
      <c r="AUI40" s="56">
        <v>50</v>
      </c>
      <c r="AUJ40" s="56">
        <v>0</v>
      </c>
      <c r="AUL40" s="26">
        <v>0</v>
      </c>
      <c r="AUM40" s="26">
        <v>0</v>
      </c>
      <c r="AUN40" s="26">
        <v>0</v>
      </c>
      <c r="AUO40" s="26">
        <v>0</v>
      </c>
      <c r="AUQ40" s="26">
        <v>0</v>
      </c>
      <c r="AVG40" s="25" t="s">
        <v>8250</v>
      </c>
      <c r="AVH40" s="25" t="s">
        <v>8250</v>
      </c>
      <c r="AVI40" s="25" t="s">
        <v>8250</v>
      </c>
      <c r="AVJ40" s="25" t="s">
        <v>8250</v>
      </c>
      <c r="AVK40" s="25" t="s">
        <v>8250</v>
      </c>
      <c r="AVL40" s="25" t="s">
        <v>8250</v>
      </c>
      <c r="AVN40" s="25" t="s">
        <v>25</v>
      </c>
      <c r="AVO40" s="25" t="s">
        <v>25</v>
      </c>
      <c r="AVP40" s="25" t="s">
        <v>25</v>
      </c>
      <c r="AVQ40" s="25" t="s">
        <v>25</v>
      </c>
      <c r="AVR40" s="25" t="s">
        <v>25</v>
      </c>
      <c r="AVS40" s="25" t="s">
        <v>25</v>
      </c>
      <c r="AVU40" s="25" t="s">
        <v>13810</v>
      </c>
      <c r="AVV40" s="25" t="s">
        <v>13810</v>
      </c>
      <c r="AVW40" s="25" t="s">
        <v>13810</v>
      </c>
      <c r="AVX40" s="25" t="s">
        <v>13810</v>
      </c>
      <c r="AVY40" s="25" t="s">
        <v>13810</v>
      </c>
      <c r="AVZ40" s="25" t="s">
        <v>631</v>
      </c>
      <c r="AWA40" s="25" t="s">
        <v>631</v>
      </c>
      <c r="AWB40" s="25" t="s">
        <v>631</v>
      </c>
      <c r="AWC40" s="25" t="s">
        <v>631</v>
      </c>
      <c r="AWD40" s="25" t="s">
        <v>631</v>
      </c>
      <c r="AWE40" s="25" t="s">
        <v>8623</v>
      </c>
      <c r="AWF40" s="25" t="s">
        <v>8623</v>
      </c>
      <c r="AWG40" s="25" t="s">
        <v>8623</v>
      </c>
      <c r="AWH40" s="25" t="s">
        <v>13446</v>
      </c>
      <c r="AWI40" s="25" t="s">
        <v>8627</v>
      </c>
      <c r="AWN40" s="56">
        <v>10</v>
      </c>
      <c r="AWP40" s="56">
        <v>20</v>
      </c>
      <c r="AWR40" s="56">
        <v>30</v>
      </c>
      <c r="AWT40" s="56">
        <v>60</v>
      </c>
      <c r="AWV40" s="56">
        <v>30</v>
      </c>
      <c r="AWX40" s="56">
        <v>60</v>
      </c>
      <c r="BAV40" s="25" t="s">
        <v>8352</v>
      </c>
      <c r="BAW40" s="25" t="s">
        <v>8256</v>
      </c>
      <c r="BAX40" s="25" t="s">
        <v>8263</v>
      </c>
      <c r="BAY40" s="25">
        <v>0</v>
      </c>
      <c r="BBB40" s="25"/>
      <c r="BBC40" s="25"/>
      <c r="BBD40" s="25"/>
      <c r="BBE40" s="25"/>
      <c r="BBF40" s="25"/>
      <c r="BBG40" s="25"/>
      <c r="BBI40" s="25"/>
      <c r="BBJ40" s="25"/>
      <c r="BBK40" s="25"/>
      <c r="BBL40" s="25"/>
      <c r="BET40" s="25"/>
      <c r="BEU40" s="25"/>
      <c r="BEV40" s="25"/>
      <c r="BEW40" s="25"/>
      <c r="BEX40" s="25"/>
      <c r="BEY40" s="25"/>
      <c r="BEZ40" s="25"/>
      <c r="BFH40" s="25"/>
      <c r="BFI40" s="25"/>
      <c r="BFJ40" s="25"/>
      <c r="BFK40" s="25"/>
      <c r="BFL40" s="25"/>
      <c r="BFM40" s="25"/>
      <c r="BFN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L40" s="25"/>
      <c r="BIM40" s="25"/>
      <c r="BIN40" s="25"/>
      <c r="BIO40" s="25"/>
      <c r="BIP40" s="25"/>
      <c r="BIQ40" s="25"/>
      <c r="BIR40" s="25"/>
      <c r="BIS40" s="25"/>
      <c r="BIT40" s="25"/>
      <c r="BIU40" s="25"/>
      <c r="BIV40" s="25"/>
      <c r="BIW40" s="25"/>
      <c r="BIX40" s="25"/>
      <c r="BIY40" s="25"/>
      <c r="BJG40" s="25"/>
      <c r="BJH40" s="25"/>
      <c r="BJI40" s="25"/>
      <c r="BJJ40" s="25"/>
      <c r="BJK40" s="25"/>
      <c r="BJL40" s="25"/>
      <c r="BJM40" s="25"/>
      <c r="BJN40" s="25"/>
      <c r="BJO40" s="25"/>
      <c r="BJP40" s="25"/>
      <c r="BJQ40" s="25"/>
      <c r="BJR40" s="25"/>
      <c r="BJS40" s="25"/>
      <c r="BJT40" s="25"/>
      <c r="BKB40" s="25"/>
      <c r="BKC40" s="25"/>
      <c r="BKD40" s="25"/>
      <c r="BKE40" s="25"/>
      <c r="BKF40" s="25"/>
      <c r="BKG40" s="25"/>
      <c r="BKH40" s="25"/>
      <c r="BKI40" s="25"/>
      <c r="BKJ40" s="25"/>
      <c r="BKK40" s="25"/>
      <c r="BKL40" s="25"/>
      <c r="BKM40" s="25"/>
      <c r="BKN40" s="25"/>
      <c r="BKO40" s="25"/>
      <c r="BKW40" s="25"/>
      <c r="BKX40" s="25"/>
      <c r="BKY40" s="25"/>
      <c r="BKZ40" s="25"/>
      <c r="BLA40" s="25"/>
      <c r="BLB40" s="25"/>
      <c r="BLC40" s="25"/>
      <c r="BLD40" s="25"/>
      <c r="BLE40" s="25"/>
      <c r="BLF40" s="25"/>
      <c r="BLG40" s="25"/>
      <c r="BLH40" s="25"/>
      <c r="BLI40" s="25"/>
      <c r="BLJ40" s="25"/>
      <c r="BLN40" s="25">
        <v>1</v>
      </c>
      <c r="BLO40" s="25" t="s">
        <v>8628</v>
      </c>
      <c r="BLQ40" s="56">
        <v>2150</v>
      </c>
      <c r="BLR40" s="56">
        <v>6450</v>
      </c>
      <c r="BLW40" s="25" t="s">
        <v>8246</v>
      </c>
      <c r="BLX40" s="56">
        <v>650</v>
      </c>
      <c r="BLY40" s="56">
        <v>1950</v>
      </c>
      <c r="BMB40" s="25" t="s">
        <v>8248</v>
      </c>
      <c r="BMO40" s="25" t="s">
        <v>8249</v>
      </c>
      <c r="BPB40" s="25" t="s">
        <v>25</v>
      </c>
      <c r="BPC40" s="25" t="s">
        <v>25</v>
      </c>
      <c r="BPE40" s="25" t="s">
        <v>25</v>
      </c>
      <c r="BPG40" s="25" t="s">
        <v>13417</v>
      </c>
      <c r="BPH40" s="25" t="s">
        <v>13433</v>
      </c>
      <c r="BPP40" s="26">
        <v>0.2</v>
      </c>
      <c r="BPQ40" s="26">
        <v>0.2</v>
      </c>
      <c r="BPR40" s="26">
        <v>0.2</v>
      </c>
      <c r="BPS40" s="26">
        <v>0.2</v>
      </c>
      <c r="BPT40" s="26">
        <v>0.2</v>
      </c>
      <c r="BPU40" s="26">
        <v>0</v>
      </c>
      <c r="BPW40" s="56">
        <v>0</v>
      </c>
      <c r="BPX40" s="56">
        <v>0</v>
      </c>
      <c r="BPY40" s="56">
        <v>0</v>
      </c>
      <c r="BQB40" s="56">
        <v>0</v>
      </c>
      <c r="BQD40" s="26">
        <v>0.2</v>
      </c>
      <c r="BQE40" s="26">
        <v>0.2</v>
      </c>
      <c r="BQF40" s="26">
        <v>0.2</v>
      </c>
      <c r="BQI40" s="26">
        <v>0</v>
      </c>
      <c r="BQK40" s="25" t="s">
        <v>8250</v>
      </c>
      <c r="BQL40" s="25" t="s">
        <v>8250</v>
      </c>
      <c r="BQM40" s="25" t="s">
        <v>8250</v>
      </c>
      <c r="BQN40" s="25" t="s">
        <v>8250</v>
      </c>
      <c r="BQO40" s="25" t="s">
        <v>8250</v>
      </c>
      <c r="BQP40" s="25" t="s">
        <v>8250</v>
      </c>
      <c r="BQR40" s="25" t="s">
        <v>25</v>
      </c>
      <c r="BQS40" s="25" t="s">
        <v>25</v>
      </c>
      <c r="BQT40" s="25" t="s">
        <v>25</v>
      </c>
      <c r="BQU40" s="25" t="s">
        <v>25</v>
      </c>
      <c r="BQV40" s="25" t="s">
        <v>25</v>
      </c>
      <c r="BQW40" s="25" t="s">
        <v>25</v>
      </c>
      <c r="BQY40" s="25" t="s">
        <v>13810</v>
      </c>
      <c r="BQZ40" s="25" t="s">
        <v>13810</v>
      </c>
      <c r="BRA40" s="25" t="s">
        <v>13810</v>
      </c>
      <c r="BRB40" s="25" t="s">
        <v>13810</v>
      </c>
      <c r="BRC40" s="25" t="s">
        <v>13810</v>
      </c>
      <c r="BRD40" s="25" t="s">
        <v>13810</v>
      </c>
      <c r="BRE40" s="25" t="s">
        <v>631</v>
      </c>
      <c r="BRF40" s="25" t="s">
        <v>631</v>
      </c>
      <c r="BRG40" s="25" t="s">
        <v>631</v>
      </c>
      <c r="BRH40" s="25" t="s">
        <v>631</v>
      </c>
      <c r="BRI40" s="25" t="s">
        <v>8623</v>
      </c>
      <c r="BRJ40" s="25" t="s">
        <v>8623</v>
      </c>
      <c r="BRK40" s="25" t="s">
        <v>8623</v>
      </c>
      <c r="BRL40" s="25" t="s">
        <v>13452</v>
      </c>
      <c r="BRM40" s="25" t="s">
        <v>13456</v>
      </c>
      <c r="BRN40" s="25" t="s">
        <v>8623</v>
      </c>
      <c r="BRR40" s="56">
        <v>10</v>
      </c>
      <c r="BRT40" s="56">
        <v>20</v>
      </c>
      <c r="BSU40" s="26">
        <v>0.3</v>
      </c>
      <c r="BSV40" s="26">
        <v>0.4</v>
      </c>
      <c r="BSW40" s="26">
        <v>0.5</v>
      </c>
      <c r="BTC40" s="56">
        <v>30</v>
      </c>
      <c r="BTD40" s="56">
        <v>60</v>
      </c>
      <c r="BTE40" s="56">
        <v>45</v>
      </c>
      <c r="BTF40" s="56">
        <v>90</v>
      </c>
      <c r="BTG40" s="56">
        <v>75</v>
      </c>
      <c r="BTH40" s="56">
        <v>125</v>
      </c>
      <c r="BUK40" s="26">
        <v>0.3</v>
      </c>
      <c r="BUL40" s="26">
        <v>0.4</v>
      </c>
      <c r="BUM40" s="26">
        <v>0.5</v>
      </c>
      <c r="BUS40" s="56">
        <v>75</v>
      </c>
      <c r="BUT40" s="56">
        <v>150</v>
      </c>
      <c r="BUU40" s="56">
        <v>115</v>
      </c>
      <c r="BUV40" s="56">
        <v>215</v>
      </c>
      <c r="BUW40" s="56">
        <v>188</v>
      </c>
      <c r="BUX40" s="56">
        <v>310</v>
      </c>
      <c r="BVZ40" s="25" t="s">
        <v>8352</v>
      </c>
      <c r="BWA40" s="25" t="s">
        <v>8256</v>
      </c>
      <c r="BWB40" s="25" t="s">
        <v>8263</v>
      </c>
      <c r="BWC40" s="25" t="s">
        <v>28</v>
      </c>
      <c r="BWD40" s="25" t="s">
        <v>8629</v>
      </c>
      <c r="BWE40" s="25" t="s">
        <v>8357</v>
      </c>
      <c r="BWF40" s="25" t="s">
        <v>13707</v>
      </c>
      <c r="BWG40" s="25" t="s">
        <v>25</v>
      </c>
      <c r="BWH40" s="25" t="s">
        <v>2169</v>
      </c>
      <c r="BWI40" s="25" t="s">
        <v>28</v>
      </c>
      <c r="BWJ40" s="25" t="s">
        <v>8630</v>
      </c>
      <c r="BWK40" s="25" t="s">
        <v>25</v>
      </c>
      <c r="BWM40" s="25" t="s">
        <v>25</v>
      </c>
      <c r="BWO40" s="25" t="s">
        <v>25</v>
      </c>
      <c r="BWQ40" s="25" t="s">
        <v>25</v>
      </c>
      <c r="BWX40" s="25" t="s">
        <v>28</v>
      </c>
      <c r="BWY40" s="25" t="s">
        <v>8358</v>
      </c>
      <c r="BWZ40" s="25" t="s">
        <v>25</v>
      </c>
      <c r="BXB40" s="25" t="s">
        <v>25</v>
      </c>
      <c r="BXD40" s="25" t="s">
        <v>28</v>
      </c>
      <c r="BXE40" s="25" t="s">
        <v>8358</v>
      </c>
      <c r="BXF40" s="25" t="s">
        <v>28</v>
      </c>
      <c r="BXG40" s="56">
        <v>10</v>
      </c>
      <c r="BXH40" s="25" t="s">
        <v>25</v>
      </c>
      <c r="BXJ40" s="25" t="s">
        <v>28</v>
      </c>
      <c r="BXK40" s="25" t="s">
        <v>8270</v>
      </c>
      <c r="BXL40" s="25" t="s">
        <v>8435</v>
      </c>
      <c r="BXM40" s="25" t="s">
        <v>2201</v>
      </c>
      <c r="BXN40" s="25" t="s">
        <v>8272</v>
      </c>
      <c r="BXO40" s="25" t="s">
        <v>8274</v>
      </c>
      <c r="BXP40" s="25" t="s">
        <v>8274</v>
      </c>
      <c r="BXQ40" s="25" t="s">
        <v>8274</v>
      </c>
      <c r="BXR40" s="25" t="s">
        <v>8274</v>
      </c>
      <c r="BXS40" s="25" t="s">
        <v>8274</v>
      </c>
      <c r="BXW40" s="25" t="s">
        <v>28</v>
      </c>
      <c r="BXX40" s="25" t="s">
        <v>28</v>
      </c>
      <c r="BXY40" s="25" t="s">
        <v>25</v>
      </c>
      <c r="BXZ40" s="25" t="s">
        <v>25</v>
      </c>
      <c r="BYA40" s="25" t="s">
        <v>25</v>
      </c>
      <c r="BYB40" s="25" t="s">
        <v>25</v>
      </c>
      <c r="BYC40" s="25" t="s">
        <v>2201</v>
      </c>
      <c r="BYD40" s="25" t="s">
        <v>28</v>
      </c>
      <c r="BYE40" s="25" t="s">
        <v>13612</v>
      </c>
      <c r="BYF40" s="25" t="s">
        <v>8453</v>
      </c>
      <c r="BYH40" s="25" t="s">
        <v>8278</v>
      </c>
      <c r="BYK40" s="25" t="s">
        <v>28</v>
      </c>
      <c r="BYL40" s="25" t="s">
        <v>28</v>
      </c>
      <c r="BYM40" s="25">
        <v>30</v>
      </c>
      <c r="BYN40" s="25" t="s">
        <v>28</v>
      </c>
      <c r="BYO40" s="25">
        <v>30</v>
      </c>
      <c r="BYP40" s="25" t="s">
        <v>25</v>
      </c>
      <c r="BYR40" s="25" t="s">
        <v>28</v>
      </c>
      <c r="BYS40" s="25" t="s">
        <v>8279</v>
      </c>
      <c r="BYT40" s="25" t="s">
        <v>8279</v>
      </c>
      <c r="BYU40" s="25" t="s">
        <v>8279</v>
      </c>
      <c r="BYV40" s="25" t="s">
        <v>25</v>
      </c>
      <c r="BYW40" s="25" t="s">
        <v>28</v>
      </c>
      <c r="BYX40" s="56">
        <v>500</v>
      </c>
      <c r="BYY40" s="56">
        <v>1000</v>
      </c>
      <c r="BYZ40" s="25" t="s">
        <v>8280</v>
      </c>
      <c r="BZA40" s="25" t="s">
        <v>8631</v>
      </c>
      <c r="BZB40" s="25" t="s">
        <v>248</v>
      </c>
      <c r="BZD40" s="25" t="s">
        <v>28</v>
      </c>
      <c r="BZE40" s="25" t="s">
        <v>28</v>
      </c>
      <c r="BZF40" s="25" t="s">
        <v>28</v>
      </c>
      <c r="BZG40" s="25" t="s">
        <v>25</v>
      </c>
      <c r="BZJ40" s="25" t="s">
        <v>25</v>
      </c>
      <c r="BZM40" s="25" t="s">
        <v>25</v>
      </c>
      <c r="BZR40" s="25" t="s">
        <v>819</v>
      </c>
      <c r="BZS40" s="25" t="s">
        <v>28</v>
      </c>
      <c r="BZT40" s="25" t="s">
        <v>8337</v>
      </c>
      <c r="BZV40" s="25" t="s">
        <v>13644</v>
      </c>
      <c r="BZX40" s="25" t="s">
        <v>8368</v>
      </c>
      <c r="BZZ40" s="25" t="s">
        <v>28</v>
      </c>
      <c r="CAA40" s="25" t="s">
        <v>256</v>
      </c>
      <c r="CAB40" s="25" t="s">
        <v>28</v>
      </c>
      <c r="CAC40" s="25" t="s">
        <v>28</v>
      </c>
      <c r="CAD40" s="25" t="s">
        <v>8288</v>
      </c>
      <c r="CAE40" s="25" t="s">
        <v>28</v>
      </c>
      <c r="CAF40" s="25" t="s">
        <v>8289</v>
      </c>
      <c r="CAG40" s="25" t="s">
        <v>28</v>
      </c>
      <c r="CAH40" s="25" t="s">
        <v>631</v>
      </c>
      <c r="CAI40" s="25" t="s">
        <v>631</v>
      </c>
      <c r="CAJ40" s="25" t="s">
        <v>631</v>
      </c>
      <c r="CAK40" s="25" t="s">
        <v>8290</v>
      </c>
      <c r="CAL40" s="25" t="s">
        <v>8290</v>
      </c>
      <c r="CAM40" s="25" t="s">
        <v>8290</v>
      </c>
      <c r="CAN40" s="25" t="s">
        <v>631</v>
      </c>
      <c r="CAO40" s="25" t="s">
        <v>247</v>
      </c>
      <c r="CAP40" s="25" t="s">
        <v>8290</v>
      </c>
      <c r="CAQ40" s="25" t="s">
        <v>631</v>
      </c>
      <c r="CAR40" s="25" t="s">
        <v>8412</v>
      </c>
      <c r="CAT40" s="25" t="s">
        <v>28</v>
      </c>
      <c r="CAU40" s="25" t="s">
        <v>8632</v>
      </c>
      <c r="CAV40" s="25" t="s">
        <v>8614</v>
      </c>
      <c r="CAW40" s="25" t="s">
        <v>8441</v>
      </c>
      <c r="CAX40" s="25" t="s">
        <v>8342</v>
      </c>
      <c r="CAY40" s="25">
        <v>10</v>
      </c>
      <c r="CAZ40" s="25">
        <v>55</v>
      </c>
      <c r="CBB40" s="25">
        <v>2</v>
      </c>
      <c r="CBC40" s="25">
        <v>1</v>
      </c>
      <c r="CBD40" s="25">
        <v>0</v>
      </c>
      <c r="CBE40" s="56">
        <v>25</v>
      </c>
      <c r="CBF40" s="56">
        <v>75</v>
      </c>
      <c r="CBG40" s="56">
        <v>25</v>
      </c>
      <c r="CBH40" s="56">
        <v>75</v>
      </c>
      <c r="CBI40" s="56">
        <v>2500</v>
      </c>
      <c r="CBK40" s="56">
        <v>2000</v>
      </c>
      <c r="CBM40" s="26">
        <v>0</v>
      </c>
      <c r="CBN40" s="26">
        <v>0.1</v>
      </c>
      <c r="CBO40" s="26">
        <v>0.1</v>
      </c>
      <c r="CBP40" s="26">
        <v>0.2</v>
      </c>
      <c r="CBQ40" s="26">
        <v>0.4</v>
      </c>
      <c r="CBR40" s="26">
        <v>0.5</v>
      </c>
      <c r="CBS40" s="26">
        <v>0.5</v>
      </c>
      <c r="CBT40" s="26">
        <v>0.5</v>
      </c>
      <c r="CBU40" s="27" t="s">
        <v>28</v>
      </c>
      <c r="CBV40" s="27" t="s">
        <v>8369</v>
      </c>
      <c r="CBW40" s="27" t="s">
        <v>8294</v>
      </c>
      <c r="CBX40" s="27" t="s">
        <v>8418</v>
      </c>
      <c r="CBY40" s="27" t="s">
        <v>8296</v>
      </c>
      <c r="CBZ40" s="27" t="s">
        <v>8297</v>
      </c>
      <c r="CCA40" s="27" t="s">
        <v>8297</v>
      </c>
      <c r="CCB40" s="27" t="s">
        <v>8298</v>
      </c>
      <c r="CCC40" s="27" t="s">
        <v>8296</v>
      </c>
      <c r="CCD40" s="27" t="s">
        <v>8297</v>
      </c>
      <c r="CCE40" s="27" t="s">
        <v>8296</v>
      </c>
      <c r="CCF40" s="27" t="s">
        <v>8296</v>
      </c>
      <c r="CCG40" s="27" t="s">
        <v>8297</v>
      </c>
      <c r="CCH40" s="27" t="s">
        <v>8298</v>
      </c>
      <c r="CCI40" s="27" t="s">
        <v>8298</v>
      </c>
      <c r="CCJ40" s="27" t="s">
        <v>8298</v>
      </c>
      <c r="CCK40" s="27" t="s">
        <v>8297</v>
      </c>
      <c r="CCL40" s="27" t="s">
        <v>8296</v>
      </c>
      <c r="CCM40" s="27" t="s">
        <v>8296</v>
      </c>
      <c r="CCN40" s="27" t="s">
        <v>8297</v>
      </c>
      <c r="CCO40" s="27" t="s">
        <v>8300</v>
      </c>
      <c r="CCP40" s="27" t="s">
        <v>8296</v>
      </c>
      <c r="CCQ40" s="27" t="s">
        <v>8297</v>
      </c>
      <c r="CCR40" s="27" t="s">
        <v>8296</v>
      </c>
      <c r="CCS40" s="27" t="s">
        <v>8296</v>
      </c>
      <c r="CCT40" s="27" t="s">
        <v>8296</v>
      </c>
      <c r="CCU40" s="27" t="s">
        <v>8298</v>
      </c>
      <c r="CCV40" s="27" t="s">
        <v>8298</v>
      </c>
      <c r="CCW40" s="27" t="s">
        <v>8298</v>
      </c>
      <c r="CCX40" s="27" t="s">
        <v>8298</v>
      </c>
      <c r="CCY40" s="27" t="s">
        <v>8298</v>
      </c>
      <c r="CCZ40" s="27" t="s">
        <v>28</v>
      </c>
      <c r="CDA40" s="27" t="s">
        <v>28</v>
      </c>
      <c r="CDB40" s="27" t="s">
        <v>28</v>
      </c>
      <c r="CDC40" s="27" t="s">
        <v>28</v>
      </c>
      <c r="CDD40" s="27" t="s">
        <v>28</v>
      </c>
      <c r="CDE40" s="27" t="s">
        <v>28</v>
      </c>
      <c r="CDF40" s="27" t="s">
        <v>28</v>
      </c>
      <c r="CDG40" s="27" t="s">
        <v>28</v>
      </c>
      <c r="CDH40" s="27" t="s">
        <v>28</v>
      </c>
      <c r="CDI40" s="27" t="s">
        <v>28</v>
      </c>
      <c r="CDJ40" s="27" t="s">
        <v>28</v>
      </c>
      <c r="CDK40" s="27" t="s">
        <v>28</v>
      </c>
      <c r="CDL40" s="27" t="s">
        <v>28</v>
      </c>
      <c r="CDM40" s="27" t="s">
        <v>28</v>
      </c>
      <c r="CDN40" s="27" t="s">
        <v>28</v>
      </c>
      <c r="CDO40" s="27" t="s">
        <v>28</v>
      </c>
      <c r="CDP40" s="27" t="s">
        <v>28</v>
      </c>
      <c r="CDQ40" s="27" t="s">
        <v>28</v>
      </c>
      <c r="CDR40" s="27" t="s">
        <v>28</v>
      </c>
      <c r="CDS40" s="27" t="s">
        <v>28</v>
      </c>
      <c r="CDT40" s="27" t="s">
        <v>28</v>
      </c>
      <c r="CDU40" s="27" t="s">
        <v>28</v>
      </c>
      <c r="CDV40" s="27" t="s">
        <v>28</v>
      </c>
      <c r="CDW40" s="27" t="s">
        <v>28</v>
      </c>
      <c r="CDX40" s="27" t="s">
        <v>28</v>
      </c>
      <c r="CDY40" s="27" t="s">
        <v>28</v>
      </c>
      <c r="CDZ40" s="27" t="s">
        <v>28</v>
      </c>
      <c r="CEA40" s="27" t="s">
        <v>29</v>
      </c>
      <c r="CEB40" s="27" t="s">
        <v>2673</v>
      </c>
      <c r="CEC40" s="27" t="s">
        <v>29</v>
      </c>
      <c r="CED40" s="27" t="s">
        <v>8302</v>
      </c>
      <c r="CEE40" s="27" t="s">
        <v>29</v>
      </c>
      <c r="CEF40" s="27" t="s">
        <v>29</v>
      </c>
      <c r="CEG40" s="27" t="s">
        <v>8302</v>
      </c>
      <c r="CEH40" s="27" t="s">
        <v>8303</v>
      </c>
      <c r="CEI40" s="27" t="s">
        <v>29</v>
      </c>
      <c r="CEJ40" s="27" t="s">
        <v>8302</v>
      </c>
      <c r="CEK40" s="27" t="s">
        <v>8302</v>
      </c>
      <c r="CEL40" s="27" t="s">
        <v>8303</v>
      </c>
      <c r="CEM40" s="27" t="s">
        <v>29</v>
      </c>
      <c r="CEN40" s="27" t="s">
        <v>29</v>
      </c>
      <c r="CEO40" s="27" t="s">
        <v>8303</v>
      </c>
      <c r="CEP40" s="27" t="s">
        <v>2673</v>
      </c>
      <c r="CEQ40" s="27" t="s">
        <v>2673</v>
      </c>
      <c r="CER40" s="27" t="s">
        <v>8421</v>
      </c>
      <c r="CES40" s="27" t="s">
        <v>8306</v>
      </c>
      <c r="CET40" s="27" t="s">
        <v>8304</v>
      </c>
      <c r="CEU40" s="27" t="s">
        <v>8306</v>
      </c>
      <c r="CEV40" s="27" t="s">
        <v>2673</v>
      </c>
      <c r="CEW40" s="27" t="s">
        <v>8301</v>
      </c>
      <c r="CEX40" s="27" t="s">
        <v>8303</v>
      </c>
      <c r="CEY40" s="27" t="s">
        <v>8303</v>
      </c>
      <c r="CEZ40" s="27" t="s">
        <v>8301</v>
      </c>
      <c r="CFA40" s="27" t="s">
        <v>2673</v>
      </c>
      <c r="CFB40" s="27" t="s">
        <v>25</v>
      </c>
      <c r="CFC40" s="27" t="s">
        <v>25</v>
      </c>
      <c r="CFD40" s="27" t="s">
        <v>25</v>
      </c>
      <c r="CFE40" s="27" t="s">
        <v>25</v>
      </c>
      <c r="CFF40" s="27" t="s">
        <v>25</v>
      </c>
      <c r="CFG40" s="27" t="s">
        <v>25</v>
      </c>
      <c r="CFH40" s="27" t="s">
        <v>25</v>
      </c>
      <c r="CFI40" s="27" t="s">
        <v>25</v>
      </c>
      <c r="CFJ40" s="27" t="s">
        <v>25</v>
      </c>
      <c r="CFK40" s="27" t="s">
        <v>25</v>
      </c>
      <c r="CFL40" s="27" t="s">
        <v>25</v>
      </c>
      <c r="CFM40" s="27" t="s">
        <v>25</v>
      </c>
      <c r="CFN40" s="27" t="s">
        <v>25</v>
      </c>
      <c r="CFO40" s="27" t="s">
        <v>25</v>
      </c>
      <c r="CFP40" s="27" t="s">
        <v>25</v>
      </c>
      <c r="CFQ40" s="27" t="s">
        <v>25</v>
      </c>
      <c r="CFR40" s="27" t="s">
        <v>25</v>
      </c>
      <c r="CFS40" s="27" t="s">
        <v>25</v>
      </c>
      <c r="CFT40" s="27" t="s">
        <v>25</v>
      </c>
      <c r="CFU40" s="27" t="s">
        <v>25</v>
      </c>
      <c r="CFV40" s="27" t="s">
        <v>25</v>
      </c>
      <c r="CFW40" s="27" t="s">
        <v>25</v>
      </c>
      <c r="CFX40" s="27" t="s">
        <v>25</v>
      </c>
      <c r="CFY40" s="27" t="s">
        <v>25</v>
      </c>
      <c r="CFZ40" s="27" t="s">
        <v>25</v>
      </c>
      <c r="CGA40" s="27" t="s">
        <v>25</v>
      </c>
      <c r="CGB40" s="27" t="s">
        <v>25</v>
      </c>
      <c r="CGK40" s="26">
        <v>0</v>
      </c>
      <c r="CGL40" s="26">
        <v>1</v>
      </c>
      <c r="CGM40" s="26">
        <v>0.1</v>
      </c>
      <c r="CGN40" s="26">
        <v>1</v>
      </c>
      <c r="CGO40" s="26">
        <v>0.25</v>
      </c>
      <c r="CGP40" s="26">
        <v>1</v>
      </c>
      <c r="CGQ40" s="26">
        <v>0.25</v>
      </c>
      <c r="CGR40" s="26">
        <v>1</v>
      </c>
      <c r="CGS40" s="27" t="s">
        <v>8522</v>
      </c>
      <c r="CGT40" s="27" t="s">
        <v>8442</v>
      </c>
      <c r="CGU40" s="27" t="s">
        <v>13837</v>
      </c>
      <c r="CGV40" s="27" t="s">
        <v>8296</v>
      </c>
      <c r="CGW40" s="27" t="s">
        <v>8297</v>
      </c>
      <c r="CGX40" s="27" t="s">
        <v>8297</v>
      </c>
      <c r="CGY40" s="27" t="s">
        <v>8298</v>
      </c>
      <c r="CGZ40" s="27" t="s">
        <v>8296</v>
      </c>
      <c r="CHA40" s="27" t="s">
        <v>8297</v>
      </c>
      <c r="CHB40" s="27" t="s">
        <v>8297</v>
      </c>
      <c r="CHC40" s="27" t="s">
        <v>8297</v>
      </c>
      <c r="CHD40" s="27" t="s">
        <v>8297</v>
      </c>
      <c r="CHE40" s="27" t="s">
        <v>8296</v>
      </c>
      <c r="CHF40" s="27" t="s">
        <v>8298</v>
      </c>
      <c r="CHG40" s="27" t="s">
        <v>8298</v>
      </c>
      <c r="CHH40" s="27" t="s">
        <v>8297</v>
      </c>
      <c r="CHI40" s="27" t="s">
        <v>8296</v>
      </c>
      <c r="CHJ40" s="27" t="s">
        <v>8296</v>
      </c>
      <c r="CHK40" s="27" t="s">
        <v>8297</v>
      </c>
      <c r="CHL40" s="27" t="s">
        <v>8300</v>
      </c>
      <c r="CHM40" s="27" t="s">
        <v>8296</v>
      </c>
      <c r="CHN40" s="27" t="s">
        <v>8296</v>
      </c>
      <c r="CHO40" s="27" t="s">
        <v>8296</v>
      </c>
      <c r="CHP40" s="27" t="s">
        <v>8296</v>
      </c>
      <c r="CHQ40" s="27" t="s">
        <v>8296</v>
      </c>
      <c r="CHR40" s="27" t="s">
        <v>8298</v>
      </c>
      <c r="CHS40" s="27" t="s">
        <v>8298</v>
      </c>
      <c r="CHT40" s="27" t="s">
        <v>8298</v>
      </c>
      <c r="CHU40" s="27" t="s">
        <v>8298</v>
      </c>
      <c r="CHV40" s="27" t="s">
        <v>8298</v>
      </c>
      <c r="CHW40" s="27" t="s">
        <v>25</v>
      </c>
      <c r="CHX40" s="27" t="s">
        <v>25</v>
      </c>
      <c r="CHY40" s="27" t="s">
        <v>25</v>
      </c>
      <c r="CHZ40" s="27" t="s">
        <v>25</v>
      </c>
      <c r="CIA40" s="27" t="s">
        <v>25</v>
      </c>
      <c r="CIB40" s="27" t="s">
        <v>25</v>
      </c>
      <c r="CIC40" s="27" t="s">
        <v>25</v>
      </c>
      <c r="CID40" s="27" t="s">
        <v>25</v>
      </c>
      <c r="CIE40" s="27" t="s">
        <v>25</v>
      </c>
      <c r="CIF40" s="27" t="s">
        <v>25</v>
      </c>
      <c r="CIG40" s="27" t="s">
        <v>25</v>
      </c>
      <c r="CIH40" s="27" t="s">
        <v>25</v>
      </c>
      <c r="CII40" s="27" t="s">
        <v>25</v>
      </c>
      <c r="CIJ40" s="27" t="s">
        <v>25</v>
      </c>
      <c r="CIK40" s="27" t="s">
        <v>25</v>
      </c>
      <c r="CIL40" s="27" t="s">
        <v>25</v>
      </c>
      <c r="CIM40" s="27" t="s">
        <v>25</v>
      </c>
      <c r="CIN40" s="27" t="s">
        <v>25</v>
      </c>
      <c r="CIO40" s="27" t="s">
        <v>25</v>
      </c>
      <c r="CIP40" s="27" t="s">
        <v>25</v>
      </c>
      <c r="CIQ40" s="27" t="s">
        <v>25</v>
      </c>
      <c r="CIR40" s="27" t="s">
        <v>25</v>
      </c>
      <c r="CIS40" s="27" t="s">
        <v>25</v>
      </c>
      <c r="CIT40" s="27" t="s">
        <v>25</v>
      </c>
      <c r="CIU40" s="27" t="s">
        <v>25</v>
      </c>
      <c r="CIV40" s="27" t="s">
        <v>25</v>
      </c>
      <c r="CIW40" s="27" t="s">
        <v>25</v>
      </c>
      <c r="CJY40" s="27" t="s">
        <v>25</v>
      </c>
      <c r="CJZ40" s="27" t="s">
        <v>25</v>
      </c>
      <c r="CKA40" s="27" t="s">
        <v>25</v>
      </c>
      <c r="CKB40" s="27" t="s">
        <v>25</v>
      </c>
      <c r="CKC40" s="27" t="s">
        <v>25</v>
      </c>
      <c r="CKD40" s="27" t="s">
        <v>25</v>
      </c>
      <c r="CKE40" s="27" t="s">
        <v>25</v>
      </c>
      <c r="CKF40" s="27" t="s">
        <v>25</v>
      </c>
      <c r="CKG40" s="27" t="s">
        <v>25</v>
      </c>
      <c r="CKH40" s="27" t="s">
        <v>25</v>
      </c>
      <c r="CKI40" s="27" t="s">
        <v>25</v>
      </c>
      <c r="CKJ40" s="27" t="s">
        <v>25</v>
      </c>
      <c r="CKK40" s="27" t="s">
        <v>25</v>
      </c>
      <c r="CKL40" s="27" t="s">
        <v>25</v>
      </c>
      <c r="CKM40" s="27" t="s">
        <v>25</v>
      </c>
      <c r="CKN40" s="27" t="s">
        <v>25</v>
      </c>
      <c r="CKO40" s="27" t="s">
        <v>25</v>
      </c>
      <c r="CKP40" s="27" t="s">
        <v>25</v>
      </c>
      <c r="CKQ40" s="27" t="s">
        <v>25</v>
      </c>
      <c r="CKR40" s="27" t="s">
        <v>25</v>
      </c>
      <c r="CKS40" s="27" t="s">
        <v>25</v>
      </c>
      <c r="CKT40" s="27" t="s">
        <v>25</v>
      </c>
      <c r="CKU40" s="27" t="s">
        <v>25</v>
      </c>
      <c r="CKV40" s="27" t="s">
        <v>25</v>
      </c>
      <c r="CKW40" s="27" t="s">
        <v>25</v>
      </c>
      <c r="CKX40" s="27" t="s">
        <v>25</v>
      </c>
      <c r="CKY40" s="27" t="s">
        <v>25</v>
      </c>
      <c r="CPW40" s="27">
        <v>2</v>
      </c>
      <c r="CPX40" s="56">
        <v>10</v>
      </c>
      <c r="CQB40" s="25" t="s">
        <v>8372</v>
      </c>
      <c r="CQC40" s="25" t="s">
        <v>8372</v>
      </c>
      <c r="CQD40" s="25" t="s">
        <v>8372</v>
      </c>
      <c r="CQE40" s="25" t="s">
        <v>8372</v>
      </c>
      <c r="CQF40" s="25" t="s">
        <v>8372</v>
      </c>
      <c r="CQG40" s="56">
        <v>100</v>
      </c>
      <c r="CQH40" s="56">
        <v>10</v>
      </c>
      <c r="CQI40" s="56">
        <v>150</v>
      </c>
      <c r="CQJ40" s="56">
        <v>120</v>
      </c>
      <c r="CQK40" s="56">
        <v>0</v>
      </c>
      <c r="CQL40" s="25" t="s">
        <v>13675</v>
      </c>
      <c r="CQM40" s="25" t="s">
        <v>8345</v>
      </c>
      <c r="CQN40" s="25" t="s">
        <v>28</v>
      </c>
      <c r="CQO40" s="25" t="s">
        <v>8574</v>
      </c>
      <c r="CQP40" s="56">
        <v>2300</v>
      </c>
      <c r="CQQ40" s="25" t="s">
        <v>8633</v>
      </c>
      <c r="CQR40" s="25" t="s">
        <v>8634</v>
      </c>
      <c r="CQS40" s="25" t="s">
        <v>25</v>
      </c>
      <c r="CQT40" s="25" t="s">
        <v>8312</v>
      </c>
      <c r="CQU40" s="25" t="s">
        <v>8312</v>
      </c>
      <c r="CQV40" s="25" t="s">
        <v>8312</v>
      </c>
      <c r="CQW40" s="25" t="s">
        <v>8312</v>
      </c>
      <c r="CQX40" s="25" t="s">
        <v>8312</v>
      </c>
      <c r="CQY40" s="25" t="s">
        <v>8312</v>
      </c>
      <c r="CQZ40" s="25" t="s">
        <v>8312</v>
      </c>
      <c r="CRA40" s="25" t="s">
        <v>8314</v>
      </c>
      <c r="CRB40" s="25" t="s">
        <v>8314</v>
      </c>
      <c r="CRC40" s="25" t="s">
        <v>8312</v>
      </c>
      <c r="CRD40" s="25" t="s">
        <v>8312</v>
      </c>
      <c r="CRE40" s="27" t="s">
        <v>8313</v>
      </c>
    </row>
    <row r="41" spans="1:2048 2050:2501" ht="89.25" x14ac:dyDescent="0.2">
      <c r="A41" s="21" t="s">
        <v>142</v>
      </c>
      <c r="B41" s="26">
        <v>0.17</v>
      </c>
      <c r="C41" s="26">
        <v>0</v>
      </c>
      <c r="D41" s="26">
        <v>0.28000000000000003</v>
      </c>
      <c r="E41" s="26">
        <v>0.46</v>
      </c>
      <c r="F41" s="26">
        <v>0</v>
      </c>
      <c r="G41" s="26">
        <v>0</v>
      </c>
      <c r="H41" s="26">
        <v>0</v>
      </c>
      <c r="I41" s="26">
        <v>0</v>
      </c>
      <c r="J41" s="26">
        <v>0</v>
      </c>
      <c r="K41" s="26">
        <v>0</v>
      </c>
      <c r="L41" s="26">
        <v>0</v>
      </c>
      <c r="M41" s="26">
        <v>0.09</v>
      </c>
      <c r="N41" s="26">
        <v>0.16</v>
      </c>
      <c r="O41" s="26">
        <v>0</v>
      </c>
      <c r="P41" s="26">
        <v>0.16</v>
      </c>
      <c r="Q41" s="26">
        <v>0.26</v>
      </c>
      <c r="R41" s="26">
        <v>0</v>
      </c>
      <c r="S41" s="26">
        <v>0</v>
      </c>
      <c r="T41" s="26">
        <v>0</v>
      </c>
      <c r="U41" s="26">
        <v>0</v>
      </c>
      <c r="V41" s="26">
        <v>0</v>
      </c>
      <c r="W41" s="26">
        <v>0</v>
      </c>
      <c r="X41" s="26">
        <v>0</v>
      </c>
      <c r="Y41" s="26">
        <v>0.42</v>
      </c>
      <c r="Z41" s="25">
        <v>1</v>
      </c>
      <c r="AA41" s="25" t="s">
        <v>8679</v>
      </c>
      <c r="AC41" s="56">
        <v>2000</v>
      </c>
      <c r="AD41" s="56">
        <v>6000</v>
      </c>
      <c r="AE41" s="56">
        <v>4000</v>
      </c>
      <c r="AF41" s="56">
        <v>12000</v>
      </c>
      <c r="AI41" s="25" t="s">
        <v>8246</v>
      </c>
      <c r="AJ41" s="56">
        <v>500</v>
      </c>
      <c r="AK41" s="56">
        <v>1000</v>
      </c>
      <c r="AL41" s="56">
        <v>2000</v>
      </c>
      <c r="AM41" s="56">
        <v>4000</v>
      </c>
      <c r="AN41" s="25" t="s">
        <v>8350</v>
      </c>
      <c r="AO41" s="25" t="s">
        <v>8248</v>
      </c>
      <c r="BB41" s="25" t="s">
        <v>8249</v>
      </c>
      <c r="DO41" s="25" t="s">
        <v>25</v>
      </c>
      <c r="DP41" s="25" t="s">
        <v>25</v>
      </c>
      <c r="DR41" s="25" t="s">
        <v>25</v>
      </c>
      <c r="DT41" s="25" t="s">
        <v>13417</v>
      </c>
      <c r="DU41" s="25" t="s">
        <v>13417</v>
      </c>
      <c r="DV41" s="56">
        <v>20</v>
      </c>
      <c r="DW41" s="56">
        <v>40</v>
      </c>
      <c r="DX41" s="56">
        <v>40</v>
      </c>
      <c r="EA41" s="56">
        <v>40</v>
      </c>
      <c r="EF41" s="26">
        <v>0.1</v>
      </c>
      <c r="EG41" s="26">
        <v>0.1</v>
      </c>
      <c r="EQ41" s="26">
        <v>0.3</v>
      </c>
      <c r="ER41" s="26">
        <v>0.3</v>
      </c>
      <c r="ES41" s="26">
        <v>0.3</v>
      </c>
      <c r="ET41" s="26">
        <v>0.1</v>
      </c>
      <c r="EU41" s="26">
        <v>0.3</v>
      </c>
      <c r="EV41" s="26">
        <v>0.3</v>
      </c>
      <c r="EX41" s="25" t="s">
        <v>8250</v>
      </c>
      <c r="EY41" s="25" t="s">
        <v>8250</v>
      </c>
      <c r="EZ41" s="25" t="s">
        <v>8250</v>
      </c>
      <c r="FA41" s="25" t="s">
        <v>8250</v>
      </c>
      <c r="FC41" s="25" t="s">
        <v>8250</v>
      </c>
      <c r="FE41" s="25" t="s">
        <v>28</v>
      </c>
      <c r="FF41" s="25" t="s">
        <v>28</v>
      </c>
      <c r="FG41" s="25" t="s">
        <v>28</v>
      </c>
      <c r="FH41" s="25" t="s">
        <v>25</v>
      </c>
      <c r="FI41" s="25" t="s">
        <v>28</v>
      </c>
      <c r="FJ41" s="25" t="s">
        <v>28</v>
      </c>
      <c r="FL41" s="25" t="s">
        <v>13810</v>
      </c>
      <c r="FM41" s="25" t="s">
        <v>13810</v>
      </c>
      <c r="FN41" s="25" t="s">
        <v>13810</v>
      </c>
      <c r="FP41" s="25" t="s">
        <v>13810</v>
      </c>
      <c r="FQ41" s="25" t="s">
        <v>13810</v>
      </c>
      <c r="FS41" s="25" t="s">
        <v>631</v>
      </c>
      <c r="FT41" s="25" t="s">
        <v>631</v>
      </c>
      <c r="FV41" s="25" t="s">
        <v>13435</v>
      </c>
      <c r="FW41" s="25" t="s">
        <v>8619</v>
      </c>
      <c r="FX41" s="25" t="s">
        <v>8585</v>
      </c>
      <c r="FZ41" s="25" t="s">
        <v>8619</v>
      </c>
      <c r="GA41" s="25" t="s">
        <v>8619</v>
      </c>
      <c r="GE41" s="56">
        <v>10</v>
      </c>
      <c r="GG41" s="56">
        <v>20</v>
      </c>
      <c r="GI41" s="56">
        <v>25</v>
      </c>
      <c r="GK41" s="56">
        <v>50</v>
      </c>
      <c r="GM41" s="56">
        <v>40</v>
      </c>
      <c r="GO41" s="56">
        <v>80</v>
      </c>
      <c r="KM41" s="25" t="s">
        <v>8255</v>
      </c>
      <c r="KN41" s="25" t="s">
        <v>8298</v>
      </c>
      <c r="KO41" s="25" t="s">
        <v>8257</v>
      </c>
      <c r="KP41" s="25">
        <v>2</v>
      </c>
      <c r="KQ41" s="25" t="s">
        <v>8680</v>
      </c>
      <c r="KR41" s="25" t="s">
        <v>8681</v>
      </c>
      <c r="KS41" s="56">
        <v>3600</v>
      </c>
      <c r="KT41" s="56">
        <v>6850</v>
      </c>
      <c r="KU41" s="56">
        <v>5100</v>
      </c>
      <c r="KV41" s="56">
        <v>15300</v>
      </c>
      <c r="KW41" s="56">
        <v>15300</v>
      </c>
      <c r="KX41" s="56">
        <v>15300</v>
      </c>
      <c r="KY41" s="25" t="s">
        <v>8246</v>
      </c>
      <c r="KZ41" s="56">
        <v>1400</v>
      </c>
      <c r="LA41" s="56">
        <v>3500</v>
      </c>
      <c r="LB41" s="56">
        <v>2800</v>
      </c>
      <c r="LC41" s="56">
        <v>7000</v>
      </c>
      <c r="LD41" s="25" t="s">
        <v>8247</v>
      </c>
      <c r="LE41" s="25" t="s">
        <v>8248</v>
      </c>
      <c r="LR41" s="25" t="s">
        <v>8249</v>
      </c>
      <c r="OE41" s="25" t="s">
        <v>25</v>
      </c>
      <c r="OF41" s="25" t="s">
        <v>25</v>
      </c>
      <c r="OH41" s="25" t="s">
        <v>25</v>
      </c>
      <c r="OJ41" s="25" t="s">
        <v>13418</v>
      </c>
      <c r="OK41" s="25" t="s">
        <v>13418</v>
      </c>
      <c r="OS41" s="26">
        <v>0.1</v>
      </c>
      <c r="OT41" s="26">
        <v>0.1</v>
      </c>
      <c r="OU41" s="26">
        <v>0.1</v>
      </c>
      <c r="PG41" s="26">
        <v>0.3</v>
      </c>
      <c r="PH41" s="26">
        <v>0.3</v>
      </c>
      <c r="PI41" s="26">
        <v>0.3</v>
      </c>
      <c r="PN41" s="25" t="s">
        <v>8250</v>
      </c>
      <c r="PO41" s="25" t="s">
        <v>8250</v>
      </c>
      <c r="PP41" s="25" t="s">
        <v>8250</v>
      </c>
      <c r="PU41" s="25" t="s">
        <v>25</v>
      </c>
      <c r="PV41" s="25" t="s">
        <v>28</v>
      </c>
      <c r="PW41" s="25" t="s">
        <v>28</v>
      </c>
      <c r="QB41" s="25" t="s">
        <v>13810</v>
      </c>
      <c r="QC41" s="25" t="s">
        <v>13810</v>
      </c>
      <c r="QD41" s="25" t="s">
        <v>13810</v>
      </c>
      <c r="QF41" s="25" t="s">
        <v>13810</v>
      </c>
      <c r="QG41" s="25" t="s">
        <v>13810</v>
      </c>
      <c r="QI41" s="25" t="s">
        <v>631</v>
      </c>
      <c r="QJ41" s="25" t="s">
        <v>631</v>
      </c>
      <c r="QL41" s="25" t="s">
        <v>13435</v>
      </c>
      <c r="QM41" s="25" t="s">
        <v>8619</v>
      </c>
      <c r="QN41" s="25" t="s">
        <v>13438</v>
      </c>
      <c r="QP41" s="25" t="s">
        <v>8619</v>
      </c>
      <c r="QQ41" s="25" t="s">
        <v>8619</v>
      </c>
      <c r="RW41" s="26">
        <v>0.1</v>
      </c>
      <c r="RX41" s="26">
        <v>0.1</v>
      </c>
      <c r="RY41" s="26">
        <v>0.1</v>
      </c>
      <c r="VC41" s="25" t="s">
        <v>8255</v>
      </c>
      <c r="VD41" s="25" t="s">
        <v>8298</v>
      </c>
      <c r="VE41" s="25" t="s">
        <v>8257</v>
      </c>
      <c r="VF41" s="25">
        <v>0</v>
      </c>
      <c r="VI41" s="25"/>
      <c r="VJ41" s="25"/>
      <c r="VK41" s="25"/>
      <c r="VL41" s="25"/>
      <c r="VM41" s="25"/>
      <c r="VN41" s="25"/>
      <c r="VP41" s="25"/>
      <c r="VQ41" s="25"/>
      <c r="VR41" s="25"/>
      <c r="VS41" s="25"/>
      <c r="ZA41" s="25"/>
      <c r="ZB41" s="25"/>
      <c r="ZC41" s="25"/>
      <c r="ZD41" s="25"/>
      <c r="ZE41" s="25"/>
      <c r="ZF41" s="25"/>
      <c r="ZG41" s="25"/>
      <c r="ZO41" s="25"/>
      <c r="ZP41" s="25"/>
      <c r="ZQ41" s="25"/>
      <c r="ZR41" s="25"/>
      <c r="ZS41" s="25"/>
      <c r="ZT41" s="25"/>
      <c r="ZU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S41" s="25"/>
      <c r="ACT41" s="25"/>
      <c r="ACU41" s="25"/>
      <c r="ACV41" s="25"/>
      <c r="ACW41" s="25"/>
      <c r="ACX41" s="25"/>
      <c r="ACY41" s="25"/>
      <c r="ACZ41" s="25"/>
      <c r="ADA41" s="25"/>
      <c r="ADB41" s="25"/>
      <c r="ADC41" s="25"/>
      <c r="ADD41" s="25"/>
      <c r="ADE41" s="25"/>
      <c r="ADF41" s="25"/>
      <c r="ADN41" s="25"/>
      <c r="ADO41" s="25"/>
      <c r="ADP41" s="25"/>
      <c r="ADQ41" s="25"/>
      <c r="ADR41" s="25"/>
      <c r="ADS41" s="25"/>
      <c r="ADT41" s="25"/>
      <c r="ADU41" s="25"/>
      <c r="ADV41" s="25"/>
      <c r="ADW41" s="25"/>
      <c r="ADX41" s="25"/>
      <c r="ADY41" s="25"/>
      <c r="ADZ41" s="25"/>
      <c r="AEA41" s="25"/>
      <c r="AEI41" s="25"/>
      <c r="AEJ41" s="25"/>
      <c r="AEK41" s="25"/>
      <c r="AEL41" s="25"/>
      <c r="AEM41" s="25"/>
      <c r="AEN41" s="25"/>
      <c r="AEO41" s="25"/>
      <c r="AEP41" s="25"/>
      <c r="AEQ41" s="25"/>
      <c r="AER41" s="25"/>
      <c r="AES41" s="25"/>
      <c r="AET41" s="25"/>
      <c r="AEU41" s="25"/>
      <c r="AEV41" s="25"/>
      <c r="AFD41" s="25"/>
      <c r="AFE41" s="25"/>
      <c r="AFF41" s="25"/>
      <c r="AFG41" s="25"/>
      <c r="AFH41" s="25"/>
      <c r="AFI41" s="25"/>
      <c r="AFJ41" s="25"/>
      <c r="AFK41" s="25"/>
      <c r="AFL41" s="25"/>
      <c r="AFM41" s="25"/>
      <c r="AFN41" s="25"/>
      <c r="AFO41" s="25"/>
      <c r="AFP41" s="25"/>
      <c r="AFQ41" s="25"/>
      <c r="AFU41" s="25">
        <v>0</v>
      </c>
      <c r="AFX41" s="25"/>
      <c r="AFY41" s="25"/>
      <c r="AFZ41" s="25"/>
      <c r="AGA41" s="25"/>
      <c r="AGB41" s="25"/>
      <c r="AGC41" s="25"/>
      <c r="AGE41" s="25"/>
      <c r="AGF41" s="25"/>
      <c r="AGG41" s="25"/>
      <c r="AGH41" s="25"/>
      <c r="AJP41" s="25"/>
      <c r="AJQ41" s="25"/>
      <c r="AJR41" s="25"/>
      <c r="AJS41" s="25"/>
      <c r="AJT41" s="25"/>
      <c r="AJU41" s="25"/>
      <c r="AJV41" s="25"/>
      <c r="AKD41" s="25"/>
      <c r="AKE41" s="25"/>
      <c r="AKF41" s="25"/>
      <c r="AKG41" s="25"/>
      <c r="AKH41" s="25"/>
      <c r="AKI41" s="25"/>
      <c r="AKJ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H41" s="25"/>
      <c r="ANI41" s="25"/>
      <c r="ANJ41" s="25"/>
      <c r="ANK41" s="25"/>
      <c r="ANL41" s="25"/>
      <c r="ANM41" s="25"/>
      <c r="ANN41" s="25"/>
      <c r="ANO41" s="25"/>
      <c r="ANP41" s="25"/>
      <c r="ANQ41" s="25"/>
      <c r="ANR41" s="25"/>
      <c r="ANS41" s="25"/>
      <c r="ANT41" s="25"/>
      <c r="ANU41" s="25"/>
      <c r="AOC41" s="25"/>
      <c r="AOD41" s="25"/>
      <c r="AOE41" s="25"/>
      <c r="AOF41" s="25"/>
      <c r="AOG41" s="25"/>
      <c r="AOH41" s="25"/>
      <c r="AOI41" s="25"/>
      <c r="AOJ41" s="25"/>
      <c r="AOK41" s="25"/>
      <c r="AOL41" s="25"/>
      <c r="AOM41" s="25"/>
      <c r="AON41" s="25"/>
      <c r="AOO41" s="25"/>
      <c r="AOP41" s="25"/>
      <c r="AOX41" s="25"/>
      <c r="AOY41" s="25"/>
      <c r="AOZ41" s="25"/>
      <c r="APA41" s="25"/>
      <c r="APB41" s="25"/>
      <c r="APC41" s="25"/>
      <c r="APD41" s="25"/>
      <c r="APE41" s="25"/>
      <c r="APF41" s="25"/>
      <c r="APG41" s="25"/>
      <c r="APH41" s="25"/>
      <c r="API41" s="25"/>
      <c r="APJ41" s="25"/>
      <c r="APK41" s="25"/>
      <c r="APS41" s="25"/>
      <c r="APT41" s="25"/>
      <c r="APU41" s="25"/>
      <c r="APV41" s="25"/>
      <c r="APW41" s="25"/>
      <c r="APX41" s="25"/>
      <c r="APY41" s="25"/>
      <c r="APZ41" s="25"/>
      <c r="AQA41" s="25"/>
      <c r="AQB41" s="25"/>
      <c r="AQC41" s="25"/>
      <c r="AQD41" s="25"/>
      <c r="AQE41" s="25"/>
      <c r="AQF41" s="25"/>
      <c r="AQJ41" s="25">
        <v>1</v>
      </c>
      <c r="AQK41" s="25" t="s">
        <v>8682</v>
      </c>
      <c r="AQM41" s="56">
        <v>3000</v>
      </c>
      <c r="AQN41" s="56">
        <v>6000</v>
      </c>
      <c r="AQS41" s="25" t="s">
        <v>8246</v>
      </c>
      <c r="AQT41" s="56">
        <v>500</v>
      </c>
      <c r="AQU41" s="56">
        <v>1000</v>
      </c>
      <c r="AQX41" s="25" t="s">
        <v>8248</v>
      </c>
      <c r="ARK41" s="25" t="s">
        <v>8249</v>
      </c>
      <c r="ATX41" s="25" t="s">
        <v>25</v>
      </c>
      <c r="ATY41" s="25" t="s">
        <v>25</v>
      </c>
      <c r="AUA41" s="25" t="s">
        <v>25</v>
      </c>
      <c r="AUC41" s="25" t="s">
        <v>13433</v>
      </c>
      <c r="AUD41" s="25" t="s">
        <v>13433</v>
      </c>
      <c r="AUE41" s="56">
        <v>20</v>
      </c>
      <c r="AUF41" s="56">
        <v>20</v>
      </c>
      <c r="AUG41" s="56">
        <v>20</v>
      </c>
      <c r="AUJ41" s="56">
        <v>20</v>
      </c>
      <c r="AVG41" s="25" t="s">
        <v>8250</v>
      </c>
      <c r="AVH41" s="25" t="s">
        <v>8250</v>
      </c>
      <c r="AVI41" s="25" t="s">
        <v>8250</v>
      </c>
      <c r="AVL41" s="25" t="s">
        <v>8250</v>
      </c>
      <c r="AVN41" s="25" t="s">
        <v>25</v>
      </c>
      <c r="AVO41" s="25" t="s">
        <v>25</v>
      </c>
      <c r="AVP41" s="25" t="s">
        <v>25</v>
      </c>
      <c r="AVS41" s="25" t="s">
        <v>25</v>
      </c>
      <c r="AVU41" s="25" t="s">
        <v>13810</v>
      </c>
      <c r="AVV41" s="25" t="s">
        <v>13810</v>
      </c>
      <c r="AVW41" s="25" t="s">
        <v>13810</v>
      </c>
      <c r="AVX41" s="25" t="s">
        <v>8252</v>
      </c>
      <c r="AVY41" s="25" t="s">
        <v>8252</v>
      </c>
      <c r="AVZ41" s="25" t="s">
        <v>8252</v>
      </c>
      <c r="AWA41" s="25" t="s">
        <v>8252</v>
      </c>
      <c r="AWB41" s="25" t="s">
        <v>8252</v>
      </c>
      <c r="AWC41" s="25" t="s">
        <v>8252</v>
      </c>
      <c r="AWE41" s="25" t="s">
        <v>8253</v>
      </c>
      <c r="AWF41" s="25" t="s">
        <v>8253</v>
      </c>
      <c r="AWG41" s="25" t="s">
        <v>8253</v>
      </c>
      <c r="AWH41" s="25" t="s">
        <v>8253</v>
      </c>
      <c r="AWI41" s="25" t="s">
        <v>8253</v>
      </c>
      <c r="AWJ41" s="25" t="s">
        <v>8253</v>
      </c>
      <c r="AWK41" s="25" t="s">
        <v>8253</v>
      </c>
      <c r="AWL41" s="25" t="s">
        <v>8253</v>
      </c>
      <c r="AWM41" s="25" t="s">
        <v>8253</v>
      </c>
      <c r="AWN41" s="56">
        <v>10</v>
      </c>
      <c r="AWP41" s="56">
        <v>20</v>
      </c>
      <c r="AWR41" s="56">
        <v>30</v>
      </c>
      <c r="AWT41" s="56">
        <v>60</v>
      </c>
      <c r="BAV41" s="25" t="s">
        <v>8255</v>
      </c>
      <c r="BAW41" s="25" t="s">
        <v>8256</v>
      </c>
      <c r="BAX41" s="25" t="s">
        <v>8257</v>
      </c>
      <c r="BAY41" s="25">
        <v>0</v>
      </c>
      <c r="BBB41" s="25"/>
      <c r="BBC41" s="25"/>
      <c r="BBD41" s="25"/>
      <c r="BBE41" s="25"/>
      <c r="BBF41" s="25"/>
      <c r="BBG41" s="25"/>
      <c r="BBI41" s="25"/>
      <c r="BBJ41" s="25"/>
      <c r="BBK41" s="25"/>
      <c r="BBL41" s="25"/>
      <c r="BET41" s="25"/>
      <c r="BEU41" s="25"/>
      <c r="BEV41" s="25"/>
      <c r="BEW41" s="25"/>
      <c r="BEX41" s="25"/>
      <c r="BEY41" s="25"/>
      <c r="BEZ41" s="25"/>
      <c r="BFH41" s="25"/>
      <c r="BFI41" s="25"/>
      <c r="BFJ41" s="25"/>
      <c r="BFK41" s="25"/>
      <c r="BFL41" s="25"/>
      <c r="BFM41" s="25"/>
      <c r="BFN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L41" s="25"/>
      <c r="BIM41" s="25"/>
      <c r="BIN41" s="25"/>
      <c r="BIO41" s="25"/>
      <c r="BIP41" s="25"/>
      <c r="BIQ41" s="25"/>
      <c r="BIR41" s="25"/>
      <c r="BIS41" s="25"/>
      <c r="BIT41" s="25"/>
      <c r="BIU41" s="25"/>
      <c r="BIV41" s="25"/>
      <c r="BIW41" s="25"/>
      <c r="BIX41" s="25"/>
      <c r="BIY41" s="25"/>
      <c r="BJG41" s="25"/>
      <c r="BJH41" s="25"/>
      <c r="BJI41" s="25"/>
      <c r="BJJ41" s="25"/>
      <c r="BJK41" s="25"/>
      <c r="BJL41" s="25"/>
      <c r="BJM41" s="25"/>
      <c r="BJN41" s="25"/>
      <c r="BJO41" s="25"/>
      <c r="BJP41" s="25"/>
      <c r="BJQ41" s="25"/>
      <c r="BJR41" s="25"/>
      <c r="BJS41" s="25"/>
      <c r="BJT41" s="25"/>
      <c r="BKB41" s="25"/>
      <c r="BKC41" s="25"/>
      <c r="BKD41" s="25"/>
      <c r="BKE41" s="25"/>
      <c r="BKF41" s="25"/>
      <c r="BKG41" s="25"/>
      <c r="BKH41" s="25"/>
      <c r="BKI41" s="25"/>
      <c r="BKJ41" s="25"/>
      <c r="BKK41" s="25"/>
      <c r="BKL41" s="25"/>
      <c r="BKM41" s="25"/>
      <c r="BKN41" s="25"/>
      <c r="BKO41" s="25"/>
      <c r="BKW41" s="25"/>
      <c r="BKX41" s="25"/>
      <c r="BKY41" s="25"/>
      <c r="BKZ41" s="25"/>
      <c r="BLA41" s="25"/>
      <c r="BLB41" s="25"/>
      <c r="BLC41" s="25"/>
      <c r="BLD41" s="25"/>
      <c r="BLE41" s="25"/>
      <c r="BLF41" s="25"/>
      <c r="BLG41" s="25"/>
      <c r="BLH41" s="25"/>
      <c r="BLI41" s="25"/>
      <c r="BLJ41" s="25"/>
      <c r="BLN41" s="25">
        <v>0</v>
      </c>
      <c r="BLQ41" s="25"/>
      <c r="BLR41" s="25"/>
      <c r="BLS41" s="25"/>
      <c r="BLT41" s="25"/>
      <c r="BLU41" s="25"/>
      <c r="BLV41" s="25"/>
      <c r="BLX41" s="25"/>
      <c r="BLY41" s="25"/>
      <c r="BLZ41" s="25"/>
      <c r="BMA41" s="25"/>
      <c r="BPI41" s="25"/>
      <c r="BPJ41" s="25"/>
      <c r="BPK41" s="25"/>
      <c r="BPL41" s="25"/>
      <c r="BPM41" s="25"/>
      <c r="BPN41" s="25"/>
      <c r="BPO41" s="25"/>
      <c r="BPW41" s="25"/>
      <c r="BPX41" s="25"/>
      <c r="BPY41" s="25"/>
      <c r="BPZ41" s="25"/>
      <c r="BQA41" s="25"/>
      <c r="BQB41" s="25"/>
      <c r="BQC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TA41" s="25"/>
      <c r="BTB41" s="25"/>
      <c r="BTC41" s="25"/>
      <c r="BTD41" s="25"/>
      <c r="BTE41" s="25"/>
      <c r="BTF41" s="25"/>
      <c r="BTG41" s="25"/>
      <c r="BTH41" s="25"/>
      <c r="BTI41" s="25"/>
      <c r="BTJ41" s="25"/>
      <c r="BTK41" s="25"/>
      <c r="BTL41" s="25"/>
      <c r="BTM41" s="25"/>
      <c r="BTN41" s="25"/>
      <c r="BUQ41" s="25"/>
      <c r="BUR41" s="25"/>
      <c r="BUS41" s="25"/>
      <c r="BUT41" s="25"/>
      <c r="BUU41" s="25"/>
      <c r="BUV41" s="25"/>
      <c r="BUW41" s="25"/>
      <c r="BUX41" s="25"/>
      <c r="BUY41" s="25"/>
      <c r="BUZ41" s="25"/>
      <c r="BVA41" s="25"/>
      <c r="BVB41" s="25"/>
      <c r="BVC41" s="25"/>
      <c r="BVD41" s="25"/>
      <c r="BWC41" s="25" t="s">
        <v>28</v>
      </c>
      <c r="BWD41" s="25" t="s">
        <v>8265</v>
      </c>
      <c r="BWE41" s="25" t="s">
        <v>8266</v>
      </c>
      <c r="BWF41" s="25" t="s">
        <v>13710</v>
      </c>
      <c r="BWG41" s="25" t="s">
        <v>25</v>
      </c>
      <c r="BWH41" s="25" t="s">
        <v>2169</v>
      </c>
      <c r="BWI41" s="25" t="s">
        <v>28</v>
      </c>
      <c r="BWJ41" s="25" t="s">
        <v>8267</v>
      </c>
      <c r="BWK41" s="25" t="s">
        <v>25</v>
      </c>
      <c r="BWM41" s="25" t="s">
        <v>25</v>
      </c>
      <c r="BWO41" s="25" t="s">
        <v>25</v>
      </c>
      <c r="BWQ41" s="25" t="s">
        <v>28</v>
      </c>
      <c r="BWR41" s="25" t="s">
        <v>25</v>
      </c>
      <c r="BWT41" s="25" t="s">
        <v>25</v>
      </c>
      <c r="BWV41" s="25" t="s">
        <v>25</v>
      </c>
      <c r="BWX41" s="25" t="s">
        <v>28</v>
      </c>
      <c r="BWY41" s="25" t="s">
        <v>8683</v>
      </c>
      <c r="BWZ41" s="25" t="s">
        <v>28</v>
      </c>
      <c r="BXA41" s="56">
        <v>20</v>
      </c>
      <c r="BXB41" s="25" t="s">
        <v>25</v>
      </c>
      <c r="BXD41" s="25" t="s">
        <v>28</v>
      </c>
      <c r="BXE41" s="25" t="s">
        <v>8684</v>
      </c>
      <c r="BXF41" s="25" t="s">
        <v>28</v>
      </c>
      <c r="BXG41" s="56">
        <v>20</v>
      </c>
      <c r="BXH41" s="25" t="s">
        <v>25</v>
      </c>
      <c r="BXJ41" s="25" t="s">
        <v>28</v>
      </c>
      <c r="BXK41" s="25" t="s">
        <v>8685</v>
      </c>
      <c r="BXL41" s="25" t="s">
        <v>13821</v>
      </c>
      <c r="BXM41" s="25" t="s">
        <v>28</v>
      </c>
      <c r="BXN41" s="25" t="s">
        <v>8272</v>
      </c>
      <c r="BXO41" s="25" t="s">
        <v>8274</v>
      </c>
      <c r="BXP41" s="25" t="s">
        <v>8274</v>
      </c>
      <c r="BXQ41" s="25" t="s">
        <v>8274</v>
      </c>
      <c r="BXR41" s="25" t="s">
        <v>8274</v>
      </c>
      <c r="BXS41" s="25" t="s">
        <v>8273</v>
      </c>
      <c r="BXU41" s="25" t="s">
        <v>25</v>
      </c>
      <c r="BXW41" s="25" t="s">
        <v>25</v>
      </c>
      <c r="BXX41" s="25" t="s">
        <v>25</v>
      </c>
      <c r="BXY41" s="25" t="s">
        <v>25</v>
      </c>
      <c r="BXZ41" s="25" t="s">
        <v>28</v>
      </c>
      <c r="BYA41" s="25" t="s">
        <v>28</v>
      </c>
      <c r="BYB41" s="25" t="s">
        <v>28</v>
      </c>
      <c r="BYC41" s="25" t="s">
        <v>2201</v>
      </c>
      <c r="BYD41" s="25" t="s">
        <v>28</v>
      </c>
      <c r="BYE41" s="25" t="s">
        <v>13617</v>
      </c>
      <c r="BYF41" s="25" t="s">
        <v>8277</v>
      </c>
      <c r="BYH41" s="25" t="s">
        <v>8466</v>
      </c>
      <c r="BYK41" s="25" t="s">
        <v>28</v>
      </c>
      <c r="BYL41" s="25" t="s">
        <v>28</v>
      </c>
      <c r="BYM41" s="25">
        <v>60</v>
      </c>
      <c r="BYN41" s="25" t="s">
        <v>28</v>
      </c>
      <c r="BYO41" s="25">
        <v>60</v>
      </c>
      <c r="BYP41" s="25" t="s">
        <v>25</v>
      </c>
      <c r="BYR41" s="25" t="s">
        <v>28</v>
      </c>
      <c r="BYS41" s="25" t="s">
        <v>732</v>
      </c>
      <c r="BYT41" s="25" t="s">
        <v>732</v>
      </c>
      <c r="BYU41" s="25" t="s">
        <v>732</v>
      </c>
      <c r="BYV41" s="25" t="s">
        <v>25</v>
      </c>
      <c r="BYW41" s="25" t="s">
        <v>28</v>
      </c>
      <c r="BYX41" s="56">
        <v>500</v>
      </c>
      <c r="BYY41" s="56">
        <v>1000</v>
      </c>
      <c r="BYZ41" s="25" t="s">
        <v>8280</v>
      </c>
      <c r="BZA41" s="25" t="s">
        <v>8686</v>
      </c>
      <c r="BZB41" s="25" t="s">
        <v>256</v>
      </c>
      <c r="BZC41" s="25" t="s">
        <v>8282</v>
      </c>
      <c r="BZD41" s="25" t="s">
        <v>28</v>
      </c>
      <c r="BZE41" s="25" t="s">
        <v>28</v>
      </c>
      <c r="BZF41" s="25" t="s">
        <v>25</v>
      </c>
      <c r="BZG41" s="25" t="s">
        <v>25</v>
      </c>
      <c r="BZJ41" s="25" t="s">
        <v>25</v>
      </c>
      <c r="BZM41" s="25" t="s">
        <v>28</v>
      </c>
      <c r="BZN41" s="25" t="s">
        <v>13633</v>
      </c>
      <c r="BZP41" s="25" t="s">
        <v>8284</v>
      </c>
      <c r="BZQ41" s="56" t="s">
        <v>8392</v>
      </c>
      <c r="BZR41" s="25" t="s">
        <v>28</v>
      </c>
      <c r="BZS41" s="25" t="s">
        <v>28</v>
      </c>
      <c r="BZT41" s="25" t="s">
        <v>8285</v>
      </c>
      <c r="BZV41" s="25" t="s">
        <v>13647</v>
      </c>
      <c r="BZX41" s="25" t="s">
        <v>8484</v>
      </c>
      <c r="BZZ41" s="25" t="s">
        <v>25</v>
      </c>
      <c r="CAC41" s="25" t="s">
        <v>28</v>
      </c>
      <c r="CAD41" s="25" t="s">
        <v>8288</v>
      </c>
      <c r="CAE41" s="25" t="s">
        <v>28</v>
      </c>
      <c r="CAF41" s="25" t="s">
        <v>8289</v>
      </c>
      <c r="CAG41" s="25" t="s">
        <v>25</v>
      </c>
      <c r="CAH41" s="25" t="s">
        <v>8290</v>
      </c>
      <c r="CAI41" s="25" t="s">
        <v>8290</v>
      </c>
      <c r="CAJ41" s="25" t="s">
        <v>631</v>
      </c>
      <c r="CAK41" s="25" t="s">
        <v>631</v>
      </c>
      <c r="CAL41" s="25" t="s">
        <v>631</v>
      </c>
      <c r="CAM41" s="25" t="s">
        <v>8290</v>
      </c>
      <c r="CAN41" s="25" t="s">
        <v>8290</v>
      </c>
      <c r="CAO41" s="25" t="s">
        <v>631</v>
      </c>
      <c r="CAP41" s="25" t="s">
        <v>631</v>
      </c>
      <c r="CAQ41" s="25" t="s">
        <v>631</v>
      </c>
      <c r="CAR41" s="25" t="s">
        <v>8339</v>
      </c>
      <c r="CAT41" s="25" t="s">
        <v>25</v>
      </c>
      <c r="CAV41" s="25" t="s">
        <v>8471</v>
      </c>
      <c r="CBB41" s="25">
        <v>2</v>
      </c>
      <c r="CBC41" s="25">
        <v>0</v>
      </c>
      <c r="CBD41" s="25">
        <v>0</v>
      </c>
      <c r="CBE41" s="56">
        <v>25</v>
      </c>
      <c r="CBF41" s="56">
        <v>75</v>
      </c>
      <c r="CBG41" s="56">
        <v>50</v>
      </c>
      <c r="CBH41" s="56">
        <v>150</v>
      </c>
      <c r="CBI41" s="56">
        <v>3000</v>
      </c>
      <c r="CBK41" s="56">
        <v>2000</v>
      </c>
      <c r="CBM41" s="26">
        <v>0</v>
      </c>
      <c r="CBN41" s="26">
        <v>0</v>
      </c>
      <c r="CBO41" s="26">
        <v>0.2</v>
      </c>
      <c r="CBP41" s="26">
        <v>0.2</v>
      </c>
      <c r="CBQ41" s="26">
        <v>0.5</v>
      </c>
      <c r="CBR41" s="26">
        <v>0.5</v>
      </c>
      <c r="CBS41" s="26">
        <v>0.5</v>
      </c>
      <c r="CBT41" s="26">
        <v>0.5</v>
      </c>
      <c r="CBU41" s="27" t="s">
        <v>28</v>
      </c>
      <c r="CBV41" s="27" t="s">
        <v>8573</v>
      </c>
      <c r="CBW41" s="27" t="s">
        <v>8294</v>
      </c>
      <c r="CBX41" s="27" t="s">
        <v>8418</v>
      </c>
      <c r="CBY41" s="27" t="s">
        <v>8296</v>
      </c>
      <c r="CBZ41" s="27" t="s">
        <v>8296</v>
      </c>
      <c r="CCA41" s="27" t="s">
        <v>8297</v>
      </c>
      <c r="CCB41" s="27" t="s">
        <v>8298</v>
      </c>
      <c r="CCC41" s="27" t="s">
        <v>8298</v>
      </c>
      <c r="CCD41" s="27" t="s">
        <v>8297</v>
      </c>
      <c r="CCE41" s="27" t="s">
        <v>8297</v>
      </c>
      <c r="CCF41" s="27" t="s">
        <v>8297</v>
      </c>
      <c r="CCG41" s="27" t="s">
        <v>8297</v>
      </c>
      <c r="CCH41" s="27" t="s">
        <v>8298</v>
      </c>
      <c r="CCI41" s="27" t="s">
        <v>8298</v>
      </c>
      <c r="CCJ41" s="27" t="s">
        <v>8298</v>
      </c>
      <c r="CCK41" s="27" t="s">
        <v>8296</v>
      </c>
      <c r="CCL41" s="27" t="s">
        <v>8297</v>
      </c>
      <c r="CCN41" s="27" t="s">
        <v>8296</v>
      </c>
      <c r="CCO41" s="27" t="s">
        <v>8300</v>
      </c>
      <c r="CCP41" s="27" t="s">
        <v>8298</v>
      </c>
      <c r="CCQ41" s="27" t="s">
        <v>8296</v>
      </c>
      <c r="CCR41" s="27" t="s">
        <v>8296</v>
      </c>
      <c r="CCS41" s="27" t="s">
        <v>8298</v>
      </c>
      <c r="CCT41" s="27" t="s">
        <v>8296</v>
      </c>
      <c r="CCU41" s="27" t="s">
        <v>8298</v>
      </c>
      <c r="CCV41" s="27" t="s">
        <v>8298</v>
      </c>
      <c r="CCW41" s="27" t="s">
        <v>8298</v>
      </c>
      <c r="CCX41" s="27" t="s">
        <v>8298</v>
      </c>
      <c r="CCY41" s="27" t="s">
        <v>8298</v>
      </c>
      <c r="CCZ41" s="27" t="s">
        <v>28</v>
      </c>
      <c r="CDA41" s="27" t="s">
        <v>28</v>
      </c>
      <c r="CDB41" s="27" t="s">
        <v>28</v>
      </c>
      <c r="CDC41" s="27" t="s">
        <v>25</v>
      </c>
      <c r="CDD41" s="27" t="s">
        <v>25</v>
      </c>
      <c r="CDE41" s="27" t="s">
        <v>28</v>
      </c>
      <c r="CDF41" s="27" t="s">
        <v>28</v>
      </c>
      <c r="CDG41" s="27" t="s">
        <v>28</v>
      </c>
      <c r="CDH41" s="27" t="s">
        <v>28</v>
      </c>
      <c r="CDI41" s="27" t="s">
        <v>25</v>
      </c>
      <c r="CDJ41" s="27" t="s">
        <v>25</v>
      </c>
      <c r="CDK41" s="27" t="s">
        <v>25</v>
      </c>
      <c r="CDL41" s="27" t="s">
        <v>28</v>
      </c>
      <c r="CDM41" s="27" t="s">
        <v>28</v>
      </c>
      <c r="CDN41" s="27" t="s">
        <v>28</v>
      </c>
      <c r="CDO41" s="27" t="s">
        <v>28</v>
      </c>
      <c r="CDP41" s="27" t="s">
        <v>28</v>
      </c>
      <c r="CDQ41" s="27" t="s">
        <v>25</v>
      </c>
      <c r="CDR41" s="27" t="s">
        <v>28</v>
      </c>
      <c r="CDS41" s="27" t="s">
        <v>28</v>
      </c>
      <c r="CDT41" s="27" t="s">
        <v>25</v>
      </c>
      <c r="CDU41" s="27" t="s">
        <v>28</v>
      </c>
      <c r="CDV41" s="27" t="s">
        <v>25</v>
      </c>
      <c r="CDW41" s="27" t="s">
        <v>25</v>
      </c>
      <c r="CDX41" s="27" t="s">
        <v>25</v>
      </c>
      <c r="CDY41" s="27" t="s">
        <v>25</v>
      </c>
      <c r="CDZ41" s="27" t="s">
        <v>25</v>
      </c>
      <c r="CEA41" s="27" t="s">
        <v>29</v>
      </c>
      <c r="CEB41" s="27" t="s">
        <v>29</v>
      </c>
      <c r="CEC41" s="27" t="s">
        <v>8301</v>
      </c>
      <c r="CED41" s="27" t="s">
        <v>8371</v>
      </c>
      <c r="CEE41" s="27" t="s">
        <v>29</v>
      </c>
      <c r="CEF41" s="27" t="s">
        <v>29</v>
      </c>
      <c r="CEG41" s="27" t="s">
        <v>8305</v>
      </c>
      <c r="CEH41" s="27" t="s">
        <v>8301</v>
      </c>
      <c r="CEI41" s="27" t="s">
        <v>8301</v>
      </c>
      <c r="CEJ41" s="27" t="s">
        <v>29</v>
      </c>
      <c r="CEK41" s="27" t="s">
        <v>29</v>
      </c>
      <c r="CEL41" s="27" t="s">
        <v>8302</v>
      </c>
      <c r="CEM41" s="27" t="s">
        <v>8306</v>
      </c>
      <c r="CEN41" s="27" t="s">
        <v>8301</v>
      </c>
      <c r="CEO41" s="27" t="s">
        <v>29</v>
      </c>
      <c r="CEP41" s="27" t="s">
        <v>29</v>
      </c>
      <c r="CEQ41" s="27" t="s">
        <v>8304</v>
      </c>
      <c r="CER41" s="27" t="s">
        <v>8305</v>
      </c>
      <c r="CES41" s="27" t="s">
        <v>29</v>
      </c>
      <c r="CET41" s="27" t="s">
        <v>29</v>
      </c>
      <c r="CEU41" s="27" t="s">
        <v>8301</v>
      </c>
      <c r="CEV41" s="27" t="s">
        <v>29</v>
      </c>
      <c r="CEW41" s="27" t="s">
        <v>8306</v>
      </c>
      <c r="CEX41" s="27" t="s">
        <v>8302</v>
      </c>
      <c r="CEY41" s="27" t="s">
        <v>8302</v>
      </c>
      <c r="CEZ41" s="27" t="s">
        <v>8301</v>
      </c>
      <c r="CFA41" s="27" t="s">
        <v>29</v>
      </c>
      <c r="CFB41" s="27" t="s">
        <v>25</v>
      </c>
      <c r="CFC41" s="27" t="s">
        <v>25</v>
      </c>
      <c r="CFD41" s="27" t="s">
        <v>25</v>
      </c>
      <c r="CFE41" s="27" t="s">
        <v>25</v>
      </c>
      <c r="CFF41" s="27" t="s">
        <v>25</v>
      </c>
      <c r="CFG41" s="27" t="s">
        <v>25</v>
      </c>
      <c r="CFH41" s="27" t="s">
        <v>25</v>
      </c>
      <c r="CFI41" s="27" t="s">
        <v>25</v>
      </c>
      <c r="CFJ41" s="27" t="s">
        <v>25</v>
      </c>
      <c r="CFK41" s="27" t="s">
        <v>25</v>
      </c>
      <c r="CFL41" s="27" t="s">
        <v>25</v>
      </c>
      <c r="CFM41" s="27" t="s">
        <v>28</v>
      </c>
      <c r="CFN41" s="27" t="s">
        <v>25</v>
      </c>
      <c r="CFO41" s="27" t="s">
        <v>28</v>
      </c>
      <c r="CFP41" s="27" t="s">
        <v>28</v>
      </c>
      <c r="CFQ41" s="27" t="s">
        <v>25</v>
      </c>
      <c r="CFR41" s="27" t="s">
        <v>25</v>
      </c>
      <c r="CFS41" s="27" t="s">
        <v>28</v>
      </c>
      <c r="CFT41" s="27" t="s">
        <v>25</v>
      </c>
      <c r="CFU41" s="27" t="s">
        <v>25</v>
      </c>
      <c r="CFV41" s="27" t="s">
        <v>28</v>
      </c>
      <c r="CFW41" s="27" t="s">
        <v>25</v>
      </c>
      <c r="CFX41" s="27" t="s">
        <v>28</v>
      </c>
      <c r="CFY41" s="27" t="s">
        <v>25</v>
      </c>
      <c r="CFZ41" s="27" t="s">
        <v>25</v>
      </c>
      <c r="CGA41" s="27" t="s">
        <v>25</v>
      </c>
      <c r="CGB41" s="27" t="s">
        <v>25</v>
      </c>
      <c r="CPW41" s="27">
        <v>1</v>
      </c>
      <c r="CPX41" s="56">
        <v>10</v>
      </c>
      <c r="CPZ41" s="56">
        <v>50</v>
      </c>
      <c r="CQB41" s="25" t="s">
        <v>8307</v>
      </c>
      <c r="CQC41" s="25" t="s">
        <v>8372</v>
      </c>
      <c r="CQD41" s="25" t="s">
        <v>8523</v>
      </c>
      <c r="CQE41" s="25" t="s">
        <v>8372</v>
      </c>
      <c r="CQF41" s="25" t="s">
        <v>8372</v>
      </c>
      <c r="CQI41" s="56">
        <v>170</v>
      </c>
      <c r="CQJ41" s="56">
        <v>170</v>
      </c>
      <c r="CQK41" s="56">
        <v>170</v>
      </c>
      <c r="CQL41" s="25" t="s">
        <v>13678</v>
      </c>
      <c r="CQM41" s="25" t="s">
        <v>8345</v>
      </c>
      <c r="CQN41" s="25" t="s">
        <v>25</v>
      </c>
      <c r="CQO41" s="25" t="s">
        <v>8309</v>
      </c>
      <c r="CQQ41" s="25" t="s">
        <v>8687</v>
      </c>
      <c r="CQR41" s="25" t="s">
        <v>8688</v>
      </c>
      <c r="CQS41" s="25" t="s">
        <v>25</v>
      </c>
      <c r="CQT41" s="25" t="s">
        <v>8313</v>
      </c>
      <c r="CQU41" s="25" t="s">
        <v>8312</v>
      </c>
      <c r="CQV41" s="25" t="s">
        <v>8312</v>
      </c>
      <c r="CQW41" s="25" t="s">
        <v>8312</v>
      </c>
      <c r="CQX41" s="25" t="s">
        <v>8312</v>
      </c>
      <c r="CQY41" s="25" t="s">
        <v>8313</v>
      </c>
      <c r="CQZ41" s="25" t="s">
        <v>8312</v>
      </c>
      <c r="CRA41" s="25" t="s">
        <v>8314</v>
      </c>
      <c r="CRB41" s="25" t="s">
        <v>8314</v>
      </c>
      <c r="CRC41" s="25" t="s">
        <v>8312</v>
      </c>
      <c r="CRD41" s="25" t="s">
        <v>8314</v>
      </c>
      <c r="CRE41" s="27" t="s">
        <v>8313</v>
      </c>
    </row>
    <row r="42" spans="1:2048 2050:2501" ht="89.25" x14ac:dyDescent="0.2">
      <c r="A42" s="21" t="s">
        <v>161</v>
      </c>
      <c r="B42" s="26">
        <v>0.05</v>
      </c>
      <c r="C42" s="26">
        <v>0</v>
      </c>
      <c r="D42" s="26">
        <v>0</v>
      </c>
      <c r="E42" s="26">
        <v>0.94</v>
      </c>
      <c r="F42" s="26">
        <v>0</v>
      </c>
      <c r="G42" s="26">
        <v>0</v>
      </c>
      <c r="H42" s="26">
        <v>0</v>
      </c>
      <c r="I42" s="26">
        <v>0</v>
      </c>
      <c r="J42" s="26">
        <v>0</v>
      </c>
      <c r="K42" s="26">
        <v>0</v>
      </c>
      <c r="L42" s="26">
        <v>0</v>
      </c>
      <c r="M42" s="26">
        <v>0.01</v>
      </c>
      <c r="N42" s="26">
        <v>0.34</v>
      </c>
      <c r="O42" s="26">
        <v>0</v>
      </c>
      <c r="P42" s="26">
        <v>0</v>
      </c>
      <c r="Q42" s="26">
        <v>0.66</v>
      </c>
      <c r="R42" s="26">
        <v>0</v>
      </c>
      <c r="S42" s="26">
        <v>0</v>
      </c>
      <c r="T42" s="26">
        <v>0</v>
      </c>
      <c r="U42" s="26">
        <v>0</v>
      </c>
      <c r="V42" s="26">
        <v>0</v>
      </c>
      <c r="W42" s="26">
        <v>0</v>
      </c>
      <c r="X42" s="26">
        <v>0</v>
      </c>
      <c r="Y42" s="26">
        <v>0</v>
      </c>
      <c r="Z42" s="25">
        <v>1</v>
      </c>
      <c r="AA42" s="25" t="s">
        <v>8847</v>
      </c>
      <c r="AC42" s="56">
        <v>2500</v>
      </c>
      <c r="AD42" s="56">
        <v>5000</v>
      </c>
      <c r="AE42" s="56">
        <v>5000</v>
      </c>
      <c r="AF42" s="56">
        <v>10000</v>
      </c>
      <c r="AI42" s="25" t="s">
        <v>8246</v>
      </c>
      <c r="AJ42" s="56">
        <v>350</v>
      </c>
      <c r="AK42" s="56">
        <v>700</v>
      </c>
      <c r="AL42" s="56">
        <v>1850</v>
      </c>
      <c r="AM42" s="56">
        <v>3700</v>
      </c>
      <c r="AN42" s="25" t="s">
        <v>8350</v>
      </c>
      <c r="AO42" s="25" t="s">
        <v>8248</v>
      </c>
      <c r="BB42" s="25" t="s">
        <v>8249</v>
      </c>
      <c r="DO42" s="25" t="s">
        <v>25</v>
      </c>
      <c r="DP42" s="25" t="s">
        <v>28</v>
      </c>
      <c r="DQ42" s="25" t="s">
        <v>28</v>
      </c>
      <c r="DR42" s="25" t="s">
        <v>25</v>
      </c>
      <c r="DT42" s="25" t="s">
        <v>13423</v>
      </c>
      <c r="DU42" s="25" t="s">
        <v>13423</v>
      </c>
      <c r="DV42" s="56">
        <v>30</v>
      </c>
      <c r="DW42" s="56">
        <v>50</v>
      </c>
      <c r="DX42" s="56">
        <v>30</v>
      </c>
      <c r="EA42" s="56">
        <v>30</v>
      </c>
      <c r="EF42" s="26">
        <v>0.1</v>
      </c>
      <c r="EG42" s="26">
        <v>0.1</v>
      </c>
      <c r="EI42" s="26">
        <v>0.1</v>
      </c>
      <c r="EL42" s="56">
        <v>30</v>
      </c>
      <c r="EQ42" s="26">
        <v>0.5</v>
      </c>
      <c r="ER42" s="26">
        <v>0.5</v>
      </c>
      <c r="ET42" s="26">
        <v>0.5</v>
      </c>
      <c r="EU42" s="26">
        <v>0.5</v>
      </c>
      <c r="EV42" s="26">
        <v>0.5</v>
      </c>
      <c r="EW42" s="26">
        <v>0.5</v>
      </c>
      <c r="EX42" s="25" t="s">
        <v>8250</v>
      </c>
      <c r="EY42" s="25" t="s">
        <v>8250</v>
      </c>
      <c r="EZ42" s="25" t="s">
        <v>8250</v>
      </c>
      <c r="FA42" s="25" t="s">
        <v>8250</v>
      </c>
      <c r="FB42" s="25" t="s">
        <v>8250</v>
      </c>
      <c r="FC42" s="25" t="s">
        <v>8250</v>
      </c>
      <c r="FD42" s="25" t="s">
        <v>8250</v>
      </c>
      <c r="FE42" s="25" t="s">
        <v>25</v>
      </c>
      <c r="FF42" s="25" t="s">
        <v>25</v>
      </c>
      <c r="FG42" s="25" t="s">
        <v>25</v>
      </c>
      <c r="FH42" s="25" t="s">
        <v>25</v>
      </c>
      <c r="FI42" s="25" t="s">
        <v>25</v>
      </c>
      <c r="FJ42" s="25" t="s">
        <v>25</v>
      </c>
      <c r="FK42" s="25" t="s">
        <v>25</v>
      </c>
      <c r="FL42" s="25" t="s">
        <v>13810</v>
      </c>
      <c r="FM42" s="25" t="s">
        <v>13810</v>
      </c>
      <c r="FN42" s="25" t="s">
        <v>13810</v>
      </c>
      <c r="FO42" s="25" t="s">
        <v>13810</v>
      </c>
      <c r="FP42" s="25" t="s">
        <v>13810</v>
      </c>
      <c r="FQ42" s="25" t="s">
        <v>13810</v>
      </c>
      <c r="FR42" s="25" t="s">
        <v>13810</v>
      </c>
      <c r="FS42" s="25" t="s">
        <v>631</v>
      </c>
      <c r="FT42" s="25" t="s">
        <v>631</v>
      </c>
      <c r="FV42" s="25" t="s">
        <v>8253</v>
      </c>
      <c r="FW42" s="25" t="s">
        <v>8253</v>
      </c>
      <c r="FX42" s="25" t="s">
        <v>8253</v>
      </c>
      <c r="FY42" s="25" t="s">
        <v>8493</v>
      </c>
      <c r="FZ42" s="25" t="s">
        <v>8320</v>
      </c>
      <c r="GA42" s="25" t="s">
        <v>8386</v>
      </c>
      <c r="GB42" s="25" t="s">
        <v>8595</v>
      </c>
      <c r="GE42" s="56">
        <v>0</v>
      </c>
      <c r="GG42" s="56">
        <v>0</v>
      </c>
      <c r="GI42" s="56">
        <v>15</v>
      </c>
      <c r="GK42" s="56">
        <v>30</v>
      </c>
      <c r="HG42" s="57">
        <v>0</v>
      </c>
      <c r="HI42" s="57">
        <v>0.2</v>
      </c>
      <c r="HJ42" s="57">
        <v>0.3</v>
      </c>
      <c r="HS42" s="56">
        <v>250</v>
      </c>
      <c r="HU42" s="56">
        <v>500</v>
      </c>
      <c r="IB42" s="26">
        <v>1</v>
      </c>
      <c r="ID42" s="26">
        <v>1</v>
      </c>
      <c r="IE42" s="26">
        <v>1</v>
      </c>
      <c r="IW42" s="26">
        <v>0</v>
      </c>
      <c r="IY42" s="26">
        <v>0.2</v>
      </c>
      <c r="IZ42" s="26">
        <v>0.3</v>
      </c>
      <c r="JI42" s="56">
        <v>500</v>
      </c>
      <c r="JK42" s="56">
        <v>1000</v>
      </c>
      <c r="JR42" s="26">
        <v>1</v>
      </c>
      <c r="JT42" s="26">
        <v>1</v>
      </c>
      <c r="JU42" s="26">
        <v>1</v>
      </c>
      <c r="KM42" s="25" t="s">
        <v>8352</v>
      </c>
      <c r="KN42" s="25" t="s">
        <v>8256</v>
      </c>
      <c r="KO42" s="25" t="s">
        <v>8321</v>
      </c>
      <c r="KP42" s="25">
        <v>1</v>
      </c>
      <c r="KQ42" s="25" t="s">
        <v>8848</v>
      </c>
      <c r="KS42" s="56">
        <v>2250</v>
      </c>
      <c r="KT42" s="56">
        <v>4450</v>
      </c>
      <c r="KU42" s="56">
        <v>4250</v>
      </c>
      <c r="KV42" s="56">
        <v>6450</v>
      </c>
      <c r="KY42" s="25" t="s">
        <v>8246</v>
      </c>
      <c r="KZ42" s="56">
        <v>1500</v>
      </c>
      <c r="LA42" s="56">
        <v>3450</v>
      </c>
      <c r="LB42" s="56">
        <v>2500</v>
      </c>
      <c r="LC42" s="56">
        <v>4450</v>
      </c>
      <c r="LD42" s="25" t="s">
        <v>8350</v>
      </c>
      <c r="LE42" s="25" t="s">
        <v>8248</v>
      </c>
      <c r="LR42" s="25" t="s">
        <v>8249</v>
      </c>
      <c r="OE42" s="25" t="s">
        <v>25</v>
      </c>
      <c r="OF42" s="25" t="s">
        <v>28</v>
      </c>
      <c r="OG42" s="25" t="s">
        <v>28</v>
      </c>
      <c r="OH42" s="25" t="s">
        <v>25</v>
      </c>
      <c r="OJ42" s="25" t="s">
        <v>13421</v>
      </c>
      <c r="OK42" s="25" t="s">
        <v>13421</v>
      </c>
      <c r="OS42" s="26">
        <v>0.1</v>
      </c>
      <c r="OT42" s="26">
        <v>0.1</v>
      </c>
      <c r="OU42" s="26">
        <v>0.1</v>
      </c>
      <c r="OV42" s="26">
        <v>0.1</v>
      </c>
      <c r="OW42" s="26">
        <v>0.1</v>
      </c>
      <c r="OX42" s="26">
        <v>0.1</v>
      </c>
      <c r="OY42" s="26">
        <v>0.1</v>
      </c>
      <c r="PG42" s="26">
        <v>0.5</v>
      </c>
      <c r="PH42" s="26">
        <v>0.5</v>
      </c>
      <c r="PI42" s="26">
        <v>0.1</v>
      </c>
      <c r="PJ42" s="26">
        <v>0.5</v>
      </c>
      <c r="PK42" s="26">
        <v>0.5</v>
      </c>
      <c r="PL42" s="26">
        <v>0.5</v>
      </c>
      <c r="PM42" s="26">
        <v>0.5</v>
      </c>
      <c r="PN42" s="25" t="s">
        <v>8250</v>
      </c>
      <c r="PO42" s="25" t="s">
        <v>8250</v>
      </c>
      <c r="PP42" s="25" t="s">
        <v>8250</v>
      </c>
      <c r="PQ42" s="25" t="s">
        <v>8250</v>
      </c>
      <c r="PR42" s="25" t="s">
        <v>8250</v>
      </c>
      <c r="PS42" s="25" t="s">
        <v>8250</v>
      </c>
      <c r="PT42" s="25" t="s">
        <v>8250</v>
      </c>
      <c r="PU42" s="25" t="s">
        <v>25</v>
      </c>
      <c r="PV42" s="25" t="s">
        <v>25</v>
      </c>
      <c r="PW42" s="25" t="s">
        <v>25</v>
      </c>
      <c r="PX42" s="25" t="s">
        <v>25</v>
      </c>
      <c r="PY42" s="25" t="s">
        <v>25</v>
      </c>
      <c r="PZ42" s="25" t="s">
        <v>25</v>
      </c>
      <c r="QA42" s="25" t="s">
        <v>25</v>
      </c>
      <c r="QB42" s="25" t="s">
        <v>13810</v>
      </c>
      <c r="QC42" s="25" t="s">
        <v>13810</v>
      </c>
      <c r="QD42" s="25" t="s">
        <v>13810</v>
      </c>
      <c r="QE42" s="25" t="s">
        <v>13810</v>
      </c>
      <c r="QF42" s="25" t="s">
        <v>13810</v>
      </c>
      <c r="QG42" s="25" t="s">
        <v>13810</v>
      </c>
      <c r="QH42" s="25" t="s">
        <v>13810</v>
      </c>
      <c r="QI42" s="25" t="s">
        <v>631</v>
      </c>
      <c r="QJ42" s="25" t="s">
        <v>631</v>
      </c>
      <c r="QK42" s="25" t="s">
        <v>631</v>
      </c>
      <c r="QL42" s="25" t="s">
        <v>8253</v>
      </c>
      <c r="QM42" s="25" t="s">
        <v>8253</v>
      </c>
      <c r="QN42" s="25" t="s">
        <v>8253</v>
      </c>
      <c r="QO42" s="25" t="s">
        <v>8595</v>
      </c>
      <c r="QP42" s="25" t="s">
        <v>8595</v>
      </c>
      <c r="QQ42" s="25" t="s">
        <v>8595</v>
      </c>
      <c r="QR42" s="25" t="s">
        <v>8595</v>
      </c>
      <c r="RW42" s="26">
        <v>0</v>
      </c>
      <c r="RX42" s="26">
        <v>0.1</v>
      </c>
      <c r="RY42" s="26">
        <v>0.2</v>
      </c>
      <c r="RZ42" s="26">
        <v>0.3</v>
      </c>
      <c r="VC42" s="25" t="s">
        <v>8352</v>
      </c>
      <c r="VD42" s="25" t="s">
        <v>8256</v>
      </c>
      <c r="VE42" s="25" t="s">
        <v>8321</v>
      </c>
      <c r="VF42" s="25">
        <v>0</v>
      </c>
      <c r="VI42" s="25"/>
      <c r="VJ42" s="25"/>
      <c r="VK42" s="25"/>
      <c r="VL42" s="25"/>
      <c r="VM42" s="25"/>
      <c r="VN42" s="25"/>
      <c r="VP42" s="25"/>
      <c r="VQ42" s="25"/>
      <c r="VR42" s="25"/>
      <c r="VS42" s="25"/>
      <c r="ZA42" s="25"/>
      <c r="ZB42" s="25"/>
      <c r="ZC42" s="25"/>
      <c r="ZD42" s="25"/>
      <c r="ZE42" s="25"/>
      <c r="ZF42" s="25"/>
      <c r="ZG42" s="25"/>
      <c r="ZO42" s="25"/>
      <c r="ZP42" s="25"/>
      <c r="ZQ42" s="25"/>
      <c r="ZR42" s="25"/>
      <c r="ZS42" s="25"/>
      <c r="ZT42" s="25"/>
      <c r="ZU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S42" s="25"/>
      <c r="ACT42" s="25"/>
      <c r="ACU42" s="25"/>
      <c r="ACV42" s="25"/>
      <c r="ACW42" s="25"/>
      <c r="ACX42" s="25"/>
      <c r="ACY42" s="25"/>
      <c r="ACZ42" s="25"/>
      <c r="ADA42" s="25"/>
      <c r="ADB42" s="25"/>
      <c r="ADC42" s="25"/>
      <c r="ADD42" s="25"/>
      <c r="ADE42" s="25"/>
      <c r="ADF42" s="25"/>
      <c r="ADN42" s="25"/>
      <c r="ADO42" s="25"/>
      <c r="ADP42" s="25"/>
      <c r="ADQ42" s="25"/>
      <c r="ADR42" s="25"/>
      <c r="ADS42" s="25"/>
      <c r="ADT42" s="25"/>
      <c r="ADU42" s="25"/>
      <c r="ADV42" s="25"/>
      <c r="ADW42" s="25"/>
      <c r="ADX42" s="25"/>
      <c r="ADY42" s="25"/>
      <c r="ADZ42" s="25"/>
      <c r="AEA42" s="25"/>
      <c r="AEI42" s="25"/>
      <c r="AEJ42" s="25"/>
      <c r="AEK42" s="25"/>
      <c r="AEL42" s="25"/>
      <c r="AEM42" s="25"/>
      <c r="AEN42" s="25"/>
      <c r="AEO42" s="25"/>
      <c r="AEP42" s="25"/>
      <c r="AEQ42" s="25"/>
      <c r="AER42" s="25"/>
      <c r="AES42" s="25"/>
      <c r="AET42" s="25"/>
      <c r="AEU42" s="25"/>
      <c r="AEV42" s="25"/>
      <c r="AFD42" s="25"/>
      <c r="AFE42" s="25"/>
      <c r="AFF42" s="25"/>
      <c r="AFG42" s="25"/>
      <c r="AFH42" s="25"/>
      <c r="AFI42" s="25"/>
      <c r="AFJ42" s="25"/>
      <c r="AFK42" s="25"/>
      <c r="AFL42" s="25"/>
      <c r="AFM42" s="25"/>
      <c r="AFN42" s="25"/>
      <c r="AFO42" s="25"/>
      <c r="AFP42" s="25"/>
      <c r="AFQ42" s="25"/>
      <c r="AFU42" s="25">
        <v>0</v>
      </c>
      <c r="AFX42" s="25"/>
      <c r="AFY42" s="25"/>
      <c r="AFZ42" s="25"/>
      <c r="AGA42" s="25"/>
      <c r="AGB42" s="25"/>
      <c r="AGC42" s="25"/>
      <c r="AGE42" s="25"/>
      <c r="AGF42" s="25"/>
      <c r="AGG42" s="25"/>
      <c r="AGH42" s="25"/>
      <c r="AJP42" s="25"/>
      <c r="AJQ42" s="25"/>
      <c r="AJR42" s="25"/>
      <c r="AJS42" s="25"/>
      <c r="AJT42" s="25"/>
      <c r="AJU42" s="25"/>
      <c r="AJV42" s="25"/>
      <c r="AKD42" s="25"/>
      <c r="AKE42" s="25"/>
      <c r="AKF42" s="25"/>
      <c r="AKG42" s="25"/>
      <c r="AKH42" s="25"/>
      <c r="AKI42" s="25"/>
      <c r="AKJ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H42" s="25"/>
      <c r="ANI42" s="25"/>
      <c r="ANJ42" s="25"/>
      <c r="ANK42" s="25"/>
      <c r="ANL42" s="25"/>
      <c r="ANM42" s="25"/>
      <c r="ANN42" s="25"/>
      <c r="ANO42" s="25"/>
      <c r="ANP42" s="25"/>
      <c r="ANQ42" s="25"/>
      <c r="ANR42" s="25"/>
      <c r="ANS42" s="25"/>
      <c r="ANT42" s="25"/>
      <c r="ANU42" s="25"/>
      <c r="AOC42" s="25"/>
      <c r="AOD42" s="25"/>
      <c r="AOE42" s="25"/>
      <c r="AOF42" s="25"/>
      <c r="AOG42" s="25"/>
      <c r="AOH42" s="25"/>
      <c r="AOI42" s="25"/>
      <c r="AOJ42" s="25"/>
      <c r="AOK42" s="25"/>
      <c r="AOL42" s="25"/>
      <c r="AOM42" s="25"/>
      <c r="AON42" s="25"/>
      <c r="AOO42" s="25"/>
      <c r="AOP42" s="25"/>
      <c r="AOX42" s="25"/>
      <c r="AOY42" s="25"/>
      <c r="AOZ42" s="25"/>
      <c r="APA42" s="25"/>
      <c r="APB42" s="25"/>
      <c r="APC42" s="25"/>
      <c r="APD42" s="25"/>
      <c r="APE42" s="25"/>
      <c r="APF42" s="25"/>
      <c r="APG42" s="25"/>
      <c r="APH42" s="25"/>
      <c r="API42" s="25"/>
      <c r="APJ42" s="25"/>
      <c r="APK42" s="25"/>
      <c r="APS42" s="25"/>
      <c r="APT42" s="25"/>
      <c r="APU42" s="25"/>
      <c r="APV42" s="25"/>
      <c r="APW42" s="25"/>
      <c r="APX42" s="25"/>
      <c r="APY42" s="25"/>
      <c r="APZ42" s="25"/>
      <c r="AQA42" s="25"/>
      <c r="AQB42" s="25"/>
      <c r="AQC42" s="25"/>
      <c r="AQD42" s="25"/>
      <c r="AQE42" s="25"/>
      <c r="AQF42" s="25"/>
      <c r="AQJ42" s="25">
        <v>0</v>
      </c>
      <c r="AQM42" s="25"/>
      <c r="AQN42" s="25"/>
      <c r="AQO42" s="25"/>
      <c r="AQP42" s="25"/>
      <c r="AQQ42" s="25"/>
      <c r="AQR42" s="25"/>
      <c r="AQT42" s="25"/>
      <c r="AQU42" s="25"/>
      <c r="AQV42" s="25"/>
      <c r="AQW42" s="25"/>
      <c r="AUE42" s="25"/>
      <c r="AUF42" s="25"/>
      <c r="AUG42" s="25"/>
      <c r="AUH42" s="25"/>
      <c r="AUI42" s="25"/>
      <c r="AUJ42" s="25"/>
      <c r="AUK42" s="25"/>
      <c r="AUS42" s="25"/>
      <c r="AUT42" s="25"/>
      <c r="AUU42" s="25"/>
      <c r="AUV42" s="25"/>
      <c r="AUW42" s="25"/>
      <c r="AUX42" s="25"/>
      <c r="AUY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W42" s="25"/>
      <c r="AXX42" s="25"/>
      <c r="AXY42" s="25"/>
      <c r="AXZ42" s="25"/>
      <c r="AYA42" s="25"/>
      <c r="AYB42" s="25"/>
      <c r="AYC42" s="25"/>
      <c r="AYD42" s="25"/>
      <c r="AYE42" s="25"/>
      <c r="AYF42" s="25"/>
      <c r="AYG42" s="25"/>
      <c r="AYH42" s="25"/>
      <c r="AYI42" s="25"/>
      <c r="AYJ42" s="25"/>
      <c r="AZM42" s="25"/>
      <c r="AZN42" s="25"/>
      <c r="AZO42" s="25"/>
      <c r="AZP42" s="25"/>
      <c r="AZQ42" s="25"/>
      <c r="AZR42" s="25"/>
      <c r="AZS42" s="25"/>
      <c r="AZT42" s="25"/>
      <c r="AZU42" s="25"/>
      <c r="AZV42" s="25"/>
      <c r="AZW42" s="25"/>
      <c r="AZX42" s="25"/>
      <c r="AZY42" s="25"/>
      <c r="AZZ42" s="25"/>
      <c r="BAR42" s="25"/>
      <c r="BAS42" s="25"/>
      <c r="BAT42" s="25"/>
      <c r="BAU42" s="25"/>
      <c r="BAY42" s="25">
        <v>0</v>
      </c>
      <c r="BBB42" s="25"/>
      <c r="BBC42" s="25"/>
      <c r="BBD42" s="25"/>
      <c r="BBE42" s="25"/>
      <c r="BBF42" s="25"/>
      <c r="BBG42" s="25"/>
      <c r="BBI42" s="25"/>
      <c r="BBJ42" s="25"/>
      <c r="BBK42" s="25"/>
      <c r="BBL42" s="25"/>
      <c r="BET42" s="25"/>
      <c r="BEU42" s="25"/>
      <c r="BEV42" s="25"/>
      <c r="BEW42" s="25"/>
      <c r="BEX42" s="25"/>
      <c r="BEY42" s="25"/>
      <c r="BEZ42" s="25"/>
      <c r="BFH42" s="25"/>
      <c r="BFI42" s="25"/>
      <c r="BFJ42" s="25"/>
      <c r="BFK42" s="25"/>
      <c r="BFL42" s="25"/>
      <c r="BFM42" s="25"/>
      <c r="BFN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L42" s="25"/>
      <c r="BIM42" s="25"/>
      <c r="BIN42" s="25"/>
      <c r="BIO42" s="25"/>
      <c r="BIP42" s="25"/>
      <c r="BIQ42" s="25"/>
      <c r="BIR42" s="25"/>
      <c r="BIS42" s="25"/>
      <c r="BIT42" s="25"/>
      <c r="BIU42" s="25"/>
      <c r="BIV42" s="25"/>
      <c r="BIW42" s="25"/>
      <c r="BIX42" s="25"/>
      <c r="BIY42" s="25"/>
      <c r="BJG42" s="25"/>
      <c r="BJH42" s="25"/>
      <c r="BJI42" s="25"/>
      <c r="BJJ42" s="25"/>
      <c r="BJK42" s="25"/>
      <c r="BJL42" s="25"/>
      <c r="BJM42" s="25"/>
      <c r="BJN42" s="25"/>
      <c r="BJO42" s="25"/>
      <c r="BJP42" s="25"/>
      <c r="BJQ42" s="25"/>
      <c r="BJR42" s="25"/>
      <c r="BJS42" s="25"/>
      <c r="BJT42" s="25"/>
      <c r="BKB42" s="25"/>
      <c r="BKC42" s="25"/>
      <c r="BKD42" s="25"/>
      <c r="BKE42" s="25"/>
      <c r="BKF42" s="25"/>
      <c r="BKG42" s="25"/>
      <c r="BKH42" s="25"/>
      <c r="BKI42" s="25"/>
      <c r="BKJ42" s="25"/>
      <c r="BKK42" s="25"/>
      <c r="BKL42" s="25"/>
      <c r="BKM42" s="25"/>
      <c r="BKN42" s="25"/>
      <c r="BKO42" s="25"/>
      <c r="BKW42" s="25"/>
      <c r="BKX42" s="25"/>
      <c r="BKY42" s="25"/>
      <c r="BKZ42" s="25"/>
      <c r="BLA42" s="25"/>
      <c r="BLB42" s="25"/>
      <c r="BLC42" s="25"/>
      <c r="BLD42" s="25"/>
      <c r="BLE42" s="25"/>
      <c r="BLF42" s="25"/>
      <c r="BLG42" s="25"/>
      <c r="BLH42" s="25"/>
      <c r="BLI42" s="25"/>
      <c r="BLJ42" s="25"/>
      <c r="BLN42" s="25">
        <v>0</v>
      </c>
      <c r="BLQ42" s="25"/>
      <c r="BLR42" s="25"/>
      <c r="BLS42" s="25"/>
      <c r="BLT42" s="25"/>
      <c r="BLU42" s="25"/>
      <c r="BLV42" s="25"/>
      <c r="BLX42" s="25"/>
      <c r="BLY42" s="25"/>
      <c r="BLZ42" s="25"/>
      <c r="BMA42" s="25"/>
      <c r="BPI42" s="25"/>
      <c r="BPJ42" s="25"/>
      <c r="BPK42" s="25"/>
      <c r="BPL42" s="25"/>
      <c r="BPM42" s="25"/>
      <c r="BPN42" s="25"/>
      <c r="BPO42" s="25"/>
      <c r="BPW42" s="25"/>
      <c r="BPX42" s="25"/>
      <c r="BPY42" s="25"/>
      <c r="BPZ42" s="25"/>
      <c r="BQA42" s="25"/>
      <c r="BQB42" s="25"/>
      <c r="BQC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TA42" s="25"/>
      <c r="BTB42" s="25"/>
      <c r="BTC42" s="25"/>
      <c r="BTD42" s="25"/>
      <c r="BTE42" s="25"/>
      <c r="BTF42" s="25"/>
      <c r="BTG42" s="25"/>
      <c r="BTH42" s="25"/>
      <c r="BTI42" s="25"/>
      <c r="BTJ42" s="25"/>
      <c r="BTK42" s="25"/>
      <c r="BTL42" s="25"/>
      <c r="BTM42" s="25"/>
      <c r="BTN42" s="25"/>
      <c r="BUQ42" s="25"/>
      <c r="BUR42" s="25"/>
      <c r="BUS42" s="25"/>
      <c r="BUT42" s="25"/>
      <c r="BUU42" s="25"/>
      <c r="BUV42" s="25"/>
      <c r="BUW42" s="25"/>
      <c r="BUX42" s="25"/>
      <c r="BUY42" s="25"/>
      <c r="BUZ42" s="25"/>
      <c r="BVA42" s="25"/>
      <c r="BVB42" s="25"/>
      <c r="BVC42" s="25"/>
      <c r="BVD42" s="25"/>
      <c r="BWC42" s="25" t="s">
        <v>28</v>
      </c>
      <c r="BWD42" s="25" t="s">
        <v>8265</v>
      </c>
      <c r="BWE42" s="25" t="s">
        <v>8357</v>
      </c>
      <c r="BWF42" s="25" t="s">
        <v>13719</v>
      </c>
      <c r="BWG42" s="25" t="s">
        <v>28</v>
      </c>
      <c r="BWH42" s="25" t="s">
        <v>2169</v>
      </c>
      <c r="BWI42" s="25" t="s">
        <v>28</v>
      </c>
      <c r="BWJ42" s="25" t="s">
        <v>8267</v>
      </c>
      <c r="BWK42" s="25" t="s">
        <v>25</v>
      </c>
      <c r="BWM42" s="25" t="s">
        <v>25</v>
      </c>
      <c r="BWO42" s="25" t="s">
        <v>25</v>
      </c>
      <c r="BWQ42" s="25" t="s">
        <v>28</v>
      </c>
      <c r="BWR42" s="25" t="s">
        <v>25</v>
      </c>
      <c r="BWT42" s="25" t="s">
        <v>25</v>
      </c>
      <c r="BWV42" s="25" t="s">
        <v>25</v>
      </c>
      <c r="BWX42" s="25" t="s">
        <v>28</v>
      </c>
      <c r="BWY42" s="25" t="s">
        <v>8497</v>
      </c>
      <c r="BWZ42" s="25" t="s">
        <v>28</v>
      </c>
      <c r="BXA42" s="56">
        <v>25</v>
      </c>
      <c r="BXB42" s="25" t="s">
        <v>25</v>
      </c>
      <c r="BXD42" s="25" t="s">
        <v>28</v>
      </c>
      <c r="BXE42" s="25" t="s">
        <v>8497</v>
      </c>
      <c r="BXF42" s="25" t="s">
        <v>28</v>
      </c>
      <c r="BXG42" s="56">
        <v>25</v>
      </c>
      <c r="BXH42" s="25" t="s">
        <v>25</v>
      </c>
      <c r="BXJ42" s="25" t="s">
        <v>28</v>
      </c>
      <c r="BXK42" s="25" t="s">
        <v>8849</v>
      </c>
      <c r="BXL42" s="25" t="s">
        <v>8271</v>
      </c>
      <c r="BXM42" s="25" t="s">
        <v>2201</v>
      </c>
      <c r="BXN42" s="25" t="s">
        <v>8272</v>
      </c>
      <c r="BXO42" s="25" t="s">
        <v>8274</v>
      </c>
      <c r="BXP42" s="25" t="s">
        <v>8274</v>
      </c>
      <c r="BXQ42" s="25" t="s">
        <v>8274</v>
      </c>
      <c r="BXR42" s="25" t="s">
        <v>8361</v>
      </c>
      <c r="BXS42" s="25" t="s">
        <v>8274</v>
      </c>
      <c r="BXT42" s="25" t="s">
        <v>8406</v>
      </c>
      <c r="BXU42" s="25" t="s">
        <v>25</v>
      </c>
      <c r="BXW42" s="25" t="s">
        <v>28</v>
      </c>
      <c r="BXX42" s="25" t="s">
        <v>28</v>
      </c>
      <c r="BXY42" s="25" t="s">
        <v>28</v>
      </c>
      <c r="BXZ42" s="25" t="s">
        <v>25</v>
      </c>
      <c r="BYA42" s="25" t="s">
        <v>25</v>
      </c>
      <c r="BYB42" s="25" t="s">
        <v>25</v>
      </c>
      <c r="BYC42" s="25" t="s">
        <v>8276</v>
      </c>
      <c r="BYD42" s="25" t="s">
        <v>28</v>
      </c>
      <c r="BYE42" s="25" t="s">
        <v>13610</v>
      </c>
      <c r="BYF42" s="25" t="s">
        <v>13628</v>
      </c>
      <c r="BYH42" s="25" t="s">
        <v>8363</v>
      </c>
      <c r="BYK42" s="25" t="s">
        <v>28</v>
      </c>
      <c r="BYL42" s="25" t="s">
        <v>25</v>
      </c>
      <c r="BYN42" s="25" t="s">
        <v>25</v>
      </c>
      <c r="BYP42" s="25" t="s">
        <v>25</v>
      </c>
      <c r="BYR42" s="25" t="s">
        <v>28</v>
      </c>
      <c r="BYS42" s="25" t="s">
        <v>8438</v>
      </c>
      <c r="BYT42" s="25" t="s">
        <v>8438</v>
      </c>
      <c r="BYU42" s="25" t="s">
        <v>732</v>
      </c>
      <c r="BYV42" s="25" t="s">
        <v>25</v>
      </c>
      <c r="BYW42" s="25" t="s">
        <v>28</v>
      </c>
      <c r="BYX42" s="56">
        <v>500</v>
      </c>
      <c r="BYY42" s="56">
        <v>1000</v>
      </c>
      <c r="BYZ42" s="25" t="s">
        <v>8280</v>
      </c>
      <c r="BZA42" s="25" t="s">
        <v>8850</v>
      </c>
      <c r="BZB42" s="25" t="s">
        <v>249</v>
      </c>
      <c r="BZD42" s="25" t="s">
        <v>28</v>
      </c>
      <c r="BZE42" s="25" t="s">
        <v>28</v>
      </c>
      <c r="BZF42" s="25" t="s">
        <v>28</v>
      </c>
      <c r="BZG42" s="25" t="s">
        <v>25</v>
      </c>
      <c r="BZJ42" s="25" t="s">
        <v>25</v>
      </c>
      <c r="BZM42" s="25" t="s">
        <v>28</v>
      </c>
      <c r="BZN42" s="25" t="s">
        <v>13633</v>
      </c>
      <c r="BZP42" s="25" t="s">
        <v>8366</v>
      </c>
      <c r="BZQ42" s="56">
        <v>1000</v>
      </c>
      <c r="BZR42" s="25" t="s">
        <v>28</v>
      </c>
      <c r="BZS42" s="25" t="s">
        <v>25</v>
      </c>
      <c r="BZT42" s="25" t="s">
        <v>8285</v>
      </c>
      <c r="BZV42" s="25" t="s">
        <v>13655</v>
      </c>
      <c r="BZX42" s="25" t="s">
        <v>13658</v>
      </c>
      <c r="BZZ42" s="25" t="s">
        <v>25</v>
      </c>
      <c r="CAC42" s="25" t="s">
        <v>28</v>
      </c>
      <c r="CAD42" s="25" t="s">
        <v>8288</v>
      </c>
      <c r="CAE42" s="25" t="s">
        <v>28</v>
      </c>
      <c r="CAF42" s="25" t="s">
        <v>8289</v>
      </c>
      <c r="CAG42" s="25" t="s">
        <v>25</v>
      </c>
      <c r="CAH42" s="25" t="s">
        <v>631</v>
      </c>
      <c r="CAI42" s="25" t="s">
        <v>631</v>
      </c>
      <c r="CAJ42" s="25" t="s">
        <v>631</v>
      </c>
      <c r="CAK42" s="25" t="s">
        <v>631</v>
      </c>
      <c r="CAL42" s="25" t="s">
        <v>8290</v>
      </c>
      <c r="CAM42" s="25" t="s">
        <v>8290</v>
      </c>
      <c r="CAN42" s="25" t="s">
        <v>8290</v>
      </c>
      <c r="CAO42" s="25" t="s">
        <v>8290</v>
      </c>
      <c r="CAP42" s="25" t="s">
        <v>8290</v>
      </c>
      <c r="CAR42" s="25" t="s">
        <v>8291</v>
      </c>
      <c r="CAT42" s="25" t="s">
        <v>25</v>
      </c>
      <c r="CBB42" s="25">
        <v>1</v>
      </c>
      <c r="CBC42" s="25">
        <v>0</v>
      </c>
      <c r="CBD42" s="25">
        <v>0</v>
      </c>
      <c r="CBE42" s="56">
        <v>50</v>
      </c>
      <c r="CBF42" s="56">
        <v>150</v>
      </c>
      <c r="CBG42" s="56">
        <v>50</v>
      </c>
      <c r="CBH42" s="56">
        <v>150</v>
      </c>
      <c r="CBI42" s="56">
        <v>2500</v>
      </c>
      <c r="CBK42" s="56">
        <v>2500</v>
      </c>
      <c r="CBM42" s="26">
        <v>0</v>
      </c>
      <c r="CBN42" s="26">
        <v>0</v>
      </c>
      <c r="CBO42" s="26">
        <v>0.2</v>
      </c>
      <c r="CBP42" s="26">
        <v>0.2</v>
      </c>
      <c r="CBQ42" s="26">
        <v>0.5</v>
      </c>
      <c r="CBR42" s="26">
        <v>0.5</v>
      </c>
      <c r="CBS42" s="26">
        <v>0.5</v>
      </c>
      <c r="CBT42" s="26">
        <v>0.5</v>
      </c>
      <c r="CBU42" s="27" t="s">
        <v>28</v>
      </c>
      <c r="CBV42" s="27" t="s">
        <v>8293</v>
      </c>
      <c r="CBW42" s="27" t="s">
        <v>8370</v>
      </c>
      <c r="CBX42" s="27" t="s">
        <v>8418</v>
      </c>
      <c r="CBY42" s="27" t="s">
        <v>8296</v>
      </c>
      <c r="CBZ42" s="27" t="s">
        <v>8296</v>
      </c>
      <c r="CCA42" s="27" t="s">
        <v>8297</v>
      </c>
      <c r="CCB42" s="27" t="s">
        <v>8298</v>
      </c>
      <c r="CCC42" s="27" t="s">
        <v>8296</v>
      </c>
      <c r="CCD42" s="27" t="s">
        <v>8297</v>
      </c>
      <c r="CCE42" s="27" t="s">
        <v>8297</v>
      </c>
      <c r="CCF42" s="27" t="s">
        <v>8297</v>
      </c>
      <c r="CCG42" s="27" t="s">
        <v>8297</v>
      </c>
      <c r="CCH42" s="27" t="s">
        <v>8298</v>
      </c>
      <c r="CCI42" s="27" t="s">
        <v>8298</v>
      </c>
      <c r="CCJ42" s="27" t="s">
        <v>8298</v>
      </c>
      <c r="CCK42" s="27" t="s">
        <v>8297</v>
      </c>
      <c r="CCL42" s="27" t="s">
        <v>8297</v>
      </c>
      <c r="CCM42" s="27" t="s">
        <v>8296</v>
      </c>
      <c r="CCN42" s="27" t="s">
        <v>8296</v>
      </c>
      <c r="CCO42" s="27" t="s">
        <v>8300</v>
      </c>
      <c r="CCP42" s="27" t="s">
        <v>8296</v>
      </c>
      <c r="CCQ42" s="27" t="s">
        <v>8296</v>
      </c>
      <c r="CCR42" s="27" t="s">
        <v>8296</v>
      </c>
      <c r="CCS42" s="27" t="s">
        <v>8298</v>
      </c>
      <c r="CCT42" s="27" t="s">
        <v>8296</v>
      </c>
      <c r="CCU42" s="27" t="s">
        <v>8298</v>
      </c>
      <c r="CCV42" s="27" t="s">
        <v>8298</v>
      </c>
      <c r="CCW42" s="27" t="s">
        <v>8298</v>
      </c>
      <c r="CCX42" s="27" t="s">
        <v>8298</v>
      </c>
      <c r="CCY42" s="27" t="s">
        <v>8298</v>
      </c>
      <c r="CCZ42" s="27" t="s">
        <v>28</v>
      </c>
      <c r="CDA42" s="27" t="s">
        <v>28</v>
      </c>
      <c r="CDB42" s="27" t="s">
        <v>28</v>
      </c>
      <c r="CDC42" s="27" t="s">
        <v>25</v>
      </c>
      <c r="CDD42" s="27" t="s">
        <v>28</v>
      </c>
      <c r="CDE42" s="27" t="s">
        <v>28</v>
      </c>
      <c r="CDF42" s="27" t="s">
        <v>28</v>
      </c>
      <c r="CDG42" s="27" t="s">
        <v>28</v>
      </c>
      <c r="CDH42" s="27" t="s">
        <v>28</v>
      </c>
      <c r="CDI42" s="27" t="s">
        <v>25</v>
      </c>
      <c r="CDJ42" s="27" t="s">
        <v>25</v>
      </c>
      <c r="CDK42" s="27" t="s">
        <v>25</v>
      </c>
      <c r="CDL42" s="27" t="s">
        <v>28</v>
      </c>
      <c r="CDM42" s="27" t="s">
        <v>28</v>
      </c>
      <c r="CDN42" s="27" t="s">
        <v>28</v>
      </c>
      <c r="CDO42" s="27" t="s">
        <v>28</v>
      </c>
      <c r="CDP42" s="27" t="s">
        <v>25</v>
      </c>
      <c r="CDQ42" s="27" t="s">
        <v>28</v>
      </c>
      <c r="CDR42" s="27" t="s">
        <v>28</v>
      </c>
      <c r="CDS42" s="27" t="s">
        <v>28</v>
      </c>
      <c r="CDT42" s="27" t="s">
        <v>25</v>
      </c>
      <c r="CDU42" s="27" t="s">
        <v>28</v>
      </c>
      <c r="CDV42" s="27" t="s">
        <v>25</v>
      </c>
      <c r="CDW42" s="27" t="s">
        <v>25</v>
      </c>
      <c r="CDX42" s="27" t="s">
        <v>25</v>
      </c>
      <c r="CDY42" s="27" t="s">
        <v>25</v>
      </c>
      <c r="CDZ42" s="27" t="s">
        <v>25</v>
      </c>
      <c r="CEA42" s="27" t="s">
        <v>2673</v>
      </c>
      <c r="CEB42" s="27" t="s">
        <v>2673</v>
      </c>
      <c r="CEC42" s="27" t="s">
        <v>2673</v>
      </c>
      <c r="CED42" s="27" t="s">
        <v>8302</v>
      </c>
      <c r="CEE42" s="27" t="s">
        <v>2673</v>
      </c>
      <c r="CEF42" s="27" t="s">
        <v>8301</v>
      </c>
      <c r="CEG42" s="27" t="s">
        <v>8305</v>
      </c>
      <c r="CEH42" s="27" t="s">
        <v>8305</v>
      </c>
      <c r="CEI42" s="27" t="s">
        <v>8301</v>
      </c>
      <c r="CEJ42" s="27" t="s">
        <v>8302</v>
      </c>
      <c r="CEK42" s="27" t="s">
        <v>8302</v>
      </c>
      <c r="CEL42" s="27" t="s">
        <v>8302</v>
      </c>
      <c r="CEM42" s="27" t="s">
        <v>8301</v>
      </c>
      <c r="CEN42" s="27" t="s">
        <v>8301</v>
      </c>
      <c r="CEP42" s="27" t="s">
        <v>2673</v>
      </c>
      <c r="CEQ42" s="27" t="s">
        <v>8304</v>
      </c>
      <c r="CER42" s="27" t="s">
        <v>8305</v>
      </c>
      <c r="CES42" s="27" t="s">
        <v>8306</v>
      </c>
      <c r="CET42" s="27" t="s">
        <v>2673</v>
      </c>
      <c r="CEU42" s="27" t="s">
        <v>2673</v>
      </c>
      <c r="CEV42" s="27" t="s">
        <v>2673</v>
      </c>
      <c r="CEW42" s="27" t="s">
        <v>8305</v>
      </c>
      <c r="CEX42" s="27" t="s">
        <v>8302</v>
      </c>
      <c r="CEY42" s="27" t="s">
        <v>8302</v>
      </c>
      <c r="CEZ42" s="27" t="s">
        <v>8306</v>
      </c>
      <c r="CFA42" s="27" t="s">
        <v>29</v>
      </c>
      <c r="CFB42" s="27" t="s">
        <v>25</v>
      </c>
      <c r="CFC42" s="27" t="s">
        <v>25</v>
      </c>
      <c r="CFD42" s="27" t="s">
        <v>25</v>
      </c>
      <c r="CFE42" s="27" t="s">
        <v>25</v>
      </c>
      <c r="CFF42" s="27" t="s">
        <v>25</v>
      </c>
      <c r="CFG42" s="27" t="s">
        <v>25</v>
      </c>
      <c r="CFH42" s="27" t="s">
        <v>25</v>
      </c>
      <c r="CFI42" s="27" t="s">
        <v>25</v>
      </c>
      <c r="CFJ42" s="27" t="s">
        <v>25</v>
      </c>
      <c r="CFK42" s="27" t="s">
        <v>25</v>
      </c>
      <c r="CFL42" s="27" t="s">
        <v>25</v>
      </c>
      <c r="CFM42" s="27" t="s">
        <v>25</v>
      </c>
      <c r="CFN42" s="27" t="s">
        <v>25</v>
      </c>
      <c r="CFO42" s="27" t="s">
        <v>25</v>
      </c>
      <c r="CFP42" s="27" t="s">
        <v>25</v>
      </c>
      <c r="CFQ42" s="27" t="s">
        <v>25</v>
      </c>
      <c r="CFR42" s="27" t="s">
        <v>25</v>
      </c>
      <c r="CFS42" s="27" t="s">
        <v>25</v>
      </c>
      <c r="CFT42" s="27" t="s">
        <v>25</v>
      </c>
      <c r="CFU42" s="27" t="s">
        <v>25</v>
      </c>
      <c r="CFV42" s="27" t="s">
        <v>25</v>
      </c>
      <c r="CFW42" s="27" t="s">
        <v>25</v>
      </c>
      <c r="CFX42" s="27" t="s">
        <v>28</v>
      </c>
      <c r="CFY42" s="27" t="s">
        <v>25</v>
      </c>
      <c r="CFZ42" s="27" t="s">
        <v>25</v>
      </c>
      <c r="CGA42" s="27" t="s">
        <v>25</v>
      </c>
      <c r="CGB42" s="27" t="s">
        <v>25</v>
      </c>
      <c r="CPW42" s="27">
        <v>1</v>
      </c>
      <c r="CPY42" s="26">
        <v>0</v>
      </c>
      <c r="CQB42" s="25" t="s">
        <v>8307</v>
      </c>
      <c r="CQC42" s="25" t="s">
        <v>8307</v>
      </c>
      <c r="CQD42" s="25" t="s">
        <v>8307</v>
      </c>
      <c r="CQE42" s="25" t="s">
        <v>8307</v>
      </c>
      <c r="CQF42" s="25" t="s">
        <v>8307</v>
      </c>
      <c r="CQI42" s="56">
        <v>300</v>
      </c>
      <c r="CQJ42" s="56">
        <v>300</v>
      </c>
      <c r="CQK42" s="56">
        <v>300</v>
      </c>
      <c r="CQL42" s="25" t="s">
        <v>13693</v>
      </c>
      <c r="CQM42" s="25" t="s">
        <v>8308</v>
      </c>
      <c r="CQN42" s="25" t="s">
        <v>28</v>
      </c>
      <c r="CQO42" s="25" t="s">
        <v>8309</v>
      </c>
      <c r="CQQ42" s="25" t="s">
        <v>8851</v>
      </c>
      <c r="CQR42" s="25" t="s">
        <v>8852</v>
      </c>
      <c r="CQS42" s="25" t="s">
        <v>28</v>
      </c>
      <c r="CQT42" s="25" t="s">
        <v>8313</v>
      </c>
      <c r="CQU42" s="25" t="s">
        <v>8312</v>
      </c>
      <c r="CQV42" s="25" t="s">
        <v>8312</v>
      </c>
      <c r="CQW42" s="25" t="s">
        <v>8313</v>
      </c>
      <c r="CQX42" s="25" t="s">
        <v>8312</v>
      </c>
      <c r="CQY42" s="25" t="s">
        <v>8312</v>
      </c>
      <c r="CQZ42" s="25" t="s">
        <v>8312</v>
      </c>
      <c r="CRA42" s="25" t="s">
        <v>8314</v>
      </c>
      <c r="CRB42" s="25" t="s">
        <v>8314</v>
      </c>
      <c r="CRC42" s="25" t="s">
        <v>8313</v>
      </c>
      <c r="CRD42" s="25" t="s">
        <v>8312</v>
      </c>
      <c r="CRE42" s="27" t="s">
        <v>8312</v>
      </c>
    </row>
    <row r="43" spans="1:2048 2050:2501" ht="63.75" x14ac:dyDescent="0.2">
      <c r="A43" s="21" t="s">
        <v>163</v>
      </c>
      <c r="B43" s="26">
        <v>0.76</v>
      </c>
      <c r="C43" s="26">
        <v>0</v>
      </c>
      <c r="D43" s="26">
        <v>0</v>
      </c>
      <c r="E43" s="26">
        <v>0.24</v>
      </c>
      <c r="F43" s="26">
        <v>0</v>
      </c>
      <c r="G43" s="26">
        <v>0</v>
      </c>
      <c r="H43" s="26">
        <v>0</v>
      </c>
      <c r="I43" s="26">
        <v>0</v>
      </c>
      <c r="J43" s="26">
        <v>0</v>
      </c>
      <c r="K43" s="26">
        <v>0</v>
      </c>
      <c r="L43" s="26">
        <v>0</v>
      </c>
      <c r="M43" s="26">
        <v>0</v>
      </c>
      <c r="N43" s="26">
        <v>1</v>
      </c>
      <c r="O43" s="26">
        <v>0</v>
      </c>
      <c r="P43" s="26">
        <v>0</v>
      </c>
      <c r="Q43" s="26">
        <v>0</v>
      </c>
      <c r="R43" s="26">
        <v>0</v>
      </c>
      <c r="S43" s="26">
        <v>0</v>
      </c>
      <c r="T43" s="26">
        <v>0</v>
      </c>
      <c r="U43" s="26">
        <v>0</v>
      </c>
      <c r="V43" s="26">
        <v>0</v>
      </c>
      <c r="W43" s="26">
        <v>0</v>
      </c>
      <c r="X43" s="26">
        <v>0</v>
      </c>
      <c r="Y43" s="26">
        <v>0</v>
      </c>
      <c r="Z43" s="25">
        <v>1</v>
      </c>
      <c r="AA43" s="25" t="s">
        <v>8797</v>
      </c>
      <c r="AC43" s="56">
        <v>3000</v>
      </c>
      <c r="AD43" s="56">
        <v>9000</v>
      </c>
      <c r="AE43" s="56">
        <v>5000</v>
      </c>
      <c r="AF43" s="56">
        <v>15000</v>
      </c>
      <c r="AI43" s="25" t="s">
        <v>8246</v>
      </c>
      <c r="AJ43" s="56">
        <v>250</v>
      </c>
      <c r="AK43" s="56">
        <v>750</v>
      </c>
      <c r="AL43" s="56">
        <v>300</v>
      </c>
      <c r="AM43" s="56">
        <v>900</v>
      </c>
      <c r="AN43" s="25" t="s">
        <v>8350</v>
      </c>
      <c r="DO43" s="25" t="s">
        <v>25</v>
      </c>
      <c r="DP43" s="25" t="s">
        <v>25</v>
      </c>
      <c r="DR43" s="25" t="s">
        <v>25</v>
      </c>
      <c r="DT43" s="25" t="s">
        <v>13417</v>
      </c>
      <c r="DU43" s="25" t="s">
        <v>13417</v>
      </c>
      <c r="DV43" s="56">
        <v>20</v>
      </c>
      <c r="DW43" s="56">
        <v>35</v>
      </c>
      <c r="DY43" s="56">
        <v>100</v>
      </c>
      <c r="DZ43" s="56">
        <v>30</v>
      </c>
      <c r="EC43" s="26">
        <v>0</v>
      </c>
      <c r="ED43" s="26">
        <v>0</v>
      </c>
      <c r="EE43" s="26">
        <v>0</v>
      </c>
      <c r="EF43" s="26">
        <v>0.1</v>
      </c>
      <c r="EG43" s="26">
        <v>0</v>
      </c>
      <c r="EH43" s="26">
        <v>0</v>
      </c>
      <c r="EM43" s="56">
        <v>100</v>
      </c>
      <c r="EQ43" s="26">
        <v>0.3</v>
      </c>
      <c r="ER43" s="26">
        <v>0.3</v>
      </c>
      <c r="ES43" s="26">
        <v>0.3</v>
      </c>
      <c r="ET43" s="26">
        <v>0.1</v>
      </c>
      <c r="EU43" s="26">
        <v>0.3</v>
      </c>
      <c r="EV43" s="26">
        <v>0.3</v>
      </c>
      <c r="FL43" s="25" t="s">
        <v>13810</v>
      </c>
      <c r="FM43" s="25" t="s">
        <v>13810</v>
      </c>
      <c r="FN43" s="25" t="s">
        <v>13810</v>
      </c>
      <c r="FO43" s="25" t="s">
        <v>8424</v>
      </c>
      <c r="FR43" s="25" t="s">
        <v>8424</v>
      </c>
      <c r="FV43" s="25" t="s">
        <v>8254</v>
      </c>
      <c r="FW43" s="25" t="s">
        <v>8320</v>
      </c>
      <c r="FX43" s="25" t="s">
        <v>8254</v>
      </c>
      <c r="FY43" s="25" t="s">
        <v>13449</v>
      </c>
      <c r="GB43" s="25" t="s">
        <v>8426</v>
      </c>
      <c r="GE43" s="56">
        <v>10</v>
      </c>
      <c r="GF43" s="56">
        <v>50</v>
      </c>
      <c r="GG43" s="56">
        <v>15</v>
      </c>
      <c r="GI43" s="56">
        <v>30</v>
      </c>
      <c r="GJ43" s="56">
        <v>50</v>
      </c>
      <c r="GK43" s="56">
        <v>45</v>
      </c>
      <c r="GM43" s="56">
        <v>50</v>
      </c>
      <c r="GN43" s="56">
        <v>50</v>
      </c>
      <c r="GO43" s="56">
        <v>75</v>
      </c>
      <c r="IB43" s="26">
        <v>0.3</v>
      </c>
      <c r="IC43" s="26">
        <v>0.3</v>
      </c>
      <c r="ID43" s="26">
        <v>0.3</v>
      </c>
      <c r="IW43" s="26">
        <v>1</v>
      </c>
      <c r="IX43" s="26">
        <v>1</v>
      </c>
      <c r="IY43" s="26">
        <v>1</v>
      </c>
      <c r="JR43" s="26">
        <v>1</v>
      </c>
      <c r="JS43" s="26">
        <v>1</v>
      </c>
      <c r="JT43" s="26">
        <v>1</v>
      </c>
      <c r="KM43" s="25" t="s">
        <v>8352</v>
      </c>
      <c r="KO43" s="25" t="s">
        <v>8321</v>
      </c>
      <c r="KP43" s="25">
        <v>2</v>
      </c>
      <c r="KQ43" s="25" t="s">
        <v>8862</v>
      </c>
      <c r="KR43" s="25" t="s">
        <v>8863</v>
      </c>
      <c r="KS43" s="56">
        <v>3000</v>
      </c>
      <c r="KT43" s="56">
        <v>6000</v>
      </c>
      <c r="KU43" s="56">
        <v>6000</v>
      </c>
      <c r="KV43" s="56">
        <v>12000</v>
      </c>
      <c r="KY43" s="25" t="s">
        <v>8246</v>
      </c>
      <c r="KZ43" s="56">
        <v>1500</v>
      </c>
      <c r="LA43" s="56">
        <v>3000</v>
      </c>
      <c r="LD43" s="25" t="s">
        <v>8247</v>
      </c>
      <c r="LE43" s="25" t="s">
        <v>8248</v>
      </c>
      <c r="LR43" s="25" t="s">
        <v>8249</v>
      </c>
      <c r="OE43" s="25" t="s">
        <v>25</v>
      </c>
      <c r="OF43" s="25" t="s">
        <v>25</v>
      </c>
      <c r="OH43" s="25" t="s">
        <v>25</v>
      </c>
      <c r="OJ43" s="25" t="s">
        <v>13416</v>
      </c>
      <c r="OK43" s="25" t="s">
        <v>13416</v>
      </c>
      <c r="OS43" s="26">
        <v>0.2</v>
      </c>
      <c r="OT43" s="26">
        <v>0.2</v>
      </c>
      <c r="OU43" s="26">
        <v>0.2</v>
      </c>
      <c r="OV43" s="26">
        <v>0.2</v>
      </c>
      <c r="OW43" s="26">
        <v>0.2</v>
      </c>
      <c r="OX43" s="26">
        <v>0.2</v>
      </c>
      <c r="PG43" s="26">
        <v>0.5</v>
      </c>
      <c r="PH43" s="26">
        <v>0.5</v>
      </c>
      <c r="PI43" s="26">
        <v>0.5</v>
      </c>
      <c r="PJ43" s="26">
        <v>0.5</v>
      </c>
      <c r="PK43" s="26">
        <v>0.5</v>
      </c>
      <c r="PL43" s="26">
        <v>0.5</v>
      </c>
      <c r="QB43" s="25" t="s">
        <v>13810</v>
      </c>
      <c r="QC43" s="25" t="s">
        <v>13810</v>
      </c>
      <c r="QD43" s="25" t="s">
        <v>13810</v>
      </c>
      <c r="QE43" s="25" t="s">
        <v>8424</v>
      </c>
      <c r="QH43" s="25" t="s">
        <v>8424</v>
      </c>
      <c r="QL43" s="25" t="s">
        <v>8254</v>
      </c>
      <c r="QM43" s="25" t="s">
        <v>13436</v>
      </c>
      <c r="QN43" s="25" t="s">
        <v>13436</v>
      </c>
      <c r="QO43" s="25" t="s">
        <v>13449</v>
      </c>
      <c r="QR43" s="25" t="s">
        <v>13449</v>
      </c>
      <c r="QU43" s="56">
        <v>10</v>
      </c>
      <c r="QW43" s="56">
        <v>15</v>
      </c>
      <c r="QY43" s="56">
        <v>30</v>
      </c>
      <c r="RA43" s="56">
        <v>45</v>
      </c>
      <c r="RC43" s="56">
        <v>50</v>
      </c>
      <c r="RE43" s="56">
        <v>75</v>
      </c>
      <c r="SR43" s="26">
        <v>0.3</v>
      </c>
      <c r="SS43" s="26">
        <v>0.3</v>
      </c>
      <c r="ST43" s="26">
        <v>0.3</v>
      </c>
      <c r="UH43" s="26">
        <v>1</v>
      </c>
      <c r="UI43" s="26">
        <v>1</v>
      </c>
      <c r="UJ43" s="26">
        <v>1</v>
      </c>
      <c r="VC43" s="25" t="s">
        <v>8352</v>
      </c>
      <c r="VD43" s="25" t="s">
        <v>8256</v>
      </c>
      <c r="VE43" s="25" t="s">
        <v>8321</v>
      </c>
      <c r="VF43" s="25">
        <v>0</v>
      </c>
      <c r="VI43" s="25"/>
      <c r="VJ43" s="25"/>
      <c r="VK43" s="25"/>
      <c r="VL43" s="25"/>
      <c r="VM43" s="25"/>
      <c r="VN43" s="25"/>
      <c r="VP43" s="25"/>
      <c r="VQ43" s="25"/>
      <c r="VR43" s="25"/>
      <c r="VS43" s="25"/>
      <c r="ZA43" s="25"/>
      <c r="ZB43" s="25"/>
      <c r="ZC43" s="25"/>
      <c r="ZD43" s="25"/>
      <c r="ZE43" s="25"/>
      <c r="ZF43" s="25"/>
      <c r="ZG43" s="25"/>
      <c r="ZO43" s="25"/>
      <c r="ZP43" s="25"/>
      <c r="ZQ43" s="25"/>
      <c r="ZR43" s="25"/>
      <c r="ZS43" s="25"/>
      <c r="ZT43" s="25"/>
      <c r="ZU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S43" s="25"/>
      <c r="ACT43" s="25"/>
      <c r="ACU43" s="25"/>
      <c r="ACV43" s="25"/>
      <c r="ACW43" s="25"/>
      <c r="ACX43" s="25"/>
      <c r="ACY43" s="25"/>
      <c r="ACZ43" s="25"/>
      <c r="ADA43" s="25"/>
      <c r="ADB43" s="25"/>
      <c r="ADC43" s="25"/>
      <c r="ADD43" s="25"/>
      <c r="ADE43" s="25"/>
      <c r="ADF43" s="25"/>
      <c r="ADN43" s="25"/>
      <c r="ADO43" s="25"/>
      <c r="ADP43" s="25"/>
      <c r="ADQ43" s="25"/>
      <c r="ADR43" s="25"/>
      <c r="ADS43" s="25"/>
      <c r="ADT43" s="25"/>
      <c r="ADU43" s="25"/>
      <c r="ADV43" s="25"/>
      <c r="ADW43" s="25"/>
      <c r="ADX43" s="25"/>
      <c r="ADY43" s="25"/>
      <c r="ADZ43" s="25"/>
      <c r="AEA43" s="25"/>
      <c r="AEI43" s="25"/>
      <c r="AEJ43" s="25"/>
      <c r="AEK43" s="25"/>
      <c r="AEL43" s="25"/>
      <c r="AEM43" s="25"/>
      <c r="AEN43" s="25"/>
      <c r="AEO43" s="25"/>
      <c r="AEP43" s="25"/>
      <c r="AEQ43" s="25"/>
      <c r="AER43" s="25"/>
      <c r="AES43" s="25"/>
      <c r="AET43" s="25"/>
      <c r="AEU43" s="25"/>
      <c r="AEV43" s="25"/>
      <c r="AFD43" s="25"/>
      <c r="AFE43" s="25"/>
      <c r="AFF43" s="25"/>
      <c r="AFG43" s="25"/>
      <c r="AFH43" s="25"/>
      <c r="AFI43" s="25"/>
      <c r="AFJ43" s="25"/>
      <c r="AFK43" s="25"/>
      <c r="AFL43" s="25"/>
      <c r="AFM43" s="25"/>
      <c r="AFN43" s="25"/>
      <c r="AFO43" s="25"/>
      <c r="AFP43" s="25"/>
      <c r="AFQ43" s="25"/>
      <c r="AFU43" s="25">
        <v>0</v>
      </c>
      <c r="AFX43" s="25"/>
      <c r="AFY43" s="25"/>
      <c r="AFZ43" s="25"/>
      <c r="AGA43" s="25"/>
      <c r="AGB43" s="25"/>
      <c r="AGC43" s="25"/>
      <c r="AGE43" s="25"/>
      <c r="AGF43" s="25"/>
      <c r="AGG43" s="25"/>
      <c r="AGH43" s="25"/>
      <c r="AJP43" s="25"/>
      <c r="AJQ43" s="25"/>
      <c r="AJR43" s="25"/>
      <c r="AJS43" s="25"/>
      <c r="AJT43" s="25"/>
      <c r="AJU43" s="25"/>
      <c r="AJV43" s="25"/>
      <c r="AKD43" s="25"/>
      <c r="AKE43" s="25"/>
      <c r="AKF43" s="25"/>
      <c r="AKG43" s="25"/>
      <c r="AKH43" s="25"/>
      <c r="AKI43" s="25"/>
      <c r="AKJ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H43" s="25"/>
      <c r="ANI43" s="25"/>
      <c r="ANJ43" s="25"/>
      <c r="ANK43" s="25"/>
      <c r="ANL43" s="25"/>
      <c r="ANM43" s="25"/>
      <c r="ANN43" s="25"/>
      <c r="ANO43" s="25"/>
      <c r="ANP43" s="25"/>
      <c r="ANQ43" s="25"/>
      <c r="ANR43" s="25"/>
      <c r="ANS43" s="25"/>
      <c r="ANT43" s="25"/>
      <c r="ANU43" s="25"/>
      <c r="AOC43" s="25"/>
      <c r="AOD43" s="25"/>
      <c r="AOE43" s="25"/>
      <c r="AOF43" s="25"/>
      <c r="AOG43" s="25"/>
      <c r="AOH43" s="25"/>
      <c r="AOI43" s="25"/>
      <c r="AOJ43" s="25"/>
      <c r="AOK43" s="25"/>
      <c r="AOL43" s="25"/>
      <c r="AOM43" s="25"/>
      <c r="AON43" s="25"/>
      <c r="AOO43" s="25"/>
      <c r="AOP43" s="25"/>
      <c r="AOX43" s="25"/>
      <c r="AOY43" s="25"/>
      <c r="AOZ43" s="25"/>
      <c r="APA43" s="25"/>
      <c r="APB43" s="25"/>
      <c r="APC43" s="25"/>
      <c r="APD43" s="25"/>
      <c r="APE43" s="25"/>
      <c r="APF43" s="25"/>
      <c r="APG43" s="25"/>
      <c r="APH43" s="25"/>
      <c r="API43" s="25"/>
      <c r="APJ43" s="25"/>
      <c r="APK43" s="25"/>
      <c r="APS43" s="25"/>
      <c r="APT43" s="25"/>
      <c r="APU43" s="25"/>
      <c r="APV43" s="25"/>
      <c r="APW43" s="25"/>
      <c r="APX43" s="25"/>
      <c r="APY43" s="25"/>
      <c r="APZ43" s="25"/>
      <c r="AQA43" s="25"/>
      <c r="AQB43" s="25"/>
      <c r="AQC43" s="25"/>
      <c r="AQD43" s="25"/>
      <c r="AQE43" s="25"/>
      <c r="AQF43" s="25"/>
      <c r="AQJ43" s="25">
        <v>0</v>
      </c>
      <c r="AQM43" s="25"/>
      <c r="AQN43" s="25"/>
      <c r="AQO43" s="25"/>
      <c r="AQP43" s="25"/>
      <c r="AQQ43" s="25"/>
      <c r="AQR43" s="25"/>
      <c r="AQT43" s="25"/>
      <c r="AQU43" s="25"/>
      <c r="AQV43" s="25"/>
      <c r="AQW43" s="25"/>
      <c r="AUE43" s="25"/>
      <c r="AUF43" s="25"/>
      <c r="AUG43" s="25"/>
      <c r="AUH43" s="25"/>
      <c r="AUI43" s="25"/>
      <c r="AUJ43" s="25"/>
      <c r="AUK43" s="25"/>
      <c r="AUS43" s="25"/>
      <c r="AUT43" s="25"/>
      <c r="AUU43" s="25"/>
      <c r="AUV43" s="25"/>
      <c r="AUW43" s="25"/>
      <c r="AUX43" s="25"/>
      <c r="AUY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W43" s="25"/>
      <c r="AXX43" s="25"/>
      <c r="AXY43" s="25"/>
      <c r="AXZ43" s="25"/>
      <c r="AYA43" s="25"/>
      <c r="AYB43" s="25"/>
      <c r="AYC43" s="25"/>
      <c r="AYD43" s="25"/>
      <c r="AYE43" s="25"/>
      <c r="AYF43" s="25"/>
      <c r="AYG43" s="25"/>
      <c r="AYH43" s="25"/>
      <c r="AYI43" s="25"/>
      <c r="AYJ43" s="25"/>
      <c r="AZM43" s="25"/>
      <c r="AZN43" s="25"/>
      <c r="AZO43" s="25"/>
      <c r="AZP43" s="25"/>
      <c r="AZQ43" s="25"/>
      <c r="AZR43" s="25"/>
      <c r="AZS43" s="25"/>
      <c r="AZT43" s="25"/>
      <c r="AZU43" s="25"/>
      <c r="AZV43" s="25"/>
      <c r="AZW43" s="25"/>
      <c r="AZX43" s="25"/>
      <c r="AZY43" s="25"/>
      <c r="AZZ43" s="25"/>
      <c r="BAR43" s="25"/>
      <c r="BAS43" s="25"/>
      <c r="BAT43" s="25"/>
      <c r="BAU43" s="25"/>
      <c r="BAY43" s="25">
        <v>0</v>
      </c>
      <c r="BBB43" s="25"/>
      <c r="BBC43" s="25"/>
      <c r="BBD43" s="25"/>
      <c r="BBE43" s="25"/>
      <c r="BBF43" s="25"/>
      <c r="BBG43" s="25"/>
      <c r="BBI43" s="25"/>
      <c r="BBJ43" s="25"/>
      <c r="BBK43" s="25"/>
      <c r="BBL43" s="25"/>
      <c r="BET43" s="25"/>
      <c r="BEU43" s="25"/>
      <c r="BEV43" s="25"/>
      <c r="BEW43" s="25"/>
      <c r="BEX43" s="25"/>
      <c r="BEY43" s="25"/>
      <c r="BEZ43" s="25"/>
      <c r="BFH43" s="25"/>
      <c r="BFI43" s="25"/>
      <c r="BFJ43" s="25"/>
      <c r="BFK43" s="25"/>
      <c r="BFL43" s="25"/>
      <c r="BFM43" s="25"/>
      <c r="BFN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L43" s="25"/>
      <c r="BIM43" s="25"/>
      <c r="BIN43" s="25"/>
      <c r="BIO43" s="25"/>
      <c r="BIP43" s="25"/>
      <c r="BIQ43" s="25"/>
      <c r="BIR43" s="25"/>
      <c r="BIS43" s="25"/>
      <c r="BIT43" s="25"/>
      <c r="BIU43" s="25"/>
      <c r="BIV43" s="25"/>
      <c r="BIW43" s="25"/>
      <c r="BIX43" s="25"/>
      <c r="BIY43" s="25"/>
      <c r="BJG43" s="25"/>
      <c r="BJH43" s="25"/>
      <c r="BJI43" s="25"/>
      <c r="BJJ43" s="25"/>
      <c r="BJK43" s="25"/>
      <c r="BJL43" s="25"/>
      <c r="BJM43" s="25"/>
      <c r="BJN43" s="25"/>
      <c r="BJO43" s="25"/>
      <c r="BJP43" s="25"/>
      <c r="BJQ43" s="25"/>
      <c r="BJR43" s="25"/>
      <c r="BJS43" s="25"/>
      <c r="BJT43" s="25"/>
      <c r="BKB43" s="25"/>
      <c r="BKC43" s="25"/>
      <c r="BKD43" s="25"/>
      <c r="BKE43" s="25"/>
      <c r="BKF43" s="25"/>
      <c r="BKG43" s="25"/>
      <c r="BKH43" s="25"/>
      <c r="BKI43" s="25"/>
      <c r="BKJ43" s="25"/>
      <c r="BKK43" s="25"/>
      <c r="BKL43" s="25"/>
      <c r="BKM43" s="25"/>
      <c r="BKN43" s="25"/>
      <c r="BKO43" s="25"/>
      <c r="BKW43" s="25"/>
      <c r="BKX43" s="25"/>
      <c r="BKY43" s="25"/>
      <c r="BKZ43" s="25"/>
      <c r="BLA43" s="25"/>
      <c r="BLB43" s="25"/>
      <c r="BLC43" s="25"/>
      <c r="BLD43" s="25"/>
      <c r="BLE43" s="25"/>
      <c r="BLF43" s="25"/>
      <c r="BLG43" s="25"/>
      <c r="BLH43" s="25"/>
      <c r="BLI43" s="25"/>
      <c r="BLJ43" s="25"/>
      <c r="BLN43" s="25">
        <v>0</v>
      </c>
      <c r="BLQ43" s="25"/>
      <c r="BLR43" s="25"/>
      <c r="BLS43" s="25"/>
      <c r="BLT43" s="25"/>
      <c r="BLU43" s="25"/>
      <c r="BLV43" s="25"/>
      <c r="BLX43" s="25"/>
      <c r="BLY43" s="25"/>
      <c r="BLZ43" s="25"/>
      <c r="BMA43" s="25"/>
      <c r="BPI43" s="25"/>
      <c r="BPJ43" s="25"/>
      <c r="BPK43" s="25"/>
      <c r="BPL43" s="25"/>
      <c r="BPM43" s="25"/>
      <c r="BPN43" s="25"/>
      <c r="BPO43" s="25"/>
      <c r="BPW43" s="25"/>
      <c r="BPX43" s="25"/>
      <c r="BPY43" s="25"/>
      <c r="BPZ43" s="25"/>
      <c r="BQA43" s="25"/>
      <c r="BQB43" s="25"/>
      <c r="BQC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TA43" s="25"/>
      <c r="BTB43" s="25"/>
      <c r="BTC43" s="25"/>
      <c r="BTD43" s="25"/>
      <c r="BTE43" s="25"/>
      <c r="BTF43" s="25"/>
      <c r="BTG43" s="25"/>
      <c r="BTH43" s="25"/>
      <c r="BTI43" s="25"/>
      <c r="BTJ43" s="25"/>
      <c r="BTK43" s="25"/>
      <c r="BTL43" s="25"/>
      <c r="BTM43" s="25"/>
      <c r="BTN43" s="25"/>
      <c r="BUQ43" s="25"/>
      <c r="BUR43" s="25"/>
      <c r="BUS43" s="25"/>
      <c r="BUT43" s="25"/>
      <c r="BUU43" s="25"/>
      <c r="BUV43" s="25"/>
      <c r="BUW43" s="25"/>
      <c r="BUX43" s="25"/>
      <c r="BUY43" s="25"/>
      <c r="BUZ43" s="25"/>
      <c r="BVA43" s="25"/>
      <c r="BVB43" s="25"/>
      <c r="BVC43" s="25"/>
      <c r="BVD43" s="25"/>
      <c r="BWC43" s="25" t="s">
        <v>25</v>
      </c>
      <c r="BWH43" s="25" t="s">
        <v>2169</v>
      </c>
      <c r="BWI43" s="25" t="s">
        <v>28</v>
      </c>
      <c r="BWJ43" s="25" t="s">
        <v>8433</v>
      </c>
      <c r="BWX43" s="25" t="s">
        <v>25</v>
      </c>
      <c r="BXD43" s="25" t="s">
        <v>28</v>
      </c>
      <c r="BXE43" s="25" t="s">
        <v>8388</v>
      </c>
      <c r="BXJ43" s="25" t="s">
        <v>28</v>
      </c>
      <c r="BXK43" s="25" t="s">
        <v>8330</v>
      </c>
      <c r="BXL43" s="25" t="s">
        <v>8331</v>
      </c>
      <c r="BXO43" s="25" t="s">
        <v>8274</v>
      </c>
      <c r="BXP43" s="25" t="s">
        <v>8274</v>
      </c>
      <c r="BXQ43" s="25" t="s">
        <v>8274</v>
      </c>
      <c r="BXR43" s="25" t="s">
        <v>8274</v>
      </c>
      <c r="BXS43" s="25" t="s">
        <v>8274</v>
      </c>
      <c r="BXW43" s="25" t="s">
        <v>28</v>
      </c>
      <c r="BXX43" s="25" t="s">
        <v>28</v>
      </c>
      <c r="BYC43" s="25" t="s">
        <v>2201</v>
      </c>
      <c r="BYD43" s="25" t="s">
        <v>28</v>
      </c>
      <c r="BYR43" s="25" t="s">
        <v>28</v>
      </c>
      <c r="BYS43" s="25" t="s">
        <v>732</v>
      </c>
      <c r="BYT43" s="25" t="s">
        <v>732</v>
      </c>
      <c r="BYU43" s="25" t="s">
        <v>732</v>
      </c>
      <c r="BYV43" s="25" t="s">
        <v>25</v>
      </c>
      <c r="BYW43" s="25" t="s">
        <v>28</v>
      </c>
      <c r="BYX43" s="56">
        <v>750</v>
      </c>
      <c r="BYY43" s="56">
        <v>1500</v>
      </c>
      <c r="BYZ43" s="25" t="s">
        <v>8408</v>
      </c>
      <c r="BZB43" s="25" t="s">
        <v>2269</v>
      </c>
      <c r="BZD43" s="25" t="s">
        <v>28</v>
      </c>
      <c r="BZE43" s="25" t="s">
        <v>28</v>
      </c>
      <c r="BZF43" s="25" t="s">
        <v>28</v>
      </c>
      <c r="BZG43" s="25" t="s">
        <v>25</v>
      </c>
      <c r="BZJ43" s="25" t="s">
        <v>25</v>
      </c>
      <c r="BZM43" s="25" t="s">
        <v>28</v>
      </c>
      <c r="BZN43" s="25" t="s">
        <v>8283</v>
      </c>
      <c r="BZP43" s="25" t="s">
        <v>8366</v>
      </c>
      <c r="BZQ43" s="56">
        <v>1000</v>
      </c>
      <c r="BZR43" s="25" t="s">
        <v>819</v>
      </c>
      <c r="BZS43" s="25" t="s">
        <v>28</v>
      </c>
      <c r="BZT43" s="25" t="s">
        <v>8337</v>
      </c>
      <c r="BZV43" s="25" t="s">
        <v>13656</v>
      </c>
      <c r="BZX43" s="25" t="s">
        <v>8739</v>
      </c>
      <c r="BZZ43" s="25" t="s">
        <v>25</v>
      </c>
      <c r="CAC43" s="25" t="s">
        <v>25</v>
      </c>
      <c r="CAE43" s="25" t="s">
        <v>25</v>
      </c>
      <c r="CAG43" s="25" t="s">
        <v>25</v>
      </c>
      <c r="CAH43" s="25" t="s">
        <v>631</v>
      </c>
      <c r="CAI43" s="25" t="s">
        <v>631</v>
      </c>
      <c r="CAJ43" s="25" t="s">
        <v>631</v>
      </c>
      <c r="CAK43" s="25" t="s">
        <v>631</v>
      </c>
      <c r="CAL43" s="25" t="s">
        <v>247</v>
      </c>
      <c r="CAM43" s="25" t="s">
        <v>8290</v>
      </c>
      <c r="CAN43" s="25" t="s">
        <v>247</v>
      </c>
      <c r="CAO43" s="25" t="s">
        <v>8290</v>
      </c>
      <c r="CAP43" s="25" t="s">
        <v>8290</v>
      </c>
      <c r="CAR43" s="25" t="s">
        <v>8455</v>
      </c>
      <c r="CAT43" s="25" t="s">
        <v>25</v>
      </c>
      <c r="CAW43" s="25" t="s">
        <v>8341</v>
      </c>
      <c r="CBB43" s="25">
        <v>2</v>
      </c>
      <c r="CBE43" s="56">
        <v>50</v>
      </c>
      <c r="CBF43" s="56">
        <v>150</v>
      </c>
      <c r="CBG43" s="56">
        <v>100</v>
      </c>
      <c r="CBH43" s="56">
        <v>300</v>
      </c>
      <c r="CBI43" s="56">
        <v>1500</v>
      </c>
      <c r="CBK43" s="56">
        <v>1500</v>
      </c>
      <c r="CBM43" s="26">
        <v>0</v>
      </c>
      <c r="CBO43" s="26">
        <v>0.1</v>
      </c>
      <c r="CBQ43" s="26">
        <v>0.2</v>
      </c>
      <c r="CBS43" s="26">
        <v>0.5</v>
      </c>
      <c r="CBV43" s="27" t="s">
        <v>8522</v>
      </c>
      <c r="CBW43" s="27" t="s">
        <v>8370</v>
      </c>
      <c r="CPW43" s="27">
        <v>2</v>
      </c>
      <c r="CPX43" s="56">
        <v>10</v>
      </c>
      <c r="CQB43" s="25" t="s">
        <v>8307</v>
      </c>
      <c r="CQC43" s="25" t="s">
        <v>8307</v>
      </c>
      <c r="CQD43" s="25" t="s">
        <v>8344</v>
      </c>
      <c r="CQE43" s="25" t="s">
        <v>8307</v>
      </c>
      <c r="CQF43" s="25" t="s">
        <v>8307</v>
      </c>
      <c r="CQI43" s="56">
        <v>150</v>
      </c>
      <c r="CQJ43" s="56">
        <v>130</v>
      </c>
      <c r="CQN43" s="25" t="s">
        <v>28</v>
      </c>
      <c r="CQO43" s="25" t="s">
        <v>8309</v>
      </c>
      <c r="CQS43" s="25" t="s">
        <v>25</v>
      </c>
    </row>
    <row r="44" spans="1:2048 2050:2501" ht="89.25" x14ac:dyDescent="0.2">
      <c r="A44" s="21" t="s">
        <v>165</v>
      </c>
      <c r="B44" s="26">
        <v>0</v>
      </c>
      <c r="C44" s="26">
        <v>0</v>
      </c>
      <c r="D44" s="26">
        <v>0</v>
      </c>
      <c r="E44" s="26">
        <v>0.91</v>
      </c>
      <c r="F44" s="26">
        <v>0</v>
      </c>
      <c r="G44" s="26">
        <v>0</v>
      </c>
      <c r="H44" s="26">
        <v>0</v>
      </c>
      <c r="I44" s="26">
        <v>0</v>
      </c>
      <c r="J44" s="26">
        <v>0</v>
      </c>
      <c r="K44" s="26">
        <v>0</v>
      </c>
      <c r="L44" s="26">
        <v>0</v>
      </c>
      <c r="M44" s="26">
        <v>0.09</v>
      </c>
      <c r="N44" s="26">
        <v>0</v>
      </c>
      <c r="O44" s="26">
        <v>0</v>
      </c>
      <c r="P44" s="26">
        <v>0</v>
      </c>
      <c r="Q44" s="26">
        <v>0</v>
      </c>
      <c r="R44" s="26">
        <v>0</v>
      </c>
      <c r="S44" s="26">
        <v>0</v>
      </c>
      <c r="T44" s="26">
        <v>0</v>
      </c>
      <c r="U44" s="26">
        <v>0</v>
      </c>
      <c r="V44" s="26">
        <v>0</v>
      </c>
      <c r="W44" s="26">
        <v>0</v>
      </c>
      <c r="X44" s="26">
        <v>0</v>
      </c>
      <c r="Y44" s="26">
        <v>1</v>
      </c>
      <c r="Z44" s="25">
        <v>0</v>
      </c>
      <c r="KP44" s="25">
        <v>2</v>
      </c>
      <c r="KQ44" s="25" t="s">
        <v>8873</v>
      </c>
      <c r="KR44" s="25" t="s">
        <v>8874</v>
      </c>
      <c r="KS44" s="56">
        <v>3500</v>
      </c>
      <c r="KT44" s="56">
        <v>7000</v>
      </c>
      <c r="KU44" s="56">
        <v>3500</v>
      </c>
      <c r="KV44" s="56">
        <v>7000</v>
      </c>
      <c r="KY44" s="25" t="s">
        <v>8246</v>
      </c>
      <c r="KZ44" s="56">
        <v>1400</v>
      </c>
      <c r="LA44" s="56">
        <v>2800</v>
      </c>
      <c r="LB44" s="56">
        <v>1400</v>
      </c>
      <c r="LC44" s="56">
        <v>2800</v>
      </c>
      <c r="LD44" s="25" t="s">
        <v>8350</v>
      </c>
      <c r="LE44" s="25" t="s">
        <v>8248</v>
      </c>
      <c r="LR44" s="25" t="s">
        <v>8249</v>
      </c>
      <c r="OE44" s="25" t="s">
        <v>25</v>
      </c>
      <c r="OF44" s="25" t="s">
        <v>28</v>
      </c>
      <c r="OG44" s="25" t="s">
        <v>25</v>
      </c>
      <c r="OH44" s="25" t="s">
        <v>25</v>
      </c>
      <c r="OJ44" s="25" t="s">
        <v>13416</v>
      </c>
      <c r="OK44" s="25" t="s">
        <v>13416</v>
      </c>
      <c r="OS44" s="26">
        <v>0.1</v>
      </c>
      <c r="OT44" s="26">
        <v>0.1</v>
      </c>
      <c r="OU44" s="26">
        <v>0.1</v>
      </c>
      <c r="OV44" s="26">
        <v>0.1</v>
      </c>
      <c r="OW44" s="26">
        <v>0.1</v>
      </c>
      <c r="OX44" s="26">
        <v>0.1</v>
      </c>
      <c r="PG44" s="26">
        <v>0.3</v>
      </c>
      <c r="PH44" s="26">
        <v>0.3</v>
      </c>
      <c r="PI44" s="26">
        <v>0.3</v>
      </c>
      <c r="PJ44" s="26">
        <v>0.3</v>
      </c>
      <c r="PK44" s="26">
        <v>0.3</v>
      </c>
      <c r="PL44" s="26">
        <v>0.3</v>
      </c>
      <c r="PN44" s="25" t="s">
        <v>8250</v>
      </c>
      <c r="PO44" s="25" t="s">
        <v>8250</v>
      </c>
      <c r="PP44" s="25" t="s">
        <v>8250</v>
      </c>
      <c r="PQ44" s="25" t="s">
        <v>8250</v>
      </c>
      <c r="PR44" s="25" t="s">
        <v>8250</v>
      </c>
      <c r="PS44" s="25" t="s">
        <v>8250</v>
      </c>
      <c r="PU44" s="25" t="s">
        <v>25</v>
      </c>
      <c r="PV44" s="25" t="s">
        <v>25</v>
      </c>
      <c r="PW44" s="25" t="s">
        <v>25</v>
      </c>
      <c r="PX44" s="25" t="s">
        <v>25</v>
      </c>
      <c r="PY44" s="25" t="s">
        <v>25</v>
      </c>
      <c r="PZ44" s="25" t="s">
        <v>25</v>
      </c>
      <c r="QB44" s="25" t="s">
        <v>13810</v>
      </c>
      <c r="QC44" s="25" t="s">
        <v>13810</v>
      </c>
      <c r="QD44" s="25" t="s">
        <v>13810</v>
      </c>
      <c r="QE44" s="25" t="s">
        <v>13810</v>
      </c>
      <c r="QF44" s="25" t="s">
        <v>631</v>
      </c>
      <c r="QG44" s="25" t="s">
        <v>8252</v>
      </c>
      <c r="QH44" s="25" t="s">
        <v>8252</v>
      </c>
      <c r="QI44" s="25" t="s">
        <v>8252</v>
      </c>
      <c r="QJ44" s="25" t="s">
        <v>631</v>
      </c>
      <c r="QL44" s="25" t="s">
        <v>8253</v>
      </c>
      <c r="QM44" s="25" t="s">
        <v>8253</v>
      </c>
      <c r="QN44" s="25" t="s">
        <v>8253</v>
      </c>
      <c r="QO44" s="25" t="s">
        <v>8380</v>
      </c>
      <c r="QQ44" s="25" t="s">
        <v>8253</v>
      </c>
      <c r="QR44" s="25" t="s">
        <v>8253</v>
      </c>
      <c r="QS44" s="25" t="s">
        <v>8253</v>
      </c>
      <c r="SC44" s="26">
        <v>0.1</v>
      </c>
      <c r="VC44" s="25" t="s">
        <v>8352</v>
      </c>
      <c r="VD44" s="25" t="s">
        <v>8381</v>
      </c>
      <c r="VE44" s="25" t="s">
        <v>8321</v>
      </c>
      <c r="VF44" s="25">
        <v>0</v>
      </c>
      <c r="VI44" s="25"/>
      <c r="VJ44" s="25"/>
      <c r="VK44" s="25"/>
      <c r="VL44" s="25"/>
      <c r="VM44" s="25"/>
      <c r="VN44" s="25"/>
      <c r="VP44" s="25"/>
      <c r="VQ44" s="25"/>
      <c r="VR44" s="25"/>
      <c r="VS44" s="25"/>
      <c r="ZA44" s="25"/>
      <c r="ZB44" s="25"/>
      <c r="ZC44" s="25"/>
      <c r="ZD44" s="25"/>
      <c r="ZE44" s="25"/>
      <c r="ZF44" s="25"/>
      <c r="ZG44" s="25"/>
      <c r="ZO44" s="25"/>
      <c r="ZP44" s="25"/>
      <c r="ZQ44" s="25"/>
      <c r="ZR44" s="25"/>
      <c r="ZS44" s="25"/>
      <c r="ZT44" s="25"/>
      <c r="ZU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S44" s="25"/>
      <c r="ACT44" s="25"/>
      <c r="ACU44" s="25"/>
      <c r="ACV44" s="25"/>
      <c r="ACW44" s="25"/>
      <c r="ACX44" s="25"/>
      <c r="ACY44" s="25"/>
      <c r="ACZ44" s="25"/>
      <c r="ADA44" s="25"/>
      <c r="ADB44" s="25"/>
      <c r="ADC44" s="25"/>
      <c r="ADD44" s="25"/>
      <c r="ADE44" s="25"/>
      <c r="ADF44" s="25"/>
      <c r="ADN44" s="25"/>
      <c r="ADO44" s="25"/>
      <c r="ADP44" s="25"/>
      <c r="ADQ44" s="25"/>
      <c r="ADR44" s="25"/>
      <c r="ADS44" s="25"/>
      <c r="ADT44" s="25"/>
      <c r="ADU44" s="25"/>
      <c r="ADV44" s="25"/>
      <c r="ADW44" s="25"/>
      <c r="ADX44" s="25"/>
      <c r="ADY44" s="25"/>
      <c r="ADZ44" s="25"/>
      <c r="AEA44" s="25"/>
      <c r="AEI44" s="25"/>
      <c r="AEJ44" s="25"/>
      <c r="AEK44" s="25"/>
      <c r="AEL44" s="25"/>
      <c r="AEM44" s="25"/>
      <c r="AEN44" s="25"/>
      <c r="AEO44" s="25"/>
      <c r="AEP44" s="25"/>
      <c r="AEQ44" s="25"/>
      <c r="AER44" s="25"/>
      <c r="AES44" s="25"/>
      <c r="AET44" s="25"/>
      <c r="AEU44" s="25"/>
      <c r="AEV44" s="25"/>
      <c r="AFD44" s="25"/>
      <c r="AFE44" s="25"/>
      <c r="AFF44" s="25"/>
      <c r="AFG44" s="25"/>
      <c r="AFH44" s="25"/>
      <c r="AFI44" s="25"/>
      <c r="AFJ44" s="25"/>
      <c r="AFK44" s="25"/>
      <c r="AFL44" s="25"/>
      <c r="AFM44" s="25"/>
      <c r="AFN44" s="25"/>
      <c r="AFO44" s="25"/>
      <c r="AFP44" s="25"/>
      <c r="AFQ44" s="25"/>
      <c r="AFU44" s="25">
        <v>0</v>
      </c>
      <c r="AFX44" s="25"/>
      <c r="AFY44" s="25"/>
      <c r="AFZ44" s="25"/>
      <c r="AGA44" s="25"/>
      <c r="AGB44" s="25"/>
      <c r="AGC44" s="25"/>
      <c r="AGE44" s="25"/>
      <c r="AGF44" s="25"/>
      <c r="AGG44" s="25"/>
      <c r="AGH44" s="25"/>
      <c r="AJP44" s="25"/>
      <c r="AJQ44" s="25"/>
      <c r="AJR44" s="25"/>
      <c r="AJS44" s="25"/>
      <c r="AJT44" s="25"/>
      <c r="AJU44" s="25"/>
      <c r="AJV44" s="25"/>
      <c r="AKD44" s="25"/>
      <c r="AKE44" s="25"/>
      <c r="AKF44" s="25"/>
      <c r="AKG44" s="25"/>
      <c r="AKH44" s="25"/>
      <c r="AKI44" s="25"/>
      <c r="AKJ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H44" s="25"/>
      <c r="ANI44" s="25"/>
      <c r="ANJ44" s="25"/>
      <c r="ANK44" s="25"/>
      <c r="ANL44" s="25"/>
      <c r="ANM44" s="25"/>
      <c r="ANN44" s="25"/>
      <c r="ANO44" s="25"/>
      <c r="ANP44" s="25"/>
      <c r="ANQ44" s="25"/>
      <c r="ANR44" s="25"/>
      <c r="ANS44" s="25"/>
      <c r="ANT44" s="25"/>
      <c r="ANU44" s="25"/>
      <c r="AOC44" s="25"/>
      <c r="AOD44" s="25"/>
      <c r="AOE44" s="25"/>
      <c r="AOF44" s="25"/>
      <c r="AOG44" s="25"/>
      <c r="AOH44" s="25"/>
      <c r="AOI44" s="25"/>
      <c r="AOJ44" s="25"/>
      <c r="AOK44" s="25"/>
      <c r="AOL44" s="25"/>
      <c r="AOM44" s="25"/>
      <c r="AON44" s="25"/>
      <c r="AOO44" s="25"/>
      <c r="AOP44" s="25"/>
      <c r="AOX44" s="25"/>
      <c r="AOY44" s="25"/>
      <c r="AOZ44" s="25"/>
      <c r="APA44" s="25"/>
      <c r="APB44" s="25"/>
      <c r="APC44" s="25"/>
      <c r="APD44" s="25"/>
      <c r="APE44" s="25"/>
      <c r="APF44" s="25"/>
      <c r="APG44" s="25"/>
      <c r="APH44" s="25"/>
      <c r="API44" s="25"/>
      <c r="APJ44" s="25"/>
      <c r="APK44" s="25"/>
      <c r="APS44" s="25"/>
      <c r="APT44" s="25"/>
      <c r="APU44" s="25"/>
      <c r="APV44" s="25"/>
      <c r="APW44" s="25"/>
      <c r="APX44" s="25"/>
      <c r="APY44" s="25"/>
      <c r="APZ44" s="25"/>
      <c r="AQA44" s="25"/>
      <c r="AQB44" s="25"/>
      <c r="AQC44" s="25"/>
      <c r="AQD44" s="25"/>
      <c r="AQE44" s="25"/>
      <c r="AQF44" s="25"/>
      <c r="AQJ44" s="25">
        <v>0</v>
      </c>
      <c r="AQM44" s="25"/>
      <c r="AQN44" s="25"/>
      <c r="AQO44" s="25"/>
      <c r="AQP44" s="25"/>
      <c r="AQQ44" s="25"/>
      <c r="AQR44" s="25"/>
      <c r="AQT44" s="25"/>
      <c r="AQU44" s="25"/>
      <c r="AQV44" s="25"/>
      <c r="AQW44" s="25"/>
      <c r="AUE44" s="25"/>
      <c r="AUF44" s="25"/>
      <c r="AUG44" s="25"/>
      <c r="AUH44" s="25"/>
      <c r="AUI44" s="25"/>
      <c r="AUJ44" s="25"/>
      <c r="AUK44" s="25"/>
      <c r="AUS44" s="25"/>
      <c r="AUT44" s="25"/>
      <c r="AUU44" s="25"/>
      <c r="AUV44" s="25"/>
      <c r="AUW44" s="25"/>
      <c r="AUX44" s="25"/>
      <c r="AUY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W44" s="25"/>
      <c r="AXX44" s="25"/>
      <c r="AXY44" s="25"/>
      <c r="AXZ44" s="25"/>
      <c r="AYA44" s="25"/>
      <c r="AYB44" s="25"/>
      <c r="AYC44" s="25"/>
      <c r="AYD44" s="25"/>
      <c r="AYE44" s="25"/>
      <c r="AYF44" s="25"/>
      <c r="AYG44" s="25"/>
      <c r="AYH44" s="25"/>
      <c r="AYI44" s="25"/>
      <c r="AYJ44" s="25"/>
      <c r="AZM44" s="25"/>
      <c r="AZN44" s="25"/>
      <c r="AZO44" s="25"/>
      <c r="AZP44" s="25"/>
      <c r="AZQ44" s="25"/>
      <c r="AZR44" s="25"/>
      <c r="AZS44" s="25"/>
      <c r="AZT44" s="25"/>
      <c r="AZU44" s="25"/>
      <c r="AZV44" s="25"/>
      <c r="AZW44" s="25"/>
      <c r="AZX44" s="25"/>
      <c r="AZY44" s="25"/>
      <c r="AZZ44" s="25"/>
      <c r="BAR44" s="25"/>
      <c r="BAS44" s="25"/>
      <c r="BAT44" s="25"/>
      <c r="BAU44" s="25"/>
      <c r="BAY44" s="25">
        <v>0</v>
      </c>
      <c r="BBB44" s="25"/>
      <c r="BBC44" s="25"/>
      <c r="BBD44" s="25"/>
      <c r="BBE44" s="25"/>
      <c r="BBF44" s="25"/>
      <c r="BBG44" s="25"/>
      <c r="BBI44" s="25"/>
      <c r="BBJ44" s="25"/>
      <c r="BBK44" s="25"/>
      <c r="BBL44" s="25"/>
      <c r="BET44" s="25"/>
      <c r="BEU44" s="25"/>
      <c r="BEV44" s="25"/>
      <c r="BEW44" s="25"/>
      <c r="BEX44" s="25"/>
      <c r="BEY44" s="25"/>
      <c r="BEZ44" s="25"/>
      <c r="BFH44" s="25"/>
      <c r="BFI44" s="25"/>
      <c r="BFJ44" s="25"/>
      <c r="BFK44" s="25"/>
      <c r="BFL44" s="25"/>
      <c r="BFM44" s="25"/>
      <c r="BFN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L44" s="25"/>
      <c r="BIM44" s="25"/>
      <c r="BIN44" s="25"/>
      <c r="BIO44" s="25"/>
      <c r="BIP44" s="25"/>
      <c r="BIQ44" s="25"/>
      <c r="BIR44" s="25"/>
      <c r="BIS44" s="25"/>
      <c r="BIT44" s="25"/>
      <c r="BIU44" s="25"/>
      <c r="BIV44" s="25"/>
      <c r="BIW44" s="25"/>
      <c r="BIX44" s="25"/>
      <c r="BIY44" s="25"/>
      <c r="BJG44" s="25"/>
      <c r="BJH44" s="25"/>
      <c r="BJI44" s="25"/>
      <c r="BJJ44" s="25"/>
      <c r="BJK44" s="25"/>
      <c r="BJL44" s="25"/>
      <c r="BJM44" s="25"/>
      <c r="BJN44" s="25"/>
      <c r="BJO44" s="25"/>
      <c r="BJP44" s="25"/>
      <c r="BJQ44" s="25"/>
      <c r="BJR44" s="25"/>
      <c r="BJS44" s="25"/>
      <c r="BJT44" s="25"/>
      <c r="BKB44" s="25"/>
      <c r="BKC44" s="25"/>
      <c r="BKD44" s="25"/>
      <c r="BKE44" s="25"/>
      <c r="BKF44" s="25"/>
      <c r="BKG44" s="25"/>
      <c r="BKH44" s="25"/>
      <c r="BKI44" s="25"/>
      <c r="BKJ44" s="25"/>
      <c r="BKK44" s="25"/>
      <c r="BKL44" s="25"/>
      <c r="BKM44" s="25"/>
      <c r="BKN44" s="25"/>
      <c r="BKO44" s="25"/>
      <c r="BKW44" s="25"/>
      <c r="BKX44" s="25"/>
      <c r="BKY44" s="25"/>
      <c r="BKZ44" s="25"/>
      <c r="BLA44" s="25"/>
      <c r="BLB44" s="25"/>
      <c r="BLC44" s="25"/>
      <c r="BLD44" s="25"/>
      <c r="BLE44" s="25"/>
      <c r="BLF44" s="25"/>
      <c r="BLG44" s="25"/>
      <c r="BLH44" s="25"/>
      <c r="BLI44" s="25"/>
      <c r="BLJ44" s="25"/>
      <c r="BLN44" s="25">
        <v>0</v>
      </c>
      <c r="BLQ44" s="25"/>
      <c r="BLR44" s="25"/>
      <c r="BLS44" s="25"/>
      <c r="BLT44" s="25"/>
      <c r="BLU44" s="25"/>
      <c r="BLV44" s="25"/>
      <c r="BLX44" s="25"/>
      <c r="BLY44" s="25"/>
      <c r="BLZ44" s="25"/>
      <c r="BMA44" s="25"/>
      <c r="BPI44" s="25"/>
      <c r="BPJ44" s="25"/>
      <c r="BPK44" s="25"/>
      <c r="BPL44" s="25"/>
      <c r="BPM44" s="25"/>
      <c r="BPN44" s="25"/>
      <c r="BPO44" s="25"/>
      <c r="BPW44" s="25"/>
      <c r="BPX44" s="25"/>
      <c r="BPY44" s="25"/>
      <c r="BPZ44" s="25"/>
      <c r="BQA44" s="25"/>
      <c r="BQB44" s="25"/>
      <c r="BQC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TA44" s="25"/>
      <c r="BTB44" s="25"/>
      <c r="BTC44" s="25"/>
      <c r="BTD44" s="25"/>
      <c r="BTE44" s="25"/>
      <c r="BTF44" s="25"/>
      <c r="BTG44" s="25"/>
      <c r="BTH44" s="25"/>
      <c r="BTI44" s="25"/>
      <c r="BTJ44" s="25"/>
      <c r="BTK44" s="25"/>
      <c r="BTL44" s="25"/>
      <c r="BTM44" s="25"/>
      <c r="BTN44" s="25"/>
      <c r="BUQ44" s="25"/>
      <c r="BUR44" s="25"/>
      <c r="BUS44" s="25"/>
      <c r="BUT44" s="25"/>
      <c r="BUU44" s="25"/>
      <c r="BUV44" s="25"/>
      <c r="BUW44" s="25"/>
      <c r="BUX44" s="25"/>
      <c r="BUY44" s="25"/>
      <c r="BUZ44" s="25"/>
      <c r="BVA44" s="25"/>
      <c r="BVB44" s="25"/>
      <c r="BVC44" s="25"/>
      <c r="BVD44" s="25"/>
      <c r="BWC44" s="25" t="s">
        <v>28</v>
      </c>
      <c r="BWD44" s="25" t="s">
        <v>8265</v>
      </c>
      <c r="BWE44" s="25" t="s">
        <v>8357</v>
      </c>
      <c r="BWF44" s="25" t="s">
        <v>13712</v>
      </c>
      <c r="BWG44" s="25" t="s">
        <v>28</v>
      </c>
      <c r="BWH44" s="25" t="s">
        <v>2169</v>
      </c>
      <c r="BWI44" s="25" t="s">
        <v>28</v>
      </c>
      <c r="BWJ44" s="25" t="s">
        <v>8267</v>
      </c>
      <c r="BWK44" s="25" t="s">
        <v>25</v>
      </c>
      <c r="BWM44" s="25" t="s">
        <v>25</v>
      </c>
      <c r="BWO44" s="25" t="s">
        <v>25</v>
      </c>
      <c r="BWQ44" s="25" t="s">
        <v>28</v>
      </c>
      <c r="BWR44" s="25" t="s">
        <v>25</v>
      </c>
      <c r="BWT44" s="25" t="s">
        <v>25</v>
      </c>
      <c r="BWV44" s="25" t="s">
        <v>25</v>
      </c>
      <c r="BWX44" s="25" t="s">
        <v>28</v>
      </c>
      <c r="BWY44" s="25" t="s">
        <v>8358</v>
      </c>
      <c r="BWZ44" s="25" t="s">
        <v>28</v>
      </c>
      <c r="BXA44" s="56">
        <v>25</v>
      </c>
      <c r="BXB44" s="25" t="s">
        <v>25</v>
      </c>
      <c r="BXD44" s="25" t="s">
        <v>28</v>
      </c>
      <c r="BXE44" s="25" t="s">
        <v>8558</v>
      </c>
      <c r="BXF44" s="25" t="s">
        <v>28</v>
      </c>
      <c r="BXG44" s="56">
        <v>5</v>
      </c>
      <c r="BXH44" s="25" t="s">
        <v>28</v>
      </c>
      <c r="BXI44" s="56">
        <v>20</v>
      </c>
      <c r="BXJ44" s="25" t="s">
        <v>28</v>
      </c>
      <c r="BXK44" s="25" t="s">
        <v>8270</v>
      </c>
      <c r="BXL44" s="25" t="s">
        <v>8672</v>
      </c>
      <c r="BXM44" s="25" t="s">
        <v>28</v>
      </c>
      <c r="BXN44" s="25" t="s">
        <v>8332</v>
      </c>
      <c r="BXO44" s="25" t="s">
        <v>8274</v>
      </c>
      <c r="BXP44" s="25" t="s">
        <v>8274</v>
      </c>
      <c r="BXQ44" s="25" t="s">
        <v>8274</v>
      </c>
      <c r="BXR44" s="25" t="s">
        <v>8274</v>
      </c>
      <c r="BXS44" s="25" t="s">
        <v>8274</v>
      </c>
      <c r="BXW44" s="25" t="s">
        <v>28</v>
      </c>
      <c r="BXX44" s="25" t="s">
        <v>25</v>
      </c>
      <c r="BXZ44" s="25" t="s">
        <v>25</v>
      </c>
      <c r="BYA44" s="25" t="s">
        <v>25</v>
      </c>
      <c r="BYC44" s="25" t="s">
        <v>2201</v>
      </c>
      <c r="BYD44" s="25" t="s">
        <v>28</v>
      </c>
      <c r="BYE44" s="25" t="s">
        <v>13622</v>
      </c>
      <c r="BYF44" s="25" t="s">
        <v>8277</v>
      </c>
      <c r="BYH44" s="25" t="s">
        <v>8407</v>
      </c>
      <c r="BYK44" s="25" t="s">
        <v>8333</v>
      </c>
      <c r="BYL44" s="25" t="s">
        <v>28</v>
      </c>
      <c r="BYM44" s="25">
        <v>40</v>
      </c>
      <c r="BYN44" s="25" t="s">
        <v>28</v>
      </c>
      <c r="BYO44" s="25">
        <v>40</v>
      </c>
      <c r="BYP44" s="25" t="s">
        <v>25</v>
      </c>
      <c r="BYR44" s="25" t="s">
        <v>28</v>
      </c>
      <c r="BYS44" s="25" t="s">
        <v>8279</v>
      </c>
      <c r="BYT44" s="25" t="s">
        <v>8438</v>
      </c>
      <c r="BYU44" s="25" t="s">
        <v>732</v>
      </c>
      <c r="BYV44" s="25" t="s">
        <v>25</v>
      </c>
      <c r="BYW44" s="25" t="s">
        <v>28</v>
      </c>
      <c r="BYX44" s="56">
        <v>700</v>
      </c>
      <c r="BYY44" s="56">
        <v>1400</v>
      </c>
      <c r="BYZ44" s="25" t="s">
        <v>8280</v>
      </c>
      <c r="BZA44" s="25" t="s">
        <v>8875</v>
      </c>
      <c r="BZB44" s="25" t="s">
        <v>256</v>
      </c>
      <c r="BZC44" s="25" t="s">
        <v>8282</v>
      </c>
      <c r="BZD44" s="25" t="s">
        <v>28</v>
      </c>
      <c r="BZE44" s="25" t="s">
        <v>28</v>
      </c>
      <c r="BZF44" s="25" t="s">
        <v>28</v>
      </c>
      <c r="BZG44" s="25" t="s">
        <v>25</v>
      </c>
      <c r="BZJ44" s="25" t="s">
        <v>25</v>
      </c>
      <c r="BZM44" s="25" t="s">
        <v>28</v>
      </c>
      <c r="BZN44" s="25" t="s">
        <v>13633</v>
      </c>
      <c r="BZP44" s="25" t="s">
        <v>8366</v>
      </c>
      <c r="BZQ44" s="56">
        <v>1000</v>
      </c>
      <c r="BZR44" s="25" t="s">
        <v>28</v>
      </c>
      <c r="BZS44" s="25" t="s">
        <v>25</v>
      </c>
      <c r="BZT44" s="25" t="s">
        <v>8337</v>
      </c>
      <c r="BZV44" s="25" t="s">
        <v>8876</v>
      </c>
      <c r="BZW44" s="25" t="s">
        <v>8877</v>
      </c>
      <c r="BZX44" s="25" t="s">
        <v>8287</v>
      </c>
      <c r="BZZ44" s="25" t="s">
        <v>25</v>
      </c>
      <c r="CAC44" s="25" t="s">
        <v>28</v>
      </c>
      <c r="CAD44" s="25" t="s">
        <v>8288</v>
      </c>
      <c r="CAE44" s="25" t="s">
        <v>28</v>
      </c>
      <c r="CAF44" s="25" t="s">
        <v>8289</v>
      </c>
      <c r="CAG44" s="25" t="s">
        <v>25</v>
      </c>
      <c r="CAH44" s="25" t="s">
        <v>631</v>
      </c>
      <c r="CAI44" s="25" t="s">
        <v>631</v>
      </c>
      <c r="CAJ44" s="25" t="s">
        <v>631</v>
      </c>
      <c r="CAK44" s="25" t="s">
        <v>631</v>
      </c>
      <c r="CAL44" s="25" t="s">
        <v>631</v>
      </c>
      <c r="CAM44" s="25" t="s">
        <v>8290</v>
      </c>
      <c r="CAN44" s="25" t="s">
        <v>631</v>
      </c>
      <c r="CAO44" s="25" t="s">
        <v>631</v>
      </c>
      <c r="CAP44" s="25" t="s">
        <v>631</v>
      </c>
      <c r="CAQ44" s="25" t="s">
        <v>631</v>
      </c>
      <c r="CAR44" s="25" t="s">
        <v>8339</v>
      </c>
      <c r="CAT44" s="25" t="s">
        <v>25</v>
      </c>
      <c r="CBB44" s="25">
        <v>2</v>
      </c>
      <c r="CBC44" s="25">
        <v>0</v>
      </c>
      <c r="CBD44" s="25">
        <v>0</v>
      </c>
      <c r="CBE44" s="56">
        <v>50</v>
      </c>
      <c r="CBF44" s="56">
        <v>150</v>
      </c>
      <c r="CBG44" s="56">
        <v>50</v>
      </c>
      <c r="CBH44" s="56">
        <v>150</v>
      </c>
      <c r="CBI44" s="56">
        <v>2500</v>
      </c>
      <c r="CBK44" s="56">
        <v>2500</v>
      </c>
      <c r="CBM44" s="26">
        <v>0</v>
      </c>
      <c r="CBN44" s="26">
        <v>0</v>
      </c>
      <c r="CBO44" s="26">
        <v>0.1</v>
      </c>
      <c r="CBP44" s="26">
        <v>0.2</v>
      </c>
      <c r="CBQ44" s="26">
        <v>0.4</v>
      </c>
      <c r="CBR44" s="26">
        <v>0.5</v>
      </c>
      <c r="CBS44" s="26">
        <v>0.4</v>
      </c>
      <c r="CBT44" s="26">
        <v>0.5</v>
      </c>
      <c r="CBU44" s="27" t="s">
        <v>28</v>
      </c>
      <c r="CBV44" s="27" t="s">
        <v>8369</v>
      </c>
      <c r="CBW44" s="27" t="s">
        <v>8294</v>
      </c>
      <c r="CBX44" s="27" t="s">
        <v>8343</v>
      </c>
      <c r="CBY44" s="27" t="s">
        <v>8296</v>
      </c>
      <c r="CBZ44" s="27" t="s">
        <v>8296</v>
      </c>
      <c r="CCA44" s="27" t="s">
        <v>8297</v>
      </c>
      <c r="CCB44" s="27" t="s">
        <v>8298</v>
      </c>
      <c r="CCC44" s="27" t="s">
        <v>8296</v>
      </c>
      <c r="CCD44" s="27" t="s">
        <v>8297</v>
      </c>
      <c r="CCE44" s="27" t="s">
        <v>8296</v>
      </c>
      <c r="CCF44" s="27" t="s">
        <v>8297</v>
      </c>
      <c r="CCG44" s="27" t="s">
        <v>8297</v>
      </c>
      <c r="CCH44" s="27" t="s">
        <v>8296</v>
      </c>
      <c r="CCI44" s="27" t="s">
        <v>8298</v>
      </c>
      <c r="CCJ44" s="27" t="s">
        <v>8298</v>
      </c>
      <c r="CCK44" s="27" t="s">
        <v>8297</v>
      </c>
      <c r="CCL44" s="27" t="s">
        <v>29</v>
      </c>
      <c r="CCN44" s="27" t="s">
        <v>8296</v>
      </c>
      <c r="CCO44" s="27" t="s">
        <v>8300</v>
      </c>
      <c r="CCP44" s="27" t="s">
        <v>8296</v>
      </c>
      <c r="CCQ44" s="27" t="s">
        <v>8296</v>
      </c>
      <c r="CCR44" s="27" t="s">
        <v>8296</v>
      </c>
      <c r="CCS44" s="27" t="s">
        <v>8298</v>
      </c>
      <c r="CCT44" s="27" t="s">
        <v>8296</v>
      </c>
      <c r="CCU44" s="27" t="s">
        <v>8298</v>
      </c>
      <c r="CCV44" s="27" t="s">
        <v>8298</v>
      </c>
      <c r="CCW44" s="27" t="s">
        <v>8298</v>
      </c>
      <c r="CCX44" s="27" t="s">
        <v>8298</v>
      </c>
      <c r="CCY44" s="27" t="s">
        <v>8298</v>
      </c>
      <c r="CCZ44" s="27" t="s">
        <v>28</v>
      </c>
      <c r="CDA44" s="27" t="s">
        <v>28</v>
      </c>
      <c r="CDB44" s="27" t="s">
        <v>28</v>
      </c>
      <c r="CDC44" s="27" t="s">
        <v>25</v>
      </c>
      <c r="CDD44" s="27" t="s">
        <v>28</v>
      </c>
      <c r="CDE44" s="27" t="s">
        <v>28</v>
      </c>
      <c r="CDF44" s="27" t="s">
        <v>28</v>
      </c>
      <c r="CDG44" s="27" t="s">
        <v>28</v>
      </c>
      <c r="CDH44" s="27" t="s">
        <v>28</v>
      </c>
      <c r="CDI44" s="27" t="s">
        <v>28</v>
      </c>
      <c r="CDJ44" s="27" t="s">
        <v>25</v>
      </c>
      <c r="CDK44" s="27" t="s">
        <v>25</v>
      </c>
      <c r="CDL44" s="27" t="s">
        <v>28</v>
      </c>
      <c r="CDM44" s="27" t="s">
        <v>28</v>
      </c>
      <c r="CDO44" s="27" t="s">
        <v>28</v>
      </c>
      <c r="CDP44" s="27" t="s">
        <v>25</v>
      </c>
      <c r="CDQ44" s="27" t="s">
        <v>28</v>
      </c>
      <c r="CDR44" s="27" t="s">
        <v>28</v>
      </c>
      <c r="CDS44" s="27" t="s">
        <v>28</v>
      </c>
      <c r="CDT44" s="27" t="s">
        <v>25</v>
      </c>
      <c r="CDU44" s="27" t="s">
        <v>28</v>
      </c>
      <c r="CDV44" s="27" t="s">
        <v>25</v>
      </c>
      <c r="CDW44" s="27" t="s">
        <v>25</v>
      </c>
      <c r="CDX44" s="27" t="s">
        <v>25</v>
      </c>
      <c r="CDY44" s="27" t="s">
        <v>25</v>
      </c>
      <c r="CDZ44" s="27" t="s">
        <v>25</v>
      </c>
      <c r="CEA44" s="27" t="s">
        <v>2673</v>
      </c>
      <c r="CEB44" s="27" t="s">
        <v>2673</v>
      </c>
      <c r="CEC44" s="27" t="s">
        <v>8305</v>
      </c>
      <c r="CED44" s="27" t="s">
        <v>8302</v>
      </c>
      <c r="CEE44" s="27" t="s">
        <v>2673</v>
      </c>
      <c r="CEF44" s="27" t="s">
        <v>8301</v>
      </c>
      <c r="CEG44" s="27" t="s">
        <v>8420</v>
      </c>
      <c r="CEH44" s="27" t="s">
        <v>8306</v>
      </c>
      <c r="CEI44" s="27" t="s">
        <v>8301</v>
      </c>
      <c r="CEJ44" s="27" t="s">
        <v>29</v>
      </c>
      <c r="CEK44" s="27" t="s">
        <v>8302</v>
      </c>
      <c r="CEL44" s="27" t="s">
        <v>8303</v>
      </c>
      <c r="CEM44" s="27" t="s">
        <v>29</v>
      </c>
      <c r="CEN44" s="27" t="s">
        <v>29</v>
      </c>
      <c r="CEP44" s="27" t="s">
        <v>8304</v>
      </c>
      <c r="CEQ44" s="27" t="s">
        <v>8304</v>
      </c>
      <c r="CER44" s="27" t="s">
        <v>8305</v>
      </c>
      <c r="CES44" s="27" t="s">
        <v>8306</v>
      </c>
      <c r="CET44" s="27" t="s">
        <v>8304</v>
      </c>
      <c r="CEU44" s="27" t="s">
        <v>8304</v>
      </c>
      <c r="CEV44" s="27" t="s">
        <v>8304</v>
      </c>
      <c r="CEW44" s="27" t="s">
        <v>8304</v>
      </c>
      <c r="CEX44" s="27" t="s">
        <v>8303</v>
      </c>
      <c r="CEY44" s="27" t="s">
        <v>8303</v>
      </c>
      <c r="CEZ44" s="27" t="s">
        <v>8301</v>
      </c>
      <c r="CFA44" s="27" t="s">
        <v>8303</v>
      </c>
      <c r="CFB44" s="27" t="s">
        <v>25</v>
      </c>
      <c r="CFC44" s="27" t="s">
        <v>25</v>
      </c>
      <c r="CFD44" s="27" t="s">
        <v>25</v>
      </c>
      <c r="CFE44" s="27" t="s">
        <v>25</v>
      </c>
      <c r="CFF44" s="27" t="s">
        <v>25</v>
      </c>
      <c r="CFG44" s="27" t="s">
        <v>28</v>
      </c>
      <c r="CFH44" s="27" t="s">
        <v>28</v>
      </c>
      <c r="CFI44" s="27" t="s">
        <v>28</v>
      </c>
      <c r="CFJ44" s="27" t="s">
        <v>28</v>
      </c>
      <c r="CFK44" s="27" t="s">
        <v>25</v>
      </c>
      <c r="CFL44" s="27" t="s">
        <v>25</v>
      </c>
      <c r="CFM44" s="27" t="s">
        <v>28</v>
      </c>
      <c r="CFN44" s="27" t="s">
        <v>28</v>
      </c>
      <c r="CFO44" s="27" t="s">
        <v>28</v>
      </c>
      <c r="CFQ44" s="27" t="s">
        <v>28</v>
      </c>
      <c r="CFR44" s="27" t="s">
        <v>25</v>
      </c>
      <c r="CFS44" s="27" t="s">
        <v>25</v>
      </c>
      <c r="CFT44" s="27" t="s">
        <v>25</v>
      </c>
      <c r="CFU44" s="27" t="s">
        <v>28</v>
      </c>
      <c r="CFV44" s="27" t="s">
        <v>28</v>
      </c>
      <c r="CFW44" s="27" t="s">
        <v>25</v>
      </c>
      <c r="CFX44" s="27" t="s">
        <v>28</v>
      </c>
      <c r="CFY44" s="27" t="s">
        <v>28</v>
      </c>
      <c r="CFZ44" s="27" t="s">
        <v>25</v>
      </c>
      <c r="CGA44" s="27" t="s">
        <v>25</v>
      </c>
      <c r="CGB44" s="27" t="s">
        <v>25</v>
      </c>
      <c r="CPW44" s="27">
        <v>2</v>
      </c>
      <c r="CPY44" s="26">
        <v>0</v>
      </c>
      <c r="CPZ44" s="56">
        <v>40</v>
      </c>
      <c r="CQB44" s="25" t="s">
        <v>8307</v>
      </c>
      <c r="CQC44" s="25" t="s">
        <v>8307</v>
      </c>
      <c r="CQD44" s="25" t="s">
        <v>8523</v>
      </c>
      <c r="CQE44" s="25" t="s">
        <v>635</v>
      </c>
      <c r="CQF44" s="25" t="s">
        <v>8307</v>
      </c>
      <c r="CQH44" s="56">
        <v>160</v>
      </c>
      <c r="CQI44" s="56">
        <v>170</v>
      </c>
      <c r="CQJ44" s="56">
        <v>150</v>
      </c>
      <c r="CQK44" s="56">
        <v>150</v>
      </c>
      <c r="CQL44" s="25" t="s">
        <v>13694</v>
      </c>
      <c r="CQM44" s="25" t="s">
        <v>8308</v>
      </c>
      <c r="CQN44" s="25" t="s">
        <v>28</v>
      </c>
      <c r="CQO44" s="25" t="s">
        <v>8574</v>
      </c>
      <c r="CQP44" s="56">
        <v>1500</v>
      </c>
      <c r="CQQ44" s="25" t="s">
        <v>8878</v>
      </c>
      <c r="CQR44" s="25" t="s">
        <v>8879</v>
      </c>
      <c r="CQS44" s="25" t="s">
        <v>25</v>
      </c>
      <c r="CQT44" s="25" t="s">
        <v>8313</v>
      </c>
      <c r="CQU44" s="25" t="s">
        <v>8313</v>
      </c>
      <c r="CQV44" s="25" t="s">
        <v>8313</v>
      </c>
      <c r="CQW44" s="25" t="s">
        <v>8313</v>
      </c>
      <c r="CQX44" s="25" t="s">
        <v>8313</v>
      </c>
      <c r="CQY44" s="25" t="s">
        <v>8313</v>
      </c>
      <c r="CQZ44" s="25" t="s">
        <v>8313</v>
      </c>
      <c r="CRA44" s="25" t="s">
        <v>8314</v>
      </c>
      <c r="CRB44" s="25" t="s">
        <v>8313</v>
      </c>
      <c r="CRC44" s="25" t="s">
        <v>8313</v>
      </c>
      <c r="CRD44" s="25" t="s">
        <v>8313</v>
      </c>
      <c r="CRE44" s="27" t="s">
        <v>8313</v>
      </c>
    </row>
    <row r="45" spans="1:2048 2050:2501" ht="89.25" x14ac:dyDescent="0.2">
      <c r="A45" s="21" t="s">
        <v>129</v>
      </c>
      <c r="B45" s="26">
        <v>0.51</v>
      </c>
      <c r="C45" s="26">
        <v>0</v>
      </c>
      <c r="D45" s="26">
        <v>0.01</v>
      </c>
      <c r="E45" s="26">
        <v>0.38</v>
      </c>
      <c r="F45" s="26">
        <v>0</v>
      </c>
      <c r="G45" s="26">
        <v>0</v>
      </c>
      <c r="H45" s="26">
        <v>0</v>
      </c>
      <c r="I45" s="26">
        <v>0</v>
      </c>
      <c r="J45" s="26">
        <v>0</v>
      </c>
      <c r="K45" s="26">
        <v>0</v>
      </c>
      <c r="L45" s="26">
        <v>0</v>
      </c>
      <c r="M45" s="26">
        <v>0.1</v>
      </c>
      <c r="N45" s="26">
        <v>0</v>
      </c>
      <c r="O45" s="26">
        <v>0</v>
      </c>
      <c r="P45" s="26">
        <v>0</v>
      </c>
      <c r="Q45" s="26">
        <v>0</v>
      </c>
      <c r="R45" s="26">
        <v>0</v>
      </c>
      <c r="S45" s="26">
        <v>0</v>
      </c>
      <c r="T45" s="26">
        <v>0</v>
      </c>
      <c r="U45" s="26">
        <v>0</v>
      </c>
      <c r="V45" s="26">
        <v>0</v>
      </c>
      <c r="W45" s="26">
        <v>0</v>
      </c>
      <c r="X45" s="26">
        <v>1</v>
      </c>
      <c r="Y45" s="26">
        <v>0</v>
      </c>
      <c r="Z45" s="25">
        <v>1</v>
      </c>
      <c r="AA45" s="25" t="s">
        <v>8505</v>
      </c>
      <c r="AC45" s="56">
        <v>2500</v>
      </c>
      <c r="AD45" s="56">
        <v>5000</v>
      </c>
      <c r="AE45" s="56">
        <v>5000</v>
      </c>
      <c r="AF45" s="56">
        <v>10000</v>
      </c>
      <c r="AI45" s="25" t="s">
        <v>8246</v>
      </c>
      <c r="AJ45" s="56">
        <v>500</v>
      </c>
      <c r="AK45" s="56">
        <v>1000</v>
      </c>
      <c r="AL45" s="56">
        <v>1000</v>
      </c>
      <c r="AM45" s="56">
        <v>2000</v>
      </c>
      <c r="AN45" s="25" t="s">
        <v>8350</v>
      </c>
      <c r="AO45" s="25" t="s">
        <v>8248</v>
      </c>
      <c r="BB45" s="25" t="s">
        <v>8249</v>
      </c>
      <c r="DO45" s="25" t="s">
        <v>25</v>
      </c>
      <c r="DP45" s="25" t="s">
        <v>25</v>
      </c>
      <c r="DR45" s="25" t="s">
        <v>25</v>
      </c>
      <c r="DT45" s="25" t="s">
        <v>13417</v>
      </c>
      <c r="DU45" s="25" t="s">
        <v>13417</v>
      </c>
      <c r="DV45" s="56">
        <v>20</v>
      </c>
      <c r="DW45" s="56">
        <v>50</v>
      </c>
      <c r="DX45" s="56">
        <v>20</v>
      </c>
      <c r="DY45" s="56">
        <v>0</v>
      </c>
      <c r="DZ45" s="56">
        <v>50</v>
      </c>
      <c r="EC45" s="26">
        <v>0</v>
      </c>
      <c r="ED45" s="26">
        <v>0</v>
      </c>
      <c r="EE45" s="26">
        <v>0</v>
      </c>
      <c r="EJ45" s="56">
        <v>0</v>
      </c>
      <c r="EK45" s="56">
        <v>0</v>
      </c>
      <c r="EL45" s="56">
        <v>0</v>
      </c>
      <c r="EM45" s="56">
        <v>0</v>
      </c>
      <c r="EN45" s="56">
        <v>0</v>
      </c>
      <c r="EQ45" s="26">
        <v>0.4</v>
      </c>
      <c r="ER45" s="26">
        <v>0.4</v>
      </c>
      <c r="ES45" s="26">
        <v>0.4</v>
      </c>
      <c r="ET45" s="26">
        <v>0.1</v>
      </c>
      <c r="EU45" s="26">
        <v>0.4</v>
      </c>
      <c r="EV45" s="26">
        <v>0.4</v>
      </c>
      <c r="EX45" s="25" t="s">
        <v>8250</v>
      </c>
      <c r="EY45" s="25" t="s">
        <v>8250</v>
      </c>
      <c r="EZ45" s="25" t="s">
        <v>8250</v>
      </c>
      <c r="FA45" s="25" t="s">
        <v>8250</v>
      </c>
      <c r="FB45" s="25" t="s">
        <v>8250</v>
      </c>
      <c r="FC45" s="25" t="s">
        <v>8250</v>
      </c>
      <c r="FE45" s="25" t="s">
        <v>25</v>
      </c>
      <c r="FF45" s="25" t="s">
        <v>25</v>
      </c>
      <c r="FG45" s="25" t="s">
        <v>25</v>
      </c>
      <c r="FH45" s="25" t="s">
        <v>25</v>
      </c>
      <c r="FI45" s="25" t="s">
        <v>25</v>
      </c>
      <c r="FJ45" s="25" t="s">
        <v>25</v>
      </c>
      <c r="FL45" s="25" t="s">
        <v>13810</v>
      </c>
      <c r="FM45" s="25" t="s">
        <v>13810</v>
      </c>
      <c r="FN45" s="25" t="s">
        <v>13810</v>
      </c>
      <c r="FO45" s="25" t="s">
        <v>13810</v>
      </c>
      <c r="FP45" s="25" t="s">
        <v>631</v>
      </c>
      <c r="FQ45" s="25" t="s">
        <v>631</v>
      </c>
      <c r="FR45" s="25" t="s">
        <v>13810</v>
      </c>
      <c r="FS45" s="25" t="s">
        <v>631</v>
      </c>
      <c r="FT45" s="25" t="s">
        <v>631</v>
      </c>
      <c r="FU45" s="25" t="s">
        <v>631</v>
      </c>
      <c r="FV45" s="25" t="s">
        <v>8506</v>
      </c>
      <c r="FW45" s="25" t="s">
        <v>8506</v>
      </c>
      <c r="FX45" s="25" t="s">
        <v>8507</v>
      </c>
      <c r="FY45" s="25" t="s">
        <v>14228</v>
      </c>
      <c r="GB45" s="25" t="s">
        <v>8506</v>
      </c>
      <c r="GE45" s="56">
        <v>8</v>
      </c>
      <c r="GG45" s="56">
        <v>16</v>
      </c>
      <c r="HH45" s="57">
        <v>0.25</v>
      </c>
      <c r="HI45" s="57">
        <v>0.45</v>
      </c>
      <c r="HP45" s="56">
        <v>30</v>
      </c>
      <c r="HQ45" s="56">
        <v>70</v>
      </c>
      <c r="HR45" s="56">
        <v>50</v>
      </c>
      <c r="HS45" s="56">
        <v>125</v>
      </c>
      <c r="IC45" s="26">
        <v>0.25</v>
      </c>
      <c r="ID45" s="26">
        <v>0.25</v>
      </c>
      <c r="IK45" s="56">
        <v>30</v>
      </c>
      <c r="IL45" s="56">
        <v>70</v>
      </c>
      <c r="IM45" s="56">
        <v>50</v>
      </c>
      <c r="IN45" s="56">
        <v>125</v>
      </c>
      <c r="IX45" s="11">
        <v>0.25</v>
      </c>
      <c r="IY45" s="11">
        <v>0.45</v>
      </c>
      <c r="JF45" s="56">
        <v>75</v>
      </c>
      <c r="JG45" s="56">
        <v>175</v>
      </c>
      <c r="JH45" s="56">
        <v>125</v>
      </c>
      <c r="JI45" s="56">
        <v>300</v>
      </c>
      <c r="JS45" s="26">
        <v>1</v>
      </c>
      <c r="JT45" s="26">
        <v>1</v>
      </c>
      <c r="KA45" s="56">
        <v>100</v>
      </c>
      <c r="KB45" s="56">
        <v>100</v>
      </c>
      <c r="KC45" s="56">
        <v>100</v>
      </c>
      <c r="KD45" s="56">
        <v>100</v>
      </c>
      <c r="KM45" s="25" t="s">
        <v>8352</v>
      </c>
      <c r="KN45" s="25" t="s">
        <v>8256</v>
      </c>
      <c r="KO45" s="25" t="s">
        <v>8508</v>
      </c>
      <c r="KP45" s="25">
        <v>1</v>
      </c>
      <c r="KQ45" s="25" t="s">
        <v>8509</v>
      </c>
      <c r="KS45" s="56">
        <v>3500</v>
      </c>
      <c r="KT45" s="56">
        <v>7000</v>
      </c>
      <c r="KU45" s="56">
        <v>7000</v>
      </c>
      <c r="KV45" s="56">
        <v>14000</v>
      </c>
      <c r="KY45" s="25" t="s">
        <v>13411</v>
      </c>
      <c r="KZ45" s="56">
        <v>1500</v>
      </c>
      <c r="LA45" s="56">
        <v>3000</v>
      </c>
      <c r="LB45" s="56">
        <v>3000</v>
      </c>
      <c r="LC45" s="56">
        <v>6000</v>
      </c>
      <c r="LD45" s="25" t="s">
        <v>8247</v>
      </c>
      <c r="LE45" s="25" t="s">
        <v>8248</v>
      </c>
      <c r="LR45" s="25" t="s">
        <v>8249</v>
      </c>
      <c r="OE45" s="25" t="s">
        <v>25</v>
      </c>
      <c r="OF45" s="25" t="s">
        <v>25</v>
      </c>
      <c r="OH45" s="25" t="s">
        <v>25</v>
      </c>
      <c r="OJ45" s="25" t="s">
        <v>13416</v>
      </c>
      <c r="OK45" s="25" t="s">
        <v>13416</v>
      </c>
      <c r="OS45" s="26">
        <v>0.15</v>
      </c>
      <c r="OT45" s="26">
        <v>0.15</v>
      </c>
      <c r="OU45" s="26">
        <v>0.15</v>
      </c>
      <c r="OV45" s="26">
        <v>0.15</v>
      </c>
      <c r="OW45" s="26">
        <v>0.15</v>
      </c>
      <c r="OX45" s="26">
        <v>0.15</v>
      </c>
      <c r="PG45" s="26">
        <v>0.4</v>
      </c>
      <c r="PH45" s="26">
        <v>0.4</v>
      </c>
      <c r="PI45" s="26">
        <v>0.4</v>
      </c>
      <c r="PJ45" s="26">
        <v>0.15</v>
      </c>
      <c r="PK45" s="26">
        <v>0.4</v>
      </c>
      <c r="PL45" s="26">
        <v>0.4</v>
      </c>
      <c r="PN45" s="25" t="s">
        <v>8250</v>
      </c>
      <c r="PO45" s="25" t="s">
        <v>8250</v>
      </c>
      <c r="PP45" s="25" t="s">
        <v>8250</v>
      </c>
      <c r="PQ45" s="25" t="s">
        <v>8250</v>
      </c>
      <c r="PR45" s="25" t="s">
        <v>8250</v>
      </c>
      <c r="PS45" s="25" t="s">
        <v>8250</v>
      </c>
      <c r="PU45" s="25" t="s">
        <v>25</v>
      </c>
      <c r="PV45" s="25" t="s">
        <v>25</v>
      </c>
      <c r="PW45" s="25" t="s">
        <v>25</v>
      </c>
      <c r="PX45" s="25" t="s">
        <v>25</v>
      </c>
      <c r="PY45" s="25" t="s">
        <v>25</v>
      </c>
      <c r="PZ45" s="25" t="s">
        <v>25</v>
      </c>
      <c r="QA45" s="25" t="s">
        <v>25</v>
      </c>
      <c r="QB45" s="25" t="s">
        <v>13810</v>
      </c>
      <c r="QC45" s="25" t="s">
        <v>13810</v>
      </c>
      <c r="QD45" s="25" t="s">
        <v>13810</v>
      </c>
      <c r="QE45" s="25" t="s">
        <v>13810</v>
      </c>
      <c r="QF45" s="25" t="s">
        <v>631</v>
      </c>
      <c r="QG45" s="25" t="s">
        <v>631</v>
      </c>
      <c r="QH45" s="25" t="s">
        <v>13810</v>
      </c>
      <c r="QI45" s="25" t="s">
        <v>631</v>
      </c>
      <c r="QJ45" s="25" t="s">
        <v>631</v>
      </c>
      <c r="QL45" s="25" t="s">
        <v>8506</v>
      </c>
      <c r="QM45" s="25" t="s">
        <v>8506</v>
      </c>
      <c r="QO45" s="25" t="s">
        <v>13450</v>
      </c>
      <c r="QR45" s="25" t="s">
        <v>8506</v>
      </c>
      <c r="QU45" s="56">
        <v>8</v>
      </c>
      <c r="QW45" s="56">
        <v>16</v>
      </c>
      <c r="RX45" s="26">
        <v>0.25</v>
      </c>
      <c r="RY45" s="26">
        <v>0.45</v>
      </c>
      <c r="SH45" s="56">
        <v>50</v>
      </c>
      <c r="VC45" s="25" t="s">
        <v>8352</v>
      </c>
      <c r="VD45" s="25" t="s">
        <v>8256</v>
      </c>
      <c r="VE45" s="25" t="s">
        <v>8508</v>
      </c>
      <c r="VF45" s="25">
        <v>0</v>
      </c>
      <c r="VI45" s="25"/>
      <c r="VJ45" s="25"/>
      <c r="VK45" s="25"/>
      <c r="VL45" s="25"/>
      <c r="VM45" s="25"/>
      <c r="VN45" s="25"/>
      <c r="VP45" s="25"/>
      <c r="VQ45" s="25"/>
      <c r="VR45" s="25"/>
      <c r="VS45" s="25"/>
      <c r="ZA45" s="25"/>
      <c r="ZB45" s="25"/>
      <c r="ZC45" s="25"/>
      <c r="ZD45" s="25"/>
      <c r="ZE45" s="25"/>
      <c r="ZF45" s="25"/>
      <c r="ZG45" s="25"/>
      <c r="ZO45" s="25"/>
      <c r="ZP45" s="25"/>
      <c r="ZQ45" s="25"/>
      <c r="ZR45" s="25"/>
      <c r="ZS45" s="25"/>
      <c r="ZT45" s="25"/>
      <c r="ZU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S45" s="25"/>
      <c r="ACT45" s="25"/>
      <c r="ACU45" s="25"/>
      <c r="ACV45" s="25"/>
      <c r="ACW45" s="25"/>
      <c r="ACX45" s="25"/>
      <c r="ACY45" s="25"/>
      <c r="ACZ45" s="25"/>
      <c r="ADA45" s="25"/>
      <c r="ADB45" s="25"/>
      <c r="ADC45" s="25"/>
      <c r="ADD45" s="25"/>
      <c r="ADE45" s="25"/>
      <c r="ADF45" s="25"/>
      <c r="ADN45" s="25"/>
      <c r="ADO45" s="25"/>
      <c r="ADP45" s="25"/>
      <c r="ADQ45" s="25"/>
      <c r="ADR45" s="25"/>
      <c r="ADS45" s="25"/>
      <c r="ADT45" s="25"/>
      <c r="ADU45" s="25"/>
      <c r="ADV45" s="25"/>
      <c r="ADW45" s="25"/>
      <c r="ADX45" s="25"/>
      <c r="ADY45" s="25"/>
      <c r="ADZ45" s="25"/>
      <c r="AEA45" s="25"/>
      <c r="AEI45" s="25"/>
      <c r="AEJ45" s="25"/>
      <c r="AEK45" s="25"/>
      <c r="AEL45" s="25"/>
      <c r="AEM45" s="25"/>
      <c r="AEN45" s="25"/>
      <c r="AEO45" s="25"/>
      <c r="AEP45" s="25"/>
      <c r="AEQ45" s="25"/>
      <c r="AER45" s="25"/>
      <c r="AES45" s="25"/>
      <c r="AET45" s="25"/>
      <c r="AEU45" s="25"/>
      <c r="AEV45" s="25"/>
      <c r="AFD45" s="25"/>
      <c r="AFE45" s="25"/>
      <c r="AFF45" s="25"/>
      <c r="AFG45" s="25"/>
      <c r="AFH45" s="25"/>
      <c r="AFI45" s="25"/>
      <c r="AFJ45" s="25"/>
      <c r="AFK45" s="25"/>
      <c r="AFL45" s="25"/>
      <c r="AFM45" s="25"/>
      <c r="AFN45" s="25"/>
      <c r="AFO45" s="25"/>
      <c r="AFP45" s="25"/>
      <c r="AFQ45" s="25"/>
      <c r="AFU45" s="25">
        <v>0</v>
      </c>
      <c r="AFX45" s="25"/>
      <c r="AFY45" s="25"/>
      <c r="AFZ45" s="25"/>
      <c r="AGA45" s="25"/>
      <c r="AGB45" s="25"/>
      <c r="AGC45" s="25"/>
      <c r="AGE45" s="25"/>
      <c r="AGF45" s="25"/>
      <c r="AGG45" s="25"/>
      <c r="AGH45" s="25"/>
      <c r="AJP45" s="25"/>
      <c r="AJQ45" s="25"/>
      <c r="AJR45" s="25"/>
      <c r="AJS45" s="25"/>
      <c r="AJT45" s="25"/>
      <c r="AJU45" s="25"/>
      <c r="AJV45" s="25"/>
      <c r="AKD45" s="25"/>
      <c r="AKE45" s="25"/>
      <c r="AKF45" s="25"/>
      <c r="AKG45" s="25"/>
      <c r="AKH45" s="25"/>
      <c r="AKI45" s="25"/>
      <c r="AKJ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H45" s="25"/>
      <c r="ANI45" s="25"/>
      <c r="ANJ45" s="25"/>
      <c r="ANK45" s="25"/>
      <c r="ANL45" s="25"/>
      <c r="ANM45" s="25"/>
      <c r="ANN45" s="25"/>
      <c r="ANO45" s="25"/>
      <c r="ANP45" s="25"/>
      <c r="ANQ45" s="25"/>
      <c r="ANR45" s="25"/>
      <c r="ANS45" s="25"/>
      <c r="ANT45" s="25"/>
      <c r="ANU45" s="25"/>
      <c r="AOC45" s="25"/>
      <c r="AOD45" s="25"/>
      <c r="AOE45" s="25"/>
      <c r="AOF45" s="25"/>
      <c r="AOG45" s="25"/>
      <c r="AOH45" s="25"/>
      <c r="AOI45" s="25"/>
      <c r="AOJ45" s="25"/>
      <c r="AOK45" s="25"/>
      <c r="AOL45" s="25"/>
      <c r="AOM45" s="25"/>
      <c r="AON45" s="25"/>
      <c r="AOO45" s="25"/>
      <c r="AOP45" s="25"/>
      <c r="AOX45" s="25"/>
      <c r="AOY45" s="25"/>
      <c r="AOZ45" s="25"/>
      <c r="APA45" s="25"/>
      <c r="APB45" s="25"/>
      <c r="APC45" s="25"/>
      <c r="APD45" s="25"/>
      <c r="APE45" s="25"/>
      <c r="APF45" s="25"/>
      <c r="APG45" s="25"/>
      <c r="APH45" s="25"/>
      <c r="API45" s="25"/>
      <c r="APJ45" s="25"/>
      <c r="APK45" s="25"/>
      <c r="APS45" s="25"/>
      <c r="APT45" s="25"/>
      <c r="APU45" s="25"/>
      <c r="APV45" s="25"/>
      <c r="APW45" s="25"/>
      <c r="APX45" s="25"/>
      <c r="APY45" s="25"/>
      <c r="APZ45" s="25"/>
      <c r="AQA45" s="25"/>
      <c r="AQB45" s="25"/>
      <c r="AQC45" s="25"/>
      <c r="AQD45" s="25"/>
      <c r="AQE45" s="25"/>
      <c r="AQF45" s="25"/>
      <c r="AQJ45" s="25">
        <v>1</v>
      </c>
      <c r="AQK45" s="25" t="s">
        <v>3971</v>
      </c>
      <c r="AQM45" s="56">
        <v>2000</v>
      </c>
      <c r="AQN45" s="56">
        <v>4000</v>
      </c>
      <c r="AQS45" s="25" t="s">
        <v>13411</v>
      </c>
      <c r="AQT45" s="56">
        <v>300</v>
      </c>
      <c r="AQU45" s="56">
        <v>600</v>
      </c>
      <c r="AQX45" s="25" t="s">
        <v>8248</v>
      </c>
      <c r="ARK45" s="25" t="s">
        <v>8249</v>
      </c>
      <c r="ATX45" s="25" t="s">
        <v>25</v>
      </c>
      <c r="ATY45" s="25" t="s">
        <v>25</v>
      </c>
      <c r="AUA45" s="25" t="s">
        <v>25</v>
      </c>
      <c r="AUC45" s="25" t="s">
        <v>13417</v>
      </c>
      <c r="AUD45" s="25" t="s">
        <v>8404</v>
      </c>
      <c r="AUE45" s="56">
        <v>20</v>
      </c>
      <c r="AUF45" s="56">
        <v>50</v>
      </c>
      <c r="AUG45" s="56">
        <v>20</v>
      </c>
      <c r="AUI45" s="56">
        <v>20</v>
      </c>
      <c r="AUN45" s="26">
        <v>0.1</v>
      </c>
      <c r="AVC45" s="26">
        <v>0.1</v>
      </c>
      <c r="AVG45" s="25" t="s">
        <v>8250</v>
      </c>
      <c r="AVH45" s="25" t="s">
        <v>8250</v>
      </c>
      <c r="AVI45" s="25" t="s">
        <v>8250</v>
      </c>
      <c r="AVJ45" s="25" t="s">
        <v>8250</v>
      </c>
      <c r="AVK45" s="25" t="s">
        <v>8250</v>
      </c>
      <c r="AVL45" s="25" t="s">
        <v>8250</v>
      </c>
      <c r="AVN45" s="25" t="s">
        <v>25</v>
      </c>
      <c r="AVO45" s="25" t="s">
        <v>25</v>
      </c>
      <c r="AVP45" s="25" t="s">
        <v>25</v>
      </c>
      <c r="AVQ45" s="25" t="s">
        <v>25</v>
      </c>
      <c r="AVR45" s="25" t="s">
        <v>25</v>
      </c>
      <c r="AVS45" s="25" t="s">
        <v>25</v>
      </c>
      <c r="AVU45" s="25" t="s">
        <v>13810</v>
      </c>
      <c r="AVV45" s="25" t="s">
        <v>13810</v>
      </c>
      <c r="AVW45" s="25" t="s">
        <v>13810</v>
      </c>
      <c r="AVX45" s="25" t="s">
        <v>8252</v>
      </c>
      <c r="AVY45" s="25" t="s">
        <v>631</v>
      </c>
      <c r="AVZ45" s="25" t="s">
        <v>631</v>
      </c>
      <c r="AWA45" s="25" t="s">
        <v>13810</v>
      </c>
      <c r="AWB45" s="25" t="s">
        <v>13810</v>
      </c>
      <c r="AWC45" s="25" t="s">
        <v>631</v>
      </c>
      <c r="AWE45" s="25" t="s">
        <v>8424</v>
      </c>
      <c r="AWF45" s="25" t="s">
        <v>13600</v>
      </c>
      <c r="AWG45" s="25" t="s">
        <v>13600</v>
      </c>
      <c r="AWH45" s="25" t="s">
        <v>13601</v>
      </c>
      <c r="AWK45" s="25" t="s">
        <v>8253</v>
      </c>
      <c r="AWL45" s="25" t="s">
        <v>8253</v>
      </c>
      <c r="AWN45" s="56">
        <v>8</v>
      </c>
      <c r="AWP45" s="56">
        <v>16</v>
      </c>
      <c r="AXQ45" s="26">
        <v>0.25</v>
      </c>
      <c r="AXR45" s="26">
        <v>0.25</v>
      </c>
      <c r="AXZ45" s="56">
        <v>70</v>
      </c>
      <c r="AYA45" s="56">
        <v>70</v>
      </c>
      <c r="AZG45" s="26">
        <v>0.25</v>
      </c>
      <c r="AZH45" s="26">
        <v>0.25</v>
      </c>
      <c r="AZP45" s="56">
        <v>70</v>
      </c>
      <c r="AZQ45" s="56">
        <v>70</v>
      </c>
      <c r="BAV45" s="25" t="s">
        <v>8255</v>
      </c>
      <c r="BAW45" s="25" t="s">
        <v>8256</v>
      </c>
      <c r="BAX45" s="25" t="s">
        <v>8321</v>
      </c>
      <c r="BAY45" s="25">
        <v>0</v>
      </c>
      <c r="BBB45" s="25"/>
      <c r="BBC45" s="25"/>
      <c r="BBD45" s="25"/>
      <c r="BBE45" s="25"/>
      <c r="BBF45" s="25"/>
      <c r="BBG45" s="25"/>
      <c r="BBI45" s="25"/>
      <c r="BBJ45" s="25"/>
      <c r="BBK45" s="25"/>
      <c r="BBL45" s="25"/>
      <c r="BET45" s="25"/>
      <c r="BEU45" s="25"/>
      <c r="BEV45" s="25"/>
      <c r="BEW45" s="25"/>
      <c r="BEX45" s="25"/>
      <c r="BEY45" s="25"/>
      <c r="BEZ45" s="25"/>
      <c r="BFH45" s="25"/>
      <c r="BFI45" s="25"/>
      <c r="BFJ45" s="25"/>
      <c r="BFK45" s="25"/>
      <c r="BFL45" s="25"/>
      <c r="BFM45" s="25"/>
      <c r="BFN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L45" s="25"/>
      <c r="BIM45" s="25"/>
      <c r="BIN45" s="25"/>
      <c r="BIO45" s="25"/>
      <c r="BIP45" s="25"/>
      <c r="BIQ45" s="25"/>
      <c r="BIR45" s="25"/>
      <c r="BIS45" s="25"/>
      <c r="BIT45" s="25"/>
      <c r="BIU45" s="25"/>
      <c r="BIV45" s="25"/>
      <c r="BIW45" s="25"/>
      <c r="BIX45" s="25"/>
      <c r="BIY45" s="25"/>
      <c r="BJG45" s="25"/>
      <c r="BJH45" s="25"/>
      <c r="BJI45" s="25"/>
      <c r="BJJ45" s="25"/>
      <c r="BJK45" s="25"/>
      <c r="BJL45" s="25"/>
      <c r="BJM45" s="25"/>
      <c r="BJN45" s="25"/>
      <c r="BJO45" s="25"/>
      <c r="BJP45" s="25"/>
      <c r="BJQ45" s="25"/>
      <c r="BJR45" s="25"/>
      <c r="BJS45" s="25"/>
      <c r="BJT45" s="25"/>
      <c r="BKB45" s="25"/>
      <c r="BKC45" s="25"/>
      <c r="BKD45" s="25"/>
      <c r="BKE45" s="25"/>
      <c r="BKF45" s="25"/>
      <c r="BKG45" s="25"/>
      <c r="BKH45" s="25"/>
      <c r="BKI45" s="25"/>
      <c r="BKJ45" s="25"/>
      <c r="BKK45" s="25"/>
      <c r="BKL45" s="25"/>
      <c r="BKM45" s="25"/>
      <c r="BKN45" s="25"/>
      <c r="BKO45" s="25"/>
      <c r="BKW45" s="25"/>
      <c r="BKX45" s="25"/>
      <c r="BKY45" s="25"/>
      <c r="BKZ45" s="25"/>
      <c r="BLA45" s="25"/>
      <c r="BLB45" s="25"/>
      <c r="BLC45" s="25"/>
      <c r="BLD45" s="25"/>
      <c r="BLE45" s="25"/>
      <c r="BLF45" s="25"/>
      <c r="BLG45" s="25"/>
      <c r="BLH45" s="25"/>
      <c r="BLI45" s="25"/>
      <c r="BLJ45" s="25"/>
      <c r="BLN45" s="25">
        <v>1</v>
      </c>
      <c r="BLO45" s="25" t="s">
        <v>8511</v>
      </c>
      <c r="BLQ45" s="56">
        <v>2500</v>
      </c>
      <c r="BLR45" s="56">
        <v>5000</v>
      </c>
      <c r="BLW45" s="25" t="s">
        <v>8246</v>
      </c>
      <c r="BLX45" s="56">
        <v>500</v>
      </c>
      <c r="BLY45" s="56">
        <v>1000</v>
      </c>
      <c r="BMB45" s="25" t="s">
        <v>8248</v>
      </c>
      <c r="BMO45" s="25" t="s">
        <v>8249</v>
      </c>
      <c r="BPB45" s="25" t="s">
        <v>25</v>
      </c>
      <c r="BPC45" s="25" t="s">
        <v>25</v>
      </c>
      <c r="BPE45" s="25" t="s">
        <v>25</v>
      </c>
      <c r="BPG45" s="25" t="s">
        <v>13417</v>
      </c>
      <c r="BPP45" s="26">
        <v>0.1</v>
      </c>
      <c r="BPQ45" s="26">
        <v>0.1</v>
      </c>
      <c r="BPR45" s="26">
        <v>0.1</v>
      </c>
      <c r="BPS45" s="26">
        <v>0.1</v>
      </c>
      <c r="BPT45" s="26">
        <v>0.1</v>
      </c>
      <c r="BPU45" s="26">
        <v>0.1</v>
      </c>
      <c r="BQK45" s="25" t="s">
        <v>8250</v>
      </c>
      <c r="BQL45" s="25" t="s">
        <v>8250</v>
      </c>
      <c r="BQM45" s="25" t="s">
        <v>8250</v>
      </c>
      <c r="BQN45" s="25" t="s">
        <v>8250</v>
      </c>
      <c r="BQO45" s="25" t="s">
        <v>8250</v>
      </c>
      <c r="BQP45" s="25" t="s">
        <v>8250</v>
      </c>
      <c r="BQR45" s="25" t="s">
        <v>25</v>
      </c>
      <c r="BQS45" s="25" t="s">
        <v>25</v>
      </c>
      <c r="BQT45" s="25" t="s">
        <v>25</v>
      </c>
      <c r="BQU45" s="25" t="s">
        <v>25</v>
      </c>
      <c r="BQV45" s="25" t="s">
        <v>25</v>
      </c>
      <c r="BQW45" s="25" t="s">
        <v>25</v>
      </c>
      <c r="BQY45" s="25" t="s">
        <v>13810</v>
      </c>
      <c r="BQZ45" s="25" t="s">
        <v>13810</v>
      </c>
      <c r="BRA45" s="25" t="s">
        <v>13810</v>
      </c>
      <c r="BRB45" s="25" t="s">
        <v>13810</v>
      </c>
      <c r="BRC45" s="25" t="s">
        <v>631</v>
      </c>
      <c r="BRD45" s="25" t="s">
        <v>631</v>
      </c>
      <c r="BRE45" s="25" t="s">
        <v>13810</v>
      </c>
      <c r="BRF45" s="25" t="s">
        <v>631</v>
      </c>
      <c r="BRG45" s="25" t="s">
        <v>631</v>
      </c>
      <c r="BRI45" s="25" t="s">
        <v>8506</v>
      </c>
      <c r="BRJ45" s="25" t="s">
        <v>8506</v>
      </c>
      <c r="BRL45" s="25" t="s">
        <v>13602</v>
      </c>
      <c r="BRO45" s="25" t="s">
        <v>8506</v>
      </c>
      <c r="BRR45" s="56">
        <v>8</v>
      </c>
      <c r="BRS45" s="56">
        <v>8</v>
      </c>
      <c r="BRT45" s="56">
        <v>16</v>
      </c>
      <c r="BSU45" s="26">
        <v>0.25</v>
      </c>
      <c r="BSV45" s="26">
        <v>0.45</v>
      </c>
      <c r="BTC45" s="56">
        <v>30</v>
      </c>
      <c r="BTD45" s="56">
        <v>70</v>
      </c>
      <c r="BTE45" s="56">
        <v>50</v>
      </c>
      <c r="BTF45" s="56">
        <v>125</v>
      </c>
      <c r="BTP45" s="26">
        <v>0.25</v>
      </c>
      <c r="BTQ45" s="26">
        <v>0.45</v>
      </c>
      <c r="BUK45" s="26">
        <v>0.25</v>
      </c>
      <c r="BUL45" s="26">
        <v>0.45</v>
      </c>
      <c r="BUS45" s="56">
        <v>75</v>
      </c>
      <c r="BUT45" s="56">
        <v>175</v>
      </c>
      <c r="BUU45" s="56">
        <v>125</v>
      </c>
      <c r="BUV45" s="56">
        <v>300</v>
      </c>
      <c r="BVF45" s="26">
        <v>1</v>
      </c>
      <c r="BVG45" s="26">
        <v>1</v>
      </c>
      <c r="BVZ45" s="25" t="s">
        <v>8352</v>
      </c>
      <c r="BWA45" s="25" t="s">
        <v>8256</v>
      </c>
      <c r="BWB45" s="25" t="s">
        <v>8508</v>
      </c>
      <c r="BWC45" s="25" t="s">
        <v>28</v>
      </c>
      <c r="BWD45" s="25" t="s">
        <v>8265</v>
      </c>
      <c r="BWE45" s="25" t="s">
        <v>8266</v>
      </c>
      <c r="BWF45" s="25" t="s">
        <v>13709</v>
      </c>
      <c r="BWG45" s="25" t="s">
        <v>28</v>
      </c>
      <c r="BWH45" s="25" t="s">
        <v>2169</v>
      </c>
      <c r="BWI45" s="25" t="s">
        <v>28</v>
      </c>
      <c r="BWJ45" s="25" t="s">
        <v>8512</v>
      </c>
      <c r="BWK45" s="25" t="s">
        <v>25</v>
      </c>
      <c r="BWM45" s="25" t="s">
        <v>28</v>
      </c>
      <c r="BWN45" s="56">
        <v>5000</v>
      </c>
      <c r="BWO45" s="25" t="s">
        <v>25</v>
      </c>
      <c r="BWQ45" s="25" t="s">
        <v>25</v>
      </c>
      <c r="BWX45" s="25" t="s">
        <v>28</v>
      </c>
      <c r="BWY45" s="25" t="s">
        <v>8387</v>
      </c>
      <c r="BWZ45" s="25" t="s">
        <v>28</v>
      </c>
      <c r="BXA45" s="56">
        <v>25</v>
      </c>
      <c r="BXB45" s="25" t="s">
        <v>25</v>
      </c>
      <c r="BXD45" s="25" t="s">
        <v>28</v>
      </c>
      <c r="BXE45" s="25" t="s">
        <v>8388</v>
      </c>
      <c r="BXF45" s="25" t="s">
        <v>25</v>
      </c>
      <c r="BXH45" s="25" t="s">
        <v>28</v>
      </c>
      <c r="BXI45" s="56">
        <v>25</v>
      </c>
      <c r="BXJ45" s="25" t="s">
        <v>28</v>
      </c>
      <c r="BXK45" s="25" t="s">
        <v>8463</v>
      </c>
      <c r="BXL45" s="25" t="s">
        <v>13821</v>
      </c>
      <c r="BXM45" s="25" t="s">
        <v>2201</v>
      </c>
      <c r="BXN45" s="25" t="s">
        <v>8272</v>
      </c>
      <c r="BXO45" s="25" t="s">
        <v>8274</v>
      </c>
      <c r="BXP45" s="25" t="s">
        <v>8274</v>
      </c>
      <c r="BXQ45" s="25" t="s">
        <v>8274</v>
      </c>
      <c r="BXR45" s="25" t="s">
        <v>8361</v>
      </c>
      <c r="BXS45" s="25" t="s">
        <v>8274</v>
      </c>
      <c r="BXW45" s="25" t="s">
        <v>25</v>
      </c>
      <c r="BXX45" s="25" t="s">
        <v>25</v>
      </c>
      <c r="BXZ45" s="25" t="s">
        <v>25</v>
      </c>
      <c r="BYA45" s="25" t="s">
        <v>25</v>
      </c>
      <c r="BYC45" s="25" t="s">
        <v>2201</v>
      </c>
      <c r="BYD45" s="25" t="s">
        <v>28</v>
      </c>
      <c r="BYE45" s="25" t="s">
        <v>13613</v>
      </c>
      <c r="BYF45" s="25" t="s">
        <v>8513</v>
      </c>
      <c r="BYG45" s="25" t="s">
        <v>8514</v>
      </c>
      <c r="BYH45" s="25" t="s">
        <v>8515</v>
      </c>
      <c r="BYK45" s="25" t="s">
        <v>8333</v>
      </c>
      <c r="BYL45" s="25" t="s">
        <v>28</v>
      </c>
      <c r="BYM45" s="25">
        <v>120</v>
      </c>
      <c r="BYN45" s="25" t="s">
        <v>25</v>
      </c>
      <c r="BYP45" s="25" t="s">
        <v>25</v>
      </c>
      <c r="BYR45" s="25" t="s">
        <v>28</v>
      </c>
      <c r="BYS45" s="25" t="s">
        <v>8279</v>
      </c>
      <c r="BYT45" s="25" t="s">
        <v>8279</v>
      </c>
      <c r="BYU45" s="25" t="s">
        <v>732</v>
      </c>
      <c r="BYV45" s="25" t="s">
        <v>25</v>
      </c>
      <c r="BYW45" s="25" t="s">
        <v>28</v>
      </c>
      <c r="BYX45" s="56">
        <v>750</v>
      </c>
      <c r="BYY45" s="56">
        <v>1500</v>
      </c>
      <c r="BYZ45" s="25" t="s">
        <v>8280</v>
      </c>
      <c r="BZA45" s="25" t="s">
        <v>8516</v>
      </c>
      <c r="BZB45" s="25" t="s">
        <v>256</v>
      </c>
      <c r="BZC45" s="25" t="s">
        <v>8282</v>
      </c>
      <c r="BZD45" s="25" t="s">
        <v>28</v>
      </c>
      <c r="BZE45" s="25" t="s">
        <v>28</v>
      </c>
      <c r="BZF45" s="25" t="s">
        <v>28</v>
      </c>
      <c r="BZG45" s="25" t="s">
        <v>25</v>
      </c>
      <c r="BZJ45" s="25" t="s">
        <v>25</v>
      </c>
      <c r="BZM45" s="25" t="s">
        <v>28</v>
      </c>
      <c r="BZN45" s="25" t="s">
        <v>8336</v>
      </c>
      <c r="BZP45" s="25" t="s">
        <v>8366</v>
      </c>
      <c r="BZQ45" s="56">
        <v>1000</v>
      </c>
      <c r="BZR45" s="25" t="s">
        <v>28</v>
      </c>
      <c r="BZS45" s="25" t="s">
        <v>25</v>
      </c>
      <c r="BZT45" s="25" t="s">
        <v>8337</v>
      </c>
      <c r="BZV45" s="25" t="s">
        <v>8517</v>
      </c>
      <c r="BZX45" s="25" t="s">
        <v>8368</v>
      </c>
      <c r="BZZ45" s="25" t="s">
        <v>25</v>
      </c>
      <c r="CAC45" s="25" t="s">
        <v>28</v>
      </c>
      <c r="CAD45" s="25" t="s">
        <v>8288</v>
      </c>
      <c r="CAE45" s="25" t="s">
        <v>28</v>
      </c>
      <c r="CAF45" s="25" t="s">
        <v>8289</v>
      </c>
      <c r="CAG45" s="25" t="s">
        <v>25</v>
      </c>
      <c r="CAH45" s="25" t="s">
        <v>631</v>
      </c>
      <c r="CAI45" s="25" t="s">
        <v>631</v>
      </c>
      <c r="CAJ45" s="25" t="s">
        <v>631</v>
      </c>
      <c r="CAK45" s="25" t="s">
        <v>631</v>
      </c>
      <c r="CAL45" s="25" t="s">
        <v>631</v>
      </c>
      <c r="CAM45" s="25" t="s">
        <v>8290</v>
      </c>
      <c r="CAN45" s="25" t="s">
        <v>631</v>
      </c>
      <c r="CAO45" s="25" t="s">
        <v>631</v>
      </c>
      <c r="CAP45" s="25" t="s">
        <v>631</v>
      </c>
      <c r="CAR45" s="25" t="s">
        <v>8518</v>
      </c>
      <c r="CAS45" s="25" t="s">
        <v>8519</v>
      </c>
      <c r="CAT45" s="25" t="s">
        <v>28</v>
      </c>
      <c r="CAU45" s="25" t="s">
        <v>8520</v>
      </c>
      <c r="CAV45" s="25" t="s">
        <v>8414</v>
      </c>
      <c r="CAW45" s="25" t="s">
        <v>8341</v>
      </c>
      <c r="CAX45" s="25" t="s">
        <v>8415</v>
      </c>
      <c r="CBA45" s="25" t="s">
        <v>8521</v>
      </c>
      <c r="CBB45" s="25">
        <v>1</v>
      </c>
      <c r="CBE45" s="56">
        <v>50</v>
      </c>
      <c r="CBF45" s="56">
        <v>150</v>
      </c>
      <c r="CBG45" s="56">
        <v>75</v>
      </c>
      <c r="CBH45" s="56">
        <v>225</v>
      </c>
      <c r="CBI45" s="56">
        <v>2000</v>
      </c>
      <c r="CBK45" s="56">
        <v>2000</v>
      </c>
      <c r="CBM45" s="26">
        <v>0</v>
      </c>
      <c r="CBN45" s="26">
        <v>0</v>
      </c>
      <c r="CBO45" s="26">
        <v>0.2</v>
      </c>
      <c r="CBP45" s="26">
        <v>0.3</v>
      </c>
      <c r="CBQ45" s="26">
        <v>0.5</v>
      </c>
      <c r="CBR45" s="26">
        <v>0.5</v>
      </c>
      <c r="CBS45" s="26">
        <v>0.5</v>
      </c>
      <c r="CBT45" s="26">
        <v>0.5</v>
      </c>
      <c r="CBU45" s="27" t="s">
        <v>28</v>
      </c>
      <c r="CBV45" s="27" t="s">
        <v>8522</v>
      </c>
      <c r="CBW45" s="27" t="s">
        <v>8370</v>
      </c>
      <c r="CBX45" s="27" t="s">
        <v>8295</v>
      </c>
      <c r="CBY45" s="27" t="s">
        <v>8296</v>
      </c>
      <c r="CBZ45" s="27" t="s">
        <v>8296</v>
      </c>
      <c r="CCA45" s="27" t="s">
        <v>8297</v>
      </c>
      <c r="CCB45" s="27" t="s">
        <v>8298</v>
      </c>
      <c r="CCC45" s="27" t="s">
        <v>8296</v>
      </c>
      <c r="CCD45" s="27" t="s">
        <v>8297</v>
      </c>
      <c r="CCE45" s="27" t="s">
        <v>8296</v>
      </c>
      <c r="CCF45" s="27" t="s">
        <v>8296</v>
      </c>
      <c r="CCG45" s="27" t="s">
        <v>8297</v>
      </c>
      <c r="CCH45" s="27" t="s">
        <v>8296</v>
      </c>
      <c r="CCI45" s="27" t="s">
        <v>8298</v>
      </c>
      <c r="CCJ45" s="27" t="s">
        <v>8298</v>
      </c>
      <c r="CCK45" s="27" t="s">
        <v>8297</v>
      </c>
      <c r="CCL45" s="27" t="s">
        <v>8297</v>
      </c>
      <c r="CCM45" s="27" t="s">
        <v>8297</v>
      </c>
      <c r="CCN45" s="27" t="s">
        <v>8296</v>
      </c>
      <c r="CCO45" s="27" t="s">
        <v>8300</v>
      </c>
      <c r="CCP45" s="27" t="s">
        <v>8296</v>
      </c>
      <c r="CCQ45" s="27" t="s">
        <v>8296</v>
      </c>
      <c r="CCR45" s="27" t="s">
        <v>8297</v>
      </c>
      <c r="CCS45" s="27" t="s">
        <v>8296</v>
      </c>
      <c r="CCT45" s="27" t="s">
        <v>8296</v>
      </c>
      <c r="CCU45" s="27" t="s">
        <v>8298</v>
      </c>
      <c r="CCV45" s="27" t="s">
        <v>8298</v>
      </c>
      <c r="CCW45" s="27" t="s">
        <v>8298</v>
      </c>
      <c r="CCX45" s="27" t="s">
        <v>8298</v>
      </c>
      <c r="CCZ45" s="27" t="s">
        <v>28</v>
      </c>
      <c r="CDA45" s="27" t="s">
        <v>28</v>
      </c>
      <c r="CDB45" s="27" t="s">
        <v>28</v>
      </c>
      <c r="CDC45" s="27" t="s">
        <v>28</v>
      </c>
      <c r="CDD45" s="27" t="s">
        <v>28</v>
      </c>
      <c r="CDE45" s="27" t="s">
        <v>28</v>
      </c>
      <c r="CDF45" s="27" t="s">
        <v>28</v>
      </c>
      <c r="CDG45" s="27" t="s">
        <v>28</v>
      </c>
      <c r="CDH45" s="27" t="s">
        <v>28</v>
      </c>
      <c r="CDI45" s="27" t="s">
        <v>28</v>
      </c>
      <c r="CDJ45" s="27" t="s">
        <v>28</v>
      </c>
      <c r="CDK45" s="27" t="s">
        <v>28</v>
      </c>
      <c r="CDL45" s="27" t="s">
        <v>28</v>
      </c>
      <c r="CDM45" s="27" t="s">
        <v>28</v>
      </c>
      <c r="CDN45" s="27" t="s">
        <v>28</v>
      </c>
      <c r="CDO45" s="27" t="s">
        <v>28</v>
      </c>
      <c r="CDP45" s="27" t="s">
        <v>28</v>
      </c>
      <c r="CDQ45" s="27" t="s">
        <v>28</v>
      </c>
      <c r="CDR45" s="27" t="s">
        <v>28</v>
      </c>
      <c r="CDS45" s="27" t="s">
        <v>28</v>
      </c>
      <c r="CDT45" s="27" t="s">
        <v>28</v>
      </c>
      <c r="CDU45" s="27" t="s">
        <v>28</v>
      </c>
      <c r="CDV45" s="27" t="s">
        <v>28</v>
      </c>
      <c r="CDW45" s="27" t="s">
        <v>28</v>
      </c>
      <c r="CDX45" s="27" t="s">
        <v>28</v>
      </c>
      <c r="CDY45" s="27" t="s">
        <v>28</v>
      </c>
      <c r="CEA45" s="27" t="s">
        <v>2673</v>
      </c>
      <c r="CEB45" s="27" t="s">
        <v>29</v>
      </c>
      <c r="CEC45" s="27" t="s">
        <v>29</v>
      </c>
      <c r="CED45" s="27" t="s">
        <v>8302</v>
      </c>
      <c r="CEE45" s="27" t="s">
        <v>2673</v>
      </c>
      <c r="CEF45" s="27" t="s">
        <v>29</v>
      </c>
      <c r="CEG45" s="27" t="s">
        <v>8303</v>
      </c>
      <c r="CEH45" s="27" t="s">
        <v>8306</v>
      </c>
      <c r="CEI45" s="27" t="s">
        <v>29</v>
      </c>
      <c r="CEJ45" s="27" t="s">
        <v>29</v>
      </c>
      <c r="CEK45" s="27" t="s">
        <v>8302</v>
      </c>
      <c r="CEL45" s="27" t="s">
        <v>8303</v>
      </c>
      <c r="CEM45" s="27" t="s">
        <v>29</v>
      </c>
      <c r="CEN45" s="27" t="s">
        <v>29</v>
      </c>
      <c r="CEO45" s="27" t="s">
        <v>8306</v>
      </c>
      <c r="CEP45" s="27" t="s">
        <v>2673</v>
      </c>
      <c r="CEQ45" s="27" t="s">
        <v>8304</v>
      </c>
      <c r="CER45" s="27" t="s">
        <v>8305</v>
      </c>
      <c r="CES45" s="27" t="s">
        <v>8306</v>
      </c>
      <c r="CET45" s="27" t="s">
        <v>8304</v>
      </c>
      <c r="CEU45" s="27" t="s">
        <v>29</v>
      </c>
      <c r="CEV45" s="27" t="s">
        <v>2673</v>
      </c>
      <c r="CEW45" s="27" t="s">
        <v>8301</v>
      </c>
      <c r="CEX45" s="27" t="s">
        <v>8303</v>
      </c>
      <c r="CEY45" s="27" t="s">
        <v>8303</v>
      </c>
      <c r="CEZ45" s="27" t="s">
        <v>8301</v>
      </c>
      <c r="CFB45" s="27" t="s">
        <v>25</v>
      </c>
      <c r="CFC45" s="27" t="s">
        <v>25</v>
      </c>
      <c r="CFD45" s="27" t="s">
        <v>25</v>
      </c>
      <c r="CFE45" s="27" t="s">
        <v>25</v>
      </c>
      <c r="CFF45" s="27" t="s">
        <v>25</v>
      </c>
      <c r="CFG45" s="27" t="s">
        <v>25</v>
      </c>
      <c r="CFH45" s="27" t="s">
        <v>25</v>
      </c>
      <c r="CFI45" s="27" t="s">
        <v>25</v>
      </c>
      <c r="CFJ45" s="27" t="s">
        <v>25</v>
      </c>
      <c r="CFK45" s="27" t="s">
        <v>25</v>
      </c>
      <c r="CFL45" s="27" t="s">
        <v>25</v>
      </c>
      <c r="CFM45" s="27" t="s">
        <v>28</v>
      </c>
      <c r="CFN45" s="27" t="s">
        <v>25</v>
      </c>
      <c r="CFO45" s="27" t="s">
        <v>25</v>
      </c>
      <c r="CFP45" s="27" t="s">
        <v>25</v>
      </c>
      <c r="CFQ45" s="27" t="s">
        <v>25</v>
      </c>
      <c r="CFR45" s="27" t="s">
        <v>25</v>
      </c>
      <c r="CFS45" s="27" t="s">
        <v>25</v>
      </c>
      <c r="CFT45" s="27" t="s">
        <v>25</v>
      </c>
      <c r="CFU45" s="27" t="s">
        <v>25</v>
      </c>
      <c r="CFV45" s="27" t="s">
        <v>28</v>
      </c>
      <c r="CFW45" s="27" t="s">
        <v>25</v>
      </c>
      <c r="CFX45" s="27" t="s">
        <v>28</v>
      </c>
      <c r="CFY45" s="27" t="s">
        <v>28</v>
      </c>
      <c r="CFZ45" s="27" t="s">
        <v>25</v>
      </c>
      <c r="CGA45" s="27" t="s">
        <v>25</v>
      </c>
      <c r="CPW45" s="27">
        <v>1</v>
      </c>
      <c r="CPX45" s="56">
        <v>10</v>
      </c>
      <c r="CPY45" s="26">
        <v>0</v>
      </c>
      <c r="CPZ45" s="56">
        <v>20</v>
      </c>
      <c r="CQA45" s="26">
        <v>0</v>
      </c>
      <c r="CQB45" s="25" t="s">
        <v>8307</v>
      </c>
      <c r="CQC45" s="25" t="s">
        <v>8307</v>
      </c>
      <c r="CQD45" s="25" t="s">
        <v>8523</v>
      </c>
      <c r="CQE45" s="25" t="s">
        <v>8307</v>
      </c>
      <c r="CQF45" s="25" t="s">
        <v>8307</v>
      </c>
      <c r="CQI45" s="56">
        <v>150</v>
      </c>
      <c r="CQJ45" s="56">
        <v>130</v>
      </c>
      <c r="CQK45" s="56">
        <v>130</v>
      </c>
      <c r="CQL45" s="25" t="s">
        <v>13671</v>
      </c>
      <c r="CQM45" s="25" t="s">
        <v>8308</v>
      </c>
      <c r="CQN45" s="25" t="s">
        <v>28</v>
      </c>
      <c r="CQO45" s="25" t="s">
        <v>8309</v>
      </c>
      <c r="CQQ45" s="25" t="s">
        <v>8524</v>
      </c>
      <c r="CQR45" s="25" t="s">
        <v>8525</v>
      </c>
      <c r="CQS45" s="25" t="s">
        <v>25</v>
      </c>
      <c r="CQT45" s="25" t="s">
        <v>8312</v>
      </c>
      <c r="CQU45" s="25" t="s">
        <v>8312</v>
      </c>
      <c r="CQV45" s="25" t="s">
        <v>8312</v>
      </c>
      <c r="CQW45" s="25" t="s">
        <v>8312</v>
      </c>
      <c r="CQX45" s="25" t="s">
        <v>8312</v>
      </c>
      <c r="CQY45" s="25" t="s">
        <v>8312</v>
      </c>
      <c r="CQZ45" s="25" t="s">
        <v>8312</v>
      </c>
      <c r="CRA45" s="25" t="s">
        <v>8314</v>
      </c>
      <c r="CRB45" s="25" t="s">
        <v>8314</v>
      </c>
      <c r="CRC45" s="25" t="s">
        <v>8314</v>
      </c>
      <c r="CRD45" s="25" t="s">
        <v>8312</v>
      </c>
      <c r="CRE45" s="27" t="s">
        <v>8312</v>
      </c>
    </row>
    <row r="46" spans="1:2048 2050:2501" ht="76.5" x14ac:dyDescent="0.2">
      <c r="A46" s="21" t="s">
        <v>153</v>
      </c>
      <c r="B46" s="26">
        <v>7.000000000000001E-4</v>
      </c>
      <c r="C46" s="26">
        <v>0</v>
      </c>
      <c r="D46" s="26">
        <v>9.5899999999999999E-2</v>
      </c>
      <c r="E46" s="26">
        <v>3.0499999999999999E-2</v>
      </c>
      <c r="F46" s="26">
        <v>0</v>
      </c>
      <c r="G46" s="26">
        <v>0</v>
      </c>
      <c r="H46" s="26">
        <v>0</v>
      </c>
      <c r="I46" s="26">
        <v>0</v>
      </c>
      <c r="J46" s="26">
        <v>0.87</v>
      </c>
      <c r="K46" s="26">
        <v>0</v>
      </c>
      <c r="L46" s="26">
        <v>0</v>
      </c>
      <c r="M46" s="26">
        <v>6.5000000000000006E-3</v>
      </c>
      <c r="N46" s="26">
        <v>0</v>
      </c>
      <c r="O46" s="26">
        <v>0</v>
      </c>
      <c r="P46" s="26">
        <v>0</v>
      </c>
      <c r="Q46" s="26">
        <v>0</v>
      </c>
      <c r="R46" s="26">
        <v>0</v>
      </c>
      <c r="S46" s="26">
        <v>0</v>
      </c>
      <c r="T46" s="26">
        <v>0</v>
      </c>
      <c r="U46" s="26">
        <v>0</v>
      </c>
      <c r="V46" s="26">
        <v>1</v>
      </c>
      <c r="W46" s="26">
        <v>0</v>
      </c>
      <c r="X46" s="26">
        <v>0</v>
      </c>
      <c r="Y46" s="26">
        <v>0</v>
      </c>
      <c r="Z46" s="25">
        <v>1</v>
      </c>
      <c r="AA46" s="25" t="s">
        <v>8774</v>
      </c>
      <c r="AC46" s="56">
        <v>2500</v>
      </c>
      <c r="AD46" s="56">
        <v>7500</v>
      </c>
      <c r="AE46" s="56">
        <v>2500</v>
      </c>
      <c r="AF46" s="56">
        <v>7500</v>
      </c>
      <c r="AI46" s="25" t="s">
        <v>8349</v>
      </c>
      <c r="AJ46" s="56">
        <v>100</v>
      </c>
      <c r="AK46" s="56">
        <v>300</v>
      </c>
      <c r="AL46" s="56">
        <v>100</v>
      </c>
      <c r="AM46" s="56">
        <v>300</v>
      </c>
      <c r="AN46" s="25" t="s">
        <v>8350</v>
      </c>
      <c r="AO46" s="25" t="s">
        <v>8248</v>
      </c>
      <c r="BB46" s="25" t="s">
        <v>8249</v>
      </c>
      <c r="DO46" s="25" t="s">
        <v>25</v>
      </c>
      <c r="DP46" s="25" t="s">
        <v>28</v>
      </c>
      <c r="DQ46" s="25" t="s">
        <v>25</v>
      </c>
      <c r="DR46" s="25" t="s">
        <v>25</v>
      </c>
      <c r="DT46" s="25" t="s">
        <v>13417</v>
      </c>
      <c r="DU46" s="25" t="s">
        <v>13417</v>
      </c>
      <c r="EC46" s="26">
        <v>0.1</v>
      </c>
      <c r="ED46" s="26">
        <v>0.1</v>
      </c>
      <c r="EE46" s="26">
        <v>0.1</v>
      </c>
      <c r="EF46" s="26">
        <v>0.1</v>
      </c>
      <c r="EG46" s="26">
        <v>0.1</v>
      </c>
      <c r="EH46" s="26">
        <v>0.1</v>
      </c>
      <c r="EQ46" s="26">
        <v>0.3</v>
      </c>
      <c r="ER46" s="26">
        <v>0.3</v>
      </c>
      <c r="ES46" s="26">
        <v>0.3</v>
      </c>
      <c r="ET46" s="26">
        <v>0.3</v>
      </c>
      <c r="EU46" s="26">
        <v>0.3</v>
      </c>
      <c r="EV46" s="26">
        <v>0.3</v>
      </c>
      <c r="EX46" s="25" t="s">
        <v>8250</v>
      </c>
      <c r="EY46" s="25" t="s">
        <v>8250</v>
      </c>
      <c r="EZ46" s="25" t="s">
        <v>8250</v>
      </c>
      <c r="FA46" s="25" t="s">
        <v>8250</v>
      </c>
      <c r="FB46" s="25" t="s">
        <v>8250</v>
      </c>
      <c r="FC46" s="25" t="s">
        <v>8250</v>
      </c>
      <c r="FD46" s="25" t="s">
        <v>8250</v>
      </c>
      <c r="FE46" s="25" t="s">
        <v>25</v>
      </c>
      <c r="FF46" s="25" t="s">
        <v>25</v>
      </c>
      <c r="FG46" s="25" t="s">
        <v>25</v>
      </c>
      <c r="FH46" s="25" t="s">
        <v>25</v>
      </c>
      <c r="FI46" s="25" t="s">
        <v>25</v>
      </c>
      <c r="FJ46" s="25" t="s">
        <v>25</v>
      </c>
      <c r="FK46" s="25" t="s">
        <v>25</v>
      </c>
      <c r="FL46" s="25" t="s">
        <v>13810</v>
      </c>
      <c r="FM46" s="25" t="s">
        <v>13810</v>
      </c>
      <c r="FN46" s="25" t="s">
        <v>13810</v>
      </c>
      <c r="FO46" s="25" t="s">
        <v>631</v>
      </c>
      <c r="FP46" s="25" t="s">
        <v>631</v>
      </c>
      <c r="FQ46" s="25" t="s">
        <v>631</v>
      </c>
      <c r="FR46" s="25" t="s">
        <v>631</v>
      </c>
      <c r="FS46" s="25" t="s">
        <v>631</v>
      </c>
      <c r="FT46" s="25" t="s">
        <v>631</v>
      </c>
      <c r="FU46" s="25" t="s">
        <v>631</v>
      </c>
      <c r="FV46" s="25" t="s">
        <v>8253</v>
      </c>
      <c r="FW46" s="25" t="s">
        <v>8253</v>
      </c>
      <c r="FX46" s="25" t="s">
        <v>8253</v>
      </c>
      <c r="HG46" s="57">
        <v>0.1</v>
      </c>
      <c r="HH46" s="57">
        <v>0.3</v>
      </c>
      <c r="HI46" s="57">
        <v>0.5</v>
      </c>
      <c r="HN46" s="58">
        <v>10</v>
      </c>
      <c r="HO46" s="56">
        <v>10</v>
      </c>
      <c r="HP46" s="56">
        <v>30</v>
      </c>
      <c r="HQ46" s="56">
        <v>30</v>
      </c>
      <c r="HR46" s="56">
        <v>50</v>
      </c>
      <c r="HS46" s="56">
        <v>50</v>
      </c>
      <c r="IB46" s="26">
        <v>0.1</v>
      </c>
      <c r="IC46" s="26">
        <v>0.3</v>
      </c>
      <c r="ID46" s="26">
        <v>0.5</v>
      </c>
      <c r="II46" s="56">
        <v>0.1</v>
      </c>
      <c r="IJ46" s="56">
        <v>10</v>
      </c>
      <c r="IK46" s="56">
        <v>30</v>
      </c>
      <c r="IL46" s="56">
        <v>30</v>
      </c>
      <c r="IM46" s="56">
        <v>50</v>
      </c>
      <c r="IN46" s="56">
        <v>50</v>
      </c>
      <c r="IW46" s="26">
        <v>0.11</v>
      </c>
      <c r="IX46" s="26">
        <v>0.33</v>
      </c>
      <c r="IY46" s="26">
        <v>0.56000000000000005</v>
      </c>
      <c r="JD46" s="56">
        <v>30</v>
      </c>
      <c r="JE46" s="56">
        <v>30</v>
      </c>
      <c r="JF46" s="56">
        <v>90</v>
      </c>
      <c r="JG46" s="56">
        <v>90</v>
      </c>
      <c r="JH46" s="56">
        <v>150</v>
      </c>
      <c r="JI46" s="56">
        <v>150</v>
      </c>
      <c r="JR46" s="26">
        <v>1</v>
      </c>
      <c r="JS46" s="26">
        <v>1</v>
      </c>
      <c r="JT46" s="26">
        <v>1</v>
      </c>
      <c r="JY46" s="56">
        <v>100</v>
      </c>
      <c r="JZ46" s="56">
        <v>100</v>
      </c>
      <c r="KA46" s="56">
        <v>100</v>
      </c>
      <c r="KB46" s="56">
        <v>100</v>
      </c>
      <c r="KC46" s="56">
        <v>100</v>
      </c>
      <c r="KD46" s="56">
        <v>1000</v>
      </c>
      <c r="KM46" s="25" t="s">
        <v>8255</v>
      </c>
      <c r="KN46" s="25" t="s">
        <v>8298</v>
      </c>
      <c r="KO46" s="25" t="s">
        <v>8321</v>
      </c>
      <c r="KP46" s="25">
        <v>1</v>
      </c>
      <c r="KQ46" s="25" t="s">
        <v>8775</v>
      </c>
      <c r="KS46" s="56">
        <v>3000</v>
      </c>
      <c r="KT46" s="56">
        <v>6000</v>
      </c>
      <c r="KU46" s="56">
        <v>6000</v>
      </c>
      <c r="KV46" s="56">
        <v>12000</v>
      </c>
      <c r="KY46" s="25" t="s">
        <v>8776</v>
      </c>
      <c r="KZ46" s="56">
        <v>1500</v>
      </c>
      <c r="LA46" s="56">
        <v>3000</v>
      </c>
      <c r="LB46" s="56">
        <v>3000</v>
      </c>
      <c r="LC46" s="56">
        <v>6000</v>
      </c>
      <c r="LD46" s="25" t="s">
        <v>8247</v>
      </c>
      <c r="LE46" s="25" t="s">
        <v>8248</v>
      </c>
      <c r="OE46" s="25" t="s">
        <v>25</v>
      </c>
      <c r="OF46" s="25" t="s">
        <v>28</v>
      </c>
      <c r="OG46" s="25" t="s">
        <v>25</v>
      </c>
      <c r="OH46" s="25" t="s">
        <v>25</v>
      </c>
      <c r="OJ46" s="25" t="s">
        <v>13416</v>
      </c>
      <c r="OK46" s="25" t="s">
        <v>13416</v>
      </c>
      <c r="OS46" s="26">
        <v>0.1</v>
      </c>
      <c r="OT46" s="26">
        <v>0.1</v>
      </c>
      <c r="OU46" s="26">
        <v>0.1</v>
      </c>
      <c r="OV46" s="26">
        <v>0.1</v>
      </c>
      <c r="OW46" s="26">
        <v>0.1</v>
      </c>
      <c r="OX46" s="26">
        <v>0.1</v>
      </c>
      <c r="PG46" s="26">
        <v>0.3</v>
      </c>
      <c r="PH46" s="26">
        <v>0.3</v>
      </c>
      <c r="PI46" s="26">
        <v>0.3</v>
      </c>
      <c r="PJ46" s="26">
        <v>0.3</v>
      </c>
      <c r="PK46" s="26">
        <v>0.3</v>
      </c>
      <c r="PL46" s="26">
        <v>0.3</v>
      </c>
      <c r="PN46" s="25" t="s">
        <v>8250</v>
      </c>
      <c r="PO46" s="25" t="s">
        <v>8250</v>
      </c>
      <c r="PP46" s="25" t="s">
        <v>8250</v>
      </c>
      <c r="PQ46" s="25" t="s">
        <v>8250</v>
      </c>
      <c r="PR46" s="25" t="s">
        <v>8250</v>
      </c>
      <c r="PS46" s="25" t="s">
        <v>8250</v>
      </c>
      <c r="PT46" s="25" t="s">
        <v>8250</v>
      </c>
      <c r="PU46" s="25" t="s">
        <v>25</v>
      </c>
      <c r="PV46" s="25" t="s">
        <v>25</v>
      </c>
      <c r="PW46" s="25" t="s">
        <v>25</v>
      </c>
      <c r="PX46" s="25" t="s">
        <v>25</v>
      </c>
      <c r="PY46" s="25" t="s">
        <v>25</v>
      </c>
      <c r="PZ46" s="25" t="s">
        <v>25</v>
      </c>
      <c r="QA46" s="25" t="s">
        <v>28</v>
      </c>
      <c r="QB46" s="25" t="s">
        <v>13810</v>
      </c>
      <c r="QC46" s="25" t="s">
        <v>13810</v>
      </c>
      <c r="QD46" s="25" t="s">
        <v>13810</v>
      </c>
      <c r="QE46" s="25" t="s">
        <v>13810</v>
      </c>
      <c r="QF46" s="25" t="s">
        <v>8252</v>
      </c>
      <c r="QG46" s="25" t="s">
        <v>8252</v>
      </c>
      <c r="QH46" s="25" t="s">
        <v>13810</v>
      </c>
      <c r="QI46" s="25" t="s">
        <v>8252</v>
      </c>
      <c r="QJ46" s="25" t="s">
        <v>631</v>
      </c>
      <c r="QL46" s="25" t="s">
        <v>13436</v>
      </c>
      <c r="QM46" s="25" t="s">
        <v>13436</v>
      </c>
      <c r="QN46" s="25" t="s">
        <v>13444</v>
      </c>
      <c r="QO46" s="25" t="s">
        <v>13449</v>
      </c>
      <c r="QP46" s="25" t="s">
        <v>13444</v>
      </c>
      <c r="QQ46" s="25" t="s">
        <v>8386</v>
      </c>
      <c r="QR46" s="25" t="s">
        <v>13453</v>
      </c>
      <c r="QS46" s="25" t="s">
        <v>8253</v>
      </c>
      <c r="RW46" s="26">
        <v>0.1</v>
      </c>
      <c r="RX46" s="26">
        <v>0.1</v>
      </c>
      <c r="RY46" s="26">
        <v>0.1</v>
      </c>
      <c r="SB46" s="26">
        <v>0.1</v>
      </c>
      <c r="SR46" s="26">
        <v>0.3</v>
      </c>
      <c r="SS46" s="26">
        <v>0.3</v>
      </c>
      <c r="ST46" s="26">
        <v>0.3</v>
      </c>
      <c r="SW46" s="26">
        <v>0.3</v>
      </c>
      <c r="TM46" s="26">
        <v>0.1</v>
      </c>
      <c r="TN46" s="26">
        <v>0.1</v>
      </c>
      <c r="TO46" s="26">
        <v>0.1</v>
      </c>
      <c r="TR46" s="26">
        <v>0.1</v>
      </c>
      <c r="UH46" s="57">
        <v>0.3</v>
      </c>
      <c r="UI46" s="57">
        <v>0.3</v>
      </c>
      <c r="UJ46" s="57">
        <v>0.3</v>
      </c>
      <c r="VC46" s="25" t="s">
        <v>8255</v>
      </c>
      <c r="VD46" s="25" t="s">
        <v>8256</v>
      </c>
      <c r="VE46" s="25" t="s">
        <v>8257</v>
      </c>
      <c r="VF46" s="25">
        <v>0</v>
      </c>
      <c r="VI46" s="25"/>
      <c r="VJ46" s="25"/>
      <c r="VK46" s="25"/>
      <c r="VL46" s="25"/>
      <c r="VM46" s="25"/>
      <c r="VN46" s="25"/>
      <c r="VP46" s="25"/>
      <c r="VQ46" s="25"/>
      <c r="VR46" s="25"/>
      <c r="VS46" s="25"/>
      <c r="ZA46" s="25"/>
      <c r="ZB46" s="25"/>
      <c r="ZC46" s="25"/>
      <c r="ZD46" s="25"/>
      <c r="ZE46" s="25"/>
      <c r="ZF46" s="25"/>
      <c r="ZG46" s="25"/>
      <c r="ZO46" s="25"/>
      <c r="ZP46" s="25"/>
      <c r="ZQ46" s="25"/>
      <c r="ZR46" s="25"/>
      <c r="ZS46" s="25"/>
      <c r="ZT46" s="25"/>
      <c r="ZU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S46" s="25"/>
      <c r="ACT46" s="25"/>
      <c r="ACU46" s="25"/>
      <c r="ACV46" s="25"/>
      <c r="ACW46" s="25"/>
      <c r="ACX46" s="25"/>
      <c r="ACY46" s="25"/>
      <c r="ACZ46" s="25"/>
      <c r="ADA46" s="25"/>
      <c r="ADB46" s="25"/>
      <c r="ADC46" s="25"/>
      <c r="ADD46" s="25"/>
      <c r="ADE46" s="25"/>
      <c r="ADF46" s="25"/>
      <c r="ADN46" s="25"/>
      <c r="ADO46" s="25"/>
      <c r="ADP46" s="25"/>
      <c r="ADQ46" s="25"/>
      <c r="ADR46" s="25"/>
      <c r="ADS46" s="25"/>
      <c r="ADT46" s="25"/>
      <c r="ADU46" s="25"/>
      <c r="ADV46" s="25"/>
      <c r="ADW46" s="25"/>
      <c r="ADX46" s="25"/>
      <c r="ADY46" s="25"/>
      <c r="ADZ46" s="25"/>
      <c r="AEA46" s="25"/>
      <c r="AEI46" s="25"/>
      <c r="AEJ46" s="25"/>
      <c r="AEK46" s="25"/>
      <c r="AEL46" s="25"/>
      <c r="AEM46" s="25"/>
      <c r="AEN46" s="25"/>
      <c r="AEO46" s="25"/>
      <c r="AEP46" s="25"/>
      <c r="AEQ46" s="25"/>
      <c r="AER46" s="25"/>
      <c r="AES46" s="25"/>
      <c r="AET46" s="25"/>
      <c r="AEU46" s="25"/>
      <c r="AEV46" s="25"/>
      <c r="AFD46" s="25"/>
      <c r="AFE46" s="25"/>
      <c r="AFF46" s="25"/>
      <c r="AFG46" s="25"/>
      <c r="AFH46" s="25"/>
      <c r="AFI46" s="25"/>
      <c r="AFJ46" s="25"/>
      <c r="AFK46" s="25"/>
      <c r="AFL46" s="25"/>
      <c r="AFM46" s="25"/>
      <c r="AFN46" s="25"/>
      <c r="AFO46" s="25"/>
      <c r="AFP46" s="25"/>
      <c r="AFQ46" s="25"/>
      <c r="AFU46" s="25">
        <v>0</v>
      </c>
      <c r="AFX46" s="25"/>
      <c r="AFY46" s="25"/>
      <c r="AFZ46" s="25"/>
      <c r="AGA46" s="25"/>
      <c r="AGB46" s="25"/>
      <c r="AGC46" s="25"/>
      <c r="AGE46" s="25"/>
      <c r="AGF46" s="25"/>
      <c r="AGG46" s="25"/>
      <c r="AGH46" s="25"/>
      <c r="AJP46" s="25"/>
      <c r="AJQ46" s="25"/>
      <c r="AJR46" s="25"/>
      <c r="AJS46" s="25"/>
      <c r="AJT46" s="25"/>
      <c r="AJU46" s="25"/>
      <c r="AJV46" s="25"/>
      <c r="AKD46" s="25"/>
      <c r="AKE46" s="25"/>
      <c r="AKF46" s="25"/>
      <c r="AKG46" s="25"/>
      <c r="AKH46" s="25"/>
      <c r="AKI46" s="25"/>
      <c r="AKJ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H46" s="25"/>
      <c r="ANI46" s="25"/>
      <c r="ANJ46" s="25"/>
      <c r="ANK46" s="25"/>
      <c r="ANL46" s="25"/>
      <c r="ANM46" s="25"/>
      <c r="ANN46" s="25"/>
      <c r="ANO46" s="25"/>
      <c r="ANP46" s="25"/>
      <c r="ANQ46" s="25"/>
      <c r="ANR46" s="25"/>
      <c r="ANS46" s="25"/>
      <c r="ANT46" s="25"/>
      <c r="ANU46" s="25"/>
      <c r="AOC46" s="25"/>
      <c r="AOD46" s="25"/>
      <c r="AOE46" s="25"/>
      <c r="AOF46" s="25"/>
      <c r="AOG46" s="25"/>
      <c r="AOH46" s="25"/>
      <c r="AOI46" s="25"/>
      <c r="AOJ46" s="25"/>
      <c r="AOK46" s="25"/>
      <c r="AOL46" s="25"/>
      <c r="AOM46" s="25"/>
      <c r="AON46" s="25"/>
      <c r="AOO46" s="25"/>
      <c r="AOP46" s="25"/>
      <c r="AOX46" s="25"/>
      <c r="AOY46" s="25"/>
      <c r="AOZ46" s="25"/>
      <c r="APA46" s="25"/>
      <c r="APB46" s="25"/>
      <c r="APC46" s="25"/>
      <c r="APD46" s="25"/>
      <c r="APE46" s="25"/>
      <c r="APF46" s="25"/>
      <c r="APG46" s="25"/>
      <c r="APH46" s="25"/>
      <c r="API46" s="25"/>
      <c r="APJ46" s="25"/>
      <c r="APK46" s="25"/>
      <c r="APS46" s="25"/>
      <c r="APT46" s="25"/>
      <c r="APU46" s="25"/>
      <c r="APV46" s="25"/>
      <c r="APW46" s="25"/>
      <c r="APX46" s="25"/>
      <c r="APY46" s="25"/>
      <c r="APZ46" s="25"/>
      <c r="AQA46" s="25"/>
      <c r="AQB46" s="25"/>
      <c r="AQC46" s="25"/>
      <c r="AQD46" s="25"/>
      <c r="AQE46" s="25"/>
      <c r="AQF46" s="25"/>
      <c r="AQJ46" s="25">
        <v>1</v>
      </c>
      <c r="AQK46" s="25" t="s">
        <v>8384</v>
      </c>
      <c r="AQM46" s="56">
        <v>1500</v>
      </c>
      <c r="AQN46" s="56">
        <v>3000</v>
      </c>
      <c r="AQS46" s="25" t="s">
        <v>8260</v>
      </c>
      <c r="ATX46" s="25" t="s">
        <v>25</v>
      </c>
      <c r="ATY46" s="25" t="s">
        <v>28</v>
      </c>
      <c r="ATZ46" s="25" t="s">
        <v>25</v>
      </c>
      <c r="AUA46" s="25" t="s">
        <v>25</v>
      </c>
      <c r="AUC46" s="25" t="s">
        <v>13599</v>
      </c>
      <c r="AUE46" s="56">
        <v>20</v>
      </c>
      <c r="AUF46" s="56">
        <v>20</v>
      </c>
      <c r="AUG46" s="56">
        <v>20</v>
      </c>
      <c r="AUH46" s="56">
        <v>50</v>
      </c>
      <c r="AUJ46" s="56">
        <v>0</v>
      </c>
      <c r="AVG46" s="25" t="s">
        <v>8250</v>
      </c>
      <c r="AVH46" s="25" t="s">
        <v>8250</v>
      </c>
      <c r="AVI46" s="25" t="s">
        <v>8250</v>
      </c>
      <c r="AVJ46" s="25" t="s">
        <v>8250</v>
      </c>
      <c r="AVK46" s="25" t="s">
        <v>8250</v>
      </c>
      <c r="AVL46" s="25" t="s">
        <v>8261</v>
      </c>
      <c r="AVN46" s="25" t="s">
        <v>25</v>
      </c>
      <c r="AVO46" s="25" t="s">
        <v>28</v>
      </c>
      <c r="AVP46" s="25" t="s">
        <v>28</v>
      </c>
      <c r="AVQ46" s="25" t="s">
        <v>25</v>
      </c>
      <c r="AVR46" s="25" t="s">
        <v>25</v>
      </c>
      <c r="AVS46" s="25" t="s">
        <v>25</v>
      </c>
      <c r="AVU46" s="25" t="s">
        <v>13810</v>
      </c>
      <c r="AVV46" s="25" t="s">
        <v>13810</v>
      </c>
      <c r="AVW46" s="25" t="s">
        <v>13810</v>
      </c>
      <c r="AVX46" s="25" t="s">
        <v>13810</v>
      </c>
      <c r="AVY46" s="25" t="s">
        <v>13810</v>
      </c>
      <c r="AVZ46" s="25" t="s">
        <v>13810</v>
      </c>
      <c r="AWA46" s="25" t="s">
        <v>13810</v>
      </c>
      <c r="AWB46" s="25" t="s">
        <v>631</v>
      </c>
      <c r="AWC46" s="25" t="s">
        <v>631</v>
      </c>
      <c r="AWE46" s="25" t="s">
        <v>8253</v>
      </c>
      <c r="AWF46" s="25" t="s">
        <v>8253</v>
      </c>
      <c r="AWG46" s="25" t="s">
        <v>8253</v>
      </c>
      <c r="AWH46" s="25" t="s">
        <v>8253</v>
      </c>
      <c r="AWI46" s="25" t="s">
        <v>8253</v>
      </c>
      <c r="AWJ46" s="25" t="s">
        <v>8253</v>
      </c>
      <c r="AWK46" s="25" t="s">
        <v>8253</v>
      </c>
      <c r="AWN46" s="56">
        <v>10</v>
      </c>
      <c r="AWP46" s="56">
        <v>20</v>
      </c>
      <c r="AWR46" s="56">
        <v>30</v>
      </c>
      <c r="AWT46" s="56">
        <v>60</v>
      </c>
      <c r="AWZ46" s="56">
        <v>30</v>
      </c>
      <c r="AXP46" s="26">
        <v>0.1</v>
      </c>
      <c r="AXQ46" s="26">
        <v>0.3</v>
      </c>
      <c r="AXS46" s="26">
        <v>0.3</v>
      </c>
      <c r="AXW46" s="56">
        <v>10</v>
      </c>
      <c r="AXX46" s="56">
        <v>20</v>
      </c>
      <c r="AXY46" s="56">
        <v>30</v>
      </c>
      <c r="AXZ46" s="56">
        <v>60</v>
      </c>
      <c r="AYA46" s="56">
        <v>30</v>
      </c>
      <c r="AZF46" s="26">
        <v>0.2</v>
      </c>
      <c r="AZG46" s="26">
        <v>0.6</v>
      </c>
      <c r="AZI46" s="26">
        <v>0.3</v>
      </c>
      <c r="AZM46" s="56">
        <v>20</v>
      </c>
      <c r="AZN46" s="56">
        <v>20</v>
      </c>
      <c r="AZO46" s="56">
        <v>60</v>
      </c>
      <c r="AZP46" s="56">
        <v>60</v>
      </c>
      <c r="AZS46" s="56">
        <v>30</v>
      </c>
      <c r="AZT46" s="56">
        <v>30</v>
      </c>
      <c r="BAV46" s="25" t="s">
        <v>8255</v>
      </c>
      <c r="BAX46" s="25" t="s">
        <v>8263</v>
      </c>
      <c r="BAY46" s="25">
        <v>2</v>
      </c>
      <c r="BAZ46" s="25" t="s">
        <v>8777</v>
      </c>
      <c r="BBA46" s="25" t="s">
        <v>8778</v>
      </c>
      <c r="BBD46" s="56">
        <v>10000</v>
      </c>
      <c r="BBE46" s="56">
        <v>20000</v>
      </c>
      <c r="BBH46" s="25" t="s">
        <v>13820</v>
      </c>
      <c r="BBK46" s="56">
        <v>6000</v>
      </c>
      <c r="BBL46" s="56">
        <v>12000</v>
      </c>
      <c r="BBM46" s="25" t="s">
        <v>8248</v>
      </c>
      <c r="BCL46" s="25" t="s">
        <v>8249</v>
      </c>
      <c r="BEM46" s="25" t="s">
        <v>25</v>
      </c>
      <c r="BEN46" s="25" t="s">
        <v>28</v>
      </c>
      <c r="BEO46" s="25" t="s">
        <v>25</v>
      </c>
      <c r="BEP46" s="25" t="s">
        <v>25</v>
      </c>
      <c r="BER46" s="25" t="s">
        <v>13417</v>
      </c>
      <c r="BES46" s="25" t="s">
        <v>13420</v>
      </c>
      <c r="BFO46" s="26">
        <v>0.4</v>
      </c>
      <c r="BFP46" s="26">
        <v>0.4</v>
      </c>
      <c r="BFQ46" s="26">
        <v>0.4</v>
      </c>
      <c r="BFR46" s="26">
        <v>0.4</v>
      </c>
      <c r="BFS46" s="26">
        <v>0.4</v>
      </c>
      <c r="BFV46" s="25" t="s">
        <v>8250</v>
      </c>
      <c r="BFW46" s="25" t="s">
        <v>8250</v>
      </c>
      <c r="BFX46" s="25" t="s">
        <v>8250</v>
      </c>
      <c r="BFY46" s="25" t="s">
        <v>8250</v>
      </c>
      <c r="BFZ46" s="25" t="s">
        <v>8250</v>
      </c>
      <c r="BGA46" s="25" t="s">
        <v>8250</v>
      </c>
      <c r="BGB46" s="25" t="s">
        <v>8250</v>
      </c>
      <c r="BGC46" s="25" t="s">
        <v>13593</v>
      </c>
      <c r="BGD46" s="25" t="s">
        <v>13593</v>
      </c>
      <c r="BGE46" s="25" t="s">
        <v>28</v>
      </c>
      <c r="BGF46" s="25" t="s">
        <v>13593</v>
      </c>
      <c r="BGG46" s="25" t="s">
        <v>13593</v>
      </c>
      <c r="BGJ46" s="25" t="s">
        <v>13810</v>
      </c>
      <c r="BGK46" s="25" t="s">
        <v>13810</v>
      </c>
      <c r="BGL46" s="25" t="s">
        <v>13810</v>
      </c>
      <c r="BGM46" s="25" t="s">
        <v>13810</v>
      </c>
      <c r="BGN46" s="25" t="s">
        <v>13810</v>
      </c>
      <c r="BGO46" s="25" t="s">
        <v>13810</v>
      </c>
      <c r="BGP46" s="25" t="s">
        <v>631</v>
      </c>
      <c r="BGQ46" s="25" t="s">
        <v>631</v>
      </c>
      <c r="BGR46" s="25" t="s">
        <v>631</v>
      </c>
      <c r="BGS46" s="25" t="s">
        <v>631</v>
      </c>
      <c r="BGT46" s="25" t="s">
        <v>8253</v>
      </c>
      <c r="BGU46" s="25" t="s">
        <v>8253</v>
      </c>
      <c r="BGV46" s="25" t="s">
        <v>8253</v>
      </c>
      <c r="BGW46" s="25" t="s">
        <v>8262</v>
      </c>
      <c r="BHD46" s="56">
        <v>10</v>
      </c>
      <c r="BHH46" s="56">
        <v>30</v>
      </c>
      <c r="BHL46" s="56">
        <v>50</v>
      </c>
      <c r="BIZ46" s="26">
        <v>0.11</v>
      </c>
      <c r="BJA46" s="26">
        <v>0.33</v>
      </c>
      <c r="BJB46" s="26">
        <v>0.56000000000000005</v>
      </c>
      <c r="BJG46" s="56">
        <v>10</v>
      </c>
      <c r="BJH46" s="56">
        <v>10</v>
      </c>
      <c r="BJI46" s="56">
        <v>30</v>
      </c>
      <c r="BJJ46" s="56">
        <v>30</v>
      </c>
      <c r="BJK46" s="56">
        <v>50</v>
      </c>
      <c r="BJL46" s="56">
        <v>50</v>
      </c>
      <c r="BKP46" s="26">
        <v>0.11</v>
      </c>
      <c r="BKQ46" s="26">
        <v>0.33</v>
      </c>
      <c r="BKR46" s="26">
        <v>0.55000000000000004</v>
      </c>
      <c r="BKW46" s="56">
        <v>10</v>
      </c>
      <c r="BKX46" s="56">
        <v>10</v>
      </c>
      <c r="BKY46" s="56">
        <v>30</v>
      </c>
      <c r="BKZ46" s="56">
        <v>30</v>
      </c>
      <c r="BLA46" s="56">
        <v>50</v>
      </c>
      <c r="BLB46" s="56">
        <v>50</v>
      </c>
      <c r="BLK46" s="25" t="s">
        <v>8255</v>
      </c>
      <c r="BLL46" s="25" t="s">
        <v>8256</v>
      </c>
      <c r="BLM46" s="25" t="s">
        <v>8263</v>
      </c>
      <c r="BLN46" s="25">
        <v>0</v>
      </c>
      <c r="BLQ46" s="25"/>
      <c r="BLR46" s="25"/>
      <c r="BLS46" s="25"/>
      <c r="BLT46" s="25"/>
      <c r="BLU46" s="25"/>
      <c r="BLV46" s="25"/>
      <c r="BLX46" s="25"/>
      <c r="BLY46" s="25"/>
      <c r="BLZ46" s="25"/>
      <c r="BMA46" s="25"/>
      <c r="BPI46" s="25"/>
      <c r="BPJ46" s="25"/>
      <c r="BPK46" s="25"/>
      <c r="BPL46" s="25"/>
      <c r="BPM46" s="25"/>
      <c r="BPN46" s="25"/>
      <c r="BPO46" s="25"/>
      <c r="BPW46" s="25"/>
      <c r="BPX46" s="25"/>
      <c r="BPY46" s="25"/>
      <c r="BPZ46" s="25"/>
      <c r="BQA46" s="25"/>
      <c r="BQB46" s="25"/>
      <c r="BQC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TA46" s="25"/>
      <c r="BTB46" s="25"/>
      <c r="BTC46" s="25"/>
      <c r="BTD46" s="25"/>
      <c r="BTE46" s="25"/>
      <c r="BTF46" s="25"/>
      <c r="BTG46" s="25"/>
      <c r="BTH46" s="25"/>
      <c r="BTI46" s="25"/>
      <c r="BTJ46" s="25"/>
      <c r="BTK46" s="25"/>
      <c r="BTL46" s="25"/>
      <c r="BTM46" s="25"/>
      <c r="BTN46" s="25"/>
      <c r="BUQ46" s="25"/>
      <c r="BUR46" s="25"/>
      <c r="BUS46" s="25"/>
      <c r="BUT46" s="25"/>
      <c r="BUU46" s="25"/>
      <c r="BUV46" s="25"/>
      <c r="BUW46" s="25"/>
      <c r="BUX46" s="25"/>
      <c r="BUY46" s="25"/>
      <c r="BUZ46" s="25"/>
      <c r="BVA46" s="25"/>
      <c r="BVB46" s="25"/>
      <c r="BVC46" s="25"/>
      <c r="BVD46" s="25"/>
      <c r="BWC46" s="25" t="s">
        <v>28</v>
      </c>
      <c r="BWD46" s="25" t="s">
        <v>8265</v>
      </c>
      <c r="BWE46" s="25" t="s">
        <v>8779</v>
      </c>
      <c r="BWF46" s="25" t="s">
        <v>13711</v>
      </c>
      <c r="BWG46" s="25" t="s">
        <v>28</v>
      </c>
      <c r="BWH46" s="25" t="s">
        <v>2169</v>
      </c>
      <c r="BWI46" s="25" t="s">
        <v>28</v>
      </c>
      <c r="BWJ46" s="25" t="s">
        <v>8267</v>
      </c>
      <c r="BWK46" s="25" t="s">
        <v>28</v>
      </c>
      <c r="BWL46" s="56">
        <v>2500</v>
      </c>
      <c r="BWM46" s="25" t="s">
        <v>28</v>
      </c>
      <c r="BWN46" s="56">
        <v>2500</v>
      </c>
      <c r="BWO46" s="25" t="s">
        <v>25</v>
      </c>
      <c r="BWQ46" s="25" t="s">
        <v>28</v>
      </c>
      <c r="BWR46" s="25" t="s">
        <v>25</v>
      </c>
      <c r="BWT46" s="25" t="s">
        <v>25</v>
      </c>
      <c r="BWV46" s="25" t="s">
        <v>25</v>
      </c>
      <c r="BWX46" s="25" t="s">
        <v>28</v>
      </c>
      <c r="BWY46" s="25" t="s">
        <v>8683</v>
      </c>
      <c r="BWZ46" s="25" t="s">
        <v>25</v>
      </c>
      <c r="BXB46" s="25" t="s">
        <v>28</v>
      </c>
      <c r="BXC46" s="56">
        <v>20</v>
      </c>
      <c r="BXD46" s="25" t="s">
        <v>28</v>
      </c>
      <c r="BXE46" s="25" t="s">
        <v>8780</v>
      </c>
      <c r="BXF46" s="25" t="s">
        <v>25</v>
      </c>
      <c r="BXH46" s="25" t="s">
        <v>28</v>
      </c>
      <c r="BXI46" s="56">
        <v>20</v>
      </c>
      <c r="BXJ46" s="25" t="s">
        <v>25</v>
      </c>
      <c r="BYD46" s="25" t="s">
        <v>28</v>
      </c>
      <c r="BYR46" s="25" t="s">
        <v>28</v>
      </c>
      <c r="BYS46" s="25" t="s">
        <v>8279</v>
      </c>
      <c r="BYT46" s="25" t="s">
        <v>732</v>
      </c>
      <c r="BYU46" s="25" t="s">
        <v>732</v>
      </c>
      <c r="BYV46" s="25" t="s">
        <v>25</v>
      </c>
      <c r="BYW46" s="25" t="s">
        <v>28</v>
      </c>
      <c r="BYX46" s="56">
        <v>600</v>
      </c>
      <c r="BYY46" s="56">
        <v>1200</v>
      </c>
      <c r="BYZ46" s="25" t="s">
        <v>8408</v>
      </c>
      <c r="BZB46" s="25" t="s">
        <v>256</v>
      </c>
      <c r="BZC46" s="25" t="s">
        <v>8282</v>
      </c>
      <c r="BZD46" s="25" t="s">
        <v>28</v>
      </c>
      <c r="BZE46" s="25" t="s">
        <v>28</v>
      </c>
      <c r="BZF46" s="25" t="s">
        <v>28</v>
      </c>
      <c r="BZG46" s="25" t="s">
        <v>25</v>
      </c>
      <c r="BZJ46" s="25" t="s">
        <v>25</v>
      </c>
      <c r="BZM46" s="25" t="s">
        <v>28</v>
      </c>
      <c r="BZN46" s="25" t="s">
        <v>8283</v>
      </c>
      <c r="BZP46" s="25" t="s">
        <v>8366</v>
      </c>
      <c r="BZQ46" s="56">
        <v>1000</v>
      </c>
      <c r="BZR46" s="25" t="s">
        <v>28</v>
      </c>
      <c r="BZS46" s="25" t="s">
        <v>25</v>
      </c>
      <c r="BZT46" s="25" t="s">
        <v>8285</v>
      </c>
      <c r="BZV46" s="25" t="s">
        <v>13652</v>
      </c>
      <c r="BZX46" s="25" t="s">
        <v>8484</v>
      </c>
      <c r="BZZ46" s="25" t="s">
        <v>28</v>
      </c>
      <c r="CAA46" s="25" t="s">
        <v>256</v>
      </c>
      <c r="CAB46" s="25" t="s">
        <v>25</v>
      </c>
      <c r="CAC46" s="25" t="s">
        <v>28</v>
      </c>
      <c r="CAD46" s="25" t="s">
        <v>8288</v>
      </c>
      <c r="CAE46" s="25" t="s">
        <v>28</v>
      </c>
      <c r="CAF46" s="25" t="s">
        <v>8289</v>
      </c>
      <c r="CAG46" s="25" t="s">
        <v>25</v>
      </c>
      <c r="CAH46" s="25" t="s">
        <v>631</v>
      </c>
      <c r="CAI46" s="25" t="s">
        <v>631</v>
      </c>
      <c r="CAK46" s="25" t="s">
        <v>8290</v>
      </c>
      <c r="CAL46" s="25" t="s">
        <v>631</v>
      </c>
      <c r="CAM46" s="25" t="s">
        <v>8290</v>
      </c>
      <c r="CAN46" s="25" t="s">
        <v>631</v>
      </c>
      <c r="CAO46" s="25" t="s">
        <v>8290</v>
      </c>
      <c r="CAP46" s="25" t="s">
        <v>8290</v>
      </c>
      <c r="CAQ46" s="25" t="s">
        <v>8290</v>
      </c>
      <c r="CAR46" s="25" t="s">
        <v>8291</v>
      </c>
      <c r="CAT46" s="25" t="s">
        <v>25</v>
      </c>
      <c r="CAV46" s="25" t="s">
        <v>8471</v>
      </c>
      <c r="CAW46" s="25" t="s">
        <v>8341</v>
      </c>
      <c r="CBB46" s="25">
        <v>1</v>
      </c>
      <c r="CBC46" s="25">
        <v>0</v>
      </c>
      <c r="CBD46" s="25">
        <v>0</v>
      </c>
      <c r="CBI46" s="56">
        <v>2000</v>
      </c>
      <c r="CBJ46" s="56">
        <v>2000</v>
      </c>
      <c r="CBK46" s="56">
        <v>2000</v>
      </c>
      <c r="CBL46" s="56">
        <v>2000</v>
      </c>
      <c r="CBM46" s="26">
        <v>0</v>
      </c>
      <c r="CBN46" s="26">
        <v>0</v>
      </c>
      <c r="CBO46" s="26">
        <v>0</v>
      </c>
      <c r="CBP46" s="26">
        <v>0.2</v>
      </c>
      <c r="CBQ46" s="26">
        <v>0.2</v>
      </c>
      <c r="CBR46" s="26">
        <v>0.5</v>
      </c>
      <c r="CBS46" s="26">
        <v>0.6</v>
      </c>
      <c r="CBT46" s="26">
        <v>0.6</v>
      </c>
      <c r="CBU46" s="27" t="s">
        <v>25</v>
      </c>
      <c r="CBV46" s="27" t="s">
        <v>8369</v>
      </c>
      <c r="CBW46" s="27" t="s">
        <v>8294</v>
      </c>
      <c r="CBX46" s="27" t="s">
        <v>8781</v>
      </c>
      <c r="CBY46" s="27" t="s">
        <v>8296</v>
      </c>
      <c r="CCA46" s="27" t="s">
        <v>29</v>
      </c>
      <c r="CCB46" s="27" t="s">
        <v>8298</v>
      </c>
      <c r="CCC46" s="27" t="s">
        <v>8296</v>
      </c>
      <c r="CCD46" s="27" t="s">
        <v>8297</v>
      </c>
      <c r="CCF46" s="27" t="s">
        <v>29</v>
      </c>
      <c r="CCG46" s="27" t="s">
        <v>29</v>
      </c>
      <c r="CCH46" s="27" t="s">
        <v>29</v>
      </c>
      <c r="CCI46" s="27" t="s">
        <v>8298</v>
      </c>
      <c r="CCJ46" s="27" t="s">
        <v>29</v>
      </c>
      <c r="CCK46" s="27" t="s">
        <v>29</v>
      </c>
      <c r="CCL46" s="27" t="s">
        <v>8297</v>
      </c>
      <c r="CCN46" s="27" t="s">
        <v>8296</v>
      </c>
      <c r="CCO46" s="27" t="s">
        <v>8300</v>
      </c>
      <c r="CCP46" s="27" t="s">
        <v>8296</v>
      </c>
      <c r="CCQ46" s="27" t="s">
        <v>8296</v>
      </c>
      <c r="CCR46" s="27" t="s">
        <v>8296</v>
      </c>
      <c r="CCT46" s="27" t="s">
        <v>8296</v>
      </c>
      <c r="CCU46" s="27" t="s">
        <v>8298</v>
      </c>
      <c r="CCV46" s="27" t="s">
        <v>29</v>
      </c>
      <c r="CCW46" s="27" t="s">
        <v>8298</v>
      </c>
      <c r="CCX46" s="27" t="s">
        <v>8296</v>
      </c>
      <c r="CCY46" s="27" t="s">
        <v>8296</v>
      </c>
      <c r="CCZ46" s="27" t="s">
        <v>28</v>
      </c>
      <c r="CDB46" s="27" t="s">
        <v>28</v>
      </c>
      <c r="CDC46" s="27" t="s">
        <v>28</v>
      </c>
      <c r="CDD46" s="27" t="s">
        <v>28</v>
      </c>
      <c r="CDE46" s="27" t="s">
        <v>28</v>
      </c>
      <c r="CDG46" s="27" t="s">
        <v>28</v>
      </c>
      <c r="CDH46" s="27" t="s">
        <v>28</v>
      </c>
      <c r="CDI46" s="27" t="s">
        <v>28</v>
      </c>
      <c r="CDJ46" s="27" t="s">
        <v>28</v>
      </c>
      <c r="CDK46" s="27" t="s">
        <v>28</v>
      </c>
      <c r="CDL46" s="27" t="s">
        <v>28</v>
      </c>
      <c r="CDM46" s="27" t="s">
        <v>28</v>
      </c>
      <c r="CDO46" s="27" t="s">
        <v>28</v>
      </c>
      <c r="CDP46" s="27" t="s">
        <v>25</v>
      </c>
      <c r="CDQ46" s="27" t="s">
        <v>28</v>
      </c>
      <c r="CDR46" s="27" t="s">
        <v>28</v>
      </c>
      <c r="CDS46" s="27" t="s">
        <v>28</v>
      </c>
      <c r="CDU46" s="27" t="s">
        <v>28</v>
      </c>
      <c r="CDV46" s="27" t="s">
        <v>28</v>
      </c>
      <c r="CDW46" s="27" t="s">
        <v>28</v>
      </c>
      <c r="CDX46" s="27" t="s">
        <v>28</v>
      </c>
      <c r="CDY46" s="27" t="s">
        <v>28</v>
      </c>
      <c r="CDZ46" s="27" t="s">
        <v>28</v>
      </c>
      <c r="CEA46" s="27" t="s">
        <v>2673</v>
      </c>
      <c r="CEC46" s="27" t="s">
        <v>29</v>
      </c>
      <c r="CED46" s="27" t="s">
        <v>8420</v>
      </c>
      <c r="CEE46" s="27" t="s">
        <v>2673</v>
      </c>
      <c r="CEF46" s="27" t="s">
        <v>29</v>
      </c>
      <c r="CEH46" s="27" t="s">
        <v>29</v>
      </c>
      <c r="CEI46" s="27" t="s">
        <v>29</v>
      </c>
      <c r="CEJ46" s="27" t="s">
        <v>29</v>
      </c>
      <c r="CEK46" s="27" t="s">
        <v>8420</v>
      </c>
      <c r="CEL46" s="27" t="s">
        <v>29</v>
      </c>
      <c r="CEM46" s="27" t="s">
        <v>29</v>
      </c>
      <c r="CEN46" s="27" t="s">
        <v>29</v>
      </c>
      <c r="CEP46" s="27" t="s">
        <v>29</v>
      </c>
      <c r="CEQ46" s="27" t="s">
        <v>8304</v>
      </c>
      <c r="CER46" s="27" t="s">
        <v>29</v>
      </c>
      <c r="CES46" s="27" t="s">
        <v>29</v>
      </c>
      <c r="CET46" s="27" t="s">
        <v>29</v>
      </c>
      <c r="CEV46" s="27" t="s">
        <v>29</v>
      </c>
      <c r="CEW46" s="27" t="s">
        <v>29</v>
      </c>
      <c r="CEX46" s="27" t="s">
        <v>29</v>
      </c>
      <c r="CEY46" s="27" t="s">
        <v>29</v>
      </c>
      <c r="CEZ46" s="27" t="s">
        <v>29</v>
      </c>
      <c r="CFA46" s="27" t="s">
        <v>29</v>
      </c>
      <c r="CFB46" s="27" t="s">
        <v>25</v>
      </c>
      <c r="CFD46" s="27" t="s">
        <v>25</v>
      </c>
      <c r="CFE46" s="27" t="s">
        <v>25</v>
      </c>
      <c r="CFF46" s="27" t="s">
        <v>25</v>
      </c>
      <c r="CFG46" s="27" t="s">
        <v>25</v>
      </c>
      <c r="CFI46" s="27" t="s">
        <v>25</v>
      </c>
      <c r="CFJ46" s="27" t="s">
        <v>25</v>
      </c>
      <c r="CFK46" s="27" t="s">
        <v>25</v>
      </c>
      <c r="CFL46" s="27" t="s">
        <v>25</v>
      </c>
      <c r="CFM46" s="27" t="s">
        <v>25</v>
      </c>
      <c r="CFN46" s="27" t="s">
        <v>25</v>
      </c>
      <c r="CFO46" s="27" t="s">
        <v>25</v>
      </c>
      <c r="CFQ46" s="27" t="s">
        <v>25</v>
      </c>
      <c r="CFR46" s="27" t="s">
        <v>25</v>
      </c>
      <c r="CFS46" s="27" t="s">
        <v>25</v>
      </c>
      <c r="CFT46" s="27" t="s">
        <v>25</v>
      </c>
      <c r="CFU46" s="27" t="s">
        <v>25</v>
      </c>
      <c r="CFW46" s="27" t="s">
        <v>25</v>
      </c>
      <c r="CFX46" s="27" t="s">
        <v>25</v>
      </c>
      <c r="CFY46" s="27" t="s">
        <v>25</v>
      </c>
      <c r="CFZ46" s="27" t="s">
        <v>25</v>
      </c>
      <c r="CGA46" s="27" t="s">
        <v>25</v>
      </c>
      <c r="CGB46" s="27" t="s">
        <v>25</v>
      </c>
      <c r="CPW46" s="27">
        <v>1</v>
      </c>
      <c r="CPX46" s="56">
        <v>0</v>
      </c>
      <c r="CPY46" s="26">
        <v>0</v>
      </c>
      <c r="CPZ46" s="56">
        <v>0</v>
      </c>
      <c r="CQB46" s="25" t="s">
        <v>8372</v>
      </c>
      <c r="CQC46" s="25" t="s">
        <v>8372</v>
      </c>
      <c r="CQD46" s="25" t="s">
        <v>8372</v>
      </c>
      <c r="CQE46" s="25" t="s">
        <v>8372</v>
      </c>
      <c r="CQF46" s="25" t="s">
        <v>8372</v>
      </c>
      <c r="CQG46" s="56">
        <v>100</v>
      </c>
      <c r="CQH46" s="56">
        <v>100</v>
      </c>
      <c r="CQI46" s="56">
        <v>300</v>
      </c>
      <c r="CQJ46" s="56">
        <v>300</v>
      </c>
      <c r="CQK46" s="56">
        <v>100</v>
      </c>
      <c r="CQL46" s="25" t="s">
        <v>13687</v>
      </c>
      <c r="CQM46" s="25" t="s">
        <v>8308</v>
      </c>
      <c r="CQN46" s="25" t="s">
        <v>28</v>
      </c>
      <c r="CQO46" s="25" t="s">
        <v>8309</v>
      </c>
      <c r="CQQ46" s="25" t="s">
        <v>8782</v>
      </c>
      <c r="CQR46" s="25" t="s">
        <v>8783</v>
      </c>
      <c r="CQS46" s="25" t="s">
        <v>25</v>
      </c>
      <c r="CQT46" s="25" t="s">
        <v>8313</v>
      </c>
      <c r="CQU46" s="25" t="s">
        <v>8313</v>
      </c>
      <c r="CQV46" s="25" t="s">
        <v>8313</v>
      </c>
      <c r="CQW46" s="25" t="s">
        <v>8313</v>
      </c>
      <c r="CQX46" s="25" t="s">
        <v>8313</v>
      </c>
      <c r="CQY46" s="25" t="s">
        <v>8313</v>
      </c>
      <c r="CQZ46" s="25" t="s">
        <v>8312</v>
      </c>
      <c r="CRA46" s="25" t="s">
        <v>8314</v>
      </c>
      <c r="CRB46" s="25" t="s">
        <v>8314</v>
      </c>
      <c r="CRC46" s="25" t="s">
        <v>8312</v>
      </c>
      <c r="CRD46" s="25" t="s">
        <v>8312</v>
      </c>
      <c r="CRE46" s="27" t="s">
        <v>8314</v>
      </c>
    </row>
    <row r="47" spans="1:2048 2050:2501" ht="89.25" x14ac:dyDescent="0.2">
      <c r="A47" s="21" t="s">
        <v>164</v>
      </c>
      <c r="B47" s="26">
        <v>0.71</v>
      </c>
      <c r="C47" s="26">
        <v>0</v>
      </c>
      <c r="D47" s="26">
        <v>0.14000000000000001</v>
      </c>
      <c r="E47" s="26">
        <v>0.13</v>
      </c>
      <c r="F47" s="26">
        <v>0</v>
      </c>
      <c r="G47" s="26">
        <v>0</v>
      </c>
      <c r="H47" s="26">
        <v>0</v>
      </c>
      <c r="I47" s="26">
        <v>0</v>
      </c>
      <c r="J47" s="26">
        <v>0</v>
      </c>
      <c r="K47" s="26">
        <v>0</v>
      </c>
      <c r="L47" s="26">
        <v>0</v>
      </c>
      <c r="M47" s="26">
        <v>0.02</v>
      </c>
      <c r="N47" s="26">
        <v>0</v>
      </c>
      <c r="O47" s="26">
        <v>0</v>
      </c>
      <c r="P47" s="26">
        <v>0</v>
      </c>
      <c r="Q47" s="26">
        <v>0</v>
      </c>
      <c r="R47" s="26">
        <v>0</v>
      </c>
      <c r="S47" s="26">
        <v>0</v>
      </c>
      <c r="T47" s="26">
        <v>0</v>
      </c>
      <c r="U47" s="26">
        <v>0</v>
      </c>
      <c r="V47" s="26">
        <v>0</v>
      </c>
      <c r="W47" s="26">
        <v>0</v>
      </c>
      <c r="X47" s="26">
        <v>0</v>
      </c>
      <c r="Y47" s="26">
        <v>1</v>
      </c>
      <c r="Z47" s="25">
        <v>1</v>
      </c>
      <c r="AA47" s="25" t="s">
        <v>8864</v>
      </c>
      <c r="AC47" s="56">
        <v>1250</v>
      </c>
      <c r="AD47" s="56">
        <v>3750</v>
      </c>
      <c r="AE47" s="56">
        <v>2500</v>
      </c>
      <c r="AF47" s="56">
        <v>7500</v>
      </c>
      <c r="AI47" s="25" t="s">
        <v>13411</v>
      </c>
      <c r="AJ47" s="56">
        <v>0</v>
      </c>
      <c r="AK47" s="56">
        <v>0</v>
      </c>
      <c r="AL47" s="56">
        <v>250</v>
      </c>
      <c r="AM47" s="56">
        <v>750</v>
      </c>
      <c r="AN47" s="25" t="s">
        <v>8247</v>
      </c>
      <c r="BK47" s="25" t="s">
        <v>8249</v>
      </c>
      <c r="BL47" s="25" t="s">
        <v>8249</v>
      </c>
      <c r="CX47" s="56">
        <v>50</v>
      </c>
      <c r="CY47" s="56">
        <v>50</v>
      </c>
      <c r="DK47" s="56">
        <v>50</v>
      </c>
      <c r="DL47" s="56">
        <v>50</v>
      </c>
      <c r="DO47" s="25" t="s">
        <v>25</v>
      </c>
      <c r="DP47" s="25" t="s">
        <v>25</v>
      </c>
      <c r="DR47" s="25" t="s">
        <v>25</v>
      </c>
      <c r="DT47" s="25" t="s">
        <v>13417</v>
      </c>
      <c r="DU47" s="25" t="s">
        <v>13420</v>
      </c>
      <c r="DV47" s="56">
        <v>20</v>
      </c>
      <c r="DW47" s="56">
        <v>35</v>
      </c>
      <c r="DX47" s="56">
        <v>0</v>
      </c>
      <c r="DY47" s="56">
        <v>100</v>
      </c>
      <c r="DZ47" s="56">
        <v>35</v>
      </c>
      <c r="EA47" s="56">
        <v>20</v>
      </c>
      <c r="EM47" s="56">
        <v>100</v>
      </c>
      <c r="EN47" s="56">
        <v>35</v>
      </c>
      <c r="EQ47" s="26">
        <v>0.25</v>
      </c>
      <c r="ER47" s="26">
        <v>0.25</v>
      </c>
      <c r="ES47" s="26">
        <v>0.25</v>
      </c>
      <c r="EX47" s="25" t="s">
        <v>8250</v>
      </c>
      <c r="EY47" s="25" t="s">
        <v>8250</v>
      </c>
      <c r="EZ47" s="25" t="s">
        <v>8250</v>
      </c>
      <c r="FA47" s="25" t="s">
        <v>8250</v>
      </c>
      <c r="FB47" s="25" t="s">
        <v>8250</v>
      </c>
      <c r="FC47" s="25" t="s">
        <v>8250</v>
      </c>
      <c r="FL47" s="25" t="s">
        <v>13810</v>
      </c>
      <c r="FM47" s="25" t="s">
        <v>13810</v>
      </c>
      <c r="FN47" s="25" t="s">
        <v>13810</v>
      </c>
      <c r="FO47" s="25" t="s">
        <v>13810</v>
      </c>
      <c r="FV47" s="25" t="s">
        <v>8253</v>
      </c>
      <c r="FW47" s="25" t="s">
        <v>13435</v>
      </c>
      <c r="FX47" s="25" t="s">
        <v>13435</v>
      </c>
      <c r="FY47" s="25" t="s">
        <v>13435</v>
      </c>
      <c r="GE47" s="56">
        <v>10</v>
      </c>
      <c r="GG47" s="56">
        <v>10</v>
      </c>
      <c r="GI47" s="56">
        <v>20</v>
      </c>
      <c r="GK47" s="56">
        <v>20</v>
      </c>
      <c r="GM47" s="56">
        <v>35</v>
      </c>
      <c r="GO47" s="56">
        <v>35</v>
      </c>
      <c r="IB47" s="26">
        <v>0.25</v>
      </c>
      <c r="IC47" s="26">
        <v>0.25</v>
      </c>
      <c r="ID47" s="26">
        <v>0.25</v>
      </c>
      <c r="KM47" s="25" t="s">
        <v>8352</v>
      </c>
      <c r="KN47" s="25" t="s">
        <v>8256</v>
      </c>
      <c r="KO47" s="25" t="s">
        <v>8508</v>
      </c>
      <c r="KP47" s="25">
        <v>1</v>
      </c>
      <c r="KQ47" s="25" t="s">
        <v>8865</v>
      </c>
      <c r="KS47" s="56">
        <v>4500</v>
      </c>
      <c r="KT47" s="56">
        <v>9000</v>
      </c>
      <c r="KU47" s="56">
        <v>9000</v>
      </c>
      <c r="KV47" s="56">
        <v>18000</v>
      </c>
      <c r="KY47" s="25" t="s">
        <v>13411</v>
      </c>
      <c r="KZ47" s="56">
        <v>1500</v>
      </c>
      <c r="LA47" s="56">
        <v>3000</v>
      </c>
      <c r="LB47" s="56">
        <v>3000</v>
      </c>
      <c r="LC47" s="56">
        <v>6000</v>
      </c>
      <c r="LD47" s="25" t="s">
        <v>8247</v>
      </c>
      <c r="LE47" s="25" t="s">
        <v>8248</v>
      </c>
      <c r="LR47" s="25" t="s">
        <v>8249</v>
      </c>
      <c r="OE47" s="25" t="s">
        <v>25</v>
      </c>
      <c r="OF47" s="25" t="s">
        <v>25</v>
      </c>
      <c r="OH47" s="25" t="s">
        <v>25</v>
      </c>
      <c r="OJ47" s="25" t="s">
        <v>13416</v>
      </c>
      <c r="OK47" s="25" t="s">
        <v>13420</v>
      </c>
      <c r="OS47" s="26">
        <v>0.2</v>
      </c>
      <c r="OT47" s="26">
        <v>0.2</v>
      </c>
      <c r="OU47" s="26">
        <v>0.2</v>
      </c>
      <c r="OV47" s="26">
        <v>0.2</v>
      </c>
      <c r="OW47" s="26">
        <v>0.2</v>
      </c>
      <c r="OX47" s="26">
        <v>0.2</v>
      </c>
      <c r="PG47" s="26">
        <v>0.4</v>
      </c>
      <c r="PH47" s="26">
        <v>0.4</v>
      </c>
      <c r="PI47" s="26">
        <v>0.4</v>
      </c>
      <c r="PJ47" s="26">
        <v>0.4</v>
      </c>
      <c r="PK47" s="26">
        <v>0.4</v>
      </c>
      <c r="PN47" s="25" t="s">
        <v>8250</v>
      </c>
      <c r="PO47" s="25" t="s">
        <v>8250</v>
      </c>
      <c r="PP47" s="25" t="s">
        <v>8250</v>
      </c>
      <c r="PQ47" s="25" t="s">
        <v>8250</v>
      </c>
      <c r="PR47" s="25" t="s">
        <v>8250</v>
      </c>
      <c r="PS47" s="25" t="s">
        <v>8250</v>
      </c>
      <c r="QB47" s="25" t="s">
        <v>13810</v>
      </c>
      <c r="QC47" s="25" t="s">
        <v>8252</v>
      </c>
      <c r="QD47" s="25" t="s">
        <v>13810</v>
      </c>
      <c r="QE47" s="25" t="s">
        <v>13810</v>
      </c>
      <c r="QL47" s="25" t="s">
        <v>8620</v>
      </c>
      <c r="QM47" s="25" t="s">
        <v>13435</v>
      </c>
      <c r="QN47" s="25" t="s">
        <v>13435</v>
      </c>
      <c r="QO47" s="25" t="s">
        <v>13435</v>
      </c>
      <c r="QU47" s="56">
        <v>10</v>
      </c>
      <c r="QW47" s="56">
        <v>10</v>
      </c>
      <c r="QY47" s="56">
        <v>20</v>
      </c>
      <c r="RA47" s="56">
        <v>20</v>
      </c>
      <c r="RC47" s="56">
        <v>30</v>
      </c>
      <c r="RE47" s="56">
        <v>30</v>
      </c>
      <c r="VD47" s="25" t="s">
        <v>8256</v>
      </c>
      <c r="VE47" s="25" t="s">
        <v>8508</v>
      </c>
      <c r="VF47" s="25">
        <v>0</v>
      </c>
      <c r="VI47" s="25"/>
      <c r="VJ47" s="25"/>
      <c r="VK47" s="25"/>
      <c r="VL47" s="25"/>
      <c r="VM47" s="25"/>
      <c r="VN47" s="25"/>
      <c r="VP47" s="25"/>
      <c r="VQ47" s="25"/>
      <c r="VR47" s="25"/>
      <c r="VS47" s="25"/>
      <c r="ZA47" s="25"/>
      <c r="ZB47" s="25"/>
      <c r="ZC47" s="25"/>
      <c r="ZD47" s="25"/>
      <c r="ZE47" s="25"/>
      <c r="ZF47" s="25"/>
      <c r="ZG47" s="25"/>
      <c r="ZO47" s="25"/>
      <c r="ZP47" s="25"/>
      <c r="ZQ47" s="25"/>
      <c r="ZR47" s="25"/>
      <c r="ZS47" s="25"/>
      <c r="ZT47" s="25"/>
      <c r="ZU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S47" s="25"/>
      <c r="ACT47" s="25"/>
      <c r="ACU47" s="25"/>
      <c r="ACV47" s="25"/>
      <c r="ACW47" s="25"/>
      <c r="ACX47" s="25"/>
      <c r="ACY47" s="25"/>
      <c r="ACZ47" s="25"/>
      <c r="ADA47" s="25"/>
      <c r="ADB47" s="25"/>
      <c r="ADC47" s="25"/>
      <c r="ADD47" s="25"/>
      <c r="ADE47" s="25"/>
      <c r="ADF47" s="25"/>
      <c r="ADN47" s="25"/>
      <c r="ADO47" s="25"/>
      <c r="ADP47" s="25"/>
      <c r="ADQ47" s="25"/>
      <c r="ADR47" s="25"/>
      <c r="ADS47" s="25"/>
      <c r="ADT47" s="25"/>
      <c r="ADU47" s="25"/>
      <c r="ADV47" s="25"/>
      <c r="ADW47" s="25"/>
      <c r="ADX47" s="25"/>
      <c r="ADY47" s="25"/>
      <c r="ADZ47" s="25"/>
      <c r="AEA47" s="25"/>
      <c r="AEI47" s="25"/>
      <c r="AEJ47" s="25"/>
      <c r="AEK47" s="25"/>
      <c r="AEL47" s="25"/>
      <c r="AEM47" s="25"/>
      <c r="AEN47" s="25"/>
      <c r="AEO47" s="25"/>
      <c r="AEP47" s="25"/>
      <c r="AEQ47" s="25"/>
      <c r="AER47" s="25"/>
      <c r="AES47" s="25"/>
      <c r="AET47" s="25"/>
      <c r="AEU47" s="25"/>
      <c r="AEV47" s="25"/>
      <c r="AFD47" s="25"/>
      <c r="AFE47" s="25"/>
      <c r="AFF47" s="25"/>
      <c r="AFG47" s="25"/>
      <c r="AFH47" s="25"/>
      <c r="AFI47" s="25"/>
      <c r="AFJ47" s="25"/>
      <c r="AFK47" s="25"/>
      <c r="AFL47" s="25"/>
      <c r="AFM47" s="25"/>
      <c r="AFN47" s="25"/>
      <c r="AFO47" s="25"/>
      <c r="AFP47" s="25"/>
      <c r="AFQ47" s="25"/>
      <c r="AFU47" s="25">
        <v>0</v>
      </c>
      <c r="AFX47" s="25"/>
      <c r="AFY47" s="25"/>
      <c r="AFZ47" s="25"/>
      <c r="AGA47" s="25"/>
      <c r="AGB47" s="25"/>
      <c r="AGC47" s="25"/>
      <c r="AGE47" s="25"/>
      <c r="AGF47" s="25"/>
      <c r="AGG47" s="25"/>
      <c r="AGH47" s="25"/>
      <c r="AJP47" s="25"/>
      <c r="AJQ47" s="25"/>
      <c r="AJR47" s="25"/>
      <c r="AJS47" s="25"/>
      <c r="AJT47" s="25"/>
      <c r="AJU47" s="25"/>
      <c r="AJV47" s="25"/>
      <c r="AKD47" s="25"/>
      <c r="AKE47" s="25"/>
      <c r="AKF47" s="25"/>
      <c r="AKG47" s="25"/>
      <c r="AKH47" s="25"/>
      <c r="AKI47" s="25"/>
      <c r="AKJ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H47" s="25"/>
      <c r="ANI47" s="25"/>
      <c r="ANJ47" s="25"/>
      <c r="ANK47" s="25"/>
      <c r="ANL47" s="25"/>
      <c r="ANM47" s="25"/>
      <c r="ANN47" s="25"/>
      <c r="ANO47" s="25"/>
      <c r="ANP47" s="25"/>
      <c r="ANQ47" s="25"/>
      <c r="ANR47" s="25"/>
      <c r="ANS47" s="25"/>
      <c r="ANT47" s="25"/>
      <c r="ANU47" s="25"/>
      <c r="AOC47" s="25"/>
      <c r="AOD47" s="25"/>
      <c r="AOE47" s="25"/>
      <c r="AOF47" s="25"/>
      <c r="AOG47" s="25"/>
      <c r="AOH47" s="25"/>
      <c r="AOI47" s="25"/>
      <c r="AOJ47" s="25"/>
      <c r="AOK47" s="25"/>
      <c r="AOL47" s="25"/>
      <c r="AOM47" s="25"/>
      <c r="AON47" s="25"/>
      <c r="AOO47" s="25"/>
      <c r="AOP47" s="25"/>
      <c r="AOX47" s="25"/>
      <c r="AOY47" s="25"/>
      <c r="AOZ47" s="25"/>
      <c r="APA47" s="25"/>
      <c r="APB47" s="25"/>
      <c r="APC47" s="25"/>
      <c r="APD47" s="25"/>
      <c r="APE47" s="25"/>
      <c r="APF47" s="25"/>
      <c r="APG47" s="25"/>
      <c r="APH47" s="25"/>
      <c r="API47" s="25"/>
      <c r="APJ47" s="25"/>
      <c r="APK47" s="25"/>
      <c r="APS47" s="25"/>
      <c r="APT47" s="25"/>
      <c r="APU47" s="25"/>
      <c r="APV47" s="25"/>
      <c r="APW47" s="25"/>
      <c r="APX47" s="25"/>
      <c r="APY47" s="25"/>
      <c r="APZ47" s="25"/>
      <c r="AQA47" s="25"/>
      <c r="AQB47" s="25"/>
      <c r="AQC47" s="25"/>
      <c r="AQD47" s="25"/>
      <c r="AQE47" s="25"/>
      <c r="AQF47" s="25"/>
      <c r="AQJ47" s="25">
        <v>1</v>
      </c>
      <c r="AQK47" s="25" t="s">
        <v>8478</v>
      </c>
      <c r="AQM47" s="56">
        <v>1500</v>
      </c>
      <c r="AQN47" s="56">
        <v>3000</v>
      </c>
      <c r="AQS47" s="25" t="s">
        <v>13596</v>
      </c>
      <c r="AQT47" s="56">
        <v>0</v>
      </c>
      <c r="AQU47" s="56">
        <v>0</v>
      </c>
      <c r="AQX47" s="25" t="s">
        <v>8248</v>
      </c>
      <c r="ARK47" s="25" t="s">
        <v>8249</v>
      </c>
      <c r="ATX47" s="25" t="s">
        <v>25</v>
      </c>
      <c r="ATY47" s="25" t="s">
        <v>25</v>
      </c>
      <c r="AUA47" s="25" t="s">
        <v>25</v>
      </c>
      <c r="AUC47" s="25" t="s">
        <v>13417</v>
      </c>
      <c r="AUE47" s="56">
        <v>20</v>
      </c>
      <c r="AUF47" s="56">
        <v>20</v>
      </c>
      <c r="AUG47" s="56">
        <v>50</v>
      </c>
      <c r="AUH47" s="56">
        <v>100</v>
      </c>
      <c r="AUI47" s="56">
        <v>20</v>
      </c>
      <c r="AUJ47" s="56">
        <v>20</v>
      </c>
      <c r="AVG47" s="25" t="s">
        <v>8250</v>
      </c>
      <c r="AVH47" s="25" t="s">
        <v>8250</v>
      </c>
      <c r="AVI47" s="25" t="s">
        <v>8250</v>
      </c>
      <c r="AVJ47" s="25" t="s">
        <v>8250</v>
      </c>
      <c r="AVK47" s="25" t="s">
        <v>8250</v>
      </c>
      <c r="AVL47" s="25" t="s">
        <v>8250</v>
      </c>
      <c r="AVU47" s="25" t="s">
        <v>13810</v>
      </c>
      <c r="AVV47" s="25" t="s">
        <v>13810</v>
      </c>
      <c r="AVW47" s="25" t="s">
        <v>13810</v>
      </c>
      <c r="AVX47" s="25" t="s">
        <v>8252</v>
      </c>
      <c r="AWE47" s="25" t="s">
        <v>13435</v>
      </c>
      <c r="AWF47" s="25" t="s">
        <v>13435</v>
      </c>
      <c r="AWG47" s="25" t="s">
        <v>13435</v>
      </c>
      <c r="AWH47" s="25" t="s">
        <v>13435</v>
      </c>
      <c r="AWN47" s="56">
        <v>10</v>
      </c>
      <c r="AWP47" s="56">
        <v>20</v>
      </c>
      <c r="AWR47" s="56">
        <v>20</v>
      </c>
      <c r="AWT47" s="56">
        <v>40</v>
      </c>
      <c r="AWV47" s="56">
        <v>20</v>
      </c>
      <c r="AWX47" s="56">
        <v>40</v>
      </c>
      <c r="AWZ47" s="56">
        <v>20</v>
      </c>
      <c r="BAW47" s="25" t="s">
        <v>8256</v>
      </c>
      <c r="BAX47" s="25" t="s">
        <v>8508</v>
      </c>
      <c r="BAY47" s="25">
        <v>0</v>
      </c>
      <c r="BBB47" s="25"/>
      <c r="BBC47" s="25"/>
      <c r="BBD47" s="25"/>
      <c r="BBE47" s="25"/>
      <c r="BBF47" s="25"/>
      <c r="BBG47" s="25"/>
      <c r="BBI47" s="25"/>
      <c r="BBJ47" s="25"/>
      <c r="BBK47" s="25"/>
      <c r="BBL47" s="25"/>
      <c r="BET47" s="25"/>
      <c r="BEU47" s="25"/>
      <c r="BEV47" s="25"/>
      <c r="BEW47" s="25"/>
      <c r="BEX47" s="25"/>
      <c r="BEY47" s="25"/>
      <c r="BEZ47" s="25"/>
      <c r="BFH47" s="25"/>
      <c r="BFI47" s="25"/>
      <c r="BFJ47" s="25"/>
      <c r="BFK47" s="25"/>
      <c r="BFL47" s="25"/>
      <c r="BFM47" s="25"/>
      <c r="BFN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L47" s="25"/>
      <c r="BIM47" s="25"/>
      <c r="BIN47" s="25"/>
      <c r="BIO47" s="25"/>
      <c r="BIP47" s="25"/>
      <c r="BIQ47" s="25"/>
      <c r="BIR47" s="25"/>
      <c r="BIS47" s="25"/>
      <c r="BIT47" s="25"/>
      <c r="BIU47" s="25"/>
      <c r="BIV47" s="25"/>
      <c r="BIW47" s="25"/>
      <c r="BIX47" s="25"/>
      <c r="BIY47" s="25"/>
      <c r="BJG47" s="25"/>
      <c r="BJH47" s="25"/>
      <c r="BJI47" s="25"/>
      <c r="BJJ47" s="25"/>
      <c r="BJK47" s="25"/>
      <c r="BJL47" s="25"/>
      <c r="BJM47" s="25"/>
      <c r="BJN47" s="25"/>
      <c r="BJO47" s="25"/>
      <c r="BJP47" s="25"/>
      <c r="BJQ47" s="25"/>
      <c r="BJR47" s="25"/>
      <c r="BJS47" s="25"/>
      <c r="BJT47" s="25"/>
      <c r="BKB47" s="25"/>
      <c r="BKC47" s="25"/>
      <c r="BKD47" s="25"/>
      <c r="BKE47" s="25"/>
      <c r="BKF47" s="25"/>
      <c r="BKG47" s="25"/>
      <c r="BKH47" s="25"/>
      <c r="BKI47" s="25"/>
      <c r="BKJ47" s="25"/>
      <c r="BKK47" s="25"/>
      <c r="BKL47" s="25"/>
      <c r="BKM47" s="25"/>
      <c r="BKN47" s="25"/>
      <c r="BKO47" s="25"/>
      <c r="BKW47" s="25"/>
      <c r="BKX47" s="25"/>
      <c r="BKY47" s="25"/>
      <c r="BKZ47" s="25"/>
      <c r="BLA47" s="25"/>
      <c r="BLB47" s="25"/>
      <c r="BLC47" s="25"/>
      <c r="BLD47" s="25"/>
      <c r="BLE47" s="25"/>
      <c r="BLF47" s="25"/>
      <c r="BLG47" s="25"/>
      <c r="BLH47" s="25"/>
      <c r="BLI47" s="25"/>
      <c r="BLJ47" s="25"/>
      <c r="BLN47" s="25">
        <v>0</v>
      </c>
      <c r="BLQ47" s="25"/>
      <c r="BLR47" s="25"/>
      <c r="BLS47" s="25"/>
      <c r="BLT47" s="25"/>
      <c r="BLU47" s="25"/>
      <c r="BLV47" s="25"/>
      <c r="BLX47" s="25"/>
      <c r="BLY47" s="25"/>
      <c r="BLZ47" s="25"/>
      <c r="BMA47" s="25"/>
      <c r="BPI47" s="25"/>
      <c r="BPJ47" s="25"/>
      <c r="BPK47" s="25"/>
      <c r="BPL47" s="25"/>
      <c r="BPM47" s="25"/>
      <c r="BPN47" s="25"/>
      <c r="BPO47" s="25"/>
      <c r="BPW47" s="25"/>
      <c r="BPX47" s="25"/>
      <c r="BPY47" s="25"/>
      <c r="BPZ47" s="25"/>
      <c r="BQA47" s="25"/>
      <c r="BQB47" s="25"/>
      <c r="BQC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TA47" s="25"/>
      <c r="BTB47" s="25"/>
      <c r="BTC47" s="25"/>
      <c r="BTD47" s="25"/>
      <c r="BTE47" s="25"/>
      <c r="BTF47" s="25"/>
      <c r="BTG47" s="25"/>
      <c r="BTH47" s="25"/>
      <c r="BTI47" s="25"/>
      <c r="BTJ47" s="25"/>
      <c r="BTK47" s="25"/>
      <c r="BTL47" s="25"/>
      <c r="BTM47" s="25"/>
      <c r="BTN47" s="25"/>
      <c r="BUQ47" s="25"/>
      <c r="BUR47" s="25"/>
      <c r="BUS47" s="25"/>
      <c r="BUT47" s="25"/>
      <c r="BUU47" s="25"/>
      <c r="BUV47" s="25"/>
      <c r="BUW47" s="25"/>
      <c r="BUX47" s="25"/>
      <c r="BUY47" s="25"/>
      <c r="BUZ47" s="25"/>
      <c r="BVA47" s="25"/>
      <c r="BVB47" s="25"/>
      <c r="BVC47" s="25"/>
      <c r="BVD47" s="25"/>
      <c r="BWC47" s="25" t="s">
        <v>28</v>
      </c>
      <c r="BWD47" s="25" t="s">
        <v>8265</v>
      </c>
      <c r="BWE47" s="25" t="s">
        <v>8266</v>
      </c>
      <c r="BWF47" s="25" t="s">
        <v>13707</v>
      </c>
      <c r="BWG47" s="25" t="s">
        <v>25</v>
      </c>
      <c r="BWH47" s="25" t="s">
        <v>2169</v>
      </c>
      <c r="BWI47" s="25" t="s">
        <v>28</v>
      </c>
      <c r="BWJ47" s="25" t="s">
        <v>8866</v>
      </c>
      <c r="BWK47" s="25" t="s">
        <v>25</v>
      </c>
      <c r="BWM47" s="25" t="s">
        <v>28</v>
      </c>
      <c r="BWN47" s="56">
        <v>500</v>
      </c>
      <c r="BWO47" s="25" t="s">
        <v>25</v>
      </c>
      <c r="BWQ47" s="25" t="s">
        <v>25</v>
      </c>
      <c r="BWX47" s="25" t="s">
        <v>28</v>
      </c>
      <c r="BWY47" s="25" t="s">
        <v>8867</v>
      </c>
      <c r="BWZ47" s="25" t="s">
        <v>28</v>
      </c>
      <c r="BXA47" s="56">
        <v>25</v>
      </c>
      <c r="BXB47" s="25" t="s">
        <v>28</v>
      </c>
      <c r="BXC47" s="56">
        <v>25</v>
      </c>
      <c r="BXD47" s="25" t="s">
        <v>28</v>
      </c>
      <c r="BXE47" s="25" t="s">
        <v>8868</v>
      </c>
      <c r="BXF47" s="25" t="s">
        <v>25</v>
      </c>
      <c r="BXH47" s="25" t="s">
        <v>25</v>
      </c>
      <c r="BXJ47" s="25" t="s">
        <v>28</v>
      </c>
      <c r="BXK47" s="25" t="s">
        <v>8869</v>
      </c>
      <c r="BXL47" s="25" t="s">
        <v>13821</v>
      </c>
      <c r="BXM47" s="25" t="s">
        <v>2201</v>
      </c>
      <c r="BXN47" s="25" t="s">
        <v>8272</v>
      </c>
      <c r="BXO47" s="25" t="s">
        <v>8274</v>
      </c>
      <c r="BXP47" s="25" t="s">
        <v>8274</v>
      </c>
      <c r="BXQ47" s="25" t="s">
        <v>8274</v>
      </c>
      <c r="BXR47" s="25" t="s">
        <v>8273</v>
      </c>
      <c r="BXS47" s="25" t="s">
        <v>8274</v>
      </c>
      <c r="BXT47" s="25" t="s">
        <v>8792</v>
      </c>
      <c r="BXU47" s="25" t="s">
        <v>25</v>
      </c>
      <c r="BXW47" s="25" t="s">
        <v>28</v>
      </c>
      <c r="BXX47" s="25" t="s">
        <v>28</v>
      </c>
      <c r="BXY47" s="25" t="s">
        <v>28</v>
      </c>
      <c r="BXZ47" s="25" t="s">
        <v>25</v>
      </c>
      <c r="BYA47" s="25" t="s">
        <v>25</v>
      </c>
      <c r="BYB47" s="25" t="s">
        <v>25</v>
      </c>
      <c r="BYC47" s="25" t="s">
        <v>8276</v>
      </c>
      <c r="BYD47" s="25" t="s">
        <v>28</v>
      </c>
      <c r="BYE47" s="25" t="s">
        <v>13612</v>
      </c>
      <c r="BYH47" s="25" t="s">
        <v>8278</v>
      </c>
      <c r="BYK47" s="25" t="s">
        <v>28</v>
      </c>
      <c r="BYL47" s="25" t="s">
        <v>25</v>
      </c>
      <c r="BYN47" s="25" t="s">
        <v>25</v>
      </c>
      <c r="BYP47" s="25" t="s">
        <v>25</v>
      </c>
      <c r="BYR47" s="25" t="s">
        <v>28</v>
      </c>
      <c r="BYS47" s="25" t="s">
        <v>8438</v>
      </c>
      <c r="BYT47" s="25" t="s">
        <v>732</v>
      </c>
      <c r="BYU47" s="25" t="s">
        <v>732</v>
      </c>
      <c r="BYV47" s="25" t="s">
        <v>25</v>
      </c>
      <c r="BYW47" s="25" t="s">
        <v>28</v>
      </c>
      <c r="BYX47" s="56">
        <v>1000</v>
      </c>
      <c r="BYY47" s="56">
        <v>2000</v>
      </c>
      <c r="BYZ47" s="25" t="s">
        <v>8408</v>
      </c>
      <c r="BZB47" s="25" t="s">
        <v>2269</v>
      </c>
      <c r="BZD47" s="25" t="s">
        <v>28</v>
      </c>
      <c r="BZE47" s="25" t="s">
        <v>28</v>
      </c>
      <c r="BZF47" s="25" t="s">
        <v>28</v>
      </c>
      <c r="BZG47" s="25" t="s">
        <v>25</v>
      </c>
      <c r="BZJ47" s="25" t="s">
        <v>25</v>
      </c>
      <c r="BZM47" s="25" t="s">
        <v>28</v>
      </c>
      <c r="BZN47" s="25" t="s">
        <v>8283</v>
      </c>
      <c r="BZP47" s="25" t="s">
        <v>8366</v>
      </c>
      <c r="BZQ47" s="56">
        <v>2000</v>
      </c>
      <c r="BZR47" s="25" t="s">
        <v>607</v>
      </c>
      <c r="BZS47" s="25" t="s">
        <v>25</v>
      </c>
      <c r="BZT47" s="25" t="s">
        <v>8337</v>
      </c>
      <c r="BZV47" s="25" t="s">
        <v>13657</v>
      </c>
      <c r="BZX47" s="25" t="s">
        <v>8368</v>
      </c>
      <c r="BZZ47" s="25" t="s">
        <v>25</v>
      </c>
      <c r="CAC47" s="25" t="s">
        <v>28</v>
      </c>
      <c r="CAD47" s="25" t="s">
        <v>8288</v>
      </c>
      <c r="CAE47" s="25" t="s">
        <v>28</v>
      </c>
      <c r="CAF47" s="25" t="s">
        <v>8289</v>
      </c>
      <c r="CAG47" s="25" t="s">
        <v>25</v>
      </c>
      <c r="CAH47" s="25" t="s">
        <v>631</v>
      </c>
      <c r="CAI47" s="25" t="s">
        <v>631</v>
      </c>
      <c r="CAJ47" s="25" t="s">
        <v>631</v>
      </c>
      <c r="CAK47" s="25" t="s">
        <v>631</v>
      </c>
      <c r="CAL47" s="25" t="s">
        <v>631</v>
      </c>
      <c r="CAM47" s="25" t="s">
        <v>8290</v>
      </c>
      <c r="CAN47" s="25" t="s">
        <v>8290</v>
      </c>
      <c r="CAO47" s="25" t="s">
        <v>631</v>
      </c>
      <c r="CAP47" s="25" t="s">
        <v>631</v>
      </c>
      <c r="CAR47" s="25" t="s">
        <v>8291</v>
      </c>
      <c r="CAT47" s="25" t="s">
        <v>28</v>
      </c>
      <c r="CAU47" s="25" t="s">
        <v>8870</v>
      </c>
      <c r="CBB47" s="25">
        <v>2</v>
      </c>
      <c r="CBE47" s="56">
        <v>0</v>
      </c>
      <c r="CBF47" s="56">
        <v>0</v>
      </c>
      <c r="CBG47" s="56">
        <v>50</v>
      </c>
      <c r="CBH47" s="56">
        <v>150</v>
      </c>
      <c r="CBI47" s="56">
        <v>1500</v>
      </c>
      <c r="CBJ47" s="56">
        <v>1500</v>
      </c>
      <c r="CBK47" s="56">
        <v>1500</v>
      </c>
      <c r="CBL47" s="56">
        <v>1500</v>
      </c>
      <c r="CBM47" s="26">
        <v>0</v>
      </c>
      <c r="CBN47" s="26">
        <v>0</v>
      </c>
      <c r="CBO47" s="26">
        <v>0</v>
      </c>
      <c r="CBP47" s="26">
        <v>0.2</v>
      </c>
      <c r="CBQ47" s="26">
        <v>0.25</v>
      </c>
      <c r="CBR47" s="26">
        <v>0.5</v>
      </c>
      <c r="CBS47" s="26">
        <v>0.5</v>
      </c>
      <c r="CBT47" s="26">
        <v>0.5</v>
      </c>
      <c r="CBU47" s="27" t="s">
        <v>28</v>
      </c>
      <c r="CBV47" s="27" t="s">
        <v>8369</v>
      </c>
      <c r="CBW47" s="27" t="s">
        <v>8370</v>
      </c>
      <c r="CBX47" s="27" t="s">
        <v>8418</v>
      </c>
      <c r="CBY47" s="27" t="s">
        <v>8296</v>
      </c>
      <c r="CBZ47" s="27" t="s">
        <v>8296</v>
      </c>
      <c r="CCA47" s="27" t="s">
        <v>8297</v>
      </c>
      <c r="CCB47" s="27" t="s">
        <v>8298</v>
      </c>
      <c r="CCC47" s="27" t="s">
        <v>8296</v>
      </c>
      <c r="CCD47" s="27" t="s">
        <v>8296</v>
      </c>
      <c r="CCE47" s="27" t="s">
        <v>8296</v>
      </c>
      <c r="CCF47" s="27" t="s">
        <v>8297</v>
      </c>
      <c r="CCG47" s="27" t="s">
        <v>8297</v>
      </c>
      <c r="CCH47" s="27" t="s">
        <v>8298</v>
      </c>
      <c r="CCI47" s="27" t="s">
        <v>8298</v>
      </c>
      <c r="CCJ47" s="27" t="s">
        <v>8298</v>
      </c>
      <c r="CCK47" s="27" t="s">
        <v>8299</v>
      </c>
      <c r="CCL47" s="27" t="s">
        <v>8297</v>
      </c>
      <c r="CCM47" s="27" t="s">
        <v>8298</v>
      </c>
      <c r="CCN47" s="27" t="s">
        <v>8296</v>
      </c>
      <c r="CCO47" s="27" t="s">
        <v>8300</v>
      </c>
      <c r="CCP47" s="27" t="s">
        <v>8296</v>
      </c>
      <c r="CCQ47" s="27" t="s">
        <v>8296</v>
      </c>
      <c r="CCR47" s="27" t="s">
        <v>8297</v>
      </c>
      <c r="CCS47" s="27" t="s">
        <v>8298</v>
      </c>
      <c r="CCT47" s="27" t="s">
        <v>8297</v>
      </c>
      <c r="CCU47" s="27" t="s">
        <v>8298</v>
      </c>
      <c r="CCV47" s="27" t="s">
        <v>8298</v>
      </c>
      <c r="CCW47" s="27" t="s">
        <v>8298</v>
      </c>
      <c r="CCX47" s="27" t="s">
        <v>8298</v>
      </c>
      <c r="CCY47" s="27" t="s">
        <v>8298</v>
      </c>
      <c r="CCZ47" s="27" t="s">
        <v>28</v>
      </c>
      <c r="CDA47" s="27" t="s">
        <v>28</v>
      </c>
      <c r="CDB47" s="27" t="s">
        <v>28</v>
      </c>
      <c r="CDC47" s="27" t="s">
        <v>28</v>
      </c>
      <c r="CDD47" s="27" t="s">
        <v>28</v>
      </c>
      <c r="CDE47" s="27" t="s">
        <v>28</v>
      </c>
      <c r="CDF47" s="27" t="s">
        <v>28</v>
      </c>
      <c r="CDG47" s="27" t="s">
        <v>28</v>
      </c>
      <c r="CDH47" s="27" t="s">
        <v>28</v>
      </c>
      <c r="CDI47" s="27" t="s">
        <v>28</v>
      </c>
      <c r="CDJ47" s="27" t="s">
        <v>28</v>
      </c>
      <c r="CDK47" s="27" t="s">
        <v>28</v>
      </c>
      <c r="CDL47" s="27" t="s">
        <v>28</v>
      </c>
      <c r="CDM47" s="27" t="s">
        <v>28</v>
      </c>
      <c r="CDN47" s="27" t="s">
        <v>28</v>
      </c>
      <c r="CDO47" s="27" t="s">
        <v>28</v>
      </c>
      <c r="CDP47" s="27" t="s">
        <v>28</v>
      </c>
      <c r="CDQ47" s="27" t="s">
        <v>28</v>
      </c>
      <c r="CDR47" s="27" t="s">
        <v>28</v>
      </c>
      <c r="CDS47" s="27" t="s">
        <v>28</v>
      </c>
      <c r="CDT47" s="27" t="s">
        <v>28</v>
      </c>
      <c r="CDU47" s="27" t="s">
        <v>28</v>
      </c>
      <c r="CDV47" s="27" t="s">
        <v>28</v>
      </c>
      <c r="CDW47" s="27" t="s">
        <v>28</v>
      </c>
      <c r="CDX47" s="27" t="s">
        <v>28</v>
      </c>
      <c r="CDY47" s="27" t="s">
        <v>28</v>
      </c>
      <c r="CDZ47" s="27" t="s">
        <v>28</v>
      </c>
      <c r="CED47" s="27" t="s">
        <v>8302</v>
      </c>
      <c r="CEF47" s="27" t="s">
        <v>29</v>
      </c>
      <c r="CEK47" s="27" t="s">
        <v>8302</v>
      </c>
      <c r="CEL47" s="27" t="s">
        <v>8303</v>
      </c>
      <c r="CEX47" s="27" t="s">
        <v>8303</v>
      </c>
      <c r="CEY47" s="27" t="s">
        <v>8302</v>
      </c>
      <c r="CEZ47" s="27" t="s">
        <v>8302</v>
      </c>
      <c r="CFA47" s="27" t="s">
        <v>8302</v>
      </c>
      <c r="CFB47" s="27" t="s">
        <v>25</v>
      </c>
      <c r="CFC47" s="27" t="s">
        <v>25</v>
      </c>
      <c r="CFD47" s="27" t="s">
        <v>25</v>
      </c>
      <c r="CFE47" s="27" t="s">
        <v>25</v>
      </c>
      <c r="CFF47" s="27" t="s">
        <v>25</v>
      </c>
      <c r="CFG47" s="27" t="s">
        <v>25</v>
      </c>
      <c r="CFH47" s="27" t="s">
        <v>25</v>
      </c>
      <c r="CFI47" s="27" t="s">
        <v>25</v>
      </c>
      <c r="CFJ47" s="27" t="s">
        <v>25</v>
      </c>
      <c r="CFK47" s="27" t="s">
        <v>25</v>
      </c>
      <c r="CFL47" s="27" t="s">
        <v>25</v>
      </c>
      <c r="CFM47" s="27" t="s">
        <v>25</v>
      </c>
      <c r="CFN47" s="27" t="s">
        <v>25</v>
      </c>
      <c r="CFO47" s="27" t="s">
        <v>25</v>
      </c>
      <c r="CFP47" s="27" t="s">
        <v>25</v>
      </c>
      <c r="CFQ47" s="27" t="s">
        <v>25</v>
      </c>
      <c r="CFR47" s="27" t="s">
        <v>25</v>
      </c>
      <c r="CFS47" s="27" t="s">
        <v>25</v>
      </c>
      <c r="CFT47" s="27" t="s">
        <v>25</v>
      </c>
      <c r="CFU47" s="27" t="s">
        <v>25</v>
      </c>
      <c r="CFV47" s="27" t="s">
        <v>25</v>
      </c>
      <c r="CFW47" s="27" t="s">
        <v>25</v>
      </c>
      <c r="CFX47" s="27" t="s">
        <v>25</v>
      </c>
      <c r="CFY47" s="27" t="s">
        <v>25</v>
      </c>
      <c r="CFZ47" s="27" t="s">
        <v>25</v>
      </c>
      <c r="CGA47" s="27" t="s">
        <v>25</v>
      </c>
      <c r="CGB47" s="27" t="s">
        <v>25</v>
      </c>
      <c r="CPW47" s="27">
        <v>2</v>
      </c>
      <c r="CPX47" s="56">
        <v>10</v>
      </c>
      <c r="CQB47" s="25" t="s">
        <v>8307</v>
      </c>
      <c r="CQC47" s="25" t="s">
        <v>8307</v>
      </c>
      <c r="CQD47" s="25" t="s">
        <v>8344</v>
      </c>
      <c r="CQE47" s="25" t="s">
        <v>8307</v>
      </c>
      <c r="CQF47" s="25" t="s">
        <v>8307</v>
      </c>
      <c r="CQI47" s="56">
        <v>150</v>
      </c>
      <c r="CQJ47" s="56">
        <v>220</v>
      </c>
      <c r="CQK47" s="56">
        <v>220</v>
      </c>
      <c r="CQL47" s="25" t="s">
        <v>13666</v>
      </c>
      <c r="CQM47" s="25" t="s">
        <v>8345</v>
      </c>
      <c r="CQN47" s="25" t="s">
        <v>28</v>
      </c>
      <c r="CQO47" s="25" t="s">
        <v>8309</v>
      </c>
      <c r="CQQ47" s="25" t="s">
        <v>8871</v>
      </c>
      <c r="CQR47" s="25" t="s">
        <v>8872</v>
      </c>
      <c r="CQS47" s="25" t="s">
        <v>25</v>
      </c>
      <c r="CQT47" s="25" t="s">
        <v>8313</v>
      </c>
      <c r="CQU47" s="25" t="s">
        <v>8313</v>
      </c>
      <c r="CQV47" s="25" t="s">
        <v>8313</v>
      </c>
      <c r="CQW47" s="25" t="s">
        <v>8313</v>
      </c>
      <c r="CQX47" s="25" t="s">
        <v>8313</v>
      </c>
      <c r="CQY47" s="25" t="s">
        <v>8313</v>
      </c>
      <c r="CQZ47" s="25" t="s">
        <v>8313</v>
      </c>
      <c r="CRA47" s="25" t="s">
        <v>8314</v>
      </c>
      <c r="CRB47" s="25" t="s">
        <v>8314</v>
      </c>
      <c r="CRC47" s="25" t="s">
        <v>8313</v>
      </c>
      <c r="CRD47" s="25" t="s">
        <v>8314</v>
      </c>
      <c r="CRE47" s="27" t="s">
        <v>8314</v>
      </c>
    </row>
    <row r="48" spans="1:2048 2050:2501" ht="89.25" x14ac:dyDescent="0.2">
      <c r="A48" s="21" t="s">
        <v>155</v>
      </c>
      <c r="B48" s="26">
        <v>0.45</v>
      </c>
      <c r="C48" s="26">
        <v>0.15</v>
      </c>
      <c r="D48" s="26">
        <v>0</v>
      </c>
      <c r="E48" s="26">
        <v>0.32</v>
      </c>
      <c r="F48" s="26">
        <v>0</v>
      </c>
      <c r="G48" s="26">
        <v>0</v>
      </c>
      <c r="H48" s="26">
        <v>0</v>
      </c>
      <c r="I48" s="26">
        <v>0</v>
      </c>
      <c r="J48" s="26">
        <v>0</v>
      </c>
      <c r="K48" s="26">
        <v>0</v>
      </c>
      <c r="L48" s="26">
        <v>0.02</v>
      </c>
      <c r="M48" s="26">
        <v>0.06</v>
      </c>
      <c r="N48" s="26">
        <v>0</v>
      </c>
      <c r="O48" s="26">
        <v>0</v>
      </c>
      <c r="P48" s="26">
        <v>0</v>
      </c>
      <c r="Q48" s="26">
        <v>0</v>
      </c>
      <c r="R48" s="26">
        <v>0</v>
      </c>
      <c r="S48" s="26">
        <v>0</v>
      </c>
      <c r="T48" s="26">
        <v>0</v>
      </c>
      <c r="U48" s="26">
        <v>0</v>
      </c>
      <c r="V48" s="26">
        <v>0</v>
      </c>
      <c r="W48" s="26">
        <v>0</v>
      </c>
      <c r="X48" s="26">
        <v>0</v>
      </c>
      <c r="Y48" s="26">
        <v>1</v>
      </c>
      <c r="Z48" s="25">
        <v>1</v>
      </c>
      <c r="AA48" s="25" t="s">
        <v>8795</v>
      </c>
      <c r="AC48" s="56">
        <v>5000</v>
      </c>
      <c r="AD48" s="56">
        <v>10000</v>
      </c>
      <c r="AE48" s="56">
        <v>12500</v>
      </c>
      <c r="AF48" s="56">
        <v>25000</v>
      </c>
      <c r="AI48" s="25" t="s">
        <v>8246</v>
      </c>
      <c r="AJ48" s="56">
        <v>300</v>
      </c>
      <c r="AK48" s="56">
        <v>600</v>
      </c>
      <c r="AL48" s="56">
        <v>1500</v>
      </c>
      <c r="AM48" s="56">
        <v>3000</v>
      </c>
      <c r="AN48" s="25" t="s">
        <v>8350</v>
      </c>
      <c r="AO48" s="25" t="s">
        <v>8248</v>
      </c>
      <c r="BB48" s="25" t="s">
        <v>8249</v>
      </c>
      <c r="DO48" s="25" t="s">
        <v>25</v>
      </c>
      <c r="DP48" s="25" t="s">
        <v>28</v>
      </c>
      <c r="DQ48" s="25" t="s">
        <v>25</v>
      </c>
      <c r="DR48" s="25" t="s">
        <v>25</v>
      </c>
      <c r="DT48" s="25" t="s">
        <v>13417</v>
      </c>
      <c r="DU48" s="25" t="s">
        <v>13420</v>
      </c>
      <c r="DV48" s="56">
        <v>20</v>
      </c>
      <c r="DW48" s="56">
        <v>30</v>
      </c>
      <c r="DX48" s="56">
        <v>30</v>
      </c>
      <c r="DY48" s="56">
        <v>100</v>
      </c>
      <c r="DZ48" s="56">
        <v>30</v>
      </c>
      <c r="EA48" s="56">
        <v>10</v>
      </c>
      <c r="EF48" s="26">
        <v>0.1</v>
      </c>
      <c r="EH48" s="26">
        <v>0.1</v>
      </c>
      <c r="EM48" s="56">
        <v>100</v>
      </c>
      <c r="EQ48" s="26">
        <v>0.5</v>
      </c>
      <c r="ER48" s="26">
        <v>0.5</v>
      </c>
      <c r="ES48" s="26">
        <v>0.5</v>
      </c>
      <c r="ET48" s="26">
        <v>0.1</v>
      </c>
      <c r="EU48" s="26">
        <v>0.5</v>
      </c>
      <c r="EX48" s="25" t="s">
        <v>8250</v>
      </c>
      <c r="EY48" s="25" t="s">
        <v>8250</v>
      </c>
      <c r="EZ48" s="25" t="s">
        <v>8250</v>
      </c>
      <c r="FA48" s="25" t="s">
        <v>8250</v>
      </c>
      <c r="FB48" s="25" t="s">
        <v>8250</v>
      </c>
      <c r="FC48" s="25" t="s">
        <v>8250</v>
      </c>
      <c r="FE48" s="25" t="s">
        <v>25</v>
      </c>
      <c r="FF48" s="25" t="s">
        <v>25</v>
      </c>
      <c r="FG48" s="25" t="s">
        <v>25</v>
      </c>
      <c r="FH48" s="25" t="s">
        <v>25</v>
      </c>
      <c r="FI48" s="25" t="s">
        <v>25</v>
      </c>
      <c r="FJ48" s="25" t="s">
        <v>25</v>
      </c>
      <c r="FL48" s="25" t="s">
        <v>13810</v>
      </c>
      <c r="FM48" s="25" t="s">
        <v>13810</v>
      </c>
      <c r="FN48" s="25" t="s">
        <v>13810</v>
      </c>
      <c r="FP48" s="25" t="s">
        <v>631</v>
      </c>
      <c r="FQ48" s="25" t="s">
        <v>631</v>
      </c>
      <c r="FR48" s="25" t="s">
        <v>631</v>
      </c>
      <c r="FS48" s="25" t="s">
        <v>631</v>
      </c>
      <c r="FT48" s="25" t="s">
        <v>631</v>
      </c>
      <c r="FU48" s="25" t="s">
        <v>631</v>
      </c>
      <c r="FV48" s="25" t="s">
        <v>8317</v>
      </c>
      <c r="FW48" s="25" t="s">
        <v>8317</v>
      </c>
      <c r="FX48" s="25" t="s">
        <v>8317</v>
      </c>
      <c r="GE48" s="56">
        <v>5</v>
      </c>
      <c r="GF48" s="56">
        <v>5</v>
      </c>
      <c r="GG48" s="56">
        <v>10</v>
      </c>
      <c r="GH48" s="56">
        <v>10</v>
      </c>
      <c r="HH48" s="57">
        <v>0.3</v>
      </c>
      <c r="HI48" s="57">
        <v>0.5</v>
      </c>
      <c r="HJ48" s="57">
        <v>0.5</v>
      </c>
      <c r="HP48" s="56">
        <v>30</v>
      </c>
      <c r="HQ48" s="56">
        <v>30</v>
      </c>
      <c r="HR48" s="56">
        <v>50</v>
      </c>
      <c r="HS48" s="56">
        <v>50</v>
      </c>
      <c r="HT48" s="56">
        <v>50</v>
      </c>
      <c r="HU48" s="56">
        <v>50</v>
      </c>
      <c r="IC48" s="26">
        <v>0.3</v>
      </c>
      <c r="ID48" s="26">
        <v>0.5</v>
      </c>
      <c r="IE48" s="26">
        <v>0.5</v>
      </c>
      <c r="IK48" s="56">
        <v>30</v>
      </c>
      <c r="IL48" s="56">
        <v>30</v>
      </c>
      <c r="IM48" s="56">
        <v>50</v>
      </c>
      <c r="IN48" s="56">
        <v>50</v>
      </c>
      <c r="IO48" s="56">
        <v>50</v>
      </c>
      <c r="IP48" s="56">
        <v>50</v>
      </c>
      <c r="IX48" s="11">
        <v>0.3</v>
      </c>
      <c r="IY48" s="11">
        <v>0.5</v>
      </c>
      <c r="IZ48" s="11">
        <v>0.5</v>
      </c>
      <c r="JF48" s="56">
        <v>30</v>
      </c>
      <c r="JG48" s="56">
        <v>30</v>
      </c>
      <c r="JH48" s="56">
        <v>50</v>
      </c>
      <c r="JI48" s="56">
        <v>50</v>
      </c>
      <c r="JJ48" s="56">
        <v>50</v>
      </c>
      <c r="JK48" s="56">
        <v>50</v>
      </c>
      <c r="JS48" s="26">
        <v>0.3</v>
      </c>
      <c r="JT48" s="26">
        <v>0.5</v>
      </c>
      <c r="JU48" s="26">
        <v>0.5</v>
      </c>
      <c r="KA48" s="56">
        <v>30</v>
      </c>
      <c r="KB48" s="56">
        <v>30</v>
      </c>
      <c r="KC48" s="56">
        <v>50</v>
      </c>
      <c r="KD48" s="56">
        <v>50</v>
      </c>
      <c r="KE48" s="56">
        <v>50</v>
      </c>
      <c r="KF48" s="56">
        <v>50</v>
      </c>
      <c r="KM48" s="25" t="s">
        <v>8352</v>
      </c>
      <c r="KN48" s="25" t="s">
        <v>8256</v>
      </c>
      <c r="KO48" s="25" t="s">
        <v>8321</v>
      </c>
      <c r="KP48" s="25">
        <v>1</v>
      </c>
      <c r="KQ48" s="25" t="s">
        <v>8796</v>
      </c>
      <c r="KS48" s="56">
        <v>4000</v>
      </c>
      <c r="KT48" s="56">
        <v>7350</v>
      </c>
      <c r="KU48" s="56">
        <v>12500</v>
      </c>
      <c r="KV48" s="56">
        <v>25000</v>
      </c>
      <c r="KY48" s="25" t="s">
        <v>8246</v>
      </c>
      <c r="KZ48" s="56">
        <v>1500</v>
      </c>
      <c r="LA48" s="56">
        <v>3000</v>
      </c>
      <c r="LB48" s="56">
        <v>7500</v>
      </c>
      <c r="LC48" s="56">
        <v>15000</v>
      </c>
      <c r="LD48" s="25" t="s">
        <v>8247</v>
      </c>
      <c r="LE48" s="25" t="s">
        <v>8248</v>
      </c>
      <c r="LR48" s="25" t="s">
        <v>8249</v>
      </c>
      <c r="OE48" s="25" t="s">
        <v>25</v>
      </c>
      <c r="OF48" s="25" t="s">
        <v>28</v>
      </c>
      <c r="OG48" s="25" t="s">
        <v>25</v>
      </c>
      <c r="OH48" s="25" t="s">
        <v>25</v>
      </c>
      <c r="OJ48" s="25" t="s">
        <v>13416</v>
      </c>
      <c r="OK48" s="25" t="s">
        <v>13416</v>
      </c>
      <c r="OQ48" s="56">
        <v>50</v>
      </c>
      <c r="OS48" s="26">
        <v>0.2</v>
      </c>
      <c r="OT48" s="26">
        <v>0.2</v>
      </c>
      <c r="OU48" s="26">
        <v>0.2</v>
      </c>
      <c r="OV48" s="26">
        <v>0.2</v>
      </c>
      <c r="OW48" s="26">
        <v>0.2</v>
      </c>
      <c r="PG48" s="26">
        <v>0.5</v>
      </c>
      <c r="PH48" s="26">
        <v>0.5</v>
      </c>
      <c r="PI48" s="26">
        <v>0.5</v>
      </c>
      <c r="PJ48" s="26">
        <v>0.2</v>
      </c>
      <c r="PK48" s="26">
        <v>0.5</v>
      </c>
      <c r="PL48" s="26">
        <v>0.5</v>
      </c>
      <c r="PN48" s="25" t="s">
        <v>8250</v>
      </c>
      <c r="PO48" s="25" t="s">
        <v>8250</v>
      </c>
      <c r="PP48" s="25" t="s">
        <v>8250</v>
      </c>
      <c r="PQ48" s="25" t="s">
        <v>8250</v>
      </c>
      <c r="PR48" s="25" t="s">
        <v>8250</v>
      </c>
      <c r="PS48" s="25" t="s">
        <v>8250</v>
      </c>
      <c r="PU48" s="25" t="s">
        <v>25</v>
      </c>
      <c r="PV48" s="25" t="s">
        <v>25</v>
      </c>
      <c r="PW48" s="25" t="s">
        <v>25</v>
      </c>
      <c r="PX48" s="25" t="s">
        <v>25</v>
      </c>
      <c r="PY48" s="25" t="s">
        <v>25</v>
      </c>
      <c r="PZ48" s="25" t="s">
        <v>25</v>
      </c>
      <c r="QB48" s="25" t="s">
        <v>13810</v>
      </c>
      <c r="QC48" s="25" t="s">
        <v>13810</v>
      </c>
      <c r="QD48" s="25" t="s">
        <v>13810</v>
      </c>
      <c r="QE48" s="25" t="s">
        <v>13810</v>
      </c>
      <c r="QF48" s="25" t="s">
        <v>631</v>
      </c>
      <c r="QG48" s="25" t="s">
        <v>631</v>
      </c>
      <c r="QH48" s="25" t="s">
        <v>631</v>
      </c>
      <c r="QI48" s="25" t="s">
        <v>631</v>
      </c>
      <c r="QJ48" s="25" t="s">
        <v>631</v>
      </c>
      <c r="QK48" s="25" t="s">
        <v>631</v>
      </c>
      <c r="QL48" s="25" t="s">
        <v>8317</v>
      </c>
      <c r="QM48" s="25" t="s">
        <v>8317</v>
      </c>
      <c r="QN48" s="25" t="s">
        <v>8317</v>
      </c>
      <c r="QO48" s="25" t="s">
        <v>8317</v>
      </c>
      <c r="RW48" s="26">
        <v>0.2</v>
      </c>
      <c r="RX48" s="26">
        <v>0.2</v>
      </c>
      <c r="RY48" s="26">
        <v>0.2</v>
      </c>
      <c r="RZ48" s="26">
        <v>0.2</v>
      </c>
      <c r="SH48" s="56">
        <v>20</v>
      </c>
      <c r="SJ48" s="56">
        <v>20</v>
      </c>
      <c r="VC48" s="25" t="s">
        <v>8352</v>
      </c>
      <c r="VD48" s="25" t="s">
        <v>8256</v>
      </c>
      <c r="VE48" s="25" t="s">
        <v>8321</v>
      </c>
      <c r="VF48" s="25">
        <v>1</v>
      </c>
      <c r="VG48" s="25" t="s">
        <v>8797</v>
      </c>
      <c r="VI48" s="56">
        <v>5000</v>
      </c>
      <c r="VJ48" s="56">
        <v>10000</v>
      </c>
      <c r="VO48" s="25" t="s">
        <v>8246</v>
      </c>
      <c r="VP48" s="56">
        <v>200</v>
      </c>
      <c r="VQ48" s="56">
        <v>400</v>
      </c>
      <c r="VT48" s="25" t="s">
        <v>8248</v>
      </c>
      <c r="WG48" s="25" t="s">
        <v>8249</v>
      </c>
      <c r="YT48" s="25" t="s">
        <v>25</v>
      </c>
      <c r="YU48" s="25" t="s">
        <v>28</v>
      </c>
      <c r="YV48" s="25" t="s">
        <v>25</v>
      </c>
      <c r="YW48" s="25" t="s">
        <v>25</v>
      </c>
      <c r="YY48" s="25" t="s">
        <v>13417</v>
      </c>
      <c r="YZ48" s="25" t="s">
        <v>8404</v>
      </c>
      <c r="ZA48" s="56">
        <v>20</v>
      </c>
      <c r="ZB48" s="56">
        <v>40</v>
      </c>
      <c r="ZC48" s="56">
        <v>40</v>
      </c>
      <c r="ZD48" s="56">
        <v>100</v>
      </c>
      <c r="ZE48" s="56">
        <v>40</v>
      </c>
      <c r="ZF48" s="56">
        <v>10</v>
      </c>
      <c r="ZR48" s="56">
        <v>100</v>
      </c>
      <c r="ZY48" s="26">
        <v>0.1</v>
      </c>
      <c r="AAC48" s="25" t="s">
        <v>8250</v>
      </c>
      <c r="AAD48" s="25" t="s">
        <v>8250</v>
      </c>
      <c r="AAE48" s="25" t="s">
        <v>8250</v>
      </c>
      <c r="AAF48" s="25" t="s">
        <v>8250</v>
      </c>
      <c r="AAG48" s="25" t="s">
        <v>8250</v>
      </c>
      <c r="AAH48" s="25" t="s">
        <v>8250</v>
      </c>
      <c r="AAJ48" s="25" t="s">
        <v>25</v>
      </c>
      <c r="AAK48" s="25" t="s">
        <v>25</v>
      </c>
      <c r="AAL48" s="25" t="s">
        <v>25</v>
      </c>
      <c r="AAM48" s="25" t="s">
        <v>25</v>
      </c>
      <c r="AAN48" s="25" t="s">
        <v>25</v>
      </c>
      <c r="AAO48" s="25" t="s">
        <v>25</v>
      </c>
      <c r="AAQ48" s="25" t="s">
        <v>13810</v>
      </c>
      <c r="AAR48" s="25" t="s">
        <v>13810</v>
      </c>
      <c r="AAS48" s="25" t="s">
        <v>13810</v>
      </c>
      <c r="AAT48" s="25" t="s">
        <v>13810</v>
      </c>
      <c r="AAU48" s="25" t="s">
        <v>631</v>
      </c>
      <c r="AAV48" s="25" t="s">
        <v>631</v>
      </c>
      <c r="AAW48" s="25" t="s">
        <v>631</v>
      </c>
      <c r="AAX48" s="25" t="s">
        <v>631</v>
      </c>
      <c r="AAY48" s="25" t="s">
        <v>631</v>
      </c>
      <c r="AAZ48" s="25" t="s">
        <v>631</v>
      </c>
      <c r="ABA48" s="25" t="s">
        <v>8317</v>
      </c>
      <c r="ABB48" s="25" t="s">
        <v>8317</v>
      </c>
      <c r="ABC48" s="25" t="s">
        <v>8317</v>
      </c>
      <c r="ABD48" s="25" t="s">
        <v>8317</v>
      </c>
      <c r="ABJ48" s="56">
        <v>5</v>
      </c>
      <c r="ABK48" s="56">
        <v>5</v>
      </c>
      <c r="ABL48" s="56">
        <v>10</v>
      </c>
      <c r="ABM48" s="56">
        <v>10</v>
      </c>
      <c r="ACM48" s="26">
        <v>0.3</v>
      </c>
      <c r="ACN48" s="26">
        <v>0.5</v>
      </c>
      <c r="ACO48" s="26">
        <v>0.5</v>
      </c>
      <c r="ACU48" s="56">
        <v>30</v>
      </c>
      <c r="ACV48" s="56">
        <v>30</v>
      </c>
      <c r="ACW48" s="56">
        <v>50</v>
      </c>
      <c r="ACX48" s="56">
        <v>50</v>
      </c>
      <c r="ACY48" s="56">
        <v>50</v>
      </c>
      <c r="ACZ48" s="56">
        <v>50</v>
      </c>
      <c r="ADH48" s="26">
        <v>0.3</v>
      </c>
      <c r="ADI48" s="26">
        <v>0.5</v>
      </c>
      <c r="ADJ48" s="26">
        <v>0.5</v>
      </c>
      <c r="ADP48" s="56">
        <v>30</v>
      </c>
      <c r="ADQ48" s="56">
        <v>30</v>
      </c>
      <c r="ADR48" s="56">
        <v>50</v>
      </c>
      <c r="ADS48" s="56">
        <v>50</v>
      </c>
      <c r="ADT48" s="56">
        <v>50</v>
      </c>
      <c r="ADU48" s="56">
        <v>50</v>
      </c>
      <c r="AEC48" s="26">
        <v>0.3</v>
      </c>
      <c r="AED48" s="26">
        <v>0.5</v>
      </c>
      <c r="AEE48" s="26">
        <v>0.5</v>
      </c>
      <c r="AEK48" s="56">
        <v>30</v>
      </c>
      <c r="AEL48" s="56">
        <v>30</v>
      </c>
      <c r="AEM48" s="56">
        <v>50</v>
      </c>
      <c r="AEN48" s="56">
        <v>50</v>
      </c>
      <c r="AEO48" s="56">
        <v>50</v>
      </c>
      <c r="AEP48" s="56">
        <v>50</v>
      </c>
      <c r="AEX48" s="26">
        <v>0.3</v>
      </c>
      <c r="AEY48" s="26">
        <v>0.5</v>
      </c>
      <c r="AEZ48" s="26">
        <v>0.5</v>
      </c>
      <c r="AFF48" s="56">
        <v>30</v>
      </c>
      <c r="AFG48" s="56">
        <v>30</v>
      </c>
      <c r="AFH48" s="56">
        <v>50</v>
      </c>
      <c r="AFI48" s="56">
        <v>50</v>
      </c>
      <c r="AFJ48" s="56">
        <v>50</v>
      </c>
      <c r="AFK48" s="56">
        <v>50</v>
      </c>
      <c r="AFR48" s="25" t="s">
        <v>8352</v>
      </c>
      <c r="AFS48" s="25" t="s">
        <v>8256</v>
      </c>
      <c r="AFT48" s="25" t="s">
        <v>8321</v>
      </c>
      <c r="AFU48" s="25">
        <v>0</v>
      </c>
      <c r="AFX48" s="25"/>
      <c r="AFY48" s="25"/>
      <c r="AFZ48" s="25"/>
      <c r="AGA48" s="25"/>
      <c r="AGB48" s="25"/>
      <c r="AGC48" s="25"/>
      <c r="AGE48" s="25"/>
      <c r="AGF48" s="25"/>
      <c r="AGG48" s="25"/>
      <c r="AGH48" s="25"/>
      <c r="AJP48" s="25"/>
      <c r="AJQ48" s="25"/>
      <c r="AJR48" s="25"/>
      <c r="AJS48" s="25"/>
      <c r="AJT48" s="25"/>
      <c r="AJU48" s="25"/>
      <c r="AJV48" s="25"/>
      <c r="AKD48" s="25"/>
      <c r="AKE48" s="25"/>
      <c r="AKF48" s="25"/>
      <c r="AKG48" s="25"/>
      <c r="AKH48" s="25"/>
      <c r="AKI48" s="25"/>
      <c r="AKJ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H48" s="25"/>
      <c r="ANI48" s="25"/>
      <c r="ANJ48" s="25"/>
      <c r="ANK48" s="25"/>
      <c r="ANL48" s="25"/>
      <c r="ANM48" s="25"/>
      <c r="ANN48" s="25"/>
      <c r="ANO48" s="25"/>
      <c r="ANP48" s="25"/>
      <c r="ANQ48" s="25"/>
      <c r="ANR48" s="25"/>
      <c r="ANS48" s="25"/>
      <c r="ANT48" s="25"/>
      <c r="ANU48" s="25"/>
      <c r="AOC48" s="25"/>
      <c r="AOD48" s="25"/>
      <c r="AOE48" s="25"/>
      <c r="AOF48" s="25"/>
      <c r="AOG48" s="25"/>
      <c r="AOH48" s="25"/>
      <c r="AOI48" s="25"/>
      <c r="AOJ48" s="25"/>
      <c r="AOK48" s="25"/>
      <c r="AOL48" s="25"/>
      <c r="AOM48" s="25"/>
      <c r="AON48" s="25"/>
      <c r="AOO48" s="25"/>
      <c r="AOP48" s="25"/>
      <c r="AOX48" s="25"/>
      <c r="AOY48" s="25"/>
      <c r="AOZ48" s="25"/>
      <c r="APA48" s="25"/>
      <c r="APB48" s="25"/>
      <c r="APC48" s="25"/>
      <c r="APD48" s="25"/>
      <c r="APE48" s="25"/>
      <c r="APF48" s="25"/>
      <c r="APG48" s="25"/>
      <c r="APH48" s="25"/>
      <c r="API48" s="25"/>
      <c r="APJ48" s="25"/>
      <c r="APK48" s="25"/>
      <c r="APS48" s="25"/>
      <c r="APT48" s="25"/>
      <c r="APU48" s="25"/>
      <c r="APV48" s="25"/>
      <c r="APW48" s="25"/>
      <c r="APX48" s="25"/>
      <c r="APY48" s="25"/>
      <c r="APZ48" s="25"/>
      <c r="AQA48" s="25"/>
      <c r="AQB48" s="25"/>
      <c r="AQC48" s="25"/>
      <c r="AQD48" s="25"/>
      <c r="AQE48" s="25"/>
      <c r="AQF48" s="25"/>
      <c r="AQJ48" s="25">
        <v>1</v>
      </c>
      <c r="AQK48" s="25" t="s">
        <v>3971</v>
      </c>
      <c r="AQM48" s="56">
        <v>1500</v>
      </c>
      <c r="AQN48" s="56">
        <v>3000</v>
      </c>
      <c r="AQS48" s="25" t="s">
        <v>8260</v>
      </c>
      <c r="AQT48" s="56">
        <v>0</v>
      </c>
      <c r="AQU48" s="56">
        <v>0</v>
      </c>
      <c r="ATX48" s="25" t="s">
        <v>25</v>
      </c>
      <c r="ATY48" s="25" t="s">
        <v>28</v>
      </c>
      <c r="ATZ48" s="25" t="s">
        <v>28</v>
      </c>
      <c r="AUA48" s="25" t="s">
        <v>25</v>
      </c>
      <c r="AUC48" s="25" t="s">
        <v>8404</v>
      </c>
      <c r="AUD48" s="25" t="s">
        <v>8404</v>
      </c>
      <c r="AUH48" s="56">
        <v>150</v>
      </c>
      <c r="AUV48" s="56">
        <v>150</v>
      </c>
      <c r="AVU48" s="25" t="s">
        <v>13810</v>
      </c>
      <c r="AVV48" s="25" t="s">
        <v>13810</v>
      </c>
      <c r="AVW48" s="25" t="s">
        <v>13810</v>
      </c>
      <c r="AVX48" s="25" t="s">
        <v>13810</v>
      </c>
      <c r="AVY48" s="25" t="s">
        <v>13810</v>
      </c>
      <c r="AVZ48" s="25" t="s">
        <v>631</v>
      </c>
      <c r="AWA48" s="25" t="s">
        <v>631</v>
      </c>
      <c r="AWB48" s="25" t="s">
        <v>13810</v>
      </c>
      <c r="AWC48" s="25" t="s">
        <v>631</v>
      </c>
      <c r="AWE48" s="25" t="s">
        <v>8325</v>
      </c>
      <c r="AWF48" s="25" t="s">
        <v>8487</v>
      </c>
      <c r="AWG48" s="25" t="s">
        <v>8487</v>
      </c>
      <c r="AWH48" s="25" t="s">
        <v>8487</v>
      </c>
      <c r="AWI48" s="25" t="s">
        <v>8253</v>
      </c>
      <c r="AWL48" s="25" t="s">
        <v>8253</v>
      </c>
      <c r="AWN48" s="56">
        <v>10</v>
      </c>
      <c r="AWP48" s="56">
        <v>20</v>
      </c>
      <c r="AWR48" s="56">
        <v>30</v>
      </c>
      <c r="AWT48" s="56">
        <v>60</v>
      </c>
      <c r="AXH48" s="56">
        <v>30</v>
      </c>
      <c r="BAV48" s="25" t="s">
        <v>8255</v>
      </c>
      <c r="BAW48" s="25" t="s">
        <v>8256</v>
      </c>
      <c r="BAX48" s="25" t="s">
        <v>8321</v>
      </c>
      <c r="BAY48" s="25">
        <v>0</v>
      </c>
      <c r="BBB48" s="25"/>
      <c r="BBC48" s="25"/>
      <c r="BBD48" s="25"/>
      <c r="BBE48" s="25"/>
      <c r="BBF48" s="25"/>
      <c r="BBG48" s="25"/>
      <c r="BBI48" s="25"/>
      <c r="BBJ48" s="25"/>
      <c r="BBK48" s="25"/>
      <c r="BBL48" s="25"/>
      <c r="BET48" s="25"/>
      <c r="BEU48" s="25"/>
      <c r="BEV48" s="25"/>
      <c r="BEW48" s="25"/>
      <c r="BEX48" s="25"/>
      <c r="BEY48" s="25"/>
      <c r="BEZ48" s="25"/>
      <c r="BFH48" s="25"/>
      <c r="BFI48" s="25"/>
      <c r="BFJ48" s="25"/>
      <c r="BFK48" s="25"/>
      <c r="BFL48" s="25"/>
      <c r="BFM48" s="25"/>
      <c r="BFN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L48" s="25"/>
      <c r="BIM48" s="25"/>
      <c r="BIN48" s="25"/>
      <c r="BIO48" s="25"/>
      <c r="BIP48" s="25"/>
      <c r="BIQ48" s="25"/>
      <c r="BIR48" s="25"/>
      <c r="BIS48" s="25"/>
      <c r="BIT48" s="25"/>
      <c r="BIU48" s="25"/>
      <c r="BIV48" s="25"/>
      <c r="BIW48" s="25"/>
      <c r="BIX48" s="25"/>
      <c r="BIY48" s="25"/>
      <c r="BJG48" s="25"/>
      <c r="BJH48" s="25"/>
      <c r="BJI48" s="25"/>
      <c r="BJJ48" s="25"/>
      <c r="BJK48" s="25"/>
      <c r="BJL48" s="25"/>
      <c r="BJM48" s="25"/>
      <c r="BJN48" s="25"/>
      <c r="BJO48" s="25"/>
      <c r="BJP48" s="25"/>
      <c r="BJQ48" s="25"/>
      <c r="BJR48" s="25"/>
      <c r="BJS48" s="25"/>
      <c r="BJT48" s="25"/>
      <c r="BKB48" s="25"/>
      <c r="BKC48" s="25"/>
      <c r="BKD48" s="25"/>
      <c r="BKE48" s="25"/>
      <c r="BKF48" s="25"/>
      <c r="BKG48" s="25"/>
      <c r="BKH48" s="25"/>
      <c r="BKI48" s="25"/>
      <c r="BKJ48" s="25"/>
      <c r="BKK48" s="25"/>
      <c r="BKL48" s="25"/>
      <c r="BKM48" s="25"/>
      <c r="BKN48" s="25"/>
      <c r="BKO48" s="25"/>
      <c r="BKW48" s="25"/>
      <c r="BKX48" s="25"/>
      <c r="BKY48" s="25"/>
      <c r="BKZ48" s="25"/>
      <c r="BLA48" s="25"/>
      <c r="BLB48" s="25"/>
      <c r="BLC48" s="25"/>
      <c r="BLD48" s="25"/>
      <c r="BLE48" s="25"/>
      <c r="BLF48" s="25"/>
      <c r="BLG48" s="25"/>
      <c r="BLH48" s="25"/>
      <c r="BLI48" s="25"/>
      <c r="BLJ48" s="25"/>
      <c r="BLN48" s="25">
        <v>0</v>
      </c>
      <c r="BLQ48" s="25"/>
      <c r="BLR48" s="25"/>
      <c r="BLS48" s="25"/>
      <c r="BLT48" s="25"/>
      <c r="BLU48" s="25"/>
      <c r="BLV48" s="25"/>
      <c r="BLX48" s="25"/>
      <c r="BLY48" s="25"/>
      <c r="BLZ48" s="25"/>
      <c r="BMA48" s="25"/>
      <c r="BPI48" s="25"/>
      <c r="BPJ48" s="25"/>
      <c r="BPK48" s="25"/>
      <c r="BPL48" s="25"/>
      <c r="BPM48" s="25"/>
      <c r="BPN48" s="25"/>
      <c r="BPO48" s="25"/>
      <c r="BPW48" s="25"/>
      <c r="BPX48" s="25"/>
      <c r="BPY48" s="25"/>
      <c r="BPZ48" s="25"/>
      <c r="BQA48" s="25"/>
      <c r="BQB48" s="25"/>
      <c r="BQC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TA48" s="25"/>
      <c r="BTB48" s="25"/>
      <c r="BTC48" s="25"/>
      <c r="BTD48" s="25"/>
      <c r="BTE48" s="25"/>
      <c r="BTF48" s="25"/>
      <c r="BTG48" s="25"/>
      <c r="BTH48" s="25"/>
      <c r="BTI48" s="25"/>
      <c r="BTJ48" s="25"/>
      <c r="BTK48" s="25"/>
      <c r="BTL48" s="25"/>
      <c r="BTM48" s="25"/>
      <c r="BTN48" s="25"/>
      <c r="BUQ48" s="25"/>
      <c r="BUR48" s="25"/>
      <c r="BUS48" s="25"/>
      <c r="BUT48" s="25"/>
      <c r="BUU48" s="25"/>
      <c r="BUV48" s="25"/>
      <c r="BUW48" s="25"/>
      <c r="BUX48" s="25"/>
      <c r="BUY48" s="25"/>
      <c r="BUZ48" s="25"/>
      <c r="BVA48" s="25"/>
      <c r="BVB48" s="25"/>
      <c r="BVC48" s="25"/>
      <c r="BVD48" s="25"/>
      <c r="BWC48" s="25" t="s">
        <v>28</v>
      </c>
      <c r="BWD48" s="25" t="s">
        <v>8798</v>
      </c>
      <c r="BWE48" s="25" t="s">
        <v>8799</v>
      </c>
      <c r="BWF48" s="25" t="s">
        <v>13708</v>
      </c>
      <c r="BWG48" s="25" t="s">
        <v>25</v>
      </c>
      <c r="BWH48" s="25" t="s">
        <v>2169</v>
      </c>
      <c r="BWI48" s="25" t="s">
        <v>28</v>
      </c>
      <c r="BWJ48" s="25" t="s">
        <v>8267</v>
      </c>
      <c r="BWK48" s="25" t="s">
        <v>25</v>
      </c>
      <c r="BWM48" s="25" t="s">
        <v>25</v>
      </c>
      <c r="BWO48" s="25" t="s">
        <v>25</v>
      </c>
      <c r="BWQ48" s="25" t="s">
        <v>28</v>
      </c>
      <c r="BWR48" s="25" t="s">
        <v>25</v>
      </c>
      <c r="BWT48" s="25" t="s">
        <v>25</v>
      </c>
      <c r="BWV48" s="25" t="s">
        <v>25</v>
      </c>
      <c r="BWX48" s="25" t="s">
        <v>28</v>
      </c>
      <c r="BWY48" s="25" t="s">
        <v>8387</v>
      </c>
      <c r="BWZ48" s="25" t="s">
        <v>25</v>
      </c>
      <c r="BXB48" s="25" t="s">
        <v>25</v>
      </c>
      <c r="BXD48" s="25" t="s">
        <v>28</v>
      </c>
      <c r="BXE48" s="25" t="s">
        <v>8388</v>
      </c>
      <c r="BXF48" s="25" t="s">
        <v>28</v>
      </c>
      <c r="BXG48" s="56">
        <v>20</v>
      </c>
      <c r="BXH48" s="25" t="s">
        <v>25</v>
      </c>
      <c r="BXJ48" s="25" t="s">
        <v>28</v>
      </c>
      <c r="BXK48" s="25" t="s">
        <v>8270</v>
      </c>
      <c r="BXL48" s="25" t="s">
        <v>8672</v>
      </c>
      <c r="BXM48" s="25" t="s">
        <v>2201</v>
      </c>
      <c r="BXN48" s="25" t="s">
        <v>8272</v>
      </c>
      <c r="BXO48" s="25" t="s">
        <v>8274</v>
      </c>
      <c r="BXP48" s="25" t="s">
        <v>8274</v>
      </c>
      <c r="BXQ48" s="25" t="s">
        <v>8274</v>
      </c>
      <c r="BXR48" s="25" t="s">
        <v>8274</v>
      </c>
      <c r="BXS48" s="25" t="s">
        <v>8274</v>
      </c>
      <c r="BXU48" s="25" t="s">
        <v>25</v>
      </c>
      <c r="BXW48" s="25" t="s">
        <v>28</v>
      </c>
      <c r="BXX48" s="25" t="s">
        <v>28</v>
      </c>
      <c r="BXY48" s="25" t="s">
        <v>25</v>
      </c>
      <c r="BXZ48" s="25" t="s">
        <v>25</v>
      </c>
      <c r="BYA48" s="25" t="s">
        <v>25</v>
      </c>
      <c r="BYB48" s="25" t="s">
        <v>25</v>
      </c>
      <c r="BYC48" s="25" t="s">
        <v>8276</v>
      </c>
      <c r="BYD48" s="25" t="s">
        <v>28</v>
      </c>
      <c r="BYE48" s="25" t="s">
        <v>13611</v>
      </c>
      <c r="BYF48" s="25" t="s">
        <v>8800</v>
      </c>
      <c r="BYH48" s="25" t="s">
        <v>8363</v>
      </c>
      <c r="BYK48" s="25" t="s">
        <v>8333</v>
      </c>
      <c r="BYL48" s="25" t="s">
        <v>28</v>
      </c>
      <c r="BYM48" s="25">
        <v>120</v>
      </c>
      <c r="BYN48" s="25" t="s">
        <v>28</v>
      </c>
      <c r="BYO48" s="25">
        <v>120</v>
      </c>
      <c r="BYP48" s="25" t="s">
        <v>28</v>
      </c>
      <c r="BYQ48" s="25">
        <v>120</v>
      </c>
      <c r="BYR48" s="25" t="s">
        <v>28</v>
      </c>
      <c r="BYS48" s="25" t="s">
        <v>8279</v>
      </c>
      <c r="BYT48" s="25" t="s">
        <v>8279</v>
      </c>
      <c r="BYU48" s="25" t="s">
        <v>732</v>
      </c>
      <c r="BYV48" s="25" t="s">
        <v>25</v>
      </c>
      <c r="BYW48" s="25" t="s">
        <v>28</v>
      </c>
      <c r="BYX48" s="56">
        <v>500</v>
      </c>
      <c r="BYY48" s="56">
        <v>1000</v>
      </c>
      <c r="BYZ48" s="25" t="s">
        <v>8408</v>
      </c>
      <c r="BZA48" s="25" t="s">
        <v>8801</v>
      </c>
      <c r="BZB48" s="25" t="s">
        <v>256</v>
      </c>
      <c r="BZC48" s="25" t="s">
        <v>8282</v>
      </c>
      <c r="BZD48" s="25" t="s">
        <v>28</v>
      </c>
      <c r="BZE48" s="25" t="s">
        <v>28</v>
      </c>
      <c r="BZF48" s="25" t="s">
        <v>28</v>
      </c>
      <c r="BZG48" s="25" t="s">
        <v>25</v>
      </c>
      <c r="BZJ48" s="25" t="s">
        <v>25</v>
      </c>
      <c r="BZM48" s="25" t="s">
        <v>28</v>
      </c>
      <c r="BZN48" s="25" t="s">
        <v>13634</v>
      </c>
      <c r="BZO48" s="25" t="s">
        <v>8802</v>
      </c>
      <c r="BZP48" s="25" t="s">
        <v>8284</v>
      </c>
      <c r="BZQ48" s="56">
        <v>1000</v>
      </c>
      <c r="BZR48" s="25" t="s">
        <v>28</v>
      </c>
      <c r="BZS48" s="25" t="s">
        <v>25</v>
      </c>
      <c r="BZT48" s="25" t="s">
        <v>8337</v>
      </c>
      <c r="BZV48" s="25" t="s">
        <v>13641</v>
      </c>
      <c r="BZX48" s="25" t="s">
        <v>8287</v>
      </c>
      <c r="BZZ48" s="25" t="s">
        <v>25</v>
      </c>
      <c r="CAC48" s="25" t="s">
        <v>28</v>
      </c>
      <c r="CAD48" s="25" t="s">
        <v>8288</v>
      </c>
      <c r="CAE48" s="25" t="s">
        <v>28</v>
      </c>
      <c r="CAF48" s="25" t="s">
        <v>8289</v>
      </c>
      <c r="CAG48" s="25" t="s">
        <v>25</v>
      </c>
      <c r="CAH48" s="25" t="s">
        <v>631</v>
      </c>
      <c r="CAI48" s="25" t="s">
        <v>631</v>
      </c>
      <c r="CAJ48" s="25" t="s">
        <v>631</v>
      </c>
      <c r="CAK48" s="25" t="s">
        <v>631</v>
      </c>
      <c r="CAL48" s="25" t="s">
        <v>631</v>
      </c>
      <c r="CAM48" s="25" t="s">
        <v>8290</v>
      </c>
      <c r="CAN48" s="25" t="s">
        <v>631</v>
      </c>
      <c r="CAO48" s="25" t="s">
        <v>8290</v>
      </c>
      <c r="CAP48" s="25" t="s">
        <v>631</v>
      </c>
      <c r="CAQ48" s="25" t="s">
        <v>631</v>
      </c>
      <c r="CAR48" s="25" t="s">
        <v>8455</v>
      </c>
      <c r="CAT48" s="25" t="s">
        <v>25</v>
      </c>
      <c r="CAV48" s="25" t="s">
        <v>8414</v>
      </c>
      <c r="CAW48" s="25" t="s">
        <v>8441</v>
      </c>
      <c r="CAX48" s="25" t="s">
        <v>8415</v>
      </c>
      <c r="CBA48" s="25" t="s">
        <v>8803</v>
      </c>
      <c r="CBB48" s="25">
        <v>1</v>
      </c>
      <c r="CBE48" s="56">
        <v>50</v>
      </c>
      <c r="CBF48" s="56">
        <v>150</v>
      </c>
      <c r="CBG48" s="56">
        <v>50</v>
      </c>
      <c r="CBH48" s="56">
        <v>150</v>
      </c>
      <c r="CBI48" s="56">
        <v>2000</v>
      </c>
      <c r="CBK48" s="56">
        <v>2000</v>
      </c>
      <c r="CBM48" s="26">
        <v>0</v>
      </c>
      <c r="CBN48" s="26">
        <v>0</v>
      </c>
      <c r="CBO48" s="26">
        <v>0.2</v>
      </c>
      <c r="CBP48" s="26">
        <v>0.2</v>
      </c>
      <c r="CBQ48" s="26">
        <v>0.5</v>
      </c>
      <c r="CBR48" s="26">
        <v>0.5</v>
      </c>
      <c r="CBS48" s="26">
        <v>0.5</v>
      </c>
      <c r="CBT48" s="26">
        <v>0.5</v>
      </c>
      <c r="CBU48" s="27" t="s">
        <v>28</v>
      </c>
      <c r="CBV48" s="27" t="s">
        <v>8804</v>
      </c>
      <c r="CBW48" s="27" t="s">
        <v>8294</v>
      </c>
      <c r="CBX48" s="27" t="s">
        <v>8418</v>
      </c>
      <c r="CBY48" s="27" t="s">
        <v>8296</v>
      </c>
      <c r="CBZ48" s="27" t="s">
        <v>8296</v>
      </c>
      <c r="CCA48" s="27" t="s">
        <v>8297</v>
      </c>
      <c r="CCB48" s="27" t="s">
        <v>8298</v>
      </c>
      <c r="CCC48" s="27" t="s">
        <v>8296</v>
      </c>
      <c r="CCD48" s="27" t="s">
        <v>8297</v>
      </c>
      <c r="CCE48" s="27" t="s">
        <v>8296</v>
      </c>
      <c r="CCF48" s="27" t="s">
        <v>8296</v>
      </c>
      <c r="CCG48" s="27" t="s">
        <v>8296</v>
      </c>
      <c r="CCH48" s="27" t="s">
        <v>8296</v>
      </c>
      <c r="CCI48" s="27" t="s">
        <v>8298</v>
      </c>
      <c r="CCJ48" s="27" t="s">
        <v>8298</v>
      </c>
      <c r="CCK48" s="27" t="s">
        <v>8297</v>
      </c>
      <c r="CCL48" s="27" t="s">
        <v>8297</v>
      </c>
      <c r="CCM48" s="27" t="s">
        <v>8296</v>
      </c>
      <c r="CCN48" s="27" t="s">
        <v>8296</v>
      </c>
      <c r="CCO48" s="27" t="s">
        <v>8300</v>
      </c>
      <c r="CCP48" s="27" t="s">
        <v>8298</v>
      </c>
      <c r="CCQ48" s="27" t="s">
        <v>8296</v>
      </c>
      <c r="CCR48" s="27" t="s">
        <v>8296</v>
      </c>
      <c r="CCS48" s="27" t="s">
        <v>8298</v>
      </c>
      <c r="CCT48" s="27" t="s">
        <v>8296</v>
      </c>
      <c r="CCU48" s="27" t="s">
        <v>8298</v>
      </c>
      <c r="CCV48" s="27" t="s">
        <v>8298</v>
      </c>
      <c r="CCW48" s="27" t="s">
        <v>8298</v>
      </c>
      <c r="CCX48" s="27" t="s">
        <v>8298</v>
      </c>
      <c r="CCY48" s="27" t="s">
        <v>8298</v>
      </c>
      <c r="CCZ48" s="27" t="s">
        <v>28</v>
      </c>
      <c r="CDA48" s="27" t="s">
        <v>28</v>
      </c>
      <c r="CDB48" s="27" t="s">
        <v>28</v>
      </c>
      <c r="CDC48" s="27" t="s">
        <v>25</v>
      </c>
      <c r="CDD48" s="27" t="s">
        <v>28</v>
      </c>
      <c r="CDE48" s="27" t="s">
        <v>28</v>
      </c>
      <c r="CDF48" s="27" t="s">
        <v>28</v>
      </c>
      <c r="CDG48" s="27" t="s">
        <v>28</v>
      </c>
      <c r="CDH48" s="27" t="s">
        <v>28</v>
      </c>
      <c r="CDI48" s="27" t="s">
        <v>28</v>
      </c>
      <c r="CDJ48" s="27" t="s">
        <v>25</v>
      </c>
      <c r="CDK48" s="27" t="s">
        <v>28</v>
      </c>
      <c r="CDL48" s="27" t="s">
        <v>28</v>
      </c>
      <c r="CDM48" s="27" t="s">
        <v>28</v>
      </c>
      <c r="CDN48" s="27" t="s">
        <v>28</v>
      </c>
      <c r="CDO48" s="27" t="s">
        <v>28</v>
      </c>
      <c r="CDP48" s="27" t="s">
        <v>28</v>
      </c>
      <c r="CDQ48" s="27" t="s">
        <v>28</v>
      </c>
      <c r="CDR48" s="27" t="s">
        <v>28</v>
      </c>
      <c r="CDS48" s="27" t="s">
        <v>28</v>
      </c>
      <c r="CDT48" s="27" t="s">
        <v>25</v>
      </c>
      <c r="CDU48" s="27" t="s">
        <v>28</v>
      </c>
      <c r="CDV48" s="27" t="s">
        <v>25</v>
      </c>
      <c r="CDW48" s="27" t="s">
        <v>28</v>
      </c>
      <c r="CDX48" s="27" t="s">
        <v>25</v>
      </c>
      <c r="CDY48" s="27" t="s">
        <v>25</v>
      </c>
      <c r="CDZ48" s="27" t="s">
        <v>25</v>
      </c>
      <c r="CEA48" s="27" t="s">
        <v>8305</v>
      </c>
      <c r="CEB48" s="27" t="s">
        <v>2673</v>
      </c>
      <c r="CEC48" s="27" t="s">
        <v>2673</v>
      </c>
      <c r="CED48" s="27" t="s">
        <v>8420</v>
      </c>
      <c r="CEE48" s="27" t="s">
        <v>2673</v>
      </c>
      <c r="CEF48" s="27" t="s">
        <v>8301</v>
      </c>
      <c r="CEG48" s="27" t="s">
        <v>2673</v>
      </c>
      <c r="CEH48" s="27" t="s">
        <v>8305</v>
      </c>
      <c r="CEI48" s="27" t="s">
        <v>2673</v>
      </c>
      <c r="CEJ48" s="27" t="s">
        <v>2673</v>
      </c>
      <c r="CEK48" s="27" t="s">
        <v>8420</v>
      </c>
      <c r="CEL48" s="27" t="s">
        <v>8302</v>
      </c>
      <c r="CEM48" s="27" t="s">
        <v>8306</v>
      </c>
      <c r="CEN48" s="27" t="s">
        <v>8301</v>
      </c>
      <c r="CEO48" s="27" t="s">
        <v>8301</v>
      </c>
      <c r="CEP48" s="27" t="s">
        <v>8304</v>
      </c>
      <c r="CEQ48" s="27" t="s">
        <v>8304</v>
      </c>
      <c r="CER48" s="27" t="s">
        <v>8305</v>
      </c>
      <c r="CES48" s="27" t="s">
        <v>8306</v>
      </c>
      <c r="CET48" s="27" t="s">
        <v>2673</v>
      </c>
      <c r="CEU48" s="27" t="s">
        <v>2673</v>
      </c>
      <c r="CEV48" s="27" t="s">
        <v>2673</v>
      </c>
      <c r="CEW48" s="27" t="s">
        <v>2673</v>
      </c>
      <c r="CEX48" s="27" t="s">
        <v>8302</v>
      </c>
      <c r="CEY48" s="27" t="s">
        <v>8420</v>
      </c>
      <c r="CEZ48" s="27" t="s">
        <v>8303</v>
      </c>
      <c r="CFA48" s="27" t="s">
        <v>2673</v>
      </c>
      <c r="CFB48" s="27" t="s">
        <v>25</v>
      </c>
      <c r="CFC48" s="27" t="s">
        <v>25</v>
      </c>
      <c r="CFD48" s="27" t="s">
        <v>25</v>
      </c>
      <c r="CFE48" s="27" t="s">
        <v>25</v>
      </c>
      <c r="CFF48" s="27" t="s">
        <v>25</v>
      </c>
      <c r="CFG48" s="27" t="s">
        <v>25</v>
      </c>
      <c r="CFH48" s="27" t="s">
        <v>25</v>
      </c>
      <c r="CFI48" s="27" t="s">
        <v>25</v>
      </c>
      <c r="CFJ48" s="27" t="s">
        <v>25</v>
      </c>
      <c r="CFK48" s="27" t="s">
        <v>25</v>
      </c>
      <c r="CFL48" s="27" t="s">
        <v>25</v>
      </c>
      <c r="CFM48" s="27" t="s">
        <v>25</v>
      </c>
      <c r="CFN48" s="27" t="s">
        <v>25</v>
      </c>
      <c r="CFO48" s="27" t="s">
        <v>25</v>
      </c>
      <c r="CFP48" s="27" t="s">
        <v>25</v>
      </c>
      <c r="CFQ48" s="27" t="s">
        <v>25</v>
      </c>
      <c r="CFR48" s="27" t="s">
        <v>25</v>
      </c>
      <c r="CFS48" s="27" t="s">
        <v>25</v>
      </c>
      <c r="CFT48" s="27" t="s">
        <v>25</v>
      </c>
      <c r="CFU48" s="27" t="s">
        <v>25</v>
      </c>
      <c r="CFV48" s="27" t="s">
        <v>25</v>
      </c>
      <c r="CFW48" s="27" t="s">
        <v>25</v>
      </c>
      <c r="CFX48" s="27" t="s">
        <v>25</v>
      </c>
      <c r="CFY48" s="27" t="s">
        <v>25</v>
      </c>
      <c r="CFZ48" s="27" t="s">
        <v>25</v>
      </c>
      <c r="CGA48" s="27" t="s">
        <v>25</v>
      </c>
      <c r="CGB48" s="27" t="s">
        <v>25</v>
      </c>
      <c r="CPW48" s="27">
        <v>1</v>
      </c>
      <c r="CPX48" s="56">
        <v>10</v>
      </c>
      <c r="CQB48" s="25" t="s">
        <v>8372</v>
      </c>
      <c r="CQC48" s="25" t="s">
        <v>8372</v>
      </c>
      <c r="CQD48" s="25" t="s">
        <v>8523</v>
      </c>
      <c r="CQE48" s="25" t="s">
        <v>8372</v>
      </c>
      <c r="CQF48" s="25" t="s">
        <v>8372</v>
      </c>
      <c r="CQG48" s="56">
        <v>400</v>
      </c>
      <c r="CQH48" s="56">
        <v>250</v>
      </c>
      <c r="CQI48" s="56">
        <v>250</v>
      </c>
      <c r="CQJ48" s="56">
        <v>250</v>
      </c>
      <c r="CQK48" s="56">
        <v>250</v>
      </c>
      <c r="CQL48" s="25" t="s">
        <v>13664</v>
      </c>
      <c r="CQM48" s="25" t="s">
        <v>8345</v>
      </c>
      <c r="CQN48" s="25" t="s">
        <v>28</v>
      </c>
      <c r="CQO48" s="25" t="s">
        <v>8309</v>
      </c>
      <c r="CQQ48" s="25" t="s">
        <v>8805</v>
      </c>
      <c r="CQR48" s="25" t="s">
        <v>8806</v>
      </c>
      <c r="CQS48" s="25" t="s">
        <v>25</v>
      </c>
      <c r="CQT48" s="25" t="s">
        <v>8313</v>
      </c>
      <c r="CQU48" s="25" t="s">
        <v>8313</v>
      </c>
      <c r="CQV48" s="25" t="s">
        <v>8313</v>
      </c>
      <c r="CQW48" s="25" t="s">
        <v>8313</v>
      </c>
      <c r="CQX48" s="25" t="s">
        <v>8313</v>
      </c>
      <c r="CQY48" s="25" t="s">
        <v>8313</v>
      </c>
      <c r="CQZ48" s="25" t="s">
        <v>8313</v>
      </c>
      <c r="CRA48" s="25" t="s">
        <v>8314</v>
      </c>
      <c r="CRB48" s="25" t="s">
        <v>8314</v>
      </c>
      <c r="CRC48" s="25" t="s">
        <v>8313</v>
      </c>
      <c r="CRD48" s="25" t="s">
        <v>8314</v>
      </c>
      <c r="CRE48" s="27" t="s">
        <v>8313</v>
      </c>
    </row>
    <row r="49" spans="1:2048 2050:2501" ht="76.5" x14ac:dyDescent="0.2">
      <c r="A49" s="21" t="s">
        <v>128</v>
      </c>
      <c r="B49" s="26">
        <v>0.26</v>
      </c>
      <c r="C49" s="26">
        <v>0.28000000000000003</v>
      </c>
      <c r="D49" s="26">
        <v>0.02</v>
      </c>
      <c r="E49" s="26">
        <v>0.35</v>
      </c>
      <c r="F49" s="26">
        <v>0</v>
      </c>
      <c r="G49" s="26">
        <v>0</v>
      </c>
      <c r="H49" s="26">
        <v>0</v>
      </c>
      <c r="I49" s="26">
        <v>0</v>
      </c>
      <c r="J49" s="26">
        <v>0</v>
      </c>
      <c r="K49" s="26">
        <v>0</v>
      </c>
      <c r="L49" s="26">
        <v>0</v>
      </c>
      <c r="M49" s="26">
        <v>0.09</v>
      </c>
      <c r="N49" s="26">
        <v>0.28999999999999998</v>
      </c>
      <c r="O49" s="26">
        <v>0.56999999999999995</v>
      </c>
      <c r="P49" s="26">
        <v>0</v>
      </c>
      <c r="Q49" s="26">
        <v>0.14000000000000001</v>
      </c>
      <c r="R49" s="26">
        <v>0</v>
      </c>
      <c r="S49" s="26">
        <v>0</v>
      </c>
      <c r="T49" s="26">
        <v>0</v>
      </c>
      <c r="U49" s="26">
        <v>0</v>
      </c>
      <c r="V49" s="26">
        <v>0</v>
      </c>
      <c r="W49" s="26">
        <v>0</v>
      </c>
      <c r="X49" s="26">
        <v>0</v>
      </c>
      <c r="Y49" s="26">
        <v>0</v>
      </c>
      <c r="Z49" s="25">
        <v>1</v>
      </c>
      <c r="AA49" s="25" t="s">
        <v>8490</v>
      </c>
      <c r="AC49" s="56">
        <v>4600</v>
      </c>
      <c r="AD49" s="56">
        <v>9200</v>
      </c>
      <c r="AE49" s="56">
        <v>9100</v>
      </c>
      <c r="AF49" s="56">
        <v>18200</v>
      </c>
      <c r="AI49" s="25" t="s">
        <v>8246</v>
      </c>
      <c r="AJ49" s="56">
        <v>600</v>
      </c>
      <c r="AK49" s="56">
        <v>1200</v>
      </c>
      <c r="AL49" s="56">
        <v>1100</v>
      </c>
      <c r="AM49" s="56">
        <v>2200</v>
      </c>
      <c r="AN49" s="25" t="s">
        <v>8350</v>
      </c>
      <c r="AO49" s="25" t="s">
        <v>8248</v>
      </c>
      <c r="BB49" s="25" t="s">
        <v>8249</v>
      </c>
      <c r="DO49" s="25" t="s">
        <v>25</v>
      </c>
      <c r="DP49" s="25" t="s">
        <v>28</v>
      </c>
      <c r="DQ49" s="25" t="s">
        <v>25</v>
      </c>
      <c r="DR49" s="25" t="s">
        <v>25</v>
      </c>
      <c r="DT49" s="25" t="s">
        <v>13417</v>
      </c>
      <c r="DU49" s="25" t="s">
        <v>13420</v>
      </c>
      <c r="DY49" s="56">
        <v>150</v>
      </c>
      <c r="DZ49" s="56">
        <v>60</v>
      </c>
      <c r="EC49" s="26">
        <v>0.2</v>
      </c>
      <c r="ED49" s="26">
        <v>0.2</v>
      </c>
      <c r="EE49" s="26">
        <v>0.2</v>
      </c>
      <c r="EM49" s="56">
        <v>150</v>
      </c>
      <c r="EQ49" s="26">
        <v>0.3</v>
      </c>
      <c r="ER49" s="26">
        <v>0.3</v>
      </c>
      <c r="ES49" s="26">
        <v>0.3</v>
      </c>
      <c r="EU49" s="26">
        <v>0.3</v>
      </c>
      <c r="EX49" s="25" t="s">
        <v>8250</v>
      </c>
      <c r="EY49" s="25" t="s">
        <v>8250</v>
      </c>
      <c r="EZ49" s="25" t="s">
        <v>8250</v>
      </c>
      <c r="FA49" s="25" t="s">
        <v>8250</v>
      </c>
      <c r="FB49" s="25" t="s">
        <v>8250</v>
      </c>
      <c r="FC49" s="25" t="s">
        <v>8250</v>
      </c>
      <c r="FE49" s="25" t="s">
        <v>25</v>
      </c>
      <c r="FF49" s="25" t="s">
        <v>25</v>
      </c>
      <c r="FG49" s="25" t="s">
        <v>25</v>
      </c>
      <c r="FH49" s="25" t="s">
        <v>25</v>
      </c>
      <c r="FI49" s="25" t="s">
        <v>25</v>
      </c>
      <c r="FJ49" s="25" t="s">
        <v>25</v>
      </c>
      <c r="FL49" s="25" t="s">
        <v>8252</v>
      </c>
      <c r="FM49" s="25" t="s">
        <v>8252</v>
      </c>
      <c r="FN49" s="25" t="s">
        <v>8252</v>
      </c>
      <c r="FO49" s="25" t="s">
        <v>8252</v>
      </c>
      <c r="FP49" s="25" t="s">
        <v>8252</v>
      </c>
      <c r="FQ49" s="25" t="s">
        <v>8252</v>
      </c>
      <c r="FR49" s="25" t="s">
        <v>8252</v>
      </c>
      <c r="FS49" s="25" t="s">
        <v>631</v>
      </c>
      <c r="FT49" s="25" t="s">
        <v>631</v>
      </c>
      <c r="FU49" s="25" t="s">
        <v>631</v>
      </c>
      <c r="FV49" s="25" t="s">
        <v>8253</v>
      </c>
      <c r="FW49" s="25" t="s">
        <v>8253</v>
      </c>
      <c r="FX49" s="25" t="s">
        <v>8253</v>
      </c>
      <c r="FY49" s="25" t="s">
        <v>8491</v>
      </c>
      <c r="FZ49" s="25" t="s">
        <v>8253</v>
      </c>
      <c r="GA49" s="25" t="s">
        <v>8262</v>
      </c>
      <c r="GB49" s="25" t="s">
        <v>8253</v>
      </c>
      <c r="GE49" s="56">
        <v>10</v>
      </c>
      <c r="GG49" s="56">
        <v>20</v>
      </c>
      <c r="GI49" s="56">
        <v>35</v>
      </c>
      <c r="GK49" s="56">
        <v>70</v>
      </c>
      <c r="GM49" s="56">
        <v>50</v>
      </c>
      <c r="GO49" s="56">
        <v>100</v>
      </c>
      <c r="KM49" s="25" t="s">
        <v>8255</v>
      </c>
      <c r="KN49" s="25" t="s">
        <v>8298</v>
      </c>
      <c r="KO49" s="25" t="s">
        <v>8263</v>
      </c>
      <c r="KP49" s="25">
        <v>1</v>
      </c>
      <c r="KQ49" s="25" t="s">
        <v>8492</v>
      </c>
      <c r="KS49" s="56">
        <v>4000</v>
      </c>
      <c r="KT49" s="56">
        <v>6850</v>
      </c>
      <c r="KU49" s="56">
        <v>8000</v>
      </c>
      <c r="KV49" s="56">
        <v>16000</v>
      </c>
      <c r="KY49" s="25" t="s">
        <v>8246</v>
      </c>
      <c r="KZ49" s="56">
        <v>1500</v>
      </c>
      <c r="LA49" s="56">
        <v>3000</v>
      </c>
      <c r="LB49" s="56">
        <v>3000</v>
      </c>
      <c r="LC49" s="56">
        <v>6000</v>
      </c>
      <c r="LD49" s="25" t="s">
        <v>8350</v>
      </c>
      <c r="LE49" s="25" t="s">
        <v>8248</v>
      </c>
      <c r="LR49" s="25" t="s">
        <v>8249</v>
      </c>
      <c r="OE49" s="25" t="s">
        <v>25</v>
      </c>
      <c r="OF49" s="25" t="s">
        <v>28</v>
      </c>
      <c r="OG49" s="25" t="s">
        <v>25</v>
      </c>
      <c r="OH49" s="25" t="s">
        <v>25</v>
      </c>
      <c r="OJ49" s="25" t="s">
        <v>13416</v>
      </c>
      <c r="OK49" s="25" t="s">
        <v>13420</v>
      </c>
      <c r="OS49" s="26">
        <v>0.2</v>
      </c>
      <c r="OT49" s="26">
        <v>0.2</v>
      </c>
      <c r="OU49" s="26">
        <v>0.2</v>
      </c>
      <c r="OV49" s="26">
        <v>0.2</v>
      </c>
      <c r="OW49" s="26">
        <v>0.2</v>
      </c>
      <c r="OX49" s="26">
        <v>0.2</v>
      </c>
      <c r="PG49" s="26">
        <v>0.3</v>
      </c>
      <c r="PH49" s="26">
        <v>0.3</v>
      </c>
      <c r="PI49" s="26">
        <v>0.3</v>
      </c>
      <c r="PJ49" s="26">
        <v>0.2</v>
      </c>
      <c r="PK49" s="26">
        <v>0.3</v>
      </c>
      <c r="PN49" s="25" t="s">
        <v>8250</v>
      </c>
      <c r="PO49" s="25" t="s">
        <v>8250</v>
      </c>
      <c r="PP49" s="25" t="s">
        <v>8250</v>
      </c>
      <c r="PQ49" s="25" t="s">
        <v>8250</v>
      </c>
      <c r="PR49" s="25" t="s">
        <v>8250</v>
      </c>
      <c r="PS49" s="25" t="s">
        <v>8250</v>
      </c>
      <c r="PU49" s="25" t="s">
        <v>25</v>
      </c>
      <c r="PV49" s="25" t="s">
        <v>25</v>
      </c>
      <c r="PW49" s="25" t="s">
        <v>25</v>
      </c>
      <c r="PX49" s="25" t="s">
        <v>25</v>
      </c>
      <c r="PY49" s="25" t="s">
        <v>25</v>
      </c>
      <c r="PZ49" s="25" t="s">
        <v>25</v>
      </c>
      <c r="QB49" s="25" t="s">
        <v>13810</v>
      </c>
      <c r="QC49" s="25" t="s">
        <v>13810</v>
      </c>
      <c r="QD49" s="25" t="s">
        <v>13810</v>
      </c>
      <c r="QE49" s="25" t="s">
        <v>8252</v>
      </c>
      <c r="QF49" s="25" t="s">
        <v>631</v>
      </c>
      <c r="QG49" s="25" t="s">
        <v>13810</v>
      </c>
      <c r="QH49" s="25" t="s">
        <v>631</v>
      </c>
      <c r="QI49" s="25" t="s">
        <v>631</v>
      </c>
      <c r="QJ49" s="25" t="s">
        <v>631</v>
      </c>
      <c r="QK49" s="25" t="s">
        <v>631</v>
      </c>
      <c r="QL49" s="25" t="s">
        <v>8253</v>
      </c>
      <c r="QM49" s="25" t="s">
        <v>8253</v>
      </c>
      <c r="QN49" s="25" t="s">
        <v>8253</v>
      </c>
      <c r="QO49" s="25" t="s">
        <v>8493</v>
      </c>
      <c r="QQ49" s="25" t="s">
        <v>8262</v>
      </c>
      <c r="RW49" s="26">
        <v>0.2</v>
      </c>
      <c r="RX49" s="26">
        <v>0.2</v>
      </c>
      <c r="RY49" s="26">
        <v>0.2</v>
      </c>
      <c r="SH49" s="56">
        <v>20</v>
      </c>
      <c r="TM49" s="26">
        <v>0.2</v>
      </c>
      <c r="TN49" s="26">
        <v>0.2</v>
      </c>
      <c r="TO49" s="26">
        <v>0.2</v>
      </c>
      <c r="VC49" s="25" t="s">
        <v>8255</v>
      </c>
      <c r="VD49" s="25" t="s">
        <v>8298</v>
      </c>
      <c r="VE49" s="25" t="s">
        <v>8321</v>
      </c>
      <c r="VF49" s="25">
        <v>1</v>
      </c>
      <c r="VG49" s="25" t="s">
        <v>8494</v>
      </c>
      <c r="VI49" s="56">
        <v>3250</v>
      </c>
      <c r="VJ49" s="56">
        <v>6500</v>
      </c>
      <c r="VO49" s="25" t="s">
        <v>8260</v>
      </c>
      <c r="VP49" s="56">
        <v>0</v>
      </c>
      <c r="VQ49" s="56">
        <v>0</v>
      </c>
      <c r="VT49" s="25" t="s">
        <v>8248</v>
      </c>
      <c r="YT49" s="25" t="s">
        <v>25</v>
      </c>
      <c r="YU49" s="25" t="s">
        <v>28</v>
      </c>
      <c r="YV49" s="25" t="s">
        <v>25</v>
      </c>
      <c r="YW49" s="25" t="s">
        <v>25</v>
      </c>
      <c r="YY49" s="25" t="s">
        <v>13417</v>
      </c>
      <c r="YZ49" s="25" t="s">
        <v>8432</v>
      </c>
      <c r="ZA49" s="56">
        <v>35</v>
      </c>
      <c r="ZB49" s="56">
        <v>50</v>
      </c>
      <c r="ZC49" s="56">
        <v>50</v>
      </c>
      <c r="ZD49" s="56">
        <v>150</v>
      </c>
      <c r="ZE49" s="56">
        <v>60</v>
      </c>
      <c r="ZF49" s="56">
        <v>35</v>
      </c>
      <c r="ZR49" s="56">
        <v>150</v>
      </c>
      <c r="ZS49" s="56">
        <v>60</v>
      </c>
      <c r="AAC49" s="25" t="s">
        <v>8250</v>
      </c>
      <c r="AAD49" s="25" t="s">
        <v>8250</v>
      </c>
      <c r="AAE49" s="25" t="s">
        <v>8250</v>
      </c>
      <c r="AAF49" s="25" t="s">
        <v>8250</v>
      </c>
      <c r="AAG49" s="25" t="s">
        <v>8250</v>
      </c>
      <c r="AAH49" s="25" t="s">
        <v>8250</v>
      </c>
      <c r="AAJ49" s="25" t="s">
        <v>25</v>
      </c>
      <c r="AAK49" s="25" t="s">
        <v>25</v>
      </c>
      <c r="AAL49" s="25" t="s">
        <v>25</v>
      </c>
      <c r="AAM49" s="25" t="s">
        <v>25</v>
      </c>
      <c r="AAN49" s="25" t="s">
        <v>25</v>
      </c>
      <c r="AAO49" s="25" t="s">
        <v>25</v>
      </c>
      <c r="AAQ49" s="25" t="s">
        <v>13810</v>
      </c>
      <c r="AAR49" s="25" t="s">
        <v>13810</v>
      </c>
      <c r="AAS49" s="25" t="s">
        <v>13810</v>
      </c>
      <c r="AAT49" s="25" t="s">
        <v>8252</v>
      </c>
      <c r="AAU49" s="25" t="s">
        <v>631</v>
      </c>
      <c r="AAV49" s="25" t="s">
        <v>13810</v>
      </c>
      <c r="AAW49" s="25" t="s">
        <v>631</v>
      </c>
      <c r="AAX49" s="25" t="s">
        <v>631</v>
      </c>
      <c r="AAY49" s="25" t="s">
        <v>631</v>
      </c>
      <c r="AAZ49" s="25" t="s">
        <v>631</v>
      </c>
      <c r="ABA49" s="25" t="s">
        <v>8253</v>
      </c>
      <c r="ABB49" s="25" t="s">
        <v>8253</v>
      </c>
      <c r="ABC49" s="25" t="s">
        <v>8253</v>
      </c>
      <c r="ABD49" s="25" t="s">
        <v>8493</v>
      </c>
      <c r="ABF49" s="25" t="s">
        <v>8253</v>
      </c>
      <c r="ABJ49" s="56">
        <v>10</v>
      </c>
      <c r="ABL49" s="56">
        <v>20</v>
      </c>
      <c r="ABN49" s="56">
        <v>35</v>
      </c>
      <c r="ABP49" s="56">
        <v>70</v>
      </c>
      <c r="ABR49" s="56">
        <v>50</v>
      </c>
      <c r="ABT49" s="56">
        <v>100</v>
      </c>
      <c r="AFR49" s="25" t="s">
        <v>8255</v>
      </c>
      <c r="AFS49" s="25" t="s">
        <v>8298</v>
      </c>
      <c r="AFT49" s="25" t="s">
        <v>8321</v>
      </c>
      <c r="AFU49" s="25">
        <v>0</v>
      </c>
      <c r="AFX49" s="25"/>
      <c r="AFY49" s="25"/>
      <c r="AFZ49" s="25"/>
      <c r="AGA49" s="25"/>
      <c r="AGB49" s="25"/>
      <c r="AGC49" s="25"/>
      <c r="AGE49" s="25"/>
      <c r="AGF49" s="25"/>
      <c r="AGG49" s="25"/>
      <c r="AGH49" s="25"/>
      <c r="AJP49" s="25"/>
      <c r="AJQ49" s="25"/>
      <c r="AJR49" s="25"/>
      <c r="AJS49" s="25"/>
      <c r="AJT49" s="25"/>
      <c r="AJU49" s="25"/>
      <c r="AJV49" s="25"/>
      <c r="AKD49" s="25"/>
      <c r="AKE49" s="25"/>
      <c r="AKF49" s="25"/>
      <c r="AKG49" s="25"/>
      <c r="AKH49" s="25"/>
      <c r="AKI49" s="25"/>
      <c r="AKJ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H49" s="25"/>
      <c r="ANI49" s="25"/>
      <c r="ANJ49" s="25"/>
      <c r="ANK49" s="25"/>
      <c r="ANL49" s="25"/>
      <c r="ANM49" s="25"/>
      <c r="ANN49" s="25"/>
      <c r="ANO49" s="25"/>
      <c r="ANP49" s="25"/>
      <c r="ANQ49" s="25"/>
      <c r="ANR49" s="25"/>
      <c r="ANS49" s="25"/>
      <c r="ANT49" s="25"/>
      <c r="ANU49" s="25"/>
      <c r="AOC49" s="25"/>
      <c r="AOD49" s="25"/>
      <c r="AOE49" s="25"/>
      <c r="AOF49" s="25"/>
      <c r="AOG49" s="25"/>
      <c r="AOH49" s="25"/>
      <c r="AOI49" s="25"/>
      <c r="AOJ49" s="25"/>
      <c r="AOK49" s="25"/>
      <c r="AOL49" s="25"/>
      <c r="AOM49" s="25"/>
      <c r="AON49" s="25"/>
      <c r="AOO49" s="25"/>
      <c r="AOP49" s="25"/>
      <c r="AOX49" s="25"/>
      <c r="AOY49" s="25"/>
      <c r="AOZ49" s="25"/>
      <c r="APA49" s="25"/>
      <c r="APB49" s="25"/>
      <c r="APC49" s="25"/>
      <c r="APD49" s="25"/>
      <c r="APE49" s="25"/>
      <c r="APF49" s="25"/>
      <c r="APG49" s="25"/>
      <c r="APH49" s="25"/>
      <c r="API49" s="25"/>
      <c r="APJ49" s="25"/>
      <c r="APK49" s="25"/>
      <c r="APS49" s="25"/>
      <c r="APT49" s="25"/>
      <c r="APU49" s="25"/>
      <c r="APV49" s="25"/>
      <c r="APW49" s="25"/>
      <c r="APX49" s="25"/>
      <c r="APY49" s="25"/>
      <c r="APZ49" s="25"/>
      <c r="AQA49" s="25"/>
      <c r="AQB49" s="25"/>
      <c r="AQC49" s="25"/>
      <c r="AQD49" s="25"/>
      <c r="AQE49" s="25"/>
      <c r="AQF49" s="25"/>
      <c r="AQJ49" s="25">
        <v>1</v>
      </c>
      <c r="AQK49" s="25" t="s">
        <v>3971</v>
      </c>
      <c r="AQM49" s="56">
        <v>1500</v>
      </c>
      <c r="AQN49" s="56">
        <v>3000</v>
      </c>
      <c r="AQS49" s="25" t="s">
        <v>8260</v>
      </c>
      <c r="AQT49" s="56">
        <v>0</v>
      </c>
      <c r="AQU49" s="56">
        <v>0</v>
      </c>
      <c r="AQX49" s="25" t="s">
        <v>8248</v>
      </c>
      <c r="ATX49" s="25" t="s">
        <v>25</v>
      </c>
      <c r="ATY49" s="25" t="s">
        <v>28</v>
      </c>
      <c r="ATZ49" s="25" t="s">
        <v>25</v>
      </c>
      <c r="AUA49" s="25" t="s">
        <v>25</v>
      </c>
      <c r="AUC49" s="25" t="s">
        <v>13417</v>
      </c>
      <c r="AUE49" s="56">
        <v>25</v>
      </c>
      <c r="AUF49" s="56">
        <v>25</v>
      </c>
      <c r="AUG49" s="56">
        <v>25</v>
      </c>
      <c r="AUH49" s="56">
        <v>150</v>
      </c>
      <c r="AUI49" s="56">
        <v>25</v>
      </c>
      <c r="AUJ49" s="56">
        <v>25</v>
      </c>
      <c r="AVG49" s="25" t="s">
        <v>8250</v>
      </c>
      <c r="AVH49" s="25" t="s">
        <v>8250</v>
      </c>
      <c r="AVI49" s="25" t="s">
        <v>8250</v>
      </c>
      <c r="AVJ49" s="25" t="s">
        <v>8250</v>
      </c>
      <c r="AVK49" s="25" t="s">
        <v>8250</v>
      </c>
      <c r="AVL49" s="25" t="s">
        <v>8250</v>
      </c>
      <c r="AVN49" s="25" t="s">
        <v>25</v>
      </c>
      <c r="AVO49" s="25" t="s">
        <v>25</v>
      </c>
      <c r="AVP49" s="25" t="s">
        <v>25</v>
      </c>
      <c r="AVQ49" s="25" t="s">
        <v>25</v>
      </c>
      <c r="AVR49" s="25" t="s">
        <v>25</v>
      </c>
      <c r="AVS49" s="25" t="s">
        <v>25</v>
      </c>
      <c r="AVU49" s="25" t="s">
        <v>13810</v>
      </c>
      <c r="AVV49" s="25" t="s">
        <v>13810</v>
      </c>
      <c r="AVW49" s="25" t="s">
        <v>13810</v>
      </c>
      <c r="AVX49" s="25" t="s">
        <v>13810</v>
      </c>
      <c r="AVY49" s="25" t="s">
        <v>631</v>
      </c>
      <c r="AVZ49" s="25" t="s">
        <v>631</v>
      </c>
      <c r="AWA49" s="25" t="s">
        <v>631</v>
      </c>
      <c r="AWB49" s="25" t="s">
        <v>631</v>
      </c>
      <c r="AWC49" s="25" t="s">
        <v>631</v>
      </c>
      <c r="AWD49" s="25" t="s">
        <v>631</v>
      </c>
      <c r="AWE49" s="25" t="s">
        <v>8253</v>
      </c>
      <c r="AWF49" s="25" t="s">
        <v>8253</v>
      </c>
      <c r="AWG49" s="25" t="s">
        <v>8253</v>
      </c>
      <c r="AWH49" s="25" t="s">
        <v>8253</v>
      </c>
      <c r="AWN49" s="56">
        <v>10</v>
      </c>
      <c r="AWP49" s="56">
        <v>20</v>
      </c>
      <c r="AWR49" s="56">
        <v>25</v>
      </c>
      <c r="AWT49" s="56">
        <v>50</v>
      </c>
      <c r="AWV49" s="56">
        <v>25</v>
      </c>
      <c r="AWX49" s="56">
        <v>50</v>
      </c>
      <c r="AXH49" s="56">
        <v>25</v>
      </c>
      <c r="AXJ49" s="56">
        <v>50</v>
      </c>
      <c r="BAV49" s="25" t="s">
        <v>8255</v>
      </c>
      <c r="BAW49" s="25" t="s">
        <v>8256</v>
      </c>
      <c r="BAX49" s="25" t="s">
        <v>8321</v>
      </c>
      <c r="BAY49" s="25">
        <v>0</v>
      </c>
      <c r="BBB49" s="25"/>
      <c r="BBC49" s="25"/>
      <c r="BBD49" s="25"/>
      <c r="BBE49" s="25"/>
      <c r="BBF49" s="25"/>
      <c r="BBG49" s="25"/>
      <c r="BBI49" s="25"/>
      <c r="BBJ49" s="25"/>
      <c r="BBK49" s="25"/>
      <c r="BBL49" s="25"/>
      <c r="BET49" s="25"/>
      <c r="BEU49" s="25"/>
      <c r="BEV49" s="25"/>
      <c r="BEW49" s="25"/>
      <c r="BEX49" s="25"/>
      <c r="BEY49" s="25"/>
      <c r="BEZ49" s="25"/>
      <c r="BFH49" s="25"/>
      <c r="BFI49" s="25"/>
      <c r="BFJ49" s="25"/>
      <c r="BFK49" s="25"/>
      <c r="BFL49" s="25"/>
      <c r="BFM49" s="25"/>
      <c r="BFN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L49" s="25"/>
      <c r="BIM49" s="25"/>
      <c r="BIN49" s="25"/>
      <c r="BIO49" s="25"/>
      <c r="BIP49" s="25"/>
      <c r="BIQ49" s="25"/>
      <c r="BIR49" s="25"/>
      <c r="BIS49" s="25"/>
      <c r="BIT49" s="25"/>
      <c r="BIU49" s="25"/>
      <c r="BIV49" s="25"/>
      <c r="BIW49" s="25"/>
      <c r="BIX49" s="25"/>
      <c r="BIY49" s="25"/>
      <c r="BJG49" s="25"/>
      <c r="BJH49" s="25"/>
      <c r="BJI49" s="25"/>
      <c r="BJJ49" s="25"/>
      <c r="BJK49" s="25"/>
      <c r="BJL49" s="25"/>
      <c r="BJM49" s="25"/>
      <c r="BJN49" s="25"/>
      <c r="BJO49" s="25"/>
      <c r="BJP49" s="25"/>
      <c r="BJQ49" s="25"/>
      <c r="BJR49" s="25"/>
      <c r="BJS49" s="25"/>
      <c r="BJT49" s="25"/>
      <c r="BKB49" s="25"/>
      <c r="BKC49" s="25"/>
      <c r="BKD49" s="25"/>
      <c r="BKE49" s="25"/>
      <c r="BKF49" s="25"/>
      <c r="BKG49" s="25"/>
      <c r="BKH49" s="25"/>
      <c r="BKI49" s="25"/>
      <c r="BKJ49" s="25"/>
      <c r="BKK49" s="25"/>
      <c r="BKL49" s="25"/>
      <c r="BKM49" s="25"/>
      <c r="BKN49" s="25"/>
      <c r="BKO49" s="25"/>
      <c r="BKW49" s="25"/>
      <c r="BKX49" s="25"/>
      <c r="BKY49" s="25"/>
      <c r="BKZ49" s="25"/>
      <c r="BLA49" s="25"/>
      <c r="BLB49" s="25"/>
      <c r="BLC49" s="25"/>
      <c r="BLD49" s="25"/>
      <c r="BLE49" s="25"/>
      <c r="BLF49" s="25"/>
      <c r="BLG49" s="25"/>
      <c r="BLH49" s="25"/>
      <c r="BLI49" s="25"/>
      <c r="BLJ49" s="25"/>
      <c r="BLN49" s="25">
        <v>0</v>
      </c>
      <c r="BLQ49" s="25"/>
      <c r="BLR49" s="25"/>
      <c r="BLS49" s="25"/>
      <c r="BLT49" s="25"/>
      <c r="BLU49" s="25"/>
      <c r="BLV49" s="25"/>
      <c r="BLX49" s="25"/>
      <c r="BLY49" s="25"/>
      <c r="BLZ49" s="25"/>
      <c r="BMA49" s="25"/>
      <c r="BPI49" s="25"/>
      <c r="BPJ49" s="25"/>
      <c r="BPK49" s="25"/>
      <c r="BPL49" s="25"/>
      <c r="BPM49" s="25"/>
      <c r="BPN49" s="25"/>
      <c r="BPO49" s="25"/>
      <c r="BPW49" s="25"/>
      <c r="BPX49" s="25"/>
      <c r="BPY49" s="25"/>
      <c r="BPZ49" s="25"/>
      <c r="BQA49" s="25"/>
      <c r="BQB49" s="25"/>
      <c r="BQC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TA49" s="25"/>
      <c r="BTB49" s="25"/>
      <c r="BTC49" s="25"/>
      <c r="BTD49" s="25"/>
      <c r="BTE49" s="25"/>
      <c r="BTF49" s="25"/>
      <c r="BTG49" s="25"/>
      <c r="BTH49" s="25"/>
      <c r="BTI49" s="25"/>
      <c r="BTJ49" s="25"/>
      <c r="BTK49" s="25"/>
      <c r="BTL49" s="25"/>
      <c r="BTM49" s="25"/>
      <c r="BTN49" s="25"/>
      <c r="BUQ49" s="25"/>
      <c r="BUR49" s="25"/>
      <c r="BUS49" s="25"/>
      <c r="BUT49" s="25"/>
      <c r="BUU49" s="25"/>
      <c r="BUV49" s="25"/>
      <c r="BUW49" s="25"/>
      <c r="BUX49" s="25"/>
      <c r="BUY49" s="25"/>
      <c r="BUZ49" s="25"/>
      <c r="BVA49" s="25"/>
      <c r="BVB49" s="25"/>
      <c r="BVC49" s="25"/>
      <c r="BVD49" s="25"/>
      <c r="BWC49" s="25" t="s">
        <v>28</v>
      </c>
      <c r="BWD49" s="25" t="s">
        <v>8495</v>
      </c>
      <c r="BWE49" s="25" t="s">
        <v>8357</v>
      </c>
      <c r="BWF49" s="25" t="s">
        <v>13713</v>
      </c>
      <c r="BWG49" s="25" t="s">
        <v>25</v>
      </c>
      <c r="BWH49" s="25" t="s">
        <v>2169</v>
      </c>
      <c r="BWI49" s="25" t="s">
        <v>28</v>
      </c>
      <c r="BWJ49" s="25" t="s">
        <v>8496</v>
      </c>
      <c r="BWK49" s="25" t="s">
        <v>25</v>
      </c>
      <c r="BWM49" s="25" t="s">
        <v>28</v>
      </c>
      <c r="BWN49" s="56">
        <v>2500</v>
      </c>
      <c r="BWO49" s="25" t="s">
        <v>25</v>
      </c>
      <c r="BWQ49" s="25" t="s">
        <v>28</v>
      </c>
      <c r="BWR49" s="25" t="s">
        <v>25</v>
      </c>
      <c r="BWT49" s="25" t="s">
        <v>25</v>
      </c>
      <c r="BWV49" s="25" t="s">
        <v>25</v>
      </c>
      <c r="BWX49" s="25" t="s">
        <v>28</v>
      </c>
      <c r="BWY49" s="25" t="s">
        <v>8358</v>
      </c>
      <c r="BWZ49" s="25" t="s">
        <v>25</v>
      </c>
      <c r="BXB49" s="25" t="s">
        <v>25</v>
      </c>
      <c r="BXD49" s="25" t="s">
        <v>28</v>
      </c>
      <c r="BXE49" s="25" t="s">
        <v>8497</v>
      </c>
      <c r="BXF49" s="25" t="s">
        <v>28</v>
      </c>
      <c r="BXG49" s="56">
        <v>20</v>
      </c>
      <c r="BXH49" s="25" t="s">
        <v>25</v>
      </c>
      <c r="BXJ49" s="25" t="s">
        <v>28</v>
      </c>
      <c r="BXK49" s="25" t="s">
        <v>8498</v>
      </c>
      <c r="BXL49" s="25" t="s">
        <v>8331</v>
      </c>
      <c r="BXM49" s="25" t="s">
        <v>2201</v>
      </c>
      <c r="BXN49" s="25" t="s">
        <v>8332</v>
      </c>
      <c r="BXO49" s="25" t="s">
        <v>8274</v>
      </c>
      <c r="BXP49" s="25" t="s">
        <v>8361</v>
      </c>
      <c r="BXQ49" s="25" t="s">
        <v>8274</v>
      </c>
      <c r="BXR49" s="25" t="s">
        <v>8274</v>
      </c>
      <c r="BXS49" s="25" t="s">
        <v>8274</v>
      </c>
      <c r="BXT49" s="25" t="s">
        <v>8499</v>
      </c>
      <c r="BXU49" s="25" t="s">
        <v>25</v>
      </c>
      <c r="BXW49" s="25" t="s">
        <v>28</v>
      </c>
      <c r="BXX49" s="25" t="s">
        <v>25</v>
      </c>
      <c r="BXY49" s="25" t="s">
        <v>25</v>
      </c>
      <c r="BXZ49" s="25" t="s">
        <v>25</v>
      </c>
      <c r="BYA49" s="25" t="s">
        <v>25</v>
      </c>
      <c r="BYB49" s="25" t="s">
        <v>25</v>
      </c>
      <c r="BYC49" s="25" t="s">
        <v>2201</v>
      </c>
      <c r="BYD49" s="25" t="s">
        <v>28</v>
      </c>
      <c r="BYE49" s="25" t="s">
        <v>13613</v>
      </c>
      <c r="BYF49" s="25" t="s">
        <v>8277</v>
      </c>
      <c r="BYH49" s="25" t="s">
        <v>8278</v>
      </c>
      <c r="BYK49" s="25" t="s">
        <v>25</v>
      </c>
      <c r="BYL49" s="25" t="s">
        <v>28</v>
      </c>
      <c r="BYM49" s="25">
        <v>120</v>
      </c>
      <c r="BYN49" s="25" t="s">
        <v>25</v>
      </c>
      <c r="BYP49" s="25" t="s">
        <v>28</v>
      </c>
      <c r="BYQ49" s="25">
        <v>120</v>
      </c>
      <c r="BYR49" s="25" t="s">
        <v>28</v>
      </c>
      <c r="BYS49" s="25" t="s">
        <v>8279</v>
      </c>
      <c r="BYT49" s="25" t="s">
        <v>732</v>
      </c>
      <c r="BYU49" s="25" t="s">
        <v>732</v>
      </c>
      <c r="BYV49" s="25" t="s">
        <v>25</v>
      </c>
      <c r="BYW49" s="25" t="s">
        <v>28</v>
      </c>
      <c r="BYX49" s="56">
        <v>1000</v>
      </c>
      <c r="BYY49" s="56">
        <v>1700</v>
      </c>
      <c r="BYZ49" s="25" t="s">
        <v>8280</v>
      </c>
      <c r="BZA49" s="25" t="s">
        <v>8500</v>
      </c>
      <c r="BZB49" s="25" t="s">
        <v>256</v>
      </c>
      <c r="BZC49" s="25" t="s">
        <v>8282</v>
      </c>
      <c r="BZD49" s="25" t="s">
        <v>28</v>
      </c>
      <c r="BZE49" s="25" t="s">
        <v>28</v>
      </c>
      <c r="BZF49" s="25" t="s">
        <v>28</v>
      </c>
      <c r="BZG49" s="25" t="s">
        <v>25</v>
      </c>
      <c r="BZJ49" s="25" t="s">
        <v>25</v>
      </c>
      <c r="BZM49" s="25" t="s">
        <v>28</v>
      </c>
      <c r="BZN49" s="25" t="s">
        <v>8283</v>
      </c>
      <c r="BZP49" s="25" t="s">
        <v>8366</v>
      </c>
      <c r="BZQ49" s="56">
        <v>1000</v>
      </c>
      <c r="BZR49" s="25" t="s">
        <v>28</v>
      </c>
      <c r="BZS49" s="25" t="s">
        <v>25</v>
      </c>
      <c r="BZT49" s="25" t="s">
        <v>8337</v>
      </c>
      <c r="BZV49" s="25" t="s">
        <v>8501</v>
      </c>
      <c r="BZX49" s="25" t="s">
        <v>8484</v>
      </c>
      <c r="BZZ49" s="25" t="s">
        <v>25</v>
      </c>
      <c r="CAC49" s="25" t="s">
        <v>25</v>
      </c>
      <c r="CAE49" s="25" t="s">
        <v>25</v>
      </c>
      <c r="CAG49" s="25" t="s">
        <v>25</v>
      </c>
      <c r="CAH49" s="25" t="s">
        <v>631</v>
      </c>
      <c r="CAI49" s="25" t="s">
        <v>631</v>
      </c>
      <c r="CAJ49" s="25" t="s">
        <v>631</v>
      </c>
      <c r="CAK49" s="25" t="s">
        <v>631</v>
      </c>
      <c r="CAL49" s="25" t="s">
        <v>631</v>
      </c>
      <c r="CAM49" s="25" t="s">
        <v>8290</v>
      </c>
      <c r="CAN49" s="25" t="s">
        <v>631</v>
      </c>
      <c r="CAO49" s="25" t="s">
        <v>631</v>
      </c>
      <c r="CAP49" s="25" t="s">
        <v>631</v>
      </c>
      <c r="CAR49" s="25" t="s">
        <v>8455</v>
      </c>
      <c r="CAT49" s="25" t="s">
        <v>25</v>
      </c>
      <c r="CBB49" s="25">
        <v>1</v>
      </c>
      <c r="CBC49" s="25">
        <v>0</v>
      </c>
      <c r="CBD49" s="25">
        <v>0</v>
      </c>
      <c r="CBE49" s="56">
        <v>50</v>
      </c>
      <c r="CBF49" s="56">
        <v>150</v>
      </c>
      <c r="CBG49" s="56">
        <v>50</v>
      </c>
      <c r="CBH49" s="56">
        <v>150</v>
      </c>
      <c r="CBI49" s="56">
        <v>2000</v>
      </c>
      <c r="CBK49" s="56">
        <v>2000</v>
      </c>
      <c r="CBM49" s="26">
        <v>0</v>
      </c>
      <c r="CBN49" s="26">
        <v>0</v>
      </c>
      <c r="CBO49" s="26">
        <v>0.1</v>
      </c>
      <c r="CBP49" s="26">
        <v>0.1</v>
      </c>
      <c r="CBQ49" s="26">
        <v>0.4</v>
      </c>
      <c r="CBR49" s="26">
        <v>0.4</v>
      </c>
      <c r="CBS49" s="26">
        <v>0.4</v>
      </c>
      <c r="CBT49" s="26">
        <v>0.4</v>
      </c>
      <c r="CBU49" s="27" t="s">
        <v>28</v>
      </c>
      <c r="CBV49" s="27" t="s">
        <v>8369</v>
      </c>
      <c r="CBW49" s="27" t="s">
        <v>8294</v>
      </c>
      <c r="CBX49" s="27" t="s">
        <v>8502</v>
      </c>
      <c r="CBY49" s="27" t="s">
        <v>8296</v>
      </c>
      <c r="CBZ49" s="27" t="s">
        <v>8296</v>
      </c>
      <c r="CCA49" s="27" t="s">
        <v>8297</v>
      </c>
      <c r="CCB49" s="27" t="s">
        <v>8298</v>
      </c>
      <c r="CCC49" s="27" t="s">
        <v>8296</v>
      </c>
      <c r="CCD49" s="27" t="s">
        <v>8297</v>
      </c>
      <c r="CCE49" s="27" t="s">
        <v>8297</v>
      </c>
      <c r="CCF49" s="27" t="s">
        <v>8297</v>
      </c>
      <c r="CCG49" s="27" t="s">
        <v>8297</v>
      </c>
      <c r="CCJ49" s="27" t="s">
        <v>8298</v>
      </c>
      <c r="CCK49" s="27" t="s">
        <v>8298</v>
      </c>
      <c r="CCL49" s="27" t="s">
        <v>8299</v>
      </c>
      <c r="CCM49" s="27" t="s">
        <v>8300</v>
      </c>
      <c r="CCN49" s="27" t="s">
        <v>8296</v>
      </c>
      <c r="CCO49" s="27" t="s">
        <v>8300</v>
      </c>
      <c r="CCP49" s="27" t="s">
        <v>8296</v>
      </c>
      <c r="CCQ49" s="27" t="s">
        <v>8296</v>
      </c>
      <c r="CCR49" s="27" t="s">
        <v>8296</v>
      </c>
      <c r="CCS49" s="27" t="s">
        <v>8298</v>
      </c>
      <c r="CCT49" s="27" t="s">
        <v>8296</v>
      </c>
      <c r="CCU49" s="27" t="s">
        <v>8298</v>
      </c>
      <c r="CCV49" s="27" t="s">
        <v>8298</v>
      </c>
      <c r="CCW49" s="27" t="s">
        <v>8298</v>
      </c>
      <c r="CCX49" s="27" t="s">
        <v>8298</v>
      </c>
      <c r="CCY49" s="27" t="s">
        <v>8298</v>
      </c>
      <c r="CCZ49" s="27" t="s">
        <v>28</v>
      </c>
      <c r="CDA49" s="27" t="s">
        <v>28</v>
      </c>
      <c r="CDB49" s="27" t="s">
        <v>28</v>
      </c>
      <c r="CDC49" s="27" t="s">
        <v>28</v>
      </c>
      <c r="CDD49" s="27" t="s">
        <v>28</v>
      </c>
      <c r="CDE49" s="27" t="s">
        <v>28</v>
      </c>
      <c r="CDF49" s="27" t="s">
        <v>28</v>
      </c>
      <c r="CDG49" s="27" t="s">
        <v>28</v>
      </c>
      <c r="CDH49" s="27" t="s">
        <v>28</v>
      </c>
      <c r="CDJ49" s="27" t="s">
        <v>28</v>
      </c>
      <c r="CDK49" s="27" t="s">
        <v>28</v>
      </c>
      <c r="CDL49" s="27" t="s">
        <v>28</v>
      </c>
      <c r="CDM49" s="27" t="s">
        <v>28</v>
      </c>
      <c r="CDN49" s="27" t="s">
        <v>28</v>
      </c>
      <c r="CDO49" s="27" t="s">
        <v>28</v>
      </c>
      <c r="CDP49" s="27" t="s">
        <v>25</v>
      </c>
      <c r="CDQ49" s="27" t="s">
        <v>28</v>
      </c>
      <c r="CDR49" s="27" t="s">
        <v>28</v>
      </c>
      <c r="CDS49" s="27" t="s">
        <v>28</v>
      </c>
      <c r="CDT49" s="27" t="s">
        <v>28</v>
      </c>
      <c r="CDU49" s="27" t="s">
        <v>28</v>
      </c>
      <c r="CDV49" s="27" t="s">
        <v>28</v>
      </c>
      <c r="CDW49" s="27" t="s">
        <v>28</v>
      </c>
      <c r="CDX49" s="27" t="s">
        <v>28</v>
      </c>
      <c r="CDY49" s="27" t="s">
        <v>28</v>
      </c>
      <c r="CDZ49" s="27" t="s">
        <v>28</v>
      </c>
      <c r="CEA49" s="27" t="s">
        <v>2673</v>
      </c>
      <c r="CEB49" s="27" t="s">
        <v>2673</v>
      </c>
      <c r="CEC49" s="27" t="s">
        <v>2673</v>
      </c>
      <c r="CED49" s="27" t="s">
        <v>8302</v>
      </c>
      <c r="CEE49" s="27" t="s">
        <v>8304</v>
      </c>
      <c r="CEF49" s="27" t="s">
        <v>2673</v>
      </c>
      <c r="CEG49" s="27" t="s">
        <v>2673</v>
      </c>
      <c r="CEH49" s="27" t="s">
        <v>2673</v>
      </c>
      <c r="CEI49" s="27" t="s">
        <v>2673</v>
      </c>
      <c r="CEK49" s="27" t="s">
        <v>8302</v>
      </c>
      <c r="CEL49" s="27" t="s">
        <v>8302</v>
      </c>
      <c r="CEM49" s="27" t="s">
        <v>2673</v>
      </c>
      <c r="CEN49" s="27" t="s">
        <v>2673</v>
      </c>
      <c r="CEO49" s="27" t="s">
        <v>8304</v>
      </c>
      <c r="CEP49" s="27" t="s">
        <v>2673</v>
      </c>
      <c r="CEQ49" s="27" t="s">
        <v>8304</v>
      </c>
      <c r="CER49" s="27" t="s">
        <v>8302</v>
      </c>
      <c r="CES49" s="27" t="s">
        <v>2673</v>
      </c>
      <c r="CET49" s="27" t="s">
        <v>2673</v>
      </c>
      <c r="CEU49" s="27" t="s">
        <v>2673</v>
      </c>
      <c r="CEV49" s="27" t="s">
        <v>2673</v>
      </c>
      <c r="CEW49" s="27" t="s">
        <v>8305</v>
      </c>
      <c r="CEX49" s="27" t="s">
        <v>8302</v>
      </c>
      <c r="CEY49" s="27" t="s">
        <v>8302</v>
      </c>
      <c r="CEZ49" s="27" t="s">
        <v>8306</v>
      </c>
      <c r="CFA49" s="27" t="s">
        <v>8306</v>
      </c>
      <c r="CFB49" s="27" t="s">
        <v>25</v>
      </c>
      <c r="CFC49" s="27" t="s">
        <v>25</v>
      </c>
      <c r="CFD49" s="27" t="s">
        <v>25</v>
      </c>
      <c r="CFE49" s="27" t="s">
        <v>25</v>
      </c>
      <c r="CFF49" s="27" t="s">
        <v>25</v>
      </c>
      <c r="CFG49" s="27" t="s">
        <v>25</v>
      </c>
      <c r="CFH49" s="27" t="s">
        <v>25</v>
      </c>
      <c r="CFI49" s="27" t="s">
        <v>25</v>
      </c>
      <c r="CFJ49" s="27" t="s">
        <v>25</v>
      </c>
      <c r="CFL49" s="27" t="s">
        <v>25</v>
      </c>
      <c r="CFM49" s="27" t="s">
        <v>28</v>
      </c>
      <c r="CFN49" s="27" t="s">
        <v>25</v>
      </c>
      <c r="CFO49" s="27" t="s">
        <v>25</v>
      </c>
      <c r="CFP49" s="27" t="s">
        <v>25</v>
      </c>
      <c r="CFQ49" s="27" t="s">
        <v>25</v>
      </c>
      <c r="CFR49" s="27" t="s">
        <v>25</v>
      </c>
      <c r="CFS49" s="27" t="s">
        <v>25</v>
      </c>
      <c r="CFT49" s="27" t="s">
        <v>25</v>
      </c>
      <c r="CFU49" s="27" t="s">
        <v>25</v>
      </c>
      <c r="CFV49" s="27" t="s">
        <v>25</v>
      </c>
      <c r="CFW49" s="27" t="s">
        <v>25</v>
      </c>
      <c r="CFX49" s="27" t="s">
        <v>28</v>
      </c>
      <c r="CFY49" s="27" t="s">
        <v>28</v>
      </c>
      <c r="CFZ49" s="27" t="s">
        <v>25</v>
      </c>
      <c r="CGA49" s="27" t="s">
        <v>25</v>
      </c>
      <c r="CGB49" s="27" t="s">
        <v>25</v>
      </c>
      <c r="CPW49" s="27">
        <v>1</v>
      </c>
      <c r="CPX49" s="56">
        <v>0</v>
      </c>
      <c r="CPY49" s="26">
        <v>0</v>
      </c>
      <c r="CQA49" s="26">
        <v>0</v>
      </c>
      <c r="CQB49" s="25" t="s">
        <v>8372</v>
      </c>
      <c r="CQC49" s="25" t="s">
        <v>635</v>
      </c>
      <c r="CQD49" s="25" t="s">
        <v>635</v>
      </c>
      <c r="CQE49" s="25" t="s">
        <v>635</v>
      </c>
      <c r="CQF49" s="25" t="s">
        <v>635</v>
      </c>
      <c r="CQG49" s="56">
        <v>300</v>
      </c>
      <c r="CQH49" s="56">
        <v>300</v>
      </c>
      <c r="CQI49" s="56">
        <v>300</v>
      </c>
      <c r="CQJ49" s="56">
        <v>300</v>
      </c>
      <c r="CQK49" s="56">
        <v>300</v>
      </c>
      <c r="CQL49" s="25" t="s">
        <v>13662</v>
      </c>
      <c r="CQM49" s="25" t="s">
        <v>8345</v>
      </c>
      <c r="CQN49" s="25" t="s">
        <v>28</v>
      </c>
      <c r="CQO49" s="25" t="s">
        <v>8309</v>
      </c>
      <c r="CQQ49" s="25" t="s">
        <v>8503</v>
      </c>
      <c r="CQR49" s="25" t="s">
        <v>8504</v>
      </c>
      <c r="CQS49" s="25" t="s">
        <v>28</v>
      </c>
      <c r="CQT49" s="25" t="s">
        <v>8312</v>
      </c>
      <c r="CQU49" s="25" t="s">
        <v>8313</v>
      </c>
      <c r="CQV49" s="25" t="s">
        <v>8313</v>
      </c>
      <c r="CQW49" s="25" t="s">
        <v>8313</v>
      </c>
      <c r="CQX49" s="25" t="s">
        <v>8312</v>
      </c>
      <c r="CQY49" s="25" t="s">
        <v>8313</v>
      </c>
      <c r="CQZ49" s="25" t="s">
        <v>8313</v>
      </c>
      <c r="CRA49" s="25" t="s">
        <v>8312</v>
      </c>
      <c r="CRB49" s="25" t="s">
        <v>8312</v>
      </c>
      <c r="CRC49" s="25" t="s">
        <v>8314</v>
      </c>
      <c r="CRD49" s="25" t="s">
        <v>8312</v>
      </c>
      <c r="CRE49" s="27" t="s">
        <v>8313</v>
      </c>
    </row>
    <row r="50" spans="1:2048 2050:2501" ht="89.25" x14ac:dyDescent="0.2">
      <c r="A50" s="21" t="s">
        <v>126</v>
      </c>
      <c r="B50" s="26">
        <v>0.36</v>
      </c>
      <c r="C50" s="26">
        <v>0</v>
      </c>
      <c r="D50" s="26">
        <v>0.06</v>
      </c>
      <c r="E50" s="26">
        <v>0.49</v>
      </c>
      <c r="F50" s="26">
        <v>0</v>
      </c>
      <c r="G50" s="26">
        <v>0</v>
      </c>
      <c r="H50" s="26">
        <v>0</v>
      </c>
      <c r="I50" s="26">
        <v>0</v>
      </c>
      <c r="J50" s="26">
        <v>0</v>
      </c>
      <c r="K50" s="26">
        <v>0</v>
      </c>
      <c r="L50" s="26">
        <v>0</v>
      </c>
      <c r="M50" s="26">
        <v>0.09</v>
      </c>
      <c r="N50" s="26">
        <v>0</v>
      </c>
      <c r="O50" s="26">
        <v>0</v>
      </c>
      <c r="P50" s="26">
        <v>0</v>
      </c>
      <c r="Q50" s="26">
        <v>0</v>
      </c>
      <c r="R50" s="26">
        <v>0</v>
      </c>
      <c r="S50" s="26">
        <v>0</v>
      </c>
      <c r="T50" s="26">
        <v>0</v>
      </c>
      <c r="U50" s="26">
        <v>0</v>
      </c>
      <c r="V50" s="26">
        <v>0</v>
      </c>
      <c r="W50" s="26">
        <v>0</v>
      </c>
      <c r="X50" s="26">
        <v>0</v>
      </c>
      <c r="Y50" s="26">
        <v>1</v>
      </c>
      <c r="Z50" s="25">
        <v>1</v>
      </c>
      <c r="AA50" s="25" t="s">
        <v>8474</v>
      </c>
      <c r="AC50" s="56">
        <v>1500</v>
      </c>
      <c r="AD50" s="56">
        <v>3000</v>
      </c>
      <c r="AE50" s="56">
        <v>6000</v>
      </c>
      <c r="AF50" s="56">
        <v>12000</v>
      </c>
      <c r="AI50" s="25" t="s">
        <v>8246</v>
      </c>
      <c r="AJ50" s="56">
        <v>500</v>
      </c>
      <c r="AK50" s="56">
        <v>1000</v>
      </c>
      <c r="AL50" s="56">
        <v>1000</v>
      </c>
      <c r="AM50" s="56">
        <v>2000</v>
      </c>
      <c r="AO50" s="25" t="s">
        <v>8248</v>
      </c>
      <c r="BB50" s="25" t="s">
        <v>8249</v>
      </c>
      <c r="DO50" s="25" t="s">
        <v>25</v>
      </c>
      <c r="DP50" s="25" t="s">
        <v>28</v>
      </c>
      <c r="DQ50" s="25" t="s">
        <v>25</v>
      </c>
      <c r="DR50" s="25" t="s">
        <v>25</v>
      </c>
      <c r="DT50" s="25" t="s">
        <v>13417</v>
      </c>
      <c r="DU50" s="25" t="s">
        <v>13417</v>
      </c>
      <c r="DV50" s="56">
        <v>20</v>
      </c>
      <c r="DW50" s="56">
        <v>40</v>
      </c>
      <c r="DX50" s="56">
        <v>40</v>
      </c>
      <c r="DZ50" s="56">
        <v>40</v>
      </c>
      <c r="EA50" s="56">
        <v>40</v>
      </c>
      <c r="EC50" s="26">
        <v>0</v>
      </c>
      <c r="ED50" s="26">
        <v>0</v>
      </c>
      <c r="EE50" s="26">
        <v>0.1</v>
      </c>
      <c r="EF50" s="26">
        <v>0.1</v>
      </c>
      <c r="EJ50" s="56">
        <v>0</v>
      </c>
      <c r="EK50" s="56">
        <v>0</v>
      </c>
      <c r="EL50" s="56">
        <v>0</v>
      </c>
      <c r="EQ50" s="26">
        <v>0.3</v>
      </c>
      <c r="ER50" s="26">
        <v>0.3</v>
      </c>
      <c r="ES50" s="26">
        <v>0.3</v>
      </c>
      <c r="ET50" s="26">
        <v>0.1</v>
      </c>
      <c r="EU50" s="26">
        <v>0.3</v>
      </c>
      <c r="EV50" s="26">
        <v>0.3</v>
      </c>
      <c r="EX50" s="25" t="s">
        <v>8250</v>
      </c>
      <c r="EY50" s="25" t="s">
        <v>8250</v>
      </c>
      <c r="EZ50" s="25" t="s">
        <v>8250</v>
      </c>
      <c r="FA50" s="25" t="s">
        <v>8250</v>
      </c>
      <c r="FB50" s="25" t="s">
        <v>8250</v>
      </c>
      <c r="FC50" s="25" t="s">
        <v>8250</v>
      </c>
      <c r="FD50" s="25" t="s">
        <v>8250</v>
      </c>
      <c r="FE50" s="25" t="s">
        <v>25</v>
      </c>
      <c r="FF50" s="25" t="s">
        <v>25</v>
      </c>
      <c r="FG50" s="25" t="s">
        <v>25</v>
      </c>
      <c r="FH50" s="25" t="s">
        <v>25</v>
      </c>
      <c r="FI50" s="25" t="s">
        <v>25</v>
      </c>
      <c r="FJ50" s="25" t="s">
        <v>25</v>
      </c>
      <c r="FK50" s="25" t="s">
        <v>8324</v>
      </c>
      <c r="FL50" s="25" t="s">
        <v>13810</v>
      </c>
      <c r="FM50" s="25" t="s">
        <v>13810</v>
      </c>
      <c r="FN50" s="25" t="s">
        <v>13810</v>
      </c>
      <c r="FO50" s="25" t="s">
        <v>13810</v>
      </c>
      <c r="FP50" s="25" t="s">
        <v>13810</v>
      </c>
      <c r="FQ50" s="25" t="s">
        <v>13810</v>
      </c>
      <c r="FR50" s="25" t="s">
        <v>631</v>
      </c>
      <c r="FS50" s="25" t="s">
        <v>631</v>
      </c>
      <c r="FT50" s="25" t="s">
        <v>631</v>
      </c>
      <c r="FU50" s="25" t="s">
        <v>631</v>
      </c>
      <c r="FV50" s="25" t="s">
        <v>8320</v>
      </c>
      <c r="FW50" s="25" t="s">
        <v>8320</v>
      </c>
      <c r="FX50" s="25" t="s">
        <v>8320</v>
      </c>
      <c r="FY50" s="25" t="s">
        <v>14229</v>
      </c>
      <c r="FZ50" s="25" t="s">
        <v>8325</v>
      </c>
      <c r="GA50" s="25" t="s">
        <v>8325</v>
      </c>
      <c r="GE50" s="56">
        <v>10</v>
      </c>
      <c r="GG50" s="56">
        <v>20</v>
      </c>
      <c r="GI50" s="56">
        <v>0</v>
      </c>
      <c r="GJ50" s="56">
        <v>40</v>
      </c>
      <c r="GK50" s="56">
        <v>80</v>
      </c>
      <c r="GM50" s="56">
        <v>0</v>
      </c>
      <c r="GN50" s="56">
        <v>60</v>
      </c>
      <c r="GO50" s="56">
        <v>120</v>
      </c>
      <c r="GQ50" s="56">
        <v>0</v>
      </c>
      <c r="GR50" s="56">
        <v>60</v>
      </c>
      <c r="GS50" s="56">
        <v>120</v>
      </c>
      <c r="HH50" s="57">
        <v>0.2</v>
      </c>
      <c r="HI50" s="57">
        <v>0.3</v>
      </c>
      <c r="HJ50" s="57">
        <v>0.3</v>
      </c>
      <c r="HN50" s="58">
        <v>0</v>
      </c>
      <c r="HO50" s="56">
        <v>0</v>
      </c>
      <c r="HP50" s="56">
        <v>0</v>
      </c>
      <c r="HQ50" s="56">
        <v>40</v>
      </c>
      <c r="HR50" s="56">
        <v>0</v>
      </c>
      <c r="HS50" s="56">
        <v>60</v>
      </c>
      <c r="HT50" s="56">
        <v>0</v>
      </c>
      <c r="HU50" s="56">
        <v>60</v>
      </c>
      <c r="IB50" s="26">
        <v>0.3</v>
      </c>
      <c r="IC50" s="26">
        <v>0.3</v>
      </c>
      <c r="ID50" s="26">
        <v>0.3</v>
      </c>
      <c r="IE50" s="26">
        <v>0.3</v>
      </c>
      <c r="IW50" s="26">
        <v>0</v>
      </c>
      <c r="IX50" s="26">
        <v>0</v>
      </c>
      <c r="IY50" s="26">
        <v>0</v>
      </c>
      <c r="IZ50" s="26">
        <v>0</v>
      </c>
      <c r="JU50" s="26">
        <v>1</v>
      </c>
      <c r="KM50" s="25" t="s">
        <v>8352</v>
      </c>
      <c r="KN50" s="25" t="s">
        <v>8256</v>
      </c>
      <c r="KO50" s="25" t="s">
        <v>8321</v>
      </c>
      <c r="KP50" s="25">
        <v>2</v>
      </c>
      <c r="KQ50" s="25" t="s">
        <v>8475</v>
      </c>
      <c r="KR50" s="25" t="s">
        <v>8476</v>
      </c>
      <c r="KS50" s="56">
        <v>3000</v>
      </c>
      <c r="KT50" s="56">
        <v>6000</v>
      </c>
      <c r="KU50" s="56">
        <v>7000</v>
      </c>
      <c r="KV50" s="56">
        <v>14000</v>
      </c>
      <c r="KY50" s="25" t="s">
        <v>8246</v>
      </c>
      <c r="KZ50" s="56">
        <v>1500</v>
      </c>
      <c r="LA50" s="56">
        <v>3000</v>
      </c>
      <c r="LB50" s="56">
        <v>3500</v>
      </c>
      <c r="LC50" s="56">
        <v>7000</v>
      </c>
      <c r="LD50" s="25" t="s">
        <v>8350</v>
      </c>
      <c r="LE50" s="25" t="s">
        <v>8248</v>
      </c>
      <c r="LR50" s="25" t="s">
        <v>8249</v>
      </c>
      <c r="OE50" s="25" t="s">
        <v>25</v>
      </c>
      <c r="OF50" s="25" t="s">
        <v>28</v>
      </c>
      <c r="OG50" s="25" t="s">
        <v>25</v>
      </c>
      <c r="OH50" s="25" t="s">
        <v>25</v>
      </c>
      <c r="OJ50" s="25" t="s">
        <v>13416</v>
      </c>
      <c r="OK50" s="25" t="s">
        <v>13416</v>
      </c>
      <c r="OL50" s="56">
        <v>0</v>
      </c>
      <c r="OM50" s="56">
        <v>0</v>
      </c>
      <c r="ON50" s="56">
        <v>0</v>
      </c>
      <c r="OS50" s="26">
        <v>0.2</v>
      </c>
      <c r="OT50" s="26">
        <v>0.2</v>
      </c>
      <c r="OU50" s="26">
        <v>0.2</v>
      </c>
      <c r="OV50" s="26">
        <v>0.2</v>
      </c>
      <c r="OW50" s="26">
        <v>0.2</v>
      </c>
      <c r="OX50" s="26">
        <v>0.2</v>
      </c>
      <c r="OZ50" s="56">
        <v>0</v>
      </c>
      <c r="PA50" s="56">
        <v>0</v>
      </c>
      <c r="PB50" s="56">
        <v>0</v>
      </c>
      <c r="PG50" s="26">
        <v>0.4</v>
      </c>
      <c r="PH50" s="26">
        <v>0.4</v>
      </c>
      <c r="PI50" s="26">
        <v>0.4</v>
      </c>
      <c r="PJ50" s="26">
        <v>0.4</v>
      </c>
      <c r="PK50" s="26">
        <v>0.4</v>
      </c>
      <c r="PL50" s="26">
        <v>0.4</v>
      </c>
      <c r="PN50" s="25" t="s">
        <v>8250</v>
      </c>
      <c r="PO50" s="25" t="s">
        <v>8250</v>
      </c>
      <c r="PP50" s="25" t="s">
        <v>8250</v>
      </c>
      <c r="PQ50" s="25" t="s">
        <v>8250</v>
      </c>
      <c r="PR50" s="25" t="s">
        <v>8250</v>
      </c>
      <c r="PS50" s="25" t="s">
        <v>8250</v>
      </c>
      <c r="PT50" s="25" t="s">
        <v>8250</v>
      </c>
      <c r="PU50" s="25" t="s">
        <v>25</v>
      </c>
      <c r="PV50" s="25" t="s">
        <v>25</v>
      </c>
      <c r="PW50" s="25" t="s">
        <v>25</v>
      </c>
      <c r="PX50" s="25" t="s">
        <v>25</v>
      </c>
      <c r="PY50" s="25" t="s">
        <v>25</v>
      </c>
      <c r="PZ50" s="25" t="s">
        <v>25</v>
      </c>
      <c r="QA50" s="25" t="s">
        <v>25</v>
      </c>
      <c r="QB50" s="25" t="s">
        <v>13810</v>
      </c>
      <c r="QC50" s="25" t="s">
        <v>13810</v>
      </c>
      <c r="QD50" s="25" t="s">
        <v>13810</v>
      </c>
      <c r="QE50" s="25" t="s">
        <v>13810</v>
      </c>
      <c r="QF50" s="25" t="s">
        <v>13810</v>
      </c>
      <c r="QG50" s="25" t="s">
        <v>13810</v>
      </c>
      <c r="QH50" s="25" t="s">
        <v>631</v>
      </c>
      <c r="QI50" s="25" t="s">
        <v>631</v>
      </c>
      <c r="QJ50" s="25" t="s">
        <v>631</v>
      </c>
      <c r="QK50" s="25" t="s">
        <v>631</v>
      </c>
      <c r="QL50" s="25" t="s">
        <v>8320</v>
      </c>
      <c r="QM50" s="25" t="s">
        <v>8320</v>
      </c>
      <c r="QN50" s="25" t="s">
        <v>8320</v>
      </c>
      <c r="QO50" s="25" t="s">
        <v>13449</v>
      </c>
      <c r="QP50" s="25" t="s">
        <v>8325</v>
      </c>
      <c r="QQ50" s="25" t="s">
        <v>8325</v>
      </c>
      <c r="RW50" s="26">
        <v>0.2</v>
      </c>
      <c r="RX50" s="26">
        <v>0.2</v>
      </c>
      <c r="RY50" s="26">
        <v>0.2</v>
      </c>
      <c r="RZ50" s="26">
        <v>0.2</v>
      </c>
      <c r="VC50" s="25" t="s">
        <v>8477</v>
      </c>
      <c r="VD50" s="25" t="s">
        <v>8256</v>
      </c>
      <c r="VE50" s="25" t="s">
        <v>8321</v>
      </c>
      <c r="VF50" s="25">
        <v>0</v>
      </c>
      <c r="VI50" s="25"/>
      <c r="VJ50" s="25"/>
      <c r="VK50" s="25"/>
      <c r="VL50" s="25"/>
      <c r="VM50" s="25"/>
      <c r="VN50" s="25"/>
      <c r="VP50" s="25"/>
      <c r="VQ50" s="25"/>
      <c r="VR50" s="25"/>
      <c r="VS50" s="25"/>
      <c r="ZA50" s="25"/>
      <c r="ZB50" s="25"/>
      <c r="ZC50" s="25"/>
      <c r="ZD50" s="25"/>
      <c r="ZE50" s="25"/>
      <c r="ZF50" s="25"/>
      <c r="ZG50" s="25"/>
      <c r="ZO50" s="25"/>
      <c r="ZP50" s="25"/>
      <c r="ZQ50" s="25"/>
      <c r="ZR50" s="25"/>
      <c r="ZS50" s="25"/>
      <c r="ZT50" s="25"/>
      <c r="ZU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S50" s="25"/>
      <c r="ACT50" s="25"/>
      <c r="ACU50" s="25"/>
      <c r="ACV50" s="25"/>
      <c r="ACW50" s="25"/>
      <c r="ACX50" s="25"/>
      <c r="ACY50" s="25"/>
      <c r="ACZ50" s="25"/>
      <c r="ADA50" s="25"/>
      <c r="ADB50" s="25"/>
      <c r="ADC50" s="25"/>
      <c r="ADD50" s="25"/>
      <c r="ADE50" s="25"/>
      <c r="ADF50" s="25"/>
      <c r="ADN50" s="25"/>
      <c r="ADO50" s="25"/>
      <c r="ADP50" s="25"/>
      <c r="ADQ50" s="25"/>
      <c r="ADR50" s="25"/>
      <c r="ADS50" s="25"/>
      <c r="ADT50" s="25"/>
      <c r="ADU50" s="25"/>
      <c r="ADV50" s="25"/>
      <c r="ADW50" s="25"/>
      <c r="ADX50" s="25"/>
      <c r="ADY50" s="25"/>
      <c r="ADZ50" s="25"/>
      <c r="AEA50" s="25"/>
      <c r="AEI50" s="25"/>
      <c r="AEJ50" s="25"/>
      <c r="AEK50" s="25"/>
      <c r="AEL50" s="25"/>
      <c r="AEM50" s="25"/>
      <c r="AEN50" s="25"/>
      <c r="AEO50" s="25"/>
      <c r="AEP50" s="25"/>
      <c r="AEQ50" s="25"/>
      <c r="AER50" s="25"/>
      <c r="AES50" s="25"/>
      <c r="AET50" s="25"/>
      <c r="AEU50" s="25"/>
      <c r="AEV50" s="25"/>
      <c r="AFD50" s="25"/>
      <c r="AFE50" s="25"/>
      <c r="AFF50" s="25"/>
      <c r="AFG50" s="25"/>
      <c r="AFH50" s="25"/>
      <c r="AFI50" s="25"/>
      <c r="AFJ50" s="25"/>
      <c r="AFK50" s="25"/>
      <c r="AFL50" s="25"/>
      <c r="AFM50" s="25"/>
      <c r="AFN50" s="25"/>
      <c r="AFO50" s="25"/>
      <c r="AFP50" s="25"/>
      <c r="AFQ50" s="25"/>
      <c r="AFU50" s="25">
        <v>0</v>
      </c>
      <c r="AFX50" s="25"/>
      <c r="AFY50" s="25"/>
      <c r="AFZ50" s="25"/>
      <c r="AGA50" s="25"/>
      <c r="AGB50" s="25"/>
      <c r="AGC50" s="25"/>
      <c r="AGE50" s="25"/>
      <c r="AGF50" s="25"/>
      <c r="AGG50" s="25"/>
      <c r="AGH50" s="25"/>
      <c r="AJP50" s="25"/>
      <c r="AJQ50" s="25"/>
      <c r="AJR50" s="25"/>
      <c r="AJS50" s="25"/>
      <c r="AJT50" s="25"/>
      <c r="AJU50" s="25"/>
      <c r="AJV50" s="25"/>
      <c r="AKD50" s="25"/>
      <c r="AKE50" s="25"/>
      <c r="AKF50" s="25"/>
      <c r="AKG50" s="25"/>
      <c r="AKH50" s="25"/>
      <c r="AKI50" s="25"/>
      <c r="AKJ50" s="25"/>
      <c r="ALY50" s="25"/>
      <c r="ALZ50" s="25"/>
      <c r="AMA50" s="25"/>
      <c r="AMB50" s="25"/>
      <c r="AMC50" s="25"/>
      <c r="AMD50" s="25"/>
      <c r="AME50" s="25"/>
      <c r="AMF50" s="25"/>
      <c r="AMG50" s="25"/>
      <c r="AMH50" s="25"/>
      <c r="AMI50" s="25"/>
      <c r="AMJ50" s="25"/>
      <c r="AMK50" s="25"/>
      <c r="AML50" s="25"/>
      <c r="AMM50" s="25"/>
      <c r="AMN50" s="25"/>
      <c r="AMO50" s="25"/>
      <c r="AMP50" s="25"/>
      <c r="AMQ50" s="25"/>
      <c r="AMR50" s="25"/>
      <c r="AMS50" s="25"/>
      <c r="AMT50" s="25"/>
      <c r="AMU50" s="25"/>
      <c r="AMV50" s="25"/>
      <c r="AMW50" s="25"/>
      <c r="AMX50" s="25"/>
      <c r="AMY50" s="25"/>
      <c r="AMZ50" s="25"/>
      <c r="ANH50" s="25"/>
      <c r="ANI50" s="25"/>
      <c r="ANJ50" s="25"/>
      <c r="ANK50" s="25"/>
      <c r="ANL50" s="25"/>
      <c r="ANM50" s="25"/>
      <c r="ANN50" s="25"/>
      <c r="ANO50" s="25"/>
      <c r="ANP50" s="25"/>
      <c r="ANQ50" s="25"/>
      <c r="ANR50" s="25"/>
      <c r="ANS50" s="25"/>
      <c r="ANT50" s="25"/>
      <c r="ANU50" s="25"/>
      <c r="AOC50" s="25"/>
      <c r="AOD50" s="25"/>
      <c r="AOE50" s="25"/>
      <c r="AOF50" s="25"/>
      <c r="AOG50" s="25"/>
      <c r="AOH50" s="25"/>
      <c r="AOI50" s="25"/>
      <c r="AOJ50" s="25"/>
      <c r="AOK50" s="25"/>
      <c r="AOL50" s="25"/>
      <c r="AOM50" s="25"/>
      <c r="AON50" s="25"/>
      <c r="AOO50" s="25"/>
      <c r="AOP50" s="25"/>
      <c r="AOX50" s="25"/>
      <c r="AOY50" s="25"/>
      <c r="AOZ50" s="25"/>
      <c r="APA50" s="25"/>
      <c r="APB50" s="25"/>
      <c r="APC50" s="25"/>
      <c r="APD50" s="25"/>
      <c r="APE50" s="25"/>
      <c r="APF50" s="25"/>
      <c r="APG50" s="25"/>
      <c r="APH50" s="25"/>
      <c r="API50" s="25"/>
      <c r="APJ50" s="25"/>
      <c r="APK50" s="25"/>
      <c r="APS50" s="25"/>
      <c r="APT50" s="25"/>
      <c r="APU50" s="25"/>
      <c r="APV50" s="25"/>
      <c r="APW50" s="25"/>
      <c r="APX50" s="25"/>
      <c r="APY50" s="25"/>
      <c r="APZ50" s="25"/>
      <c r="AQA50" s="25"/>
      <c r="AQB50" s="25"/>
      <c r="AQC50" s="25"/>
      <c r="AQD50" s="25"/>
      <c r="AQE50" s="25"/>
      <c r="AQF50" s="25"/>
      <c r="AQJ50" s="25">
        <v>2</v>
      </c>
      <c r="AQK50" s="25" t="s">
        <v>8478</v>
      </c>
      <c r="AQL50" s="25" t="s">
        <v>8479</v>
      </c>
      <c r="AQM50" s="56">
        <v>1500</v>
      </c>
      <c r="AQN50" s="56">
        <v>3000</v>
      </c>
      <c r="AQS50" s="25" t="s">
        <v>8260</v>
      </c>
      <c r="AQT50" s="56">
        <v>0</v>
      </c>
      <c r="AQU50" s="56">
        <v>0</v>
      </c>
      <c r="AQV50" s="56">
        <v>0</v>
      </c>
      <c r="AQW50" s="56">
        <v>0</v>
      </c>
      <c r="AQX50" s="25" t="s">
        <v>8248</v>
      </c>
      <c r="ARK50" s="25" t="s">
        <v>8249</v>
      </c>
      <c r="ATX50" s="25" t="s">
        <v>25</v>
      </c>
      <c r="ATY50" s="25" t="s">
        <v>28</v>
      </c>
      <c r="ATZ50" s="25" t="s">
        <v>28</v>
      </c>
      <c r="AUA50" s="25" t="s">
        <v>25</v>
      </c>
      <c r="AUC50" s="25" t="s">
        <v>13417</v>
      </c>
      <c r="AUD50" s="25" t="s">
        <v>8404</v>
      </c>
      <c r="AUE50" s="56">
        <v>20</v>
      </c>
      <c r="AUF50" s="56">
        <v>20</v>
      </c>
      <c r="AUG50" s="56">
        <v>20</v>
      </c>
      <c r="AUH50" s="56">
        <v>100</v>
      </c>
      <c r="AUI50" s="56">
        <v>20</v>
      </c>
      <c r="AUJ50" s="56">
        <v>20</v>
      </c>
      <c r="AUV50" s="56">
        <v>100</v>
      </c>
      <c r="AVG50" s="25" t="s">
        <v>8250</v>
      </c>
      <c r="AVH50" s="25" t="s">
        <v>8250</v>
      </c>
      <c r="AVI50" s="25" t="s">
        <v>8250</v>
      </c>
      <c r="AVJ50" s="25" t="s">
        <v>8261</v>
      </c>
      <c r="AVK50" s="25" t="s">
        <v>8250</v>
      </c>
      <c r="AVL50" s="25" t="s">
        <v>8250</v>
      </c>
      <c r="AVM50" s="25" t="s">
        <v>8250</v>
      </c>
      <c r="AVN50" s="25" t="s">
        <v>25</v>
      </c>
      <c r="AVO50" s="25" t="s">
        <v>28</v>
      </c>
      <c r="AVP50" s="25" t="s">
        <v>28</v>
      </c>
      <c r="AVR50" s="25" t="s">
        <v>25</v>
      </c>
      <c r="AVS50" s="25" t="s">
        <v>25</v>
      </c>
      <c r="AVT50" s="25" t="s">
        <v>13593</v>
      </c>
      <c r="AVU50" s="25" t="s">
        <v>13810</v>
      </c>
      <c r="AVV50" s="25" t="s">
        <v>13810</v>
      </c>
      <c r="AVW50" s="25" t="s">
        <v>13810</v>
      </c>
      <c r="AVX50" s="25" t="s">
        <v>13810</v>
      </c>
      <c r="AVY50" s="25" t="s">
        <v>13810</v>
      </c>
      <c r="AVZ50" s="25" t="s">
        <v>631</v>
      </c>
      <c r="AWA50" s="25" t="s">
        <v>631</v>
      </c>
      <c r="AWB50" s="25" t="s">
        <v>631</v>
      </c>
      <c r="AWC50" s="25" t="s">
        <v>631</v>
      </c>
      <c r="AWD50" s="25" t="s">
        <v>631</v>
      </c>
      <c r="AWE50" s="25" t="s">
        <v>8325</v>
      </c>
      <c r="AWF50" s="25" t="s">
        <v>8325</v>
      </c>
      <c r="AWG50" s="25" t="s">
        <v>8325</v>
      </c>
      <c r="AWH50" s="25" t="s">
        <v>8325</v>
      </c>
      <c r="AWI50" s="25" t="s">
        <v>8325</v>
      </c>
      <c r="AWN50" s="56">
        <v>10</v>
      </c>
      <c r="AWP50" s="56">
        <v>20</v>
      </c>
      <c r="AWR50" s="56">
        <v>30</v>
      </c>
      <c r="AWT50" s="56">
        <v>60</v>
      </c>
      <c r="AWV50" s="56">
        <v>30</v>
      </c>
      <c r="AWX50" s="56">
        <v>30</v>
      </c>
      <c r="BAV50" s="25" t="s">
        <v>8255</v>
      </c>
      <c r="BAW50" s="25" t="s">
        <v>8256</v>
      </c>
      <c r="BAX50" s="25" t="s">
        <v>8321</v>
      </c>
      <c r="BAY50" s="25">
        <v>0</v>
      </c>
      <c r="BBB50" s="25"/>
      <c r="BBC50" s="25"/>
      <c r="BBD50" s="25"/>
      <c r="BBE50" s="25"/>
      <c r="BBF50" s="25"/>
      <c r="BBG50" s="25"/>
      <c r="BBI50" s="25"/>
      <c r="BBJ50" s="25"/>
      <c r="BBK50" s="25"/>
      <c r="BBL50" s="25"/>
      <c r="BET50" s="25"/>
      <c r="BEU50" s="25"/>
      <c r="BEV50" s="25"/>
      <c r="BEW50" s="25"/>
      <c r="BEX50" s="25"/>
      <c r="BEY50" s="25"/>
      <c r="BEZ50" s="25"/>
      <c r="BFH50" s="25"/>
      <c r="BFI50" s="25"/>
      <c r="BFJ50" s="25"/>
      <c r="BFK50" s="25"/>
      <c r="BFL50" s="25"/>
      <c r="BFM50" s="25"/>
      <c r="BFN50" s="25"/>
      <c r="BHC50" s="25"/>
      <c r="BHD50" s="25"/>
      <c r="BHE50" s="25"/>
      <c r="BHF50" s="25"/>
      <c r="BHG50" s="25"/>
      <c r="BHH50" s="25"/>
      <c r="BHI50" s="25"/>
      <c r="BHJ50" s="25"/>
      <c r="BHK50" s="25"/>
      <c r="BHL50" s="25"/>
      <c r="BHM50" s="25"/>
      <c r="BHN50" s="25"/>
      <c r="BHO50" s="25"/>
      <c r="BHP50" s="25"/>
      <c r="BHQ50" s="25"/>
      <c r="BHR50" s="25"/>
      <c r="BHS50" s="25"/>
      <c r="BHT50" s="25"/>
      <c r="BHU50" s="25"/>
      <c r="BHV50" s="25"/>
      <c r="BHW50" s="25"/>
      <c r="BHX50" s="25"/>
      <c r="BHY50" s="25"/>
      <c r="BHZ50" s="25"/>
      <c r="BIA50" s="25"/>
      <c r="BIB50" s="25"/>
      <c r="BIC50" s="25"/>
      <c r="BID50" s="25"/>
      <c r="BIL50" s="25"/>
      <c r="BIM50" s="25"/>
      <c r="BIN50" s="25"/>
      <c r="BIO50" s="25"/>
      <c r="BIP50" s="25"/>
      <c r="BIQ50" s="25"/>
      <c r="BIR50" s="25"/>
      <c r="BIS50" s="25"/>
      <c r="BIT50" s="25"/>
      <c r="BIU50" s="25"/>
      <c r="BIV50" s="25"/>
      <c r="BIW50" s="25"/>
      <c r="BIX50" s="25"/>
      <c r="BIY50" s="25"/>
      <c r="BJG50" s="25"/>
      <c r="BJH50" s="25"/>
      <c r="BJI50" s="25"/>
      <c r="BJJ50" s="25"/>
      <c r="BJK50" s="25"/>
      <c r="BJL50" s="25"/>
      <c r="BJM50" s="25"/>
      <c r="BJN50" s="25"/>
      <c r="BJO50" s="25"/>
      <c r="BJP50" s="25"/>
      <c r="BJQ50" s="25"/>
      <c r="BJR50" s="25"/>
      <c r="BJS50" s="25"/>
      <c r="BJT50" s="25"/>
      <c r="BKB50" s="25"/>
      <c r="BKC50" s="25"/>
      <c r="BKD50" s="25"/>
      <c r="BKE50" s="25"/>
      <c r="BKF50" s="25"/>
      <c r="BKG50" s="25"/>
      <c r="BKH50" s="25"/>
      <c r="BKI50" s="25"/>
      <c r="BKJ50" s="25"/>
      <c r="BKK50" s="25"/>
      <c r="BKL50" s="25"/>
      <c r="BKM50" s="25"/>
      <c r="BKN50" s="25"/>
      <c r="BKO50" s="25"/>
      <c r="BKW50" s="25"/>
      <c r="BKX50" s="25"/>
      <c r="BKY50" s="25"/>
      <c r="BKZ50" s="25"/>
      <c r="BLA50" s="25"/>
      <c r="BLB50" s="25"/>
      <c r="BLC50" s="25"/>
      <c r="BLD50" s="25"/>
      <c r="BLE50" s="25"/>
      <c r="BLF50" s="25"/>
      <c r="BLG50" s="25"/>
      <c r="BLH50" s="25"/>
      <c r="BLI50" s="25"/>
      <c r="BLJ50" s="25"/>
      <c r="BLN50" s="25">
        <v>0</v>
      </c>
      <c r="BLQ50" s="25"/>
      <c r="BLR50" s="25"/>
      <c r="BLS50" s="25"/>
      <c r="BLT50" s="25"/>
      <c r="BLU50" s="25"/>
      <c r="BLV50" s="25"/>
      <c r="BLX50" s="25"/>
      <c r="BLY50" s="25"/>
      <c r="BLZ50" s="25"/>
      <c r="BMA50" s="25"/>
      <c r="BPI50" s="25"/>
      <c r="BPJ50" s="25"/>
      <c r="BPK50" s="25"/>
      <c r="BPL50" s="25"/>
      <c r="BPM50" s="25"/>
      <c r="BPN50" s="25"/>
      <c r="BPO50" s="25"/>
      <c r="BPW50" s="25"/>
      <c r="BPX50" s="25"/>
      <c r="BPY50" s="25"/>
      <c r="BPZ50" s="25"/>
      <c r="BQA50" s="25"/>
      <c r="BQB50" s="25"/>
      <c r="BQC50" s="25"/>
      <c r="BRR50" s="25"/>
      <c r="BRS50" s="25"/>
      <c r="BRT50" s="25"/>
      <c r="BRU50" s="25"/>
      <c r="BRV50" s="25"/>
      <c r="BRW50" s="25"/>
      <c r="BRX50" s="25"/>
      <c r="BRY50" s="25"/>
      <c r="BRZ50" s="25"/>
      <c r="BSA50" s="25"/>
      <c r="BSB50" s="25"/>
      <c r="BSC50" s="25"/>
      <c r="BSD50" s="25"/>
      <c r="BSE50" s="25"/>
      <c r="BSF50" s="25"/>
      <c r="BSG50" s="25"/>
      <c r="BSH50" s="25"/>
      <c r="BSI50" s="25"/>
      <c r="BSJ50" s="25"/>
      <c r="BSK50" s="25"/>
      <c r="BSL50" s="25"/>
      <c r="BSM50" s="25"/>
      <c r="BSN50" s="25"/>
      <c r="BSO50" s="25"/>
      <c r="BSP50" s="25"/>
      <c r="BSQ50" s="25"/>
      <c r="BSR50" s="25"/>
      <c r="BSS50" s="25"/>
      <c r="BTA50" s="25"/>
      <c r="BTB50" s="25"/>
      <c r="BTC50" s="25"/>
      <c r="BTD50" s="25"/>
      <c r="BTE50" s="25"/>
      <c r="BTF50" s="25"/>
      <c r="BTG50" s="25"/>
      <c r="BTH50" s="25"/>
      <c r="BTI50" s="25"/>
      <c r="BTJ50" s="25"/>
      <c r="BTK50" s="25"/>
      <c r="BTL50" s="25"/>
      <c r="BTM50" s="25"/>
      <c r="BTN50" s="25"/>
      <c r="BUQ50" s="25"/>
      <c r="BUR50" s="25"/>
      <c r="BUS50" s="25"/>
      <c r="BUT50" s="25"/>
      <c r="BUU50" s="25"/>
      <c r="BUV50" s="25"/>
      <c r="BUW50" s="25"/>
      <c r="BUX50" s="25"/>
      <c r="BUY50" s="25"/>
      <c r="BUZ50" s="25"/>
      <c r="BVA50" s="25"/>
      <c r="BVB50" s="25"/>
      <c r="BVC50" s="25"/>
      <c r="BVD50" s="25"/>
      <c r="BWC50" s="25" t="s">
        <v>28</v>
      </c>
      <c r="BWD50" s="25" t="s">
        <v>13604</v>
      </c>
      <c r="BWE50" s="25" t="s">
        <v>8480</v>
      </c>
      <c r="BWF50" s="25" t="s">
        <v>13712</v>
      </c>
      <c r="BWG50" s="25" t="s">
        <v>28</v>
      </c>
      <c r="BWH50" s="25" t="s">
        <v>2169</v>
      </c>
      <c r="BWI50" s="25" t="s">
        <v>28</v>
      </c>
      <c r="BWJ50" s="25" t="s">
        <v>8481</v>
      </c>
      <c r="BWK50" s="25" t="s">
        <v>25</v>
      </c>
      <c r="BWM50" s="25" t="s">
        <v>25</v>
      </c>
      <c r="BWO50" s="25" t="s">
        <v>25</v>
      </c>
      <c r="BWQ50" s="25" t="s">
        <v>28</v>
      </c>
      <c r="BWR50" s="25" t="s">
        <v>25</v>
      </c>
      <c r="BWT50" s="25" t="s">
        <v>25</v>
      </c>
      <c r="BWV50" s="25" t="s">
        <v>25</v>
      </c>
      <c r="BWX50" s="25" t="s">
        <v>28</v>
      </c>
      <c r="BWY50" s="25" t="s">
        <v>8387</v>
      </c>
      <c r="BWZ50" s="25" t="s">
        <v>28</v>
      </c>
      <c r="BXA50" s="56">
        <v>25</v>
      </c>
      <c r="BXB50" s="25" t="s">
        <v>25</v>
      </c>
      <c r="BXD50" s="25" t="s">
        <v>28</v>
      </c>
      <c r="BXE50" s="25" t="s">
        <v>8358</v>
      </c>
      <c r="BXF50" s="25" t="s">
        <v>28</v>
      </c>
      <c r="BXG50" s="56">
        <v>120</v>
      </c>
      <c r="BXH50" s="25" t="s">
        <v>25</v>
      </c>
      <c r="BXJ50" s="25" t="s">
        <v>28</v>
      </c>
      <c r="BXK50" s="25" t="s">
        <v>8434</v>
      </c>
      <c r="BXL50" s="25" t="s">
        <v>13821</v>
      </c>
      <c r="BXM50" s="25" t="s">
        <v>2201</v>
      </c>
      <c r="BXN50" s="25" t="s">
        <v>8332</v>
      </c>
      <c r="BXO50" s="25" t="s">
        <v>8274</v>
      </c>
      <c r="BXP50" s="25" t="s">
        <v>8274</v>
      </c>
      <c r="BXS50" s="25" t="s">
        <v>8274</v>
      </c>
      <c r="BXT50" s="25" t="s">
        <v>8275</v>
      </c>
      <c r="BXW50" s="25" t="s">
        <v>28</v>
      </c>
      <c r="BXX50" s="25" t="s">
        <v>28</v>
      </c>
      <c r="BYC50" s="25" t="s">
        <v>2201</v>
      </c>
      <c r="BYD50" s="25" t="s">
        <v>28</v>
      </c>
      <c r="BYF50" s="25" t="s">
        <v>8277</v>
      </c>
      <c r="BYH50" s="25" t="s">
        <v>8482</v>
      </c>
      <c r="BYK50" s="25" t="s">
        <v>8333</v>
      </c>
      <c r="BYL50" s="25" t="s">
        <v>28</v>
      </c>
      <c r="BYM50" s="25">
        <v>120</v>
      </c>
      <c r="BYN50" s="25" t="s">
        <v>28</v>
      </c>
      <c r="BYO50" s="25">
        <v>120</v>
      </c>
      <c r="BYP50" s="25" t="s">
        <v>28</v>
      </c>
      <c r="BYR50" s="25" t="s">
        <v>28</v>
      </c>
      <c r="BYS50" s="25" t="s">
        <v>8279</v>
      </c>
      <c r="BYT50" s="25" t="s">
        <v>8279</v>
      </c>
      <c r="BYU50" s="25" t="s">
        <v>732</v>
      </c>
      <c r="BYV50" s="25" t="s">
        <v>25</v>
      </c>
      <c r="BYW50" s="25" t="s">
        <v>28</v>
      </c>
      <c r="BYX50" s="56">
        <v>500</v>
      </c>
      <c r="BYY50" s="56">
        <v>1000</v>
      </c>
      <c r="BYZ50" s="25" t="s">
        <v>8408</v>
      </c>
      <c r="BZB50" s="25" t="s">
        <v>2269</v>
      </c>
      <c r="BZD50" s="25" t="s">
        <v>28</v>
      </c>
      <c r="BZE50" s="25" t="s">
        <v>28</v>
      </c>
      <c r="BZF50" s="25" t="s">
        <v>28</v>
      </c>
      <c r="BZG50" s="25" t="s">
        <v>25</v>
      </c>
      <c r="BZJ50" s="25" t="s">
        <v>25</v>
      </c>
      <c r="BZM50" s="25" t="s">
        <v>28</v>
      </c>
      <c r="BZN50" s="25" t="s">
        <v>8283</v>
      </c>
      <c r="BZP50" s="25" t="s">
        <v>8366</v>
      </c>
      <c r="BZQ50" s="56">
        <v>2000</v>
      </c>
      <c r="BZR50" s="25" t="s">
        <v>819</v>
      </c>
      <c r="BZS50" s="25" t="s">
        <v>25</v>
      </c>
      <c r="BZT50" s="25" t="s">
        <v>8337</v>
      </c>
      <c r="BZV50" s="25" t="s">
        <v>8483</v>
      </c>
      <c r="BZX50" s="25" t="s">
        <v>8484</v>
      </c>
      <c r="BZZ50" s="25" t="s">
        <v>25</v>
      </c>
      <c r="CAC50" s="25" t="s">
        <v>28</v>
      </c>
      <c r="CAD50" s="25" t="s">
        <v>8485</v>
      </c>
      <c r="CAE50" s="25" t="s">
        <v>25</v>
      </c>
      <c r="CAG50" s="25" t="s">
        <v>25</v>
      </c>
      <c r="CAH50" s="25" t="s">
        <v>631</v>
      </c>
      <c r="CAI50" s="25" t="s">
        <v>631</v>
      </c>
      <c r="CAJ50" s="25" t="s">
        <v>631</v>
      </c>
      <c r="CAK50" s="25" t="s">
        <v>631</v>
      </c>
      <c r="CAL50" s="25" t="s">
        <v>631</v>
      </c>
      <c r="CAM50" s="25" t="s">
        <v>8290</v>
      </c>
      <c r="CAN50" s="25" t="s">
        <v>631</v>
      </c>
      <c r="CAO50" s="25" t="s">
        <v>631</v>
      </c>
      <c r="CAP50" s="25" t="s">
        <v>631</v>
      </c>
      <c r="CAR50" s="25" t="s">
        <v>8455</v>
      </c>
      <c r="CAT50" s="25" t="s">
        <v>25</v>
      </c>
      <c r="CAW50" s="25" t="s">
        <v>8341</v>
      </c>
      <c r="CBB50" s="25">
        <v>1</v>
      </c>
      <c r="CBC50" s="25">
        <v>0</v>
      </c>
      <c r="CBD50" s="25">
        <v>0</v>
      </c>
      <c r="CBE50" s="56">
        <v>50</v>
      </c>
      <c r="CBF50" s="56">
        <v>150</v>
      </c>
      <c r="CBG50" s="56">
        <v>50</v>
      </c>
      <c r="CBH50" s="56">
        <v>150</v>
      </c>
      <c r="CBI50" s="56">
        <v>3000</v>
      </c>
      <c r="CBK50" s="56">
        <v>2000</v>
      </c>
      <c r="CBM50" s="26">
        <v>0</v>
      </c>
      <c r="CBN50" s="26">
        <v>0</v>
      </c>
      <c r="CBO50" s="26">
        <v>0.2</v>
      </c>
      <c r="CBP50" s="26">
        <v>0.2</v>
      </c>
      <c r="CBQ50" s="26">
        <v>0.5</v>
      </c>
      <c r="CBR50" s="26">
        <v>0.5</v>
      </c>
      <c r="CBS50" s="26">
        <v>0.5</v>
      </c>
      <c r="CBT50" s="26">
        <v>0.5</v>
      </c>
      <c r="CBU50" s="27" t="s">
        <v>28</v>
      </c>
      <c r="CBV50" s="27" t="s">
        <v>8369</v>
      </c>
      <c r="CBW50" s="27" t="s">
        <v>8294</v>
      </c>
      <c r="CBX50" s="27" t="s">
        <v>8343</v>
      </c>
      <c r="CBY50" s="27" t="s">
        <v>8296</v>
      </c>
      <c r="CCA50" s="27" t="s">
        <v>8297</v>
      </c>
      <c r="CCB50" s="27" t="s">
        <v>8298</v>
      </c>
      <c r="CCC50" s="27" t="s">
        <v>8296</v>
      </c>
      <c r="CCD50" s="27" t="s">
        <v>8297</v>
      </c>
      <c r="CCE50" s="27" t="s">
        <v>8297</v>
      </c>
      <c r="CCF50" s="27" t="s">
        <v>8297</v>
      </c>
      <c r="CCG50" s="27" t="s">
        <v>8297</v>
      </c>
      <c r="CCH50" s="27" t="s">
        <v>8298</v>
      </c>
      <c r="CCI50" s="27" t="s">
        <v>8298</v>
      </c>
      <c r="CCJ50" s="27" t="s">
        <v>8298</v>
      </c>
      <c r="CCK50" s="27" t="s">
        <v>8297</v>
      </c>
      <c r="CCL50" s="27" t="s">
        <v>8297</v>
      </c>
      <c r="CCN50" s="27" t="s">
        <v>8296</v>
      </c>
      <c r="CCO50" s="27" t="s">
        <v>8300</v>
      </c>
      <c r="CCP50" s="27" t="s">
        <v>8296</v>
      </c>
      <c r="CCQ50" s="27" t="s">
        <v>8296</v>
      </c>
      <c r="CCR50" s="27" t="s">
        <v>8296</v>
      </c>
      <c r="CCS50" s="27" t="s">
        <v>8298</v>
      </c>
      <c r="CCT50" s="27" t="s">
        <v>8296</v>
      </c>
      <c r="CCU50" s="27" t="s">
        <v>8298</v>
      </c>
      <c r="CCV50" s="27" t="s">
        <v>8298</v>
      </c>
      <c r="CCW50" s="27" t="s">
        <v>8298</v>
      </c>
      <c r="CCX50" s="27" t="s">
        <v>8298</v>
      </c>
      <c r="CCY50" s="27" t="s">
        <v>8298</v>
      </c>
      <c r="CCZ50" s="27" t="s">
        <v>28</v>
      </c>
      <c r="CDA50" s="27" t="s">
        <v>28</v>
      </c>
      <c r="CDB50" s="27" t="s">
        <v>28</v>
      </c>
      <c r="CDC50" s="27" t="s">
        <v>28</v>
      </c>
      <c r="CDD50" s="27" t="s">
        <v>28</v>
      </c>
      <c r="CDE50" s="27" t="s">
        <v>28</v>
      </c>
      <c r="CDF50" s="27" t="s">
        <v>28</v>
      </c>
      <c r="CDG50" s="27" t="s">
        <v>28</v>
      </c>
      <c r="CDH50" s="27" t="s">
        <v>28</v>
      </c>
      <c r="CDI50" s="27" t="s">
        <v>28</v>
      </c>
      <c r="CDJ50" s="27" t="s">
        <v>25</v>
      </c>
      <c r="CDK50" s="27" t="s">
        <v>28</v>
      </c>
      <c r="CDL50" s="27" t="s">
        <v>28</v>
      </c>
      <c r="CDM50" s="27" t="s">
        <v>28</v>
      </c>
      <c r="CDO50" s="27" t="s">
        <v>28</v>
      </c>
      <c r="CDP50" s="27" t="s">
        <v>28</v>
      </c>
      <c r="CDQ50" s="27" t="s">
        <v>28</v>
      </c>
      <c r="CDR50" s="27" t="s">
        <v>28</v>
      </c>
      <c r="CDS50" s="27" t="s">
        <v>28</v>
      </c>
      <c r="CDT50" s="27" t="s">
        <v>28</v>
      </c>
      <c r="CDU50" s="27" t="s">
        <v>28</v>
      </c>
      <c r="CDV50" s="27" t="s">
        <v>28</v>
      </c>
      <c r="CDW50" s="27" t="s">
        <v>28</v>
      </c>
      <c r="CDX50" s="27" t="s">
        <v>28</v>
      </c>
      <c r="CDY50" s="27" t="s">
        <v>28</v>
      </c>
      <c r="CDZ50" s="27" t="s">
        <v>28</v>
      </c>
      <c r="CEA50" s="27" t="s">
        <v>2673</v>
      </c>
      <c r="CEB50" s="27" t="s">
        <v>2673</v>
      </c>
      <c r="CEC50" s="27" t="s">
        <v>2673</v>
      </c>
      <c r="CED50" s="27" t="s">
        <v>8302</v>
      </c>
      <c r="CEE50" s="27" t="s">
        <v>2673</v>
      </c>
      <c r="CEF50" s="27" t="s">
        <v>2673</v>
      </c>
      <c r="CEG50" s="27" t="s">
        <v>2673</v>
      </c>
      <c r="CEH50" s="27" t="s">
        <v>2673</v>
      </c>
      <c r="CEI50" s="27" t="s">
        <v>29</v>
      </c>
      <c r="CEJ50" s="27" t="s">
        <v>2673</v>
      </c>
      <c r="CEK50" s="27" t="s">
        <v>8302</v>
      </c>
      <c r="CEL50" s="27" t="s">
        <v>8302</v>
      </c>
      <c r="CEM50" s="27" t="s">
        <v>29</v>
      </c>
      <c r="CEN50" s="27" t="s">
        <v>8301</v>
      </c>
      <c r="CEP50" s="27" t="s">
        <v>2673</v>
      </c>
      <c r="CEQ50" s="27" t="s">
        <v>8304</v>
      </c>
      <c r="CER50" s="27" t="s">
        <v>8421</v>
      </c>
      <c r="CES50" s="27" t="s">
        <v>2673</v>
      </c>
      <c r="CET50" s="27" t="s">
        <v>2673</v>
      </c>
      <c r="CEU50" s="27" t="s">
        <v>2673</v>
      </c>
      <c r="CEV50" s="27" t="s">
        <v>2673</v>
      </c>
      <c r="CEW50" s="27" t="s">
        <v>8306</v>
      </c>
      <c r="CEX50" s="27" t="s">
        <v>8302</v>
      </c>
      <c r="CEY50" s="27" t="s">
        <v>8420</v>
      </c>
      <c r="CEZ50" s="27" t="s">
        <v>8301</v>
      </c>
      <c r="CFA50" s="27" t="s">
        <v>8301</v>
      </c>
      <c r="CFB50" s="27" t="s">
        <v>25</v>
      </c>
      <c r="CFC50" s="27" t="s">
        <v>25</v>
      </c>
      <c r="CFD50" s="27" t="s">
        <v>25</v>
      </c>
      <c r="CFE50" s="27" t="s">
        <v>25</v>
      </c>
      <c r="CFF50" s="27" t="s">
        <v>25</v>
      </c>
      <c r="CFG50" s="27" t="s">
        <v>25</v>
      </c>
      <c r="CFH50" s="27" t="s">
        <v>25</v>
      </c>
      <c r="CFI50" s="27" t="s">
        <v>25</v>
      </c>
      <c r="CFJ50" s="27" t="s">
        <v>25</v>
      </c>
      <c r="CFK50" s="27" t="s">
        <v>25</v>
      </c>
      <c r="CFL50" s="27" t="s">
        <v>25</v>
      </c>
      <c r="CFM50" s="27" t="s">
        <v>28</v>
      </c>
      <c r="CFN50" s="27" t="s">
        <v>25</v>
      </c>
      <c r="CFO50" s="27" t="s">
        <v>25</v>
      </c>
      <c r="CFQ50" s="27" t="s">
        <v>25</v>
      </c>
      <c r="CFR50" s="27" t="s">
        <v>25</v>
      </c>
      <c r="CFS50" s="27" t="s">
        <v>25</v>
      </c>
      <c r="CFT50" s="27" t="s">
        <v>25</v>
      </c>
      <c r="CFU50" s="27" t="s">
        <v>25</v>
      </c>
      <c r="CFV50" s="27" t="s">
        <v>28</v>
      </c>
      <c r="CFW50" s="27" t="s">
        <v>25</v>
      </c>
      <c r="CFX50" s="27" t="s">
        <v>28</v>
      </c>
      <c r="CFY50" s="27" t="s">
        <v>28</v>
      </c>
      <c r="CFZ50" s="27" t="s">
        <v>25</v>
      </c>
      <c r="CGA50" s="27" t="s">
        <v>25</v>
      </c>
      <c r="CGB50" s="27" t="s">
        <v>25</v>
      </c>
      <c r="CPW50" s="27">
        <v>0</v>
      </c>
      <c r="CQQ50" s="25" t="s">
        <v>797</v>
      </c>
      <c r="CQR50" s="25" t="s">
        <v>797</v>
      </c>
      <c r="CQS50" s="25" t="s">
        <v>25</v>
      </c>
      <c r="CQT50" s="25" t="s">
        <v>8312</v>
      </c>
      <c r="CQU50" s="25" t="s">
        <v>8312</v>
      </c>
      <c r="CQV50" s="25" t="s">
        <v>8312</v>
      </c>
      <c r="CQW50" s="25" t="s">
        <v>8312</v>
      </c>
      <c r="CQX50" s="25" t="s">
        <v>8312</v>
      </c>
      <c r="CQY50" s="25" t="s">
        <v>8312</v>
      </c>
      <c r="CQZ50" s="25" t="s">
        <v>8312</v>
      </c>
      <c r="CRA50" s="25" t="s">
        <v>8314</v>
      </c>
      <c r="CRB50" s="25" t="s">
        <v>8314</v>
      </c>
      <c r="CRC50" s="25" t="s">
        <v>8314</v>
      </c>
      <c r="CRD50" s="25" t="s">
        <v>8312</v>
      </c>
      <c r="CRE50" s="27" t="s">
        <v>8312</v>
      </c>
    </row>
    <row r="51" spans="1:2048 2050:2501" ht="76.5" x14ac:dyDescent="0.2">
      <c r="A51" s="21" t="s">
        <v>130</v>
      </c>
      <c r="B51" s="26">
        <v>0.6984999999999999</v>
      </c>
      <c r="C51" s="26">
        <v>0</v>
      </c>
      <c r="D51" s="26">
        <v>9.4600000000000004E-2</v>
      </c>
      <c r="E51" s="26">
        <v>0.15090000000000001</v>
      </c>
      <c r="F51" s="26">
        <v>0</v>
      </c>
      <c r="G51" s="26">
        <v>0</v>
      </c>
      <c r="H51" s="26">
        <v>0</v>
      </c>
      <c r="I51" s="26">
        <v>0</v>
      </c>
      <c r="J51" s="26">
        <v>0</v>
      </c>
      <c r="K51" s="26">
        <v>0</v>
      </c>
      <c r="L51" s="26">
        <v>0</v>
      </c>
      <c r="M51" s="26">
        <v>5.5999999999999994E-2</v>
      </c>
      <c r="N51" s="26">
        <v>1</v>
      </c>
      <c r="O51" s="26">
        <v>0</v>
      </c>
      <c r="P51" s="26">
        <v>0</v>
      </c>
      <c r="Q51" s="26">
        <v>0</v>
      </c>
      <c r="R51" s="26">
        <v>0</v>
      </c>
      <c r="S51" s="26">
        <v>0</v>
      </c>
      <c r="T51" s="26">
        <v>0</v>
      </c>
      <c r="U51" s="26">
        <v>0</v>
      </c>
      <c r="V51" s="26">
        <v>0</v>
      </c>
      <c r="W51" s="26">
        <v>0</v>
      </c>
      <c r="X51" s="26">
        <v>0</v>
      </c>
      <c r="Y51" s="26">
        <v>0</v>
      </c>
      <c r="Z51" s="25">
        <v>1</v>
      </c>
      <c r="AA51" s="25" t="s">
        <v>8526</v>
      </c>
      <c r="AC51" s="56">
        <v>3000</v>
      </c>
      <c r="AD51" s="56">
        <v>6000</v>
      </c>
      <c r="AE51" s="56">
        <v>6000</v>
      </c>
      <c r="AF51" s="56">
        <v>12000</v>
      </c>
      <c r="AI51" s="25" t="s">
        <v>8246</v>
      </c>
      <c r="AJ51" s="56">
        <v>500</v>
      </c>
      <c r="AK51" s="56">
        <v>1000</v>
      </c>
      <c r="AL51" s="56">
        <v>1000</v>
      </c>
      <c r="AM51" s="56">
        <v>2000</v>
      </c>
      <c r="AN51" s="25" t="s">
        <v>8247</v>
      </c>
      <c r="AO51" s="25" t="s">
        <v>8248</v>
      </c>
      <c r="BB51" s="25" t="s">
        <v>8249</v>
      </c>
      <c r="DO51" s="25" t="s">
        <v>25</v>
      </c>
      <c r="DP51" s="25" t="s">
        <v>28</v>
      </c>
      <c r="DQ51" s="25" t="s">
        <v>25</v>
      </c>
      <c r="DR51" s="25" t="s">
        <v>25</v>
      </c>
      <c r="DT51" s="25" t="s">
        <v>13420</v>
      </c>
      <c r="DU51" s="25" t="s">
        <v>13420</v>
      </c>
      <c r="DV51" s="56">
        <v>20</v>
      </c>
      <c r="DW51" s="56">
        <v>30</v>
      </c>
      <c r="DY51" s="56">
        <v>150</v>
      </c>
      <c r="DZ51" s="56">
        <v>50</v>
      </c>
      <c r="EC51" s="26">
        <v>0</v>
      </c>
      <c r="EE51" s="26">
        <v>0</v>
      </c>
      <c r="EF51" s="26">
        <v>0.2</v>
      </c>
      <c r="EG51" s="26">
        <v>0.2</v>
      </c>
      <c r="EM51" s="56">
        <v>150</v>
      </c>
      <c r="EQ51" s="26">
        <v>0.4</v>
      </c>
      <c r="ER51" s="26">
        <v>0.4</v>
      </c>
      <c r="ES51" s="26">
        <v>0.4</v>
      </c>
      <c r="ET51" s="26">
        <v>0.2</v>
      </c>
      <c r="EU51" s="26">
        <v>0.4</v>
      </c>
      <c r="EX51" s="25" t="s">
        <v>8527</v>
      </c>
      <c r="EY51" s="25" t="s">
        <v>8527</v>
      </c>
      <c r="EZ51" s="25" t="s">
        <v>8527</v>
      </c>
      <c r="FA51" s="25" t="s">
        <v>8527</v>
      </c>
      <c r="FB51" s="25" t="s">
        <v>8527</v>
      </c>
      <c r="FE51" s="25" t="s">
        <v>25</v>
      </c>
      <c r="FF51" s="25" t="s">
        <v>25</v>
      </c>
      <c r="FG51" s="25" t="s">
        <v>25</v>
      </c>
      <c r="FH51" s="25" t="s">
        <v>25</v>
      </c>
      <c r="FI51" s="25" t="s">
        <v>25</v>
      </c>
      <c r="FL51" s="25" t="s">
        <v>13810</v>
      </c>
      <c r="FM51" s="25" t="s">
        <v>13810</v>
      </c>
      <c r="FN51" s="25" t="s">
        <v>13810</v>
      </c>
      <c r="FO51" s="25" t="s">
        <v>8252</v>
      </c>
      <c r="FP51" s="25" t="s">
        <v>631</v>
      </c>
      <c r="FQ51" s="25" t="s">
        <v>631</v>
      </c>
      <c r="FR51" s="25" t="s">
        <v>631</v>
      </c>
      <c r="FS51" s="25" t="s">
        <v>631</v>
      </c>
      <c r="FT51" s="25" t="s">
        <v>631</v>
      </c>
      <c r="FU51" s="25" t="s">
        <v>631</v>
      </c>
      <c r="FV51" s="25" t="s">
        <v>8325</v>
      </c>
      <c r="FW51" s="25" t="s">
        <v>8325</v>
      </c>
      <c r="FX51" s="25" t="s">
        <v>8325</v>
      </c>
      <c r="FY51" s="25" t="s">
        <v>8380</v>
      </c>
      <c r="GE51" s="56">
        <v>10</v>
      </c>
      <c r="GF51" s="56">
        <v>10</v>
      </c>
      <c r="GG51" s="56">
        <v>20</v>
      </c>
      <c r="GI51" s="56">
        <v>25</v>
      </c>
      <c r="GJ51" s="56">
        <v>25</v>
      </c>
      <c r="GK51" s="56">
        <v>50</v>
      </c>
      <c r="GM51" s="56">
        <v>50</v>
      </c>
      <c r="GN51" s="56">
        <v>50</v>
      </c>
      <c r="GO51" s="56">
        <v>100</v>
      </c>
      <c r="HL51" s="57">
        <v>0.2</v>
      </c>
      <c r="HY51" s="56">
        <v>150</v>
      </c>
      <c r="IB51" s="26">
        <v>0.4</v>
      </c>
      <c r="IC51" s="26">
        <v>0.4</v>
      </c>
      <c r="ID51" s="26">
        <v>0.4</v>
      </c>
      <c r="KM51" s="25" t="s">
        <v>8255</v>
      </c>
      <c r="KN51" s="25" t="s">
        <v>8298</v>
      </c>
      <c r="KO51" s="25" t="s">
        <v>8321</v>
      </c>
      <c r="KP51" s="25">
        <v>1</v>
      </c>
      <c r="KQ51" s="25" t="s">
        <v>8528</v>
      </c>
      <c r="KS51" s="56">
        <v>3000</v>
      </c>
      <c r="KT51" s="56">
        <v>6000</v>
      </c>
      <c r="KU51" s="56">
        <v>6000</v>
      </c>
      <c r="KV51" s="56">
        <v>12000</v>
      </c>
      <c r="KY51" s="25" t="s">
        <v>8246</v>
      </c>
      <c r="KZ51" s="56">
        <v>1500</v>
      </c>
      <c r="LA51" s="56">
        <v>3000</v>
      </c>
      <c r="LB51" s="56">
        <v>3000</v>
      </c>
      <c r="LC51" s="56">
        <v>6000</v>
      </c>
      <c r="LD51" s="25" t="s">
        <v>8247</v>
      </c>
      <c r="LE51" s="25" t="s">
        <v>8248</v>
      </c>
      <c r="LR51" s="25" t="s">
        <v>8249</v>
      </c>
      <c r="OE51" s="25" t="s">
        <v>25</v>
      </c>
      <c r="OF51" s="25" t="s">
        <v>28</v>
      </c>
      <c r="OG51" s="25" t="s">
        <v>25</v>
      </c>
      <c r="OH51" s="25" t="s">
        <v>25</v>
      </c>
      <c r="OJ51" s="25" t="s">
        <v>13420</v>
      </c>
      <c r="OK51" s="25" t="s">
        <v>13420</v>
      </c>
      <c r="OS51" s="26">
        <v>0.2</v>
      </c>
      <c r="OT51" s="26">
        <v>0.2</v>
      </c>
      <c r="OU51" s="26">
        <v>0.2</v>
      </c>
      <c r="OV51" s="26">
        <v>0.2</v>
      </c>
      <c r="OW51" s="26">
        <v>0.2</v>
      </c>
      <c r="PG51" s="26">
        <v>0.4</v>
      </c>
      <c r="PH51" s="26">
        <v>0.4</v>
      </c>
      <c r="PI51" s="26">
        <v>0.4</v>
      </c>
      <c r="PJ51" s="26">
        <v>0.2</v>
      </c>
      <c r="PK51" s="26">
        <v>0.4</v>
      </c>
      <c r="PN51" s="25" t="s">
        <v>8250</v>
      </c>
      <c r="PO51" s="25" t="s">
        <v>8250</v>
      </c>
      <c r="PP51" s="25" t="s">
        <v>8250</v>
      </c>
      <c r="PQ51" s="25" t="s">
        <v>8250</v>
      </c>
      <c r="PR51" s="25" t="s">
        <v>8250</v>
      </c>
      <c r="PU51" s="25" t="s">
        <v>25</v>
      </c>
      <c r="PV51" s="25" t="s">
        <v>25</v>
      </c>
      <c r="PW51" s="25" t="s">
        <v>25</v>
      </c>
      <c r="PX51" s="25" t="s">
        <v>25</v>
      </c>
      <c r="PY51" s="25" t="s">
        <v>25</v>
      </c>
      <c r="QB51" s="25" t="s">
        <v>13810</v>
      </c>
      <c r="QC51" s="25" t="s">
        <v>13810</v>
      </c>
      <c r="QD51" s="25" t="s">
        <v>13810</v>
      </c>
      <c r="QE51" s="25" t="s">
        <v>8252</v>
      </c>
      <c r="QF51" s="25" t="s">
        <v>631</v>
      </c>
      <c r="QG51" s="25" t="s">
        <v>631</v>
      </c>
      <c r="QH51" s="25" t="s">
        <v>631</v>
      </c>
      <c r="QI51" s="25" t="s">
        <v>631</v>
      </c>
      <c r="QJ51" s="25" t="s">
        <v>631</v>
      </c>
      <c r="QK51" s="25" t="s">
        <v>631</v>
      </c>
      <c r="QL51" s="25" t="s">
        <v>8325</v>
      </c>
      <c r="QM51" s="25" t="s">
        <v>8325</v>
      </c>
      <c r="QN51" s="25" t="s">
        <v>8325</v>
      </c>
      <c r="QO51" s="25" t="s">
        <v>8380</v>
      </c>
      <c r="QU51" s="56">
        <v>10</v>
      </c>
      <c r="QW51" s="56">
        <v>20</v>
      </c>
      <c r="QY51" s="56">
        <v>25</v>
      </c>
      <c r="RA51" s="56">
        <v>50</v>
      </c>
      <c r="RC51" s="56">
        <v>50</v>
      </c>
      <c r="RE51" s="56">
        <v>100</v>
      </c>
      <c r="RO51" s="56">
        <v>20</v>
      </c>
      <c r="VC51" s="25" t="s">
        <v>8255</v>
      </c>
      <c r="VD51" s="25" t="s">
        <v>8298</v>
      </c>
      <c r="VE51" s="25" t="s">
        <v>8321</v>
      </c>
      <c r="VF51" s="25">
        <v>0</v>
      </c>
      <c r="VI51" s="25"/>
      <c r="VJ51" s="25"/>
      <c r="VK51" s="25"/>
      <c r="VL51" s="25"/>
      <c r="VM51" s="25"/>
      <c r="VN51" s="25"/>
      <c r="VP51" s="25"/>
      <c r="VQ51" s="25"/>
      <c r="VR51" s="25"/>
      <c r="VS51" s="25"/>
      <c r="ZA51" s="25"/>
      <c r="ZB51" s="25"/>
      <c r="ZC51" s="25"/>
      <c r="ZD51" s="25"/>
      <c r="ZE51" s="25"/>
      <c r="ZF51" s="25"/>
      <c r="ZG51" s="25"/>
      <c r="ZO51" s="25"/>
      <c r="ZP51" s="25"/>
      <c r="ZQ51" s="25"/>
      <c r="ZR51" s="25"/>
      <c r="ZS51" s="25"/>
      <c r="ZT51" s="25"/>
      <c r="ZU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S51" s="25"/>
      <c r="ACT51" s="25"/>
      <c r="ACU51" s="25"/>
      <c r="ACV51" s="25"/>
      <c r="ACW51" s="25"/>
      <c r="ACX51" s="25"/>
      <c r="ACY51" s="25"/>
      <c r="ACZ51" s="25"/>
      <c r="ADA51" s="25"/>
      <c r="ADB51" s="25"/>
      <c r="ADC51" s="25"/>
      <c r="ADD51" s="25"/>
      <c r="ADE51" s="25"/>
      <c r="ADF51" s="25"/>
      <c r="ADN51" s="25"/>
      <c r="ADO51" s="25"/>
      <c r="ADP51" s="25"/>
      <c r="ADQ51" s="25"/>
      <c r="ADR51" s="25"/>
      <c r="ADS51" s="25"/>
      <c r="ADT51" s="25"/>
      <c r="ADU51" s="25"/>
      <c r="ADV51" s="25"/>
      <c r="ADW51" s="25"/>
      <c r="ADX51" s="25"/>
      <c r="ADY51" s="25"/>
      <c r="ADZ51" s="25"/>
      <c r="AEA51" s="25"/>
      <c r="AEI51" s="25"/>
      <c r="AEJ51" s="25"/>
      <c r="AEK51" s="25"/>
      <c r="AEL51" s="25"/>
      <c r="AEM51" s="25"/>
      <c r="AEN51" s="25"/>
      <c r="AEO51" s="25"/>
      <c r="AEP51" s="25"/>
      <c r="AEQ51" s="25"/>
      <c r="AER51" s="25"/>
      <c r="AES51" s="25"/>
      <c r="AET51" s="25"/>
      <c r="AEU51" s="25"/>
      <c r="AEV51" s="25"/>
      <c r="AFD51" s="25"/>
      <c r="AFE51" s="25"/>
      <c r="AFF51" s="25"/>
      <c r="AFG51" s="25"/>
      <c r="AFH51" s="25"/>
      <c r="AFI51" s="25"/>
      <c r="AFJ51" s="25"/>
      <c r="AFK51" s="25"/>
      <c r="AFL51" s="25"/>
      <c r="AFM51" s="25"/>
      <c r="AFN51" s="25"/>
      <c r="AFO51" s="25"/>
      <c r="AFP51" s="25"/>
      <c r="AFQ51" s="25"/>
      <c r="AFU51" s="25">
        <v>0</v>
      </c>
      <c r="AFX51" s="25"/>
      <c r="AFY51" s="25"/>
      <c r="AFZ51" s="25"/>
      <c r="AGA51" s="25"/>
      <c r="AGB51" s="25"/>
      <c r="AGC51" s="25"/>
      <c r="AGE51" s="25"/>
      <c r="AGF51" s="25"/>
      <c r="AGG51" s="25"/>
      <c r="AGH51" s="25"/>
      <c r="AJP51" s="25"/>
      <c r="AJQ51" s="25"/>
      <c r="AJR51" s="25"/>
      <c r="AJS51" s="25"/>
      <c r="AJT51" s="25"/>
      <c r="AJU51" s="25"/>
      <c r="AJV51" s="25"/>
      <c r="AKD51" s="25"/>
      <c r="AKE51" s="25"/>
      <c r="AKF51" s="25"/>
      <c r="AKG51" s="25"/>
      <c r="AKH51" s="25"/>
      <c r="AKI51" s="25"/>
      <c r="AKJ51" s="25"/>
      <c r="ALY51" s="25"/>
      <c r="ALZ51" s="25"/>
      <c r="AMA51" s="25"/>
      <c r="AMB51" s="25"/>
      <c r="AMC51" s="25"/>
      <c r="AMD51" s="25"/>
      <c r="AME51" s="25"/>
      <c r="AMF51" s="25"/>
      <c r="AMG51" s="25"/>
      <c r="AMH51" s="25"/>
      <c r="AMI51" s="25"/>
      <c r="AMJ51" s="25"/>
      <c r="AMK51" s="25"/>
      <c r="AML51" s="25"/>
      <c r="AMM51" s="25"/>
      <c r="AMN51" s="25"/>
      <c r="AMO51" s="25"/>
      <c r="AMP51" s="25"/>
      <c r="AMQ51" s="25"/>
      <c r="AMR51" s="25"/>
      <c r="AMS51" s="25"/>
      <c r="AMT51" s="25"/>
      <c r="AMU51" s="25"/>
      <c r="AMV51" s="25"/>
      <c r="AMW51" s="25"/>
      <c r="AMX51" s="25"/>
      <c r="AMY51" s="25"/>
      <c r="AMZ51" s="25"/>
      <c r="ANH51" s="25"/>
      <c r="ANI51" s="25"/>
      <c r="ANJ51" s="25"/>
      <c r="ANK51" s="25"/>
      <c r="ANL51" s="25"/>
      <c r="ANM51" s="25"/>
      <c r="ANN51" s="25"/>
      <c r="ANO51" s="25"/>
      <c r="ANP51" s="25"/>
      <c r="ANQ51" s="25"/>
      <c r="ANR51" s="25"/>
      <c r="ANS51" s="25"/>
      <c r="ANT51" s="25"/>
      <c r="ANU51" s="25"/>
      <c r="AOC51" s="25"/>
      <c r="AOD51" s="25"/>
      <c r="AOE51" s="25"/>
      <c r="AOF51" s="25"/>
      <c r="AOG51" s="25"/>
      <c r="AOH51" s="25"/>
      <c r="AOI51" s="25"/>
      <c r="AOJ51" s="25"/>
      <c r="AOK51" s="25"/>
      <c r="AOL51" s="25"/>
      <c r="AOM51" s="25"/>
      <c r="AON51" s="25"/>
      <c r="AOO51" s="25"/>
      <c r="AOP51" s="25"/>
      <c r="AOX51" s="25"/>
      <c r="AOY51" s="25"/>
      <c r="AOZ51" s="25"/>
      <c r="APA51" s="25"/>
      <c r="APB51" s="25"/>
      <c r="APC51" s="25"/>
      <c r="APD51" s="25"/>
      <c r="APE51" s="25"/>
      <c r="APF51" s="25"/>
      <c r="APG51" s="25"/>
      <c r="APH51" s="25"/>
      <c r="API51" s="25"/>
      <c r="APJ51" s="25"/>
      <c r="APK51" s="25"/>
      <c r="APS51" s="25"/>
      <c r="APT51" s="25"/>
      <c r="APU51" s="25"/>
      <c r="APV51" s="25"/>
      <c r="APW51" s="25"/>
      <c r="APX51" s="25"/>
      <c r="APY51" s="25"/>
      <c r="APZ51" s="25"/>
      <c r="AQA51" s="25"/>
      <c r="AQB51" s="25"/>
      <c r="AQC51" s="25"/>
      <c r="AQD51" s="25"/>
      <c r="AQE51" s="25"/>
      <c r="AQF51" s="25"/>
      <c r="AQJ51" s="25">
        <v>2</v>
      </c>
      <c r="AQK51" s="25" t="s">
        <v>8448</v>
      </c>
      <c r="AQL51" s="25" t="s">
        <v>8529</v>
      </c>
      <c r="AQM51" s="56">
        <v>3000</v>
      </c>
      <c r="AQN51" s="56">
        <v>6000</v>
      </c>
      <c r="AQS51" s="25" t="s">
        <v>8246</v>
      </c>
      <c r="AQT51" s="56">
        <v>500</v>
      </c>
      <c r="AQU51" s="56">
        <v>1000</v>
      </c>
      <c r="AQX51" s="25" t="s">
        <v>8248</v>
      </c>
      <c r="ARK51" s="25" t="s">
        <v>8249</v>
      </c>
      <c r="ATX51" s="25" t="s">
        <v>25</v>
      </c>
      <c r="ATY51" s="25" t="s">
        <v>28</v>
      </c>
      <c r="ATZ51" s="25" t="s">
        <v>25</v>
      </c>
      <c r="AUA51" s="25" t="s">
        <v>25</v>
      </c>
      <c r="AUC51" s="25" t="s">
        <v>13415</v>
      </c>
      <c r="AUD51" s="25" t="s">
        <v>8530</v>
      </c>
      <c r="AUE51" s="56">
        <v>20</v>
      </c>
      <c r="AUF51" s="56">
        <v>20</v>
      </c>
      <c r="AUI51" s="56">
        <v>20</v>
      </c>
      <c r="AUO51" s="26">
        <v>0.1</v>
      </c>
      <c r="AUW51" s="56">
        <v>20</v>
      </c>
      <c r="AVB51" s="26">
        <v>0</v>
      </c>
      <c r="AVC51" s="26">
        <v>0</v>
      </c>
      <c r="AVG51" s="25" t="s">
        <v>8250</v>
      </c>
      <c r="AVH51" s="25" t="s">
        <v>8250</v>
      </c>
      <c r="AVI51" s="25" t="s">
        <v>8250</v>
      </c>
      <c r="AVJ51" s="25" t="s">
        <v>8250</v>
      </c>
      <c r="AVK51" s="25" t="s">
        <v>8250</v>
      </c>
      <c r="AVL51" s="25" t="s">
        <v>8250</v>
      </c>
      <c r="AVM51" s="25" t="s">
        <v>8250</v>
      </c>
      <c r="AVN51" s="25" t="s">
        <v>13593</v>
      </c>
      <c r="AVO51" s="25" t="s">
        <v>13593</v>
      </c>
      <c r="AVP51" s="25" t="s">
        <v>13593</v>
      </c>
      <c r="AVQ51" s="25" t="s">
        <v>13593</v>
      </c>
      <c r="AVR51" s="25" t="s">
        <v>13593</v>
      </c>
      <c r="AVS51" s="25" t="s">
        <v>13593</v>
      </c>
      <c r="AVT51" s="25" t="s">
        <v>13593</v>
      </c>
      <c r="AVU51" s="25" t="s">
        <v>13810</v>
      </c>
      <c r="AVV51" s="25" t="s">
        <v>13810</v>
      </c>
      <c r="AVW51" s="25" t="s">
        <v>13810</v>
      </c>
      <c r="AVX51" s="25" t="s">
        <v>8252</v>
      </c>
      <c r="AVY51" s="25" t="s">
        <v>631</v>
      </c>
      <c r="AVZ51" s="25" t="s">
        <v>631</v>
      </c>
      <c r="AWA51" s="25" t="s">
        <v>631</v>
      </c>
      <c r="AWB51" s="25" t="s">
        <v>631</v>
      </c>
      <c r="AWC51" s="25" t="s">
        <v>631</v>
      </c>
      <c r="AWD51" s="25" t="s">
        <v>631</v>
      </c>
      <c r="AWE51" s="25" t="s">
        <v>8253</v>
      </c>
      <c r="AWF51" s="25" t="s">
        <v>8253</v>
      </c>
      <c r="AWG51" s="25" t="s">
        <v>8325</v>
      </c>
      <c r="AWH51" s="25" t="s">
        <v>8325</v>
      </c>
      <c r="AWN51" s="56">
        <v>10</v>
      </c>
      <c r="AWP51" s="56">
        <v>20</v>
      </c>
      <c r="AWR51" s="56">
        <v>30</v>
      </c>
      <c r="AWT51" s="56">
        <v>60</v>
      </c>
      <c r="AXU51" s="26">
        <v>0.2</v>
      </c>
      <c r="AYH51" s="56">
        <v>150</v>
      </c>
      <c r="BAV51" s="25" t="s">
        <v>8255</v>
      </c>
      <c r="BAW51" s="25" t="s">
        <v>8298</v>
      </c>
      <c r="BAX51" s="25" t="s">
        <v>8321</v>
      </c>
      <c r="BAY51" s="25">
        <v>0</v>
      </c>
      <c r="BBB51" s="25"/>
      <c r="BBC51" s="25"/>
      <c r="BBD51" s="25"/>
      <c r="BBE51" s="25"/>
      <c r="BBF51" s="25"/>
      <c r="BBG51" s="25"/>
      <c r="BBI51" s="25"/>
      <c r="BBJ51" s="25"/>
      <c r="BBK51" s="25"/>
      <c r="BBL51" s="25"/>
      <c r="BET51" s="25"/>
      <c r="BEU51" s="25"/>
      <c r="BEV51" s="25"/>
      <c r="BEW51" s="25"/>
      <c r="BEX51" s="25"/>
      <c r="BEY51" s="25"/>
      <c r="BEZ51" s="25"/>
      <c r="BFH51" s="25"/>
      <c r="BFI51" s="25"/>
      <c r="BFJ51" s="25"/>
      <c r="BFK51" s="25"/>
      <c r="BFL51" s="25"/>
      <c r="BFM51" s="25"/>
      <c r="BFN51" s="25"/>
      <c r="BHC51" s="25"/>
      <c r="BHD51" s="25"/>
      <c r="BHE51" s="25"/>
      <c r="BHF51" s="25"/>
      <c r="BHG51" s="25"/>
      <c r="BHH51" s="25"/>
      <c r="BHI51" s="25"/>
      <c r="BHJ51" s="25"/>
      <c r="BHK51" s="25"/>
      <c r="BHL51" s="25"/>
      <c r="BHM51" s="25"/>
      <c r="BHN51" s="25"/>
      <c r="BHO51" s="25"/>
      <c r="BHP51" s="25"/>
      <c r="BHQ51" s="25"/>
      <c r="BHR51" s="25"/>
      <c r="BHS51" s="25"/>
      <c r="BHT51" s="25"/>
      <c r="BHU51" s="25"/>
      <c r="BHV51" s="25"/>
      <c r="BHW51" s="25"/>
      <c r="BHX51" s="25"/>
      <c r="BHY51" s="25"/>
      <c r="BHZ51" s="25"/>
      <c r="BIA51" s="25"/>
      <c r="BIB51" s="25"/>
      <c r="BIC51" s="25"/>
      <c r="BID51" s="25"/>
      <c r="BIL51" s="25"/>
      <c r="BIM51" s="25"/>
      <c r="BIN51" s="25"/>
      <c r="BIO51" s="25"/>
      <c r="BIP51" s="25"/>
      <c r="BIQ51" s="25"/>
      <c r="BIR51" s="25"/>
      <c r="BIS51" s="25"/>
      <c r="BIT51" s="25"/>
      <c r="BIU51" s="25"/>
      <c r="BIV51" s="25"/>
      <c r="BIW51" s="25"/>
      <c r="BIX51" s="25"/>
      <c r="BIY51" s="25"/>
      <c r="BJG51" s="25"/>
      <c r="BJH51" s="25"/>
      <c r="BJI51" s="25"/>
      <c r="BJJ51" s="25"/>
      <c r="BJK51" s="25"/>
      <c r="BJL51" s="25"/>
      <c r="BJM51" s="25"/>
      <c r="BJN51" s="25"/>
      <c r="BJO51" s="25"/>
      <c r="BJP51" s="25"/>
      <c r="BJQ51" s="25"/>
      <c r="BJR51" s="25"/>
      <c r="BJS51" s="25"/>
      <c r="BJT51" s="25"/>
      <c r="BKB51" s="25"/>
      <c r="BKC51" s="25"/>
      <c r="BKD51" s="25"/>
      <c r="BKE51" s="25"/>
      <c r="BKF51" s="25"/>
      <c r="BKG51" s="25"/>
      <c r="BKH51" s="25"/>
      <c r="BKI51" s="25"/>
      <c r="BKJ51" s="25"/>
      <c r="BKK51" s="25"/>
      <c r="BKL51" s="25"/>
      <c r="BKM51" s="25"/>
      <c r="BKN51" s="25"/>
      <c r="BKO51" s="25"/>
      <c r="BKW51" s="25"/>
      <c r="BKX51" s="25"/>
      <c r="BKY51" s="25"/>
      <c r="BKZ51" s="25"/>
      <c r="BLA51" s="25"/>
      <c r="BLB51" s="25"/>
      <c r="BLC51" s="25"/>
      <c r="BLD51" s="25"/>
      <c r="BLE51" s="25"/>
      <c r="BLF51" s="25"/>
      <c r="BLG51" s="25"/>
      <c r="BLH51" s="25"/>
      <c r="BLI51" s="25"/>
      <c r="BLJ51" s="25"/>
      <c r="BLN51" s="25">
        <v>0</v>
      </c>
      <c r="BLQ51" s="25"/>
      <c r="BLR51" s="25"/>
      <c r="BLS51" s="25"/>
      <c r="BLT51" s="25"/>
      <c r="BLU51" s="25"/>
      <c r="BLV51" s="25"/>
      <c r="BLX51" s="25"/>
      <c r="BLY51" s="25"/>
      <c r="BLZ51" s="25"/>
      <c r="BMA51" s="25"/>
      <c r="BPI51" s="25"/>
      <c r="BPJ51" s="25"/>
      <c r="BPK51" s="25"/>
      <c r="BPL51" s="25"/>
      <c r="BPM51" s="25"/>
      <c r="BPN51" s="25"/>
      <c r="BPO51" s="25"/>
      <c r="BPW51" s="25"/>
      <c r="BPX51" s="25"/>
      <c r="BPY51" s="25"/>
      <c r="BPZ51" s="25"/>
      <c r="BQA51" s="25"/>
      <c r="BQB51" s="25"/>
      <c r="BQC51" s="25"/>
      <c r="BRR51" s="25"/>
      <c r="BRS51" s="25"/>
      <c r="BRT51" s="25"/>
      <c r="BRU51" s="25"/>
      <c r="BRV51" s="25"/>
      <c r="BRW51" s="25"/>
      <c r="BRX51" s="25"/>
      <c r="BRY51" s="25"/>
      <c r="BRZ51" s="25"/>
      <c r="BSA51" s="25"/>
      <c r="BSB51" s="25"/>
      <c r="BSC51" s="25"/>
      <c r="BSD51" s="25"/>
      <c r="BSE51" s="25"/>
      <c r="BSF51" s="25"/>
      <c r="BSG51" s="25"/>
      <c r="BSH51" s="25"/>
      <c r="BSI51" s="25"/>
      <c r="BSJ51" s="25"/>
      <c r="BSK51" s="25"/>
      <c r="BSL51" s="25"/>
      <c r="BSM51" s="25"/>
      <c r="BSN51" s="25"/>
      <c r="BSO51" s="25"/>
      <c r="BSP51" s="25"/>
      <c r="BSQ51" s="25"/>
      <c r="BSR51" s="25"/>
      <c r="BSS51" s="25"/>
      <c r="BTA51" s="25"/>
      <c r="BTB51" s="25"/>
      <c r="BTC51" s="25"/>
      <c r="BTD51" s="25"/>
      <c r="BTE51" s="25"/>
      <c r="BTF51" s="25"/>
      <c r="BTG51" s="25"/>
      <c r="BTH51" s="25"/>
      <c r="BTI51" s="25"/>
      <c r="BTJ51" s="25"/>
      <c r="BTK51" s="25"/>
      <c r="BTL51" s="25"/>
      <c r="BTM51" s="25"/>
      <c r="BTN51" s="25"/>
      <c r="BUQ51" s="25"/>
      <c r="BUR51" s="25"/>
      <c r="BUS51" s="25"/>
      <c r="BUT51" s="25"/>
      <c r="BUU51" s="25"/>
      <c r="BUV51" s="25"/>
      <c r="BUW51" s="25"/>
      <c r="BUX51" s="25"/>
      <c r="BUY51" s="25"/>
      <c r="BUZ51" s="25"/>
      <c r="BVA51" s="25"/>
      <c r="BVB51" s="25"/>
      <c r="BVC51" s="25"/>
      <c r="BVD51" s="25"/>
      <c r="BWC51" s="25" t="s">
        <v>28</v>
      </c>
      <c r="BWD51" s="25" t="s">
        <v>8531</v>
      </c>
      <c r="BWE51" s="25" t="s">
        <v>8532</v>
      </c>
      <c r="BWF51" s="25" t="s">
        <v>8533</v>
      </c>
      <c r="BWG51" s="25" t="s">
        <v>28</v>
      </c>
      <c r="BWH51" s="25" t="s">
        <v>2169</v>
      </c>
      <c r="BWI51" s="25" t="s">
        <v>28</v>
      </c>
      <c r="BWJ51" s="25" t="s">
        <v>8481</v>
      </c>
      <c r="BWK51" s="25" t="s">
        <v>25</v>
      </c>
      <c r="BWM51" s="25" t="s">
        <v>25</v>
      </c>
      <c r="BWO51" s="25" t="s">
        <v>25</v>
      </c>
      <c r="BWQ51" s="25" t="s">
        <v>25</v>
      </c>
      <c r="BWX51" s="25" t="s">
        <v>28</v>
      </c>
      <c r="BWY51" s="25" t="s">
        <v>8497</v>
      </c>
      <c r="BWZ51" s="25" t="s">
        <v>28</v>
      </c>
      <c r="BXA51" s="56">
        <v>12</v>
      </c>
      <c r="BXB51" s="25" t="s">
        <v>25</v>
      </c>
      <c r="BXD51" s="25" t="s">
        <v>28</v>
      </c>
      <c r="BXE51" s="25" t="s">
        <v>8497</v>
      </c>
      <c r="BXF51" s="25" t="s">
        <v>28</v>
      </c>
      <c r="BXG51" s="56">
        <v>12</v>
      </c>
      <c r="BXH51" s="25" t="s">
        <v>25</v>
      </c>
      <c r="BXJ51" s="25" t="s">
        <v>28</v>
      </c>
      <c r="BXK51" s="25" t="s">
        <v>8434</v>
      </c>
      <c r="BXL51" s="25" t="s">
        <v>8534</v>
      </c>
      <c r="BXM51" s="25" t="s">
        <v>41</v>
      </c>
      <c r="BXN51" s="25" t="s">
        <v>8332</v>
      </c>
      <c r="BXO51" s="25" t="s">
        <v>8273</v>
      </c>
      <c r="BXP51" s="25" t="s">
        <v>8273</v>
      </c>
      <c r="BXQ51" s="25" t="s">
        <v>8273</v>
      </c>
      <c r="BXR51" s="25" t="s">
        <v>8273</v>
      </c>
      <c r="BXS51" s="25" t="s">
        <v>8273</v>
      </c>
      <c r="BXU51" s="25" t="s">
        <v>25</v>
      </c>
      <c r="BXW51" s="25" t="s">
        <v>25</v>
      </c>
      <c r="BXX51" s="25" t="s">
        <v>25</v>
      </c>
      <c r="BXY51" s="25" t="s">
        <v>25</v>
      </c>
      <c r="BXZ51" s="25" t="s">
        <v>25</v>
      </c>
      <c r="BYA51" s="25" t="s">
        <v>25</v>
      </c>
      <c r="BYB51" s="25" t="s">
        <v>25</v>
      </c>
      <c r="BYC51" s="25" t="s">
        <v>2169</v>
      </c>
      <c r="BYD51" s="25" t="s">
        <v>28</v>
      </c>
      <c r="BYE51" s="25" t="s">
        <v>13614</v>
      </c>
      <c r="BYF51" s="25" t="s">
        <v>8277</v>
      </c>
      <c r="BYH51" s="25" t="s">
        <v>8515</v>
      </c>
      <c r="BYK51" s="25" t="s">
        <v>28</v>
      </c>
      <c r="BYL51" s="25" t="s">
        <v>28</v>
      </c>
      <c r="BYM51" s="25">
        <v>25</v>
      </c>
      <c r="BYN51" s="25" t="s">
        <v>28</v>
      </c>
      <c r="BYO51" s="25">
        <v>25</v>
      </c>
      <c r="BYP51" s="25" t="s">
        <v>28</v>
      </c>
      <c r="BYQ51" s="25">
        <v>25</v>
      </c>
      <c r="BYR51" s="25" t="s">
        <v>28</v>
      </c>
      <c r="BYS51" s="25" t="s">
        <v>8279</v>
      </c>
      <c r="BYT51" s="25" t="s">
        <v>8279</v>
      </c>
      <c r="BYU51" s="25" t="s">
        <v>732</v>
      </c>
      <c r="BYV51" s="25" t="s">
        <v>25</v>
      </c>
      <c r="BYW51" s="25" t="s">
        <v>28</v>
      </c>
      <c r="BYX51" s="56">
        <v>750</v>
      </c>
      <c r="BYY51" s="56">
        <v>1500</v>
      </c>
      <c r="BYZ51" s="25" t="s">
        <v>8408</v>
      </c>
      <c r="BZA51" s="25" t="s">
        <v>8535</v>
      </c>
      <c r="BZB51" s="25" t="s">
        <v>2269</v>
      </c>
      <c r="BZD51" s="25" t="s">
        <v>28</v>
      </c>
      <c r="BZE51" s="25" t="s">
        <v>28</v>
      </c>
      <c r="BZF51" s="25" t="s">
        <v>25</v>
      </c>
      <c r="BZG51" s="25" t="s">
        <v>25</v>
      </c>
      <c r="BZJ51" s="25" t="s">
        <v>25</v>
      </c>
      <c r="BZM51" s="25" t="s">
        <v>28</v>
      </c>
      <c r="BZN51" s="25" t="s">
        <v>8283</v>
      </c>
      <c r="BZP51" s="25" t="s">
        <v>8366</v>
      </c>
      <c r="BZQ51" s="56">
        <v>1000</v>
      </c>
      <c r="BZR51" s="25" t="s">
        <v>607</v>
      </c>
      <c r="BZS51" s="25" t="s">
        <v>25</v>
      </c>
      <c r="BZT51" s="25" t="s">
        <v>8337</v>
      </c>
      <c r="BZV51" s="25" t="s">
        <v>13641</v>
      </c>
      <c r="BZX51" s="25" t="s">
        <v>13835</v>
      </c>
      <c r="BZZ51" s="25" t="s">
        <v>25</v>
      </c>
      <c r="CAC51" s="25" t="s">
        <v>25</v>
      </c>
      <c r="CAE51" s="25" t="s">
        <v>25</v>
      </c>
      <c r="CAG51" s="25" t="s">
        <v>28</v>
      </c>
      <c r="CAH51" s="25" t="s">
        <v>631</v>
      </c>
      <c r="CAI51" s="25" t="s">
        <v>631</v>
      </c>
      <c r="CAJ51" s="25" t="s">
        <v>631</v>
      </c>
      <c r="CAK51" s="25" t="s">
        <v>631</v>
      </c>
      <c r="CAL51" s="25" t="s">
        <v>631</v>
      </c>
      <c r="CAM51" s="25" t="s">
        <v>8290</v>
      </c>
      <c r="CAN51" s="25" t="s">
        <v>631</v>
      </c>
      <c r="CAO51" s="25" t="s">
        <v>247</v>
      </c>
      <c r="CAP51" s="25" t="s">
        <v>631</v>
      </c>
      <c r="CAQ51" s="25" t="s">
        <v>631</v>
      </c>
      <c r="CAR51" s="25" t="s">
        <v>8339</v>
      </c>
      <c r="CAT51" s="25" t="s">
        <v>25</v>
      </c>
      <c r="CAW51" s="25" t="s">
        <v>8441</v>
      </c>
      <c r="CBB51" s="25">
        <v>1</v>
      </c>
      <c r="CBC51" s="25">
        <v>0</v>
      </c>
      <c r="CBD51" s="25">
        <v>0</v>
      </c>
      <c r="CBE51" s="56">
        <v>0</v>
      </c>
      <c r="CBF51" s="56">
        <v>0</v>
      </c>
      <c r="CBG51" s="56">
        <v>50</v>
      </c>
      <c r="CBH51" s="56">
        <v>150</v>
      </c>
      <c r="CBI51" s="56">
        <v>2000</v>
      </c>
      <c r="CBJ51" s="56">
        <v>2000</v>
      </c>
      <c r="CBK51" s="56">
        <v>1500</v>
      </c>
      <c r="CBL51" s="56">
        <v>1500</v>
      </c>
      <c r="CBM51" s="26">
        <v>0</v>
      </c>
      <c r="CBN51" s="26">
        <v>0</v>
      </c>
      <c r="CBO51" s="26">
        <v>0.1</v>
      </c>
      <c r="CBP51" s="26">
        <v>0.1</v>
      </c>
      <c r="CBQ51" s="26">
        <v>0.4</v>
      </c>
      <c r="CBR51" s="26">
        <v>0.4</v>
      </c>
      <c r="CBS51" s="26">
        <v>0.5</v>
      </c>
      <c r="CBT51" s="26">
        <v>0.5</v>
      </c>
      <c r="CBU51" s="27" t="s">
        <v>28</v>
      </c>
      <c r="CBV51" s="27" t="s">
        <v>8537</v>
      </c>
      <c r="CBW51" s="27" t="s">
        <v>8370</v>
      </c>
      <c r="CBX51" s="27" t="s">
        <v>8538</v>
      </c>
      <c r="CBY51" s="27" t="s">
        <v>8296</v>
      </c>
      <c r="CBZ51" s="27" t="s">
        <v>8296</v>
      </c>
      <c r="CCA51" s="27" t="s">
        <v>8297</v>
      </c>
      <c r="CCB51" s="27" t="s">
        <v>8298</v>
      </c>
      <c r="CCD51" s="27" t="s">
        <v>8297</v>
      </c>
      <c r="CCE51" s="27" t="s">
        <v>8297</v>
      </c>
      <c r="CCF51" s="27" t="s">
        <v>8297</v>
      </c>
      <c r="CCG51" s="27" t="s">
        <v>8297</v>
      </c>
      <c r="CCH51" s="27" t="s">
        <v>8298</v>
      </c>
      <c r="CCI51" s="27" t="s">
        <v>8298</v>
      </c>
      <c r="CCJ51" s="27" t="s">
        <v>8298</v>
      </c>
      <c r="CCK51" s="27" t="s">
        <v>8297</v>
      </c>
      <c r="CCL51" s="27" t="s">
        <v>8297</v>
      </c>
      <c r="CCN51" s="27" t="s">
        <v>8296</v>
      </c>
      <c r="CCO51" s="27" t="s">
        <v>8300</v>
      </c>
      <c r="CCP51" s="27" t="s">
        <v>8297</v>
      </c>
      <c r="CCQ51" s="27" t="s">
        <v>8296</v>
      </c>
      <c r="CCR51" s="27" t="s">
        <v>8296</v>
      </c>
      <c r="CCS51" s="27" t="s">
        <v>8298</v>
      </c>
      <c r="CCT51" s="27" t="s">
        <v>8296</v>
      </c>
      <c r="CCU51" s="27" t="s">
        <v>8298</v>
      </c>
      <c r="CCV51" s="27" t="s">
        <v>8298</v>
      </c>
      <c r="CCW51" s="27" t="s">
        <v>8298</v>
      </c>
      <c r="CCX51" s="27" t="s">
        <v>8298</v>
      </c>
      <c r="CCY51" s="27" t="s">
        <v>8298</v>
      </c>
      <c r="CCZ51" s="27" t="s">
        <v>28</v>
      </c>
      <c r="CDA51" s="27" t="s">
        <v>28</v>
      </c>
      <c r="CDB51" s="27" t="s">
        <v>28</v>
      </c>
      <c r="CDC51" s="27" t="s">
        <v>28</v>
      </c>
      <c r="CDE51" s="27" t="s">
        <v>28</v>
      </c>
      <c r="CDF51" s="27" t="s">
        <v>28</v>
      </c>
      <c r="CDG51" s="27" t="s">
        <v>28</v>
      </c>
      <c r="CDH51" s="27" t="s">
        <v>28</v>
      </c>
      <c r="CDI51" s="27" t="s">
        <v>28</v>
      </c>
      <c r="CDJ51" s="27" t="s">
        <v>28</v>
      </c>
      <c r="CDK51" s="27" t="s">
        <v>28</v>
      </c>
      <c r="CDL51" s="27" t="s">
        <v>28</v>
      </c>
      <c r="CDM51" s="27" t="s">
        <v>28</v>
      </c>
      <c r="CDO51" s="27" t="s">
        <v>28</v>
      </c>
      <c r="CDP51" s="27" t="s">
        <v>25</v>
      </c>
      <c r="CDQ51" s="27" t="s">
        <v>28</v>
      </c>
      <c r="CDR51" s="27" t="s">
        <v>28</v>
      </c>
      <c r="CDS51" s="27" t="s">
        <v>28</v>
      </c>
      <c r="CDT51" s="27" t="s">
        <v>25</v>
      </c>
      <c r="CDU51" s="27" t="s">
        <v>28</v>
      </c>
      <c r="CDV51" s="27" t="s">
        <v>25</v>
      </c>
      <c r="CDW51" s="27" t="s">
        <v>25</v>
      </c>
      <c r="CDX51" s="27" t="s">
        <v>25</v>
      </c>
      <c r="CDY51" s="27" t="s">
        <v>25</v>
      </c>
      <c r="CDZ51" s="27" t="s">
        <v>25</v>
      </c>
      <c r="CEA51" s="27" t="s">
        <v>8305</v>
      </c>
      <c r="CEB51" s="27" t="s">
        <v>2673</v>
      </c>
      <c r="CEC51" s="27" t="s">
        <v>29</v>
      </c>
      <c r="CED51" s="27" t="s">
        <v>8302</v>
      </c>
      <c r="CEF51" s="27" t="s">
        <v>29</v>
      </c>
      <c r="CEG51" s="27" t="s">
        <v>2673</v>
      </c>
      <c r="CEH51" s="27" t="s">
        <v>8303</v>
      </c>
      <c r="CEI51" s="27" t="s">
        <v>29</v>
      </c>
      <c r="CEJ51" s="27" t="s">
        <v>8302</v>
      </c>
      <c r="CEK51" s="27" t="s">
        <v>8302</v>
      </c>
      <c r="CEL51" s="27" t="s">
        <v>8302</v>
      </c>
      <c r="CEM51" s="27" t="s">
        <v>29</v>
      </c>
      <c r="CEN51" s="27" t="s">
        <v>8305</v>
      </c>
      <c r="CEP51" s="27" t="s">
        <v>2673</v>
      </c>
      <c r="CEQ51" s="27" t="s">
        <v>8304</v>
      </c>
      <c r="CER51" s="27" t="s">
        <v>8306</v>
      </c>
      <c r="CES51" s="27" t="s">
        <v>8306</v>
      </c>
      <c r="CET51" s="27" t="s">
        <v>8305</v>
      </c>
      <c r="CEU51" s="27" t="s">
        <v>8304</v>
      </c>
      <c r="CEV51" s="27" t="s">
        <v>8304</v>
      </c>
      <c r="CEW51" s="27" t="s">
        <v>8305</v>
      </c>
      <c r="CEX51" s="27" t="s">
        <v>8302</v>
      </c>
      <c r="CEY51" s="27" t="s">
        <v>8303</v>
      </c>
      <c r="CEZ51" s="27" t="s">
        <v>8301</v>
      </c>
      <c r="CFA51" s="27" t="s">
        <v>2673</v>
      </c>
      <c r="CFB51" s="27" t="s">
        <v>25</v>
      </c>
      <c r="CFC51" s="27" t="s">
        <v>25</v>
      </c>
      <c r="CFD51" s="27" t="s">
        <v>28</v>
      </c>
      <c r="CFE51" s="27" t="s">
        <v>25</v>
      </c>
      <c r="CFG51" s="27" t="s">
        <v>28</v>
      </c>
      <c r="CFH51" s="27" t="s">
        <v>25</v>
      </c>
      <c r="CFI51" s="27" t="s">
        <v>28</v>
      </c>
      <c r="CFJ51" s="27" t="s">
        <v>25</v>
      </c>
      <c r="CFK51" s="27" t="s">
        <v>25</v>
      </c>
      <c r="CFL51" s="27" t="s">
        <v>25</v>
      </c>
      <c r="CFM51" s="27" t="s">
        <v>25</v>
      </c>
      <c r="CFN51" s="27" t="s">
        <v>25</v>
      </c>
      <c r="CFO51" s="27" t="s">
        <v>25</v>
      </c>
      <c r="CFQ51" s="27" t="s">
        <v>25</v>
      </c>
      <c r="CFR51" s="27" t="s">
        <v>25</v>
      </c>
      <c r="CFS51" s="27" t="s">
        <v>25</v>
      </c>
      <c r="CFT51" s="27" t="s">
        <v>25</v>
      </c>
      <c r="CFU51" s="27" t="s">
        <v>25</v>
      </c>
      <c r="CFV51" s="27" t="s">
        <v>28</v>
      </c>
      <c r="CFW51" s="27" t="s">
        <v>25</v>
      </c>
      <c r="CFX51" s="27" t="s">
        <v>25</v>
      </c>
      <c r="CFY51" s="27" t="s">
        <v>25</v>
      </c>
      <c r="CFZ51" s="27" t="s">
        <v>25</v>
      </c>
      <c r="CGA51" s="27" t="s">
        <v>25</v>
      </c>
      <c r="CGB51" s="27" t="s">
        <v>25</v>
      </c>
      <c r="CPW51" s="27">
        <v>1</v>
      </c>
      <c r="CPX51" s="56">
        <v>0</v>
      </c>
      <c r="CPY51" s="26">
        <v>0</v>
      </c>
      <c r="CPZ51" s="56">
        <v>30</v>
      </c>
      <c r="CQB51" s="25" t="s">
        <v>8307</v>
      </c>
      <c r="CQC51" s="25" t="s">
        <v>8307</v>
      </c>
      <c r="CQD51" s="25" t="s">
        <v>8307</v>
      </c>
      <c r="CQE51" s="25" t="s">
        <v>8307</v>
      </c>
      <c r="CQF51" s="25" t="s">
        <v>8307</v>
      </c>
      <c r="CQG51" s="56">
        <v>0</v>
      </c>
      <c r="CQH51" s="56">
        <v>0</v>
      </c>
      <c r="CQI51" s="56">
        <v>220</v>
      </c>
      <c r="CQJ51" s="56">
        <v>220</v>
      </c>
      <c r="CQK51" s="56">
        <v>0</v>
      </c>
      <c r="CQL51" s="25" t="s">
        <v>13672</v>
      </c>
      <c r="CQM51" s="25" t="s">
        <v>8345</v>
      </c>
      <c r="CQN51" s="25" t="s">
        <v>28</v>
      </c>
      <c r="CQO51" s="25" t="s">
        <v>8309</v>
      </c>
      <c r="CQQ51" s="25" t="s">
        <v>8539</v>
      </c>
      <c r="CQR51" s="25" t="s">
        <v>8540</v>
      </c>
      <c r="CQS51" s="25" t="s">
        <v>25</v>
      </c>
      <c r="CQT51" s="25" t="s">
        <v>8314</v>
      </c>
      <c r="CQU51" s="25" t="s">
        <v>8312</v>
      </c>
      <c r="CQV51" s="25" t="s">
        <v>8312</v>
      </c>
      <c r="CQW51" s="25" t="s">
        <v>8312</v>
      </c>
      <c r="CQX51" s="25" t="s">
        <v>8312</v>
      </c>
      <c r="CQY51" s="25" t="s">
        <v>8312</v>
      </c>
      <c r="CQZ51" s="25" t="s">
        <v>8312</v>
      </c>
      <c r="CRA51" s="25" t="s">
        <v>8312</v>
      </c>
      <c r="CRB51" s="25" t="s">
        <v>8312</v>
      </c>
      <c r="CRC51" s="25" t="s">
        <v>8314</v>
      </c>
      <c r="CRD51" s="25" t="s">
        <v>8312</v>
      </c>
      <c r="CRE51" s="27" t="s">
        <v>8314</v>
      </c>
    </row>
    <row r="52" spans="1:2048 2050:2501" ht="76.5" x14ac:dyDescent="0.2">
      <c r="A52" s="21" t="s">
        <v>173</v>
      </c>
      <c r="B52" s="26">
        <v>0.52</v>
      </c>
      <c r="C52" s="26">
        <v>0</v>
      </c>
      <c r="D52" s="26">
        <v>0.32</v>
      </c>
      <c r="E52" s="26">
        <v>0.14000000000000001</v>
      </c>
      <c r="F52" s="26">
        <v>0</v>
      </c>
      <c r="G52" s="26">
        <v>0</v>
      </c>
      <c r="H52" s="26">
        <v>0</v>
      </c>
      <c r="I52" s="26">
        <v>0</v>
      </c>
      <c r="J52" s="26">
        <v>0</v>
      </c>
      <c r="K52" s="26">
        <v>0</v>
      </c>
      <c r="L52" s="26">
        <v>0</v>
      </c>
      <c r="M52" s="26">
        <v>0.02</v>
      </c>
      <c r="N52" s="26">
        <v>0</v>
      </c>
      <c r="O52" s="26">
        <v>0</v>
      </c>
      <c r="P52" s="26">
        <v>0</v>
      </c>
      <c r="Q52" s="26">
        <v>0</v>
      </c>
      <c r="R52" s="26">
        <v>0</v>
      </c>
      <c r="S52" s="26">
        <v>0</v>
      </c>
      <c r="T52" s="26">
        <v>0</v>
      </c>
      <c r="U52" s="26">
        <v>0</v>
      </c>
      <c r="V52" s="26">
        <v>0</v>
      </c>
      <c r="W52" s="26">
        <v>0</v>
      </c>
      <c r="X52" s="26">
        <v>0</v>
      </c>
      <c r="Y52" s="26">
        <v>1</v>
      </c>
      <c r="Z52" s="25">
        <v>2</v>
      </c>
      <c r="AA52" s="25" t="s">
        <v>8933</v>
      </c>
      <c r="AB52" s="25" t="s">
        <v>8934</v>
      </c>
      <c r="AC52" s="56">
        <v>1500</v>
      </c>
      <c r="AD52" s="56">
        <v>3000</v>
      </c>
      <c r="AE52" s="56">
        <v>3000</v>
      </c>
      <c r="AF52" s="56">
        <v>6000</v>
      </c>
      <c r="AI52" s="25" t="s">
        <v>8246</v>
      </c>
      <c r="AJ52" s="56">
        <v>0</v>
      </c>
      <c r="AK52" s="56">
        <v>0</v>
      </c>
      <c r="AL52" s="56">
        <v>1000</v>
      </c>
      <c r="AM52" s="56">
        <v>2000</v>
      </c>
      <c r="AN52" s="25" t="s">
        <v>8247</v>
      </c>
      <c r="AO52" s="25" t="s">
        <v>8248</v>
      </c>
      <c r="BB52" s="25" t="s">
        <v>8249</v>
      </c>
      <c r="DO52" s="25" t="s">
        <v>25</v>
      </c>
      <c r="DP52" s="25" t="s">
        <v>28</v>
      </c>
      <c r="DQ52" s="25" t="s">
        <v>25</v>
      </c>
      <c r="DR52" s="25" t="s">
        <v>25</v>
      </c>
      <c r="DT52" s="25" t="s">
        <v>13417</v>
      </c>
      <c r="DU52" s="25" t="s">
        <v>13425</v>
      </c>
      <c r="DV52" s="56">
        <v>20</v>
      </c>
      <c r="DW52" s="56">
        <v>35</v>
      </c>
      <c r="DX52" s="56">
        <v>20</v>
      </c>
      <c r="DY52" s="56">
        <v>100</v>
      </c>
      <c r="DZ52" s="56">
        <v>50</v>
      </c>
      <c r="EA52" s="56">
        <v>0</v>
      </c>
      <c r="EM52" s="56">
        <v>100</v>
      </c>
      <c r="EQ52" s="26">
        <v>0.3</v>
      </c>
      <c r="ER52" s="26">
        <v>0.3</v>
      </c>
      <c r="ES52" s="26">
        <v>0.3</v>
      </c>
      <c r="EU52" s="26">
        <v>0.3</v>
      </c>
      <c r="EW52" s="26">
        <v>0.3</v>
      </c>
      <c r="EX52" s="25" t="s">
        <v>8527</v>
      </c>
      <c r="EY52" s="25" t="s">
        <v>8527</v>
      </c>
      <c r="EZ52" s="25" t="s">
        <v>8527</v>
      </c>
      <c r="FE52" s="25" t="s">
        <v>28</v>
      </c>
      <c r="FF52" s="25" t="s">
        <v>28</v>
      </c>
      <c r="FG52" s="25" t="s">
        <v>28</v>
      </c>
      <c r="FL52" s="25" t="s">
        <v>13810</v>
      </c>
      <c r="FM52" s="25" t="s">
        <v>13810</v>
      </c>
      <c r="FN52" s="25" t="s">
        <v>13810</v>
      </c>
      <c r="FO52" s="25" t="s">
        <v>13810</v>
      </c>
      <c r="FP52" s="25" t="s">
        <v>631</v>
      </c>
      <c r="FQ52" s="25" t="s">
        <v>8252</v>
      </c>
      <c r="FR52" s="25" t="s">
        <v>8252</v>
      </c>
      <c r="FS52" s="25" t="s">
        <v>631</v>
      </c>
      <c r="FT52" s="25" t="s">
        <v>631</v>
      </c>
      <c r="FV52" s="25" t="s">
        <v>8253</v>
      </c>
      <c r="FW52" s="25" t="s">
        <v>8253</v>
      </c>
      <c r="FX52" s="25" t="s">
        <v>8253</v>
      </c>
      <c r="FY52" s="25" t="s">
        <v>8262</v>
      </c>
      <c r="GA52" s="25" t="s">
        <v>8262</v>
      </c>
      <c r="GB52" s="25" t="s">
        <v>8262</v>
      </c>
      <c r="GE52" s="56">
        <v>10</v>
      </c>
      <c r="GF52" s="56">
        <v>10</v>
      </c>
      <c r="GG52" s="56">
        <v>20</v>
      </c>
      <c r="GI52" s="56">
        <v>30</v>
      </c>
      <c r="GJ52" s="56">
        <v>30</v>
      </c>
      <c r="GK52" s="56">
        <v>60</v>
      </c>
      <c r="GM52" s="56">
        <v>60</v>
      </c>
      <c r="GN52" s="56">
        <v>60</v>
      </c>
      <c r="GO52" s="56">
        <v>120</v>
      </c>
      <c r="HG52" s="57">
        <v>0</v>
      </c>
      <c r="HH52" s="57">
        <v>0</v>
      </c>
      <c r="HI52" s="57">
        <v>0</v>
      </c>
      <c r="IB52" s="26">
        <v>0</v>
      </c>
      <c r="IC52" s="26">
        <v>0</v>
      </c>
      <c r="ID52" s="26">
        <v>0</v>
      </c>
      <c r="IW52" s="26">
        <v>0</v>
      </c>
      <c r="IX52" s="26">
        <v>0</v>
      </c>
      <c r="IY52" s="26">
        <v>0</v>
      </c>
      <c r="JR52" s="26">
        <v>0</v>
      </c>
      <c r="JS52" s="26">
        <v>0</v>
      </c>
      <c r="JT52" s="26">
        <v>0</v>
      </c>
      <c r="KM52" s="25" t="s">
        <v>8255</v>
      </c>
      <c r="KN52" s="25" t="s">
        <v>8256</v>
      </c>
      <c r="KO52" s="25" t="s">
        <v>8321</v>
      </c>
      <c r="KP52" s="25">
        <v>2</v>
      </c>
      <c r="KQ52" s="25" t="s">
        <v>8935</v>
      </c>
      <c r="KR52" s="25" t="s">
        <v>8936</v>
      </c>
      <c r="KS52" s="56">
        <v>3250</v>
      </c>
      <c r="KT52" s="56">
        <v>6500</v>
      </c>
      <c r="KU52" s="56">
        <v>6500</v>
      </c>
      <c r="KV52" s="56">
        <v>13000</v>
      </c>
      <c r="KY52" s="25" t="s">
        <v>8246</v>
      </c>
      <c r="KZ52" s="56">
        <v>1750</v>
      </c>
      <c r="LA52" s="56">
        <v>3500</v>
      </c>
      <c r="LB52" s="56">
        <v>1750</v>
      </c>
      <c r="LC52" s="56">
        <v>3500</v>
      </c>
      <c r="LD52" s="25" t="s">
        <v>8247</v>
      </c>
      <c r="LE52" s="25" t="s">
        <v>8248</v>
      </c>
      <c r="LR52" s="25" t="s">
        <v>8249</v>
      </c>
      <c r="OE52" s="25" t="s">
        <v>25</v>
      </c>
      <c r="OF52" s="25" t="s">
        <v>28</v>
      </c>
      <c r="OG52" s="25" t="s">
        <v>25</v>
      </c>
      <c r="OH52" s="25" t="s">
        <v>25</v>
      </c>
      <c r="OJ52" s="25" t="s">
        <v>13425</v>
      </c>
      <c r="OK52" s="25" t="s">
        <v>13425</v>
      </c>
      <c r="OS52" s="26">
        <v>0.2</v>
      </c>
      <c r="OT52" s="26">
        <v>0.2</v>
      </c>
      <c r="OU52" s="26">
        <v>0.2</v>
      </c>
      <c r="OV52" s="26">
        <v>0.2</v>
      </c>
      <c r="OW52" s="26">
        <v>0.2</v>
      </c>
      <c r="OY52" s="26">
        <v>0.2</v>
      </c>
      <c r="PG52" s="26">
        <v>0.4</v>
      </c>
      <c r="PH52" s="26">
        <v>0.4</v>
      </c>
      <c r="PI52" s="26">
        <v>0.4</v>
      </c>
      <c r="PJ52" s="26">
        <v>0.2</v>
      </c>
      <c r="PK52" s="26">
        <v>0.4</v>
      </c>
      <c r="PM52" s="26">
        <v>0.4</v>
      </c>
      <c r="PN52" s="25" t="s">
        <v>8527</v>
      </c>
      <c r="PO52" s="25" t="s">
        <v>8527</v>
      </c>
      <c r="PP52" s="25" t="s">
        <v>8527</v>
      </c>
      <c r="PU52" s="25" t="s">
        <v>25</v>
      </c>
      <c r="PV52" s="25" t="s">
        <v>25</v>
      </c>
      <c r="PW52" s="25" t="s">
        <v>25</v>
      </c>
      <c r="QB52" s="25" t="s">
        <v>13810</v>
      </c>
      <c r="QC52" s="25" t="s">
        <v>13810</v>
      </c>
      <c r="QD52" s="25" t="s">
        <v>13810</v>
      </c>
      <c r="QE52" s="25" t="s">
        <v>13810</v>
      </c>
      <c r="QF52" s="25" t="s">
        <v>631</v>
      </c>
      <c r="QG52" s="25" t="s">
        <v>8252</v>
      </c>
      <c r="QH52" s="25" t="s">
        <v>8252</v>
      </c>
      <c r="QI52" s="25" t="s">
        <v>631</v>
      </c>
      <c r="QJ52" s="25" t="s">
        <v>631</v>
      </c>
      <c r="QK52" s="25" t="s">
        <v>631</v>
      </c>
      <c r="QL52" s="25" t="s">
        <v>8253</v>
      </c>
      <c r="QM52" s="25" t="s">
        <v>8253</v>
      </c>
      <c r="QN52" s="25" t="s">
        <v>8253</v>
      </c>
      <c r="QO52" s="25" t="s">
        <v>8937</v>
      </c>
      <c r="QQ52" s="25" t="s">
        <v>8262</v>
      </c>
      <c r="QR52" s="25" t="s">
        <v>8262</v>
      </c>
      <c r="QU52" s="56">
        <v>25</v>
      </c>
      <c r="QV52" s="56">
        <v>0</v>
      </c>
      <c r="QW52" s="56">
        <v>50</v>
      </c>
      <c r="QX52" s="56">
        <v>0</v>
      </c>
      <c r="QY52" s="56">
        <v>50</v>
      </c>
      <c r="QZ52" s="56">
        <v>0</v>
      </c>
      <c r="RA52" s="56">
        <v>100</v>
      </c>
      <c r="RB52" s="56">
        <v>0</v>
      </c>
      <c r="RC52" s="56">
        <v>100</v>
      </c>
      <c r="RD52" s="56">
        <v>0</v>
      </c>
      <c r="RE52" s="56">
        <v>200</v>
      </c>
      <c r="RF52" s="56">
        <v>0</v>
      </c>
      <c r="RG52" s="56">
        <v>0</v>
      </c>
      <c r="RH52" s="56">
        <v>0</v>
      </c>
      <c r="RI52" s="56">
        <v>0</v>
      </c>
      <c r="RJ52" s="56">
        <v>0</v>
      </c>
      <c r="RW52" s="26">
        <v>0.2</v>
      </c>
      <c r="RX52" s="26">
        <v>0.2</v>
      </c>
      <c r="RY52" s="26">
        <v>0.2</v>
      </c>
      <c r="SH52" s="56">
        <v>0</v>
      </c>
      <c r="SJ52" s="56">
        <v>0</v>
      </c>
      <c r="VC52" s="25" t="s">
        <v>8255</v>
      </c>
      <c r="VD52" s="25" t="s">
        <v>8256</v>
      </c>
      <c r="VE52" s="25" t="s">
        <v>8321</v>
      </c>
      <c r="VF52" s="25">
        <v>0</v>
      </c>
      <c r="VI52" s="25"/>
      <c r="VJ52" s="25"/>
      <c r="VK52" s="25"/>
      <c r="VL52" s="25"/>
      <c r="VM52" s="25"/>
      <c r="VN52" s="25"/>
      <c r="VP52" s="25"/>
      <c r="VQ52" s="25"/>
      <c r="VR52" s="25"/>
      <c r="VS52" s="25"/>
      <c r="ZA52" s="25"/>
      <c r="ZB52" s="25"/>
      <c r="ZC52" s="25"/>
      <c r="ZD52" s="25"/>
      <c r="ZE52" s="25"/>
      <c r="ZF52" s="25"/>
      <c r="ZG52" s="25"/>
      <c r="ZO52" s="25"/>
      <c r="ZP52" s="25"/>
      <c r="ZQ52" s="25"/>
      <c r="ZR52" s="25"/>
      <c r="ZS52" s="25"/>
      <c r="ZT52" s="25"/>
      <c r="ZU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S52" s="25"/>
      <c r="ACT52" s="25"/>
      <c r="ACU52" s="25"/>
      <c r="ACV52" s="25"/>
      <c r="ACW52" s="25"/>
      <c r="ACX52" s="25"/>
      <c r="ACY52" s="25"/>
      <c r="ACZ52" s="25"/>
      <c r="ADA52" s="25"/>
      <c r="ADB52" s="25"/>
      <c r="ADC52" s="25"/>
      <c r="ADD52" s="25"/>
      <c r="ADE52" s="25"/>
      <c r="ADF52" s="25"/>
      <c r="ADN52" s="25"/>
      <c r="ADO52" s="25"/>
      <c r="ADP52" s="25"/>
      <c r="ADQ52" s="25"/>
      <c r="ADR52" s="25"/>
      <c r="ADS52" s="25"/>
      <c r="ADT52" s="25"/>
      <c r="ADU52" s="25"/>
      <c r="ADV52" s="25"/>
      <c r="ADW52" s="25"/>
      <c r="ADX52" s="25"/>
      <c r="ADY52" s="25"/>
      <c r="ADZ52" s="25"/>
      <c r="AEA52" s="25"/>
      <c r="AEI52" s="25"/>
      <c r="AEJ52" s="25"/>
      <c r="AEK52" s="25"/>
      <c r="AEL52" s="25"/>
      <c r="AEM52" s="25"/>
      <c r="AEN52" s="25"/>
      <c r="AEO52" s="25"/>
      <c r="AEP52" s="25"/>
      <c r="AEQ52" s="25"/>
      <c r="AER52" s="25"/>
      <c r="AES52" s="25"/>
      <c r="AET52" s="25"/>
      <c r="AEU52" s="25"/>
      <c r="AEV52" s="25"/>
      <c r="AFD52" s="25"/>
      <c r="AFE52" s="25"/>
      <c r="AFF52" s="25"/>
      <c r="AFG52" s="25"/>
      <c r="AFH52" s="25"/>
      <c r="AFI52" s="25"/>
      <c r="AFJ52" s="25"/>
      <c r="AFK52" s="25"/>
      <c r="AFL52" s="25"/>
      <c r="AFM52" s="25"/>
      <c r="AFN52" s="25"/>
      <c r="AFO52" s="25"/>
      <c r="AFP52" s="25"/>
      <c r="AFQ52" s="25"/>
      <c r="AFU52" s="25">
        <v>0</v>
      </c>
      <c r="AFX52" s="25"/>
      <c r="AFY52" s="25"/>
      <c r="AFZ52" s="25"/>
      <c r="AGA52" s="25"/>
      <c r="AGB52" s="25"/>
      <c r="AGC52" s="25"/>
      <c r="AGE52" s="25"/>
      <c r="AGF52" s="25"/>
      <c r="AGG52" s="25"/>
      <c r="AGH52" s="25"/>
      <c r="AJP52" s="25"/>
      <c r="AJQ52" s="25"/>
      <c r="AJR52" s="25"/>
      <c r="AJS52" s="25"/>
      <c r="AJT52" s="25"/>
      <c r="AJU52" s="25"/>
      <c r="AJV52" s="25"/>
      <c r="AKD52" s="25"/>
      <c r="AKE52" s="25"/>
      <c r="AKF52" s="25"/>
      <c r="AKG52" s="25"/>
      <c r="AKH52" s="25"/>
      <c r="AKI52" s="25"/>
      <c r="AKJ52" s="25"/>
      <c r="ALY52" s="25"/>
      <c r="ALZ52" s="25"/>
      <c r="AMA52" s="25"/>
      <c r="AMB52" s="25"/>
      <c r="AMC52" s="25"/>
      <c r="AMD52" s="25"/>
      <c r="AME52" s="25"/>
      <c r="AMF52" s="25"/>
      <c r="AMG52" s="25"/>
      <c r="AMH52" s="25"/>
      <c r="AMI52" s="25"/>
      <c r="AMJ52" s="25"/>
      <c r="AMK52" s="25"/>
      <c r="AML52" s="25"/>
      <c r="AMM52" s="25"/>
      <c r="AMN52" s="25"/>
      <c r="AMO52" s="25"/>
      <c r="AMP52" s="25"/>
      <c r="AMQ52" s="25"/>
      <c r="AMR52" s="25"/>
      <c r="AMS52" s="25"/>
      <c r="AMT52" s="25"/>
      <c r="AMU52" s="25"/>
      <c r="AMV52" s="25"/>
      <c r="AMW52" s="25"/>
      <c r="AMX52" s="25"/>
      <c r="AMY52" s="25"/>
      <c r="AMZ52" s="25"/>
      <c r="ANH52" s="25"/>
      <c r="ANI52" s="25"/>
      <c r="ANJ52" s="25"/>
      <c r="ANK52" s="25"/>
      <c r="ANL52" s="25"/>
      <c r="ANM52" s="25"/>
      <c r="ANN52" s="25"/>
      <c r="ANO52" s="25"/>
      <c r="ANP52" s="25"/>
      <c r="ANQ52" s="25"/>
      <c r="ANR52" s="25"/>
      <c r="ANS52" s="25"/>
      <c r="ANT52" s="25"/>
      <c r="ANU52" s="25"/>
      <c r="AOC52" s="25"/>
      <c r="AOD52" s="25"/>
      <c r="AOE52" s="25"/>
      <c r="AOF52" s="25"/>
      <c r="AOG52" s="25"/>
      <c r="AOH52" s="25"/>
      <c r="AOI52" s="25"/>
      <c r="AOJ52" s="25"/>
      <c r="AOK52" s="25"/>
      <c r="AOL52" s="25"/>
      <c r="AOM52" s="25"/>
      <c r="AON52" s="25"/>
      <c r="AOO52" s="25"/>
      <c r="AOP52" s="25"/>
      <c r="AOX52" s="25"/>
      <c r="AOY52" s="25"/>
      <c r="AOZ52" s="25"/>
      <c r="APA52" s="25"/>
      <c r="APB52" s="25"/>
      <c r="APC52" s="25"/>
      <c r="APD52" s="25"/>
      <c r="APE52" s="25"/>
      <c r="APF52" s="25"/>
      <c r="APG52" s="25"/>
      <c r="APH52" s="25"/>
      <c r="API52" s="25"/>
      <c r="APJ52" s="25"/>
      <c r="APK52" s="25"/>
      <c r="APS52" s="25"/>
      <c r="APT52" s="25"/>
      <c r="APU52" s="25"/>
      <c r="APV52" s="25"/>
      <c r="APW52" s="25"/>
      <c r="APX52" s="25"/>
      <c r="APY52" s="25"/>
      <c r="APZ52" s="25"/>
      <c r="AQA52" s="25"/>
      <c r="AQB52" s="25"/>
      <c r="AQC52" s="25"/>
      <c r="AQD52" s="25"/>
      <c r="AQE52" s="25"/>
      <c r="AQF52" s="25"/>
      <c r="AQJ52" s="25">
        <v>1</v>
      </c>
      <c r="AQK52" s="25" t="s">
        <v>8938</v>
      </c>
      <c r="AQM52" s="56">
        <v>1500</v>
      </c>
      <c r="AQN52" s="56">
        <v>3000</v>
      </c>
      <c r="AQS52" s="25" t="s">
        <v>8246</v>
      </c>
      <c r="AQT52" s="56">
        <v>0</v>
      </c>
      <c r="AQU52" s="56">
        <v>0</v>
      </c>
      <c r="AQX52" s="25" t="s">
        <v>8248</v>
      </c>
      <c r="ARK52" s="25" t="s">
        <v>8249</v>
      </c>
      <c r="ATX52" s="25" t="s">
        <v>25</v>
      </c>
      <c r="ATY52" s="25" t="s">
        <v>28</v>
      </c>
      <c r="ATZ52" s="25" t="s">
        <v>25</v>
      </c>
      <c r="AUA52" s="25" t="s">
        <v>25</v>
      </c>
      <c r="AUC52" s="25" t="s">
        <v>13420</v>
      </c>
      <c r="AUD52" s="25" t="s">
        <v>8404</v>
      </c>
      <c r="AUE52" s="56">
        <v>20</v>
      </c>
      <c r="AUF52" s="56">
        <v>35</v>
      </c>
      <c r="AUG52" s="56">
        <v>20</v>
      </c>
      <c r="AUH52" s="56">
        <v>100</v>
      </c>
      <c r="AUI52" s="56">
        <v>20</v>
      </c>
      <c r="AUV52" s="56">
        <v>100</v>
      </c>
      <c r="AVG52" s="25" t="s">
        <v>8250</v>
      </c>
      <c r="AVH52" s="25" t="s">
        <v>8250</v>
      </c>
      <c r="AVJ52" s="25" t="s">
        <v>8250</v>
      </c>
      <c r="AVK52" s="25" t="s">
        <v>8250</v>
      </c>
      <c r="AVN52" s="25" t="s">
        <v>25</v>
      </c>
      <c r="AVO52" s="25" t="s">
        <v>25</v>
      </c>
      <c r="AVQ52" s="25" t="s">
        <v>25</v>
      </c>
      <c r="AVR52" s="25" t="s">
        <v>25</v>
      </c>
      <c r="AVU52" s="25" t="s">
        <v>8252</v>
      </c>
      <c r="AVV52" s="25" t="s">
        <v>8252</v>
      </c>
      <c r="AVW52" s="25" t="s">
        <v>8252</v>
      </c>
      <c r="AVX52" s="25" t="s">
        <v>8252</v>
      </c>
      <c r="AVY52" s="25" t="s">
        <v>631</v>
      </c>
      <c r="AVZ52" s="25" t="s">
        <v>631</v>
      </c>
      <c r="AWA52" s="25" t="s">
        <v>631</v>
      </c>
      <c r="AWB52" s="25" t="s">
        <v>631</v>
      </c>
      <c r="AWC52" s="25" t="s">
        <v>631</v>
      </c>
      <c r="AWD52" s="25" t="s">
        <v>631</v>
      </c>
      <c r="AWE52" s="25" t="s">
        <v>8253</v>
      </c>
      <c r="AWF52" s="25" t="s">
        <v>8253</v>
      </c>
      <c r="AWG52" s="25" t="s">
        <v>8253</v>
      </c>
      <c r="AWH52" s="25" t="s">
        <v>8253</v>
      </c>
      <c r="AWN52" s="56">
        <v>10</v>
      </c>
      <c r="AWP52" s="56">
        <v>20</v>
      </c>
      <c r="AWR52" s="56">
        <v>30</v>
      </c>
      <c r="AWT52" s="56">
        <v>60</v>
      </c>
      <c r="AWV52" s="56">
        <v>30</v>
      </c>
      <c r="AWX52" s="56">
        <v>60</v>
      </c>
      <c r="BAV52" s="25" t="s">
        <v>8255</v>
      </c>
      <c r="BAW52" s="25" t="s">
        <v>8256</v>
      </c>
      <c r="BAX52" s="25" t="s">
        <v>8321</v>
      </c>
      <c r="BAY52" s="25">
        <v>0</v>
      </c>
      <c r="BBB52" s="25"/>
      <c r="BBC52" s="25"/>
      <c r="BBD52" s="25"/>
      <c r="BBE52" s="25"/>
      <c r="BBF52" s="25"/>
      <c r="BBG52" s="25"/>
      <c r="BBI52" s="25"/>
      <c r="BBJ52" s="25"/>
      <c r="BBK52" s="25"/>
      <c r="BBL52" s="25"/>
      <c r="BET52" s="25"/>
      <c r="BEU52" s="25"/>
      <c r="BEV52" s="25"/>
      <c r="BEW52" s="25"/>
      <c r="BEX52" s="25"/>
      <c r="BEY52" s="25"/>
      <c r="BEZ52" s="25"/>
      <c r="BFH52" s="25"/>
      <c r="BFI52" s="25"/>
      <c r="BFJ52" s="25"/>
      <c r="BFK52" s="25"/>
      <c r="BFL52" s="25"/>
      <c r="BFM52" s="25"/>
      <c r="BFN52" s="25"/>
      <c r="BHC52" s="25"/>
      <c r="BHD52" s="25"/>
      <c r="BHE52" s="25"/>
      <c r="BHF52" s="25"/>
      <c r="BHG52" s="25"/>
      <c r="BHH52" s="25"/>
      <c r="BHI52" s="25"/>
      <c r="BHJ52" s="25"/>
      <c r="BHK52" s="25"/>
      <c r="BHL52" s="25"/>
      <c r="BHM52" s="25"/>
      <c r="BHN52" s="25"/>
      <c r="BHO52" s="25"/>
      <c r="BHP52" s="25"/>
      <c r="BHQ52" s="25"/>
      <c r="BHR52" s="25"/>
      <c r="BHS52" s="25"/>
      <c r="BHT52" s="25"/>
      <c r="BHU52" s="25"/>
      <c r="BHV52" s="25"/>
      <c r="BHW52" s="25"/>
      <c r="BHX52" s="25"/>
      <c r="BHY52" s="25"/>
      <c r="BHZ52" s="25"/>
      <c r="BIA52" s="25"/>
      <c r="BIB52" s="25"/>
      <c r="BIC52" s="25"/>
      <c r="BID52" s="25"/>
      <c r="BIL52" s="25"/>
      <c r="BIM52" s="25"/>
      <c r="BIN52" s="25"/>
      <c r="BIO52" s="25"/>
      <c r="BIP52" s="25"/>
      <c r="BIQ52" s="25"/>
      <c r="BIR52" s="25"/>
      <c r="BIS52" s="25"/>
      <c r="BIT52" s="25"/>
      <c r="BIU52" s="25"/>
      <c r="BIV52" s="25"/>
      <c r="BIW52" s="25"/>
      <c r="BIX52" s="25"/>
      <c r="BIY52" s="25"/>
      <c r="BJG52" s="25"/>
      <c r="BJH52" s="25"/>
      <c r="BJI52" s="25"/>
      <c r="BJJ52" s="25"/>
      <c r="BJK52" s="25"/>
      <c r="BJL52" s="25"/>
      <c r="BJM52" s="25"/>
      <c r="BJN52" s="25"/>
      <c r="BJO52" s="25"/>
      <c r="BJP52" s="25"/>
      <c r="BJQ52" s="25"/>
      <c r="BJR52" s="25"/>
      <c r="BJS52" s="25"/>
      <c r="BJT52" s="25"/>
      <c r="BKB52" s="25"/>
      <c r="BKC52" s="25"/>
      <c r="BKD52" s="25"/>
      <c r="BKE52" s="25"/>
      <c r="BKF52" s="25"/>
      <c r="BKG52" s="25"/>
      <c r="BKH52" s="25"/>
      <c r="BKI52" s="25"/>
      <c r="BKJ52" s="25"/>
      <c r="BKK52" s="25"/>
      <c r="BKL52" s="25"/>
      <c r="BKM52" s="25"/>
      <c r="BKN52" s="25"/>
      <c r="BKO52" s="25"/>
      <c r="BKW52" s="25"/>
      <c r="BKX52" s="25"/>
      <c r="BKY52" s="25"/>
      <c r="BKZ52" s="25"/>
      <c r="BLA52" s="25"/>
      <c r="BLB52" s="25"/>
      <c r="BLC52" s="25"/>
      <c r="BLD52" s="25"/>
      <c r="BLE52" s="25"/>
      <c r="BLF52" s="25"/>
      <c r="BLG52" s="25"/>
      <c r="BLH52" s="25"/>
      <c r="BLI52" s="25"/>
      <c r="BLJ52" s="25"/>
      <c r="BLN52" s="25">
        <v>0</v>
      </c>
      <c r="BLQ52" s="25"/>
      <c r="BLR52" s="25"/>
      <c r="BLS52" s="25"/>
      <c r="BLT52" s="25"/>
      <c r="BLU52" s="25"/>
      <c r="BLV52" s="25"/>
      <c r="BLX52" s="25"/>
      <c r="BLY52" s="25"/>
      <c r="BLZ52" s="25"/>
      <c r="BMA52" s="25"/>
      <c r="BPI52" s="25"/>
      <c r="BPJ52" s="25"/>
      <c r="BPK52" s="25"/>
      <c r="BPL52" s="25"/>
      <c r="BPM52" s="25"/>
      <c r="BPN52" s="25"/>
      <c r="BPO52" s="25"/>
      <c r="BPW52" s="25"/>
      <c r="BPX52" s="25"/>
      <c r="BPY52" s="25"/>
      <c r="BPZ52" s="25"/>
      <c r="BQA52" s="25"/>
      <c r="BQB52" s="25"/>
      <c r="BQC52" s="25"/>
      <c r="BRR52" s="25"/>
      <c r="BRS52" s="25"/>
      <c r="BRT52" s="25"/>
      <c r="BRU52" s="25"/>
      <c r="BRV52" s="25"/>
      <c r="BRW52" s="25"/>
      <c r="BRX52" s="25"/>
      <c r="BRY52" s="25"/>
      <c r="BRZ52" s="25"/>
      <c r="BSA52" s="25"/>
      <c r="BSB52" s="25"/>
      <c r="BSC52" s="25"/>
      <c r="BSD52" s="25"/>
      <c r="BSE52" s="25"/>
      <c r="BSF52" s="25"/>
      <c r="BSG52" s="25"/>
      <c r="BSH52" s="25"/>
      <c r="BSI52" s="25"/>
      <c r="BSJ52" s="25"/>
      <c r="BSK52" s="25"/>
      <c r="BSL52" s="25"/>
      <c r="BSM52" s="25"/>
      <c r="BSN52" s="25"/>
      <c r="BSO52" s="25"/>
      <c r="BSP52" s="25"/>
      <c r="BSQ52" s="25"/>
      <c r="BSR52" s="25"/>
      <c r="BSS52" s="25"/>
      <c r="BTA52" s="25"/>
      <c r="BTB52" s="25"/>
      <c r="BTC52" s="25"/>
      <c r="BTD52" s="25"/>
      <c r="BTE52" s="25"/>
      <c r="BTF52" s="25"/>
      <c r="BTG52" s="25"/>
      <c r="BTH52" s="25"/>
      <c r="BTI52" s="25"/>
      <c r="BTJ52" s="25"/>
      <c r="BTK52" s="25"/>
      <c r="BTL52" s="25"/>
      <c r="BTM52" s="25"/>
      <c r="BTN52" s="25"/>
      <c r="BUQ52" s="25"/>
      <c r="BUR52" s="25"/>
      <c r="BUS52" s="25"/>
      <c r="BUT52" s="25"/>
      <c r="BUU52" s="25"/>
      <c r="BUV52" s="25"/>
      <c r="BUW52" s="25"/>
      <c r="BUX52" s="25"/>
      <c r="BUY52" s="25"/>
      <c r="BUZ52" s="25"/>
      <c r="BVA52" s="25"/>
      <c r="BVB52" s="25"/>
      <c r="BVC52" s="25"/>
      <c r="BVD52" s="25"/>
      <c r="BWC52" s="25" t="s">
        <v>28</v>
      </c>
      <c r="BWE52" s="25" t="s">
        <v>8357</v>
      </c>
      <c r="BWF52" s="25" t="s">
        <v>13722</v>
      </c>
      <c r="BWG52" s="25" t="s">
        <v>25</v>
      </c>
      <c r="BWH52" s="25" t="s">
        <v>2169</v>
      </c>
      <c r="BWI52" s="25" t="s">
        <v>28</v>
      </c>
      <c r="BWJ52" s="25" t="s">
        <v>8481</v>
      </c>
      <c r="BWK52" s="25" t="s">
        <v>25</v>
      </c>
      <c r="BWM52" s="25" t="s">
        <v>28</v>
      </c>
      <c r="BWN52" s="56">
        <v>5000</v>
      </c>
      <c r="BWO52" s="25" t="s">
        <v>25</v>
      </c>
      <c r="BWQ52" s="25" t="s">
        <v>28</v>
      </c>
      <c r="BWR52" s="25" t="s">
        <v>25</v>
      </c>
      <c r="BWT52" s="25" t="s">
        <v>25</v>
      </c>
      <c r="BWV52" s="25" t="s">
        <v>25</v>
      </c>
      <c r="BWX52" s="25" t="s">
        <v>28</v>
      </c>
      <c r="BWY52" s="25" t="s">
        <v>8358</v>
      </c>
      <c r="BWZ52" s="25" t="s">
        <v>25</v>
      </c>
      <c r="BXB52" s="25" t="s">
        <v>25</v>
      </c>
      <c r="BXD52" s="25" t="s">
        <v>28</v>
      </c>
      <c r="BXE52" s="25" t="s">
        <v>8358</v>
      </c>
      <c r="BXF52" s="25" t="s">
        <v>28</v>
      </c>
      <c r="BXG52" s="56">
        <v>60</v>
      </c>
      <c r="BXH52" s="25" t="s">
        <v>25</v>
      </c>
      <c r="BXJ52" s="25" t="s">
        <v>28</v>
      </c>
      <c r="BXL52" s="25" t="s">
        <v>8435</v>
      </c>
      <c r="BXM52" s="25" t="s">
        <v>2201</v>
      </c>
      <c r="BXN52" s="25" t="s">
        <v>8272</v>
      </c>
      <c r="BXO52" s="25" t="s">
        <v>8274</v>
      </c>
      <c r="BXP52" s="25" t="s">
        <v>8274</v>
      </c>
      <c r="BXQ52" s="25" t="s">
        <v>8361</v>
      </c>
      <c r="BXR52" s="25" t="s">
        <v>8274</v>
      </c>
      <c r="BXS52" s="25" t="s">
        <v>8274</v>
      </c>
      <c r="BXU52" s="25" t="s">
        <v>25</v>
      </c>
      <c r="BXW52" s="25" t="s">
        <v>28</v>
      </c>
      <c r="BXX52" s="25" t="s">
        <v>28</v>
      </c>
      <c r="BXY52" s="25" t="s">
        <v>25</v>
      </c>
      <c r="BXZ52" s="25" t="s">
        <v>25</v>
      </c>
      <c r="BYA52" s="25" t="s">
        <v>25</v>
      </c>
      <c r="BYB52" s="25" t="s">
        <v>25</v>
      </c>
      <c r="BYC52" s="25" t="s">
        <v>2169</v>
      </c>
      <c r="BYD52" s="25" t="s">
        <v>28</v>
      </c>
      <c r="BYE52" s="25" t="s">
        <v>13625</v>
      </c>
      <c r="BYH52" s="25" t="s">
        <v>8278</v>
      </c>
      <c r="BYK52" s="25" t="s">
        <v>28</v>
      </c>
      <c r="BYL52" s="25" t="s">
        <v>25</v>
      </c>
      <c r="BYN52" s="25" t="s">
        <v>25</v>
      </c>
      <c r="BYP52" s="25" t="s">
        <v>25</v>
      </c>
      <c r="BYR52" s="25" t="s">
        <v>28</v>
      </c>
      <c r="BYS52" s="25" t="s">
        <v>8279</v>
      </c>
      <c r="BYT52" s="25" t="s">
        <v>732</v>
      </c>
      <c r="BYU52" s="25" t="s">
        <v>732</v>
      </c>
      <c r="BYV52" s="25" t="s">
        <v>25</v>
      </c>
      <c r="BYW52" s="25" t="s">
        <v>28</v>
      </c>
      <c r="BYX52" s="56">
        <v>750</v>
      </c>
      <c r="BYY52" s="56">
        <v>1500</v>
      </c>
      <c r="BYZ52" s="25" t="s">
        <v>8280</v>
      </c>
      <c r="BZA52" s="25" t="s">
        <v>8939</v>
      </c>
      <c r="BZB52" s="25" t="s">
        <v>2269</v>
      </c>
      <c r="BZD52" s="25" t="s">
        <v>28</v>
      </c>
      <c r="BZE52" s="25" t="s">
        <v>28</v>
      </c>
      <c r="BZF52" s="25" t="s">
        <v>28</v>
      </c>
      <c r="BZG52" s="25" t="s">
        <v>25</v>
      </c>
      <c r="BZJ52" s="25" t="s">
        <v>25</v>
      </c>
      <c r="BZM52" s="25" t="s">
        <v>28</v>
      </c>
      <c r="BZN52" s="25" t="s">
        <v>8283</v>
      </c>
      <c r="BZP52" s="25" t="s">
        <v>8366</v>
      </c>
      <c r="BZQ52" s="56">
        <v>2000</v>
      </c>
      <c r="BZR52" s="25" t="s">
        <v>607</v>
      </c>
      <c r="BZS52" s="25" t="s">
        <v>25</v>
      </c>
      <c r="BZT52" s="25" t="s">
        <v>8337</v>
      </c>
      <c r="BZV52" s="25" t="s">
        <v>8940</v>
      </c>
      <c r="BZW52" s="25" t="s">
        <v>8941</v>
      </c>
      <c r="BZX52" s="25" t="s">
        <v>8942</v>
      </c>
      <c r="BZZ52" s="25" t="s">
        <v>25</v>
      </c>
      <c r="CAC52" s="25" t="s">
        <v>28</v>
      </c>
      <c r="CAD52" s="25" t="s">
        <v>8288</v>
      </c>
      <c r="CAE52" s="25" t="s">
        <v>25</v>
      </c>
      <c r="CAG52" s="25" t="s">
        <v>25</v>
      </c>
      <c r="CAH52" s="25" t="s">
        <v>631</v>
      </c>
      <c r="CAI52" s="25" t="s">
        <v>631</v>
      </c>
      <c r="CAJ52" s="25" t="s">
        <v>631</v>
      </c>
      <c r="CAK52" s="25" t="s">
        <v>631</v>
      </c>
      <c r="CAL52" s="25" t="s">
        <v>247</v>
      </c>
      <c r="CAM52" s="25" t="s">
        <v>8290</v>
      </c>
      <c r="CAN52" s="25" t="s">
        <v>247</v>
      </c>
      <c r="CAO52" s="25" t="s">
        <v>8470</v>
      </c>
      <c r="CAP52" s="25" t="s">
        <v>8290</v>
      </c>
      <c r="CAQ52" s="25" t="s">
        <v>631</v>
      </c>
      <c r="CAR52" s="25" t="s">
        <v>8339</v>
      </c>
      <c r="CAT52" s="25" t="s">
        <v>25</v>
      </c>
      <c r="CBB52" s="25">
        <v>2</v>
      </c>
      <c r="CBE52" s="56">
        <v>0</v>
      </c>
      <c r="CBF52" s="56">
        <v>0</v>
      </c>
      <c r="CBG52" s="56">
        <v>0</v>
      </c>
      <c r="CBH52" s="56">
        <v>0</v>
      </c>
      <c r="CBI52" s="56">
        <v>2500</v>
      </c>
      <c r="CBK52" s="56">
        <v>2500</v>
      </c>
      <c r="CBM52" s="26">
        <v>0</v>
      </c>
      <c r="CBN52" s="26">
        <v>0.1</v>
      </c>
      <c r="CBO52" s="26">
        <v>0.2</v>
      </c>
      <c r="CBP52" s="26">
        <v>0.3</v>
      </c>
      <c r="CBQ52" s="26">
        <v>0.3</v>
      </c>
      <c r="CBR52" s="26">
        <v>0.5</v>
      </c>
      <c r="CBS52" s="26">
        <v>0.5</v>
      </c>
      <c r="CBT52" s="26">
        <v>0.5</v>
      </c>
      <c r="CBU52" s="27" t="s">
        <v>28</v>
      </c>
      <c r="CBV52" s="27" t="s">
        <v>8537</v>
      </c>
      <c r="CBW52" s="27" t="s">
        <v>8294</v>
      </c>
      <c r="CBX52" s="27" t="s">
        <v>8343</v>
      </c>
      <c r="CBY52" s="27" t="s">
        <v>8296</v>
      </c>
      <c r="CBZ52" s="27" t="s">
        <v>8296</v>
      </c>
      <c r="CCA52" s="27" t="s">
        <v>8297</v>
      </c>
      <c r="CCB52" s="27" t="s">
        <v>8298</v>
      </c>
      <c r="CCC52" s="27" t="s">
        <v>8298</v>
      </c>
      <c r="CCD52" s="27" t="s">
        <v>8297</v>
      </c>
      <c r="CCE52" s="27" t="s">
        <v>8296</v>
      </c>
      <c r="CCF52" s="27" t="s">
        <v>8297</v>
      </c>
      <c r="CCG52" s="27" t="s">
        <v>8297</v>
      </c>
      <c r="CCH52" s="27" t="s">
        <v>8296</v>
      </c>
      <c r="CCI52" s="27" t="s">
        <v>8298</v>
      </c>
      <c r="CCJ52" s="27" t="s">
        <v>8298</v>
      </c>
      <c r="CCK52" s="27" t="s">
        <v>8297</v>
      </c>
      <c r="CCL52" s="27" t="s">
        <v>8297</v>
      </c>
      <c r="CCN52" s="27" t="s">
        <v>8296</v>
      </c>
      <c r="CCO52" s="27" t="s">
        <v>8300</v>
      </c>
      <c r="CCP52" s="27" t="s">
        <v>8296</v>
      </c>
      <c r="CCQ52" s="27" t="s">
        <v>8296</v>
      </c>
      <c r="CCR52" s="27" t="s">
        <v>8296</v>
      </c>
      <c r="CCS52" s="27" t="s">
        <v>8298</v>
      </c>
      <c r="CCT52" s="27" t="s">
        <v>8296</v>
      </c>
      <c r="CCU52" s="27" t="s">
        <v>8298</v>
      </c>
      <c r="CCV52" s="27" t="s">
        <v>8298</v>
      </c>
      <c r="CCW52" s="27" t="s">
        <v>8298</v>
      </c>
      <c r="CCX52" s="27" t="s">
        <v>8298</v>
      </c>
      <c r="CCY52" s="27" t="s">
        <v>8298</v>
      </c>
      <c r="CCZ52" s="27" t="s">
        <v>28</v>
      </c>
      <c r="CDA52" s="27" t="s">
        <v>28</v>
      </c>
      <c r="CDB52" s="27" t="s">
        <v>28</v>
      </c>
      <c r="CDC52" s="27" t="s">
        <v>28</v>
      </c>
      <c r="CDD52" s="27" t="s">
        <v>28</v>
      </c>
      <c r="CDE52" s="27" t="s">
        <v>28</v>
      </c>
      <c r="CDF52" s="27" t="s">
        <v>28</v>
      </c>
      <c r="CDG52" s="27" t="s">
        <v>28</v>
      </c>
      <c r="CDH52" s="27" t="s">
        <v>28</v>
      </c>
      <c r="CDI52" s="27" t="s">
        <v>28</v>
      </c>
      <c r="CDJ52" s="27" t="s">
        <v>28</v>
      </c>
      <c r="CDK52" s="27" t="s">
        <v>28</v>
      </c>
      <c r="CDL52" s="27" t="s">
        <v>28</v>
      </c>
      <c r="CDM52" s="27" t="s">
        <v>28</v>
      </c>
      <c r="CDO52" s="27" t="s">
        <v>28</v>
      </c>
      <c r="CDP52" s="27" t="s">
        <v>28</v>
      </c>
      <c r="CDQ52" s="27" t="s">
        <v>28</v>
      </c>
      <c r="CDR52" s="27" t="s">
        <v>28</v>
      </c>
      <c r="CDS52" s="27" t="s">
        <v>28</v>
      </c>
      <c r="CDT52" s="27" t="s">
        <v>28</v>
      </c>
      <c r="CDU52" s="27" t="s">
        <v>28</v>
      </c>
      <c r="CDV52" s="27" t="s">
        <v>28</v>
      </c>
      <c r="CDW52" s="27" t="s">
        <v>28</v>
      </c>
      <c r="CDX52" s="27" t="s">
        <v>28</v>
      </c>
      <c r="CDY52" s="27" t="s">
        <v>28</v>
      </c>
      <c r="CDZ52" s="27" t="s">
        <v>28</v>
      </c>
      <c r="CEA52" s="27" t="s">
        <v>8305</v>
      </c>
      <c r="CEC52" s="27" t="s">
        <v>8305</v>
      </c>
      <c r="CED52" s="27" t="s">
        <v>8302</v>
      </c>
      <c r="CEE52" s="27" t="s">
        <v>8305</v>
      </c>
      <c r="CEF52" s="27" t="s">
        <v>8305</v>
      </c>
      <c r="CEG52" s="27" t="s">
        <v>8420</v>
      </c>
      <c r="CEH52" s="27" t="s">
        <v>8420</v>
      </c>
      <c r="CEI52" s="27" t="s">
        <v>8420</v>
      </c>
      <c r="CEJ52" s="27" t="s">
        <v>8302</v>
      </c>
      <c r="CEK52" s="27" t="s">
        <v>8302</v>
      </c>
      <c r="CEL52" s="27" t="s">
        <v>8302</v>
      </c>
      <c r="CEM52" s="27" t="s">
        <v>8301</v>
      </c>
      <c r="CEN52" s="27" t="s">
        <v>8301</v>
      </c>
      <c r="CEP52" s="27" t="s">
        <v>2673</v>
      </c>
      <c r="CEQ52" s="27" t="s">
        <v>8304</v>
      </c>
      <c r="CER52" s="27" t="s">
        <v>8305</v>
      </c>
      <c r="CES52" s="27" t="s">
        <v>8305</v>
      </c>
      <c r="CET52" s="27" t="s">
        <v>8305</v>
      </c>
      <c r="CEU52" s="27" t="s">
        <v>8304</v>
      </c>
      <c r="CEV52" s="27" t="s">
        <v>2673</v>
      </c>
      <c r="CEW52" s="27" t="s">
        <v>8305</v>
      </c>
      <c r="CEX52" s="27" t="s">
        <v>8302</v>
      </c>
      <c r="CEY52" s="27" t="s">
        <v>8303</v>
      </c>
      <c r="CEZ52" s="27" t="s">
        <v>8301</v>
      </c>
      <c r="CFA52" s="27" t="s">
        <v>8301</v>
      </c>
      <c r="CFB52" s="27" t="s">
        <v>25</v>
      </c>
      <c r="CFC52" s="27" t="s">
        <v>25</v>
      </c>
      <c r="CFD52" s="27" t="s">
        <v>28</v>
      </c>
      <c r="CFE52" s="27" t="s">
        <v>25</v>
      </c>
      <c r="CFF52" s="27" t="s">
        <v>25</v>
      </c>
      <c r="CFG52" s="27" t="s">
        <v>28</v>
      </c>
      <c r="CFH52" s="27" t="s">
        <v>25</v>
      </c>
      <c r="CFI52" s="27" t="s">
        <v>25</v>
      </c>
      <c r="CFJ52" s="27" t="s">
        <v>25</v>
      </c>
      <c r="CFK52" s="27" t="s">
        <v>25</v>
      </c>
      <c r="CFL52" s="27" t="s">
        <v>25</v>
      </c>
      <c r="CFM52" s="27" t="s">
        <v>28</v>
      </c>
      <c r="CFN52" s="27" t="s">
        <v>25</v>
      </c>
      <c r="CFO52" s="27" t="s">
        <v>28</v>
      </c>
      <c r="CFQ52" s="27" t="s">
        <v>28</v>
      </c>
      <c r="CFR52" s="27" t="s">
        <v>25</v>
      </c>
      <c r="CFS52" s="27" t="s">
        <v>25</v>
      </c>
      <c r="CFT52" s="27" t="s">
        <v>25</v>
      </c>
      <c r="CFU52" s="27" t="s">
        <v>25</v>
      </c>
      <c r="CFV52" s="27" t="s">
        <v>25</v>
      </c>
      <c r="CFW52" s="27" t="s">
        <v>25</v>
      </c>
      <c r="CFX52" s="27" t="s">
        <v>28</v>
      </c>
      <c r="CFY52" s="27" t="s">
        <v>28</v>
      </c>
      <c r="CFZ52" s="27" t="s">
        <v>28</v>
      </c>
      <c r="CGA52" s="27" t="s">
        <v>25</v>
      </c>
      <c r="CGB52" s="27" t="s">
        <v>25</v>
      </c>
      <c r="CPW52" s="27">
        <v>2</v>
      </c>
      <c r="CPX52" s="56">
        <v>10</v>
      </c>
      <c r="CPY52" s="26">
        <v>1</v>
      </c>
      <c r="CPZ52" s="56">
        <v>45</v>
      </c>
      <c r="CQA52" s="26">
        <v>1</v>
      </c>
      <c r="CQB52" s="25" t="s">
        <v>8307</v>
      </c>
      <c r="CQC52" s="25" t="s">
        <v>8307</v>
      </c>
      <c r="CQD52" s="25" t="s">
        <v>8307</v>
      </c>
      <c r="CQE52" s="25" t="s">
        <v>8307</v>
      </c>
      <c r="CQF52" s="25" t="s">
        <v>8307</v>
      </c>
      <c r="CQH52" s="56">
        <v>200</v>
      </c>
      <c r="CQI52" s="56">
        <v>200</v>
      </c>
      <c r="CQJ52" s="56">
        <v>200</v>
      </c>
      <c r="CQK52" s="56">
        <v>200</v>
      </c>
      <c r="CQL52" s="25" t="s">
        <v>13843</v>
      </c>
      <c r="CQM52" s="25" t="s">
        <v>8345</v>
      </c>
      <c r="CQN52" s="25" t="s">
        <v>25</v>
      </c>
      <c r="CQO52" s="25" t="s">
        <v>8309</v>
      </c>
      <c r="CQQ52" s="25" t="s">
        <v>8943</v>
      </c>
      <c r="CQS52" s="25" t="s">
        <v>28</v>
      </c>
      <c r="CQT52" s="25" t="s">
        <v>8312</v>
      </c>
      <c r="CQU52" s="25" t="s">
        <v>8312</v>
      </c>
      <c r="CQV52" s="25" t="s">
        <v>8312</v>
      </c>
      <c r="CQW52" s="25" t="s">
        <v>8312</v>
      </c>
      <c r="CQX52" s="25" t="s">
        <v>8312</v>
      </c>
      <c r="CQY52" s="25" t="s">
        <v>8312</v>
      </c>
      <c r="CQZ52" s="25" t="s">
        <v>8312</v>
      </c>
      <c r="CRA52" s="25" t="s">
        <v>8314</v>
      </c>
      <c r="CRB52" s="25" t="s">
        <v>8312</v>
      </c>
      <c r="CRC52" s="25" t="s">
        <v>8312</v>
      </c>
      <c r="CRD52" s="25" t="s">
        <v>8314</v>
      </c>
      <c r="CRE52" s="27" t="s">
        <v>8314</v>
      </c>
    </row>
    <row r="53" spans="1:2048 2050:2501" ht="102" x14ac:dyDescent="0.2">
      <c r="A53" s="21" t="s">
        <v>178</v>
      </c>
      <c r="B53" s="26">
        <v>0</v>
      </c>
      <c r="C53" s="26">
        <v>0</v>
      </c>
      <c r="D53" s="26">
        <v>0</v>
      </c>
      <c r="E53" s="26">
        <v>0.84</v>
      </c>
      <c r="F53" s="26">
        <v>0</v>
      </c>
      <c r="G53" s="26">
        <v>0</v>
      </c>
      <c r="H53" s="26">
        <v>0</v>
      </c>
      <c r="I53" s="26">
        <v>0</v>
      </c>
      <c r="J53" s="26">
        <v>0</v>
      </c>
      <c r="K53" s="26">
        <v>0</v>
      </c>
      <c r="L53" s="26">
        <v>0</v>
      </c>
      <c r="M53" s="26">
        <v>0.16</v>
      </c>
      <c r="N53" s="26">
        <v>0</v>
      </c>
      <c r="O53" s="26">
        <v>0</v>
      </c>
      <c r="P53" s="26">
        <v>0</v>
      </c>
      <c r="Q53" s="26">
        <v>0</v>
      </c>
      <c r="R53" s="26">
        <v>0</v>
      </c>
      <c r="S53" s="26">
        <v>0</v>
      </c>
      <c r="T53" s="26">
        <v>0</v>
      </c>
      <c r="U53" s="26">
        <v>0</v>
      </c>
      <c r="V53" s="26">
        <v>0</v>
      </c>
      <c r="W53" s="26">
        <v>0</v>
      </c>
      <c r="X53" s="26">
        <v>0</v>
      </c>
      <c r="Y53" s="26">
        <v>1</v>
      </c>
      <c r="Z53" s="25">
        <v>0</v>
      </c>
      <c r="KP53" s="25">
        <v>4</v>
      </c>
      <c r="KQ53" s="25" t="s">
        <v>8981</v>
      </c>
      <c r="KR53" s="25" t="s">
        <v>8982</v>
      </c>
      <c r="KS53" s="56">
        <v>3000</v>
      </c>
      <c r="KT53" s="56">
        <v>6000</v>
      </c>
      <c r="KU53" s="56">
        <v>6000</v>
      </c>
      <c r="KV53" s="56">
        <v>12000</v>
      </c>
      <c r="KY53" s="25" t="s">
        <v>8983</v>
      </c>
      <c r="KZ53" s="56">
        <v>1500</v>
      </c>
      <c r="LA53" s="56">
        <v>3000</v>
      </c>
      <c r="LB53" s="56">
        <v>1500</v>
      </c>
      <c r="LC53" s="56">
        <v>3000</v>
      </c>
      <c r="LD53" s="25" t="s">
        <v>8247</v>
      </c>
      <c r="LE53" s="25" t="s">
        <v>8248</v>
      </c>
      <c r="LR53" s="25" t="s">
        <v>8249</v>
      </c>
      <c r="OE53" s="25" t="s">
        <v>25</v>
      </c>
      <c r="OF53" s="25" t="s">
        <v>28</v>
      </c>
      <c r="OG53" s="25" t="s">
        <v>25</v>
      </c>
      <c r="OH53" s="25" t="s">
        <v>25</v>
      </c>
      <c r="OJ53" s="25" t="s">
        <v>13421</v>
      </c>
      <c r="OK53" s="25" t="s">
        <v>13421</v>
      </c>
      <c r="OS53" s="26">
        <v>0.1</v>
      </c>
      <c r="OT53" s="26">
        <v>0.1</v>
      </c>
      <c r="OU53" s="26">
        <v>0.1</v>
      </c>
      <c r="OV53" s="26">
        <v>0.1</v>
      </c>
      <c r="OW53" s="26">
        <v>0.1</v>
      </c>
      <c r="OX53" s="26">
        <v>0.1</v>
      </c>
      <c r="OY53" s="26">
        <v>0.1</v>
      </c>
      <c r="PG53" s="26">
        <v>0.5</v>
      </c>
      <c r="PH53" s="26">
        <v>0.5</v>
      </c>
      <c r="PI53" s="26">
        <v>0.5</v>
      </c>
      <c r="PJ53" s="26">
        <v>0.5</v>
      </c>
      <c r="PK53" s="26">
        <v>0.5</v>
      </c>
      <c r="PL53" s="26">
        <v>0.5</v>
      </c>
      <c r="PM53" s="26">
        <v>0.5</v>
      </c>
      <c r="PN53" s="25" t="s">
        <v>8250</v>
      </c>
      <c r="PO53" s="25" t="s">
        <v>8250</v>
      </c>
      <c r="PP53" s="25" t="s">
        <v>8250</v>
      </c>
      <c r="PQ53" s="25" t="s">
        <v>8250</v>
      </c>
      <c r="PR53" s="25" t="s">
        <v>8250</v>
      </c>
      <c r="PS53" s="25" t="s">
        <v>8250</v>
      </c>
      <c r="PT53" s="25" t="s">
        <v>8250</v>
      </c>
      <c r="PU53" s="25" t="s">
        <v>25</v>
      </c>
      <c r="PV53" s="25" t="s">
        <v>25</v>
      </c>
      <c r="PW53" s="25" t="s">
        <v>25</v>
      </c>
      <c r="PX53" s="25" t="s">
        <v>25</v>
      </c>
      <c r="PY53" s="25" t="s">
        <v>25</v>
      </c>
      <c r="PZ53" s="25" t="s">
        <v>25</v>
      </c>
      <c r="QA53" s="25" t="s">
        <v>25</v>
      </c>
      <c r="QB53" s="25" t="s">
        <v>13810</v>
      </c>
      <c r="QC53" s="25" t="s">
        <v>13810</v>
      </c>
      <c r="QD53" s="25" t="s">
        <v>13810</v>
      </c>
      <c r="QE53" s="25" t="s">
        <v>13810</v>
      </c>
      <c r="QF53" s="25" t="s">
        <v>13810</v>
      </c>
      <c r="QG53" s="25" t="s">
        <v>13810</v>
      </c>
      <c r="QH53" s="25" t="s">
        <v>13810</v>
      </c>
      <c r="QI53" s="25" t="s">
        <v>8252</v>
      </c>
      <c r="QJ53" s="25" t="s">
        <v>631</v>
      </c>
      <c r="QK53" s="25" t="s">
        <v>631</v>
      </c>
      <c r="QL53" s="25" t="s">
        <v>8584</v>
      </c>
      <c r="QM53" s="25" t="s">
        <v>13438</v>
      </c>
      <c r="QN53" s="25" t="s">
        <v>8984</v>
      </c>
      <c r="QO53" s="25" t="s">
        <v>13449</v>
      </c>
      <c r="QP53" s="25" t="s">
        <v>8424</v>
      </c>
      <c r="QQ53" s="25" t="s">
        <v>8320</v>
      </c>
      <c r="QR53" s="25" t="s">
        <v>13449</v>
      </c>
      <c r="QS53" s="25" t="s">
        <v>8386</v>
      </c>
      <c r="VC53" s="25" t="s">
        <v>8255</v>
      </c>
      <c r="VD53" s="25" t="s">
        <v>8256</v>
      </c>
      <c r="VE53" s="25" t="s">
        <v>8321</v>
      </c>
      <c r="VF53" s="25">
        <v>0</v>
      </c>
      <c r="VI53" s="25"/>
      <c r="VJ53" s="25"/>
      <c r="VK53" s="25"/>
      <c r="VL53" s="25"/>
      <c r="VM53" s="25"/>
      <c r="VN53" s="25"/>
      <c r="VP53" s="25"/>
      <c r="VQ53" s="25"/>
      <c r="VR53" s="25"/>
      <c r="VS53" s="25"/>
      <c r="ZA53" s="25"/>
      <c r="ZB53" s="25"/>
      <c r="ZC53" s="25"/>
      <c r="ZD53" s="25"/>
      <c r="ZE53" s="25"/>
      <c r="ZF53" s="25"/>
      <c r="ZG53" s="25"/>
      <c r="ZO53" s="25"/>
      <c r="ZP53" s="25"/>
      <c r="ZQ53" s="25"/>
      <c r="ZR53" s="25"/>
      <c r="ZS53" s="25"/>
      <c r="ZT53" s="25"/>
      <c r="ZU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S53" s="25"/>
      <c r="ACT53" s="25"/>
      <c r="ACU53" s="25"/>
      <c r="ACV53" s="25"/>
      <c r="ACW53" s="25"/>
      <c r="ACX53" s="25"/>
      <c r="ACY53" s="25"/>
      <c r="ACZ53" s="25"/>
      <c r="ADA53" s="25"/>
      <c r="ADB53" s="25"/>
      <c r="ADC53" s="25"/>
      <c r="ADD53" s="25"/>
      <c r="ADE53" s="25"/>
      <c r="ADF53" s="25"/>
      <c r="ADN53" s="25"/>
      <c r="ADO53" s="25"/>
      <c r="ADP53" s="25"/>
      <c r="ADQ53" s="25"/>
      <c r="ADR53" s="25"/>
      <c r="ADS53" s="25"/>
      <c r="ADT53" s="25"/>
      <c r="ADU53" s="25"/>
      <c r="ADV53" s="25"/>
      <c r="ADW53" s="25"/>
      <c r="ADX53" s="25"/>
      <c r="ADY53" s="25"/>
      <c r="ADZ53" s="25"/>
      <c r="AEA53" s="25"/>
      <c r="AEI53" s="25"/>
      <c r="AEJ53" s="25"/>
      <c r="AEK53" s="25"/>
      <c r="AEL53" s="25"/>
      <c r="AEM53" s="25"/>
      <c r="AEN53" s="25"/>
      <c r="AEO53" s="25"/>
      <c r="AEP53" s="25"/>
      <c r="AEQ53" s="25"/>
      <c r="AER53" s="25"/>
      <c r="AES53" s="25"/>
      <c r="AET53" s="25"/>
      <c r="AEU53" s="25"/>
      <c r="AEV53" s="25"/>
      <c r="AFD53" s="25"/>
      <c r="AFE53" s="25"/>
      <c r="AFF53" s="25"/>
      <c r="AFG53" s="25"/>
      <c r="AFH53" s="25"/>
      <c r="AFI53" s="25"/>
      <c r="AFJ53" s="25"/>
      <c r="AFK53" s="25"/>
      <c r="AFL53" s="25"/>
      <c r="AFM53" s="25"/>
      <c r="AFN53" s="25"/>
      <c r="AFO53" s="25"/>
      <c r="AFP53" s="25"/>
      <c r="AFQ53" s="25"/>
      <c r="AFU53" s="25">
        <v>2</v>
      </c>
      <c r="AFV53" s="25" t="s">
        <v>8985</v>
      </c>
      <c r="AFW53" s="25" t="s">
        <v>8986</v>
      </c>
      <c r="AFX53" s="56">
        <v>3000</v>
      </c>
      <c r="AFY53" s="56">
        <v>6000</v>
      </c>
      <c r="AGD53" s="25" t="s">
        <v>13411</v>
      </c>
      <c r="AGE53" s="56">
        <v>1350</v>
      </c>
      <c r="AGF53" s="56">
        <v>4050</v>
      </c>
      <c r="AGI53" s="25" t="s">
        <v>8248</v>
      </c>
      <c r="AGV53" s="25" t="s">
        <v>8249</v>
      </c>
      <c r="AJI53" s="25" t="s">
        <v>25</v>
      </c>
      <c r="AJJ53" s="25" t="s">
        <v>28</v>
      </c>
      <c r="AJK53" s="25" t="s">
        <v>25</v>
      </c>
      <c r="AJL53" s="25" t="s">
        <v>25</v>
      </c>
      <c r="AJN53" s="25" t="s">
        <v>13417</v>
      </c>
      <c r="AJP53" s="56">
        <v>20</v>
      </c>
      <c r="AJQ53" s="56">
        <v>20</v>
      </c>
      <c r="AJR53" s="56">
        <v>20</v>
      </c>
      <c r="AJS53" s="56">
        <v>100</v>
      </c>
      <c r="AJT53" s="56">
        <v>20</v>
      </c>
      <c r="AKY53" s="25" t="s">
        <v>13593</v>
      </c>
      <c r="AKZ53" s="25" t="s">
        <v>13593</v>
      </c>
      <c r="ALA53" s="25" t="s">
        <v>13593</v>
      </c>
      <c r="ALB53" s="25" t="s">
        <v>13593</v>
      </c>
      <c r="ALC53" s="25" t="s">
        <v>13593</v>
      </c>
      <c r="ALD53" s="25" t="s">
        <v>13593</v>
      </c>
      <c r="ALE53" s="25" t="s">
        <v>13593</v>
      </c>
      <c r="ALF53" s="25" t="s">
        <v>13810</v>
      </c>
      <c r="ALG53" s="25" t="s">
        <v>13810</v>
      </c>
      <c r="ALH53" s="25" t="s">
        <v>13810</v>
      </c>
      <c r="ALI53" s="25" t="s">
        <v>13810</v>
      </c>
      <c r="ALJ53" s="25" t="s">
        <v>631</v>
      </c>
      <c r="ALK53" s="25" t="s">
        <v>8252</v>
      </c>
      <c r="ALL53" s="25" t="s">
        <v>8252</v>
      </c>
      <c r="ALM53" s="25" t="s">
        <v>13810</v>
      </c>
      <c r="ALN53" s="25" t="s">
        <v>631</v>
      </c>
      <c r="ALO53" s="25" t="s">
        <v>631</v>
      </c>
      <c r="ALP53" s="25" t="s">
        <v>8253</v>
      </c>
      <c r="ALQ53" s="25" t="s">
        <v>8253</v>
      </c>
      <c r="ALR53" s="25" t="s">
        <v>8253</v>
      </c>
      <c r="ALS53" s="25" t="s">
        <v>8253</v>
      </c>
      <c r="ALU53" s="25" t="s">
        <v>8253</v>
      </c>
      <c r="ALV53" s="25" t="s">
        <v>8325</v>
      </c>
      <c r="ALW53" s="25" t="s">
        <v>8253</v>
      </c>
      <c r="ALY53" s="56">
        <v>10</v>
      </c>
      <c r="AMA53" s="56">
        <v>20</v>
      </c>
      <c r="AMC53" s="56">
        <v>30</v>
      </c>
      <c r="AME53" s="56">
        <v>60</v>
      </c>
      <c r="AQG53" s="25" t="s">
        <v>8255</v>
      </c>
      <c r="AQH53" s="25" t="s">
        <v>8298</v>
      </c>
      <c r="AQI53" s="25" t="s">
        <v>8321</v>
      </c>
      <c r="AQJ53" s="25">
        <v>2</v>
      </c>
      <c r="AQK53" s="25" t="s">
        <v>8985</v>
      </c>
      <c r="AQL53" s="25" t="s">
        <v>8986</v>
      </c>
      <c r="AQM53" s="56">
        <v>3000</v>
      </c>
      <c r="AQN53" s="56">
        <v>6000</v>
      </c>
      <c r="AQT53" s="56">
        <v>1500</v>
      </c>
      <c r="AQU53" s="56">
        <v>3000</v>
      </c>
      <c r="AQX53" s="25" t="s">
        <v>8248</v>
      </c>
      <c r="ARK53" s="25" t="s">
        <v>8249</v>
      </c>
      <c r="ATX53" s="25" t="s">
        <v>25</v>
      </c>
      <c r="ATY53" s="25" t="s">
        <v>28</v>
      </c>
      <c r="ATZ53" s="25" t="s">
        <v>25</v>
      </c>
      <c r="AUA53" s="25" t="s">
        <v>25</v>
      </c>
      <c r="AUC53" s="25" t="s">
        <v>13417</v>
      </c>
      <c r="AUE53" s="56">
        <v>20</v>
      </c>
      <c r="AUF53" s="56">
        <v>20</v>
      </c>
      <c r="AUG53" s="56">
        <v>20</v>
      </c>
      <c r="AUH53" s="56">
        <v>100</v>
      </c>
      <c r="AUI53" s="56">
        <v>20</v>
      </c>
      <c r="AUJ53" s="56">
        <v>20</v>
      </c>
      <c r="AVN53" s="25" t="s">
        <v>13593</v>
      </c>
      <c r="AVO53" s="25" t="s">
        <v>13593</v>
      </c>
      <c r="AVP53" s="25" t="s">
        <v>13593</v>
      </c>
      <c r="AVQ53" s="25" t="s">
        <v>13593</v>
      </c>
      <c r="AVR53" s="25" t="s">
        <v>13593</v>
      </c>
      <c r="AVS53" s="25" t="s">
        <v>13593</v>
      </c>
      <c r="AVT53" s="25" t="s">
        <v>13593</v>
      </c>
      <c r="AVU53" s="25" t="s">
        <v>13810</v>
      </c>
      <c r="AVV53" s="25" t="s">
        <v>13810</v>
      </c>
      <c r="AVW53" s="25" t="s">
        <v>13810</v>
      </c>
      <c r="AVX53" s="25" t="s">
        <v>13810</v>
      </c>
      <c r="AVY53" s="25" t="s">
        <v>631</v>
      </c>
      <c r="AVZ53" s="25" t="s">
        <v>8252</v>
      </c>
      <c r="AWA53" s="25" t="s">
        <v>8252</v>
      </c>
      <c r="AWB53" s="25" t="s">
        <v>13810</v>
      </c>
      <c r="AWC53" s="25" t="s">
        <v>631</v>
      </c>
      <c r="AWD53" s="25" t="s">
        <v>631</v>
      </c>
      <c r="AWE53" s="25" t="s">
        <v>8253</v>
      </c>
      <c r="AWF53" s="25" t="s">
        <v>8253</v>
      </c>
      <c r="AWG53" s="25" t="s">
        <v>8253</v>
      </c>
      <c r="AWH53" s="25" t="s">
        <v>8253</v>
      </c>
      <c r="AWJ53" s="25" t="s">
        <v>8253</v>
      </c>
      <c r="AWK53" s="25" t="s">
        <v>8325</v>
      </c>
      <c r="AWL53" s="25" t="s">
        <v>8253</v>
      </c>
      <c r="AWN53" s="56">
        <v>10</v>
      </c>
      <c r="AWP53" s="56">
        <v>20</v>
      </c>
      <c r="AWR53" s="56">
        <v>30</v>
      </c>
      <c r="AWT53" s="56">
        <v>60</v>
      </c>
      <c r="BAV53" s="25" t="s">
        <v>8255</v>
      </c>
      <c r="BAW53" s="25" t="s">
        <v>8298</v>
      </c>
      <c r="BAX53" s="25" t="s">
        <v>8321</v>
      </c>
      <c r="BAY53" s="25">
        <v>0</v>
      </c>
      <c r="BBB53" s="25"/>
      <c r="BBC53" s="25"/>
      <c r="BBD53" s="25"/>
      <c r="BBE53" s="25"/>
      <c r="BBF53" s="25"/>
      <c r="BBG53" s="25"/>
      <c r="BBI53" s="25"/>
      <c r="BBJ53" s="25"/>
      <c r="BBK53" s="25"/>
      <c r="BBL53" s="25"/>
      <c r="BET53" s="25"/>
      <c r="BEU53" s="25"/>
      <c r="BEV53" s="25"/>
      <c r="BEW53" s="25"/>
      <c r="BEX53" s="25"/>
      <c r="BEY53" s="25"/>
      <c r="BEZ53" s="25"/>
      <c r="BFH53" s="25"/>
      <c r="BFI53" s="25"/>
      <c r="BFJ53" s="25"/>
      <c r="BFK53" s="25"/>
      <c r="BFL53" s="25"/>
      <c r="BFM53" s="25"/>
      <c r="BFN53" s="25"/>
      <c r="BHC53" s="25"/>
      <c r="BHD53" s="25"/>
      <c r="BHE53" s="25"/>
      <c r="BHF53" s="25"/>
      <c r="BHG53" s="25"/>
      <c r="BHH53" s="25"/>
      <c r="BHI53" s="25"/>
      <c r="BHJ53" s="25"/>
      <c r="BHK53" s="25"/>
      <c r="BHL53" s="25"/>
      <c r="BHM53" s="25"/>
      <c r="BHN53" s="25"/>
      <c r="BHO53" s="25"/>
      <c r="BHP53" s="25"/>
      <c r="BHQ53" s="25"/>
      <c r="BHR53" s="25"/>
      <c r="BHS53" s="25"/>
      <c r="BHT53" s="25"/>
      <c r="BHU53" s="25"/>
      <c r="BHV53" s="25"/>
      <c r="BHW53" s="25"/>
      <c r="BHX53" s="25"/>
      <c r="BHY53" s="25"/>
      <c r="BHZ53" s="25"/>
      <c r="BIA53" s="25"/>
      <c r="BIB53" s="25"/>
      <c r="BIC53" s="25"/>
      <c r="BID53" s="25"/>
      <c r="BIL53" s="25"/>
      <c r="BIM53" s="25"/>
      <c r="BIN53" s="25"/>
      <c r="BIO53" s="25"/>
      <c r="BIP53" s="25"/>
      <c r="BIQ53" s="25"/>
      <c r="BIR53" s="25"/>
      <c r="BIS53" s="25"/>
      <c r="BIT53" s="25"/>
      <c r="BIU53" s="25"/>
      <c r="BIV53" s="25"/>
      <c r="BIW53" s="25"/>
      <c r="BIX53" s="25"/>
      <c r="BIY53" s="25"/>
      <c r="BJG53" s="25"/>
      <c r="BJH53" s="25"/>
      <c r="BJI53" s="25"/>
      <c r="BJJ53" s="25"/>
      <c r="BJK53" s="25"/>
      <c r="BJL53" s="25"/>
      <c r="BJM53" s="25"/>
      <c r="BJN53" s="25"/>
      <c r="BJO53" s="25"/>
      <c r="BJP53" s="25"/>
      <c r="BJQ53" s="25"/>
      <c r="BJR53" s="25"/>
      <c r="BJS53" s="25"/>
      <c r="BJT53" s="25"/>
      <c r="BKB53" s="25"/>
      <c r="BKC53" s="25"/>
      <c r="BKD53" s="25"/>
      <c r="BKE53" s="25"/>
      <c r="BKF53" s="25"/>
      <c r="BKG53" s="25"/>
      <c r="BKH53" s="25"/>
      <c r="BKI53" s="25"/>
      <c r="BKJ53" s="25"/>
      <c r="BKK53" s="25"/>
      <c r="BKL53" s="25"/>
      <c r="BKM53" s="25"/>
      <c r="BKN53" s="25"/>
      <c r="BKO53" s="25"/>
      <c r="BKW53" s="25"/>
      <c r="BKX53" s="25"/>
      <c r="BKY53" s="25"/>
      <c r="BKZ53" s="25"/>
      <c r="BLA53" s="25"/>
      <c r="BLB53" s="25"/>
      <c r="BLC53" s="25"/>
      <c r="BLD53" s="25"/>
      <c r="BLE53" s="25"/>
      <c r="BLF53" s="25"/>
      <c r="BLG53" s="25"/>
      <c r="BLH53" s="25"/>
      <c r="BLI53" s="25"/>
      <c r="BLJ53" s="25"/>
      <c r="BLN53" s="25">
        <v>0</v>
      </c>
      <c r="BLQ53" s="25"/>
      <c r="BLR53" s="25"/>
      <c r="BLS53" s="25"/>
      <c r="BLT53" s="25"/>
      <c r="BLU53" s="25"/>
      <c r="BLV53" s="25"/>
      <c r="BLX53" s="25"/>
      <c r="BLY53" s="25"/>
      <c r="BLZ53" s="25"/>
      <c r="BMA53" s="25"/>
      <c r="BPI53" s="25"/>
      <c r="BPJ53" s="25"/>
      <c r="BPK53" s="25"/>
      <c r="BPL53" s="25"/>
      <c r="BPM53" s="25"/>
      <c r="BPN53" s="25"/>
      <c r="BPO53" s="25"/>
      <c r="BPW53" s="25"/>
      <c r="BPX53" s="25"/>
      <c r="BPY53" s="25"/>
      <c r="BPZ53" s="25"/>
      <c r="BQA53" s="25"/>
      <c r="BQB53" s="25"/>
      <c r="BQC53" s="25"/>
      <c r="BRR53" s="25"/>
      <c r="BRS53" s="25"/>
      <c r="BRT53" s="25"/>
      <c r="BRU53" s="25"/>
      <c r="BRV53" s="25"/>
      <c r="BRW53" s="25"/>
      <c r="BRX53" s="25"/>
      <c r="BRY53" s="25"/>
      <c r="BRZ53" s="25"/>
      <c r="BSA53" s="25"/>
      <c r="BSB53" s="25"/>
      <c r="BSC53" s="25"/>
      <c r="BSD53" s="25"/>
      <c r="BSE53" s="25"/>
      <c r="BSF53" s="25"/>
      <c r="BSG53" s="25"/>
      <c r="BSH53" s="25"/>
      <c r="BSI53" s="25"/>
      <c r="BSJ53" s="25"/>
      <c r="BSK53" s="25"/>
      <c r="BSL53" s="25"/>
      <c r="BSM53" s="25"/>
      <c r="BSN53" s="25"/>
      <c r="BSO53" s="25"/>
      <c r="BSP53" s="25"/>
      <c r="BSQ53" s="25"/>
      <c r="BSR53" s="25"/>
      <c r="BSS53" s="25"/>
      <c r="BTA53" s="25"/>
      <c r="BTB53" s="25"/>
      <c r="BTC53" s="25"/>
      <c r="BTD53" s="25"/>
      <c r="BTE53" s="25"/>
      <c r="BTF53" s="25"/>
      <c r="BTG53" s="25"/>
      <c r="BTH53" s="25"/>
      <c r="BTI53" s="25"/>
      <c r="BTJ53" s="25"/>
      <c r="BTK53" s="25"/>
      <c r="BTL53" s="25"/>
      <c r="BTM53" s="25"/>
      <c r="BTN53" s="25"/>
      <c r="BUQ53" s="25"/>
      <c r="BUR53" s="25"/>
      <c r="BUS53" s="25"/>
      <c r="BUT53" s="25"/>
      <c r="BUU53" s="25"/>
      <c r="BUV53" s="25"/>
      <c r="BUW53" s="25"/>
      <c r="BUX53" s="25"/>
      <c r="BUY53" s="25"/>
      <c r="BUZ53" s="25"/>
      <c r="BVA53" s="25"/>
      <c r="BVB53" s="25"/>
      <c r="BVC53" s="25"/>
      <c r="BVD53" s="25"/>
      <c r="BWC53" s="25" t="s">
        <v>28</v>
      </c>
      <c r="BWD53" s="25" t="s">
        <v>8495</v>
      </c>
      <c r="BWE53" s="25" t="s">
        <v>8357</v>
      </c>
      <c r="BWF53" s="25" t="s">
        <v>8987</v>
      </c>
      <c r="BWG53" s="25" t="s">
        <v>25</v>
      </c>
      <c r="BWH53" s="25" t="s">
        <v>2169</v>
      </c>
      <c r="BWI53" s="25" t="s">
        <v>28</v>
      </c>
      <c r="BWJ53" s="25" t="s">
        <v>8267</v>
      </c>
      <c r="BWK53" s="25" t="s">
        <v>25</v>
      </c>
      <c r="BWM53" s="25" t="s">
        <v>25</v>
      </c>
      <c r="BWO53" s="25" t="s">
        <v>25</v>
      </c>
      <c r="BWQ53" s="25" t="s">
        <v>28</v>
      </c>
      <c r="BWR53" s="25" t="s">
        <v>25</v>
      </c>
      <c r="BWT53" s="25" t="s">
        <v>25</v>
      </c>
      <c r="BWV53" s="25" t="s">
        <v>25</v>
      </c>
      <c r="BWX53" s="25" t="s">
        <v>28</v>
      </c>
      <c r="BWY53" s="25" t="s">
        <v>8988</v>
      </c>
      <c r="BWZ53" s="25" t="s">
        <v>25</v>
      </c>
      <c r="BXB53" s="25" t="s">
        <v>25</v>
      </c>
      <c r="BXD53" s="25" t="s">
        <v>28</v>
      </c>
      <c r="BXE53" s="25" t="s">
        <v>8269</v>
      </c>
      <c r="BXF53" s="25" t="s">
        <v>28</v>
      </c>
      <c r="BXG53" s="56">
        <v>30</v>
      </c>
      <c r="BXH53" s="25" t="s">
        <v>28</v>
      </c>
      <c r="BXI53" s="56">
        <v>30</v>
      </c>
      <c r="BXJ53" s="25" t="s">
        <v>28</v>
      </c>
      <c r="BXK53" s="25" t="s">
        <v>8270</v>
      </c>
      <c r="BXL53" s="25" t="s">
        <v>8989</v>
      </c>
      <c r="BXM53" s="25" t="s">
        <v>2201</v>
      </c>
      <c r="BXN53" s="25" t="s">
        <v>8332</v>
      </c>
      <c r="BXO53" s="25" t="s">
        <v>8274</v>
      </c>
      <c r="BXP53" s="25" t="s">
        <v>8274</v>
      </c>
      <c r="BXQ53" s="25" t="s">
        <v>8274</v>
      </c>
      <c r="BXR53" s="25" t="s">
        <v>8274</v>
      </c>
      <c r="BXS53" s="25" t="s">
        <v>8274</v>
      </c>
      <c r="BXW53" s="25" t="s">
        <v>28</v>
      </c>
      <c r="BXX53" s="25" t="s">
        <v>28</v>
      </c>
      <c r="BYC53" s="25" t="s">
        <v>2201</v>
      </c>
      <c r="BYD53" s="25" t="s">
        <v>28</v>
      </c>
      <c r="BYE53" s="25" t="s">
        <v>13624</v>
      </c>
      <c r="BYH53" s="25" t="s">
        <v>8278</v>
      </c>
      <c r="BYK53" s="25" t="s">
        <v>8333</v>
      </c>
      <c r="BYL53" s="25" t="s">
        <v>25</v>
      </c>
      <c r="BYN53" s="25" t="s">
        <v>25</v>
      </c>
      <c r="BYP53" s="25" t="s">
        <v>25</v>
      </c>
      <c r="BYR53" s="25" t="s">
        <v>28</v>
      </c>
      <c r="BYS53" s="25" t="s">
        <v>8279</v>
      </c>
      <c r="BYT53" s="25" t="s">
        <v>732</v>
      </c>
      <c r="BYU53" s="25" t="s">
        <v>732</v>
      </c>
      <c r="BYV53" s="25" t="s">
        <v>25</v>
      </c>
      <c r="BYW53" s="25" t="s">
        <v>28</v>
      </c>
      <c r="BYX53" s="56">
        <v>800</v>
      </c>
      <c r="BYY53" s="56">
        <v>1800</v>
      </c>
      <c r="BYZ53" s="25" t="s">
        <v>8408</v>
      </c>
      <c r="BZA53" s="25" t="s">
        <v>8990</v>
      </c>
      <c r="BZB53" s="25" t="s">
        <v>256</v>
      </c>
      <c r="BZC53" s="25" t="s">
        <v>8282</v>
      </c>
      <c r="BZD53" s="25" t="s">
        <v>28</v>
      </c>
      <c r="BZE53" s="25" t="s">
        <v>28</v>
      </c>
      <c r="BZF53" s="25" t="s">
        <v>28</v>
      </c>
      <c r="BZG53" s="25" t="s">
        <v>25</v>
      </c>
      <c r="BZJ53" s="25" t="s">
        <v>25</v>
      </c>
      <c r="BZM53" s="25" t="s">
        <v>28</v>
      </c>
      <c r="BZN53" s="25" t="s">
        <v>8283</v>
      </c>
      <c r="BZP53" s="25" t="s">
        <v>8366</v>
      </c>
      <c r="BZQ53" s="56">
        <v>1000</v>
      </c>
      <c r="BZR53" s="25" t="s">
        <v>607</v>
      </c>
      <c r="BZS53" s="25" t="s">
        <v>25</v>
      </c>
      <c r="BZT53" s="25" t="s">
        <v>8468</v>
      </c>
      <c r="BZV53" s="25" t="s">
        <v>8895</v>
      </c>
      <c r="BZX53" s="25" t="s">
        <v>8287</v>
      </c>
      <c r="BZZ53" s="25" t="s">
        <v>25</v>
      </c>
      <c r="CAC53" s="25" t="s">
        <v>28</v>
      </c>
      <c r="CAD53" s="25" t="s">
        <v>8288</v>
      </c>
      <c r="CAE53" s="25" t="s">
        <v>28</v>
      </c>
      <c r="CAF53" s="25" t="s">
        <v>8289</v>
      </c>
      <c r="CAG53" s="25" t="s">
        <v>25</v>
      </c>
      <c r="CAH53" s="25" t="s">
        <v>631</v>
      </c>
      <c r="CAI53" s="25" t="s">
        <v>631</v>
      </c>
      <c r="CAJ53" s="25" t="s">
        <v>631</v>
      </c>
      <c r="CAK53" s="25" t="s">
        <v>631</v>
      </c>
      <c r="CAL53" s="25" t="s">
        <v>631</v>
      </c>
      <c r="CAM53" s="25" t="s">
        <v>8290</v>
      </c>
      <c r="CAN53" s="25" t="s">
        <v>631</v>
      </c>
      <c r="CAO53" s="25" t="s">
        <v>631</v>
      </c>
      <c r="CAP53" s="25" t="s">
        <v>631</v>
      </c>
      <c r="CAQ53" s="25" t="s">
        <v>631</v>
      </c>
      <c r="CAR53" s="25" t="s">
        <v>8570</v>
      </c>
      <c r="CAS53" s="25" t="s">
        <v>8991</v>
      </c>
      <c r="CAT53" s="25" t="s">
        <v>25</v>
      </c>
      <c r="CAW53" s="25" t="s">
        <v>8341</v>
      </c>
      <c r="CBB53" s="25">
        <v>2</v>
      </c>
      <c r="CBC53" s="25">
        <v>1</v>
      </c>
      <c r="CBE53" s="56">
        <v>50</v>
      </c>
      <c r="CBF53" s="56">
        <v>150</v>
      </c>
      <c r="CBG53" s="56">
        <v>100</v>
      </c>
      <c r="CBH53" s="56">
        <v>300</v>
      </c>
      <c r="CBI53" s="56">
        <v>1000</v>
      </c>
      <c r="CBJ53" s="56">
        <v>1000</v>
      </c>
      <c r="CBK53" s="56">
        <v>1500</v>
      </c>
      <c r="CBL53" s="56">
        <v>1500</v>
      </c>
      <c r="CBM53" s="26">
        <v>0</v>
      </c>
      <c r="CBN53" s="26">
        <v>0</v>
      </c>
      <c r="CBO53" s="26">
        <v>0.2</v>
      </c>
      <c r="CBP53" s="26">
        <v>0.5</v>
      </c>
      <c r="CBQ53" s="26">
        <v>0.5</v>
      </c>
      <c r="CBR53" s="26">
        <v>0.5</v>
      </c>
      <c r="CBS53" s="26">
        <v>0.5</v>
      </c>
      <c r="CBT53" s="26">
        <v>0.5</v>
      </c>
      <c r="CBU53" s="27" t="s">
        <v>28</v>
      </c>
      <c r="CBV53" s="27" t="s">
        <v>8804</v>
      </c>
      <c r="CBW53" s="27" t="s">
        <v>8294</v>
      </c>
      <c r="CBX53" s="27" t="s">
        <v>8343</v>
      </c>
      <c r="CBY53" s="27" t="s">
        <v>8296</v>
      </c>
      <c r="CBZ53" s="27" t="s">
        <v>8297</v>
      </c>
      <c r="CCA53" s="27" t="s">
        <v>29</v>
      </c>
      <c r="CCB53" s="27" t="s">
        <v>8296</v>
      </c>
      <c r="CCC53" s="27" t="s">
        <v>8296</v>
      </c>
      <c r="CCD53" s="27" t="s">
        <v>8297</v>
      </c>
      <c r="CCE53" s="27" t="s">
        <v>29</v>
      </c>
      <c r="CCF53" s="27" t="s">
        <v>29</v>
      </c>
      <c r="CCG53" s="27" t="s">
        <v>29</v>
      </c>
      <c r="CCH53" s="27" t="s">
        <v>29</v>
      </c>
      <c r="CCI53" s="27" t="s">
        <v>8298</v>
      </c>
      <c r="CCJ53" s="27" t="s">
        <v>8296</v>
      </c>
      <c r="CCK53" s="27" t="s">
        <v>29</v>
      </c>
      <c r="CCL53" s="27" t="s">
        <v>8297</v>
      </c>
      <c r="CCN53" s="27" t="s">
        <v>8297</v>
      </c>
      <c r="CCO53" s="27" t="s">
        <v>8300</v>
      </c>
      <c r="CCP53" s="27" t="s">
        <v>8296</v>
      </c>
      <c r="CCQ53" s="27" t="s">
        <v>8297</v>
      </c>
      <c r="CCR53" s="27" t="s">
        <v>8297</v>
      </c>
      <c r="CCS53" s="27" t="s">
        <v>8296</v>
      </c>
      <c r="CCT53" s="27" t="s">
        <v>8297</v>
      </c>
      <c r="CCU53" s="27" t="s">
        <v>8296</v>
      </c>
      <c r="CCV53" s="27" t="s">
        <v>8298</v>
      </c>
      <c r="CCW53" s="27" t="s">
        <v>8298</v>
      </c>
      <c r="CCX53" s="27" t="s">
        <v>8298</v>
      </c>
      <c r="CCY53" s="27" t="s">
        <v>8298</v>
      </c>
      <c r="CCZ53" s="27" t="s">
        <v>28</v>
      </c>
      <c r="CDA53" s="27" t="s">
        <v>28</v>
      </c>
      <c r="CDB53" s="27" t="s">
        <v>28</v>
      </c>
      <c r="CDC53" s="27" t="s">
        <v>25</v>
      </c>
      <c r="CDD53" s="27" t="s">
        <v>28</v>
      </c>
      <c r="CDE53" s="27" t="s">
        <v>28</v>
      </c>
      <c r="CDF53" s="27" t="s">
        <v>28</v>
      </c>
      <c r="CDG53" s="27" t="s">
        <v>28</v>
      </c>
      <c r="CDH53" s="27" t="s">
        <v>28</v>
      </c>
      <c r="CDI53" s="27" t="s">
        <v>28</v>
      </c>
      <c r="CDJ53" s="27" t="s">
        <v>28</v>
      </c>
      <c r="CDK53" s="27" t="s">
        <v>28</v>
      </c>
      <c r="CDL53" s="27" t="s">
        <v>28</v>
      </c>
      <c r="CDM53" s="27" t="s">
        <v>28</v>
      </c>
      <c r="CDO53" s="27" t="s">
        <v>28</v>
      </c>
      <c r="CDP53" s="27" t="s">
        <v>28</v>
      </c>
      <c r="CDQ53" s="27" t="s">
        <v>28</v>
      </c>
      <c r="CDR53" s="27" t="s">
        <v>28</v>
      </c>
      <c r="CDS53" s="27" t="s">
        <v>28</v>
      </c>
      <c r="CDT53" s="27" t="s">
        <v>28</v>
      </c>
      <c r="CDU53" s="27" t="s">
        <v>28</v>
      </c>
      <c r="CDV53" s="27" t="s">
        <v>28</v>
      </c>
      <c r="CDW53" s="27" t="s">
        <v>25</v>
      </c>
      <c r="CDX53" s="27" t="s">
        <v>25</v>
      </c>
      <c r="CDY53" s="27" t="s">
        <v>25</v>
      </c>
      <c r="CDZ53" s="27" t="s">
        <v>25</v>
      </c>
      <c r="CGI53" s="56">
        <v>2000</v>
      </c>
      <c r="CGK53" s="26">
        <v>0</v>
      </c>
      <c r="CGL53" s="26">
        <v>0</v>
      </c>
      <c r="CGM53" s="26">
        <v>0.4</v>
      </c>
      <c r="CGN53" s="26">
        <v>0</v>
      </c>
      <c r="CGO53" s="26">
        <v>0.5</v>
      </c>
      <c r="CGP53" s="26">
        <v>0</v>
      </c>
      <c r="CGQ53" s="26">
        <v>0.5</v>
      </c>
      <c r="CGR53" s="26">
        <v>0</v>
      </c>
      <c r="CGS53" s="27" t="s">
        <v>8992</v>
      </c>
      <c r="CGT53" s="27" t="s">
        <v>8294</v>
      </c>
      <c r="CGU53" s="27" t="s">
        <v>13836</v>
      </c>
      <c r="CGV53" s="27" t="s">
        <v>8296</v>
      </c>
      <c r="CGW53" s="27" t="s">
        <v>8297</v>
      </c>
      <c r="CGX53" s="27" t="s">
        <v>29</v>
      </c>
      <c r="CGY53" s="27" t="s">
        <v>8298</v>
      </c>
      <c r="CGZ53" s="27" t="s">
        <v>8297</v>
      </c>
      <c r="CHA53" s="27" t="s">
        <v>8297</v>
      </c>
      <c r="CHB53" s="27" t="s">
        <v>29</v>
      </c>
      <c r="CHC53" s="27" t="s">
        <v>29</v>
      </c>
      <c r="CHD53" s="27" t="s">
        <v>29</v>
      </c>
      <c r="CHF53" s="27" t="s">
        <v>8298</v>
      </c>
      <c r="CHG53" s="27" t="s">
        <v>8296</v>
      </c>
      <c r="CHI53" s="27" t="s">
        <v>29</v>
      </c>
      <c r="CHK53" s="27" t="s">
        <v>8297</v>
      </c>
      <c r="CHL53" s="27" t="s">
        <v>8300</v>
      </c>
      <c r="CHM53" s="27" t="s">
        <v>29</v>
      </c>
      <c r="CHN53" s="27" t="s">
        <v>8297</v>
      </c>
      <c r="CHO53" s="27" t="s">
        <v>8297</v>
      </c>
      <c r="CHP53" s="27" t="s">
        <v>8298</v>
      </c>
      <c r="CHQ53" s="27" t="s">
        <v>8297</v>
      </c>
      <c r="CHR53" s="27" t="s">
        <v>8297</v>
      </c>
      <c r="CHS53" s="27" t="s">
        <v>8298</v>
      </c>
      <c r="CHT53" s="27" t="s">
        <v>8298</v>
      </c>
      <c r="CHU53" s="27" t="s">
        <v>8298</v>
      </c>
      <c r="CHV53" s="27" t="s">
        <v>8298</v>
      </c>
      <c r="CHW53" s="27" t="s">
        <v>28</v>
      </c>
      <c r="CHX53" s="27" t="s">
        <v>28</v>
      </c>
      <c r="CHY53" s="27" t="s">
        <v>28</v>
      </c>
      <c r="CHZ53" s="27" t="s">
        <v>25</v>
      </c>
      <c r="CIA53" s="27" t="s">
        <v>28</v>
      </c>
      <c r="CIB53" s="27" t="s">
        <v>28</v>
      </c>
      <c r="CIC53" s="27" t="s">
        <v>28</v>
      </c>
      <c r="CID53" s="27" t="s">
        <v>28</v>
      </c>
      <c r="CIE53" s="27" t="s">
        <v>28</v>
      </c>
      <c r="CIG53" s="27" t="s">
        <v>25</v>
      </c>
      <c r="CIH53" s="27" t="s">
        <v>28</v>
      </c>
      <c r="CIJ53" s="27" t="s">
        <v>28</v>
      </c>
      <c r="CIL53" s="27" t="s">
        <v>28</v>
      </c>
      <c r="CIM53" s="27" t="s">
        <v>28</v>
      </c>
      <c r="CIN53" s="27" t="s">
        <v>28</v>
      </c>
      <c r="CIO53" s="27" t="s">
        <v>28</v>
      </c>
      <c r="CIP53" s="27" t="s">
        <v>28</v>
      </c>
      <c r="CIQ53" s="27" t="s">
        <v>28</v>
      </c>
      <c r="CIR53" s="27" t="s">
        <v>28</v>
      </c>
      <c r="CIS53" s="27" t="s">
        <v>28</v>
      </c>
      <c r="CIT53" s="27" t="s">
        <v>28</v>
      </c>
      <c r="CIU53" s="27" t="s">
        <v>25</v>
      </c>
      <c r="CIV53" s="27" t="s">
        <v>25</v>
      </c>
      <c r="CIW53" s="27" t="s">
        <v>25</v>
      </c>
      <c r="CJA53" s="27" t="s">
        <v>8420</v>
      </c>
      <c r="CJO53" s="27" t="s">
        <v>8420</v>
      </c>
      <c r="CPW53" s="27">
        <v>0</v>
      </c>
      <c r="CQQ53" s="25" t="s">
        <v>8993</v>
      </c>
      <c r="CQS53" s="25" t="s">
        <v>25</v>
      </c>
      <c r="CQT53" s="25" t="s">
        <v>8314</v>
      </c>
      <c r="CQU53" s="25" t="s">
        <v>8312</v>
      </c>
      <c r="CQV53" s="25" t="s">
        <v>8312</v>
      </c>
      <c r="CQW53" s="25" t="s">
        <v>8312</v>
      </c>
      <c r="CQX53" s="25" t="s">
        <v>8312</v>
      </c>
      <c r="CQY53" s="25" t="s">
        <v>8312</v>
      </c>
      <c r="CQZ53" s="25" t="s">
        <v>8312</v>
      </c>
      <c r="CRA53" s="25" t="s">
        <v>8314</v>
      </c>
      <c r="CRB53" s="25" t="s">
        <v>8314</v>
      </c>
      <c r="CRC53" s="25" t="s">
        <v>8314</v>
      </c>
      <c r="CRD53" s="25" t="s">
        <v>8314</v>
      </c>
      <c r="CRE53" s="27" t="s">
        <v>8312</v>
      </c>
    </row>
    <row r="54" spans="1:2048 2050:2501" ht="89.25" x14ac:dyDescent="0.2">
      <c r="A54" s="21" t="s">
        <v>151</v>
      </c>
      <c r="B54" s="26">
        <v>0.67</v>
      </c>
      <c r="C54" s="26">
        <v>0</v>
      </c>
      <c r="D54" s="26">
        <v>0.14000000000000001</v>
      </c>
      <c r="E54" s="26">
        <v>0.11</v>
      </c>
      <c r="F54" s="26">
        <v>0</v>
      </c>
      <c r="G54" s="26">
        <v>0</v>
      </c>
      <c r="H54" s="26">
        <v>0</v>
      </c>
      <c r="I54" s="26">
        <v>0</v>
      </c>
      <c r="J54" s="26">
        <v>0</v>
      </c>
      <c r="K54" s="26">
        <v>0</v>
      </c>
      <c r="L54" s="26">
        <v>0</v>
      </c>
      <c r="M54" s="26">
        <v>0.08</v>
      </c>
      <c r="N54" s="26">
        <v>0</v>
      </c>
      <c r="O54" s="26">
        <v>0</v>
      </c>
      <c r="P54" s="26">
        <v>0</v>
      </c>
      <c r="Q54" s="26">
        <v>0</v>
      </c>
      <c r="R54" s="26">
        <v>0</v>
      </c>
      <c r="S54" s="26">
        <v>0</v>
      </c>
      <c r="T54" s="26">
        <v>0</v>
      </c>
      <c r="U54" s="26">
        <v>0</v>
      </c>
      <c r="V54" s="26">
        <v>0</v>
      </c>
      <c r="W54" s="26">
        <v>0</v>
      </c>
      <c r="X54" s="26">
        <v>0</v>
      </c>
      <c r="Y54" s="26">
        <v>1</v>
      </c>
      <c r="Z54" s="25">
        <v>2</v>
      </c>
      <c r="AA54" s="25" t="s">
        <v>8756</v>
      </c>
      <c r="AB54" s="25" t="s">
        <v>8757</v>
      </c>
      <c r="AC54" s="56">
        <v>1200</v>
      </c>
      <c r="AD54" s="56">
        <v>2400</v>
      </c>
      <c r="AE54" s="56">
        <v>4000</v>
      </c>
      <c r="AF54" s="56">
        <v>8000</v>
      </c>
      <c r="AI54" s="25" t="s">
        <v>8246</v>
      </c>
      <c r="AJ54" s="56">
        <v>400</v>
      </c>
      <c r="AK54" s="56">
        <v>800</v>
      </c>
      <c r="AL54" s="56">
        <v>1000</v>
      </c>
      <c r="AM54" s="56">
        <v>2000</v>
      </c>
      <c r="AN54" s="25" t="s">
        <v>8350</v>
      </c>
      <c r="AO54" s="25" t="s">
        <v>8248</v>
      </c>
      <c r="BB54" s="25" t="s">
        <v>8249</v>
      </c>
      <c r="DO54" s="25" t="s">
        <v>25</v>
      </c>
      <c r="DP54" s="25" t="s">
        <v>28</v>
      </c>
      <c r="DQ54" s="25" t="s">
        <v>25</v>
      </c>
      <c r="DR54" s="25" t="s">
        <v>28</v>
      </c>
      <c r="DS54" s="25" t="s">
        <v>8758</v>
      </c>
      <c r="DT54" s="25" t="s">
        <v>13417</v>
      </c>
      <c r="DU54" s="25" t="s">
        <v>13417</v>
      </c>
      <c r="DV54" s="56">
        <v>25</v>
      </c>
      <c r="DW54" s="56">
        <v>25</v>
      </c>
      <c r="DX54" s="56">
        <v>25</v>
      </c>
      <c r="DY54" s="56">
        <v>100</v>
      </c>
      <c r="DZ54" s="56">
        <v>50</v>
      </c>
      <c r="EM54" s="56">
        <v>100</v>
      </c>
      <c r="EN54" s="56">
        <v>50</v>
      </c>
      <c r="EQ54" s="26">
        <v>0.7</v>
      </c>
      <c r="ER54" s="26">
        <v>0.7</v>
      </c>
      <c r="ES54" s="26">
        <v>0.7</v>
      </c>
      <c r="EV54" s="26">
        <v>0.7</v>
      </c>
      <c r="FA54" s="25" t="s">
        <v>8261</v>
      </c>
      <c r="FE54" s="25" t="s">
        <v>25</v>
      </c>
      <c r="FF54" s="25" t="s">
        <v>25</v>
      </c>
      <c r="FG54" s="25" t="s">
        <v>25</v>
      </c>
      <c r="FH54" s="25" t="s">
        <v>25</v>
      </c>
      <c r="FI54" s="25" t="s">
        <v>25</v>
      </c>
      <c r="FJ54" s="25" t="s">
        <v>25</v>
      </c>
      <c r="FL54" s="25" t="s">
        <v>13810</v>
      </c>
      <c r="FM54" s="25" t="s">
        <v>13810</v>
      </c>
      <c r="FN54" s="25" t="s">
        <v>13810</v>
      </c>
      <c r="FO54" s="25" t="s">
        <v>13810</v>
      </c>
      <c r="FP54" s="25" t="s">
        <v>13810</v>
      </c>
      <c r="FQ54" s="25" t="s">
        <v>13810</v>
      </c>
      <c r="FR54" s="25" t="s">
        <v>13810</v>
      </c>
      <c r="FS54" s="25" t="s">
        <v>13810</v>
      </c>
      <c r="FT54" s="25" t="s">
        <v>631</v>
      </c>
      <c r="FU54" s="25" t="s">
        <v>631</v>
      </c>
      <c r="FV54" s="25" t="s">
        <v>8253</v>
      </c>
      <c r="FW54" s="25" t="s">
        <v>8317</v>
      </c>
      <c r="FX54" s="25" t="s">
        <v>8253</v>
      </c>
      <c r="FY54" s="25" t="s">
        <v>13447</v>
      </c>
      <c r="FZ54" s="25" t="s">
        <v>8320</v>
      </c>
      <c r="GA54" s="25" t="s">
        <v>8386</v>
      </c>
      <c r="GB54" s="25" t="s">
        <v>13453</v>
      </c>
      <c r="GC54" s="25" t="s">
        <v>8253</v>
      </c>
      <c r="GE54" s="56">
        <v>15</v>
      </c>
      <c r="GG54" s="56">
        <v>30</v>
      </c>
      <c r="GI54" s="56">
        <v>30</v>
      </c>
      <c r="GK54" s="56">
        <v>60</v>
      </c>
      <c r="GM54" s="56">
        <v>50</v>
      </c>
      <c r="GO54" s="56">
        <v>100</v>
      </c>
      <c r="KM54" s="25" t="s">
        <v>8352</v>
      </c>
      <c r="KN54" s="25" t="s">
        <v>8298</v>
      </c>
      <c r="KO54" s="25" t="s">
        <v>8263</v>
      </c>
      <c r="KP54" s="25">
        <v>1</v>
      </c>
      <c r="KQ54" s="25" t="s">
        <v>8759</v>
      </c>
      <c r="KS54" s="56">
        <v>3400</v>
      </c>
      <c r="KT54" s="56">
        <v>6800</v>
      </c>
      <c r="KU54" s="56">
        <v>6800</v>
      </c>
      <c r="KV54" s="56">
        <v>13600</v>
      </c>
      <c r="KX54" s="56">
        <v>13600</v>
      </c>
      <c r="KY54" s="25" t="s">
        <v>8246</v>
      </c>
      <c r="KZ54" s="56">
        <v>1700</v>
      </c>
      <c r="LA54" s="56">
        <v>3400</v>
      </c>
      <c r="LB54" s="56">
        <v>3400</v>
      </c>
      <c r="LC54" s="56">
        <v>6800</v>
      </c>
      <c r="LD54" s="25" t="s">
        <v>8247</v>
      </c>
      <c r="LE54" s="25" t="s">
        <v>8248</v>
      </c>
      <c r="LR54" s="25" t="s">
        <v>8249</v>
      </c>
      <c r="OE54" s="25" t="s">
        <v>25</v>
      </c>
      <c r="OF54" s="25" t="s">
        <v>28</v>
      </c>
      <c r="OG54" s="25" t="s">
        <v>25</v>
      </c>
      <c r="OH54" s="25" t="s">
        <v>25</v>
      </c>
      <c r="OJ54" s="25" t="s">
        <v>13416</v>
      </c>
      <c r="OK54" s="25" t="s">
        <v>13416</v>
      </c>
      <c r="OS54" s="26">
        <v>0.1</v>
      </c>
      <c r="OT54" s="26">
        <v>0.1</v>
      </c>
      <c r="OU54" s="26">
        <v>0.1</v>
      </c>
      <c r="OV54" s="26">
        <v>0.1</v>
      </c>
      <c r="OW54" s="26">
        <v>0.1</v>
      </c>
      <c r="OX54" s="26">
        <v>0.1</v>
      </c>
      <c r="PG54" s="26">
        <v>0.3</v>
      </c>
      <c r="PH54" s="26">
        <v>0.3</v>
      </c>
      <c r="PI54" s="26">
        <v>0.3</v>
      </c>
      <c r="PJ54" s="26">
        <v>0.3</v>
      </c>
      <c r="PK54" s="26">
        <v>0.3</v>
      </c>
      <c r="PL54" s="26">
        <v>0.3</v>
      </c>
      <c r="PN54" s="25" t="s">
        <v>8250</v>
      </c>
      <c r="PO54" s="25" t="s">
        <v>8250</v>
      </c>
      <c r="PP54" s="25" t="s">
        <v>8250</v>
      </c>
      <c r="PQ54" s="25" t="s">
        <v>8250</v>
      </c>
      <c r="PR54" s="25" t="s">
        <v>8250</v>
      </c>
      <c r="PS54" s="25" t="s">
        <v>8250</v>
      </c>
      <c r="PU54" s="25" t="s">
        <v>25</v>
      </c>
      <c r="PV54" s="25" t="s">
        <v>25</v>
      </c>
      <c r="PW54" s="25" t="s">
        <v>25</v>
      </c>
      <c r="PX54" s="25" t="s">
        <v>25</v>
      </c>
      <c r="PY54" s="25" t="s">
        <v>25</v>
      </c>
      <c r="PZ54" s="25" t="s">
        <v>25</v>
      </c>
      <c r="QB54" s="25" t="s">
        <v>13810</v>
      </c>
      <c r="QC54" s="25" t="s">
        <v>13810</v>
      </c>
      <c r="QD54" s="25" t="s">
        <v>13810</v>
      </c>
      <c r="QE54" s="25" t="s">
        <v>13810</v>
      </c>
      <c r="QF54" s="25" t="s">
        <v>13810</v>
      </c>
      <c r="QG54" s="25" t="s">
        <v>13810</v>
      </c>
      <c r="QH54" s="25" t="s">
        <v>13810</v>
      </c>
      <c r="QI54" s="25" t="s">
        <v>13810</v>
      </c>
      <c r="QJ54" s="25" t="s">
        <v>631</v>
      </c>
      <c r="QK54" s="25" t="s">
        <v>631</v>
      </c>
      <c r="QL54" s="25" t="s">
        <v>8253</v>
      </c>
      <c r="QM54" s="25" t="s">
        <v>8317</v>
      </c>
      <c r="QN54" s="25" t="s">
        <v>8317</v>
      </c>
      <c r="QO54" s="25" t="s">
        <v>13453</v>
      </c>
      <c r="QP54" s="25" t="s">
        <v>8320</v>
      </c>
      <c r="QQ54" s="25" t="s">
        <v>8386</v>
      </c>
      <c r="QR54" s="25" t="s">
        <v>13453</v>
      </c>
      <c r="QS54" s="25" t="s">
        <v>8253</v>
      </c>
      <c r="RW54" s="26">
        <v>0.1</v>
      </c>
      <c r="RX54" s="26">
        <v>0.1</v>
      </c>
      <c r="RY54" s="26">
        <v>0.1</v>
      </c>
      <c r="VC54" s="25" t="s">
        <v>8352</v>
      </c>
      <c r="VD54" s="25" t="s">
        <v>8298</v>
      </c>
      <c r="VE54" s="25" t="s">
        <v>8263</v>
      </c>
      <c r="VF54" s="25">
        <v>0</v>
      </c>
      <c r="VI54" s="25"/>
      <c r="VJ54" s="25"/>
      <c r="VK54" s="25"/>
      <c r="VL54" s="25"/>
      <c r="VM54" s="25"/>
      <c r="VN54" s="25"/>
      <c r="VP54" s="25"/>
      <c r="VQ54" s="25"/>
      <c r="VR54" s="25"/>
      <c r="VS54" s="25"/>
      <c r="ZA54" s="25"/>
      <c r="ZB54" s="25"/>
      <c r="ZC54" s="25"/>
      <c r="ZD54" s="25"/>
      <c r="ZE54" s="25"/>
      <c r="ZF54" s="25"/>
      <c r="ZG54" s="25"/>
      <c r="ZO54" s="25"/>
      <c r="ZP54" s="25"/>
      <c r="ZQ54" s="25"/>
      <c r="ZR54" s="25"/>
      <c r="ZS54" s="25"/>
      <c r="ZT54" s="25"/>
      <c r="ZU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S54" s="25"/>
      <c r="ACT54" s="25"/>
      <c r="ACU54" s="25"/>
      <c r="ACV54" s="25"/>
      <c r="ACW54" s="25"/>
      <c r="ACX54" s="25"/>
      <c r="ACY54" s="25"/>
      <c r="ACZ54" s="25"/>
      <c r="ADA54" s="25"/>
      <c r="ADB54" s="25"/>
      <c r="ADC54" s="25"/>
      <c r="ADD54" s="25"/>
      <c r="ADE54" s="25"/>
      <c r="ADF54" s="25"/>
      <c r="ADN54" s="25"/>
      <c r="ADO54" s="25"/>
      <c r="ADP54" s="25"/>
      <c r="ADQ54" s="25"/>
      <c r="ADR54" s="25"/>
      <c r="ADS54" s="25"/>
      <c r="ADT54" s="25"/>
      <c r="ADU54" s="25"/>
      <c r="ADV54" s="25"/>
      <c r="ADW54" s="25"/>
      <c r="ADX54" s="25"/>
      <c r="ADY54" s="25"/>
      <c r="ADZ54" s="25"/>
      <c r="AEA54" s="25"/>
      <c r="AEI54" s="25"/>
      <c r="AEJ54" s="25"/>
      <c r="AEK54" s="25"/>
      <c r="AEL54" s="25"/>
      <c r="AEM54" s="25"/>
      <c r="AEN54" s="25"/>
      <c r="AEO54" s="25"/>
      <c r="AEP54" s="25"/>
      <c r="AEQ54" s="25"/>
      <c r="AER54" s="25"/>
      <c r="AES54" s="25"/>
      <c r="AET54" s="25"/>
      <c r="AEU54" s="25"/>
      <c r="AEV54" s="25"/>
      <c r="AFD54" s="25"/>
      <c r="AFE54" s="25"/>
      <c r="AFF54" s="25"/>
      <c r="AFG54" s="25"/>
      <c r="AFH54" s="25"/>
      <c r="AFI54" s="25"/>
      <c r="AFJ54" s="25"/>
      <c r="AFK54" s="25"/>
      <c r="AFL54" s="25"/>
      <c r="AFM54" s="25"/>
      <c r="AFN54" s="25"/>
      <c r="AFO54" s="25"/>
      <c r="AFP54" s="25"/>
      <c r="AFQ54" s="25"/>
      <c r="AFU54" s="25">
        <v>1</v>
      </c>
      <c r="AFV54" s="25" t="s">
        <v>3971</v>
      </c>
      <c r="AFX54" s="56">
        <v>1500</v>
      </c>
      <c r="AFY54" s="56">
        <v>3000</v>
      </c>
      <c r="AGD54" s="25" t="s">
        <v>8260</v>
      </c>
      <c r="AGI54" s="25" t="s">
        <v>8248</v>
      </c>
      <c r="AGV54" s="25" t="s">
        <v>8249</v>
      </c>
      <c r="AJI54" s="25" t="s">
        <v>25</v>
      </c>
      <c r="AJJ54" s="25" t="s">
        <v>28</v>
      </c>
      <c r="AJK54" s="25" t="s">
        <v>25</v>
      </c>
      <c r="AJL54" s="25" t="s">
        <v>25</v>
      </c>
      <c r="AJN54" s="25" t="s">
        <v>13417</v>
      </c>
      <c r="AJO54" s="25" t="s">
        <v>8404</v>
      </c>
      <c r="AJP54" s="56">
        <v>20</v>
      </c>
      <c r="AJQ54" s="56">
        <v>20</v>
      </c>
      <c r="AJR54" s="56">
        <v>20</v>
      </c>
      <c r="AJS54" s="56">
        <v>100</v>
      </c>
      <c r="AJT54" s="56">
        <v>20</v>
      </c>
      <c r="AKG54" s="56">
        <v>100</v>
      </c>
      <c r="AKR54" s="25" t="s">
        <v>8250</v>
      </c>
      <c r="AKS54" s="25" t="s">
        <v>8250</v>
      </c>
      <c r="AKT54" s="25" t="s">
        <v>8250</v>
      </c>
      <c r="AKU54" s="25" t="s">
        <v>8250</v>
      </c>
      <c r="AKV54" s="25" t="s">
        <v>8250</v>
      </c>
      <c r="AKW54" s="25" t="s">
        <v>8250</v>
      </c>
      <c r="AKY54" s="25" t="s">
        <v>25</v>
      </c>
      <c r="AKZ54" s="25" t="s">
        <v>25</v>
      </c>
      <c r="ALA54" s="25" t="s">
        <v>25</v>
      </c>
      <c r="ALF54" s="25" t="s">
        <v>13810</v>
      </c>
      <c r="ALG54" s="25" t="s">
        <v>13810</v>
      </c>
      <c r="ALH54" s="25" t="s">
        <v>13810</v>
      </c>
      <c r="ALI54" s="25" t="s">
        <v>8252</v>
      </c>
      <c r="ALJ54" s="25" t="s">
        <v>13810</v>
      </c>
      <c r="ALK54" s="25" t="s">
        <v>13810</v>
      </c>
      <c r="ALL54" s="25" t="s">
        <v>13810</v>
      </c>
      <c r="ALM54" s="25" t="s">
        <v>8252</v>
      </c>
      <c r="ALN54" s="25" t="s">
        <v>631</v>
      </c>
      <c r="ALO54" s="25" t="s">
        <v>631</v>
      </c>
      <c r="ALP54" s="25" t="s">
        <v>8317</v>
      </c>
      <c r="ALQ54" s="25" t="s">
        <v>8317</v>
      </c>
      <c r="ALR54" s="25" t="s">
        <v>8317</v>
      </c>
      <c r="ALS54" s="25" t="s">
        <v>13453</v>
      </c>
      <c r="ALT54" s="25" t="s">
        <v>8424</v>
      </c>
      <c r="ALU54" s="25" t="s">
        <v>8424</v>
      </c>
      <c r="ALV54" s="25" t="s">
        <v>8424</v>
      </c>
      <c r="ALW54" s="25" t="s">
        <v>8253</v>
      </c>
      <c r="ALY54" s="56">
        <v>15</v>
      </c>
      <c r="AMA54" s="56">
        <v>30</v>
      </c>
      <c r="AMC54" s="56">
        <v>30</v>
      </c>
      <c r="AME54" s="56">
        <v>60</v>
      </c>
      <c r="AMS54" s="56">
        <v>30</v>
      </c>
      <c r="AMU54" s="56">
        <v>60</v>
      </c>
      <c r="AQG54" s="25" t="s">
        <v>8255</v>
      </c>
      <c r="AQH54" s="25" t="s">
        <v>8256</v>
      </c>
      <c r="AQI54" s="25" t="s">
        <v>8263</v>
      </c>
      <c r="AQJ54" s="25">
        <v>0</v>
      </c>
      <c r="AQM54" s="25"/>
      <c r="AQN54" s="25"/>
      <c r="AQO54" s="25"/>
      <c r="AQP54" s="25"/>
      <c r="AQQ54" s="25"/>
      <c r="AQR54" s="25"/>
      <c r="AQT54" s="25"/>
      <c r="AQU54" s="25"/>
      <c r="AQV54" s="25"/>
      <c r="AQW54" s="25"/>
      <c r="AUE54" s="25"/>
      <c r="AUF54" s="25"/>
      <c r="AUG54" s="25"/>
      <c r="AUH54" s="25"/>
      <c r="AUI54" s="25"/>
      <c r="AUJ54" s="25"/>
      <c r="AUK54" s="25"/>
      <c r="AUS54" s="25"/>
      <c r="AUT54" s="25"/>
      <c r="AUU54" s="25"/>
      <c r="AUV54" s="25"/>
      <c r="AUW54" s="25"/>
      <c r="AUX54" s="25"/>
      <c r="AUY54" s="25"/>
      <c r="AWN54" s="25"/>
      <c r="AWO54" s="25"/>
      <c r="AWP54" s="25"/>
      <c r="AWQ54" s="25"/>
      <c r="AWR54" s="25"/>
      <c r="AWS54" s="25"/>
      <c r="AWT54" s="25"/>
      <c r="AWU54" s="25"/>
      <c r="AWV54" s="25"/>
      <c r="AWW54" s="25"/>
      <c r="AWX54" s="25"/>
      <c r="AWY54" s="25"/>
      <c r="AWZ54" s="25"/>
      <c r="AXA54" s="25"/>
      <c r="AXB54" s="25"/>
      <c r="AXC54" s="25"/>
      <c r="AXD54" s="25"/>
      <c r="AXE54" s="25"/>
      <c r="AXF54" s="25"/>
      <c r="AXG54" s="25"/>
      <c r="AXH54" s="25"/>
      <c r="AXI54" s="25"/>
      <c r="AXJ54" s="25"/>
      <c r="AXK54" s="25"/>
      <c r="AXL54" s="25"/>
      <c r="AXM54" s="25"/>
      <c r="AXN54" s="25"/>
      <c r="AXO54" s="25"/>
      <c r="AXW54" s="25"/>
      <c r="AXX54" s="25"/>
      <c r="AXY54" s="25"/>
      <c r="AXZ54" s="25"/>
      <c r="AYA54" s="25"/>
      <c r="AYB54" s="25"/>
      <c r="AYC54" s="25"/>
      <c r="AYD54" s="25"/>
      <c r="AYE54" s="25"/>
      <c r="AYF54" s="25"/>
      <c r="AYG54" s="25"/>
      <c r="AYH54" s="25"/>
      <c r="AYI54" s="25"/>
      <c r="AYJ54" s="25"/>
      <c r="AZM54" s="25"/>
      <c r="AZN54" s="25"/>
      <c r="AZO54" s="25"/>
      <c r="AZP54" s="25"/>
      <c r="AZQ54" s="25"/>
      <c r="AZR54" s="25"/>
      <c r="AZS54" s="25"/>
      <c r="AZT54" s="25"/>
      <c r="AZU54" s="25"/>
      <c r="AZV54" s="25"/>
      <c r="AZW54" s="25"/>
      <c r="AZX54" s="25"/>
      <c r="AZY54" s="25"/>
      <c r="AZZ54" s="25"/>
      <c r="BAR54" s="25"/>
      <c r="BAS54" s="25"/>
      <c r="BAT54" s="25"/>
      <c r="BAU54" s="25"/>
      <c r="BAY54" s="25">
        <v>0</v>
      </c>
      <c r="BBB54" s="25"/>
      <c r="BBC54" s="25"/>
      <c r="BBD54" s="25"/>
      <c r="BBE54" s="25"/>
      <c r="BBF54" s="25"/>
      <c r="BBG54" s="25"/>
      <c r="BBI54" s="25"/>
      <c r="BBJ54" s="25"/>
      <c r="BBK54" s="25"/>
      <c r="BBL54" s="25"/>
      <c r="BET54" s="25"/>
      <c r="BEU54" s="25"/>
      <c r="BEV54" s="25"/>
      <c r="BEW54" s="25"/>
      <c r="BEX54" s="25"/>
      <c r="BEY54" s="25"/>
      <c r="BEZ54" s="25"/>
      <c r="BFH54" s="25"/>
      <c r="BFI54" s="25"/>
      <c r="BFJ54" s="25"/>
      <c r="BFK54" s="25"/>
      <c r="BFL54" s="25"/>
      <c r="BFM54" s="25"/>
      <c r="BFN54" s="25"/>
      <c r="BHC54" s="25"/>
      <c r="BHD54" s="25"/>
      <c r="BHE54" s="25"/>
      <c r="BHF54" s="25"/>
      <c r="BHG54" s="25"/>
      <c r="BHH54" s="25"/>
      <c r="BHI54" s="25"/>
      <c r="BHJ54" s="25"/>
      <c r="BHK54" s="25"/>
      <c r="BHL54" s="25"/>
      <c r="BHM54" s="25"/>
      <c r="BHN54" s="25"/>
      <c r="BHO54" s="25"/>
      <c r="BHP54" s="25"/>
      <c r="BHQ54" s="25"/>
      <c r="BHR54" s="25"/>
      <c r="BHS54" s="25"/>
      <c r="BHT54" s="25"/>
      <c r="BHU54" s="25"/>
      <c r="BHV54" s="25"/>
      <c r="BHW54" s="25"/>
      <c r="BHX54" s="25"/>
      <c r="BHY54" s="25"/>
      <c r="BHZ54" s="25"/>
      <c r="BIA54" s="25"/>
      <c r="BIB54" s="25"/>
      <c r="BIC54" s="25"/>
      <c r="BID54" s="25"/>
      <c r="BIL54" s="25"/>
      <c r="BIM54" s="25"/>
      <c r="BIN54" s="25"/>
      <c r="BIO54" s="25"/>
      <c r="BIP54" s="25"/>
      <c r="BIQ54" s="25"/>
      <c r="BIR54" s="25"/>
      <c r="BIS54" s="25"/>
      <c r="BIT54" s="25"/>
      <c r="BIU54" s="25"/>
      <c r="BIV54" s="25"/>
      <c r="BIW54" s="25"/>
      <c r="BIX54" s="25"/>
      <c r="BIY54" s="25"/>
      <c r="BJG54" s="25"/>
      <c r="BJH54" s="25"/>
      <c r="BJI54" s="25"/>
      <c r="BJJ54" s="25"/>
      <c r="BJK54" s="25"/>
      <c r="BJL54" s="25"/>
      <c r="BJM54" s="25"/>
      <c r="BJN54" s="25"/>
      <c r="BJO54" s="25"/>
      <c r="BJP54" s="25"/>
      <c r="BJQ54" s="25"/>
      <c r="BJR54" s="25"/>
      <c r="BJS54" s="25"/>
      <c r="BJT54" s="25"/>
      <c r="BKB54" s="25"/>
      <c r="BKC54" s="25"/>
      <c r="BKD54" s="25"/>
      <c r="BKE54" s="25"/>
      <c r="BKF54" s="25"/>
      <c r="BKG54" s="25"/>
      <c r="BKH54" s="25"/>
      <c r="BKI54" s="25"/>
      <c r="BKJ54" s="25"/>
      <c r="BKK54" s="25"/>
      <c r="BKL54" s="25"/>
      <c r="BKM54" s="25"/>
      <c r="BKN54" s="25"/>
      <c r="BKO54" s="25"/>
      <c r="BKW54" s="25"/>
      <c r="BKX54" s="25"/>
      <c r="BKY54" s="25"/>
      <c r="BKZ54" s="25"/>
      <c r="BLA54" s="25"/>
      <c r="BLB54" s="25"/>
      <c r="BLC54" s="25"/>
      <c r="BLD54" s="25"/>
      <c r="BLE54" s="25"/>
      <c r="BLF54" s="25"/>
      <c r="BLG54" s="25"/>
      <c r="BLH54" s="25"/>
      <c r="BLI54" s="25"/>
      <c r="BLJ54" s="25"/>
      <c r="BLN54" s="25">
        <v>0</v>
      </c>
      <c r="BLQ54" s="25"/>
      <c r="BLR54" s="25"/>
      <c r="BLS54" s="25"/>
      <c r="BLT54" s="25"/>
      <c r="BLU54" s="25"/>
      <c r="BLV54" s="25"/>
      <c r="BLX54" s="25"/>
      <c r="BLY54" s="25"/>
      <c r="BLZ54" s="25"/>
      <c r="BMA54" s="25"/>
      <c r="BPI54" s="25"/>
      <c r="BPJ54" s="25"/>
      <c r="BPK54" s="25"/>
      <c r="BPL54" s="25"/>
      <c r="BPM54" s="25"/>
      <c r="BPN54" s="25"/>
      <c r="BPO54" s="25"/>
      <c r="BPW54" s="25"/>
      <c r="BPX54" s="25"/>
      <c r="BPY54" s="25"/>
      <c r="BPZ54" s="25"/>
      <c r="BQA54" s="25"/>
      <c r="BQB54" s="25"/>
      <c r="BQC54" s="25"/>
      <c r="BRR54" s="25"/>
      <c r="BRS54" s="25"/>
      <c r="BRT54" s="25"/>
      <c r="BRU54" s="25"/>
      <c r="BRV54" s="25"/>
      <c r="BRW54" s="25"/>
      <c r="BRX54" s="25"/>
      <c r="BRY54" s="25"/>
      <c r="BRZ54" s="25"/>
      <c r="BSA54" s="25"/>
      <c r="BSB54" s="25"/>
      <c r="BSC54" s="25"/>
      <c r="BSD54" s="25"/>
      <c r="BSE54" s="25"/>
      <c r="BSF54" s="25"/>
      <c r="BSG54" s="25"/>
      <c r="BSH54" s="25"/>
      <c r="BSI54" s="25"/>
      <c r="BSJ54" s="25"/>
      <c r="BSK54" s="25"/>
      <c r="BSL54" s="25"/>
      <c r="BSM54" s="25"/>
      <c r="BSN54" s="25"/>
      <c r="BSO54" s="25"/>
      <c r="BSP54" s="25"/>
      <c r="BSQ54" s="25"/>
      <c r="BSR54" s="25"/>
      <c r="BSS54" s="25"/>
      <c r="BTA54" s="25"/>
      <c r="BTB54" s="25"/>
      <c r="BTC54" s="25"/>
      <c r="BTD54" s="25"/>
      <c r="BTE54" s="25"/>
      <c r="BTF54" s="25"/>
      <c r="BTG54" s="25"/>
      <c r="BTH54" s="25"/>
      <c r="BTI54" s="25"/>
      <c r="BTJ54" s="25"/>
      <c r="BTK54" s="25"/>
      <c r="BTL54" s="25"/>
      <c r="BTM54" s="25"/>
      <c r="BTN54" s="25"/>
      <c r="BUQ54" s="25"/>
      <c r="BUR54" s="25"/>
      <c r="BUS54" s="25"/>
      <c r="BUT54" s="25"/>
      <c r="BUU54" s="25"/>
      <c r="BUV54" s="25"/>
      <c r="BUW54" s="25"/>
      <c r="BUX54" s="25"/>
      <c r="BUY54" s="25"/>
      <c r="BUZ54" s="25"/>
      <c r="BVA54" s="25"/>
      <c r="BVB54" s="25"/>
      <c r="BVC54" s="25"/>
      <c r="BVD54" s="25"/>
      <c r="BWC54" s="25" t="s">
        <v>28</v>
      </c>
      <c r="BWD54" s="25" t="s">
        <v>8265</v>
      </c>
      <c r="BWE54" s="25" t="s">
        <v>8357</v>
      </c>
      <c r="BWF54" s="25" t="s">
        <v>8533</v>
      </c>
      <c r="BWG54" s="25" t="s">
        <v>25</v>
      </c>
      <c r="BWH54" s="25" t="s">
        <v>2169</v>
      </c>
      <c r="BWI54" s="25" t="s">
        <v>28</v>
      </c>
      <c r="BWJ54" s="25" t="s">
        <v>8512</v>
      </c>
      <c r="BWK54" s="25" t="s">
        <v>25</v>
      </c>
      <c r="BWM54" s="25" t="s">
        <v>25</v>
      </c>
      <c r="BWO54" s="25" t="s">
        <v>25</v>
      </c>
      <c r="BWQ54" s="25" t="s">
        <v>25</v>
      </c>
      <c r="BWX54" s="25" t="s">
        <v>28</v>
      </c>
      <c r="BWY54" s="25" t="s">
        <v>8387</v>
      </c>
      <c r="BWZ54" s="25" t="s">
        <v>28</v>
      </c>
      <c r="BXA54" s="56">
        <v>60</v>
      </c>
      <c r="BXB54" s="25" t="s">
        <v>28</v>
      </c>
      <c r="BXC54" s="56">
        <v>60</v>
      </c>
      <c r="BXD54" s="25" t="s">
        <v>28</v>
      </c>
      <c r="BXE54" s="25" t="s">
        <v>8358</v>
      </c>
      <c r="BXF54" s="25" t="s">
        <v>25</v>
      </c>
      <c r="BXH54" s="25" t="s">
        <v>25</v>
      </c>
      <c r="BXJ54" s="25" t="s">
        <v>25</v>
      </c>
      <c r="BXM54" s="25" t="s">
        <v>2201</v>
      </c>
      <c r="BXN54" s="25" t="s">
        <v>8332</v>
      </c>
      <c r="BXO54" s="25" t="s">
        <v>8361</v>
      </c>
      <c r="BXP54" s="25" t="s">
        <v>8361</v>
      </c>
      <c r="BXQ54" s="25" t="s">
        <v>8273</v>
      </c>
      <c r="BXR54" s="25" t="s">
        <v>8361</v>
      </c>
      <c r="BXS54" s="25" t="s">
        <v>8361</v>
      </c>
      <c r="BXU54" s="25" t="s">
        <v>28</v>
      </c>
      <c r="BXW54" s="25" t="s">
        <v>28</v>
      </c>
      <c r="BXX54" s="25" t="s">
        <v>28</v>
      </c>
      <c r="BXY54" s="25" t="s">
        <v>28</v>
      </c>
      <c r="BXZ54" s="25" t="s">
        <v>25</v>
      </c>
      <c r="BYA54" s="25" t="s">
        <v>25</v>
      </c>
      <c r="BYB54" s="25" t="s">
        <v>25</v>
      </c>
      <c r="BYC54" s="25" t="s">
        <v>8276</v>
      </c>
      <c r="BYD54" s="25" t="s">
        <v>28</v>
      </c>
      <c r="BYE54" s="25" t="s">
        <v>13612</v>
      </c>
      <c r="BYF54" s="25" t="s">
        <v>8437</v>
      </c>
      <c r="BYH54" s="25" t="s">
        <v>8363</v>
      </c>
      <c r="BYK54" s="25" t="s">
        <v>28</v>
      </c>
      <c r="BYL54" s="25" t="s">
        <v>28</v>
      </c>
      <c r="BYM54" s="25">
        <v>60</v>
      </c>
      <c r="BYN54" s="25" t="s">
        <v>28</v>
      </c>
      <c r="BYO54" s="25">
        <v>60</v>
      </c>
      <c r="BYP54" s="25" t="s">
        <v>28</v>
      </c>
      <c r="BYQ54" s="25">
        <v>60</v>
      </c>
      <c r="BYR54" s="25" t="s">
        <v>28</v>
      </c>
      <c r="BYS54" s="25" t="s">
        <v>8279</v>
      </c>
      <c r="BYT54" s="25" t="s">
        <v>732</v>
      </c>
      <c r="BYU54" s="25" t="s">
        <v>732</v>
      </c>
      <c r="BYV54" s="25" t="s">
        <v>25</v>
      </c>
      <c r="BYW54" s="25" t="s">
        <v>25</v>
      </c>
      <c r="BZG54" s="25" t="s">
        <v>25</v>
      </c>
      <c r="BZJ54" s="25" t="s">
        <v>25</v>
      </c>
      <c r="BZM54" s="25" t="s">
        <v>28</v>
      </c>
      <c r="BZN54" s="25" t="s">
        <v>8283</v>
      </c>
      <c r="BZP54" s="25" t="s">
        <v>8366</v>
      </c>
      <c r="BZQ54" s="56">
        <v>2000</v>
      </c>
      <c r="BZR54" s="25" t="s">
        <v>607</v>
      </c>
      <c r="BZS54" s="25" t="s">
        <v>25</v>
      </c>
      <c r="BZT54" s="25" t="s">
        <v>8337</v>
      </c>
      <c r="BZV54" s="25" t="s">
        <v>8367</v>
      </c>
      <c r="BZX54" s="25" t="s">
        <v>8393</v>
      </c>
      <c r="BZZ54" s="25" t="s">
        <v>25</v>
      </c>
      <c r="CAC54" s="25" t="s">
        <v>28</v>
      </c>
      <c r="CAD54" s="25" t="s">
        <v>8288</v>
      </c>
      <c r="CAE54" s="25" t="s">
        <v>28</v>
      </c>
      <c r="CAF54" s="25" t="s">
        <v>8289</v>
      </c>
      <c r="CAG54" s="25" t="s">
        <v>25</v>
      </c>
      <c r="CAH54" s="25" t="s">
        <v>631</v>
      </c>
      <c r="CAI54" s="25" t="s">
        <v>631</v>
      </c>
      <c r="CAJ54" s="25" t="s">
        <v>631</v>
      </c>
      <c r="CAK54" s="25" t="s">
        <v>631</v>
      </c>
      <c r="CAL54" s="25" t="s">
        <v>631</v>
      </c>
      <c r="CAM54" s="25" t="s">
        <v>8290</v>
      </c>
      <c r="CAN54" s="25" t="s">
        <v>631</v>
      </c>
      <c r="CAO54" s="25" t="s">
        <v>631</v>
      </c>
      <c r="CAP54" s="25" t="s">
        <v>631</v>
      </c>
      <c r="CAQ54" s="25" t="s">
        <v>631</v>
      </c>
      <c r="CAR54" s="25" t="s">
        <v>8339</v>
      </c>
      <c r="CAT54" s="25" t="s">
        <v>28</v>
      </c>
      <c r="CAU54" s="25" t="s">
        <v>8760</v>
      </c>
      <c r="CBB54" s="25">
        <v>1</v>
      </c>
      <c r="CBC54" s="25">
        <v>0</v>
      </c>
      <c r="CBD54" s="25">
        <v>0</v>
      </c>
      <c r="CBE54" s="56">
        <v>50</v>
      </c>
      <c r="CBF54" s="56">
        <v>150</v>
      </c>
      <c r="CBG54" s="56">
        <v>50</v>
      </c>
      <c r="CBH54" s="56">
        <v>150</v>
      </c>
      <c r="CBI54" s="56">
        <v>2000</v>
      </c>
      <c r="CBK54" s="56">
        <v>2000</v>
      </c>
      <c r="CBM54" s="26">
        <v>0</v>
      </c>
      <c r="CBN54" s="26">
        <v>0</v>
      </c>
      <c r="CBO54" s="26">
        <v>0.1</v>
      </c>
      <c r="CBP54" s="26">
        <v>0.2</v>
      </c>
      <c r="CBQ54" s="26">
        <v>0.35</v>
      </c>
      <c r="CBR54" s="26">
        <v>0.5</v>
      </c>
      <c r="CBS54" s="26">
        <v>0.5</v>
      </c>
      <c r="CBT54" s="26">
        <v>0.5</v>
      </c>
      <c r="CBU54" s="27" t="s">
        <v>28</v>
      </c>
      <c r="CBV54" s="27" t="s">
        <v>8761</v>
      </c>
      <c r="CBW54" s="27" t="s">
        <v>8294</v>
      </c>
      <c r="CBX54" s="27" t="s">
        <v>8343</v>
      </c>
      <c r="CBY54" s="27" t="s">
        <v>8296</v>
      </c>
      <c r="CBZ54" s="27" t="s">
        <v>8296</v>
      </c>
      <c r="CCA54" s="27" t="s">
        <v>8297</v>
      </c>
      <c r="CCB54" s="27" t="s">
        <v>8298</v>
      </c>
      <c r="CCC54" s="27" t="s">
        <v>8298</v>
      </c>
      <c r="CCD54" s="27" t="s">
        <v>8297</v>
      </c>
      <c r="CCE54" s="27" t="s">
        <v>8296</v>
      </c>
      <c r="CCF54" s="27" t="s">
        <v>8296</v>
      </c>
      <c r="CCG54" s="27" t="s">
        <v>8296</v>
      </c>
      <c r="CCH54" s="27" t="s">
        <v>8298</v>
      </c>
      <c r="CCI54" s="27" t="s">
        <v>8298</v>
      </c>
      <c r="CCJ54" s="27" t="s">
        <v>8298</v>
      </c>
      <c r="CCK54" s="27" t="s">
        <v>8297</v>
      </c>
      <c r="CCL54" s="27" t="s">
        <v>8297</v>
      </c>
      <c r="CCN54" s="27" t="s">
        <v>8296</v>
      </c>
      <c r="CCO54" s="27" t="s">
        <v>8300</v>
      </c>
      <c r="CCP54" s="27" t="s">
        <v>8296</v>
      </c>
      <c r="CCQ54" s="27" t="s">
        <v>8298</v>
      </c>
      <c r="CCR54" s="27" t="s">
        <v>8296</v>
      </c>
      <c r="CCS54" s="27" t="s">
        <v>8298</v>
      </c>
      <c r="CCT54" s="27" t="s">
        <v>8296</v>
      </c>
      <c r="CCU54" s="27" t="s">
        <v>8298</v>
      </c>
      <c r="CCV54" s="27" t="s">
        <v>8298</v>
      </c>
      <c r="CCW54" s="27" t="s">
        <v>8298</v>
      </c>
      <c r="CCX54" s="27" t="s">
        <v>8298</v>
      </c>
      <c r="CCY54" s="27" t="s">
        <v>8298</v>
      </c>
      <c r="CCZ54" s="27" t="s">
        <v>28</v>
      </c>
      <c r="CDA54" s="27" t="s">
        <v>28</v>
      </c>
      <c r="CDB54" s="27" t="s">
        <v>28</v>
      </c>
      <c r="CDC54" s="27" t="s">
        <v>25</v>
      </c>
      <c r="CDD54" s="27" t="s">
        <v>28</v>
      </c>
      <c r="CDE54" s="27" t="s">
        <v>28</v>
      </c>
      <c r="CDF54" s="27" t="s">
        <v>28</v>
      </c>
      <c r="CDG54" s="27" t="s">
        <v>28</v>
      </c>
      <c r="CDH54" s="27" t="s">
        <v>28</v>
      </c>
      <c r="CDI54" s="27" t="s">
        <v>28</v>
      </c>
      <c r="CDJ54" s="27" t="s">
        <v>25</v>
      </c>
      <c r="CDK54" s="27" t="s">
        <v>25</v>
      </c>
      <c r="CDL54" s="27" t="s">
        <v>28</v>
      </c>
      <c r="CDM54" s="27" t="s">
        <v>28</v>
      </c>
      <c r="CDO54" s="27" t="s">
        <v>28</v>
      </c>
      <c r="CDP54" s="27" t="s">
        <v>28</v>
      </c>
      <c r="CDQ54" s="27" t="s">
        <v>28</v>
      </c>
      <c r="CDR54" s="27" t="s">
        <v>28</v>
      </c>
      <c r="CDS54" s="27" t="s">
        <v>28</v>
      </c>
      <c r="CDT54" s="27" t="s">
        <v>25</v>
      </c>
      <c r="CDU54" s="27" t="s">
        <v>28</v>
      </c>
      <c r="CDV54" s="27" t="s">
        <v>25</v>
      </c>
      <c r="CDW54" s="27" t="s">
        <v>25</v>
      </c>
      <c r="CDX54" s="27" t="s">
        <v>25</v>
      </c>
      <c r="CDY54" s="27" t="s">
        <v>25</v>
      </c>
      <c r="CDZ54" s="27" t="s">
        <v>25</v>
      </c>
      <c r="CEA54" s="27" t="s">
        <v>8305</v>
      </c>
      <c r="CEB54" s="27" t="s">
        <v>2673</v>
      </c>
      <c r="CEC54" s="27" t="s">
        <v>8305</v>
      </c>
      <c r="CED54" s="27" t="s">
        <v>8302</v>
      </c>
      <c r="CEE54" s="27" t="s">
        <v>8305</v>
      </c>
      <c r="CEF54" s="27" t="s">
        <v>8305</v>
      </c>
      <c r="CEG54" s="27" t="s">
        <v>8302</v>
      </c>
      <c r="CEH54" s="27" t="s">
        <v>8305</v>
      </c>
      <c r="CEI54" s="27" t="s">
        <v>8302</v>
      </c>
      <c r="CEJ54" s="27" t="s">
        <v>8302</v>
      </c>
      <c r="CEK54" s="27" t="s">
        <v>8302</v>
      </c>
      <c r="CEL54" s="27" t="s">
        <v>8303</v>
      </c>
      <c r="CEM54" s="27" t="s">
        <v>8301</v>
      </c>
      <c r="CEN54" s="27" t="s">
        <v>8301</v>
      </c>
      <c r="CEP54" s="27" t="s">
        <v>8304</v>
      </c>
      <c r="CEQ54" s="27" t="s">
        <v>8304</v>
      </c>
      <c r="CER54" s="27" t="s">
        <v>8305</v>
      </c>
      <c r="CES54" s="27" t="s">
        <v>8306</v>
      </c>
      <c r="CET54" s="27" t="s">
        <v>8305</v>
      </c>
      <c r="CEU54" s="27" t="s">
        <v>8304</v>
      </c>
      <c r="CEV54" s="27" t="s">
        <v>2673</v>
      </c>
      <c r="CEW54" s="27" t="s">
        <v>8306</v>
      </c>
      <c r="CEX54" s="27" t="s">
        <v>8303</v>
      </c>
      <c r="CEY54" s="27" t="s">
        <v>8303</v>
      </c>
      <c r="CEZ54" s="27" t="s">
        <v>8306</v>
      </c>
      <c r="CFA54" s="27" t="s">
        <v>29</v>
      </c>
      <c r="CFB54" s="27" t="s">
        <v>25</v>
      </c>
      <c r="CFC54" s="27" t="s">
        <v>25</v>
      </c>
      <c r="CFD54" s="27" t="s">
        <v>28</v>
      </c>
      <c r="CFE54" s="27" t="s">
        <v>25</v>
      </c>
      <c r="CFF54" s="27" t="s">
        <v>25</v>
      </c>
      <c r="CFG54" s="27" t="s">
        <v>28</v>
      </c>
      <c r="CFH54" s="27" t="s">
        <v>28</v>
      </c>
      <c r="CFI54" s="27" t="s">
        <v>28</v>
      </c>
      <c r="CFJ54" s="27" t="s">
        <v>28</v>
      </c>
      <c r="CFK54" s="27" t="s">
        <v>25</v>
      </c>
      <c r="CFL54" s="27" t="s">
        <v>25</v>
      </c>
      <c r="CFM54" s="27" t="s">
        <v>28</v>
      </c>
      <c r="CFN54" s="27" t="s">
        <v>28</v>
      </c>
      <c r="CFO54" s="27" t="s">
        <v>28</v>
      </c>
      <c r="CFQ54" s="27" t="s">
        <v>28</v>
      </c>
      <c r="CFR54" s="27" t="s">
        <v>28</v>
      </c>
      <c r="CFS54" s="27" t="s">
        <v>25</v>
      </c>
      <c r="CFT54" s="27" t="s">
        <v>25</v>
      </c>
      <c r="CFU54" s="27" t="s">
        <v>28</v>
      </c>
      <c r="CFV54" s="27" t="s">
        <v>28</v>
      </c>
      <c r="CFW54" s="27" t="s">
        <v>25</v>
      </c>
      <c r="CFX54" s="27" t="s">
        <v>28</v>
      </c>
      <c r="CFY54" s="27" t="s">
        <v>28</v>
      </c>
      <c r="CFZ54" s="27" t="s">
        <v>25</v>
      </c>
      <c r="CGA54" s="27" t="s">
        <v>25</v>
      </c>
      <c r="CGB54" s="27" t="s">
        <v>25</v>
      </c>
      <c r="CPW54" s="27">
        <v>1</v>
      </c>
      <c r="CPX54" s="56">
        <v>10</v>
      </c>
      <c r="CPZ54" s="56">
        <v>10</v>
      </c>
      <c r="CQB54" s="25" t="s">
        <v>8372</v>
      </c>
      <c r="CQC54" s="25" t="s">
        <v>8372</v>
      </c>
      <c r="CQD54" s="25" t="s">
        <v>8372</v>
      </c>
      <c r="CQE54" s="25" t="s">
        <v>8372</v>
      </c>
      <c r="CQF54" s="25" t="s">
        <v>8372</v>
      </c>
      <c r="CQG54" s="56">
        <v>150</v>
      </c>
      <c r="CQH54" s="56">
        <v>150</v>
      </c>
      <c r="CQI54" s="56">
        <v>150</v>
      </c>
      <c r="CQJ54" s="56">
        <v>150</v>
      </c>
      <c r="CQK54" s="56">
        <v>150</v>
      </c>
      <c r="CQL54" s="25" t="s">
        <v>13685</v>
      </c>
      <c r="CQM54" s="25" t="s">
        <v>8308</v>
      </c>
      <c r="CQN54" s="25" t="s">
        <v>28</v>
      </c>
      <c r="CQO54" s="25" t="s">
        <v>8309</v>
      </c>
      <c r="CQQ54" s="25" t="s">
        <v>8762</v>
      </c>
      <c r="CQR54" s="25" t="s">
        <v>8763</v>
      </c>
      <c r="CQS54" s="25" t="s">
        <v>25</v>
      </c>
      <c r="CQT54" s="25" t="s">
        <v>8314</v>
      </c>
      <c r="CQU54" s="25" t="s">
        <v>8312</v>
      </c>
      <c r="CQV54" s="25" t="s">
        <v>8312</v>
      </c>
      <c r="CQW54" s="25" t="s">
        <v>8312</v>
      </c>
      <c r="CQX54" s="25" t="s">
        <v>8312</v>
      </c>
      <c r="CQY54" s="25" t="s">
        <v>8312</v>
      </c>
      <c r="CQZ54" s="25" t="s">
        <v>8312</v>
      </c>
      <c r="CRA54" s="25" t="s">
        <v>8314</v>
      </c>
      <c r="CRB54" s="25" t="s">
        <v>8312</v>
      </c>
      <c r="CRC54" s="25" t="s">
        <v>8314</v>
      </c>
      <c r="CRD54" s="25" t="s">
        <v>8314</v>
      </c>
      <c r="CRE54" s="27" t="s">
        <v>8314</v>
      </c>
    </row>
    <row r="55" spans="1:2048 2050:2501" ht="63.75" x14ac:dyDescent="0.2">
      <c r="A55" s="21" t="s">
        <v>172</v>
      </c>
      <c r="B55" s="26">
        <v>0</v>
      </c>
      <c r="C55" s="26">
        <v>0</v>
      </c>
      <c r="D55" s="26">
        <v>0.28999999999999998</v>
      </c>
      <c r="E55" s="26">
        <v>0</v>
      </c>
      <c r="F55" s="26">
        <v>0</v>
      </c>
      <c r="G55" s="26">
        <v>0</v>
      </c>
      <c r="H55" s="26">
        <v>0</v>
      </c>
      <c r="I55" s="26">
        <v>0</v>
      </c>
      <c r="J55" s="26">
        <v>0.67</v>
      </c>
      <c r="K55" s="26">
        <v>0</v>
      </c>
      <c r="L55" s="26">
        <v>0</v>
      </c>
      <c r="M55" s="26">
        <v>0.04</v>
      </c>
      <c r="N55" s="26">
        <v>0</v>
      </c>
      <c r="O55" s="26">
        <v>0</v>
      </c>
      <c r="P55" s="26">
        <v>0</v>
      </c>
      <c r="Q55" s="26">
        <v>0</v>
      </c>
      <c r="R55" s="26">
        <v>0</v>
      </c>
      <c r="S55" s="26">
        <v>0</v>
      </c>
      <c r="T55" s="26">
        <v>0</v>
      </c>
      <c r="U55" s="26">
        <v>0</v>
      </c>
      <c r="V55" s="26">
        <v>0</v>
      </c>
      <c r="W55" s="26">
        <v>0</v>
      </c>
      <c r="X55" s="26">
        <v>0</v>
      </c>
      <c r="Y55" s="26">
        <v>1</v>
      </c>
      <c r="Z55" s="25">
        <v>0</v>
      </c>
      <c r="KP55" s="25">
        <v>0</v>
      </c>
      <c r="VF55" s="25">
        <v>0</v>
      </c>
      <c r="VI55" s="25"/>
      <c r="VJ55" s="25"/>
      <c r="VK55" s="25"/>
      <c r="VL55" s="25"/>
      <c r="VM55" s="25"/>
      <c r="VN55" s="25"/>
      <c r="VP55" s="25"/>
      <c r="VQ55" s="25"/>
      <c r="VR55" s="25"/>
      <c r="VS55" s="25"/>
      <c r="ZA55" s="25"/>
      <c r="ZB55" s="25"/>
      <c r="ZC55" s="25"/>
      <c r="ZD55" s="25"/>
      <c r="ZE55" s="25"/>
      <c r="ZF55" s="25"/>
      <c r="ZG55" s="25"/>
      <c r="ZO55" s="25"/>
      <c r="ZP55" s="25"/>
      <c r="ZQ55" s="25"/>
      <c r="ZR55" s="25"/>
      <c r="ZS55" s="25"/>
      <c r="ZT55" s="25"/>
      <c r="ZU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S55" s="25"/>
      <c r="ACT55" s="25"/>
      <c r="ACU55" s="25"/>
      <c r="ACV55" s="25"/>
      <c r="ACW55" s="25"/>
      <c r="ACX55" s="25"/>
      <c r="ACY55" s="25"/>
      <c r="ACZ55" s="25"/>
      <c r="ADA55" s="25"/>
      <c r="ADB55" s="25"/>
      <c r="ADC55" s="25"/>
      <c r="ADD55" s="25"/>
      <c r="ADE55" s="25"/>
      <c r="ADF55" s="25"/>
      <c r="ADN55" s="25"/>
      <c r="ADO55" s="25"/>
      <c r="ADP55" s="25"/>
      <c r="ADQ55" s="25"/>
      <c r="ADR55" s="25"/>
      <c r="ADS55" s="25"/>
      <c r="ADT55" s="25"/>
      <c r="ADU55" s="25"/>
      <c r="ADV55" s="25"/>
      <c r="ADW55" s="25"/>
      <c r="ADX55" s="25"/>
      <c r="ADY55" s="25"/>
      <c r="ADZ55" s="25"/>
      <c r="AEA55" s="25"/>
      <c r="AEI55" s="25"/>
      <c r="AEJ55" s="25"/>
      <c r="AEK55" s="25"/>
      <c r="AEL55" s="25"/>
      <c r="AEM55" s="25"/>
      <c r="AEN55" s="25"/>
      <c r="AEO55" s="25"/>
      <c r="AEP55" s="25"/>
      <c r="AEQ55" s="25"/>
      <c r="AER55" s="25"/>
      <c r="AES55" s="25"/>
      <c r="AET55" s="25"/>
      <c r="AEU55" s="25"/>
      <c r="AEV55" s="25"/>
      <c r="AFD55" s="25"/>
      <c r="AFE55" s="25"/>
      <c r="AFF55" s="25"/>
      <c r="AFG55" s="25"/>
      <c r="AFH55" s="25"/>
      <c r="AFI55" s="25"/>
      <c r="AFJ55" s="25"/>
      <c r="AFK55" s="25"/>
      <c r="AFL55" s="25"/>
      <c r="AFM55" s="25"/>
      <c r="AFN55" s="25"/>
      <c r="AFO55" s="25"/>
      <c r="AFP55" s="25"/>
      <c r="AFQ55" s="25"/>
      <c r="AFU55" s="25">
        <v>0</v>
      </c>
      <c r="AFX55" s="25"/>
      <c r="AFY55" s="25"/>
      <c r="AFZ55" s="25"/>
      <c r="AGA55" s="25"/>
      <c r="AGB55" s="25"/>
      <c r="AGC55" s="25"/>
      <c r="AGE55" s="25"/>
      <c r="AGF55" s="25"/>
      <c r="AGG55" s="25"/>
      <c r="AGH55" s="25"/>
      <c r="AJP55" s="25"/>
      <c r="AJQ55" s="25"/>
      <c r="AJR55" s="25"/>
      <c r="AJS55" s="25"/>
      <c r="AJT55" s="25"/>
      <c r="AJU55" s="25"/>
      <c r="AJV55" s="25"/>
      <c r="AKD55" s="25"/>
      <c r="AKE55" s="25"/>
      <c r="AKF55" s="25"/>
      <c r="AKG55" s="25"/>
      <c r="AKH55" s="25"/>
      <c r="AKI55" s="25"/>
      <c r="AKJ55" s="25"/>
      <c r="ALY55" s="25"/>
      <c r="ALZ55" s="25"/>
      <c r="AMA55" s="25"/>
      <c r="AMB55" s="25"/>
      <c r="AMC55" s="25"/>
      <c r="AMD55" s="25"/>
      <c r="AME55" s="25"/>
      <c r="AMF55" s="25"/>
      <c r="AMG55" s="25"/>
      <c r="AMH55" s="25"/>
      <c r="AMI55" s="25"/>
      <c r="AMJ55" s="25"/>
      <c r="AMK55" s="25"/>
      <c r="AML55" s="25"/>
      <c r="AMM55" s="25"/>
      <c r="AMN55" s="25"/>
      <c r="AMO55" s="25"/>
      <c r="AMP55" s="25"/>
      <c r="AMQ55" s="25"/>
      <c r="AMR55" s="25"/>
      <c r="AMS55" s="25"/>
      <c r="AMT55" s="25"/>
      <c r="AMU55" s="25"/>
      <c r="AMV55" s="25"/>
      <c r="AMW55" s="25"/>
      <c r="AMX55" s="25"/>
      <c r="AMY55" s="25"/>
      <c r="AMZ55" s="25"/>
      <c r="ANH55" s="25"/>
      <c r="ANI55" s="25"/>
      <c r="ANJ55" s="25"/>
      <c r="ANK55" s="25"/>
      <c r="ANL55" s="25"/>
      <c r="ANM55" s="25"/>
      <c r="ANN55" s="25"/>
      <c r="ANO55" s="25"/>
      <c r="ANP55" s="25"/>
      <c r="ANQ55" s="25"/>
      <c r="ANR55" s="25"/>
      <c r="ANS55" s="25"/>
      <c r="ANT55" s="25"/>
      <c r="ANU55" s="25"/>
      <c r="AOC55" s="25"/>
      <c r="AOD55" s="25"/>
      <c r="AOE55" s="25"/>
      <c r="AOF55" s="25"/>
      <c r="AOG55" s="25"/>
      <c r="AOH55" s="25"/>
      <c r="AOI55" s="25"/>
      <c r="AOJ55" s="25"/>
      <c r="AOK55" s="25"/>
      <c r="AOL55" s="25"/>
      <c r="AOM55" s="25"/>
      <c r="AON55" s="25"/>
      <c r="AOO55" s="25"/>
      <c r="AOP55" s="25"/>
      <c r="AOX55" s="25"/>
      <c r="AOY55" s="25"/>
      <c r="AOZ55" s="25"/>
      <c r="APA55" s="25"/>
      <c r="APB55" s="25"/>
      <c r="APC55" s="25"/>
      <c r="APD55" s="25"/>
      <c r="APE55" s="25"/>
      <c r="APF55" s="25"/>
      <c r="APG55" s="25"/>
      <c r="APH55" s="25"/>
      <c r="API55" s="25"/>
      <c r="APJ55" s="25"/>
      <c r="APK55" s="25"/>
      <c r="APS55" s="25"/>
      <c r="APT55" s="25"/>
      <c r="APU55" s="25"/>
      <c r="APV55" s="25"/>
      <c r="APW55" s="25"/>
      <c r="APX55" s="25"/>
      <c r="APY55" s="25"/>
      <c r="APZ55" s="25"/>
      <c r="AQA55" s="25"/>
      <c r="AQB55" s="25"/>
      <c r="AQC55" s="25"/>
      <c r="AQD55" s="25"/>
      <c r="AQE55" s="25"/>
      <c r="AQF55" s="25"/>
      <c r="AQJ55" s="25">
        <v>2</v>
      </c>
      <c r="AQK55" s="25" t="s">
        <v>8749</v>
      </c>
      <c r="AQL55" s="25" t="s">
        <v>8931</v>
      </c>
      <c r="AQM55" s="56">
        <v>1500</v>
      </c>
      <c r="AQN55" s="56">
        <v>3000</v>
      </c>
      <c r="AQS55" s="25" t="s">
        <v>8690</v>
      </c>
      <c r="AQT55" s="56">
        <v>0</v>
      </c>
      <c r="AQU55" s="56">
        <v>0</v>
      </c>
      <c r="ATX55" s="25" t="s">
        <v>25</v>
      </c>
      <c r="ATY55" s="25" t="s">
        <v>28</v>
      </c>
      <c r="ATZ55" s="25" t="s">
        <v>25</v>
      </c>
      <c r="AUA55" s="25" t="s">
        <v>25</v>
      </c>
      <c r="AUC55" s="25" t="s">
        <v>13417</v>
      </c>
      <c r="AUD55" s="25" t="s">
        <v>13417</v>
      </c>
      <c r="AUE55" s="56">
        <v>10</v>
      </c>
      <c r="AUF55" s="56">
        <v>10</v>
      </c>
      <c r="AUG55" s="56">
        <v>10</v>
      </c>
      <c r="AUH55" s="56">
        <v>100</v>
      </c>
      <c r="AUI55" s="56">
        <v>10</v>
      </c>
      <c r="AVU55" s="25" t="s">
        <v>13810</v>
      </c>
      <c r="AVV55" s="25" t="s">
        <v>13810</v>
      </c>
      <c r="AVW55" s="25" t="s">
        <v>13810</v>
      </c>
      <c r="BAY55" s="25">
        <v>1</v>
      </c>
      <c r="BAZ55" s="25" t="s">
        <v>8932</v>
      </c>
      <c r="BBB55" s="56">
        <v>2250</v>
      </c>
      <c r="BBC55" s="56">
        <v>4500</v>
      </c>
      <c r="BBD55" s="56">
        <v>4500</v>
      </c>
      <c r="BBE55" s="56">
        <v>9000</v>
      </c>
      <c r="BBH55" s="25" t="s">
        <v>8600</v>
      </c>
      <c r="BBI55" s="56">
        <v>250</v>
      </c>
      <c r="BBJ55" s="56">
        <v>500</v>
      </c>
      <c r="BBK55" s="56">
        <v>500</v>
      </c>
      <c r="BBL55" s="56">
        <v>1000</v>
      </c>
      <c r="BEM55" s="25" t="s">
        <v>25</v>
      </c>
      <c r="BEN55" s="25" t="s">
        <v>28</v>
      </c>
      <c r="BEO55" s="25" t="s">
        <v>25</v>
      </c>
      <c r="BEP55" s="25" t="s">
        <v>25</v>
      </c>
      <c r="BER55" s="25" t="s">
        <v>13417</v>
      </c>
      <c r="BES55" s="25" t="s">
        <v>13417</v>
      </c>
      <c r="BET55" s="56">
        <v>15</v>
      </c>
      <c r="BEU55" s="56">
        <v>15</v>
      </c>
      <c r="BEV55" s="56">
        <v>15</v>
      </c>
      <c r="BEW55" s="56">
        <v>100</v>
      </c>
      <c r="BEX55" s="56">
        <v>50</v>
      </c>
      <c r="BGJ55" s="25" t="s">
        <v>13810</v>
      </c>
      <c r="BGK55" s="25" t="s">
        <v>13810</v>
      </c>
      <c r="BGL55" s="25" t="s">
        <v>13810</v>
      </c>
      <c r="BLN55" s="25">
        <v>0</v>
      </c>
      <c r="BLQ55" s="25"/>
      <c r="BLR55" s="25"/>
      <c r="BLS55" s="25"/>
      <c r="BLT55" s="25"/>
      <c r="BLU55" s="25"/>
      <c r="BLV55" s="25"/>
      <c r="BLX55" s="25"/>
      <c r="BLY55" s="25"/>
      <c r="BLZ55" s="25"/>
      <c r="BMA55" s="25"/>
      <c r="BPI55" s="25"/>
      <c r="BPJ55" s="25"/>
      <c r="BPK55" s="25"/>
      <c r="BPL55" s="25"/>
      <c r="BPM55" s="25"/>
      <c r="BPN55" s="25"/>
      <c r="BPO55" s="25"/>
      <c r="BPW55" s="25"/>
      <c r="BPX55" s="25"/>
      <c r="BPY55" s="25"/>
      <c r="BPZ55" s="25"/>
      <c r="BQA55" s="25"/>
      <c r="BQB55" s="25"/>
      <c r="BQC55" s="25"/>
      <c r="BRR55" s="25"/>
      <c r="BRS55" s="25"/>
      <c r="BRT55" s="25"/>
      <c r="BRU55" s="25"/>
      <c r="BRV55" s="25"/>
      <c r="BRW55" s="25"/>
      <c r="BRX55" s="25"/>
      <c r="BRY55" s="25"/>
      <c r="BRZ55" s="25"/>
      <c r="BSA55" s="25"/>
      <c r="BSB55" s="25"/>
      <c r="BSC55" s="25"/>
      <c r="BSD55" s="25"/>
      <c r="BSE55" s="25"/>
      <c r="BSF55" s="25"/>
      <c r="BSG55" s="25"/>
      <c r="BSH55" s="25"/>
      <c r="BSI55" s="25"/>
      <c r="BSJ55" s="25"/>
      <c r="BSK55" s="25"/>
      <c r="BSL55" s="25"/>
      <c r="BSM55" s="25"/>
      <c r="BSN55" s="25"/>
      <c r="BSO55" s="25"/>
      <c r="BSP55" s="25"/>
      <c r="BSQ55" s="25"/>
      <c r="BSR55" s="25"/>
      <c r="BSS55" s="25"/>
      <c r="BTA55" s="25"/>
      <c r="BTB55" s="25"/>
      <c r="BTC55" s="25"/>
      <c r="BTD55" s="25"/>
      <c r="BTE55" s="25"/>
      <c r="BTF55" s="25"/>
      <c r="BTG55" s="25"/>
      <c r="BTH55" s="25"/>
      <c r="BTI55" s="25"/>
      <c r="BTJ55" s="25"/>
      <c r="BTK55" s="25"/>
      <c r="BTL55" s="25"/>
      <c r="BTM55" s="25"/>
      <c r="BTN55" s="25"/>
      <c r="BUQ55" s="25"/>
      <c r="BUR55" s="25"/>
      <c r="BUS55" s="25"/>
      <c r="BUT55" s="25"/>
      <c r="BUU55" s="25"/>
      <c r="BUV55" s="25"/>
      <c r="BUW55" s="25"/>
      <c r="BUX55" s="25"/>
      <c r="BUY55" s="25"/>
      <c r="BUZ55" s="25"/>
      <c r="BVA55" s="25"/>
      <c r="BVB55" s="25"/>
      <c r="BVC55" s="25"/>
      <c r="BVD55" s="25"/>
      <c r="BWC55" s="25" t="s">
        <v>25</v>
      </c>
      <c r="BWH55" s="25" t="s">
        <v>2169</v>
      </c>
      <c r="BWI55" s="25" t="s">
        <v>28</v>
      </c>
      <c r="BWO55" s="25" t="s">
        <v>28</v>
      </c>
      <c r="BWX55" s="25" t="s">
        <v>28</v>
      </c>
      <c r="BWY55" s="25" t="s">
        <v>8683</v>
      </c>
      <c r="BWZ55" s="25" t="s">
        <v>25</v>
      </c>
      <c r="BXB55" s="25" t="s">
        <v>28</v>
      </c>
      <c r="BXJ55" s="25" t="s">
        <v>28</v>
      </c>
      <c r="BXK55" s="25" t="s">
        <v>8330</v>
      </c>
      <c r="BYD55" s="25" t="s">
        <v>28</v>
      </c>
      <c r="BYR55" s="25" t="s">
        <v>25</v>
      </c>
      <c r="BZZ55" s="25" t="s">
        <v>25</v>
      </c>
      <c r="CAC55" s="25" t="s">
        <v>28</v>
      </c>
      <c r="CBB55" s="25">
        <v>0</v>
      </c>
    </row>
    <row r="56" spans="1:2048 2050:2501" ht="89.25" x14ac:dyDescent="0.2">
      <c r="A56" s="21" t="s">
        <v>119</v>
      </c>
      <c r="B56" s="26">
        <v>0.52</v>
      </c>
      <c r="C56" s="26">
        <v>0</v>
      </c>
      <c r="D56" s="26">
        <v>0.11</v>
      </c>
      <c r="E56" s="26">
        <v>0.35</v>
      </c>
      <c r="F56" s="26">
        <v>0</v>
      </c>
      <c r="G56" s="26">
        <v>0</v>
      </c>
      <c r="H56" s="26">
        <v>0</v>
      </c>
      <c r="I56" s="26">
        <v>0</v>
      </c>
      <c r="J56" s="26">
        <v>0</v>
      </c>
      <c r="K56" s="26">
        <v>0</v>
      </c>
      <c r="L56" s="26">
        <v>0</v>
      </c>
      <c r="M56" s="26">
        <v>0.02</v>
      </c>
      <c r="N56" s="26">
        <v>1</v>
      </c>
      <c r="O56" s="26">
        <v>0</v>
      </c>
      <c r="P56" s="26">
        <v>0</v>
      </c>
      <c r="Q56" s="26">
        <v>0</v>
      </c>
      <c r="R56" s="26">
        <v>0</v>
      </c>
      <c r="S56" s="26">
        <v>0</v>
      </c>
      <c r="T56" s="26">
        <v>0</v>
      </c>
      <c r="U56" s="26">
        <v>0</v>
      </c>
      <c r="V56" s="26">
        <v>0</v>
      </c>
      <c r="W56" s="26">
        <v>0</v>
      </c>
      <c r="X56" s="26">
        <v>0</v>
      </c>
      <c r="Y56" s="26">
        <v>0</v>
      </c>
      <c r="Z56" s="25">
        <v>1</v>
      </c>
      <c r="AA56" s="25" t="s">
        <v>8348</v>
      </c>
      <c r="AC56" s="56">
        <v>2500</v>
      </c>
      <c r="AD56" s="56">
        <v>5000</v>
      </c>
      <c r="AE56" s="56">
        <v>5000</v>
      </c>
      <c r="AF56" s="56">
        <v>10000</v>
      </c>
      <c r="AI56" s="25" t="s">
        <v>8349</v>
      </c>
      <c r="AJ56" s="56">
        <v>300</v>
      </c>
      <c r="AK56" s="56">
        <v>600</v>
      </c>
      <c r="AL56" s="56">
        <v>450</v>
      </c>
      <c r="AM56" s="56">
        <v>900</v>
      </c>
      <c r="AN56" s="25" t="s">
        <v>8350</v>
      </c>
      <c r="AO56" s="25" t="s">
        <v>8248</v>
      </c>
      <c r="BB56" s="25" t="s">
        <v>8249</v>
      </c>
      <c r="DO56" s="25" t="s">
        <v>25</v>
      </c>
      <c r="DP56" s="25" t="s">
        <v>28</v>
      </c>
      <c r="DQ56" s="25" t="s">
        <v>25</v>
      </c>
      <c r="DR56" s="25" t="s">
        <v>25</v>
      </c>
      <c r="DT56" s="25" t="s">
        <v>13808</v>
      </c>
      <c r="DU56" s="25" t="s">
        <v>13423</v>
      </c>
      <c r="DV56" s="56">
        <v>20</v>
      </c>
      <c r="DW56" s="56">
        <v>35</v>
      </c>
      <c r="DX56" s="56">
        <v>35</v>
      </c>
      <c r="DY56" s="56">
        <v>150</v>
      </c>
      <c r="DZ56" s="56">
        <v>50</v>
      </c>
      <c r="EA56" s="56">
        <v>20</v>
      </c>
      <c r="EF56" s="26">
        <v>0.1</v>
      </c>
      <c r="EH56" s="26">
        <v>0.1</v>
      </c>
      <c r="EI56" s="26">
        <v>0.1</v>
      </c>
      <c r="EM56" s="56">
        <v>150</v>
      </c>
      <c r="EQ56" s="26">
        <v>0.3</v>
      </c>
      <c r="ER56" s="26">
        <v>0.3</v>
      </c>
      <c r="ES56" s="26">
        <v>0.3</v>
      </c>
      <c r="ET56" s="26">
        <v>0.1</v>
      </c>
      <c r="EU56" s="26">
        <v>0.3</v>
      </c>
      <c r="EV56" s="26">
        <v>0.3</v>
      </c>
      <c r="EW56" s="26">
        <v>0.3</v>
      </c>
      <c r="EX56" s="25" t="s">
        <v>8250</v>
      </c>
      <c r="EY56" s="25" t="s">
        <v>8250</v>
      </c>
      <c r="EZ56" s="25" t="s">
        <v>8250</v>
      </c>
      <c r="FA56" s="25" t="s">
        <v>8250</v>
      </c>
      <c r="FB56" s="25" t="s">
        <v>8250</v>
      </c>
      <c r="FC56" s="25" t="s">
        <v>8250</v>
      </c>
      <c r="FD56" s="25" t="s">
        <v>8250</v>
      </c>
      <c r="FE56" s="25" t="s">
        <v>25</v>
      </c>
      <c r="FF56" s="25" t="s">
        <v>25</v>
      </c>
      <c r="FG56" s="25" t="s">
        <v>28</v>
      </c>
      <c r="FH56" s="25" t="s">
        <v>25</v>
      </c>
      <c r="FI56" s="25" t="s">
        <v>25</v>
      </c>
      <c r="FJ56" s="25" t="s">
        <v>25</v>
      </c>
      <c r="FK56" s="25" t="s">
        <v>25</v>
      </c>
      <c r="FL56" s="25" t="s">
        <v>13810</v>
      </c>
      <c r="FM56" s="25" t="s">
        <v>13810</v>
      </c>
      <c r="FN56" s="25" t="s">
        <v>13810</v>
      </c>
      <c r="FO56" s="25" t="s">
        <v>13810</v>
      </c>
      <c r="FP56" s="25" t="s">
        <v>13810</v>
      </c>
      <c r="FQ56" s="25" t="s">
        <v>13810</v>
      </c>
      <c r="FR56" s="25" t="s">
        <v>13810</v>
      </c>
      <c r="FS56" s="25" t="s">
        <v>13810</v>
      </c>
      <c r="FT56" s="25" t="s">
        <v>631</v>
      </c>
      <c r="FU56" s="25" t="s">
        <v>631</v>
      </c>
      <c r="FV56" s="25" t="s">
        <v>8253</v>
      </c>
      <c r="FW56" s="25" t="s">
        <v>8351</v>
      </c>
      <c r="FX56" s="25" t="s">
        <v>8253</v>
      </c>
      <c r="FY56" s="25" t="s">
        <v>13447</v>
      </c>
      <c r="FZ56" s="25" t="s">
        <v>8253</v>
      </c>
      <c r="GA56" s="25" t="s">
        <v>8325</v>
      </c>
      <c r="GB56" s="25" t="s">
        <v>13447</v>
      </c>
      <c r="GC56" s="25" t="s">
        <v>8325</v>
      </c>
      <c r="GE56" s="56">
        <v>10</v>
      </c>
      <c r="GF56" s="56">
        <v>10</v>
      </c>
      <c r="GG56" s="56">
        <v>10</v>
      </c>
      <c r="GI56" s="56">
        <v>30</v>
      </c>
      <c r="GJ56" s="56">
        <v>30</v>
      </c>
      <c r="GK56" s="56">
        <v>60</v>
      </c>
      <c r="GM56" s="56">
        <v>50</v>
      </c>
      <c r="GN56" s="56">
        <v>50</v>
      </c>
      <c r="GO56" s="56">
        <v>100</v>
      </c>
      <c r="HL56" s="26">
        <v>0.3</v>
      </c>
      <c r="HY56" s="56">
        <v>150</v>
      </c>
      <c r="IG56" s="26">
        <v>0.3</v>
      </c>
      <c r="JO56" s="56">
        <v>300</v>
      </c>
      <c r="KM56" s="25" t="s">
        <v>8352</v>
      </c>
      <c r="KN56" s="25" t="s">
        <v>8256</v>
      </c>
      <c r="KO56" s="25" t="s">
        <v>8321</v>
      </c>
      <c r="KP56" s="25">
        <v>1</v>
      </c>
      <c r="KQ56" s="25" t="s">
        <v>8353</v>
      </c>
      <c r="KS56" s="56">
        <v>3000</v>
      </c>
      <c r="KT56" s="56">
        <v>6000</v>
      </c>
      <c r="KU56" s="56">
        <v>6000</v>
      </c>
      <c r="KV56" s="56">
        <v>12000</v>
      </c>
      <c r="KY56" s="25" t="s">
        <v>8246</v>
      </c>
      <c r="KZ56" s="56">
        <v>1500</v>
      </c>
      <c r="LA56" s="56">
        <v>3000</v>
      </c>
      <c r="LB56" s="56">
        <v>3000</v>
      </c>
      <c r="LC56" s="56">
        <v>6000</v>
      </c>
      <c r="LD56" s="25" t="s">
        <v>8247</v>
      </c>
      <c r="LE56" s="25" t="s">
        <v>8248</v>
      </c>
      <c r="LR56" s="25" t="s">
        <v>8249</v>
      </c>
      <c r="OE56" s="25" t="s">
        <v>25</v>
      </c>
      <c r="OF56" s="25" t="s">
        <v>28</v>
      </c>
      <c r="OG56" s="25" t="s">
        <v>25</v>
      </c>
      <c r="OH56" s="25" t="s">
        <v>25</v>
      </c>
      <c r="OJ56" s="25" t="s">
        <v>13421</v>
      </c>
      <c r="OK56" s="25" t="s">
        <v>13421</v>
      </c>
      <c r="OS56" s="26">
        <v>0.1</v>
      </c>
      <c r="OT56" s="26">
        <v>0.1</v>
      </c>
      <c r="OU56" s="26">
        <v>0.1</v>
      </c>
      <c r="OV56" s="26">
        <v>0.1</v>
      </c>
      <c r="OW56" s="26">
        <v>0.1</v>
      </c>
      <c r="OX56" s="26">
        <v>0.1</v>
      </c>
      <c r="OY56" s="26">
        <v>0.1</v>
      </c>
      <c r="PG56" s="26">
        <v>0.3</v>
      </c>
      <c r="PH56" s="26">
        <v>0.3</v>
      </c>
      <c r="PI56" s="26">
        <v>0.3</v>
      </c>
      <c r="PJ56" s="26">
        <v>0.3</v>
      </c>
      <c r="PK56" s="26">
        <v>0.3</v>
      </c>
      <c r="PL56" s="26">
        <v>0.3</v>
      </c>
      <c r="PM56" s="26">
        <v>0.3</v>
      </c>
      <c r="PN56" s="25" t="s">
        <v>8250</v>
      </c>
      <c r="PO56" s="25" t="s">
        <v>8250</v>
      </c>
      <c r="PP56" s="25" t="s">
        <v>8250</v>
      </c>
      <c r="PQ56" s="25" t="s">
        <v>8250</v>
      </c>
      <c r="PR56" s="25" t="s">
        <v>8250</v>
      </c>
      <c r="PS56" s="25" t="s">
        <v>8250</v>
      </c>
      <c r="PT56" s="25" t="s">
        <v>8250</v>
      </c>
      <c r="PU56" s="25" t="s">
        <v>25</v>
      </c>
      <c r="PV56" s="25" t="s">
        <v>25</v>
      </c>
      <c r="PW56" s="25" t="s">
        <v>25</v>
      </c>
      <c r="PX56" s="25" t="s">
        <v>25</v>
      </c>
      <c r="PY56" s="25" t="s">
        <v>25</v>
      </c>
      <c r="PZ56" s="25" t="s">
        <v>25</v>
      </c>
      <c r="QA56" s="25" t="s">
        <v>25</v>
      </c>
      <c r="QB56" s="25" t="s">
        <v>13810</v>
      </c>
      <c r="QC56" s="25" t="s">
        <v>13810</v>
      </c>
      <c r="QD56" s="25" t="s">
        <v>13810</v>
      </c>
      <c r="QE56" s="25" t="s">
        <v>13810</v>
      </c>
      <c r="QF56" s="25" t="s">
        <v>13810</v>
      </c>
      <c r="QG56" s="25" t="s">
        <v>13810</v>
      </c>
      <c r="QH56" s="25" t="s">
        <v>13810</v>
      </c>
      <c r="QI56" s="25" t="s">
        <v>13810</v>
      </c>
      <c r="QJ56" s="25" t="s">
        <v>631</v>
      </c>
      <c r="QK56" s="25" t="s">
        <v>631</v>
      </c>
      <c r="QL56" s="25" t="s">
        <v>8253</v>
      </c>
      <c r="QM56" s="25" t="s">
        <v>8351</v>
      </c>
      <c r="QN56" s="25" t="s">
        <v>8253</v>
      </c>
      <c r="QO56" s="25" t="s">
        <v>13447</v>
      </c>
      <c r="QP56" s="25" t="s">
        <v>8253</v>
      </c>
      <c r="QQ56" s="25" t="s">
        <v>8325</v>
      </c>
      <c r="QR56" s="25" t="s">
        <v>13447</v>
      </c>
      <c r="QS56" s="25" t="s">
        <v>8325</v>
      </c>
      <c r="QU56" s="56">
        <v>10</v>
      </c>
      <c r="QW56" s="56">
        <v>10</v>
      </c>
      <c r="QY56" s="56">
        <v>40</v>
      </c>
      <c r="RA56" s="56">
        <v>120</v>
      </c>
      <c r="RC56" s="56">
        <v>60</v>
      </c>
      <c r="RE56" s="56">
        <v>180</v>
      </c>
      <c r="SB56" s="26">
        <v>0.3</v>
      </c>
      <c r="VC56" s="25" t="s">
        <v>8352</v>
      </c>
      <c r="VD56" s="25" t="s">
        <v>8256</v>
      </c>
      <c r="VE56" s="25" t="s">
        <v>8321</v>
      </c>
      <c r="VF56" s="25">
        <v>0</v>
      </c>
      <c r="VI56" s="25"/>
      <c r="VJ56" s="25"/>
      <c r="VK56" s="25"/>
      <c r="VL56" s="25"/>
      <c r="VM56" s="25"/>
      <c r="VN56" s="25"/>
      <c r="VP56" s="25"/>
      <c r="VQ56" s="25"/>
      <c r="VR56" s="25"/>
      <c r="VS56" s="25"/>
      <c r="ZA56" s="25"/>
      <c r="ZB56" s="25"/>
      <c r="ZC56" s="25"/>
      <c r="ZD56" s="25"/>
      <c r="ZE56" s="25"/>
      <c r="ZF56" s="25"/>
      <c r="ZG56" s="25"/>
      <c r="ZO56" s="25"/>
      <c r="ZP56" s="25"/>
      <c r="ZQ56" s="25"/>
      <c r="ZR56" s="25"/>
      <c r="ZS56" s="25"/>
      <c r="ZT56" s="25"/>
      <c r="ZU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S56" s="25"/>
      <c r="ACT56" s="25"/>
      <c r="ACU56" s="25"/>
      <c r="ACV56" s="25"/>
      <c r="ACW56" s="25"/>
      <c r="ACX56" s="25"/>
      <c r="ACY56" s="25"/>
      <c r="ACZ56" s="25"/>
      <c r="ADA56" s="25"/>
      <c r="ADB56" s="25"/>
      <c r="ADC56" s="25"/>
      <c r="ADD56" s="25"/>
      <c r="ADE56" s="25"/>
      <c r="ADF56" s="25"/>
      <c r="ADN56" s="25"/>
      <c r="ADO56" s="25"/>
      <c r="ADP56" s="25"/>
      <c r="ADQ56" s="25"/>
      <c r="ADR56" s="25"/>
      <c r="ADS56" s="25"/>
      <c r="ADT56" s="25"/>
      <c r="ADU56" s="25"/>
      <c r="ADV56" s="25"/>
      <c r="ADW56" s="25"/>
      <c r="ADX56" s="25"/>
      <c r="ADY56" s="25"/>
      <c r="ADZ56" s="25"/>
      <c r="AEA56" s="25"/>
      <c r="AEI56" s="25"/>
      <c r="AEJ56" s="25"/>
      <c r="AEK56" s="25"/>
      <c r="AEL56" s="25"/>
      <c r="AEM56" s="25"/>
      <c r="AEN56" s="25"/>
      <c r="AEO56" s="25"/>
      <c r="AEP56" s="25"/>
      <c r="AEQ56" s="25"/>
      <c r="AER56" s="25"/>
      <c r="AES56" s="25"/>
      <c r="AET56" s="25"/>
      <c r="AEU56" s="25"/>
      <c r="AEV56" s="25"/>
      <c r="AFD56" s="25"/>
      <c r="AFE56" s="25"/>
      <c r="AFF56" s="25"/>
      <c r="AFG56" s="25"/>
      <c r="AFH56" s="25"/>
      <c r="AFI56" s="25"/>
      <c r="AFJ56" s="25"/>
      <c r="AFK56" s="25"/>
      <c r="AFL56" s="25"/>
      <c r="AFM56" s="25"/>
      <c r="AFN56" s="25"/>
      <c r="AFO56" s="25"/>
      <c r="AFP56" s="25"/>
      <c r="AFQ56" s="25"/>
      <c r="AFU56" s="25">
        <v>0</v>
      </c>
      <c r="AFX56" s="25"/>
      <c r="AFY56" s="25"/>
      <c r="AFZ56" s="25"/>
      <c r="AGA56" s="25"/>
      <c r="AGB56" s="25"/>
      <c r="AGC56" s="25"/>
      <c r="AGE56" s="25"/>
      <c r="AGF56" s="25"/>
      <c r="AGG56" s="25"/>
      <c r="AGH56" s="25"/>
      <c r="AJP56" s="25"/>
      <c r="AJQ56" s="25"/>
      <c r="AJR56" s="25"/>
      <c r="AJS56" s="25"/>
      <c r="AJT56" s="25"/>
      <c r="AJU56" s="25"/>
      <c r="AJV56" s="25"/>
      <c r="AKD56" s="25"/>
      <c r="AKE56" s="25"/>
      <c r="AKF56" s="25"/>
      <c r="AKG56" s="25"/>
      <c r="AKH56" s="25"/>
      <c r="AKI56" s="25"/>
      <c r="AKJ56" s="25"/>
      <c r="ALY56" s="25"/>
      <c r="ALZ56" s="25"/>
      <c r="AMA56" s="25"/>
      <c r="AMB56" s="25"/>
      <c r="AMC56" s="25"/>
      <c r="AMD56" s="25"/>
      <c r="AME56" s="25"/>
      <c r="AMF56" s="25"/>
      <c r="AMG56" s="25"/>
      <c r="AMH56" s="25"/>
      <c r="AMI56" s="25"/>
      <c r="AMJ56" s="25"/>
      <c r="AMK56" s="25"/>
      <c r="AML56" s="25"/>
      <c r="AMM56" s="25"/>
      <c r="AMN56" s="25"/>
      <c r="AMO56" s="25"/>
      <c r="AMP56" s="25"/>
      <c r="AMQ56" s="25"/>
      <c r="AMR56" s="25"/>
      <c r="AMS56" s="25"/>
      <c r="AMT56" s="25"/>
      <c r="AMU56" s="25"/>
      <c r="AMV56" s="25"/>
      <c r="AMW56" s="25"/>
      <c r="AMX56" s="25"/>
      <c r="AMY56" s="25"/>
      <c r="AMZ56" s="25"/>
      <c r="ANH56" s="25"/>
      <c r="ANI56" s="25"/>
      <c r="ANJ56" s="25"/>
      <c r="ANK56" s="25"/>
      <c r="ANL56" s="25"/>
      <c r="ANM56" s="25"/>
      <c r="ANN56" s="25"/>
      <c r="ANO56" s="25"/>
      <c r="ANP56" s="25"/>
      <c r="ANQ56" s="25"/>
      <c r="ANR56" s="25"/>
      <c r="ANS56" s="25"/>
      <c r="ANT56" s="25"/>
      <c r="ANU56" s="25"/>
      <c r="AOC56" s="25"/>
      <c r="AOD56" s="25"/>
      <c r="AOE56" s="25"/>
      <c r="AOF56" s="25"/>
      <c r="AOG56" s="25"/>
      <c r="AOH56" s="25"/>
      <c r="AOI56" s="25"/>
      <c r="AOJ56" s="25"/>
      <c r="AOK56" s="25"/>
      <c r="AOL56" s="25"/>
      <c r="AOM56" s="25"/>
      <c r="AON56" s="25"/>
      <c r="AOO56" s="25"/>
      <c r="AOP56" s="25"/>
      <c r="AOX56" s="25"/>
      <c r="AOY56" s="25"/>
      <c r="AOZ56" s="25"/>
      <c r="APA56" s="25"/>
      <c r="APB56" s="25"/>
      <c r="APC56" s="25"/>
      <c r="APD56" s="25"/>
      <c r="APE56" s="25"/>
      <c r="APF56" s="25"/>
      <c r="APG56" s="25"/>
      <c r="APH56" s="25"/>
      <c r="API56" s="25"/>
      <c r="APJ56" s="25"/>
      <c r="APK56" s="25"/>
      <c r="APS56" s="25"/>
      <c r="APT56" s="25"/>
      <c r="APU56" s="25"/>
      <c r="APV56" s="25"/>
      <c r="APW56" s="25"/>
      <c r="APX56" s="25"/>
      <c r="APY56" s="25"/>
      <c r="APZ56" s="25"/>
      <c r="AQA56" s="25"/>
      <c r="AQB56" s="25"/>
      <c r="AQC56" s="25"/>
      <c r="AQD56" s="25"/>
      <c r="AQE56" s="25"/>
      <c r="AQF56" s="25"/>
      <c r="AQJ56" s="25">
        <v>2</v>
      </c>
      <c r="AQK56" s="25" t="s">
        <v>8354</v>
      </c>
      <c r="AQL56" s="25" t="s">
        <v>8355</v>
      </c>
      <c r="AQM56" s="56">
        <v>2000</v>
      </c>
      <c r="AQN56" s="56">
        <v>4000</v>
      </c>
      <c r="AQS56" s="25" t="s">
        <v>8356</v>
      </c>
      <c r="AQT56" s="56">
        <v>0</v>
      </c>
      <c r="AQU56" s="56">
        <v>0</v>
      </c>
      <c r="AQX56" s="25" t="s">
        <v>8248</v>
      </c>
      <c r="ATX56" s="25" t="s">
        <v>25</v>
      </c>
      <c r="ATY56" s="25" t="s">
        <v>28</v>
      </c>
      <c r="ATZ56" s="25" t="s">
        <v>25</v>
      </c>
      <c r="AUA56" s="25" t="s">
        <v>25</v>
      </c>
      <c r="AUC56" s="25" t="s">
        <v>13417</v>
      </c>
      <c r="AUE56" s="56">
        <v>20</v>
      </c>
      <c r="AUF56" s="56">
        <v>35</v>
      </c>
      <c r="AUG56" s="56">
        <v>20</v>
      </c>
      <c r="AUH56" s="56">
        <v>100</v>
      </c>
      <c r="AUI56" s="56">
        <v>20</v>
      </c>
      <c r="AUJ56" s="56">
        <v>20</v>
      </c>
      <c r="AVG56" s="25" t="s">
        <v>8250</v>
      </c>
      <c r="AVH56" s="25" t="s">
        <v>8250</v>
      </c>
      <c r="AVI56" s="25" t="s">
        <v>8250</v>
      </c>
      <c r="AVJ56" s="25" t="s">
        <v>8250</v>
      </c>
      <c r="AVK56" s="25" t="s">
        <v>8250</v>
      </c>
      <c r="AVL56" s="25" t="s">
        <v>8250</v>
      </c>
      <c r="AVM56" s="25" t="s">
        <v>8250</v>
      </c>
      <c r="AVN56" s="25" t="s">
        <v>25</v>
      </c>
      <c r="AVO56" s="25" t="s">
        <v>25</v>
      </c>
      <c r="AVP56" s="25" t="s">
        <v>25</v>
      </c>
      <c r="AVQ56" s="25" t="s">
        <v>25</v>
      </c>
      <c r="AVR56" s="25" t="s">
        <v>25</v>
      </c>
      <c r="AVS56" s="25" t="s">
        <v>25</v>
      </c>
      <c r="AVT56" s="25" t="s">
        <v>25</v>
      </c>
      <c r="AVU56" s="25" t="s">
        <v>13810</v>
      </c>
      <c r="AVV56" s="25" t="s">
        <v>13810</v>
      </c>
      <c r="AVW56" s="25" t="s">
        <v>13810</v>
      </c>
      <c r="AVX56" s="25" t="s">
        <v>13810</v>
      </c>
      <c r="AVY56" s="25" t="s">
        <v>13810</v>
      </c>
      <c r="AVZ56" s="25" t="s">
        <v>13810</v>
      </c>
      <c r="AWA56" s="25" t="s">
        <v>13810</v>
      </c>
      <c r="AWB56" s="25" t="s">
        <v>13810</v>
      </c>
      <c r="AWC56" s="25" t="s">
        <v>631</v>
      </c>
      <c r="AWD56" s="25" t="s">
        <v>631</v>
      </c>
      <c r="AWE56" s="25" t="s">
        <v>8253</v>
      </c>
      <c r="AWF56" s="25" t="s">
        <v>8351</v>
      </c>
      <c r="AWG56" s="25" t="s">
        <v>8253</v>
      </c>
      <c r="AWH56" s="25" t="s">
        <v>13447</v>
      </c>
      <c r="AWI56" s="25" t="s">
        <v>8325</v>
      </c>
      <c r="AWJ56" s="25" t="s">
        <v>8253</v>
      </c>
      <c r="AWK56" s="25" t="s">
        <v>13447</v>
      </c>
      <c r="AWL56" s="25" t="s">
        <v>8325</v>
      </c>
      <c r="AWN56" s="56">
        <v>10</v>
      </c>
      <c r="AWP56" s="56">
        <v>20</v>
      </c>
      <c r="AWR56" s="56">
        <v>35</v>
      </c>
      <c r="AWT56" s="56">
        <v>70</v>
      </c>
      <c r="AXH56" s="56">
        <v>35</v>
      </c>
      <c r="BAV56" s="25" t="s">
        <v>8255</v>
      </c>
      <c r="BAW56" s="25" t="s">
        <v>8298</v>
      </c>
      <c r="BAX56" s="25" t="s">
        <v>8321</v>
      </c>
      <c r="BAY56" s="25">
        <v>0</v>
      </c>
      <c r="BBB56" s="25"/>
      <c r="BBC56" s="25"/>
      <c r="BBD56" s="25"/>
      <c r="BBE56" s="25"/>
      <c r="BBF56" s="25"/>
      <c r="BBG56" s="25"/>
      <c r="BBI56" s="25"/>
      <c r="BBJ56" s="25"/>
      <c r="BBK56" s="25"/>
      <c r="BBL56" s="25"/>
      <c r="BET56" s="25"/>
      <c r="BEU56" s="25"/>
      <c r="BEV56" s="25"/>
      <c r="BEW56" s="25"/>
      <c r="BEX56" s="25"/>
      <c r="BEY56" s="25"/>
      <c r="BEZ56" s="25"/>
      <c r="BFH56" s="25"/>
      <c r="BFI56" s="25"/>
      <c r="BFJ56" s="25"/>
      <c r="BFK56" s="25"/>
      <c r="BFL56" s="25"/>
      <c r="BFM56" s="25"/>
      <c r="BFN56" s="25"/>
      <c r="BHC56" s="25"/>
      <c r="BHD56" s="25"/>
      <c r="BHE56" s="25"/>
      <c r="BHF56" s="25"/>
      <c r="BHG56" s="25"/>
      <c r="BHH56" s="25"/>
      <c r="BHI56" s="25"/>
      <c r="BHJ56" s="25"/>
      <c r="BHK56" s="25"/>
      <c r="BHL56" s="25"/>
      <c r="BHM56" s="25"/>
      <c r="BHN56" s="25"/>
      <c r="BHO56" s="25"/>
      <c r="BHP56" s="25"/>
      <c r="BHQ56" s="25"/>
      <c r="BHR56" s="25"/>
      <c r="BHS56" s="25"/>
      <c r="BHT56" s="25"/>
      <c r="BHU56" s="25"/>
      <c r="BHV56" s="25"/>
      <c r="BHW56" s="25"/>
      <c r="BHX56" s="25"/>
      <c r="BHY56" s="25"/>
      <c r="BHZ56" s="25"/>
      <c r="BIA56" s="25"/>
      <c r="BIB56" s="25"/>
      <c r="BIC56" s="25"/>
      <c r="BID56" s="25"/>
      <c r="BIL56" s="25"/>
      <c r="BIM56" s="25"/>
      <c r="BIN56" s="25"/>
      <c r="BIO56" s="25"/>
      <c r="BIP56" s="25"/>
      <c r="BIQ56" s="25"/>
      <c r="BIR56" s="25"/>
      <c r="BIS56" s="25"/>
      <c r="BIT56" s="25"/>
      <c r="BIU56" s="25"/>
      <c r="BIV56" s="25"/>
      <c r="BIW56" s="25"/>
      <c r="BIX56" s="25"/>
      <c r="BIY56" s="25"/>
      <c r="BJG56" s="25"/>
      <c r="BJH56" s="25"/>
      <c r="BJI56" s="25"/>
      <c r="BJJ56" s="25"/>
      <c r="BJK56" s="25"/>
      <c r="BJL56" s="25"/>
      <c r="BJM56" s="25"/>
      <c r="BJN56" s="25"/>
      <c r="BJO56" s="25"/>
      <c r="BJP56" s="25"/>
      <c r="BJQ56" s="25"/>
      <c r="BJR56" s="25"/>
      <c r="BJS56" s="25"/>
      <c r="BJT56" s="25"/>
      <c r="BKB56" s="25"/>
      <c r="BKC56" s="25"/>
      <c r="BKD56" s="25"/>
      <c r="BKE56" s="25"/>
      <c r="BKF56" s="25"/>
      <c r="BKG56" s="25"/>
      <c r="BKH56" s="25"/>
      <c r="BKI56" s="25"/>
      <c r="BKJ56" s="25"/>
      <c r="BKK56" s="25"/>
      <c r="BKL56" s="25"/>
      <c r="BKM56" s="25"/>
      <c r="BKN56" s="25"/>
      <c r="BKO56" s="25"/>
      <c r="BKW56" s="25"/>
      <c r="BKX56" s="25"/>
      <c r="BKY56" s="25"/>
      <c r="BKZ56" s="25"/>
      <c r="BLA56" s="25"/>
      <c r="BLB56" s="25"/>
      <c r="BLC56" s="25"/>
      <c r="BLD56" s="25"/>
      <c r="BLE56" s="25"/>
      <c r="BLF56" s="25"/>
      <c r="BLG56" s="25"/>
      <c r="BLH56" s="25"/>
      <c r="BLI56" s="25"/>
      <c r="BLJ56" s="25"/>
      <c r="BLN56" s="25">
        <v>0</v>
      </c>
      <c r="BLQ56" s="25"/>
      <c r="BLR56" s="25"/>
      <c r="BLS56" s="25"/>
      <c r="BLT56" s="25"/>
      <c r="BLU56" s="25"/>
      <c r="BLV56" s="25"/>
      <c r="BLX56" s="25"/>
      <c r="BLY56" s="25"/>
      <c r="BLZ56" s="25"/>
      <c r="BMA56" s="25"/>
      <c r="BPI56" s="25"/>
      <c r="BPJ56" s="25"/>
      <c r="BPK56" s="25"/>
      <c r="BPL56" s="25"/>
      <c r="BPM56" s="25"/>
      <c r="BPN56" s="25"/>
      <c r="BPO56" s="25"/>
      <c r="BPW56" s="25"/>
      <c r="BPX56" s="25"/>
      <c r="BPY56" s="25"/>
      <c r="BPZ56" s="25"/>
      <c r="BQA56" s="25"/>
      <c r="BQB56" s="25"/>
      <c r="BQC56" s="25"/>
      <c r="BRR56" s="25"/>
      <c r="BRS56" s="25"/>
      <c r="BRT56" s="25"/>
      <c r="BRU56" s="25"/>
      <c r="BRV56" s="25"/>
      <c r="BRW56" s="25"/>
      <c r="BRX56" s="25"/>
      <c r="BRY56" s="25"/>
      <c r="BRZ56" s="25"/>
      <c r="BSA56" s="25"/>
      <c r="BSB56" s="25"/>
      <c r="BSC56" s="25"/>
      <c r="BSD56" s="25"/>
      <c r="BSE56" s="25"/>
      <c r="BSF56" s="25"/>
      <c r="BSG56" s="25"/>
      <c r="BSH56" s="25"/>
      <c r="BSI56" s="25"/>
      <c r="BSJ56" s="25"/>
      <c r="BSK56" s="25"/>
      <c r="BSL56" s="25"/>
      <c r="BSM56" s="25"/>
      <c r="BSN56" s="25"/>
      <c r="BSO56" s="25"/>
      <c r="BSP56" s="25"/>
      <c r="BSQ56" s="25"/>
      <c r="BSR56" s="25"/>
      <c r="BSS56" s="25"/>
      <c r="BTA56" s="25"/>
      <c r="BTB56" s="25"/>
      <c r="BTC56" s="25"/>
      <c r="BTD56" s="25"/>
      <c r="BTE56" s="25"/>
      <c r="BTF56" s="25"/>
      <c r="BTG56" s="25"/>
      <c r="BTH56" s="25"/>
      <c r="BTI56" s="25"/>
      <c r="BTJ56" s="25"/>
      <c r="BTK56" s="25"/>
      <c r="BTL56" s="25"/>
      <c r="BTM56" s="25"/>
      <c r="BTN56" s="25"/>
      <c r="BUQ56" s="25"/>
      <c r="BUR56" s="25"/>
      <c r="BUS56" s="25"/>
      <c r="BUT56" s="25"/>
      <c r="BUU56" s="25"/>
      <c r="BUV56" s="25"/>
      <c r="BUW56" s="25"/>
      <c r="BUX56" s="25"/>
      <c r="BUY56" s="25"/>
      <c r="BUZ56" s="25"/>
      <c r="BVA56" s="25"/>
      <c r="BVB56" s="25"/>
      <c r="BVC56" s="25"/>
      <c r="BVD56" s="25"/>
      <c r="BWC56" s="25" t="s">
        <v>28</v>
      </c>
      <c r="BWD56" s="25" t="s">
        <v>13603</v>
      </c>
      <c r="BWE56" s="25" t="s">
        <v>8357</v>
      </c>
      <c r="BWF56" s="25" t="s">
        <v>13707</v>
      </c>
      <c r="BWG56" s="25" t="s">
        <v>28</v>
      </c>
      <c r="BWH56" s="25" t="s">
        <v>2169</v>
      </c>
      <c r="BWI56" s="25" t="s">
        <v>28</v>
      </c>
      <c r="BWJ56" s="25" t="s">
        <v>8267</v>
      </c>
      <c r="BWK56" s="25" t="s">
        <v>25</v>
      </c>
      <c r="BWM56" s="25" t="s">
        <v>25</v>
      </c>
      <c r="BWO56" s="25" t="s">
        <v>25</v>
      </c>
      <c r="BWQ56" s="25" t="s">
        <v>28</v>
      </c>
      <c r="BWR56" s="25" t="s">
        <v>25</v>
      </c>
      <c r="BWT56" s="25" t="s">
        <v>25</v>
      </c>
      <c r="BWV56" s="25" t="s">
        <v>25</v>
      </c>
      <c r="BWX56" s="25" t="s">
        <v>28</v>
      </c>
      <c r="BWY56" s="25" t="s">
        <v>8358</v>
      </c>
      <c r="BWZ56" s="25" t="s">
        <v>28</v>
      </c>
      <c r="BXA56" s="56">
        <v>20</v>
      </c>
      <c r="BXB56" s="25" t="s">
        <v>28</v>
      </c>
      <c r="BXC56" s="56">
        <v>20</v>
      </c>
      <c r="BXD56" s="25" t="s">
        <v>28</v>
      </c>
      <c r="BXE56" s="25" t="s">
        <v>8359</v>
      </c>
      <c r="BXF56" s="25" t="s">
        <v>28</v>
      </c>
      <c r="BXG56" s="56">
        <v>30</v>
      </c>
      <c r="BXH56" s="25" t="s">
        <v>25</v>
      </c>
      <c r="BXJ56" s="25" t="s">
        <v>28</v>
      </c>
      <c r="BXK56" s="25" t="s">
        <v>8360</v>
      </c>
      <c r="BXL56" s="25" t="s">
        <v>13821</v>
      </c>
      <c r="BXM56" s="25" t="s">
        <v>28</v>
      </c>
      <c r="BXN56" s="25" t="s">
        <v>8332</v>
      </c>
      <c r="BXO56" s="25" t="s">
        <v>8274</v>
      </c>
      <c r="BXP56" s="25" t="s">
        <v>8274</v>
      </c>
      <c r="BXQ56" s="25" t="s">
        <v>8274</v>
      </c>
      <c r="BXR56" s="25" t="s">
        <v>8361</v>
      </c>
      <c r="BXS56" s="25" t="s">
        <v>8361</v>
      </c>
      <c r="BXT56" s="25" t="s">
        <v>8362</v>
      </c>
      <c r="BXU56" s="25" t="s">
        <v>25</v>
      </c>
      <c r="BXW56" s="25" t="s">
        <v>25</v>
      </c>
      <c r="BXX56" s="25" t="s">
        <v>25</v>
      </c>
      <c r="BXY56" s="25" t="s">
        <v>28</v>
      </c>
      <c r="BXZ56" s="25" t="s">
        <v>28</v>
      </c>
      <c r="BYA56" s="25" t="s">
        <v>28</v>
      </c>
      <c r="BYB56" s="25" t="s">
        <v>25</v>
      </c>
      <c r="BYC56" s="25" t="s">
        <v>8276</v>
      </c>
      <c r="BYD56" s="25" t="s">
        <v>28</v>
      </c>
      <c r="BYE56" s="25" t="s">
        <v>13615</v>
      </c>
      <c r="BYF56" s="25" t="s">
        <v>8277</v>
      </c>
      <c r="BYG56" s="25" t="s">
        <v>72</v>
      </c>
      <c r="BYH56" s="25" t="s">
        <v>8363</v>
      </c>
      <c r="BYK56" s="25" t="s">
        <v>8333</v>
      </c>
      <c r="BYL56" s="25" t="s">
        <v>25</v>
      </c>
      <c r="BYN56" s="25" t="s">
        <v>25</v>
      </c>
      <c r="BYP56" s="25" t="s">
        <v>25</v>
      </c>
      <c r="BYR56" s="25" t="s">
        <v>28</v>
      </c>
      <c r="BYS56" s="25" t="s">
        <v>8279</v>
      </c>
      <c r="BYT56" s="25" t="s">
        <v>8279</v>
      </c>
      <c r="BYU56" s="25" t="s">
        <v>732</v>
      </c>
      <c r="BYV56" s="25" t="s">
        <v>25</v>
      </c>
      <c r="BYW56" s="25" t="s">
        <v>28</v>
      </c>
      <c r="BYX56" s="56">
        <v>1250</v>
      </c>
      <c r="BYY56" s="56">
        <v>2500</v>
      </c>
      <c r="BYZ56" s="25" t="s">
        <v>8280</v>
      </c>
      <c r="BZA56" s="25" t="s">
        <v>8364</v>
      </c>
      <c r="BZB56" s="25" t="s">
        <v>256</v>
      </c>
      <c r="BZC56" s="25" t="s">
        <v>8282</v>
      </c>
      <c r="BZD56" s="25" t="s">
        <v>28</v>
      </c>
      <c r="BZE56" s="25" t="s">
        <v>28</v>
      </c>
      <c r="BZF56" s="25" t="s">
        <v>28</v>
      </c>
      <c r="BZG56" s="25" t="s">
        <v>25</v>
      </c>
      <c r="BZJ56" s="25" t="s">
        <v>28</v>
      </c>
      <c r="BZK56" s="25" t="s">
        <v>8365</v>
      </c>
      <c r="BZM56" s="25" t="s">
        <v>28</v>
      </c>
      <c r="BZN56" s="25" t="s">
        <v>8283</v>
      </c>
      <c r="BZP56" s="25" t="s">
        <v>8366</v>
      </c>
      <c r="BZQ56" s="56">
        <v>2000</v>
      </c>
      <c r="BZR56" s="25" t="s">
        <v>28</v>
      </c>
      <c r="BZS56" s="25" t="s">
        <v>28</v>
      </c>
      <c r="BZT56" s="25" t="s">
        <v>8337</v>
      </c>
      <c r="BZV56" s="25" t="s">
        <v>8367</v>
      </c>
      <c r="BZX56" s="25" t="s">
        <v>8368</v>
      </c>
      <c r="BZZ56" s="25" t="s">
        <v>25</v>
      </c>
      <c r="CAC56" s="25" t="s">
        <v>28</v>
      </c>
      <c r="CAD56" s="25" t="s">
        <v>8288</v>
      </c>
      <c r="CAE56" s="25" t="s">
        <v>25</v>
      </c>
      <c r="CAG56" s="25" t="s">
        <v>25</v>
      </c>
      <c r="CAH56" s="25" t="s">
        <v>631</v>
      </c>
      <c r="CAI56" s="25" t="s">
        <v>631</v>
      </c>
      <c r="CAJ56" s="25" t="s">
        <v>631</v>
      </c>
      <c r="CAK56" s="25" t="s">
        <v>631</v>
      </c>
      <c r="CAL56" s="25" t="s">
        <v>631</v>
      </c>
      <c r="CAM56" s="25" t="s">
        <v>8290</v>
      </c>
      <c r="CAN56" s="25" t="s">
        <v>631</v>
      </c>
      <c r="CAO56" s="25" t="s">
        <v>247</v>
      </c>
      <c r="CAP56" s="25" t="s">
        <v>631</v>
      </c>
      <c r="CAQ56" s="25" t="s">
        <v>631</v>
      </c>
      <c r="CAR56" s="25" t="s">
        <v>8339</v>
      </c>
      <c r="CAT56" s="25" t="s">
        <v>25</v>
      </c>
      <c r="CBB56" s="25">
        <v>1</v>
      </c>
      <c r="CBC56" s="25">
        <v>0</v>
      </c>
      <c r="CBD56" s="25">
        <v>0</v>
      </c>
      <c r="CBE56" s="56">
        <v>50</v>
      </c>
      <c r="CBF56" s="56">
        <v>150</v>
      </c>
      <c r="CBG56" s="56">
        <v>50</v>
      </c>
      <c r="CBH56" s="56">
        <v>150</v>
      </c>
      <c r="CBI56" s="56">
        <v>2000</v>
      </c>
      <c r="CBJ56" s="56">
        <v>2000</v>
      </c>
      <c r="CBK56" s="56">
        <v>1500</v>
      </c>
      <c r="CBL56" s="56">
        <v>1500</v>
      </c>
      <c r="CBM56" s="26">
        <v>0</v>
      </c>
      <c r="CBN56" s="26">
        <v>0</v>
      </c>
      <c r="CBO56" s="26">
        <v>0.1</v>
      </c>
      <c r="CBP56" s="26">
        <v>0.2</v>
      </c>
      <c r="CBQ56" s="26">
        <v>0.4</v>
      </c>
      <c r="CBR56" s="26">
        <v>0.5</v>
      </c>
      <c r="CBS56" s="26">
        <v>0.5</v>
      </c>
      <c r="CBT56" s="26">
        <v>0.5</v>
      </c>
      <c r="CBU56" s="27" t="s">
        <v>28</v>
      </c>
      <c r="CBV56" s="27" t="s">
        <v>8369</v>
      </c>
      <c r="CBW56" s="27" t="s">
        <v>8370</v>
      </c>
      <c r="CBX56" s="27" t="s">
        <v>8343</v>
      </c>
      <c r="CBY56" s="27" t="s">
        <v>8296</v>
      </c>
      <c r="CBZ56" s="27" t="s">
        <v>8296</v>
      </c>
      <c r="CCA56" s="27" t="s">
        <v>8297</v>
      </c>
      <c r="CCB56" s="27" t="s">
        <v>8298</v>
      </c>
      <c r="CCC56" s="27" t="s">
        <v>8296</v>
      </c>
      <c r="CCD56" s="27" t="s">
        <v>8297</v>
      </c>
      <c r="CCE56" s="27" t="s">
        <v>8296</v>
      </c>
      <c r="CCF56" s="27" t="s">
        <v>8296</v>
      </c>
      <c r="CCG56" s="27" t="s">
        <v>8297</v>
      </c>
      <c r="CCH56" s="27" t="s">
        <v>8298</v>
      </c>
      <c r="CCI56" s="27" t="s">
        <v>8298</v>
      </c>
      <c r="CCJ56" s="27" t="s">
        <v>8298</v>
      </c>
      <c r="CCK56" s="27" t="s">
        <v>8299</v>
      </c>
      <c r="CCL56" s="27" t="s">
        <v>8297</v>
      </c>
      <c r="CCN56" s="27" t="s">
        <v>8296</v>
      </c>
      <c r="CCO56" s="27" t="s">
        <v>8300</v>
      </c>
      <c r="CCP56" s="27" t="s">
        <v>8296</v>
      </c>
      <c r="CCQ56" s="27" t="s">
        <v>8296</v>
      </c>
      <c r="CCR56" s="27" t="s">
        <v>8296</v>
      </c>
      <c r="CCS56" s="27" t="s">
        <v>8298</v>
      </c>
      <c r="CCT56" s="27" t="s">
        <v>8296</v>
      </c>
      <c r="CCU56" s="27" t="s">
        <v>8298</v>
      </c>
      <c r="CCV56" s="27" t="s">
        <v>8298</v>
      </c>
      <c r="CCW56" s="27" t="s">
        <v>8298</v>
      </c>
      <c r="CCX56" s="27" t="s">
        <v>8298</v>
      </c>
      <c r="CCY56" s="27" t="s">
        <v>8298</v>
      </c>
      <c r="CCZ56" s="27" t="s">
        <v>28</v>
      </c>
      <c r="CDA56" s="27" t="s">
        <v>28</v>
      </c>
      <c r="CDB56" s="27" t="s">
        <v>28</v>
      </c>
      <c r="CDC56" s="27" t="s">
        <v>28</v>
      </c>
      <c r="CDD56" s="27" t="s">
        <v>28</v>
      </c>
      <c r="CDE56" s="27" t="s">
        <v>28</v>
      </c>
      <c r="CDF56" s="27" t="s">
        <v>28</v>
      </c>
      <c r="CDG56" s="27" t="s">
        <v>28</v>
      </c>
      <c r="CDH56" s="27" t="s">
        <v>28</v>
      </c>
      <c r="CDI56" s="27" t="s">
        <v>28</v>
      </c>
      <c r="CDJ56" s="27" t="s">
        <v>28</v>
      </c>
      <c r="CDK56" s="27" t="s">
        <v>28</v>
      </c>
      <c r="CDL56" s="27" t="s">
        <v>28</v>
      </c>
      <c r="CDM56" s="27" t="s">
        <v>28</v>
      </c>
      <c r="CDO56" s="27" t="s">
        <v>28</v>
      </c>
      <c r="CDP56" s="27" t="s">
        <v>28</v>
      </c>
      <c r="CDQ56" s="27" t="s">
        <v>28</v>
      </c>
      <c r="CDR56" s="27" t="s">
        <v>28</v>
      </c>
      <c r="CDS56" s="27" t="s">
        <v>28</v>
      </c>
      <c r="CDT56" s="27" t="s">
        <v>28</v>
      </c>
      <c r="CDU56" s="27" t="s">
        <v>28</v>
      </c>
      <c r="CDV56" s="27" t="s">
        <v>28</v>
      </c>
      <c r="CDW56" s="27" t="s">
        <v>28</v>
      </c>
      <c r="CDX56" s="27" t="s">
        <v>28</v>
      </c>
      <c r="CDY56" s="27" t="s">
        <v>28</v>
      </c>
      <c r="CDZ56" s="27" t="s">
        <v>28</v>
      </c>
      <c r="CEA56" s="27" t="s">
        <v>2673</v>
      </c>
      <c r="CEB56" s="27" t="s">
        <v>2673</v>
      </c>
      <c r="CEC56" s="27" t="s">
        <v>8301</v>
      </c>
      <c r="CED56" s="27" t="s">
        <v>8371</v>
      </c>
      <c r="CEE56" s="27" t="s">
        <v>2673</v>
      </c>
      <c r="CEF56" s="27" t="s">
        <v>8301</v>
      </c>
      <c r="CEG56" s="27" t="s">
        <v>2673</v>
      </c>
      <c r="CEH56" s="27" t="s">
        <v>2673</v>
      </c>
      <c r="CEI56" s="27" t="s">
        <v>8301</v>
      </c>
      <c r="CEJ56" s="27" t="s">
        <v>8302</v>
      </c>
      <c r="CEK56" s="27" t="s">
        <v>8302</v>
      </c>
      <c r="CEL56" s="27" t="s">
        <v>8303</v>
      </c>
      <c r="CEM56" s="27" t="s">
        <v>8301</v>
      </c>
      <c r="CEN56" s="27" t="s">
        <v>8301</v>
      </c>
      <c r="CEP56" s="27" t="s">
        <v>2673</v>
      </c>
      <c r="CEQ56" s="27" t="s">
        <v>8304</v>
      </c>
      <c r="CER56" s="27" t="s">
        <v>2673</v>
      </c>
      <c r="CES56" s="27" t="s">
        <v>2673</v>
      </c>
      <c r="CET56" s="27" t="s">
        <v>2673</v>
      </c>
      <c r="CEU56" s="27" t="s">
        <v>29</v>
      </c>
      <c r="CEV56" s="27" t="s">
        <v>2673</v>
      </c>
      <c r="CEW56" s="27" t="s">
        <v>8306</v>
      </c>
      <c r="CEX56" s="27" t="s">
        <v>8303</v>
      </c>
      <c r="CEY56" s="27" t="s">
        <v>8302</v>
      </c>
      <c r="CEZ56" s="27" t="s">
        <v>8306</v>
      </c>
      <c r="CFA56" s="27" t="s">
        <v>8302</v>
      </c>
      <c r="CFB56" s="27" t="s">
        <v>25</v>
      </c>
      <c r="CFC56" s="27" t="s">
        <v>25</v>
      </c>
      <c r="CFD56" s="27" t="s">
        <v>25</v>
      </c>
      <c r="CFE56" s="27" t="s">
        <v>25</v>
      </c>
      <c r="CFF56" s="27" t="s">
        <v>25</v>
      </c>
      <c r="CFG56" s="27" t="s">
        <v>25</v>
      </c>
      <c r="CFH56" s="27" t="s">
        <v>25</v>
      </c>
      <c r="CFI56" s="27" t="s">
        <v>25</v>
      </c>
      <c r="CFJ56" s="27" t="s">
        <v>25</v>
      </c>
      <c r="CFK56" s="27" t="s">
        <v>25</v>
      </c>
      <c r="CFL56" s="27" t="s">
        <v>25</v>
      </c>
      <c r="CFM56" s="27" t="s">
        <v>28</v>
      </c>
      <c r="CFN56" s="27" t="s">
        <v>25</v>
      </c>
      <c r="CFO56" s="27" t="s">
        <v>25</v>
      </c>
      <c r="CFQ56" s="27" t="s">
        <v>25</v>
      </c>
      <c r="CFR56" s="27" t="s">
        <v>25</v>
      </c>
      <c r="CFS56" s="27" t="s">
        <v>25</v>
      </c>
      <c r="CFT56" s="27" t="s">
        <v>25</v>
      </c>
      <c r="CFU56" s="27" t="s">
        <v>25</v>
      </c>
      <c r="CFV56" s="27" t="s">
        <v>25</v>
      </c>
      <c r="CFW56" s="27" t="s">
        <v>25</v>
      </c>
      <c r="CFX56" s="27" t="s">
        <v>28</v>
      </c>
      <c r="CFY56" s="27" t="s">
        <v>28</v>
      </c>
      <c r="CFZ56" s="27" t="s">
        <v>25</v>
      </c>
      <c r="CGA56" s="27" t="s">
        <v>25</v>
      </c>
      <c r="CGB56" s="27" t="s">
        <v>25</v>
      </c>
      <c r="CPW56" s="27">
        <v>1</v>
      </c>
      <c r="CPX56" s="56">
        <v>10</v>
      </c>
      <c r="CPZ56" s="56">
        <v>115</v>
      </c>
      <c r="CQB56" s="25" t="s">
        <v>8372</v>
      </c>
      <c r="CQC56" s="25" t="s">
        <v>8372</v>
      </c>
      <c r="CQD56" s="25" t="s">
        <v>8372</v>
      </c>
      <c r="CQE56" s="25" t="s">
        <v>8372</v>
      </c>
      <c r="CQF56" s="25" t="s">
        <v>8372</v>
      </c>
      <c r="CQI56" s="56">
        <v>150</v>
      </c>
      <c r="CQJ56" s="56">
        <v>150</v>
      </c>
      <c r="CQL56" s="25" t="s">
        <v>13745</v>
      </c>
      <c r="CQM56" s="25" t="s">
        <v>8308</v>
      </c>
      <c r="CQN56" s="25" t="s">
        <v>25</v>
      </c>
      <c r="CQO56" s="25" t="s">
        <v>8309</v>
      </c>
      <c r="CQQ56" s="25" t="s">
        <v>8373</v>
      </c>
      <c r="CQR56" s="25" t="s">
        <v>8374</v>
      </c>
      <c r="CQS56" s="25" t="s">
        <v>28</v>
      </c>
      <c r="CQT56" s="25" t="s">
        <v>8312</v>
      </c>
      <c r="CQU56" s="25" t="s">
        <v>8312</v>
      </c>
      <c r="CQV56" s="25" t="s">
        <v>8312</v>
      </c>
      <c r="CQW56" s="25" t="s">
        <v>8312</v>
      </c>
      <c r="CQX56" s="25" t="s">
        <v>8312</v>
      </c>
      <c r="CQY56" s="25" t="s">
        <v>8312</v>
      </c>
      <c r="CQZ56" s="25" t="s">
        <v>8312</v>
      </c>
      <c r="CRA56" s="25" t="s">
        <v>8312</v>
      </c>
      <c r="CRB56" s="25" t="s">
        <v>8312</v>
      </c>
      <c r="CRC56" s="25" t="s">
        <v>8312</v>
      </c>
      <c r="CRD56" s="25" t="s">
        <v>8312</v>
      </c>
      <c r="CRE56" s="27" t="s">
        <v>8312</v>
      </c>
    </row>
    <row r="57" spans="1:2048 2050:2501" ht="76.5" x14ac:dyDescent="0.2">
      <c r="A57" s="21" t="s">
        <v>146</v>
      </c>
      <c r="B57" s="26">
        <v>0.31</v>
      </c>
      <c r="C57" s="26">
        <v>0</v>
      </c>
      <c r="D57" s="26">
        <v>0.21</v>
      </c>
      <c r="E57" s="26">
        <v>0.48</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1</v>
      </c>
      <c r="Z57" s="25">
        <v>1</v>
      </c>
      <c r="AA57" s="25" t="s">
        <v>8714</v>
      </c>
      <c r="AC57" s="56">
        <v>3000</v>
      </c>
      <c r="AD57" s="56">
        <v>9000</v>
      </c>
      <c r="AE57" s="56">
        <v>8600</v>
      </c>
      <c r="AF57" s="56">
        <v>18800</v>
      </c>
      <c r="AI57" s="25" t="s">
        <v>8600</v>
      </c>
      <c r="AJ57" s="56">
        <v>400</v>
      </c>
      <c r="AK57" s="56">
        <v>1200</v>
      </c>
      <c r="AL57" s="56">
        <v>800</v>
      </c>
      <c r="AM57" s="56">
        <v>2400</v>
      </c>
      <c r="AN57" s="25" t="s">
        <v>8247</v>
      </c>
      <c r="DO57" s="25" t="s">
        <v>25</v>
      </c>
      <c r="DP57" s="25" t="s">
        <v>28</v>
      </c>
      <c r="DQ57" s="25" t="s">
        <v>25</v>
      </c>
      <c r="DR57" s="25" t="s">
        <v>25</v>
      </c>
      <c r="DT57" s="25" t="s">
        <v>13417</v>
      </c>
      <c r="DU57" s="25" t="s">
        <v>13417</v>
      </c>
      <c r="DV57" s="56">
        <v>15</v>
      </c>
      <c r="DW57" s="56">
        <v>30</v>
      </c>
      <c r="DX57" s="56">
        <v>15</v>
      </c>
      <c r="DY57" s="56">
        <v>100</v>
      </c>
      <c r="DZ57" s="56">
        <v>15</v>
      </c>
      <c r="EA57" s="56">
        <v>15</v>
      </c>
      <c r="EQ57" s="26">
        <v>0.3</v>
      </c>
      <c r="ER57" s="26">
        <v>0.3</v>
      </c>
      <c r="ES57" s="26">
        <v>0.3</v>
      </c>
      <c r="EU57" s="26">
        <v>0.3</v>
      </c>
      <c r="EX57" s="25" t="s">
        <v>8250</v>
      </c>
      <c r="EY57" s="25" t="s">
        <v>8250</v>
      </c>
      <c r="EZ57" s="25" t="s">
        <v>8250</v>
      </c>
      <c r="FA57" s="25" t="s">
        <v>8250</v>
      </c>
      <c r="FB57" s="25" t="s">
        <v>8250</v>
      </c>
      <c r="FC57" s="25" t="s">
        <v>8250</v>
      </c>
      <c r="FE57" s="25" t="s">
        <v>25</v>
      </c>
      <c r="FF57" s="25" t="s">
        <v>25</v>
      </c>
      <c r="FG57" s="25" t="s">
        <v>25</v>
      </c>
      <c r="FH57" s="25" t="s">
        <v>25</v>
      </c>
      <c r="FI57" s="25" t="s">
        <v>25</v>
      </c>
      <c r="FJ57" s="25" t="s">
        <v>25</v>
      </c>
      <c r="FL57" s="25" t="s">
        <v>13810</v>
      </c>
      <c r="FM57" s="25" t="s">
        <v>13810</v>
      </c>
      <c r="FN57" s="25" t="s">
        <v>13810</v>
      </c>
      <c r="FO57" s="25" t="s">
        <v>13810</v>
      </c>
      <c r="FP57" s="25" t="s">
        <v>631</v>
      </c>
      <c r="FQ57" s="25" t="s">
        <v>631</v>
      </c>
      <c r="FR57" s="25" t="s">
        <v>631</v>
      </c>
      <c r="FS57" s="25" t="s">
        <v>13810</v>
      </c>
      <c r="FT57" s="25" t="s">
        <v>13810</v>
      </c>
      <c r="FV57" s="25" t="s">
        <v>13435</v>
      </c>
      <c r="FW57" s="25" t="s">
        <v>13435</v>
      </c>
      <c r="FX57" s="25" t="s">
        <v>14231</v>
      </c>
      <c r="FY57" s="25" t="s">
        <v>13435</v>
      </c>
      <c r="GC57" s="25" t="s">
        <v>8584</v>
      </c>
      <c r="GD57" s="25" t="s">
        <v>8584</v>
      </c>
      <c r="KP57" s="25">
        <v>4</v>
      </c>
      <c r="LD57" s="25" t="s">
        <v>8247</v>
      </c>
      <c r="OE57" s="25" t="s">
        <v>25</v>
      </c>
      <c r="OF57" s="25" t="s">
        <v>25</v>
      </c>
      <c r="OH57" s="25" t="s">
        <v>25</v>
      </c>
      <c r="PN57" s="25" t="s">
        <v>8250</v>
      </c>
      <c r="PO57" s="25" t="s">
        <v>8250</v>
      </c>
      <c r="PP57" s="25" t="s">
        <v>8250</v>
      </c>
      <c r="PQ57" s="25" t="s">
        <v>8250</v>
      </c>
      <c r="PR57" s="25" t="s">
        <v>8250</v>
      </c>
      <c r="PU57" s="25" t="s">
        <v>8324</v>
      </c>
      <c r="PV57" s="25" t="s">
        <v>8324</v>
      </c>
      <c r="PW57" s="25" t="s">
        <v>8324</v>
      </c>
      <c r="PX57" s="25" t="s">
        <v>8324</v>
      </c>
      <c r="PY57" s="25" t="s">
        <v>8324</v>
      </c>
      <c r="QB57" s="25" t="s">
        <v>13810</v>
      </c>
      <c r="QC57" s="25" t="s">
        <v>13810</v>
      </c>
      <c r="QD57" s="25" t="s">
        <v>13810</v>
      </c>
      <c r="QE57" s="25" t="s">
        <v>13810</v>
      </c>
      <c r="QG57" s="25" t="s">
        <v>13810</v>
      </c>
      <c r="QH57" s="25" t="s">
        <v>13810</v>
      </c>
      <c r="QI57" s="25" t="s">
        <v>13810</v>
      </c>
      <c r="QJ57" s="25" t="s">
        <v>13810</v>
      </c>
      <c r="QL57" s="25" t="s">
        <v>13435</v>
      </c>
      <c r="VF57" s="25">
        <v>0</v>
      </c>
      <c r="VI57" s="25"/>
      <c r="VJ57" s="25"/>
      <c r="VK57" s="25"/>
      <c r="VL57" s="25"/>
      <c r="VM57" s="25"/>
      <c r="VN57" s="25"/>
      <c r="VP57" s="25"/>
      <c r="VQ57" s="25"/>
      <c r="VR57" s="25"/>
      <c r="VS57" s="25"/>
      <c r="ZA57" s="25"/>
      <c r="ZB57" s="25"/>
      <c r="ZC57" s="25"/>
      <c r="ZD57" s="25"/>
      <c r="ZE57" s="25"/>
      <c r="ZF57" s="25"/>
      <c r="ZG57" s="25"/>
      <c r="ZO57" s="25"/>
      <c r="ZP57" s="25"/>
      <c r="ZQ57" s="25"/>
      <c r="ZR57" s="25"/>
      <c r="ZS57" s="25"/>
      <c r="ZT57" s="25"/>
      <c r="ZU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S57" s="25"/>
      <c r="ACT57" s="25"/>
      <c r="ACU57" s="25"/>
      <c r="ACV57" s="25"/>
      <c r="ACW57" s="25"/>
      <c r="ACX57" s="25"/>
      <c r="ACY57" s="25"/>
      <c r="ACZ57" s="25"/>
      <c r="ADA57" s="25"/>
      <c r="ADB57" s="25"/>
      <c r="ADC57" s="25"/>
      <c r="ADD57" s="25"/>
      <c r="ADE57" s="25"/>
      <c r="ADF57" s="25"/>
      <c r="ADN57" s="25"/>
      <c r="ADO57" s="25"/>
      <c r="ADP57" s="25"/>
      <c r="ADQ57" s="25"/>
      <c r="ADR57" s="25"/>
      <c r="ADS57" s="25"/>
      <c r="ADT57" s="25"/>
      <c r="ADU57" s="25"/>
      <c r="ADV57" s="25"/>
      <c r="ADW57" s="25"/>
      <c r="ADX57" s="25"/>
      <c r="ADY57" s="25"/>
      <c r="ADZ57" s="25"/>
      <c r="AEA57" s="25"/>
      <c r="AEI57" s="25"/>
      <c r="AEJ57" s="25"/>
      <c r="AEK57" s="25"/>
      <c r="AEL57" s="25"/>
      <c r="AEM57" s="25"/>
      <c r="AEN57" s="25"/>
      <c r="AEO57" s="25"/>
      <c r="AEP57" s="25"/>
      <c r="AEQ57" s="25"/>
      <c r="AER57" s="25"/>
      <c r="AES57" s="25"/>
      <c r="AET57" s="25"/>
      <c r="AEU57" s="25"/>
      <c r="AEV57" s="25"/>
      <c r="AFD57" s="25"/>
      <c r="AFE57" s="25"/>
      <c r="AFF57" s="25"/>
      <c r="AFG57" s="25"/>
      <c r="AFH57" s="25"/>
      <c r="AFI57" s="25"/>
      <c r="AFJ57" s="25"/>
      <c r="AFK57" s="25"/>
      <c r="AFL57" s="25"/>
      <c r="AFM57" s="25"/>
      <c r="AFN57" s="25"/>
      <c r="AFO57" s="25"/>
      <c r="AFP57" s="25"/>
      <c r="AFQ57" s="25"/>
      <c r="AFU57" s="25">
        <v>1</v>
      </c>
      <c r="AJI57" s="25" t="s">
        <v>25</v>
      </c>
      <c r="AJJ57" s="25" t="s">
        <v>28</v>
      </c>
      <c r="AJK57" s="25" t="s">
        <v>25</v>
      </c>
      <c r="AJL57" s="25" t="s">
        <v>25</v>
      </c>
      <c r="AKR57" s="25" t="s">
        <v>8250</v>
      </c>
      <c r="AKS57" s="25" t="s">
        <v>8250</v>
      </c>
      <c r="AKT57" s="25" t="s">
        <v>8250</v>
      </c>
      <c r="AKU57" s="25" t="s">
        <v>8250</v>
      </c>
      <c r="AKV57" s="25" t="s">
        <v>8250</v>
      </c>
      <c r="AQI57" s="25" t="s">
        <v>8263</v>
      </c>
      <c r="AQJ57" s="25">
        <v>0</v>
      </c>
      <c r="AQM57" s="25"/>
      <c r="AQN57" s="25"/>
      <c r="AQO57" s="25"/>
      <c r="AQP57" s="25"/>
      <c r="AQQ57" s="25"/>
      <c r="AQR57" s="25"/>
      <c r="AQT57" s="25"/>
      <c r="AQU57" s="25"/>
      <c r="AQV57" s="25"/>
      <c r="AQW57" s="25"/>
      <c r="AUE57" s="25"/>
      <c r="AUF57" s="25"/>
      <c r="AUG57" s="25"/>
      <c r="AUH57" s="25"/>
      <c r="AUI57" s="25"/>
      <c r="AUJ57" s="25"/>
      <c r="AUK57" s="25"/>
      <c r="AUS57" s="25"/>
      <c r="AUT57" s="25"/>
      <c r="AUU57" s="25"/>
      <c r="AUV57" s="25"/>
      <c r="AUW57" s="25"/>
      <c r="AUX57" s="25"/>
      <c r="AUY57" s="25"/>
      <c r="AWN57" s="25"/>
      <c r="AWO57" s="25"/>
      <c r="AWP57" s="25"/>
      <c r="AWQ57" s="25"/>
      <c r="AWR57" s="25"/>
      <c r="AWS57" s="25"/>
      <c r="AWT57" s="25"/>
      <c r="AWU57" s="25"/>
      <c r="AWV57" s="25"/>
      <c r="AWW57" s="25"/>
      <c r="AWX57" s="25"/>
      <c r="AWY57" s="25"/>
      <c r="AWZ57" s="25"/>
      <c r="AXA57" s="25"/>
      <c r="AXB57" s="25"/>
      <c r="AXC57" s="25"/>
      <c r="AXD57" s="25"/>
      <c r="AXE57" s="25"/>
      <c r="AXF57" s="25"/>
      <c r="AXG57" s="25"/>
      <c r="AXH57" s="25"/>
      <c r="AXI57" s="25"/>
      <c r="AXJ57" s="25"/>
      <c r="AXK57" s="25"/>
      <c r="AXL57" s="25"/>
      <c r="AXM57" s="25"/>
      <c r="AXN57" s="25"/>
      <c r="AXO57" s="25"/>
      <c r="AXW57" s="25"/>
      <c r="AXX57" s="25"/>
      <c r="AXY57" s="25"/>
      <c r="AXZ57" s="25"/>
      <c r="AYA57" s="25"/>
      <c r="AYB57" s="25"/>
      <c r="AYC57" s="25"/>
      <c r="AYD57" s="25"/>
      <c r="AYE57" s="25"/>
      <c r="AYF57" s="25"/>
      <c r="AYG57" s="25"/>
      <c r="AYH57" s="25"/>
      <c r="AYI57" s="25"/>
      <c r="AYJ57" s="25"/>
      <c r="AZM57" s="25"/>
      <c r="AZN57" s="25"/>
      <c r="AZO57" s="25"/>
      <c r="AZP57" s="25"/>
      <c r="AZQ57" s="25"/>
      <c r="AZR57" s="25"/>
      <c r="AZS57" s="25"/>
      <c r="AZT57" s="25"/>
      <c r="AZU57" s="25"/>
      <c r="AZV57" s="25"/>
      <c r="AZW57" s="25"/>
      <c r="AZX57" s="25"/>
      <c r="AZY57" s="25"/>
      <c r="AZZ57" s="25"/>
      <c r="BAR57" s="25"/>
      <c r="BAS57" s="25"/>
      <c r="BAT57" s="25"/>
      <c r="BAU57" s="25"/>
      <c r="BAY57" s="25">
        <v>0</v>
      </c>
      <c r="BBB57" s="25"/>
      <c r="BBC57" s="25"/>
      <c r="BBD57" s="25"/>
      <c r="BBE57" s="25"/>
      <c r="BBF57" s="25"/>
      <c r="BBG57" s="25"/>
      <c r="BBI57" s="25"/>
      <c r="BBJ57" s="25"/>
      <c r="BBK57" s="25"/>
      <c r="BBL57" s="25"/>
      <c r="BET57" s="25"/>
      <c r="BEU57" s="25"/>
      <c r="BEV57" s="25"/>
      <c r="BEW57" s="25"/>
      <c r="BEX57" s="25"/>
      <c r="BEY57" s="25"/>
      <c r="BEZ57" s="25"/>
      <c r="BFH57" s="25"/>
      <c r="BFI57" s="25"/>
      <c r="BFJ57" s="25"/>
      <c r="BFK57" s="25"/>
      <c r="BFL57" s="25"/>
      <c r="BFM57" s="25"/>
      <c r="BFN57" s="25"/>
      <c r="BHC57" s="25"/>
      <c r="BHD57" s="25"/>
      <c r="BHE57" s="25"/>
      <c r="BHF57" s="25"/>
      <c r="BHG57" s="25"/>
      <c r="BHH57" s="25"/>
      <c r="BHI57" s="25"/>
      <c r="BHJ57" s="25"/>
      <c r="BHK57" s="25"/>
      <c r="BHL57" s="25"/>
      <c r="BHM57" s="25"/>
      <c r="BHN57" s="25"/>
      <c r="BHO57" s="25"/>
      <c r="BHP57" s="25"/>
      <c r="BHQ57" s="25"/>
      <c r="BHR57" s="25"/>
      <c r="BHS57" s="25"/>
      <c r="BHT57" s="25"/>
      <c r="BHU57" s="25"/>
      <c r="BHV57" s="25"/>
      <c r="BHW57" s="25"/>
      <c r="BHX57" s="25"/>
      <c r="BHY57" s="25"/>
      <c r="BHZ57" s="25"/>
      <c r="BIA57" s="25"/>
      <c r="BIB57" s="25"/>
      <c r="BIC57" s="25"/>
      <c r="BID57" s="25"/>
      <c r="BIL57" s="25"/>
      <c r="BIM57" s="25"/>
      <c r="BIN57" s="25"/>
      <c r="BIO57" s="25"/>
      <c r="BIP57" s="25"/>
      <c r="BIQ57" s="25"/>
      <c r="BIR57" s="25"/>
      <c r="BIS57" s="25"/>
      <c r="BIT57" s="25"/>
      <c r="BIU57" s="25"/>
      <c r="BIV57" s="25"/>
      <c r="BIW57" s="25"/>
      <c r="BIX57" s="25"/>
      <c r="BIY57" s="25"/>
      <c r="BJG57" s="25"/>
      <c r="BJH57" s="25"/>
      <c r="BJI57" s="25"/>
      <c r="BJJ57" s="25"/>
      <c r="BJK57" s="25"/>
      <c r="BJL57" s="25"/>
      <c r="BJM57" s="25"/>
      <c r="BJN57" s="25"/>
      <c r="BJO57" s="25"/>
      <c r="BJP57" s="25"/>
      <c r="BJQ57" s="25"/>
      <c r="BJR57" s="25"/>
      <c r="BJS57" s="25"/>
      <c r="BJT57" s="25"/>
      <c r="BKB57" s="25"/>
      <c r="BKC57" s="25"/>
      <c r="BKD57" s="25"/>
      <c r="BKE57" s="25"/>
      <c r="BKF57" s="25"/>
      <c r="BKG57" s="25"/>
      <c r="BKH57" s="25"/>
      <c r="BKI57" s="25"/>
      <c r="BKJ57" s="25"/>
      <c r="BKK57" s="25"/>
      <c r="BKL57" s="25"/>
      <c r="BKM57" s="25"/>
      <c r="BKN57" s="25"/>
      <c r="BKO57" s="25"/>
      <c r="BKW57" s="25"/>
      <c r="BKX57" s="25"/>
      <c r="BKY57" s="25"/>
      <c r="BKZ57" s="25"/>
      <c r="BLA57" s="25"/>
      <c r="BLB57" s="25"/>
      <c r="BLC57" s="25"/>
      <c r="BLD57" s="25"/>
      <c r="BLE57" s="25"/>
      <c r="BLF57" s="25"/>
      <c r="BLG57" s="25"/>
      <c r="BLH57" s="25"/>
      <c r="BLI57" s="25"/>
      <c r="BLJ57" s="25"/>
      <c r="BLN57" s="25">
        <v>0</v>
      </c>
      <c r="BLQ57" s="25"/>
      <c r="BLR57" s="25"/>
      <c r="BLS57" s="25"/>
      <c r="BLT57" s="25"/>
      <c r="BLU57" s="25"/>
      <c r="BLV57" s="25"/>
      <c r="BLX57" s="25"/>
      <c r="BLY57" s="25"/>
      <c r="BLZ57" s="25"/>
      <c r="BMA57" s="25"/>
      <c r="BPI57" s="25"/>
      <c r="BPJ57" s="25"/>
      <c r="BPK57" s="25"/>
      <c r="BPL57" s="25"/>
      <c r="BPM57" s="25"/>
      <c r="BPN57" s="25"/>
      <c r="BPO57" s="25"/>
      <c r="BPW57" s="25"/>
      <c r="BPX57" s="25"/>
      <c r="BPY57" s="25"/>
      <c r="BPZ57" s="25"/>
      <c r="BQA57" s="25"/>
      <c r="BQB57" s="25"/>
      <c r="BQC57" s="25"/>
      <c r="BRR57" s="25"/>
      <c r="BRS57" s="25"/>
      <c r="BRT57" s="25"/>
      <c r="BRU57" s="25"/>
      <c r="BRV57" s="25"/>
      <c r="BRW57" s="25"/>
      <c r="BRX57" s="25"/>
      <c r="BRY57" s="25"/>
      <c r="BRZ57" s="25"/>
      <c r="BSA57" s="25"/>
      <c r="BSB57" s="25"/>
      <c r="BSC57" s="25"/>
      <c r="BSD57" s="25"/>
      <c r="BSE57" s="25"/>
      <c r="BSF57" s="25"/>
      <c r="BSG57" s="25"/>
      <c r="BSH57" s="25"/>
      <c r="BSI57" s="25"/>
      <c r="BSJ57" s="25"/>
      <c r="BSK57" s="25"/>
      <c r="BSL57" s="25"/>
      <c r="BSM57" s="25"/>
      <c r="BSN57" s="25"/>
      <c r="BSO57" s="25"/>
      <c r="BSP57" s="25"/>
      <c r="BSQ57" s="25"/>
      <c r="BSR57" s="25"/>
      <c r="BSS57" s="25"/>
      <c r="BTA57" s="25"/>
      <c r="BTB57" s="25"/>
      <c r="BTC57" s="25"/>
      <c r="BTD57" s="25"/>
      <c r="BTE57" s="25"/>
      <c r="BTF57" s="25"/>
      <c r="BTG57" s="25"/>
      <c r="BTH57" s="25"/>
      <c r="BTI57" s="25"/>
      <c r="BTJ57" s="25"/>
      <c r="BTK57" s="25"/>
      <c r="BTL57" s="25"/>
      <c r="BTM57" s="25"/>
      <c r="BTN57" s="25"/>
      <c r="BUQ57" s="25"/>
      <c r="BUR57" s="25"/>
      <c r="BUS57" s="25"/>
      <c r="BUT57" s="25"/>
      <c r="BUU57" s="25"/>
      <c r="BUV57" s="25"/>
      <c r="BUW57" s="25"/>
      <c r="BUX57" s="25"/>
      <c r="BUY57" s="25"/>
      <c r="BUZ57" s="25"/>
      <c r="BVA57" s="25"/>
      <c r="BVB57" s="25"/>
      <c r="BVC57" s="25"/>
      <c r="BVD57" s="25"/>
      <c r="BWC57" s="25" t="s">
        <v>25</v>
      </c>
      <c r="BWH57" s="25" t="s">
        <v>25</v>
      </c>
      <c r="BWQ57" s="25" t="s">
        <v>25</v>
      </c>
      <c r="BWX57" s="25" t="s">
        <v>28</v>
      </c>
      <c r="BWZ57" s="25" t="s">
        <v>28</v>
      </c>
      <c r="BXB57" s="25" t="s">
        <v>28</v>
      </c>
      <c r="BXD57" s="25" t="s">
        <v>28</v>
      </c>
      <c r="BXF57" s="25" t="s">
        <v>28</v>
      </c>
      <c r="BXH57" s="25" t="s">
        <v>28</v>
      </c>
      <c r="BXJ57" s="25" t="s">
        <v>28</v>
      </c>
      <c r="BXM57" s="25" t="s">
        <v>41</v>
      </c>
      <c r="BXO57" s="25" t="s">
        <v>8274</v>
      </c>
      <c r="BXP57" s="25" t="s">
        <v>8274</v>
      </c>
      <c r="BXQ57" s="25" t="s">
        <v>8274</v>
      </c>
      <c r="BXR57" s="25" t="s">
        <v>8274</v>
      </c>
      <c r="BXS57" s="25" t="s">
        <v>8274</v>
      </c>
      <c r="BXW57" s="25" t="s">
        <v>28</v>
      </c>
      <c r="BXX57" s="25" t="s">
        <v>28</v>
      </c>
      <c r="BYD57" s="25" t="s">
        <v>28</v>
      </c>
      <c r="BYK57" s="25" t="s">
        <v>8333</v>
      </c>
      <c r="BYL57" s="25" t="s">
        <v>28</v>
      </c>
      <c r="BYN57" s="25" t="s">
        <v>28</v>
      </c>
      <c r="BYP57" s="25" t="s">
        <v>28</v>
      </c>
      <c r="BYR57" s="25" t="s">
        <v>28</v>
      </c>
      <c r="BYS57" s="25" t="s">
        <v>8279</v>
      </c>
      <c r="BYT57" s="25" t="s">
        <v>8279</v>
      </c>
      <c r="BYU57" s="25" t="s">
        <v>732</v>
      </c>
      <c r="BYV57" s="25" t="s">
        <v>25</v>
      </c>
      <c r="BYW57" s="25" t="s">
        <v>28</v>
      </c>
      <c r="BYX57" s="56">
        <v>750</v>
      </c>
      <c r="BYY57" s="56">
        <v>1500</v>
      </c>
      <c r="BYZ57" s="25" t="s">
        <v>8280</v>
      </c>
      <c r="BZA57" s="25" t="s">
        <v>8715</v>
      </c>
      <c r="BZB57" s="25" t="s">
        <v>256</v>
      </c>
      <c r="BZC57" s="25" t="s">
        <v>8282</v>
      </c>
      <c r="BZD57" s="25" t="s">
        <v>28</v>
      </c>
      <c r="BZE57" s="25" t="s">
        <v>28</v>
      </c>
      <c r="BZF57" s="25" t="s">
        <v>28</v>
      </c>
      <c r="BZG57" s="25" t="s">
        <v>25</v>
      </c>
      <c r="BZJ57" s="25" t="s">
        <v>25</v>
      </c>
      <c r="BZM57" s="25" t="s">
        <v>28</v>
      </c>
      <c r="BZN57" s="25" t="s">
        <v>8283</v>
      </c>
      <c r="BZP57" s="25" t="s">
        <v>8674</v>
      </c>
      <c r="BZQ57" s="56">
        <v>1000</v>
      </c>
      <c r="BZR57" s="25" t="s">
        <v>28</v>
      </c>
      <c r="BZS57" s="25" t="s">
        <v>28</v>
      </c>
      <c r="BZT57" s="25" t="s">
        <v>8468</v>
      </c>
      <c r="BZV57" s="25" t="s">
        <v>13649</v>
      </c>
      <c r="BZW57" s="25" t="s">
        <v>8716</v>
      </c>
      <c r="BZZ57" s="25" t="s">
        <v>25</v>
      </c>
      <c r="CAC57" s="25" t="s">
        <v>28</v>
      </c>
      <c r="CAE57" s="25" t="s">
        <v>28</v>
      </c>
      <c r="CAF57" s="25" t="s">
        <v>8289</v>
      </c>
      <c r="CAG57" s="25" t="s">
        <v>28</v>
      </c>
      <c r="CAL57" s="25" t="s">
        <v>8290</v>
      </c>
      <c r="CAM57" s="25" t="s">
        <v>8290</v>
      </c>
      <c r="CAN57" s="25" t="s">
        <v>8290</v>
      </c>
      <c r="CAV57" s="25" t="s">
        <v>8456</v>
      </c>
      <c r="CAW57" s="25" t="s">
        <v>8341</v>
      </c>
      <c r="CBB57" s="25">
        <v>2</v>
      </c>
      <c r="CBM57" s="26">
        <v>1</v>
      </c>
      <c r="CBN57" s="26">
        <v>1</v>
      </c>
      <c r="CBO57" s="26">
        <v>0.8</v>
      </c>
      <c r="CBP57" s="26">
        <v>0.8</v>
      </c>
      <c r="CBQ57" s="26">
        <v>0.5</v>
      </c>
      <c r="CBR57" s="26">
        <v>0.5</v>
      </c>
      <c r="CBS57" s="26">
        <v>0.5</v>
      </c>
      <c r="CBT57" s="26">
        <v>0.5</v>
      </c>
      <c r="CBU57" s="27" t="s">
        <v>28</v>
      </c>
      <c r="CBX57" s="27" t="s">
        <v>8717</v>
      </c>
      <c r="CBY57" s="27" t="s">
        <v>8296</v>
      </c>
      <c r="CBZ57" s="27" t="s">
        <v>8297</v>
      </c>
      <c r="CCA57" s="27" t="s">
        <v>8297</v>
      </c>
      <c r="CCB57" s="27" t="s">
        <v>8298</v>
      </c>
      <c r="CCC57" s="27" t="s">
        <v>8297</v>
      </c>
      <c r="CCD57" s="27" t="s">
        <v>8296</v>
      </c>
      <c r="CCE57" s="27" t="s">
        <v>8297</v>
      </c>
      <c r="CCF57" s="27" t="s">
        <v>8297</v>
      </c>
      <c r="CCG57" s="27" t="s">
        <v>8297</v>
      </c>
      <c r="CCH57" s="27" t="s">
        <v>8296</v>
      </c>
      <c r="CCI57" s="27" t="s">
        <v>8298</v>
      </c>
      <c r="CCJ57" s="27" t="s">
        <v>8298</v>
      </c>
      <c r="CCK57" s="27" t="s">
        <v>8297</v>
      </c>
      <c r="CCL57" s="27" t="s">
        <v>8297</v>
      </c>
      <c r="CCN57" s="27" t="s">
        <v>8297</v>
      </c>
      <c r="CCO57" s="27" t="s">
        <v>8297</v>
      </c>
      <c r="CCP57" s="27" t="s">
        <v>8296</v>
      </c>
      <c r="CCQ57" s="27" t="s">
        <v>8296</v>
      </c>
      <c r="CCR57" s="27" t="s">
        <v>8296</v>
      </c>
      <c r="CCS57" s="27" t="s">
        <v>8298</v>
      </c>
      <c r="CCT57" s="27" t="s">
        <v>8297</v>
      </c>
      <c r="CCU57" s="27" t="s">
        <v>8298</v>
      </c>
      <c r="CCV57" s="27" t="s">
        <v>8298</v>
      </c>
      <c r="CCW57" s="27" t="s">
        <v>8298</v>
      </c>
      <c r="CCX57" s="27" t="s">
        <v>8298</v>
      </c>
      <c r="CCY57" s="27" t="s">
        <v>8298</v>
      </c>
      <c r="CCZ57" s="27" t="s">
        <v>28</v>
      </c>
      <c r="CDA57" s="27" t="s">
        <v>28</v>
      </c>
      <c r="CDB57" s="27" t="s">
        <v>28</v>
      </c>
      <c r="CDC57" s="27" t="s">
        <v>28</v>
      </c>
      <c r="CDD57" s="27" t="s">
        <v>28</v>
      </c>
      <c r="CDE57" s="27" t="s">
        <v>28</v>
      </c>
      <c r="CDF57" s="27" t="s">
        <v>28</v>
      </c>
      <c r="CDG57" s="27" t="s">
        <v>28</v>
      </c>
      <c r="CDH57" s="27" t="s">
        <v>28</v>
      </c>
      <c r="CDI57" s="27" t="s">
        <v>28</v>
      </c>
      <c r="CDJ57" s="27" t="s">
        <v>28</v>
      </c>
      <c r="CDK57" s="27" t="s">
        <v>28</v>
      </c>
      <c r="CDL57" s="27" t="s">
        <v>28</v>
      </c>
      <c r="CDM57" s="27" t="s">
        <v>28</v>
      </c>
      <c r="CDO57" s="27" t="s">
        <v>28</v>
      </c>
      <c r="CDP57" s="27" t="s">
        <v>28</v>
      </c>
      <c r="CDQ57" s="27" t="s">
        <v>28</v>
      </c>
      <c r="CDR57" s="27" t="s">
        <v>28</v>
      </c>
      <c r="CDS57" s="27" t="s">
        <v>28</v>
      </c>
      <c r="CDT57" s="27" t="s">
        <v>28</v>
      </c>
      <c r="CDU57" s="27" t="s">
        <v>28</v>
      </c>
      <c r="CDV57" s="27" t="s">
        <v>28</v>
      </c>
      <c r="CDW57" s="27" t="s">
        <v>28</v>
      </c>
      <c r="CDX57" s="27" t="s">
        <v>28</v>
      </c>
      <c r="CDY57" s="27" t="s">
        <v>28</v>
      </c>
      <c r="CDZ57" s="27" t="s">
        <v>28</v>
      </c>
      <c r="CED57" s="27" t="s">
        <v>8420</v>
      </c>
      <c r="CEY57" s="27" t="s">
        <v>8420</v>
      </c>
      <c r="CEZ57" s="27" t="s">
        <v>8420</v>
      </c>
      <c r="CFA57" s="27" t="s">
        <v>8420</v>
      </c>
      <c r="CFB57" s="27" t="s">
        <v>25</v>
      </c>
      <c r="CFC57" s="27" t="s">
        <v>25</v>
      </c>
      <c r="CFD57" s="27" t="s">
        <v>25</v>
      </c>
      <c r="CFE57" s="27" t="s">
        <v>25</v>
      </c>
      <c r="CFF57" s="27" t="s">
        <v>25</v>
      </c>
      <c r="CFG57" s="27" t="s">
        <v>25</v>
      </c>
      <c r="CFH57" s="27" t="s">
        <v>25</v>
      </c>
      <c r="CFI57" s="27" t="s">
        <v>25</v>
      </c>
      <c r="CFJ57" s="27" t="s">
        <v>25</v>
      </c>
      <c r="CFK57" s="27" t="s">
        <v>25</v>
      </c>
      <c r="CFL57" s="27" t="s">
        <v>25</v>
      </c>
      <c r="CFM57" s="27" t="s">
        <v>25</v>
      </c>
      <c r="CFN57" s="27" t="s">
        <v>25</v>
      </c>
      <c r="CFO57" s="27" t="s">
        <v>25</v>
      </c>
      <c r="CFQ57" s="27" t="s">
        <v>25</v>
      </c>
      <c r="CFR57" s="27" t="s">
        <v>25</v>
      </c>
      <c r="CFS57" s="27" t="s">
        <v>25</v>
      </c>
      <c r="CFT57" s="27" t="s">
        <v>25</v>
      </c>
      <c r="CFU57" s="27" t="s">
        <v>25</v>
      </c>
      <c r="CFV57" s="27" t="s">
        <v>25</v>
      </c>
      <c r="CFW57" s="27" t="s">
        <v>25</v>
      </c>
      <c r="CFX57" s="27" t="s">
        <v>25</v>
      </c>
      <c r="CFY57" s="27" t="s">
        <v>25</v>
      </c>
      <c r="CFZ57" s="27" t="s">
        <v>25</v>
      </c>
      <c r="CGA57" s="27" t="s">
        <v>25</v>
      </c>
      <c r="CGB57" s="27" t="s">
        <v>25</v>
      </c>
      <c r="CPW57" s="27">
        <v>1</v>
      </c>
      <c r="CQB57" s="25" t="s">
        <v>8307</v>
      </c>
      <c r="CQC57" s="25" t="s">
        <v>8307</v>
      </c>
      <c r="CQD57" s="25" t="s">
        <v>8344</v>
      </c>
      <c r="CQE57" s="25" t="s">
        <v>8307</v>
      </c>
      <c r="CQF57" s="25" t="s">
        <v>8307</v>
      </c>
      <c r="CQG57" s="56">
        <v>10</v>
      </c>
      <c r="CQH57" s="56">
        <v>20</v>
      </c>
      <c r="CQI57" s="56">
        <v>0</v>
      </c>
      <c r="CQJ57" s="56">
        <v>0</v>
      </c>
      <c r="CQK57" s="56">
        <v>0</v>
      </c>
      <c r="CQL57" s="25" t="s">
        <v>13680</v>
      </c>
      <c r="CQM57" s="25" t="s">
        <v>8665</v>
      </c>
      <c r="CQN57" s="25" t="s">
        <v>28</v>
      </c>
      <c r="CQO57" s="25" t="s">
        <v>8309</v>
      </c>
      <c r="CQS57" s="25" t="s">
        <v>28</v>
      </c>
      <c r="CQT57" s="25" t="s">
        <v>8312</v>
      </c>
      <c r="CQU57" s="25" t="s">
        <v>8312</v>
      </c>
      <c r="CQV57" s="25" t="s">
        <v>8312</v>
      </c>
      <c r="CQW57" s="25" t="s">
        <v>8312</v>
      </c>
      <c r="CQX57" s="25" t="s">
        <v>8312</v>
      </c>
      <c r="CQY57" s="25" t="s">
        <v>8312</v>
      </c>
      <c r="CQZ57" s="25" t="s">
        <v>8312</v>
      </c>
      <c r="CRA57" s="25" t="s">
        <v>8312</v>
      </c>
      <c r="CRB57" s="25" t="s">
        <v>8312</v>
      </c>
      <c r="CRC57" s="25" t="s">
        <v>8312</v>
      </c>
      <c r="CRD57" s="25" t="s">
        <v>8312</v>
      </c>
      <c r="CRE57" s="27" t="s">
        <v>8312</v>
      </c>
    </row>
    <row r="58" spans="1:2048 2050:2501" ht="89.25" x14ac:dyDescent="0.2">
      <c r="A58" s="21" t="s">
        <v>149</v>
      </c>
      <c r="B58" s="26">
        <v>0</v>
      </c>
      <c r="C58" s="26">
        <v>0</v>
      </c>
      <c r="D58" s="26">
        <v>0.04</v>
      </c>
      <c r="E58" s="26">
        <v>0.94</v>
      </c>
      <c r="F58" s="26">
        <v>0</v>
      </c>
      <c r="G58" s="26">
        <v>0</v>
      </c>
      <c r="H58" s="26">
        <v>0</v>
      </c>
      <c r="I58" s="26">
        <v>0</v>
      </c>
      <c r="J58" s="26">
        <v>0</v>
      </c>
      <c r="K58" s="26">
        <v>0</v>
      </c>
      <c r="L58" s="26">
        <v>0</v>
      </c>
      <c r="M58" s="26">
        <v>0.02</v>
      </c>
      <c r="N58" s="26">
        <v>0</v>
      </c>
      <c r="O58" s="26">
        <v>0</v>
      </c>
      <c r="P58" s="26">
        <v>0.01</v>
      </c>
      <c r="Q58" s="26">
        <v>0.95</v>
      </c>
      <c r="R58" s="26">
        <v>0</v>
      </c>
      <c r="S58" s="26">
        <v>0</v>
      </c>
      <c r="T58" s="26">
        <v>0</v>
      </c>
      <c r="U58" s="26">
        <v>0</v>
      </c>
      <c r="V58" s="26">
        <v>0</v>
      </c>
      <c r="W58" s="26">
        <v>0</v>
      </c>
      <c r="X58" s="26">
        <v>0</v>
      </c>
      <c r="Y58" s="26">
        <v>0.04</v>
      </c>
      <c r="Z58" s="25">
        <v>0</v>
      </c>
      <c r="KP58" s="25">
        <v>1</v>
      </c>
      <c r="KQ58" s="25" t="s">
        <v>8741</v>
      </c>
      <c r="KS58" s="56">
        <v>2500</v>
      </c>
      <c r="KT58" s="56">
        <v>6250</v>
      </c>
      <c r="KU58" s="56">
        <v>2500</v>
      </c>
      <c r="KV58" s="56">
        <v>6250</v>
      </c>
      <c r="KX58" s="56">
        <v>6250</v>
      </c>
      <c r="KY58" s="25" t="s">
        <v>8246</v>
      </c>
      <c r="KZ58" s="56">
        <v>1500</v>
      </c>
      <c r="LA58" s="56">
        <v>3750</v>
      </c>
      <c r="LB58" s="56">
        <v>1500</v>
      </c>
      <c r="LC58" s="56">
        <v>3750</v>
      </c>
      <c r="LD58" s="25" t="s">
        <v>8247</v>
      </c>
      <c r="LE58" s="25" t="s">
        <v>8248</v>
      </c>
      <c r="LR58" s="25" t="s">
        <v>8249</v>
      </c>
      <c r="OE58" s="25" t="s">
        <v>25</v>
      </c>
      <c r="OF58" s="25" t="s">
        <v>28</v>
      </c>
      <c r="OG58" s="25" t="s">
        <v>25</v>
      </c>
      <c r="OH58" s="25" t="s">
        <v>25</v>
      </c>
      <c r="OJ58" s="25" t="s">
        <v>13416</v>
      </c>
      <c r="OK58" s="25" t="s">
        <v>13416</v>
      </c>
      <c r="OQ58" s="56">
        <v>45</v>
      </c>
      <c r="OS58" s="26">
        <v>0.1</v>
      </c>
      <c r="OT58" s="26">
        <v>0.1</v>
      </c>
      <c r="OU58" s="26">
        <v>0.1</v>
      </c>
      <c r="OV58" s="26">
        <v>0.1</v>
      </c>
      <c r="OW58" s="26">
        <v>0.1</v>
      </c>
      <c r="PG58" s="26">
        <v>0.3</v>
      </c>
      <c r="PH58" s="26">
        <v>0.3</v>
      </c>
      <c r="PI58" s="26">
        <v>0.3</v>
      </c>
      <c r="PJ58" s="26">
        <v>0.3</v>
      </c>
      <c r="PK58" s="26">
        <v>0.3</v>
      </c>
      <c r="PL58" s="26">
        <v>0.3</v>
      </c>
      <c r="PN58" s="25" t="s">
        <v>8250</v>
      </c>
      <c r="PO58" s="25" t="s">
        <v>8250</v>
      </c>
      <c r="PP58" s="25" t="s">
        <v>8250</v>
      </c>
      <c r="PQ58" s="25" t="s">
        <v>8250</v>
      </c>
      <c r="PR58" s="25" t="s">
        <v>8250</v>
      </c>
      <c r="PS58" s="25" t="s">
        <v>8250</v>
      </c>
      <c r="PU58" s="25" t="s">
        <v>25</v>
      </c>
      <c r="PV58" s="25" t="s">
        <v>25</v>
      </c>
      <c r="PW58" s="25" t="s">
        <v>25</v>
      </c>
      <c r="PX58" s="25" t="s">
        <v>25</v>
      </c>
      <c r="PY58" s="25" t="s">
        <v>25</v>
      </c>
      <c r="PZ58" s="25" t="s">
        <v>25</v>
      </c>
      <c r="QB58" s="25" t="s">
        <v>13810</v>
      </c>
      <c r="QC58" s="25" t="s">
        <v>13810</v>
      </c>
      <c r="QD58" s="25" t="s">
        <v>13810</v>
      </c>
      <c r="QE58" s="25" t="s">
        <v>13810</v>
      </c>
      <c r="QF58" s="25" t="s">
        <v>13810</v>
      </c>
      <c r="QG58" s="25" t="s">
        <v>13810</v>
      </c>
      <c r="QH58" s="25" t="s">
        <v>13810</v>
      </c>
      <c r="QI58" s="25" t="s">
        <v>631</v>
      </c>
      <c r="QJ58" s="25" t="s">
        <v>631</v>
      </c>
      <c r="QL58" s="25" t="s">
        <v>8253</v>
      </c>
      <c r="QM58" s="25" t="s">
        <v>8253</v>
      </c>
      <c r="QN58" s="25" t="s">
        <v>8253</v>
      </c>
      <c r="QO58" s="25" t="s">
        <v>8493</v>
      </c>
      <c r="QP58" s="25" t="s">
        <v>8325</v>
      </c>
      <c r="QQ58" s="25" t="s">
        <v>8262</v>
      </c>
      <c r="QR58" s="25" t="s">
        <v>13453</v>
      </c>
      <c r="RW58" s="26">
        <v>0.1</v>
      </c>
      <c r="SR58" s="26">
        <v>0.1</v>
      </c>
      <c r="UH58" s="57">
        <v>0.1</v>
      </c>
      <c r="VC58" s="25" t="s">
        <v>8255</v>
      </c>
      <c r="VD58" s="25" t="s">
        <v>8298</v>
      </c>
      <c r="VE58" s="25" t="s">
        <v>8508</v>
      </c>
      <c r="VF58" s="25">
        <v>0</v>
      </c>
      <c r="VI58" s="25"/>
      <c r="VJ58" s="25"/>
      <c r="VK58" s="25"/>
      <c r="VL58" s="25"/>
      <c r="VM58" s="25"/>
      <c r="VN58" s="25"/>
      <c r="VP58" s="25"/>
      <c r="VQ58" s="25"/>
      <c r="VR58" s="25"/>
      <c r="VS58" s="25"/>
      <c r="ZA58" s="25"/>
      <c r="ZB58" s="25"/>
      <c r="ZC58" s="25"/>
      <c r="ZD58" s="25"/>
      <c r="ZE58" s="25"/>
      <c r="ZF58" s="25"/>
      <c r="ZG58" s="25"/>
      <c r="ZO58" s="25"/>
      <c r="ZP58" s="25"/>
      <c r="ZQ58" s="25"/>
      <c r="ZR58" s="25"/>
      <c r="ZS58" s="25"/>
      <c r="ZT58" s="25"/>
      <c r="ZU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S58" s="25"/>
      <c r="ACT58" s="25"/>
      <c r="ACU58" s="25"/>
      <c r="ACV58" s="25"/>
      <c r="ACW58" s="25"/>
      <c r="ACX58" s="25"/>
      <c r="ACY58" s="25"/>
      <c r="ACZ58" s="25"/>
      <c r="ADA58" s="25"/>
      <c r="ADB58" s="25"/>
      <c r="ADC58" s="25"/>
      <c r="ADD58" s="25"/>
      <c r="ADE58" s="25"/>
      <c r="ADF58" s="25"/>
      <c r="ADN58" s="25"/>
      <c r="ADO58" s="25"/>
      <c r="ADP58" s="25"/>
      <c r="ADQ58" s="25"/>
      <c r="ADR58" s="25"/>
      <c r="ADS58" s="25"/>
      <c r="ADT58" s="25"/>
      <c r="ADU58" s="25"/>
      <c r="ADV58" s="25"/>
      <c r="ADW58" s="25"/>
      <c r="ADX58" s="25"/>
      <c r="ADY58" s="25"/>
      <c r="ADZ58" s="25"/>
      <c r="AEA58" s="25"/>
      <c r="AEI58" s="25"/>
      <c r="AEJ58" s="25"/>
      <c r="AEK58" s="25"/>
      <c r="AEL58" s="25"/>
      <c r="AEM58" s="25"/>
      <c r="AEN58" s="25"/>
      <c r="AEO58" s="25"/>
      <c r="AEP58" s="25"/>
      <c r="AEQ58" s="25"/>
      <c r="AER58" s="25"/>
      <c r="AES58" s="25"/>
      <c r="AET58" s="25"/>
      <c r="AEU58" s="25"/>
      <c r="AEV58" s="25"/>
      <c r="AFD58" s="25"/>
      <c r="AFE58" s="25"/>
      <c r="AFF58" s="25"/>
      <c r="AFG58" s="25"/>
      <c r="AFH58" s="25"/>
      <c r="AFI58" s="25"/>
      <c r="AFJ58" s="25"/>
      <c r="AFK58" s="25"/>
      <c r="AFL58" s="25"/>
      <c r="AFM58" s="25"/>
      <c r="AFN58" s="25"/>
      <c r="AFO58" s="25"/>
      <c r="AFP58" s="25"/>
      <c r="AFQ58" s="25"/>
      <c r="AFU58" s="25">
        <v>0</v>
      </c>
      <c r="AFX58" s="25"/>
      <c r="AFY58" s="25"/>
      <c r="AFZ58" s="25"/>
      <c r="AGA58" s="25"/>
      <c r="AGB58" s="25"/>
      <c r="AGC58" s="25"/>
      <c r="AGE58" s="25"/>
      <c r="AGF58" s="25"/>
      <c r="AGG58" s="25"/>
      <c r="AGH58" s="25"/>
      <c r="AJP58" s="25"/>
      <c r="AJQ58" s="25"/>
      <c r="AJR58" s="25"/>
      <c r="AJS58" s="25"/>
      <c r="AJT58" s="25"/>
      <c r="AJU58" s="25"/>
      <c r="AJV58" s="25"/>
      <c r="AKD58" s="25"/>
      <c r="AKE58" s="25"/>
      <c r="AKF58" s="25"/>
      <c r="AKG58" s="25"/>
      <c r="AKH58" s="25"/>
      <c r="AKI58" s="25"/>
      <c r="AKJ58" s="25"/>
      <c r="ALY58" s="25"/>
      <c r="ALZ58" s="25"/>
      <c r="AMA58" s="25"/>
      <c r="AMB58" s="25"/>
      <c r="AMC58" s="25"/>
      <c r="AMD58" s="25"/>
      <c r="AME58" s="25"/>
      <c r="AMF58" s="25"/>
      <c r="AMG58" s="25"/>
      <c r="AMH58" s="25"/>
      <c r="AMI58" s="25"/>
      <c r="AMJ58" s="25"/>
      <c r="AMK58" s="25"/>
      <c r="AML58" s="25"/>
      <c r="AMM58" s="25"/>
      <c r="AMN58" s="25"/>
      <c r="AMO58" s="25"/>
      <c r="AMP58" s="25"/>
      <c r="AMQ58" s="25"/>
      <c r="AMR58" s="25"/>
      <c r="AMS58" s="25"/>
      <c r="AMT58" s="25"/>
      <c r="AMU58" s="25"/>
      <c r="AMV58" s="25"/>
      <c r="AMW58" s="25"/>
      <c r="AMX58" s="25"/>
      <c r="AMY58" s="25"/>
      <c r="AMZ58" s="25"/>
      <c r="ANH58" s="25"/>
      <c r="ANI58" s="25"/>
      <c r="ANJ58" s="25"/>
      <c r="ANK58" s="25"/>
      <c r="ANL58" s="25"/>
      <c r="ANM58" s="25"/>
      <c r="ANN58" s="25"/>
      <c r="ANO58" s="25"/>
      <c r="ANP58" s="25"/>
      <c r="ANQ58" s="25"/>
      <c r="ANR58" s="25"/>
      <c r="ANS58" s="25"/>
      <c r="ANT58" s="25"/>
      <c r="ANU58" s="25"/>
      <c r="AOC58" s="25"/>
      <c r="AOD58" s="25"/>
      <c r="AOE58" s="25"/>
      <c r="AOF58" s="25"/>
      <c r="AOG58" s="25"/>
      <c r="AOH58" s="25"/>
      <c r="AOI58" s="25"/>
      <c r="AOJ58" s="25"/>
      <c r="AOK58" s="25"/>
      <c r="AOL58" s="25"/>
      <c r="AOM58" s="25"/>
      <c r="AON58" s="25"/>
      <c r="AOO58" s="25"/>
      <c r="AOP58" s="25"/>
      <c r="AOX58" s="25"/>
      <c r="AOY58" s="25"/>
      <c r="AOZ58" s="25"/>
      <c r="APA58" s="25"/>
      <c r="APB58" s="25"/>
      <c r="APC58" s="25"/>
      <c r="APD58" s="25"/>
      <c r="APE58" s="25"/>
      <c r="APF58" s="25"/>
      <c r="APG58" s="25"/>
      <c r="APH58" s="25"/>
      <c r="API58" s="25"/>
      <c r="APJ58" s="25"/>
      <c r="APK58" s="25"/>
      <c r="APS58" s="25"/>
      <c r="APT58" s="25"/>
      <c r="APU58" s="25"/>
      <c r="APV58" s="25"/>
      <c r="APW58" s="25"/>
      <c r="APX58" s="25"/>
      <c r="APY58" s="25"/>
      <c r="APZ58" s="25"/>
      <c r="AQA58" s="25"/>
      <c r="AQB58" s="25"/>
      <c r="AQC58" s="25"/>
      <c r="AQD58" s="25"/>
      <c r="AQE58" s="25"/>
      <c r="AQF58" s="25"/>
      <c r="AQJ58" s="25">
        <v>2</v>
      </c>
      <c r="AQK58" s="25" t="s">
        <v>8742</v>
      </c>
      <c r="AQL58" s="25" t="s">
        <v>8743</v>
      </c>
      <c r="AQM58" s="56">
        <v>1500</v>
      </c>
      <c r="AQN58" s="56">
        <v>4500</v>
      </c>
      <c r="AQS58" s="25" t="s">
        <v>8260</v>
      </c>
      <c r="AQX58" s="25" t="s">
        <v>8248</v>
      </c>
      <c r="ARK58" s="25" t="s">
        <v>8249</v>
      </c>
      <c r="ATX58" s="25" t="s">
        <v>25</v>
      </c>
      <c r="ATY58" s="25" t="s">
        <v>28</v>
      </c>
      <c r="ATZ58" s="25" t="s">
        <v>25</v>
      </c>
      <c r="AUA58" s="25" t="s">
        <v>25</v>
      </c>
      <c r="AUC58" s="25" t="s">
        <v>13417</v>
      </c>
      <c r="AUD58" s="25" t="s">
        <v>8404</v>
      </c>
      <c r="AUE58" s="56">
        <v>20</v>
      </c>
      <c r="AUF58" s="56">
        <v>40</v>
      </c>
      <c r="AUG58" s="56">
        <v>20</v>
      </c>
      <c r="AUH58" s="56">
        <v>75</v>
      </c>
      <c r="AUI58" s="56">
        <v>20</v>
      </c>
      <c r="AUJ58" s="56">
        <v>0</v>
      </c>
      <c r="AUV58" s="56">
        <v>75</v>
      </c>
      <c r="AVG58" s="25" t="s">
        <v>8250</v>
      </c>
      <c r="AVH58" s="25" t="s">
        <v>8250</v>
      </c>
      <c r="AVI58" s="25" t="s">
        <v>8250</v>
      </c>
      <c r="AVJ58" s="25" t="s">
        <v>8527</v>
      </c>
      <c r="AVK58" s="25" t="s">
        <v>8250</v>
      </c>
      <c r="AVL58" s="25" t="s">
        <v>8261</v>
      </c>
      <c r="AVN58" s="25" t="s">
        <v>13593</v>
      </c>
      <c r="AVO58" s="25" t="s">
        <v>13593</v>
      </c>
      <c r="AVP58" s="25" t="s">
        <v>13593</v>
      </c>
      <c r="AVQ58" s="25" t="s">
        <v>13593</v>
      </c>
      <c r="AVR58" s="25" t="s">
        <v>13593</v>
      </c>
      <c r="AVS58" s="25" t="s">
        <v>13593</v>
      </c>
      <c r="AVU58" s="25" t="s">
        <v>13810</v>
      </c>
      <c r="AVV58" s="25" t="s">
        <v>13810</v>
      </c>
      <c r="AVW58" s="25" t="s">
        <v>13810</v>
      </c>
      <c r="AVX58" s="25" t="s">
        <v>13810</v>
      </c>
      <c r="AVY58" s="25" t="s">
        <v>13810</v>
      </c>
      <c r="AVZ58" s="25" t="s">
        <v>13810</v>
      </c>
      <c r="AWA58" s="25" t="s">
        <v>13810</v>
      </c>
      <c r="AWB58" s="25" t="s">
        <v>631</v>
      </c>
      <c r="AWC58" s="25" t="s">
        <v>631</v>
      </c>
      <c r="AWE58" s="25" t="s">
        <v>8253</v>
      </c>
      <c r="AWF58" s="25" t="s">
        <v>8253</v>
      </c>
      <c r="AWG58" s="25" t="s">
        <v>8253</v>
      </c>
      <c r="AWH58" s="25" t="s">
        <v>8262</v>
      </c>
      <c r="AWI58" s="25" t="s">
        <v>8253</v>
      </c>
      <c r="AWJ58" s="25" t="s">
        <v>8325</v>
      </c>
      <c r="AWK58" s="25" t="s">
        <v>8262</v>
      </c>
      <c r="AWR58" s="56">
        <v>10</v>
      </c>
      <c r="AWT58" s="56">
        <v>5</v>
      </c>
      <c r="AWV58" s="56">
        <v>25</v>
      </c>
      <c r="AWX58" s="56">
        <v>20</v>
      </c>
      <c r="AWZ58" s="56">
        <v>50</v>
      </c>
      <c r="AXB58" s="56">
        <v>45</v>
      </c>
      <c r="BAV58" s="25" t="s">
        <v>8255</v>
      </c>
      <c r="BAW58" s="25" t="s">
        <v>8298</v>
      </c>
      <c r="BAX58" s="25" t="s">
        <v>8508</v>
      </c>
      <c r="BAY58" s="25">
        <v>0</v>
      </c>
      <c r="BBB58" s="25"/>
      <c r="BBC58" s="25"/>
      <c r="BBD58" s="25"/>
      <c r="BBE58" s="25"/>
      <c r="BBF58" s="25"/>
      <c r="BBG58" s="25"/>
      <c r="BBI58" s="25"/>
      <c r="BBJ58" s="25"/>
      <c r="BBK58" s="25"/>
      <c r="BBL58" s="25"/>
      <c r="BET58" s="25"/>
      <c r="BEU58" s="25"/>
      <c r="BEV58" s="25"/>
      <c r="BEW58" s="25"/>
      <c r="BEX58" s="25"/>
      <c r="BEY58" s="25"/>
      <c r="BEZ58" s="25"/>
      <c r="BFH58" s="25"/>
      <c r="BFI58" s="25"/>
      <c r="BFJ58" s="25"/>
      <c r="BFK58" s="25"/>
      <c r="BFL58" s="25"/>
      <c r="BFM58" s="25"/>
      <c r="BFN58" s="25"/>
      <c r="BHC58" s="25"/>
      <c r="BHD58" s="25"/>
      <c r="BHE58" s="25"/>
      <c r="BHF58" s="25"/>
      <c r="BHG58" s="25"/>
      <c r="BHH58" s="25"/>
      <c r="BHI58" s="25"/>
      <c r="BHJ58" s="25"/>
      <c r="BHK58" s="25"/>
      <c r="BHL58" s="25"/>
      <c r="BHM58" s="25"/>
      <c r="BHN58" s="25"/>
      <c r="BHO58" s="25"/>
      <c r="BHP58" s="25"/>
      <c r="BHQ58" s="25"/>
      <c r="BHR58" s="25"/>
      <c r="BHS58" s="25"/>
      <c r="BHT58" s="25"/>
      <c r="BHU58" s="25"/>
      <c r="BHV58" s="25"/>
      <c r="BHW58" s="25"/>
      <c r="BHX58" s="25"/>
      <c r="BHY58" s="25"/>
      <c r="BHZ58" s="25"/>
      <c r="BIA58" s="25"/>
      <c r="BIB58" s="25"/>
      <c r="BIC58" s="25"/>
      <c r="BID58" s="25"/>
      <c r="BIL58" s="25"/>
      <c r="BIM58" s="25"/>
      <c r="BIN58" s="25"/>
      <c r="BIO58" s="25"/>
      <c r="BIP58" s="25"/>
      <c r="BIQ58" s="25"/>
      <c r="BIR58" s="25"/>
      <c r="BIS58" s="25"/>
      <c r="BIT58" s="25"/>
      <c r="BIU58" s="25"/>
      <c r="BIV58" s="25"/>
      <c r="BIW58" s="25"/>
      <c r="BIX58" s="25"/>
      <c r="BIY58" s="25"/>
      <c r="BJG58" s="25"/>
      <c r="BJH58" s="25"/>
      <c r="BJI58" s="25"/>
      <c r="BJJ58" s="25"/>
      <c r="BJK58" s="25"/>
      <c r="BJL58" s="25"/>
      <c r="BJM58" s="25"/>
      <c r="BJN58" s="25"/>
      <c r="BJO58" s="25"/>
      <c r="BJP58" s="25"/>
      <c r="BJQ58" s="25"/>
      <c r="BJR58" s="25"/>
      <c r="BJS58" s="25"/>
      <c r="BJT58" s="25"/>
      <c r="BKB58" s="25"/>
      <c r="BKC58" s="25"/>
      <c r="BKD58" s="25"/>
      <c r="BKE58" s="25"/>
      <c r="BKF58" s="25"/>
      <c r="BKG58" s="25"/>
      <c r="BKH58" s="25"/>
      <c r="BKI58" s="25"/>
      <c r="BKJ58" s="25"/>
      <c r="BKK58" s="25"/>
      <c r="BKL58" s="25"/>
      <c r="BKM58" s="25"/>
      <c r="BKN58" s="25"/>
      <c r="BKO58" s="25"/>
      <c r="BKW58" s="25"/>
      <c r="BKX58" s="25"/>
      <c r="BKY58" s="25"/>
      <c r="BKZ58" s="25"/>
      <c r="BLA58" s="25"/>
      <c r="BLB58" s="25"/>
      <c r="BLC58" s="25"/>
      <c r="BLD58" s="25"/>
      <c r="BLE58" s="25"/>
      <c r="BLF58" s="25"/>
      <c r="BLG58" s="25"/>
      <c r="BLH58" s="25"/>
      <c r="BLI58" s="25"/>
      <c r="BLJ58" s="25"/>
      <c r="BLN58" s="25">
        <v>0</v>
      </c>
      <c r="BLQ58" s="25"/>
      <c r="BLR58" s="25"/>
      <c r="BLS58" s="25"/>
      <c r="BLT58" s="25"/>
      <c r="BLU58" s="25"/>
      <c r="BLV58" s="25"/>
      <c r="BLX58" s="25"/>
      <c r="BLY58" s="25"/>
      <c r="BLZ58" s="25"/>
      <c r="BMA58" s="25"/>
      <c r="BPI58" s="25"/>
      <c r="BPJ58" s="25"/>
      <c r="BPK58" s="25"/>
      <c r="BPL58" s="25"/>
      <c r="BPM58" s="25"/>
      <c r="BPN58" s="25"/>
      <c r="BPO58" s="25"/>
      <c r="BPW58" s="25"/>
      <c r="BPX58" s="25"/>
      <c r="BPY58" s="25"/>
      <c r="BPZ58" s="25"/>
      <c r="BQA58" s="25"/>
      <c r="BQB58" s="25"/>
      <c r="BQC58" s="25"/>
      <c r="BRR58" s="25"/>
      <c r="BRS58" s="25"/>
      <c r="BRT58" s="25"/>
      <c r="BRU58" s="25"/>
      <c r="BRV58" s="25"/>
      <c r="BRW58" s="25"/>
      <c r="BRX58" s="25"/>
      <c r="BRY58" s="25"/>
      <c r="BRZ58" s="25"/>
      <c r="BSA58" s="25"/>
      <c r="BSB58" s="25"/>
      <c r="BSC58" s="25"/>
      <c r="BSD58" s="25"/>
      <c r="BSE58" s="25"/>
      <c r="BSF58" s="25"/>
      <c r="BSG58" s="25"/>
      <c r="BSH58" s="25"/>
      <c r="BSI58" s="25"/>
      <c r="BSJ58" s="25"/>
      <c r="BSK58" s="25"/>
      <c r="BSL58" s="25"/>
      <c r="BSM58" s="25"/>
      <c r="BSN58" s="25"/>
      <c r="BSO58" s="25"/>
      <c r="BSP58" s="25"/>
      <c r="BSQ58" s="25"/>
      <c r="BSR58" s="25"/>
      <c r="BSS58" s="25"/>
      <c r="BTA58" s="25"/>
      <c r="BTB58" s="25"/>
      <c r="BTC58" s="25"/>
      <c r="BTD58" s="25"/>
      <c r="BTE58" s="25"/>
      <c r="BTF58" s="25"/>
      <c r="BTG58" s="25"/>
      <c r="BTH58" s="25"/>
      <c r="BTI58" s="25"/>
      <c r="BTJ58" s="25"/>
      <c r="BTK58" s="25"/>
      <c r="BTL58" s="25"/>
      <c r="BTM58" s="25"/>
      <c r="BTN58" s="25"/>
      <c r="BUQ58" s="25"/>
      <c r="BUR58" s="25"/>
      <c r="BUS58" s="25"/>
      <c r="BUT58" s="25"/>
      <c r="BUU58" s="25"/>
      <c r="BUV58" s="25"/>
      <c r="BUW58" s="25"/>
      <c r="BUX58" s="25"/>
      <c r="BUY58" s="25"/>
      <c r="BUZ58" s="25"/>
      <c r="BVA58" s="25"/>
      <c r="BVB58" s="25"/>
      <c r="BVC58" s="25"/>
      <c r="BVD58" s="25"/>
      <c r="BWC58" s="25" t="s">
        <v>28</v>
      </c>
      <c r="BWD58" s="25" t="s">
        <v>8659</v>
      </c>
      <c r="BWE58" s="25" t="s">
        <v>8660</v>
      </c>
      <c r="BWF58" s="25" t="s">
        <v>13715</v>
      </c>
      <c r="BWG58" s="25" t="s">
        <v>28</v>
      </c>
      <c r="BWH58" s="25" t="s">
        <v>2169</v>
      </c>
      <c r="BWI58" s="25" t="s">
        <v>28</v>
      </c>
      <c r="BWJ58" s="25" t="s">
        <v>8267</v>
      </c>
      <c r="BWK58" s="25" t="s">
        <v>25</v>
      </c>
      <c r="BWM58" s="25" t="s">
        <v>28</v>
      </c>
      <c r="BWN58" s="56">
        <v>5000</v>
      </c>
      <c r="BWO58" s="25" t="s">
        <v>25</v>
      </c>
      <c r="BWQ58" s="25" t="s">
        <v>28</v>
      </c>
      <c r="BWR58" s="25" t="s">
        <v>25</v>
      </c>
      <c r="BWT58" s="25" t="s">
        <v>25</v>
      </c>
      <c r="BWV58" s="25" t="s">
        <v>25</v>
      </c>
      <c r="BWX58" s="25" t="s">
        <v>28</v>
      </c>
      <c r="BWY58" s="25" t="s">
        <v>8566</v>
      </c>
      <c r="BWZ58" s="25" t="s">
        <v>28</v>
      </c>
      <c r="BXA58" s="56">
        <v>24</v>
      </c>
      <c r="BXB58" s="25" t="s">
        <v>25</v>
      </c>
      <c r="BXD58" s="25" t="s">
        <v>28</v>
      </c>
      <c r="BXE58" s="25" t="s">
        <v>8566</v>
      </c>
      <c r="BXF58" s="25" t="s">
        <v>28</v>
      </c>
      <c r="BXG58" s="56">
        <v>24</v>
      </c>
      <c r="BXH58" s="25" t="s">
        <v>25</v>
      </c>
      <c r="BXJ58" s="25" t="s">
        <v>28</v>
      </c>
      <c r="BXK58" s="25" t="s">
        <v>8360</v>
      </c>
      <c r="BXL58" s="25" t="s">
        <v>13821</v>
      </c>
      <c r="BXM58" s="25" t="s">
        <v>2201</v>
      </c>
      <c r="BXN58" s="25" t="s">
        <v>8332</v>
      </c>
      <c r="BXO58" s="25" t="s">
        <v>8274</v>
      </c>
      <c r="BXP58" s="25" t="s">
        <v>8361</v>
      </c>
      <c r="BXQ58" s="25" t="s">
        <v>8274</v>
      </c>
      <c r="BXR58" s="25" t="s">
        <v>8361</v>
      </c>
      <c r="BXS58" s="25" t="s">
        <v>8361</v>
      </c>
      <c r="BXT58" s="25" t="s">
        <v>8406</v>
      </c>
      <c r="BXU58" s="25" t="s">
        <v>25</v>
      </c>
      <c r="BXW58" s="25" t="s">
        <v>25</v>
      </c>
      <c r="BXX58" s="25" t="s">
        <v>25</v>
      </c>
      <c r="BXY58" s="25" t="s">
        <v>25</v>
      </c>
      <c r="BXZ58" s="25" t="s">
        <v>28</v>
      </c>
      <c r="BYA58" s="25" t="s">
        <v>28</v>
      </c>
      <c r="BYB58" s="25" t="s">
        <v>25</v>
      </c>
      <c r="BYC58" s="25" t="s">
        <v>2201</v>
      </c>
      <c r="BYD58" s="25" t="s">
        <v>28</v>
      </c>
      <c r="BYE58" s="25" t="s">
        <v>13612</v>
      </c>
      <c r="BYF58" s="25" t="s">
        <v>13630</v>
      </c>
      <c r="BYG58" s="25" t="s">
        <v>1041</v>
      </c>
      <c r="BYH58" s="25" t="s">
        <v>8515</v>
      </c>
      <c r="BYI58" s="56" t="s">
        <v>1041</v>
      </c>
      <c r="BYJ58" s="56" t="s">
        <v>1041</v>
      </c>
      <c r="BYK58" s="25" t="s">
        <v>28</v>
      </c>
      <c r="BYL58" s="25" t="s">
        <v>25</v>
      </c>
      <c r="BYN58" s="25" t="s">
        <v>25</v>
      </c>
      <c r="BYP58" s="25" t="s">
        <v>25</v>
      </c>
      <c r="BYR58" s="25" t="s">
        <v>28</v>
      </c>
      <c r="BYS58" s="25" t="s">
        <v>8279</v>
      </c>
      <c r="BYT58" s="25" t="s">
        <v>8279</v>
      </c>
      <c r="BYU58" s="25" t="s">
        <v>732</v>
      </c>
      <c r="BYV58" s="25" t="s">
        <v>25</v>
      </c>
      <c r="BYW58" s="25" t="s">
        <v>28</v>
      </c>
      <c r="BYX58" s="56">
        <v>1000</v>
      </c>
      <c r="BYY58" s="56">
        <v>2500</v>
      </c>
      <c r="BYZ58" s="25" t="s">
        <v>8744</v>
      </c>
      <c r="BZA58" s="25" t="s">
        <v>8745</v>
      </c>
      <c r="BZB58" s="25" t="s">
        <v>2354</v>
      </c>
      <c r="BZD58" s="25" t="s">
        <v>28</v>
      </c>
      <c r="BZE58" s="25" t="s">
        <v>28</v>
      </c>
      <c r="BZF58" s="25" t="s">
        <v>28</v>
      </c>
      <c r="BZG58" s="25" t="s">
        <v>25</v>
      </c>
      <c r="BZJ58" s="25" t="s">
        <v>25</v>
      </c>
      <c r="BZM58" s="25" t="s">
        <v>28</v>
      </c>
      <c r="BZN58" s="25" t="s">
        <v>8283</v>
      </c>
      <c r="BZP58" s="25" t="s">
        <v>8674</v>
      </c>
      <c r="BZQ58" s="56" t="s">
        <v>8392</v>
      </c>
      <c r="BZR58" s="25" t="s">
        <v>819</v>
      </c>
      <c r="BZS58" s="25" t="s">
        <v>28</v>
      </c>
      <c r="BZT58" s="25" t="s">
        <v>8337</v>
      </c>
      <c r="BZV58" s="25" t="s">
        <v>13651</v>
      </c>
      <c r="BZX58" s="25" t="s">
        <v>8739</v>
      </c>
      <c r="BZZ58" s="25" t="s">
        <v>25</v>
      </c>
      <c r="CAC58" s="25" t="s">
        <v>28</v>
      </c>
      <c r="CAD58" s="25" t="s">
        <v>8288</v>
      </c>
      <c r="CAE58" s="25" t="s">
        <v>28</v>
      </c>
      <c r="CAF58" s="25" t="s">
        <v>8289</v>
      </c>
      <c r="CAG58" s="25" t="s">
        <v>25</v>
      </c>
      <c r="CAH58" s="25" t="s">
        <v>631</v>
      </c>
      <c r="CAI58" s="25" t="s">
        <v>631</v>
      </c>
      <c r="CAJ58" s="25" t="s">
        <v>631</v>
      </c>
      <c r="CAK58" s="25" t="s">
        <v>8290</v>
      </c>
      <c r="CAL58" s="25" t="s">
        <v>8290</v>
      </c>
      <c r="CAM58" s="25" t="s">
        <v>8290</v>
      </c>
      <c r="CAN58" s="25" t="s">
        <v>631</v>
      </c>
      <c r="CAO58" s="25" t="s">
        <v>8290</v>
      </c>
      <c r="CAP58" s="25" t="s">
        <v>8290</v>
      </c>
      <c r="CAQ58" s="25" t="s">
        <v>8290</v>
      </c>
      <c r="CAR58" s="25" t="s">
        <v>8339</v>
      </c>
      <c r="CAT58" s="25" t="s">
        <v>28</v>
      </c>
      <c r="CAU58" s="25" t="s">
        <v>8746</v>
      </c>
      <c r="CBB58" s="25">
        <v>2</v>
      </c>
      <c r="CBC58" s="25">
        <v>0</v>
      </c>
      <c r="CBD58" s="25">
        <v>0</v>
      </c>
      <c r="CBE58" s="56">
        <v>25</v>
      </c>
      <c r="CBF58" s="56">
        <v>75</v>
      </c>
      <c r="CBI58" s="56">
        <v>2500</v>
      </c>
      <c r="CBK58" s="56">
        <v>2500</v>
      </c>
      <c r="CBM58" s="26">
        <v>0</v>
      </c>
      <c r="CBN58" s="26">
        <v>0</v>
      </c>
      <c r="CBO58" s="26">
        <v>0.15</v>
      </c>
      <c r="CBP58" s="26">
        <v>0.15</v>
      </c>
      <c r="CBQ58" s="26">
        <v>0.5</v>
      </c>
      <c r="CBR58" s="26">
        <v>0.5</v>
      </c>
      <c r="CBS58" s="26">
        <v>0.5</v>
      </c>
      <c r="CBT58" s="26">
        <v>0.5</v>
      </c>
      <c r="CBU58" s="27" t="s">
        <v>28</v>
      </c>
      <c r="CBV58" s="27" t="s">
        <v>8293</v>
      </c>
      <c r="CBW58" s="27" t="s">
        <v>8294</v>
      </c>
      <c r="CBX58" s="27" t="s">
        <v>8343</v>
      </c>
      <c r="CBY58" s="27" t="s">
        <v>8296</v>
      </c>
      <c r="CBZ58" s="27" t="s">
        <v>8296</v>
      </c>
      <c r="CCA58" s="27" t="s">
        <v>8296</v>
      </c>
      <c r="CCB58" s="27" t="s">
        <v>8298</v>
      </c>
      <c r="CCC58" s="27" t="s">
        <v>8296</v>
      </c>
      <c r="CCD58" s="27" t="s">
        <v>8297</v>
      </c>
      <c r="CCE58" s="27" t="s">
        <v>8298</v>
      </c>
      <c r="CCF58" s="27" t="s">
        <v>8296</v>
      </c>
      <c r="CCG58" s="27" t="s">
        <v>8297</v>
      </c>
      <c r="CCH58" s="27" t="s">
        <v>8296</v>
      </c>
      <c r="CCI58" s="27" t="s">
        <v>8298</v>
      </c>
      <c r="CCJ58" s="27" t="s">
        <v>8298</v>
      </c>
      <c r="CCK58" s="27" t="s">
        <v>8297</v>
      </c>
      <c r="CCL58" s="27" t="s">
        <v>8297</v>
      </c>
      <c r="CCN58" s="27" t="s">
        <v>8296</v>
      </c>
      <c r="CCO58" s="27" t="s">
        <v>8300</v>
      </c>
      <c r="CCP58" s="27" t="s">
        <v>8296</v>
      </c>
      <c r="CCQ58" s="27" t="s">
        <v>8297</v>
      </c>
      <c r="CCR58" s="27" t="s">
        <v>8296</v>
      </c>
      <c r="CCS58" s="27" t="s">
        <v>8298</v>
      </c>
      <c r="CCT58" s="27" t="s">
        <v>8296</v>
      </c>
      <c r="CCU58" s="27" t="s">
        <v>8298</v>
      </c>
      <c r="CCV58" s="27" t="s">
        <v>8298</v>
      </c>
      <c r="CCW58" s="27" t="s">
        <v>8298</v>
      </c>
      <c r="CCX58" s="27" t="s">
        <v>8298</v>
      </c>
      <c r="CCY58" s="27" t="s">
        <v>8298</v>
      </c>
      <c r="CCZ58" s="27" t="s">
        <v>28</v>
      </c>
      <c r="CDA58" s="27" t="s">
        <v>28</v>
      </c>
      <c r="CDB58" s="27" t="s">
        <v>28</v>
      </c>
      <c r="CDC58" s="27" t="s">
        <v>25</v>
      </c>
      <c r="CDD58" s="27" t="s">
        <v>28</v>
      </c>
      <c r="CDE58" s="27" t="s">
        <v>28</v>
      </c>
      <c r="CDF58" s="27" t="s">
        <v>28</v>
      </c>
      <c r="CDG58" s="27" t="s">
        <v>28</v>
      </c>
      <c r="CDH58" s="27" t="s">
        <v>28</v>
      </c>
      <c r="CDI58" s="27" t="s">
        <v>28</v>
      </c>
      <c r="CDJ58" s="27" t="s">
        <v>25</v>
      </c>
      <c r="CDK58" s="27" t="s">
        <v>25</v>
      </c>
      <c r="CDL58" s="27" t="s">
        <v>28</v>
      </c>
      <c r="CDM58" s="27" t="s">
        <v>28</v>
      </c>
      <c r="CDO58" s="27" t="s">
        <v>28</v>
      </c>
      <c r="CDP58" s="27" t="s">
        <v>25</v>
      </c>
      <c r="CDQ58" s="27" t="s">
        <v>28</v>
      </c>
      <c r="CDR58" s="27" t="s">
        <v>28</v>
      </c>
      <c r="CDS58" s="27" t="s">
        <v>28</v>
      </c>
      <c r="CDT58" s="27" t="s">
        <v>25</v>
      </c>
      <c r="CDU58" s="27" t="s">
        <v>28</v>
      </c>
      <c r="CDV58" s="27" t="s">
        <v>25</v>
      </c>
      <c r="CDW58" s="27" t="s">
        <v>25</v>
      </c>
      <c r="CDX58" s="27" t="s">
        <v>25</v>
      </c>
      <c r="CDY58" s="27" t="s">
        <v>25</v>
      </c>
      <c r="CDZ58" s="27" t="s">
        <v>25</v>
      </c>
      <c r="CEA58" s="27" t="s">
        <v>2673</v>
      </c>
      <c r="CEB58" s="27" t="s">
        <v>2673</v>
      </c>
      <c r="CEC58" s="27" t="s">
        <v>8420</v>
      </c>
      <c r="CED58" s="27" t="s">
        <v>8302</v>
      </c>
      <c r="CEE58" s="27" t="s">
        <v>2673</v>
      </c>
      <c r="CEF58" s="27" t="s">
        <v>2673</v>
      </c>
      <c r="CEG58" s="27" t="s">
        <v>8420</v>
      </c>
      <c r="CEH58" s="27" t="s">
        <v>8305</v>
      </c>
      <c r="CEI58" s="27" t="s">
        <v>8305</v>
      </c>
      <c r="CEJ58" s="27" t="s">
        <v>2673</v>
      </c>
      <c r="CEK58" s="27" t="s">
        <v>8302</v>
      </c>
      <c r="CEL58" s="27" t="s">
        <v>2673</v>
      </c>
      <c r="CEM58" s="27" t="s">
        <v>2673</v>
      </c>
      <c r="CEN58" s="27" t="s">
        <v>2673</v>
      </c>
      <c r="CEP58" s="27" t="s">
        <v>2673</v>
      </c>
      <c r="CEQ58" s="27" t="s">
        <v>8304</v>
      </c>
      <c r="CER58" s="27" t="s">
        <v>8302</v>
      </c>
      <c r="CES58" s="27" t="s">
        <v>2673</v>
      </c>
      <c r="CET58" s="27" t="s">
        <v>2673</v>
      </c>
      <c r="CEU58" s="27" t="s">
        <v>2673</v>
      </c>
      <c r="CEV58" s="27" t="s">
        <v>2673</v>
      </c>
      <c r="CEW58" s="27" t="s">
        <v>2673</v>
      </c>
      <c r="CEX58" s="27" t="s">
        <v>2673</v>
      </c>
      <c r="CEY58" s="27" t="s">
        <v>2673</v>
      </c>
      <c r="CEZ58" s="27" t="s">
        <v>8306</v>
      </c>
      <c r="CFA58" s="27" t="s">
        <v>2673</v>
      </c>
      <c r="CFB58" s="27" t="s">
        <v>25</v>
      </c>
      <c r="CFC58" s="27" t="s">
        <v>25</v>
      </c>
      <c r="CFD58" s="27" t="s">
        <v>25</v>
      </c>
      <c r="CFE58" s="27" t="s">
        <v>25</v>
      </c>
      <c r="CFF58" s="27" t="s">
        <v>25</v>
      </c>
      <c r="CFG58" s="27" t="s">
        <v>25</v>
      </c>
      <c r="CFH58" s="27" t="s">
        <v>25</v>
      </c>
      <c r="CFI58" s="27" t="s">
        <v>25</v>
      </c>
      <c r="CFJ58" s="27" t="s">
        <v>25</v>
      </c>
      <c r="CFK58" s="27" t="s">
        <v>25</v>
      </c>
      <c r="CFL58" s="27" t="s">
        <v>25</v>
      </c>
      <c r="CFM58" s="27" t="s">
        <v>25</v>
      </c>
      <c r="CFN58" s="27" t="s">
        <v>25</v>
      </c>
      <c r="CFO58" s="27" t="s">
        <v>25</v>
      </c>
      <c r="CFQ58" s="27" t="s">
        <v>25</v>
      </c>
      <c r="CFR58" s="27" t="s">
        <v>25</v>
      </c>
      <c r="CFS58" s="27" t="s">
        <v>25</v>
      </c>
      <c r="CFT58" s="27" t="s">
        <v>25</v>
      </c>
      <c r="CFU58" s="27" t="s">
        <v>25</v>
      </c>
      <c r="CFV58" s="27" t="s">
        <v>28</v>
      </c>
      <c r="CFW58" s="27" t="s">
        <v>25</v>
      </c>
      <c r="CFX58" s="27" t="s">
        <v>25</v>
      </c>
      <c r="CFY58" s="27" t="s">
        <v>25</v>
      </c>
      <c r="CFZ58" s="27" t="s">
        <v>25</v>
      </c>
      <c r="CGA58" s="27" t="s">
        <v>25</v>
      </c>
      <c r="CGB58" s="27" t="s">
        <v>25</v>
      </c>
      <c r="CPW58" s="27">
        <v>2</v>
      </c>
      <c r="CPX58" s="56">
        <v>0</v>
      </c>
      <c r="CPY58" s="26">
        <v>0</v>
      </c>
      <c r="CPZ58" s="56">
        <v>0</v>
      </c>
      <c r="CQA58" s="26">
        <v>0.3</v>
      </c>
      <c r="CQB58" s="25" t="s">
        <v>8307</v>
      </c>
      <c r="CQC58" s="25" t="s">
        <v>8307</v>
      </c>
      <c r="CQD58" s="25" t="s">
        <v>8307</v>
      </c>
      <c r="CQE58" s="25" t="s">
        <v>8307</v>
      </c>
      <c r="CQF58" s="25" t="s">
        <v>8307</v>
      </c>
      <c r="CQG58" s="56">
        <v>0</v>
      </c>
      <c r="CQH58" s="56">
        <v>350</v>
      </c>
      <c r="CQI58" s="56">
        <v>350</v>
      </c>
      <c r="CQJ58" s="56">
        <v>350</v>
      </c>
      <c r="CQK58" s="56">
        <v>350</v>
      </c>
      <c r="CQL58" s="25" t="s">
        <v>13683</v>
      </c>
      <c r="CQM58" s="25" t="s">
        <v>8308</v>
      </c>
      <c r="CQN58" s="25" t="s">
        <v>28</v>
      </c>
      <c r="CQO58" s="25" t="s">
        <v>8574</v>
      </c>
      <c r="CQP58" s="56">
        <v>1000</v>
      </c>
      <c r="CQQ58" s="25" t="s">
        <v>1041</v>
      </c>
      <c r="CQR58" s="25" t="s">
        <v>1041</v>
      </c>
      <c r="CQS58" s="25" t="s">
        <v>28</v>
      </c>
      <c r="CQT58" s="25" t="s">
        <v>8312</v>
      </c>
      <c r="CQU58" s="25" t="s">
        <v>8312</v>
      </c>
      <c r="CQV58" s="25" t="s">
        <v>8312</v>
      </c>
      <c r="CQW58" s="25" t="s">
        <v>8312</v>
      </c>
      <c r="CQX58" s="25" t="s">
        <v>8312</v>
      </c>
      <c r="CQY58" s="25" t="s">
        <v>8313</v>
      </c>
      <c r="CQZ58" s="25" t="s">
        <v>8312</v>
      </c>
      <c r="CRA58" s="25" t="s">
        <v>8314</v>
      </c>
      <c r="CRB58" s="25" t="s">
        <v>8312</v>
      </c>
      <c r="CRC58" s="25" t="s">
        <v>8312</v>
      </c>
      <c r="CRD58" s="25" t="s">
        <v>8312</v>
      </c>
      <c r="CRE58" s="27" t="s">
        <v>8312</v>
      </c>
    </row>
    <row r="59" spans="1:2048 2050:2501" ht="89.25" x14ac:dyDescent="0.2">
      <c r="A59" s="21" t="s">
        <v>145</v>
      </c>
      <c r="B59" s="26">
        <v>0.77</v>
      </c>
      <c r="C59" s="26">
        <v>0.12</v>
      </c>
      <c r="D59" s="26">
        <v>0.1</v>
      </c>
      <c r="E59" s="26">
        <v>0</v>
      </c>
      <c r="F59" s="26">
        <v>0</v>
      </c>
      <c r="G59" s="26">
        <v>0</v>
      </c>
      <c r="H59" s="26">
        <v>0</v>
      </c>
      <c r="I59" s="26">
        <v>0</v>
      </c>
      <c r="J59" s="26">
        <v>0</v>
      </c>
      <c r="K59" s="26">
        <v>0</v>
      </c>
      <c r="L59" s="26">
        <v>0</v>
      </c>
      <c r="M59" s="26">
        <v>0.01</v>
      </c>
      <c r="N59" s="26">
        <v>0</v>
      </c>
      <c r="O59" s="26">
        <v>0</v>
      </c>
      <c r="P59" s="26">
        <v>0</v>
      </c>
      <c r="Q59" s="26">
        <v>0</v>
      </c>
      <c r="R59" s="26">
        <v>0</v>
      </c>
      <c r="S59" s="26">
        <v>0</v>
      </c>
      <c r="T59" s="26">
        <v>0</v>
      </c>
      <c r="U59" s="26">
        <v>0</v>
      </c>
      <c r="V59" s="26">
        <v>0</v>
      </c>
      <c r="W59" s="26">
        <v>0</v>
      </c>
      <c r="X59" s="26">
        <v>0</v>
      </c>
      <c r="Y59" s="26">
        <v>1</v>
      </c>
      <c r="Z59" s="25">
        <v>1</v>
      </c>
      <c r="AA59" s="25" t="s">
        <v>8348</v>
      </c>
      <c r="AC59" s="56">
        <v>1000</v>
      </c>
      <c r="AD59" s="56">
        <v>3000</v>
      </c>
      <c r="AE59" s="56">
        <v>3000</v>
      </c>
      <c r="AF59" s="56">
        <v>6000</v>
      </c>
      <c r="AI59" s="25" t="s">
        <v>8246</v>
      </c>
      <c r="AJ59" s="56">
        <v>0</v>
      </c>
      <c r="AK59" s="56">
        <v>0</v>
      </c>
      <c r="AL59" s="56">
        <v>500</v>
      </c>
      <c r="AM59" s="56">
        <v>1500</v>
      </c>
      <c r="AN59" s="25" t="s">
        <v>8350</v>
      </c>
      <c r="AO59" s="25" t="s">
        <v>8248</v>
      </c>
      <c r="BB59" s="25" t="s">
        <v>8249</v>
      </c>
      <c r="DO59" s="25" t="s">
        <v>25</v>
      </c>
      <c r="DP59" s="25" t="s">
        <v>28</v>
      </c>
      <c r="DQ59" s="25" t="s">
        <v>25</v>
      </c>
      <c r="DR59" s="25" t="s">
        <v>25</v>
      </c>
      <c r="DT59" s="25" t="s">
        <v>13417</v>
      </c>
      <c r="DU59" s="25" t="s">
        <v>13417</v>
      </c>
      <c r="DV59" s="56">
        <v>10</v>
      </c>
      <c r="DW59" s="56">
        <v>10</v>
      </c>
      <c r="DY59" s="56">
        <v>100</v>
      </c>
      <c r="DZ59" s="56">
        <v>10</v>
      </c>
      <c r="EA59" s="56">
        <v>10</v>
      </c>
      <c r="EE59" s="26">
        <v>0.1</v>
      </c>
      <c r="EF59" s="26">
        <v>0.1</v>
      </c>
      <c r="EG59" s="26">
        <v>0.1</v>
      </c>
      <c r="EM59" s="56">
        <v>100</v>
      </c>
      <c r="EQ59" s="26">
        <v>0.3</v>
      </c>
      <c r="ER59" s="26">
        <v>0.3</v>
      </c>
      <c r="ES59" s="26">
        <v>0.3</v>
      </c>
      <c r="ET59" s="26">
        <v>0.1</v>
      </c>
      <c r="EU59" s="26">
        <v>0.3</v>
      </c>
      <c r="EV59" s="26">
        <v>0.3</v>
      </c>
      <c r="EX59" s="25" t="s">
        <v>8250</v>
      </c>
      <c r="EY59" s="25" t="s">
        <v>8250</v>
      </c>
      <c r="EZ59" s="25" t="s">
        <v>8250</v>
      </c>
      <c r="FA59" s="25" t="s">
        <v>8250</v>
      </c>
      <c r="FB59" s="25" t="s">
        <v>8250</v>
      </c>
      <c r="FC59" s="25" t="s">
        <v>8250</v>
      </c>
      <c r="FE59" s="25" t="s">
        <v>25</v>
      </c>
      <c r="FF59" s="25" t="s">
        <v>25</v>
      </c>
      <c r="FG59" s="25" t="s">
        <v>25</v>
      </c>
      <c r="FH59" s="25" t="s">
        <v>25</v>
      </c>
      <c r="FI59" s="25" t="s">
        <v>25</v>
      </c>
      <c r="FJ59" s="25" t="s">
        <v>25</v>
      </c>
      <c r="FL59" s="25" t="s">
        <v>13810</v>
      </c>
      <c r="FM59" s="25" t="s">
        <v>13810</v>
      </c>
      <c r="FN59" s="25" t="s">
        <v>13810</v>
      </c>
      <c r="FO59" s="25" t="s">
        <v>13810</v>
      </c>
      <c r="FP59" s="25" t="s">
        <v>13810</v>
      </c>
      <c r="FQ59" s="25" t="s">
        <v>13810</v>
      </c>
      <c r="FR59" s="25" t="s">
        <v>13810</v>
      </c>
      <c r="FS59" s="25" t="s">
        <v>13810</v>
      </c>
      <c r="FT59" s="25" t="s">
        <v>631</v>
      </c>
      <c r="FV59" s="25" t="s">
        <v>8427</v>
      </c>
      <c r="FW59" s="25" t="s">
        <v>8427</v>
      </c>
      <c r="FX59" s="25" t="s">
        <v>8427</v>
      </c>
      <c r="FY59" s="25" t="s">
        <v>13449</v>
      </c>
      <c r="FZ59" s="25" t="s">
        <v>8427</v>
      </c>
      <c r="GA59" s="25" t="s">
        <v>8427</v>
      </c>
      <c r="GB59" s="25" t="s">
        <v>13449</v>
      </c>
      <c r="GC59" s="25" t="s">
        <v>8427</v>
      </c>
      <c r="GE59" s="56">
        <v>10</v>
      </c>
      <c r="GF59" s="56">
        <v>10</v>
      </c>
      <c r="GG59" s="56">
        <v>10</v>
      </c>
      <c r="GI59" s="56">
        <v>25</v>
      </c>
      <c r="GJ59" s="56">
        <v>25</v>
      </c>
      <c r="GK59" s="56">
        <v>50</v>
      </c>
      <c r="GM59" s="56">
        <v>40</v>
      </c>
      <c r="GN59" s="56">
        <v>40</v>
      </c>
      <c r="GO59" s="56">
        <v>80</v>
      </c>
      <c r="HJ59" s="57">
        <v>0.2</v>
      </c>
      <c r="HU59" s="56">
        <v>150</v>
      </c>
      <c r="IB59" s="26">
        <v>0.5</v>
      </c>
      <c r="IC59" s="26">
        <v>0.5</v>
      </c>
      <c r="ID59" s="26">
        <v>0.5</v>
      </c>
      <c r="IZ59" s="26">
        <v>0.2</v>
      </c>
      <c r="JK59" s="56">
        <v>300</v>
      </c>
      <c r="KM59" s="25" t="s">
        <v>8255</v>
      </c>
      <c r="KN59" s="25" t="s">
        <v>8256</v>
      </c>
      <c r="KO59" s="25" t="s">
        <v>8263</v>
      </c>
      <c r="KP59" s="25">
        <v>0</v>
      </c>
      <c r="VF59" s="25">
        <v>1</v>
      </c>
      <c r="VG59" s="25" t="s">
        <v>8581</v>
      </c>
      <c r="VI59" s="56">
        <v>1500</v>
      </c>
      <c r="VJ59" s="56">
        <v>3000</v>
      </c>
      <c r="VO59" s="25" t="s">
        <v>8246</v>
      </c>
      <c r="VP59" s="56">
        <v>0</v>
      </c>
      <c r="VQ59" s="56">
        <v>0</v>
      </c>
      <c r="VT59" s="25" t="s">
        <v>8248</v>
      </c>
      <c r="WG59" s="25" t="s">
        <v>8249</v>
      </c>
      <c r="YT59" s="25" t="s">
        <v>25</v>
      </c>
      <c r="YU59" s="25" t="s">
        <v>28</v>
      </c>
      <c r="YV59" s="25" t="s">
        <v>25</v>
      </c>
      <c r="YW59" s="25" t="s">
        <v>25</v>
      </c>
      <c r="YY59" s="25" t="s">
        <v>13417</v>
      </c>
      <c r="ZA59" s="56">
        <v>15</v>
      </c>
      <c r="ZB59" s="56">
        <v>15</v>
      </c>
      <c r="ZC59" s="56">
        <v>15</v>
      </c>
      <c r="ZD59" s="56">
        <v>100</v>
      </c>
      <c r="ZE59" s="56">
        <v>15</v>
      </c>
      <c r="ZF59" s="56">
        <v>15</v>
      </c>
      <c r="AAC59" s="25" t="s">
        <v>8250</v>
      </c>
      <c r="AAD59" s="25" t="s">
        <v>8250</v>
      </c>
      <c r="AAE59" s="25" t="s">
        <v>8250</v>
      </c>
      <c r="AAF59" s="25" t="s">
        <v>8250</v>
      </c>
      <c r="AAG59" s="25" t="s">
        <v>8250</v>
      </c>
      <c r="AAH59" s="25" t="s">
        <v>8250</v>
      </c>
      <c r="AAJ59" s="25" t="s">
        <v>25</v>
      </c>
      <c r="AAK59" s="25" t="s">
        <v>25</v>
      </c>
      <c r="AAL59" s="25" t="s">
        <v>25</v>
      </c>
      <c r="AAM59" s="25" t="s">
        <v>25</v>
      </c>
      <c r="AAN59" s="25" t="s">
        <v>25</v>
      </c>
      <c r="AAO59" s="25" t="s">
        <v>25</v>
      </c>
      <c r="AAQ59" s="25" t="s">
        <v>13810</v>
      </c>
      <c r="AAR59" s="25" t="s">
        <v>13810</v>
      </c>
      <c r="AAS59" s="25" t="s">
        <v>13810</v>
      </c>
      <c r="AAT59" s="25" t="s">
        <v>13810</v>
      </c>
      <c r="AAU59" s="25" t="s">
        <v>13810</v>
      </c>
      <c r="AAV59" s="25" t="s">
        <v>13810</v>
      </c>
      <c r="AAW59" s="25" t="s">
        <v>13810</v>
      </c>
      <c r="AAX59" s="25" t="s">
        <v>13810</v>
      </c>
      <c r="AAY59" s="25" t="s">
        <v>631</v>
      </c>
      <c r="ABA59" s="25" t="s">
        <v>8427</v>
      </c>
      <c r="ABB59" s="25" t="s">
        <v>8427</v>
      </c>
      <c r="ABC59" s="25" t="s">
        <v>8427</v>
      </c>
      <c r="ABD59" s="25" t="s">
        <v>13449</v>
      </c>
      <c r="ABE59" s="25" t="s">
        <v>8427</v>
      </c>
      <c r="ABF59" s="25" t="s">
        <v>8427</v>
      </c>
      <c r="ABG59" s="25" t="s">
        <v>13449</v>
      </c>
      <c r="ABH59" s="25" t="s">
        <v>8427</v>
      </c>
      <c r="ABJ59" s="56">
        <v>10</v>
      </c>
      <c r="ABL59" s="56">
        <v>10</v>
      </c>
      <c r="ABN59" s="56">
        <v>25</v>
      </c>
      <c r="ABP59" s="56">
        <v>50</v>
      </c>
      <c r="ABR59" s="56">
        <v>40</v>
      </c>
      <c r="ABT59" s="56">
        <v>80</v>
      </c>
      <c r="ACO59" s="26">
        <v>0.2</v>
      </c>
      <c r="ACZ59" s="56">
        <v>150</v>
      </c>
      <c r="ADG59" s="26">
        <v>0.5</v>
      </c>
      <c r="ADH59" s="26">
        <v>0.5</v>
      </c>
      <c r="ADI59" s="26">
        <v>0.5</v>
      </c>
      <c r="AEE59" s="26">
        <v>0.2</v>
      </c>
      <c r="AEP59" s="56">
        <v>300</v>
      </c>
      <c r="AFR59" s="25" t="s">
        <v>8255</v>
      </c>
      <c r="AFS59" s="25" t="s">
        <v>8256</v>
      </c>
      <c r="AFT59" s="25" t="s">
        <v>8263</v>
      </c>
      <c r="AFU59" s="25">
        <v>0</v>
      </c>
      <c r="AFX59" s="25"/>
      <c r="AFY59" s="25"/>
      <c r="AFZ59" s="25"/>
      <c r="AGA59" s="25"/>
      <c r="AGB59" s="25"/>
      <c r="AGC59" s="25"/>
      <c r="AGE59" s="25"/>
      <c r="AGF59" s="25"/>
      <c r="AGG59" s="25"/>
      <c r="AGH59" s="25"/>
      <c r="AJP59" s="25"/>
      <c r="AJQ59" s="25"/>
      <c r="AJR59" s="25"/>
      <c r="AJS59" s="25"/>
      <c r="AJT59" s="25"/>
      <c r="AJU59" s="25"/>
      <c r="AJV59" s="25"/>
      <c r="AKD59" s="25"/>
      <c r="AKE59" s="25"/>
      <c r="AKF59" s="25"/>
      <c r="AKG59" s="25"/>
      <c r="AKH59" s="25"/>
      <c r="AKI59" s="25"/>
      <c r="AKJ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H59" s="25"/>
      <c r="ANI59" s="25"/>
      <c r="ANJ59" s="25"/>
      <c r="ANK59" s="25"/>
      <c r="ANL59" s="25"/>
      <c r="ANM59" s="25"/>
      <c r="ANN59" s="25"/>
      <c r="ANO59" s="25"/>
      <c r="ANP59" s="25"/>
      <c r="ANQ59" s="25"/>
      <c r="ANR59" s="25"/>
      <c r="ANS59" s="25"/>
      <c r="ANT59" s="25"/>
      <c r="ANU59" s="25"/>
      <c r="AOC59" s="25"/>
      <c r="AOD59" s="25"/>
      <c r="AOE59" s="25"/>
      <c r="AOF59" s="25"/>
      <c r="AOG59" s="25"/>
      <c r="AOH59" s="25"/>
      <c r="AOI59" s="25"/>
      <c r="AOJ59" s="25"/>
      <c r="AOK59" s="25"/>
      <c r="AOL59" s="25"/>
      <c r="AOM59" s="25"/>
      <c r="AON59" s="25"/>
      <c r="AOO59" s="25"/>
      <c r="AOP59" s="25"/>
      <c r="AOX59" s="25"/>
      <c r="AOY59" s="25"/>
      <c r="AOZ59" s="25"/>
      <c r="APA59" s="25"/>
      <c r="APB59" s="25"/>
      <c r="APC59" s="25"/>
      <c r="APD59" s="25"/>
      <c r="APE59" s="25"/>
      <c r="APF59" s="25"/>
      <c r="APG59" s="25"/>
      <c r="APH59" s="25"/>
      <c r="API59" s="25"/>
      <c r="APJ59" s="25"/>
      <c r="APK59" s="25"/>
      <c r="APS59" s="25"/>
      <c r="APT59" s="25"/>
      <c r="APU59" s="25"/>
      <c r="APV59" s="25"/>
      <c r="APW59" s="25"/>
      <c r="APX59" s="25"/>
      <c r="APY59" s="25"/>
      <c r="APZ59" s="25"/>
      <c r="AQA59" s="25"/>
      <c r="AQB59" s="25"/>
      <c r="AQC59" s="25"/>
      <c r="AQD59" s="25"/>
      <c r="AQE59" s="25"/>
      <c r="AQF59" s="25"/>
      <c r="AQJ59" s="25">
        <v>2</v>
      </c>
      <c r="AQK59" s="25" t="s">
        <v>8448</v>
      </c>
      <c r="AQL59" s="25" t="s">
        <v>8710</v>
      </c>
      <c r="AQM59" s="56">
        <v>1500</v>
      </c>
      <c r="AQN59" s="56">
        <v>3000</v>
      </c>
      <c r="AQO59" s="56">
        <v>0</v>
      </c>
      <c r="AQP59" s="56">
        <v>0</v>
      </c>
      <c r="AQQ59" s="56">
        <v>0</v>
      </c>
      <c r="AQR59" s="56">
        <v>0</v>
      </c>
      <c r="AQS59" s="25" t="s">
        <v>8260</v>
      </c>
      <c r="AQT59" s="56">
        <v>0</v>
      </c>
      <c r="AQU59" s="56">
        <v>0</v>
      </c>
      <c r="AQV59" s="56">
        <v>0</v>
      </c>
      <c r="AQW59" s="56">
        <v>0</v>
      </c>
      <c r="AQX59" s="25" t="s">
        <v>8248</v>
      </c>
      <c r="ARK59" s="25" t="s">
        <v>8249</v>
      </c>
      <c r="ATX59" s="25" t="s">
        <v>25</v>
      </c>
      <c r="ATY59" s="25" t="s">
        <v>28</v>
      </c>
      <c r="ATZ59" s="25" t="s">
        <v>25</v>
      </c>
      <c r="AUA59" s="25" t="s">
        <v>25</v>
      </c>
      <c r="AUC59" s="25" t="s">
        <v>13417</v>
      </c>
      <c r="AUE59" s="56">
        <v>20</v>
      </c>
      <c r="AUF59" s="56">
        <v>20</v>
      </c>
      <c r="AUG59" s="56">
        <v>20</v>
      </c>
      <c r="AUH59" s="56">
        <v>100</v>
      </c>
      <c r="AUI59" s="56">
        <v>20</v>
      </c>
      <c r="AUJ59" s="56">
        <v>20</v>
      </c>
      <c r="AVG59" s="25" t="s">
        <v>8250</v>
      </c>
      <c r="AVH59" s="25" t="s">
        <v>8250</v>
      </c>
      <c r="AVI59" s="25" t="s">
        <v>8250</v>
      </c>
      <c r="AVJ59" s="25" t="s">
        <v>8250</v>
      </c>
      <c r="AVK59" s="25" t="s">
        <v>8250</v>
      </c>
      <c r="AVL59" s="25" t="s">
        <v>8250</v>
      </c>
      <c r="AVN59" s="25" t="s">
        <v>25</v>
      </c>
      <c r="AVO59" s="25" t="s">
        <v>25</v>
      </c>
      <c r="AVP59" s="25" t="s">
        <v>25</v>
      </c>
      <c r="AVQ59" s="25" t="s">
        <v>25</v>
      </c>
      <c r="AVR59" s="25" t="s">
        <v>25</v>
      </c>
      <c r="AVS59" s="25" t="s">
        <v>25</v>
      </c>
      <c r="AVU59" s="25" t="s">
        <v>13810</v>
      </c>
      <c r="AVV59" s="25" t="s">
        <v>13810</v>
      </c>
      <c r="AVW59" s="25" t="s">
        <v>13810</v>
      </c>
      <c r="AVX59" s="25" t="s">
        <v>8252</v>
      </c>
      <c r="AVY59" s="25" t="s">
        <v>8252</v>
      </c>
      <c r="AVZ59" s="25" t="s">
        <v>8252</v>
      </c>
      <c r="AWA59" s="25" t="s">
        <v>8252</v>
      </c>
      <c r="AWB59" s="25" t="s">
        <v>13810</v>
      </c>
      <c r="AWC59" s="25" t="s">
        <v>8252</v>
      </c>
      <c r="AWE59" s="25" t="s">
        <v>8253</v>
      </c>
      <c r="AWF59" s="25" t="s">
        <v>8253</v>
      </c>
      <c r="AWG59" s="25" t="s">
        <v>8253</v>
      </c>
      <c r="AWH59" s="25" t="s">
        <v>8383</v>
      </c>
      <c r="AWI59" s="25" t="s">
        <v>8325</v>
      </c>
      <c r="AWJ59" s="25" t="s">
        <v>8253</v>
      </c>
      <c r="AWK59" s="25" t="s">
        <v>8383</v>
      </c>
      <c r="AWL59" s="25" t="s">
        <v>8253</v>
      </c>
      <c r="AWM59" s="25" t="s">
        <v>8253</v>
      </c>
      <c r="AWN59" s="56">
        <v>10</v>
      </c>
      <c r="AWP59" s="56">
        <v>20</v>
      </c>
      <c r="AWR59" s="56">
        <v>30</v>
      </c>
      <c r="AWT59" s="56">
        <v>60</v>
      </c>
      <c r="AWV59" s="56">
        <v>30</v>
      </c>
      <c r="AWX59" s="56">
        <v>60</v>
      </c>
      <c r="AWZ59" s="56">
        <v>30</v>
      </c>
      <c r="BAV59" s="25" t="s">
        <v>8255</v>
      </c>
      <c r="BAW59" s="25" t="s">
        <v>8256</v>
      </c>
      <c r="BAX59" s="25" t="s">
        <v>8321</v>
      </c>
      <c r="BAY59" s="25">
        <v>0</v>
      </c>
      <c r="BBB59" s="25"/>
      <c r="BBC59" s="25"/>
      <c r="BBD59" s="25"/>
      <c r="BBE59" s="25"/>
      <c r="BBF59" s="25"/>
      <c r="BBG59" s="25"/>
      <c r="BBI59" s="25"/>
      <c r="BBJ59" s="25"/>
      <c r="BBK59" s="25"/>
      <c r="BBL59" s="25"/>
      <c r="BET59" s="25"/>
      <c r="BEU59" s="25"/>
      <c r="BEV59" s="25"/>
      <c r="BEW59" s="25"/>
      <c r="BEX59" s="25"/>
      <c r="BEY59" s="25"/>
      <c r="BEZ59" s="25"/>
      <c r="BFH59" s="25"/>
      <c r="BFI59" s="25"/>
      <c r="BFJ59" s="25"/>
      <c r="BFK59" s="25"/>
      <c r="BFL59" s="25"/>
      <c r="BFM59" s="25"/>
      <c r="BFN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L59" s="25"/>
      <c r="BIM59" s="25"/>
      <c r="BIN59" s="25"/>
      <c r="BIO59" s="25"/>
      <c r="BIP59" s="25"/>
      <c r="BIQ59" s="25"/>
      <c r="BIR59" s="25"/>
      <c r="BIS59" s="25"/>
      <c r="BIT59" s="25"/>
      <c r="BIU59" s="25"/>
      <c r="BIV59" s="25"/>
      <c r="BIW59" s="25"/>
      <c r="BIX59" s="25"/>
      <c r="BIY59" s="25"/>
      <c r="BJG59" s="25"/>
      <c r="BJH59" s="25"/>
      <c r="BJI59" s="25"/>
      <c r="BJJ59" s="25"/>
      <c r="BJK59" s="25"/>
      <c r="BJL59" s="25"/>
      <c r="BJM59" s="25"/>
      <c r="BJN59" s="25"/>
      <c r="BJO59" s="25"/>
      <c r="BJP59" s="25"/>
      <c r="BJQ59" s="25"/>
      <c r="BJR59" s="25"/>
      <c r="BJS59" s="25"/>
      <c r="BJT59" s="25"/>
      <c r="BKB59" s="25"/>
      <c r="BKC59" s="25"/>
      <c r="BKD59" s="25"/>
      <c r="BKE59" s="25"/>
      <c r="BKF59" s="25"/>
      <c r="BKG59" s="25"/>
      <c r="BKH59" s="25"/>
      <c r="BKI59" s="25"/>
      <c r="BKJ59" s="25"/>
      <c r="BKK59" s="25"/>
      <c r="BKL59" s="25"/>
      <c r="BKM59" s="25"/>
      <c r="BKN59" s="25"/>
      <c r="BKO59" s="25"/>
      <c r="BKW59" s="25"/>
      <c r="BKX59" s="25"/>
      <c r="BKY59" s="25"/>
      <c r="BKZ59" s="25"/>
      <c r="BLA59" s="25"/>
      <c r="BLB59" s="25"/>
      <c r="BLC59" s="25"/>
      <c r="BLD59" s="25"/>
      <c r="BLE59" s="25"/>
      <c r="BLF59" s="25"/>
      <c r="BLG59" s="25"/>
      <c r="BLH59" s="25"/>
      <c r="BLI59" s="25"/>
      <c r="BLJ59" s="25"/>
      <c r="BLN59" s="25">
        <v>0</v>
      </c>
      <c r="BLQ59" s="25"/>
      <c r="BLR59" s="25"/>
      <c r="BLS59" s="25"/>
      <c r="BLT59" s="25"/>
      <c r="BLU59" s="25"/>
      <c r="BLV59" s="25"/>
      <c r="BLX59" s="25"/>
      <c r="BLY59" s="25"/>
      <c r="BLZ59" s="25"/>
      <c r="BMA59" s="25"/>
      <c r="BPI59" s="25"/>
      <c r="BPJ59" s="25"/>
      <c r="BPK59" s="25"/>
      <c r="BPL59" s="25"/>
      <c r="BPM59" s="25"/>
      <c r="BPN59" s="25"/>
      <c r="BPO59" s="25"/>
      <c r="BPW59" s="25"/>
      <c r="BPX59" s="25"/>
      <c r="BPY59" s="25"/>
      <c r="BPZ59" s="25"/>
      <c r="BQA59" s="25"/>
      <c r="BQB59" s="25"/>
      <c r="BQC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TA59" s="25"/>
      <c r="BTB59" s="25"/>
      <c r="BTC59" s="25"/>
      <c r="BTD59" s="25"/>
      <c r="BTE59" s="25"/>
      <c r="BTF59" s="25"/>
      <c r="BTG59" s="25"/>
      <c r="BTH59" s="25"/>
      <c r="BTI59" s="25"/>
      <c r="BTJ59" s="25"/>
      <c r="BTK59" s="25"/>
      <c r="BTL59" s="25"/>
      <c r="BTM59" s="25"/>
      <c r="BTN59" s="25"/>
      <c r="BUQ59" s="25"/>
      <c r="BUR59" s="25"/>
      <c r="BUS59" s="25"/>
      <c r="BUT59" s="25"/>
      <c r="BUU59" s="25"/>
      <c r="BUV59" s="25"/>
      <c r="BUW59" s="25"/>
      <c r="BUX59" s="25"/>
      <c r="BUY59" s="25"/>
      <c r="BUZ59" s="25"/>
      <c r="BVA59" s="25"/>
      <c r="BVB59" s="25"/>
      <c r="BVC59" s="25"/>
      <c r="BVD59" s="25"/>
      <c r="BWC59" s="25" t="s">
        <v>28</v>
      </c>
      <c r="BWD59" s="25" t="s">
        <v>8265</v>
      </c>
      <c r="BWE59" s="25" t="s">
        <v>8357</v>
      </c>
      <c r="BWF59" s="25" t="s">
        <v>13707</v>
      </c>
      <c r="BWG59" s="25" t="s">
        <v>28</v>
      </c>
      <c r="BWH59" s="25" t="s">
        <v>2169</v>
      </c>
      <c r="BWI59" s="25" t="s">
        <v>28</v>
      </c>
      <c r="BWJ59" s="25" t="s">
        <v>8267</v>
      </c>
      <c r="BWK59" s="25" t="s">
        <v>25</v>
      </c>
      <c r="BWM59" s="25" t="s">
        <v>25</v>
      </c>
      <c r="BWO59" s="25" t="s">
        <v>25</v>
      </c>
      <c r="BWQ59" s="25" t="s">
        <v>28</v>
      </c>
      <c r="BWR59" s="25" t="s">
        <v>25</v>
      </c>
      <c r="BWT59" s="25" t="s">
        <v>25</v>
      </c>
      <c r="BWV59" s="25" t="s">
        <v>25</v>
      </c>
      <c r="BWX59" s="25" t="s">
        <v>28</v>
      </c>
      <c r="BWY59" s="25" t="s">
        <v>8711</v>
      </c>
      <c r="BWZ59" s="25" t="s">
        <v>28</v>
      </c>
      <c r="BXA59" s="56">
        <v>24</v>
      </c>
      <c r="BXB59" s="25" t="s">
        <v>28</v>
      </c>
      <c r="BXC59" s="56">
        <v>24</v>
      </c>
      <c r="BXD59" s="25" t="s">
        <v>28</v>
      </c>
      <c r="BXE59" s="25" t="s">
        <v>8269</v>
      </c>
      <c r="BXF59" s="25" t="s">
        <v>28</v>
      </c>
      <c r="BXG59" s="56">
        <v>24</v>
      </c>
      <c r="BXH59" s="25" t="s">
        <v>28</v>
      </c>
      <c r="BXI59" s="56">
        <v>24</v>
      </c>
      <c r="BXJ59" s="25" t="s">
        <v>28</v>
      </c>
      <c r="BXK59" s="25" t="s">
        <v>8360</v>
      </c>
      <c r="BXL59" s="25" t="s">
        <v>13821</v>
      </c>
      <c r="BXM59" s="25" t="s">
        <v>2201</v>
      </c>
      <c r="BXN59" s="25" t="s">
        <v>8272</v>
      </c>
      <c r="BXO59" s="25" t="s">
        <v>8274</v>
      </c>
      <c r="BXP59" s="25" t="s">
        <v>8274</v>
      </c>
      <c r="BXQ59" s="25" t="s">
        <v>8274</v>
      </c>
      <c r="BXR59" s="25" t="s">
        <v>8361</v>
      </c>
      <c r="BXS59" s="25" t="s">
        <v>8274</v>
      </c>
      <c r="BXT59" s="25" t="s">
        <v>8641</v>
      </c>
      <c r="BXU59" s="25" t="s">
        <v>25</v>
      </c>
      <c r="BXW59" s="25" t="s">
        <v>25</v>
      </c>
      <c r="BXX59" s="25" t="s">
        <v>25</v>
      </c>
      <c r="BXY59" s="25" t="s">
        <v>28</v>
      </c>
      <c r="BXZ59" s="25" t="s">
        <v>25</v>
      </c>
      <c r="BYA59" s="25" t="s">
        <v>25</v>
      </c>
      <c r="BYB59" s="25" t="s">
        <v>25</v>
      </c>
      <c r="BYC59" s="25" t="s">
        <v>2201</v>
      </c>
      <c r="BYD59" s="25" t="s">
        <v>28</v>
      </c>
      <c r="BYE59" s="25" t="s">
        <v>13612</v>
      </c>
      <c r="BYF59" s="25" t="s">
        <v>8277</v>
      </c>
      <c r="BYH59" s="25" t="s">
        <v>8363</v>
      </c>
      <c r="BYK59" s="25" t="s">
        <v>28</v>
      </c>
      <c r="BYL59" s="25" t="s">
        <v>25</v>
      </c>
      <c r="BYN59" s="25" t="s">
        <v>25</v>
      </c>
      <c r="BYP59" s="25" t="s">
        <v>25</v>
      </c>
      <c r="BYR59" s="25" t="s">
        <v>25</v>
      </c>
      <c r="BZZ59" s="25" t="s">
        <v>25</v>
      </c>
      <c r="CAC59" s="25" t="s">
        <v>28</v>
      </c>
      <c r="CAD59" s="25" t="s">
        <v>8288</v>
      </c>
      <c r="CAE59" s="25" t="s">
        <v>28</v>
      </c>
      <c r="CAF59" s="25" t="s">
        <v>8289</v>
      </c>
      <c r="CAG59" s="25" t="s">
        <v>25</v>
      </c>
      <c r="CAH59" s="25" t="s">
        <v>247</v>
      </c>
      <c r="CAI59" s="25" t="s">
        <v>631</v>
      </c>
      <c r="CAJ59" s="25" t="s">
        <v>631</v>
      </c>
      <c r="CAK59" s="25" t="s">
        <v>631</v>
      </c>
      <c r="CAL59" s="25" t="s">
        <v>631</v>
      </c>
      <c r="CAM59" s="25" t="s">
        <v>8290</v>
      </c>
      <c r="CAN59" s="25" t="s">
        <v>8290</v>
      </c>
      <c r="CAO59" s="25" t="s">
        <v>8290</v>
      </c>
      <c r="CAP59" s="25" t="s">
        <v>631</v>
      </c>
      <c r="CAR59" s="25" t="s">
        <v>8339</v>
      </c>
      <c r="CAT59" s="25" t="s">
        <v>28</v>
      </c>
      <c r="CAU59" s="25" t="s">
        <v>8712</v>
      </c>
      <c r="CBB59" s="25">
        <v>1</v>
      </c>
      <c r="CBC59" s="25">
        <v>0</v>
      </c>
      <c r="CBD59" s="25">
        <v>0</v>
      </c>
      <c r="CBE59" s="56">
        <v>50</v>
      </c>
      <c r="CBF59" s="56">
        <v>150</v>
      </c>
      <c r="CBG59" s="56">
        <v>50</v>
      </c>
      <c r="CBH59" s="56">
        <v>150</v>
      </c>
      <c r="CBI59" s="56">
        <v>2500</v>
      </c>
      <c r="CBJ59" s="56">
        <v>2500</v>
      </c>
      <c r="CBK59" s="56">
        <v>2500</v>
      </c>
      <c r="CBL59" s="56">
        <v>2500</v>
      </c>
      <c r="CBM59" s="26">
        <v>0</v>
      </c>
      <c r="CBN59" s="26">
        <v>0</v>
      </c>
      <c r="CBO59" s="26">
        <v>0.1</v>
      </c>
      <c r="CBP59" s="26">
        <v>0.2</v>
      </c>
      <c r="CBQ59" s="26">
        <v>0.4</v>
      </c>
      <c r="CBR59" s="26">
        <v>0.5</v>
      </c>
      <c r="CBS59" s="26">
        <v>0.5</v>
      </c>
      <c r="CBT59" s="26">
        <v>0.5</v>
      </c>
      <c r="CBU59" s="27" t="s">
        <v>28</v>
      </c>
      <c r="CBV59" s="27" t="s">
        <v>8522</v>
      </c>
      <c r="CBW59" s="27" t="s">
        <v>8370</v>
      </c>
      <c r="CBX59" s="27" t="s">
        <v>8418</v>
      </c>
      <c r="CBY59" s="27" t="s">
        <v>29</v>
      </c>
      <c r="CBZ59" s="27" t="s">
        <v>29</v>
      </c>
      <c r="CCA59" s="27" t="s">
        <v>29</v>
      </c>
      <c r="CCB59" s="27" t="s">
        <v>8298</v>
      </c>
      <c r="CCC59" s="27" t="s">
        <v>29</v>
      </c>
      <c r="CCD59" s="27" t="s">
        <v>29</v>
      </c>
      <c r="CCE59" s="27" t="s">
        <v>29</v>
      </c>
      <c r="CCF59" s="27" t="s">
        <v>29</v>
      </c>
      <c r="CCG59" s="27" t="s">
        <v>29</v>
      </c>
      <c r="CCH59" s="27" t="s">
        <v>29</v>
      </c>
      <c r="CCI59" s="27" t="s">
        <v>29</v>
      </c>
      <c r="CCJ59" s="27" t="s">
        <v>8298</v>
      </c>
      <c r="CCK59" s="27" t="s">
        <v>8299</v>
      </c>
      <c r="CCL59" s="27" t="s">
        <v>29</v>
      </c>
      <c r="CCM59" s="27" t="s">
        <v>29</v>
      </c>
      <c r="CCN59" s="27" t="s">
        <v>29</v>
      </c>
      <c r="CCO59" s="27" t="s">
        <v>8300</v>
      </c>
      <c r="CCP59" s="27" t="s">
        <v>29</v>
      </c>
      <c r="CCQ59" s="27" t="s">
        <v>29</v>
      </c>
      <c r="CCR59" s="27" t="s">
        <v>29</v>
      </c>
      <c r="CCS59" s="27" t="s">
        <v>8298</v>
      </c>
      <c r="CCT59" s="27" t="s">
        <v>29</v>
      </c>
      <c r="CCU59" s="27" t="s">
        <v>8298</v>
      </c>
      <c r="CCV59" s="27" t="s">
        <v>8298</v>
      </c>
      <c r="CCW59" s="27" t="s">
        <v>29</v>
      </c>
      <c r="CCX59" s="27" t="s">
        <v>29</v>
      </c>
      <c r="CCY59" s="27" t="s">
        <v>29</v>
      </c>
      <c r="CCZ59" s="27" t="s">
        <v>25</v>
      </c>
      <c r="CDA59" s="27" t="s">
        <v>28</v>
      </c>
      <c r="CDB59" s="27" t="s">
        <v>28</v>
      </c>
      <c r="CDC59" s="27" t="s">
        <v>25</v>
      </c>
      <c r="CDD59" s="27" t="s">
        <v>28</v>
      </c>
      <c r="CDE59" s="27" t="s">
        <v>28</v>
      </c>
      <c r="CDF59" s="27" t="s">
        <v>28</v>
      </c>
      <c r="CDG59" s="27" t="s">
        <v>28</v>
      </c>
      <c r="CDH59" s="27" t="s">
        <v>28</v>
      </c>
      <c r="CDI59" s="27" t="s">
        <v>25</v>
      </c>
      <c r="CDJ59" s="27" t="s">
        <v>25</v>
      </c>
      <c r="CDK59" s="27" t="s">
        <v>25</v>
      </c>
      <c r="CDL59" s="27" t="s">
        <v>28</v>
      </c>
      <c r="CDM59" s="27" t="s">
        <v>28</v>
      </c>
      <c r="CDN59" s="27" t="s">
        <v>28</v>
      </c>
      <c r="CDO59" s="27" t="s">
        <v>28</v>
      </c>
      <c r="CDP59" s="27" t="s">
        <v>25</v>
      </c>
      <c r="CDQ59" s="27" t="s">
        <v>28</v>
      </c>
      <c r="CDR59" s="27" t="s">
        <v>28</v>
      </c>
      <c r="CDS59" s="27" t="s">
        <v>28</v>
      </c>
      <c r="CDT59" s="27" t="s">
        <v>25</v>
      </c>
      <c r="CDU59" s="27" t="s">
        <v>28</v>
      </c>
      <c r="CDV59" s="27" t="s">
        <v>25</v>
      </c>
      <c r="CDW59" s="27" t="s">
        <v>25</v>
      </c>
      <c r="CDX59" s="27" t="s">
        <v>25</v>
      </c>
      <c r="CDY59" s="27" t="s">
        <v>25</v>
      </c>
      <c r="CDZ59" s="27" t="s">
        <v>25</v>
      </c>
      <c r="CEA59" s="27" t="s">
        <v>29</v>
      </c>
      <c r="CEB59" s="27" t="s">
        <v>29</v>
      </c>
      <c r="CEC59" s="27" t="s">
        <v>8301</v>
      </c>
      <c r="CED59" s="27" t="s">
        <v>8302</v>
      </c>
      <c r="CEE59" s="27" t="s">
        <v>8303</v>
      </c>
      <c r="CEF59" s="27" t="s">
        <v>8305</v>
      </c>
      <c r="CEG59" s="27" t="s">
        <v>8305</v>
      </c>
      <c r="CEH59" s="27" t="s">
        <v>8305</v>
      </c>
      <c r="CEI59" s="27" t="s">
        <v>8301</v>
      </c>
      <c r="CEJ59" s="27" t="s">
        <v>8302</v>
      </c>
      <c r="CEK59" s="27" t="s">
        <v>8302</v>
      </c>
      <c r="CEL59" s="27" t="s">
        <v>8302</v>
      </c>
      <c r="CEM59" s="27" t="s">
        <v>8305</v>
      </c>
      <c r="CEN59" s="27" t="s">
        <v>8301</v>
      </c>
      <c r="CEO59" s="27" t="s">
        <v>8304</v>
      </c>
      <c r="CEP59" s="27" t="s">
        <v>8304</v>
      </c>
      <c r="CEQ59" s="27" t="s">
        <v>29</v>
      </c>
      <c r="CER59" s="27" t="s">
        <v>8305</v>
      </c>
      <c r="CES59" s="27" t="s">
        <v>8306</v>
      </c>
      <c r="CET59" s="27" t="s">
        <v>8301</v>
      </c>
      <c r="CEU59" s="27" t="s">
        <v>8301</v>
      </c>
      <c r="CEV59" s="27" t="s">
        <v>8304</v>
      </c>
      <c r="CEW59" s="27" t="s">
        <v>8305</v>
      </c>
      <c r="CEX59" s="27" t="s">
        <v>8302</v>
      </c>
      <c r="CEY59" s="27" t="s">
        <v>8303</v>
      </c>
      <c r="CEZ59" s="27" t="s">
        <v>8301</v>
      </c>
      <c r="CFA59" s="27" t="s">
        <v>2673</v>
      </c>
      <c r="CFB59" s="27" t="s">
        <v>25</v>
      </c>
      <c r="CFC59" s="27" t="s">
        <v>25</v>
      </c>
      <c r="CFD59" s="27" t="s">
        <v>28</v>
      </c>
      <c r="CFE59" s="27" t="s">
        <v>25</v>
      </c>
      <c r="CFF59" s="27" t="s">
        <v>25</v>
      </c>
      <c r="CFH59" s="27" t="s">
        <v>25</v>
      </c>
      <c r="CFI59" s="27" t="s">
        <v>25</v>
      </c>
      <c r="CFJ59" s="27" t="s">
        <v>25</v>
      </c>
      <c r="CFK59" s="27" t="s">
        <v>28</v>
      </c>
      <c r="CFL59" s="27" t="s">
        <v>25</v>
      </c>
      <c r="CFM59" s="27" t="s">
        <v>28</v>
      </c>
      <c r="CFN59" s="27" t="s">
        <v>28</v>
      </c>
      <c r="CFO59" s="27" t="s">
        <v>28</v>
      </c>
      <c r="CFP59" s="27" t="s">
        <v>25</v>
      </c>
      <c r="CFQ59" s="27" t="s">
        <v>25</v>
      </c>
      <c r="CFR59" s="27" t="s">
        <v>25</v>
      </c>
      <c r="CFS59" s="27" t="s">
        <v>28</v>
      </c>
      <c r="CFT59" s="27" t="s">
        <v>25</v>
      </c>
      <c r="CFU59" s="27" t="s">
        <v>25</v>
      </c>
      <c r="CFV59" s="27" t="s">
        <v>28</v>
      </c>
      <c r="CFW59" s="27" t="s">
        <v>25</v>
      </c>
      <c r="CFX59" s="27" t="s">
        <v>28</v>
      </c>
      <c r="CFY59" s="27" t="s">
        <v>25</v>
      </c>
      <c r="CFZ59" s="27" t="s">
        <v>25</v>
      </c>
      <c r="CGA59" s="27" t="s">
        <v>25</v>
      </c>
      <c r="CGB59" s="27" t="s">
        <v>25</v>
      </c>
      <c r="CPW59" s="27">
        <v>1</v>
      </c>
      <c r="CPX59" s="56">
        <v>10</v>
      </c>
      <c r="CPY59" s="26">
        <v>0</v>
      </c>
      <c r="CQB59" s="25" t="s">
        <v>8307</v>
      </c>
      <c r="CQC59" s="25" t="s">
        <v>8307</v>
      </c>
      <c r="CQD59" s="25" t="s">
        <v>8307</v>
      </c>
      <c r="CQE59" s="25" t="s">
        <v>8307</v>
      </c>
      <c r="CQF59" s="25" t="s">
        <v>8307</v>
      </c>
      <c r="CQH59" s="56">
        <v>160</v>
      </c>
      <c r="CQI59" s="56">
        <v>150</v>
      </c>
      <c r="CQJ59" s="56">
        <v>150</v>
      </c>
      <c r="CQK59" s="56">
        <v>150</v>
      </c>
      <c r="CQL59" s="25" t="s">
        <v>13673</v>
      </c>
      <c r="CQM59" s="25" t="s">
        <v>8308</v>
      </c>
      <c r="CQN59" s="25" t="s">
        <v>25</v>
      </c>
      <c r="CQO59" s="25" t="s">
        <v>8574</v>
      </c>
      <c r="CQP59" s="56">
        <v>2000</v>
      </c>
      <c r="CQR59" s="25" t="s">
        <v>8713</v>
      </c>
      <c r="CQS59" s="25" t="s">
        <v>25</v>
      </c>
      <c r="CQT59" s="25" t="s">
        <v>8312</v>
      </c>
      <c r="CQU59" s="25" t="s">
        <v>8312</v>
      </c>
      <c r="CQV59" s="25" t="s">
        <v>8312</v>
      </c>
      <c r="CQW59" s="25" t="s">
        <v>8312</v>
      </c>
      <c r="CQX59" s="25" t="s">
        <v>8312</v>
      </c>
      <c r="CQY59" s="25" t="s">
        <v>8312</v>
      </c>
      <c r="CQZ59" s="25" t="s">
        <v>8312</v>
      </c>
      <c r="CRA59" s="25" t="s">
        <v>8314</v>
      </c>
      <c r="CRB59" s="25" t="s">
        <v>8314</v>
      </c>
      <c r="CRC59" s="25" t="s">
        <v>8314</v>
      </c>
      <c r="CRD59" s="25" t="s">
        <v>8312</v>
      </c>
      <c r="CRE59" s="27" t="s">
        <v>8312</v>
      </c>
    </row>
    <row r="60" spans="1:2048 2050:2501" ht="89.25" x14ac:dyDescent="0.2">
      <c r="A60" s="21" t="s">
        <v>141</v>
      </c>
      <c r="B60" s="26">
        <v>0</v>
      </c>
      <c r="C60" s="26">
        <v>0</v>
      </c>
      <c r="D60" s="26">
        <v>0.17</v>
      </c>
      <c r="E60" s="26">
        <v>0.71</v>
      </c>
      <c r="F60" s="26">
        <v>0</v>
      </c>
      <c r="G60" s="26">
        <v>0</v>
      </c>
      <c r="H60" s="26">
        <v>0</v>
      </c>
      <c r="I60" s="26">
        <v>0</v>
      </c>
      <c r="J60" s="26">
        <v>0</v>
      </c>
      <c r="K60" s="26">
        <v>0</v>
      </c>
      <c r="L60" s="26">
        <v>0</v>
      </c>
      <c r="M60" s="26">
        <v>0.12</v>
      </c>
      <c r="N60" s="26">
        <v>0</v>
      </c>
      <c r="O60" s="26">
        <v>0</v>
      </c>
      <c r="P60" s="26">
        <v>0</v>
      </c>
      <c r="Q60" s="26">
        <v>0</v>
      </c>
      <c r="R60" s="26">
        <v>0</v>
      </c>
      <c r="S60" s="26">
        <v>0</v>
      </c>
      <c r="T60" s="26">
        <v>0</v>
      </c>
      <c r="U60" s="26">
        <v>0</v>
      </c>
      <c r="V60" s="26">
        <v>0</v>
      </c>
      <c r="W60" s="26">
        <v>0</v>
      </c>
      <c r="X60" s="26">
        <v>1</v>
      </c>
      <c r="Y60" s="26">
        <v>0</v>
      </c>
      <c r="Z60" s="25">
        <v>0</v>
      </c>
      <c r="KP60" s="25">
        <v>2</v>
      </c>
      <c r="KQ60" s="25" t="s">
        <v>8667</v>
      </c>
      <c r="KR60" s="25" t="s">
        <v>8668</v>
      </c>
      <c r="KS60" s="56">
        <v>6500</v>
      </c>
      <c r="KT60" s="56">
        <v>13000</v>
      </c>
      <c r="KU60" s="56">
        <v>10000</v>
      </c>
      <c r="KV60" s="56">
        <v>20000</v>
      </c>
      <c r="KW60" s="56">
        <v>0</v>
      </c>
      <c r="KX60" s="56">
        <v>0</v>
      </c>
      <c r="KY60" s="25" t="s">
        <v>8246</v>
      </c>
      <c r="KZ60" s="56">
        <v>3500</v>
      </c>
      <c r="LA60" s="56">
        <v>7000</v>
      </c>
      <c r="LB60" s="56">
        <v>3500</v>
      </c>
      <c r="LC60" s="56">
        <v>7000</v>
      </c>
      <c r="LD60" s="25" t="s">
        <v>8350</v>
      </c>
      <c r="LE60" s="25" t="s">
        <v>8248</v>
      </c>
      <c r="LR60" s="25" t="s">
        <v>8249</v>
      </c>
      <c r="OE60" s="25" t="s">
        <v>25</v>
      </c>
      <c r="OF60" s="25" t="s">
        <v>28</v>
      </c>
      <c r="OG60" s="25" t="s">
        <v>28</v>
      </c>
      <c r="OH60" s="25" t="s">
        <v>25</v>
      </c>
      <c r="OJ60" s="25" t="s">
        <v>13416</v>
      </c>
      <c r="OK60" s="25" t="s">
        <v>13416</v>
      </c>
      <c r="OS60" s="26">
        <v>0.1</v>
      </c>
      <c r="OT60" s="26">
        <v>0.1</v>
      </c>
      <c r="OU60" s="26">
        <v>0.1</v>
      </c>
      <c r="PG60" s="26">
        <v>0.3</v>
      </c>
      <c r="PH60" s="26">
        <v>0.3</v>
      </c>
      <c r="PI60" s="26">
        <v>0.3</v>
      </c>
      <c r="PN60" s="25" t="s">
        <v>8250</v>
      </c>
      <c r="PO60" s="25" t="s">
        <v>8250</v>
      </c>
      <c r="PP60" s="25" t="s">
        <v>8250</v>
      </c>
      <c r="PU60" s="25" t="s">
        <v>25</v>
      </c>
      <c r="PV60" s="25" t="s">
        <v>25</v>
      </c>
      <c r="PW60" s="25" t="s">
        <v>25</v>
      </c>
      <c r="QB60" s="25" t="s">
        <v>13810</v>
      </c>
      <c r="QC60" s="25" t="s">
        <v>13810</v>
      </c>
      <c r="QD60" s="25" t="s">
        <v>13810</v>
      </c>
      <c r="QE60" s="25" t="s">
        <v>13810</v>
      </c>
      <c r="QF60" s="25" t="s">
        <v>13810</v>
      </c>
      <c r="QG60" s="25" t="s">
        <v>13810</v>
      </c>
      <c r="QH60" s="25" t="s">
        <v>13810</v>
      </c>
      <c r="QI60" s="25" t="s">
        <v>631</v>
      </c>
      <c r="QJ60" s="25" t="s">
        <v>631</v>
      </c>
      <c r="QL60" s="25" t="s">
        <v>8584</v>
      </c>
      <c r="QM60" s="25" t="s">
        <v>8584</v>
      </c>
      <c r="QN60" s="25" t="s">
        <v>8584</v>
      </c>
      <c r="QO60" s="25" t="s">
        <v>8584</v>
      </c>
      <c r="QP60" s="25" t="s">
        <v>8584</v>
      </c>
      <c r="QQ60" s="25" t="s">
        <v>8584</v>
      </c>
      <c r="QR60" s="25" t="s">
        <v>8253</v>
      </c>
      <c r="SC60" s="26">
        <v>0.1</v>
      </c>
      <c r="VC60" s="25" t="s">
        <v>8255</v>
      </c>
      <c r="VD60" s="25" t="s">
        <v>8298</v>
      </c>
      <c r="VE60" s="25" t="s">
        <v>8321</v>
      </c>
      <c r="VF60" s="25">
        <v>0</v>
      </c>
      <c r="VI60" s="25"/>
      <c r="VJ60" s="25"/>
      <c r="VK60" s="25"/>
      <c r="VL60" s="25"/>
      <c r="VM60" s="25"/>
      <c r="VN60" s="25"/>
      <c r="VP60" s="25"/>
      <c r="VQ60" s="25"/>
      <c r="VR60" s="25"/>
      <c r="VS60" s="25"/>
      <c r="ZA60" s="25"/>
      <c r="ZB60" s="25"/>
      <c r="ZC60" s="25"/>
      <c r="ZD60" s="25"/>
      <c r="ZE60" s="25"/>
      <c r="ZF60" s="25"/>
      <c r="ZG60" s="25"/>
      <c r="ZO60" s="25"/>
      <c r="ZP60" s="25"/>
      <c r="ZQ60" s="25"/>
      <c r="ZR60" s="25"/>
      <c r="ZS60" s="25"/>
      <c r="ZT60" s="25"/>
      <c r="ZU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S60" s="25"/>
      <c r="ACT60" s="25"/>
      <c r="ACU60" s="25"/>
      <c r="ACV60" s="25"/>
      <c r="ACW60" s="25"/>
      <c r="ACX60" s="25"/>
      <c r="ACY60" s="25"/>
      <c r="ACZ60" s="25"/>
      <c r="ADA60" s="25"/>
      <c r="ADB60" s="25"/>
      <c r="ADC60" s="25"/>
      <c r="ADD60" s="25"/>
      <c r="ADE60" s="25"/>
      <c r="ADF60" s="25"/>
      <c r="ADN60" s="25"/>
      <c r="ADO60" s="25"/>
      <c r="ADP60" s="25"/>
      <c r="ADQ60" s="25"/>
      <c r="ADR60" s="25"/>
      <c r="ADS60" s="25"/>
      <c r="ADT60" s="25"/>
      <c r="ADU60" s="25"/>
      <c r="ADV60" s="25"/>
      <c r="ADW60" s="25"/>
      <c r="ADX60" s="25"/>
      <c r="ADY60" s="25"/>
      <c r="ADZ60" s="25"/>
      <c r="AEA60" s="25"/>
      <c r="AEI60" s="25"/>
      <c r="AEJ60" s="25"/>
      <c r="AEK60" s="25"/>
      <c r="AEL60" s="25"/>
      <c r="AEM60" s="25"/>
      <c r="AEN60" s="25"/>
      <c r="AEO60" s="25"/>
      <c r="AEP60" s="25"/>
      <c r="AEQ60" s="25"/>
      <c r="AER60" s="25"/>
      <c r="AES60" s="25"/>
      <c r="AET60" s="25"/>
      <c r="AEU60" s="25"/>
      <c r="AEV60" s="25"/>
      <c r="AFD60" s="25"/>
      <c r="AFE60" s="25"/>
      <c r="AFF60" s="25"/>
      <c r="AFG60" s="25"/>
      <c r="AFH60" s="25"/>
      <c r="AFI60" s="25"/>
      <c r="AFJ60" s="25"/>
      <c r="AFK60" s="25"/>
      <c r="AFL60" s="25"/>
      <c r="AFM60" s="25"/>
      <c r="AFN60" s="25"/>
      <c r="AFO60" s="25"/>
      <c r="AFP60" s="25"/>
      <c r="AFQ60" s="25"/>
      <c r="AFU60" s="25">
        <v>4</v>
      </c>
      <c r="AFV60" s="25" t="s">
        <v>8322</v>
      </c>
      <c r="AFW60" s="25" t="s">
        <v>8669</v>
      </c>
      <c r="AFX60" s="56">
        <v>3000</v>
      </c>
      <c r="AFY60" s="56">
        <v>6000</v>
      </c>
      <c r="AGD60" s="25" t="s">
        <v>8246</v>
      </c>
      <c r="AGE60" s="56">
        <v>500</v>
      </c>
      <c r="AGF60" s="56">
        <v>1000</v>
      </c>
      <c r="AGP60" s="25" t="s">
        <v>8248</v>
      </c>
      <c r="AGV60" s="25" t="s">
        <v>8670</v>
      </c>
      <c r="AJI60" s="25" t="s">
        <v>25</v>
      </c>
      <c r="AJJ60" s="25" t="s">
        <v>25</v>
      </c>
      <c r="AJL60" s="25" t="s">
        <v>25</v>
      </c>
      <c r="AJN60" s="25" t="s">
        <v>13420</v>
      </c>
      <c r="AJP60" s="56">
        <v>40</v>
      </c>
      <c r="AJQ60" s="56">
        <v>40</v>
      </c>
      <c r="AJR60" s="56">
        <v>40</v>
      </c>
      <c r="AJT60" s="56">
        <v>40</v>
      </c>
      <c r="AJY60" s="26">
        <v>0.1</v>
      </c>
      <c r="AJZ60" s="26">
        <v>0.1</v>
      </c>
      <c r="AKR60" s="25" t="s">
        <v>8250</v>
      </c>
      <c r="AKS60" s="25" t="s">
        <v>8250</v>
      </c>
      <c r="AKT60" s="25" t="s">
        <v>8250</v>
      </c>
      <c r="AKY60" s="25" t="s">
        <v>25</v>
      </c>
      <c r="AKZ60" s="25" t="s">
        <v>25</v>
      </c>
      <c r="ALA60" s="25" t="s">
        <v>25</v>
      </c>
      <c r="ALF60" s="25" t="s">
        <v>13810</v>
      </c>
      <c r="ALG60" s="25" t="s">
        <v>13810</v>
      </c>
      <c r="ALH60" s="25" t="s">
        <v>13810</v>
      </c>
      <c r="ALI60" s="25" t="s">
        <v>13810</v>
      </c>
      <c r="ALJ60" s="25" t="s">
        <v>13810</v>
      </c>
      <c r="ALK60" s="25" t="s">
        <v>13810</v>
      </c>
      <c r="ALL60" s="25" t="s">
        <v>13810</v>
      </c>
      <c r="ALM60" s="25" t="s">
        <v>13810</v>
      </c>
      <c r="ALN60" s="25" t="s">
        <v>631</v>
      </c>
      <c r="ALP60" s="25" t="s">
        <v>8584</v>
      </c>
      <c r="ALQ60" s="25" t="s">
        <v>8584</v>
      </c>
      <c r="ALR60" s="25" t="s">
        <v>8584</v>
      </c>
      <c r="ALS60" s="25" t="s">
        <v>8584</v>
      </c>
      <c r="ALT60" s="25" t="s">
        <v>8584</v>
      </c>
      <c r="ALU60" s="25" t="s">
        <v>8584</v>
      </c>
      <c r="ALV60" s="25" t="s">
        <v>8253</v>
      </c>
      <c r="ALW60" s="25" t="s">
        <v>8584</v>
      </c>
      <c r="AMW60" s="56">
        <v>10</v>
      </c>
      <c r="AMY60" s="56">
        <v>10</v>
      </c>
      <c r="AQG60" s="25" t="s">
        <v>8255</v>
      </c>
      <c r="AQH60" s="25" t="s">
        <v>8298</v>
      </c>
      <c r="AQI60" s="25" t="s">
        <v>8321</v>
      </c>
      <c r="AQJ60" s="25">
        <v>7</v>
      </c>
      <c r="AQK60" s="25" t="s">
        <v>8322</v>
      </c>
      <c r="AQL60" s="25" t="s">
        <v>8671</v>
      </c>
      <c r="AQS60" s="25" t="s">
        <v>13596</v>
      </c>
      <c r="ATY60" s="25" t="s">
        <v>25</v>
      </c>
      <c r="AUA60" s="25" t="s">
        <v>25</v>
      </c>
      <c r="AUC60" s="25" t="s">
        <v>13819</v>
      </c>
      <c r="AUD60" s="25" t="s">
        <v>8404</v>
      </c>
      <c r="AUE60" s="56">
        <v>40</v>
      </c>
      <c r="AUF60" s="56">
        <v>40</v>
      </c>
      <c r="AUI60" s="56">
        <v>40</v>
      </c>
      <c r="AUO60" s="26">
        <v>0.1</v>
      </c>
      <c r="AVU60" s="25" t="s">
        <v>13810</v>
      </c>
      <c r="AVV60" s="25" t="s">
        <v>13810</v>
      </c>
      <c r="AVW60" s="25" t="s">
        <v>13810</v>
      </c>
      <c r="AVX60" s="25" t="s">
        <v>13810</v>
      </c>
      <c r="AWE60" s="25" t="s">
        <v>8317</v>
      </c>
      <c r="AWF60" s="25" t="s">
        <v>8317</v>
      </c>
      <c r="AWG60" s="25" t="s">
        <v>8317</v>
      </c>
      <c r="AWH60" s="25" t="s">
        <v>8317</v>
      </c>
      <c r="AWN60" s="56">
        <v>10</v>
      </c>
      <c r="AWP60" s="56">
        <v>10</v>
      </c>
      <c r="AWR60" s="56">
        <v>20</v>
      </c>
      <c r="AWT60" s="56">
        <v>20</v>
      </c>
      <c r="BAY60" s="25">
        <v>0</v>
      </c>
      <c r="BBB60" s="25"/>
      <c r="BBC60" s="25"/>
      <c r="BBD60" s="25"/>
      <c r="BBE60" s="25"/>
      <c r="BBF60" s="25"/>
      <c r="BBG60" s="25"/>
      <c r="BBI60" s="25"/>
      <c r="BBJ60" s="25"/>
      <c r="BBK60" s="25"/>
      <c r="BBL60" s="25"/>
      <c r="BET60" s="25"/>
      <c r="BEU60" s="25"/>
      <c r="BEV60" s="25"/>
      <c r="BEW60" s="25"/>
      <c r="BEX60" s="25"/>
      <c r="BEY60" s="25"/>
      <c r="BEZ60" s="25"/>
      <c r="BFH60" s="25"/>
      <c r="BFI60" s="25"/>
      <c r="BFJ60" s="25"/>
      <c r="BFK60" s="25"/>
      <c r="BFL60" s="25"/>
      <c r="BFM60" s="25"/>
      <c r="BFN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L60" s="25"/>
      <c r="BIM60" s="25"/>
      <c r="BIN60" s="25"/>
      <c r="BIO60" s="25"/>
      <c r="BIP60" s="25"/>
      <c r="BIQ60" s="25"/>
      <c r="BIR60" s="25"/>
      <c r="BIS60" s="25"/>
      <c r="BIT60" s="25"/>
      <c r="BIU60" s="25"/>
      <c r="BIV60" s="25"/>
      <c r="BIW60" s="25"/>
      <c r="BIX60" s="25"/>
      <c r="BIY60" s="25"/>
      <c r="BJG60" s="25"/>
      <c r="BJH60" s="25"/>
      <c r="BJI60" s="25"/>
      <c r="BJJ60" s="25"/>
      <c r="BJK60" s="25"/>
      <c r="BJL60" s="25"/>
      <c r="BJM60" s="25"/>
      <c r="BJN60" s="25"/>
      <c r="BJO60" s="25"/>
      <c r="BJP60" s="25"/>
      <c r="BJQ60" s="25"/>
      <c r="BJR60" s="25"/>
      <c r="BJS60" s="25"/>
      <c r="BJT60" s="25"/>
      <c r="BKB60" s="25"/>
      <c r="BKC60" s="25"/>
      <c r="BKD60" s="25"/>
      <c r="BKE60" s="25"/>
      <c r="BKF60" s="25"/>
      <c r="BKG60" s="25"/>
      <c r="BKH60" s="25"/>
      <c r="BKI60" s="25"/>
      <c r="BKJ60" s="25"/>
      <c r="BKK60" s="25"/>
      <c r="BKL60" s="25"/>
      <c r="BKM60" s="25"/>
      <c r="BKN60" s="25"/>
      <c r="BKO60" s="25"/>
      <c r="BKW60" s="25"/>
      <c r="BKX60" s="25"/>
      <c r="BKY60" s="25"/>
      <c r="BKZ60" s="25"/>
      <c r="BLA60" s="25"/>
      <c r="BLB60" s="25"/>
      <c r="BLC60" s="25"/>
      <c r="BLD60" s="25"/>
      <c r="BLE60" s="25"/>
      <c r="BLF60" s="25"/>
      <c r="BLG60" s="25"/>
      <c r="BLH60" s="25"/>
      <c r="BLI60" s="25"/>
      <c r="BLJ60" s="25"/>
      <c r="BLN60" s="25">
        <v>0</v>
      </c>
      <c r="BLQ60" s="25"/>
      <c r="BLR60" s="25"/>
      <c r="BLS60" s="25"/>
      <c r="BLT60" s="25"/>
      <c r="BLU60" s="25"/>
      <c r="BLV60" s="25"/>
      <c r="BLX60" s="25"/>
      <c r="BLY60" s="25"/>
      <c r="BLZ60" s="25"/>
      <c r="BMA60" s="25"/>
      <c r="BPI60" s="25"/>
      <c r="BPJ60" s="25"/>
      <c r="BPK60" s="25"/>
      <c r="BPL60" s="25"/>
      <c r="BPM60" s="25"/>
      <c r="BPN60" s="25"/>
      <c r="BPO60" s="25"/>
      <c r="BPW60" s="25"/>
      <c r="BPX60" s="25"/>
      <c r="BPY60" s="25"/>
      <c r="BPZ60" s="25"/>
      <c r="BQA60" s="25"/>
      <c r="BQB60" s="25"/>
      <c r="BQC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TA60" s="25"/>
      <c r="BTB60" s="25"/>
      <c r="BTC60" s="25"/>
      <c r="BTD60" s="25"/>
      <c r="BTE60" s="25"/>
      <c r="BTF60" s="25"/>
      <c r="BTG60" s="25"/>
      <c r="BTH60" s="25"/>
      <c r="BTI60" s="25"/>
      <c r="BTJ60" s="25"/>
      <c r="BTK60" s="25"/>
      <c r="BTL60" s="25"/>
      <c r="BTM60" s="25"/>
      <c r="BTN60" s="25"/>
      <c r="BUQ60" s="25"/>
      <c r="BUR60" s="25"/>
      <c r="BUS60" s="25"/>
      <c r="BUT60" s="25"/>
      <c r="BUU60" s="25"/>
      <c r="BUV60" s="25"/>
      <c r="BUW60" s="25"/>
      <c r="BUX60" s="25"/>
      <c r="BUY60" s="25"/>
      <c r="BUZ60" s="25"/>
      <c r="BVA60" s="25"/>
      <c r="BVB60" s="25"/>
      <c r="BVC60" s="25"/>
      <c r="BVD60" s="25"/>
      <c r="BWC60" s="25" t="s">
        <v>28</v>
      </c>
      <c r="BWD60" s="25" t="s">
        <v>8265</v>
      </c>
      <c r="BWE60" s="25" t="s">
        <v>8357</v>
      </c>
      <c r="BWF60" s="25" t="s">
        <v>13711</v>
      </c>
      <c r="BWG60" s="25" t="s">
        <v>28</v>
      </c>
      <c r="BWH60" s="25" t="s">
        <v>25</v>
      </c>
      <c r="BWI60" s="25" t="s">
        <v>28</v>
      </c>
      <c r="BWK60" s="25" t="s">
        <v>25</v>
      </c>
      <c r="BWM60" s="25" t="s">
        <v>25</v>
      </c>
      <c r="BWO60" s="25" t="s">
        <v>25</v>
      </c>
      <c r="BWQ60" s="25" t="s">
        <v>28</v>
      </c>
      <c r="BWR60" s="25" t="s">
        <v>28</v>
      </c>
      <c r="BWT60" s="25" t="s">
        <v>25</v>
      </c>
      <c r="BWV60" s="25" t="s">
        <v>25</v>
      </c>
      <c r="BWX60" s="25" t="s">
        <v>28</v>
      </c>
      <c r="BWY60" s="25" t="s">
        <v>8358</v>
      </c>
      <c r="BWZ60" s="25" t="s">
        <v>25</v>
      </c>
      <c r="BXB60" s="25" t="s">
        <v>25</v>
      </c>
      <c r="BXD60" s="25" t="s">
        <v>28</v>
      </c>
      <c r="BXE60" s="25" t="s">
        <v>8358</v>
      </c>
      <c r="BXF60" s="25" t="s">
        <v>25</v>
      </c>
      <c r="BXH60" s="25" t="s">
        <v>25</v>
      </c>
      <c r="BXJ60" s="25" t="s">
        <v>28</v>
      </c>
      <c r="BXK60" s="25" t="s">
        <v>8498</v>
      </c>
      <c r="BXL60" s="25" t="s">
        <v>8672</v>
      </c>
      <c r="BXM60" s="25" t="s">
        <v>28</v>
      </c>
      <c r="BXN60" s="25" t="s">
        <v>8332</v>
      </c>
      <c r="BXO60" s="25" t="s">
        <v>8274</v>
      </c>
      <c r="BXP60" s="25" t="s">
        <v>8274</v>
      </c>
      <c r="BXQ60" s="25" t="s">
        <v>8274</v>
      </c>
      <c r="BXR60" s="25" t="s">
        <v>8274</v>
      </c>
      <c r="BXS60" s="25" t="s">
        <v>8274</v>
      </c>
      <c r="BXU60" s="25" t="s">
        <v>25</v>
      </c>
      <c r="BXW60" s="25" t="s">
        <v>28</v>
      </c>
      <c r="BXX60" s="25" t="s">
        <v>28</v>
      </c>
      <c r="BXY60" s="25" t="s">
        <v>25</v>
      </c>
      <c r="BXZ60" s="25" t="s">
        <v>25</v>
      </c>
      <c r="BYA60" s="25" t="s">
        <v>25</v>
      </c>
      <c r="BYB60" s="25" t="s">
        <v>25</v>
      </c>
      <c r="BYC60" s="25" t="s">
        <v>2201</v>
      </c>
      <c r="BYD60" s="25" t="s">
        <v>28</v>
      </c>
      <c r="BYE60" s="25" t="s">
        <v>13610</v>
      </c>
      <c r="BYF60" s="25" t="s">
        <v>8277</v>
      </c>
      <c r="BYG60" s="25" t="s">
        <v>72</v>
      </c>
      <c r="BYH60" s="25" t="s">
        <v>8407</v>
      </c>
      <c r="BYK60" s="25" t="s">
        <v>25</v>
      </c>
      <c r="BYL60" s="25" t="s">
        <v>25</v>
      </c>
      <c r="BYN60" s="25" t="s">
        <v>25</v>
      </c>
      <c r="BYP60" s="25" t="s">
        <v>25</v>
      </c>
      <c r="BYR60" s="25" t="s">
        <v>28</v>
      </c>
      <c r="BYS60" s="25" t="s">
        <v>8279</v>
      </c>
      <c r="BYU60" s="25" t="s">
        <v>732</v>
      </c>
      <c r="BYV60" s="25" t="s">
        <v>25</v>
      </c>
      <c r="BYW60" s="25" t="s">
        <v>28</v>
      </c>
      <c r="BYX60" s="56">
        <v>400</v>
      </c>
      <c r="BYY60" s="56">
        <v>900</v>
      </c>
      <c r="BYZ60" s="25" t="s">
        <v>8408</v>
      </c>
      <c r="BZA60" s="25" t="s">
        <v>8673</v>
      </c>
      <c r="BZB60" s="25" t="s">
        <v>2269</v>
      </c>
      <c r="BZD60" s="25" t="s">
        <v>25</v>
      </c>
      <c r="BZF60" s="25" t="s">
        <v>28</v>
      </c>
      <c r="BZG60" s="25" t="s">
        <v>25</v>
      </c>
      <c r="BZJ60" s="25" t="s">
        <v>25</v>
      </c>
      <c r="BZM60" s="25" t="s">
        <v>28</v>
      </c>
      <c r="BZN60" s="25" t="s">
        <v>8283</v>
      </c>
      <c r="BZP60" s="25" t="s">
        <v>8674</v>
      </c>
      <c r="BZQ60" s="56">
        <v>1000</v>
      </c>
      <c r="BZR60" s="25" t="s">
        <v>28</v>
      </c>
      <c r="BZS60" s="25" t="s">
        <v>25</v>
      </c>
      <c r="BZT60" s="25" t="s">
        <v>8337</v>
      </c>
      <c r="BZV60" s="25" t="s">
        <v>13642</v>
      </c>
      <c r="BZX60" s="25" t="s">
        <v>8675</v>
      </c>
      <c r="BZZ60" s="25" t="s">
        <v>25</v>
      </c>
      <c r="CAC60" s="25" t="s">
        <v>28</v>
      </c>
      <c r="CAE60" s="25" t="s">
        <v>28</v>
      </c>
      <c r="CAF60" s="25" t="s">
        <v>8289</v>
      </c>
      <c r="CAG60" s="25" t="s">
        <v>25</v>
      </c>
      <c r="CAH60" s="25" t="s">
        <v>631</v>
      </c>
      <c r="CAI60" s="25" t="s">
        <v>631</v>
      </c>
      <c r="CAJ60" s="25" t="s">
        <v>631</v>
      </c>
      <c r="CAK60" s="25" t="s">
        <v>631</v>
      </c>
      <c r="CAL60" s="25" t="s">
        <v>631</v>
      </c>
      <c r="CAM60" s="25" t="s">
        <v>8290</v>
      </c>
      <c r="CAN60" s="25" t="s">
        <v>631</v>
      </c>
      <c r="CAO60" s="25" t="s">
        <v>631</v>
      </c>
      <c r="CAP60" s="25" t="s">
        <v>631</v>
      </c>
      <c r="CAQ60" s="25" t="s">
        <v>631</v>
      </c>
      <c r="CAR60" s="25" t="s">
        <v>8676</v>
      </c>
      <c r="CAT60" s="25" t="s">
        <v>28</v>
      </c>
      <c r="CAU60" s="25" t="s">
        <v>8677</v>
      </c>
      <c r="CAV60" s="25" t="s">
        <v>8456</v>
      </c>
      <c r="CAW60" s="25" t="s">
        <v>8441</v>
      </c>
      <c r="CAX60" s="25" t="s">
        <v>8342</v>
      </c>
      <c r="CAY60" s="25">
        <v>15</v>
      </c>
      <c r="CAZ60" s="25">
        <v>55</v>
      </c>
      <c r="CBB60" s="25">
        <v>1</v>
      </c>
      <c r="CBC60" s="25">
        <v>0</v>
      </c>
      <c r="CBD60" s="25">
        <v>0</v>
      </c>
      <c r="CBE60" s="56">
        <v>25</v>
      </c>
      <c r="CBF60" s="56">
        <v>75</v>
      </c>
      <c r="CBH60" s="56">
        <v>150</v>
      </c>
      <c r="CBI60" s="56">
        <v>2000</v>
      </c>
      <c r="CBK60" s="56">
        <v>1500</v>
      </c>
      <c r="CBM60" s="26">
        <v>0</v>
      </c>
      <c r="CBN60" s="26">
        <v>0.1</v>
      </c>
      <c r="CBO60" s="26">
        <v>0.2</v>
      </c>
      <c r="CBP60" s="26">
        <v>0.2</v>
      </c>
      <c r="CBQ60" s="26">
        <v>0.4</v>
      </c>
      <c r="CBR60" s="26">
        <v>0.5</v>
      </c>
      <c r="CBS60" s="26">
        <v>0</v>
      </c>
      <c r="CBT60" s="26">
        <v>0</v>
      </c>
      <c r="CBU60" s="27" t="s">
        <v>28</v>
      </c>
      <c r="CBV60" s="27" t="s">
        <v>8369</v>
      </c>
      <c r="CBW60" s="27" t="s">
        <v>8294</v>
      </c>
      <c r="CBX60" s="27" t="s">
        <v>8678</v>
      </c>
      <c r="CBY60" s="27" t="s">
        <v>8296</v>
      </c>
      <c r="CBZ60" s="27" t="s">
        <v>29</v>
      </c>
      <c r="CCA60" s="27" t="s">
        <v>8297</v>
      </c>
      <c r="CCB60" s="27" t="s">
        <v>8298</v>
      </c>
      <c r="CCC60" s="27" t="s">
        <v>8296</v>
      </c>
      <c r="CCD60" s="27" t="s">
        <v>8297</v>
      </c>
      <c r="CCE60" s="27" t="s">
        <v>8297</v>
      </c>
      <c r="CCF60" s="27" t="s">
        <v>8297</v>
      </c>
      <c r="CCG60" s="27" t="s">
        <v>8297</v>
      </c>
      <c r="CCH60" s="27" t="s">
        <v>8298</v>
      </c>
      <c r="CCI60" s="27" t="s">
        <v>8298</v>
      </c>
      <c r="CCJ60" s="27" t="s">
        <v>8298</v>
      </c>
      <c r="CCK60" s="27" t="s">
        <v>8297</v>
      </c>
      <c r="CCL60" s="27" t="s">
        <v>8297</v>
      </c>
      <c r="CCN60" s="27" t="s">
        <v>8296</v>
      </c>
      <c r="CCO60" s="27" t="s">
        <v>8300</v>
      </c>
      <c r="CCP60" s="27" t="s">
        <v>8296</v>
      </c>
      <c r="CCQ60" s="27" t="s">
        <v>8297</v>
      </c>
      <c r="CCR60" s="27" t="s">
        <v>8296</v>
      </c>
      <c r="CCS60" s="27" t="s">
        <v>8298</v>
      </c>
      <c r="CCT60" s="27" t="s">
        <v>8296</v>
      </c>
      <c r="CCU60" s="27" t="s">
        <v>8296</v>
      </c>
      <c r="CCV60" s="27" t="s">
        <v>8298</v>
      </c>
      <c r="CCW60" s="27" t="s">
        <v>8298</v>
      </c>
      <c r="CCX60" s="27" t="s">
        <v>29</v>
      </c>
      <c r="CCZ60" s="27" t="s">
        <v>25</v>
      </c>
      <c r="CDA60" s="27" t="s">
        <v>25</v>
      </c>
      <c r="CDB60" s="27" t="s">
        <v>25</v>
      </c>
      <c r="CDC60" s="27" t="s">
        <v>28</v>
      </c>
      <c r="CDD60" s="27" t="s">
        <v>25</v>
      </c>
      <c r="CDE60" s="27" t="s">
        <v>25</v>
      </c>
      <c r="CDF60" s="27" t="s">
        <v>25</v>
      </c>
      <c r="CDG60" s="27" t="s">
        <v>25</v>
      </c>
      <c r="CDH60" s="27" t="s">
        <v>25</v>
      </c>
      <c r="CDI60" s="27" t="s">
        <v>25</v>
      </c>
      <c r="CDJ60" s="27" t="s">
        <v>28</v>
      </c>
      <c r="CDK60" s="27" t="s">
        <v>25</v>
      </c>
      <c r="CDL60" s="27" t="s">
        <v>25</v>
      </c>
      <c r="CDM60" s="27" t="s">
        <v>25</v>
      </c>
      <c r="CDO60" s="27" t="s">
        <v>25</v>
      </c>
      <c r="CDP60" s="27" t="s">
        <v>28</v>
      </c>
      <c r="CDQ60" s="27" t="s">
        <v>25</v>
      </c>
      <c r="CDR60" s="27" t="s">
        <v>25</v>
      </c>
      <c r="CDS60" s="27" t="s">
        <v>25</v>
      </c>
      <c r="CDT60" s="27" t="s">
        <v>25</v>
      </c>
      <c r="CDU60" s="27" t="s">
        <v>25</v>
      </c>
      <c r="CDV60" s="27" t="s">
        <v>25</v>
      </c>
      <c r="CDW60" s="27" t="s">
        <v>28</v>
      </c>
      <c r="CDX60" s="27" t="s">
        <v>28</v>
      </c>
      <c r="CDY60" s="27" t="s">
        <v>25</v>
      </c>
      <c r="CEA60" s="27" t="s">
        <v>2673</v>
      </c>
      <c r="CEB60" s="27" t="s">
        <v>29</v>
      </c>
      <c r="CEC60" s="27" t="s">
        <v>2673</v>
      </c>
      <c r="CED60" s="27" t="s">
        <v>8302</v>
      </c>
      <c r="CEE60" s="27" t="s">
        <v>2673</v>
      </c>
      <c r="CEF60" s="27" t="s">
        <v>2673</v>
      </c>
      <c r="CEG60" s="27" t="s">
        <v>2673</v>
      </c>
      <c r="CEH60" s="27" t="s">
        <v>2673</v>
      </c>
      <c r="CEI60" s="27" t="s">
        <v>2673</v>
      </c>
      <c r="CEK60" s="27" t="s">
        <v>8302</v>
      </c>
      <c r="CEM60" s="27" t="s">
        <v>2673</v>
      </c>
      <c r="CEN60" s="27" t="s">
        <v>2673</v>
      </c>
      <c r="CEP60" s="27" t="s">
        <v>2673</v>
      </c>
      <c r="CEQ60" s="27" t="s">
        <v>8304</v>
      </c>
      <c r="CER60" s="27" t="s">
        <v>2673</v>
      </c>
      <c r="CES60" s="27" t="s">
        <v>2673</v>
      </c>
      <c r="CET60" s="27" t="s">
        <v>2673</v>
      </c>
      <c r="CEU60" s="27" t="s">
        <v>2673</v>
      </c>
      <c r="CEV60" s="27" t="s">
        <v>2673</v>
      </c>
      <c r="CEW60" s="27" t="s">
        <v>2673</v>
      </c>
      <c r="CEX60" s="27" t="s">
        <v>8302</v>
      </c>
      <c r="CEY60" s="27" t="s">
        <v>8303</v>
      </c>
      <c r="CEZ60" s="27" t="s">
        <v>8301</v>
      </c>
      <c r="CFB60" s="27" t="s">
        <v>25</v>
      </c>
      <c r="CFC60" s="27" t="s">
        <v>25</v>
      </c>
      <c r="CFD60" s="27" t="s">
        <v>25</v>
      </c>
      <c r="CFE60" s="27" t="s">
        <v>25</v>
      </c>
      <c r="CFF60" s="27" t="s">
        <v>25</v>
      </c>
      <c r="CFG60" s="27" t="s">
        <v>25</v>
      </c>
      <c r="CFH60" s="27" t="s">
        <v>25</v>
      </c>
      <c r="CFI60" s="27" t="s">
        <v>25</v>
      </c>
      <c r="CFJ60" s="27" t="s">
        <v>25</v>
      </c>
      <c r="CFK60" s="27" t="s">
        <v>25</v>
      </c>
      <c r="CFL60" s="27" t="s">
        <v>25</v>
      </c>
      <c r="CFM60" s="27" t="s">
        <v>25</v>
      </c>
      <c r="CFN60" s="27" t="s">
        <v>25</v>
      </c>
      <c r="CFO60" s="27" t="s">
        <v>25</v>
      </c>
      <c r="CFQ60" s="27" t="s">
        <v>25</v>
      </c>
      <c r="CFR60" s="27" t="s">
        <v>25</v>
      </c>
      <c r="CFS60" s="27" t="s">
        <v>25</v>
      </c>
      <c r="CFT60" s="27" t="s">
        <v>25</v>
      </c>
      <c r="CFU60" s="27" t="s">
        <v>25</v>
      </c>
      <c r="CFV60" s="27" t="s">
        <v>25</v>
      </c>
      <c r="CFW60" s="27" t="s">
        <v>25</v>
      </c>
      <c r="CFX60" s="27" t="s">
        <v>25</v>
      </c>
      <c r="CFY60" s="27" t="s">
        <v>25</v>
      </c>
      <c r="CFZ60" s="27" t="s">
        <v>25</v>
      </c>
      <c r="CGA60" s="27" t="s">
        <v>25</v>
      </c>
      <c r="CPW60" s="27">
        <v>1</v>
      </c>
      <c r="CPX60" s="56">
        <v>25</v>
      </c>
      <c r="CPY60" s="26">
        <v>0</v>
      </c>
      <c r="CPZ60" s="56">
        <v>25</v>
      </c>
      <c r="CQA60" s="26">
        <v>0</v>
      </c>
      <c r="CQB60" s="25" t="s">
        <v>8372</v>
      </c>
      <c r="CQC60" s="25" t="s">
        <v>8372</v>
      </c>
      <c r="CQD60" s="25" t="s">
        <v>8523</v>
      </c>
      <c r="CQE60" s="25" t="s">
        <v>8372</v>
      </c>
      <c r="CQF60" s="25" t="s">
        <v>8372</v>
      </c>
      <c r="CQH60" s="56">
        <v>160</v>
      </c>
      <c r="CQI60" s="56">
        <v>150</v>
      </c>
      <c r="CQJ60" s="56">
        <v>150</v>
      </c>
      <c r="CQL60" s="25" t="s">
        <v>13663</v>
      </c>
      <c r="CQM60" s="25" t="s">
        <v>8665</v>
      </c>
      <c r="CQN60" s="25" t="s">
        <v>28</v>
      </c>
      <c r="CQO60" s="25" t="s">
        <v>8309</v>
      </c>
      <c r="CQQ60" s="25" t="s">
        <v>72</v>
      </c>
      <c r="CQR60" s="25" t="s">
        <v>72</v>
      </c>
      <c r="CQS60" s="25" t="s">
        <v>25</v>
      </c>
      <c r="CQT60" s="25" t="s">
        <v>8312</v>
      </c>
      <c r="CQU60" s="25" t="s">
        <v>8312</v>
      </c>
      <c r="CQV60" s="25" t="s">
        <v>8312</v>
      </c>
      <c r="CQW60" s="25" t="s">
        <v>8312</v>
      </c>
      <c r="CQX60" s="25" t="s">
        <v>8312</v>
      </c>
      <c r="CQY60" s="25" t="s">
        <v>8314</v>
      </c>
      <c r="CQZ60" s="25" t="s">
        <v>8312</v>
      </c>
      <c r="CRA60" s="25" t="s">
        <v>8314</v>
      </c>
      <c r="CRB60" s="25" t="s">
        <v>8314</v>
      </c>
      <c r="CRC60" s="25" t="s">
        <v>8312</v>
      </c>
      <c r="CRD60" s="25" t="s">
        <v>8314</v>
      </c>
      <c r="CRE60" s="27" t="s">
        <v>8312</v>
      </c>
    </row>
    <row r="61" spans="1:2048 2050:2501" ht="89.25" x14ac:dyDescent="0.2">
      <c r="A61" s="21" t="s">
        <v>132</v>
      </c>
      <c r="B61" s="26">
        <v>0.5</v>
      </c>
      <c r="C61" s="26">
        <v>0</v>
      </c>
      <c r="D61" s="26">
        <v>0.48</v>
      </c>
      <c r="E61" s="26">
        <v>0</v>
      </c>
      <c r="F61" s="26">
        <v>0</v>
      </c>
      <c r="G61" s="26">
        <v>0</v>
      </c>
      <c r="H61" s="26">
        <v>0</v>
      </c>
      <c r="I61" s="26">
        <v>0</v>
      </c>
      <c r="J61" s="26">
        <v>0</v>
      </c>
      <c r="K61" s="26">
        <v>0</v>
      </c>
      <c r="L61" s="26">
        <v>0</v>
      </c>
      <c r="M61" s="26">
        <v>0.02</v>
      </c>
      <c r="N61" s="26">
        <v>0.22</v>
      </c>
      <c r="O61" s="26">
        <v>0</v>
      </c>
      <c r="P61" s="26">
        <v>0.39</v>
      </c>
      <c r="Q61" s="26">
        <v>0</v>
      </c>
      <c r="R61" s="26">
        <v>0</v>
      </c>
      <c r="S61" s="26">
        <v>0</v>
      </c>
      <c r="T61" s="26">
        <v>0</v>
      </c>
      <c r="U61" s="26">
        <v>0</v>
      </c>
      <c r="V61" s="26">
        <v>0</v>
      </c>
      <c r="W61" s="26">
        <v>0</v>
      </c>
      <c r="X61" s="26">
        <v>0</v>
      </c>
      <c r="Y61" s="26">
        <v>0.39</v>
      </c>
      <c r="Z61" s="25">
        <v>1</v>
      </c>
      <c r="AA61" s="25" t="s">
        <v>8375</v>
      </c>
      <c r="AC61" s="56">
        <v>2500</v>
      </c>
      <c r="AD61" s="56">
        <v>6000</v>
      </c>
      <c r="AE61" s="56">
        <v>5000</v>
      </c>
      <c r="AF61" s="56">
        <v>12000</v>
      </c>
      <c r="AG61" s="56">
        <v>12000</v>
      </c>
      <c r="AH61" s="56">
        <v>12000</v>
      </c>
      <c r="AI61" s="25" t="s">
        <v>8246</v>
      </c>
      <c r="AJ61" s="56">
        <v>250</v>
      </c>
      <c r="AK61" s="56">
        <v>750</v>
      </c>
      <c r="AL61" s="56">
        <v>500</v>
      </c>
      <c r="AM61" s="56">
        <v>1500</v>
      </c>
      <c r="AN61" s="25" t="s">
        <v>8350</v>
      </c>
      <c r="AO61" s="25" t="s">
        <v>8248</v>
      </c>
      <c r="BB61" s="25" t="s">
        <v>8554</v>
      </c>
      <c r="DO61" s="25" t="s">
        <v>25</v>
      </c>
      <c r="DP61" s="25" t="s">
        <v>28</v>
      </c>
      <c r="DQ61" s="25" t="s">
        <v>25</v>
      </c>
      <c r="DR61" s="25" t="s">
        <v>25</v>
      </c>
      <c r="DT61" s="25" t="s">
        <v>13417</v>
      </c>
      <c r="DU61" s="25" t="s">
        <v>13417</v>
      </c>
      <c r="DV61" s="56">
        <v>20</v>
      </c>
      <c r="DW61" s="56">
        <v>20</v>
      </c>
      <c r="DY61" s="56">
        <v>50</v>
      </c>
      <c r="DZ61" s="56">
        <v>20</v>
      </c>
      <c r="EA61" s="56">
        <v>20</v>
      </c>
      <c r="EE61" s="26">
        <v>0.9</v>
      </c>
      <c r="EM61" s="56">
        <v>50</v>
      </c>
      <c r="EQ61" s="26">
        <v>0.7</v>
      </c>
      <c r="ER61" s="26">
        <v>0.7</v>
      </c>
      <c r="ES61" s="26">
        <v>0.7</v>
      </c>
      <c r="EU61" s="26">
        <v>0.7</v>
      </c>
      <c r="EX61" s="25" t="s">
        <v>8250</v>
      </c>
      <c r="EY61" s="25" t="s">
        <v>8250</v>
      </c>
      <c r="EZ61" s="25" t="s">
        <v>8250</v>
      </c>
      <c r="FA61" s="25" t="s">
        <v>8250</v>
      </c>
      <c r="FB61" s="25" t="s">
        <v>8250</v>
      </c>
      <c r="FC61" s="25" t="s">
        <v>8250</v>
      </c>
      <c r="FE61" s="25" t="s">
        <v>25</v>
      </c>
      <c r="FF61" s="25" t="s">
        <v>25</v>
      </c>
      <c r="FG61" s="25" t="s">
        <v>25</v>
      </c>
      <c r="FH61" s="25" t="s">
        <v>25</v>
      </c>
      <c r="FI61" s="25" t="s">
        <v>25</v>
      </c>
      <c r="FJ61" s="25" t="s">
        <v>25</v>
      </c>
      <c r="FL61" s="25" t="s">
        <v>13810</v>
      </c>
      <c r="FM61" s="25" t="s">
        <v>13810</v>
      </c>
      <c r="FN61" s="25" t="s">
        <v>13810</v>
      </c>
      <c r="FP61" s="25" t="s">
        <v>13810</v>
      </c>
      <c r="FQ61" s="25" t="s">
        <v>13810</v>
      </c>
      <c r="FR61" s="25" t="s">
        <v>13810</v>
      </c>
      <c r="FS61" s="25" t="s">
        <v>631</v>
      </c>
      <c r="FT61" s="25" t="s">
        <v>631</v>
      </c>
      <c r="FU61" s="25" t="s">
        <v>631</v>
      </c>
      <c r="FV61" s="25" t="s">
        <v>8253</v>
      </c>
      <c r="FW61" s="25" t="s">
        <v>8253</v>
      </c>
      <c r="FX61" s="25" t="s">
        <v>8253</v>
      </c>
      <c r="FZ61" s="25" t="s">
        <v>8253</v>
      </c>
      <c r="GA61" s="25" t="s">
        <v>8253</v>
      </c>
      <c r="GB61" s="25" t="s">
        <v>8253</v>
      </c>
      <c r="GE61" s="56">
        <v>10</v>
      </c>
      <c r="GI61" s="56">
        <v>25</v>
      </c>
      <c r="GM61" s="56">
        <v>40</v>
      </c>
      <c r="IB61" s="26">
        <v>0.5</v>
      </c>
      <c r="IC61" s="26">
        <v>0.5</v>
      </c>
      <c r="ID61" s="26">
        <v>0.5</v>
      </c>
      <c r="IW61" s="26">
        <v>0.1</v>
      </c>
      <c r="IX61" s="26">
        <v>0.1</v>
      </c>
      <c r="IY61" s="26">
        <v>0.1</v>
      </c>
      <c r="KM61" s="25" t="s">
        <v>8255</v>
      </c>
      <c r="KN61" s="25" t="s">
        <v>8256</v>
      </c>
      <c r="KO61" s="25" t="s">
        <v>8321</v>
      </c>
      <c r="KP61" s="25">
        <v>1</v>
      </c>
      <c r="KQ61" s="25" t="s">
        <v>8555</v>
      </c>
      <c r="KS61" s="56">
        <v>3000</v>
      </c>
      <c r="KT61" s="56">
        <v>6000</v>
      </c>
      <c r="KU61" s="56">
        <v>6000</v>
      </c>
      <c r="KV61" s="56">
        <v>12000</v>
      </c>
      <c r="KW61" s="56">
        <v>12000</v>
      </c>
      <c r="KX61" s="56">
        <v>12000</v>
      </c>
      <c r="KY61" s="25" t="s">
        <v>8260</v>
      </c>
      <c r="KZ61" s="56">
        <v>1500</v>
      </c>
      <c r="LA61" s="56">
        <v>3000</v>
      </c>
      <c r="LB61" s="56">
        <v>3000</v>
      </c>
      <c r="LC61" s="56">
        <v>6000</v>
      </c>
      <c r="LD61" s="25" t="s">
        <v>8350</v>
      </c>
      <c r="OE61" s="25" t="s">
        <v>25</v>
      </c>
      <c r="OF61" s="25" t="s">
        <v>28</v>
      </c>
      <c r="OG61" s="25" t="s">
        <v>25</v>
      </c>
      <c r="OH61" s="25" t="s">
        <v>25</v>
      </c>
      <c r="OJ61" s="25" t="s">
        <v>13431</v>
      </c>
      <c r="OK61" s="25" t="s">
        <v>13431</v>
      </c>
      <c r="OS61" s="26">
        <v>0.1</v>
      </c>
      <c r="OT61" s="26">
        <v>0.1</v>
      </c>
      <c r="OV61" s="26">
        <v>0.1</v>
      </c>
      <c r="OW61" s="26">
        <v>0.1</v>
      </c>
      <c r="OX61" s="26">
        <v>0.1</v>
      </c>
      <c r="OZ61" s="56">
        <v>30</v>
      </c>
      <c r="PA61" s="56">
        <v>30</v>
      </c>
      <c r="PC61" s="56">
        <v>30</v>
      </c>
      <c r="PD61" s="56">
        <v>30</v>
      </c>
      <c r="PE61" s="56">
        <v>30</v>
      </c>
      <c r="PG61" s="26">
        <v>0.3</v>
      </c>
      <c r="PH61" s="26">
        <v>0.3</v>
      </c>
      <c r="PJ61" s="26">
        <v>0.3</v>
      </c>
      <c r="PK61" s="26">
        <v>0.3</v>
      </c>
      <c r="PL61" s="26">
        <v>0.3</v>
      </c>
      <c r="PN61" s="25" t="s">
        <v>8250</v>
      </c>
      <c r="PO61" s="25" t="s">
        <v>8250</v>
      </c>
      <c r="PP61" s="25" t="s">
        <v>8250</v>
      </c>
      <c r="PQ61" s="25" t="s">
        <v>8250</v>
      </c>
      <c r="PR61" s="25" t="s">
        <v>8250</v>
      </c>
      <c r="PS61" s="25" t="s">
        <v>8250</v>
      </c>
      <c r="PU61" s="25" t="s">
        <v>25</v>
      </c>
      <c r="PV61" s="25" t="s">
        <v>25</v>
      </c>
      <c r="PW61" s="25" t="s">
        <v>25</v>
      </c>
      <c r="PX61" s="25" t="s">
        <v>25</v>
      </c>
      <c r="PY61" s="25" t="s">
        <v>25</v>
      </c>
      <c r="PZ61" s="25" t="s">
        <v>25</v>
      </c>
      <c r="QB61" s="25" t="s">
        <v>13810</v>
      </c>
      <c r="QC61" s="25" t="s">
        <v>13810</v>
      </c>
      <c r="QD61" s="25" t="s">
        <v>13810</v>
      </c>
      <c r="QF61" s="25" t="s">
        <v>13810</v>
      </c>
      <c r="QG61" s="25" t="s">
        <v>13810</v>
      </c>
      <c r="QH61" s="25" t="s">
        <v>13810</v>
      </c>
      <c r="QI61" s="25" t="s">
        <v>631</v>
      </c>
      <c r="QJ61" s="25" t="s">
        <v>631</v>
      </c>
      <c r="QK61" s="25" t="s">
        <v>631</v>
      </c>
      <c r="QL61" s="25" t="s">
        <v>8253</v>
      </c>
      <c r="QM61" s="25" t="s">
        <v>8253</v>
      </c>
      <c r="QN61" s="25" t="s">
        <v>8253</v>
      </c>
      <c r="QP61" s="25" t="s">
        <v>8253</v>
      </c>
      <c r="QQ61" s="25" t="s">
        <v>8253</v>
      </c>
      <c r="QR61" s="25" t="s">
        <v>8253</v>
      </c>
      <c r="RW61" s="26">
        <v>0.1</v>
      </c>
      <c r="RX61" s="26">
        <v>0.1</v>
      </c>
      <c r="RY61" s="26">
        <v>0.1</v>
      </c>
      <c r="SR61" s="26">
        <v>0.5</v>
      </c>
      <c r="SS61" s="26">
        <v>0.5</v>
      </c>
      <c r="ST61" s="26">
        <v>0.5</v>
      </c>
      <c r="TM61" s="26">
        <v>0.1</v>
      </c>
      <c r="TN61" s="26">
        <v>0.1</v>
      </c>
      <c r="TO61" s="26">
        <v>0.1</v>
      </c>
      <c r="UH61" s="26">
        <v>1</v>
      </c>
      <c r="UI61" s="26">
        <v>1</v>
      </c>
      <c r="UJ61" s="26">
        <v>1</v>
      </c>
      <c r="VC61" s="25" t="s">
        <v>8255</v>
      </c>
      <c r="VD61" s="25" t="s">
        <v>8256</v>
      </c>
      <c r="VE61" s="25" t="s">
        <v>8321</v>
      </c>
      <c r="VF61" s="25">
        <v>0</v>
      </c>
      <c r="VI61" s="25"/>
      <c r="VJ61" s="25"/>
      <c r="VK61" s="25"/>
      <c r="VL61" s="25"/>
      <c r="VM61" s="25"/>
      <c r="VN61" s="25"/>
      <c r="VP61" s="25"/>
      <c r="VQ61" s="25"/>
      <c r="VR61" s="25"/>
      <c r="VS61" s="25"/>
      <c r="ZA61" s="25"/>
      <c r="ZB61" s="25"/>
      <c r="ZC61" s="25"/>
      <c r="ZD61" s="25"/>
      <c r="ZE61" s="25"/>
      <c r="ZF61" s="25"/>
      <c r="ZG61" s="25"/>
      <c r="ZO61" s="25"/>
      <c r="ZP61" s="25"/>
      <c r="ZQ61" s="25"/>
      <c r="ZR61" s="25"/>
      <c r="ZS61" s="25"/>
      <c r="ZT61" s="25"/>
      <c r="ZU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S61" s="25"/>
      <c r="ACT61" s="25"/>
      <c r="ACU61" s="25"/>
      <c r="ACV61" s="25"/>
      <c r="ACW61" s="25"/>
      <c r="ACX61" s="25"/>
      <c r="ACY61" s="25"/>
      <c r="ACZ61" s="25"/>
      <c r="ADA61" s="25"/>
      <c r="ADB61" s="25"/>
      <c r="ADC61" s="25"/>
      <c r="ADD61" s="25"/>
      <c r="ADE61" s="25"/>
      <c r="ADF61" s="25"/>
      <c r="ADN61" s="25"/>
      <c r="ADO61" s="25"/>
      <c r="ADP61" s="25"/>
      <c r="ADQ61" s="25"/>
      <c r="ADR61" s="25"/>
      <c r="ADS61" s="25"/>
      <c r="ADT61" s="25"/>
      <c r="ADU61" s="25"/>
      <c r="ADV61" s="25"/>
      <c r="ADW61" s="25"/>
      <c r="ADX61" s="25"/>
      <c r="ADY61" s="25"/>
      <c r="ADZ61" s="25"/>
      <c r="AEA61" s="25"/>
      <c r="AEI61" s="25"/>
      <c r="AEJ61" s="25"/>
      <c r="AEK61" s="25"/>
      <c r="AEL61" s="25"/>
      <c r="AEM61" s="25"/>
      <c r="AEN61" s="25"/>
      <c r="AEO61" s="25"/>
      <c r="AEP61" s="25"/>
      <c r="AEQ61" s="25"/>
      <c r="AER61" s="25"/>
      <c r="AES61" s="25"/>
      <c r="AET61" s="25"/>
      <c r="AEU61" s="25"/>
      <c r="AEV61" s="25"/>
      <c r="AFD61" s="25"/>
      <c r="AFE61" s="25"/>
      <c r="AFF61" s="25"/>
      <c r="AFG61" s="25"/>
      <c r="AFH61" s="25"/>
      <c r="AFI61" s="25"/>
      <c r="AFJ61" s="25"/>
      <c r="AFK61" s="25"/>
      <c r="AFL61" s="25"/>
      <c r="AFM61" s="25"/>
      <c r="AFN61" s="25"/>
      <c r="AFO61" s="25"/>
      <c r="AFP61" s="25"/>
      <c r="AFQ61" s="25"/>
      <c r="AFU61" s="25">
        <v>0</v>
      </c>
      <c r="AFX61" s="25"/>
      <c r="AFY61" s="25"/>
      <c r="AFZ61" s="25"/>
      <c r="AGA61" s="25"/>
      <c r="AGB61" s="25"/>
      <c r="AGC61" s="25"/>
      <c r="AGE61" s="25"/>
      <c r="AGF61" s="25"/>
      <c r="AGG61" s="25"/>
      <c r="AGH61" s="25"/>
      <c r="AJP61" s="25"/>
      <c r="AJQ61" s="25"/>
      <c r="AJR61" s="25"/>
      <c r="AJS61" s="25"/>
      <c r="AJT61" s="25"/>
      <c r="AJU61" s="25"/>
      <c r="AJV61" s="25"/>
      <c r="AKD61" s="25"/>
      <c r="AKE61" s="25"/>
      <c r="AKF61" s="25"/>
      <c r="AKG61" s="25"/>
      <c r="AKH61" s="25"/>
      <c r="AKI61" s="25"/>
      <c r="AKJ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H61" s="25"/>
      <c r="ANI61" s="25"/>
      <c r="ANJ61" s="25"/>
      <c r="ANK61" s="25"/>
      <c r="ANL61" s="25"/>
      <c r="ANM61" s="25"/>
      <c r="ANN61" s="25"/>
      <c r="ANO61" s="25"/>
      <c r="ANP61" s="25"/>
      <c r="ANQ61" s="25"/>
      <c r="ANR61" s="25"/>
      <c r="ANS61" s="25"/>
      <c r="ANT61" s="25"/>
      <c r="ANU61" s="25"/>
      <c r="AOC61" s="25"/>
      <c r="AOD61" s="25"/>
      <c r="AOE61" s="25"/>
      <c r="AOF61" s="25"/>
      <c r="AOG61" s="25"/>
      <c r="AOH61" s="25"/>
      <c r="AOI61" s="25"/>
      <c r="AOJ61" s="25"/>
      <c r="AOK61" s="25"/>
      <c r="AOL61" s="25"/>
      <c r="AOM61" s="25"/>
      <c r="AON61" s="25"/>
      <c r="AOO61" s="25"/>
      <c r="AOP61" s="25"/>
      <c r="AOX61" s="25"/>
      <c r="AOY61" s="25"/>
      <c r="AOZ61" s="25"/>
      <c r="APA61" s="25"/>
      <c r="APB61" s="25"/>
      <c r="APC61" s="25"/>
      <c r="APD61" s="25"/>
      <c r="APE61" s="25"/>
      <c r="APF61" s="25"/>
      <c r="APG61" s="25"/>
      <c r="APH61" s="25"/>
      <c r="API61" s="25"/>
      <c r="APJ61" s="25"/>
      <c r="APK61" s="25"/>
      <c r="APS61" s="25"/>
      <c r="APT61" s="25"/>
      <c r="APU61" s="25"/>
      <c r="APV61" s="25"/>
      <c r="APW61" s="25"/>
      <c r="APX61" s="25"/>
      <c r="APY61" s="25"/>
      <c r="APZ61" s="25"/>
      <c r="AQA61" s="25"/>
      <c r="AQB61" s="25"/>
      <c r="AQC61" s="25"/>
      <c r="AQD61" s="25"/>
      <c r="AQE61" s="25"/>
      <c r="AQF61" s="25"/>
      <c r="AQJ61" s="25">
        <v>0</v>
      </c>
      <c r="AQM61" s="25"/>
      <c r="AQN61" s="25"/>
      <c r="AQO61" s="25"/>
      <c r="AQP61" s="25"/>
      <c r="AQQ61" s="25"/>
      <c r="AQR61" s="25"/>
      <c r="AQT61" s="25"/>
      <c r="AQU61" s="25"/>
      <c r="AQV61" s="25"/>
      <c r="AQW61" s="25"/>
      <c r="AUE61" s="25"/>
      <c r="AUF61" s="25"/>
      <c r="AUG61" s="25"/>
      <c r="AUH61" s="25"/>
      <c r="AUI61" s="25"/>
      <c r="AUJ61" s="25"/>
      <c r="AUK61" s="25"/>
      <c r="AUS61" s="25"/>
      <c r="AUT61" s="25"/>
      <c r="AUU61" s="25"/>
      <c r="AUV61" s="25"/>
      <c r="AUW61" s="25"/>
      <c r="AUX61" s="25"/>
      <c r="AUY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W61" s="25"/>
      <c r="AXX61" s="25"/>
      <c r="AXY61" s="25"/>
      <c r="AXZ61" s="25"/>
      <c r="AYA61" s="25"/>
      <c r="AYB61" s="25"/>
      <c r="AYC61" s="25"/>
      <c r="AYD61" s="25"/>
      <c r="AYE61" s="25"/>
      <c r="AYF61" s="25"/>
      <c r="AYG61" s="25"/>
      <c r="AYH61" s="25"/>
      <c r="AYI61" s="25"/>
      <c r="AYJ61" s="25"/>
      <c r="AZM61" s="25"/>
      <c r="AZN61" s="25"/>
      <c r="AZO61" s="25"/>
      <c r="AZP61" s="25"/>
      <c r="AZQ61" s="25"/>
      <c r="AZR61" s="25"/>
      <c r="AZS61" s="25"/>
      <c r="AZT61" s="25"/>
      <c r="AZU61" s="25"/>
      <c r="AZV61" s="25"/>
      <c r="AZW61" s="25"/>
      <c r="AZX61" s="25"/>
      <c r="AZY61" s="25"/>
      <c r="AZZ61" s="25"/>
      <c r="BAR61" s="25"/>
      <c r="BAS61" s="25"/>
      <c r="BAT61" s="25"/>
      <c r="BAU61" s="25"/>
      <c r="BAY61" s="25">
        <v>0</v>
      </c>
      <c r="BBB61" s="25"/>
      <c r="BBC61" s="25"/>
      <c r="BBD61" s="25"/>
      <c r="BBE61" s="25"/>
      <c r="BBF61" s="25"/>
      <c r="BBG61" s="25"/>
      <c r="BBI61" s="25"/>
      <c r="BBJ61" s="25"/>
      <c r="BBK61" s="25"/>
      <c r="BBL61" s="25"/>
      <c r="BET61" s="25"/>
      <c r="BEU61" s="25"/>
      <c r="BEV61" s="25"/>
      <c r="BEW61" s="25"/>
      <c r="BEX61" s="25"/>
      <c r="BEY61" s="25"/>
      <c r="BEZ61" s="25"/>
      <c r="BFH61" s="25"/>
      <c r="BFI61" s="25"/>
      <c r="BFJ61" s="25"/>
      <c r="BFK61" s="25"/>
      <c r="BFL61" s="25"/>
      <c r="BFM61" s="25"/>
      <c r="BFN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L61" s="25"/>
      <c r="BIM61" s="25"/>
      <c r="BIN61" s="25"/>
      <c r="BIO61" s="25"/>
      <c r="BIP61" s="25"/>
      <c r="BIQ61" s="25"/>
      <c r="BIR61" s="25"/>
      <c r="BIS61" s="25"/>
      <c r="BIT61" s="25"/>
      <c r="BIU61" s="25"/>
      <c r="BIV61" s="25"/>
      <c r="BIW61" s="25"/>
      <c r="BIX61" s="25"/>
      <c r="BIY61" s="25"/>
      <c r="BJG61" s="25"/>
      <c r="BJH61" s="25"/>
      <c r="BJI61" s="25"/>
      <c r="BJJ61" s="25"/>
      <c r="BJK61" s="25"/>
      <c r="BJL61" s="25"/>
      <c r="BJM61" s="25"/>
      <c r="BJN61" s="25"/>
      <c r="BJO61" s="25"/>
      <c r="BJP61" s="25"/>
      <c r="BJQ61" s="25"/>
      <c r="BJR61" s="25"/>
      <c r="BJS61" s="25"/>
      <c r="BJT61" s="25"/>
      <c r="BKB61" s="25"/>
      <c r="BKC61" s="25"/>
      <c r="BKD61" s="25"/>
      <c r="BKE61" s="25"/>
      <c r="BKF61" s="25"/>
      <c r="BKG61" s="25"/>
      <c r="BKH61" s="25"/>
      <c r="BKI61" s="25"/>
      <c r="BKJ61" s="25"/>
      <c r="BKK61" s="25"/>
      <c r="BKL61" s="25"/>
      <c r="BKM61" s="25"/>
      <c r="BKN61" s="25"/>
      <c r="BKO61" s="25"/>
      <c r="BKW61" s="25"/>
      <c r="BKX61" s="25"/>
      <c r="BKY61" s="25"/>
      <c r="BKZ61" s="25"/>
      <c r="BLA61" s="25"/>
      <c r="BLB61" s="25"/>
      <c r="BLC61" s="25"/>
      <c r="BLD61" s="25"/>
      <c r="BLE61" s="25"/>
      <c r="BLF61" s="25"/>
      <c r="BLG61" s="25"/>
      <c r="BLH61" s="25"/>
      <c r="BLI61" s="25"/>
      <c r="BLJ61" s="25"/>
      <c r="BLN61" s="25">
        <v>0</v>
      </c>
      <c r="BLQ61" s="25"/>
      <c r="BLR61" s="25"/>
      <c r="BLS61" s="25"/>
      <c r="BLT61" s="25"/>
      <c r="BLU61" s="25"/>
      <c r="BLV61" s="25"/>
      <c r="BLX61" s="25"/>
      <c r="BLY61" s="25"/>
      <c r="BLZ61" s="25"/>
      <c r="BMA61" s="25"/>
      <c r="BPI61" s="25"/>
      <c r="BPJ61" s="25"/>
      <c r="BPK61" s="25"/>
      <c r="BPL61" s="25"/>
      <c r="BPM61" s="25"/>
      <c r="BPN61" s="25"/>
      <c r="BPO61" s="25"/>
      <c r="BPW61" s="25"/>
      <c r="BPX61" s="25"/>
      <c r="BPY61" s="25"/>
      <c r="BPZ61" s="25"/>
      <c r="BQA61" s="25"/>
      <c r="BQB61" s="25"/>
      <c r="BQC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TA61" s="25"/>
      <c r="BTB61" s="25"/>
      <c r="BTC61" s="25"/>
      <c r="BTD61" s="25"/>
      <c r="BTE61" s="25"/>
      <c r="BTF61" s="25"/>
      <c r="BTG61" s="25"/>
      <c r="BTH61" s="25"/>
      <c r="BTI61" s="25"/>
      <c r="BTJ61" s="25"/>
      <c r="BTK61" s="25"/>
      <c r="BTL61" s="25"/>
      <c r="BTM61" s="25"/>
      <c r="BTN61" s="25"/>
      <c r="BUQ61" s="25"/>
      <c r="BUR61" s="25"/>
      <c r="BUS61" s="25"/>
      <c r="BUT61" s="25"/>
      <c r="BUU61" s="25"/>
      <c r="BUV61" s="25"/>
      <c r="BUW61" s="25"/>
      <c r="BUX61" s="25"/>
      <c r="BUY61" s="25"/>
      <c r="BUZ61" s="25"/>
      <c r="BVA61" s="25"/>
      <c r="BVB61" s="25"/>
      <c r="BVC61" s="25"/>
      <c r="BVD61" s="25"/>
      <c r="BWC61" s="25" t="s">
        <v>28</v>
      </c>
      <c r="BWD61" s="25" t="s">
        <v>8265</v>
      </c>
      <c r="BWE61" s="25" t="s">
        <v>8357</v>
      </c>
      <c r="BWF61" s="25" t="s">
        <v>13711</v>
      </c>
      <c r="BWG61" s="25" t="s">
        <v>28</v>
      </c>
      <c r="BWH61" s="25" t="s">
        <v>2169</v>
      </c>
      <c r="BWI61" s="25" t="s">
        <v>28</v>
      </c>
      <c r="BWJ61" s="25" t="s">
        <v>8556</v>
      </c>
      <c r="BWK61" s="25" t="s">
        <v>25</v>
      </c>
      <c r="BWM61" s="25" t="s">
        <v>25</v>
      </c>
      <c r="BWO61" s="25" t="s">
        <v>25</v>
      </c>
      <c r="BWQ61" s="25" t="s">
        <v>28</v>
      </c>
      <c r="BWR61" s="25" t="s">
        <v>25</v>
      </c>
      <c r="BWT61" s="25" t="s">
        <v>25</v>
      </c>
      <c r="BWV61" s="25" t="s">
        <v>25</v>
      </c>
      <c r="BWX61" s="25" t="s">
        <v>28</v>
      </c>
      <c r="BWY61" s="25" t="s">
        <v>8557</v>
      </c>
      <c r="BWZ61" s="25" t="s">
        <v>25</v>
      </c>
      <c r="BXB61" s="25" t="s">
        <v>28</v>
      </c>
      <c r="BXC61" s="56">
        <v>30</v>
      </c>
      <c r="BXD61" s="25" t="s">
        <v>28</v>
      </c>
      <c r="BXE61" s="25" t="s">
        <v>8558</v>
      </c>
      <c r="BXF61" s="25" t="s">
        <v>25</v>
      </c>
      <c r="BXH61" s="25" t="s">
        <v>28</v>
      </c>
      <c r="BXI61" s="56">
        <v>30</v>
      </c>
      <c r="BXJ61" s="25" t="s">
        <v>28</v>
      </c>
      <c r="BXK61" s="25" t="s">
        <v>8463</v>
      </c>
      <c r="BXL61" s="25" t="s">
        <v>13822</v>
      </c>
      <c r="BXM61" s="25" t="s">
        <v>2201</v>
      </c>
      <c r="BXN61" s="25" t="s">
        <v>8272</v>
      </c>
      <c r="BXO61" s="25" t="s">
        <v>8274</v>
      </c>
      <c r="BXP61" s="25" t="s">
        <v>8274</v>
      </c>
      <c r="BXQ61" s="25" t="s">
        <v>8274</v>
      </c>
      <c r="BXR61" s="25" t="s">
        <v>8274</v>
      </c>
      <c r="BXS61" s="25" t="s">
        <v>8274</v>
      </c>
      <c r="BXT61" s="25" t="s">
        <v>8465</v>
      </c>
      <c r="BXU61" s="25" t="s">
        <v>25</v>
      </c>
      <c r="BXW61" s="25" t="s">
        <v>25</v>
      </c>
      <c r="BXX61" s="25" t="s">
        <v>25</v>
      </c>
      <c r="BXY61" s="25" t="s">
        <v>25</v>
      </c>
      <c r="BXZ61" s="25" t="s">
        <v>28</v>
      </c>
      <c r="BYA61" s="25" t="s">
        <v>28</v>
      </c>
      <c r="BYB61" s="25" t="s">
        <v>28</v>
      </c>
      <c r="BYC61" s="25" t="s">
        <v>2201</v>
      </c>
      <c r="BYD61" s="25" t="s">
        <v>28</v>
      </c>
      <c r="BYE61" s="25" t="s">
        <v>13612</v>
      </c>
      <c r="BYF61" s="25" t="s">
        <v>8277</v>
      </c>
      <c r="BYG61" s="25" t="s">
        <v>1041</v>
      </c>
      <c r="BYH61" s="25" t="s">
        <v>8278</v>
      </c>
      <c r="BYK61" s="25" t="s">
        <v>8333</v>
      </c>
      <c r="BYL61" s="25" t="s">
        <v>25</v>
      </c>
      <c r="BYN61" s="25" t="s">
        <v>25</v>
      </c>
      <c r="BYP61" s="25" t="s">
        <v>25</v>
      </c>
      <c r="BYR61" s="25" t="s">
        <v>28</v>
      </c>
      <c r="BYS61" s="25" t="s">
        <v>8438</v>
      </c>
      <c r="BYT61" s="25" t="s">
        <v>8438</v>
      </c>
      <c r="BYU61" s="25" t="s">
        <v>732</v>
      </c>
      <c r="BYV61" s="25" t="s">
        <v>25</v>
      </c>
      <c r="BYW61" s="25" t="s">
        <v>28</v>
      </c>
      <c r="BYX61" s="56">
        <v>750</v>
      </c>
      <c r="BYY61" s="56">
        <v>1500</v>
      </c>
      <c r="BYZ61" s="25" t="s">
        <v>8408</v>
      </c>
      <c r="BZB61" s="25" t="s">
        <v>256</v>
      </c>
      <c r="BZC61" s="25" t="s">
        <v>8282</v>
      </c>
      <c r="BZD61" s="25" t="s">
        <v>28</v>
      </c>
      <c r="BZE61" s="25" t="s">
        <v>28</v>
      </c>
      <c r="BZF61" s="25" t="s">
        <v>28</v>
      </c>
      <c r="BZG61" s="25" t="s">
        <v>25</v>
      </c>
      <c r="BZJ61" s="25" t="s">
        <v>25</v>
      </c>
      <c r="BZM61" s="25" t="s">
        <v>28</v>
      </c>
      <c r="BZN61" s="25" t="s">
        <v>13633</v>
      </c>
      <c r="BZP61" s="25" t="s">
        <v>8366</v>
      </c>
      <c r="BZQ61" s="56">
        <v>1000</v>
      </c>
      <c r="BZR61" s="25" t="s">
        <v>28</v>
      </c>
      <c r="BZS61" s="25" t="s">
        <v>25</v>
      </c>
      <c r="BZT61" s="25" t="s">
        <v>8468</v>
      </c>
      <c r="BZV61" s="25" t="s">
        <v>13642</v>
      </c>
      <c r="BZX61" s="25" t="s">
        <v>8536</v>
      </c>
      <c r="BZZ61" s="25" t="s">
        <v>25</v>
      </c>
      <c r="CAC61" s="25" t="s">
        <v>28</v>
      </c>
      <c r="CAD61" s="25" t="s">
        <v>8485</v>
      </c>
      <c r="CAE61" s="25" t="s">
        <v>28</v>
      </c>
      <c r="CAF61" s="25" t="s">
        <v>8289</v>
      </c>
      <c r="CAG61" s="25" t="s">
        <v>25</v>
      </c>
      <c r="CAH61" s="25" t="s">
        <v>631</v>
      </c>
      <c r="CAI61" s="25" t="s">
        <v>631</v>
      </c>
      <c r="CAJ61" s="25" t="s">
        <v>631</v>
      </c>
      <c r="CAK61" s="25" t="s">
        <v>631</v>
      </c>
      <c r="CAL61" s="25" t="s">
        <v>631</v>
      </c>
      <c r="CAM61" s="25" t="s">
        <v>8290</v>
      </c>
      <c r="CAN61" s="25" t="s">
        <v>8290</v>
      </c>
      <c r="CAO61" s="25" t="s">
        <v>631</v>
      </c>
      <c r="CAP61" s="25" t="s">
        <v>8290</v>
      </c>
      <c r="CAQ61" s="25" t="s">
        <v>631</v>
      </c>
      <c r="CAR61" s="25" t="s">
        <v>8455</v>
      </c>
      <c r="CAT61" s="25" t="s">
        <v>25</v>
      </c>
      <c r="CBB61" s="25">
        <v>1</v>
      </c>
      <c r="CBC61" s="25">
        <v>0</v>
      </c>
      <c r="CBD61" s="25">
        <v>0</v>
      </c>
      <c r="CBE61" s="56">
        <v>50</v>
      </c>
      <c r="CBF61" s="56">
        <v>150</v>
      </c>
      <c r="CBG61" s="56">
        <v>50</v>
      </c>
      <c r="CBH61" s="56">
        <v>150</v>
      </c>
      <c r="CBI61" s="56">
        <v>2500</v>
      </c>
      <c r="CBK61" s="56">
        <v>2500</v>
      </c>
      <c r="CBM61" s="26">
        <v>0</v>
      </c>
      <c r="CBN61" s="26">
        <v>0</v>
      </c>
      <c r="CBO61" s="26">
        <v>0.1</v>
      </c>
      <c r="CBP61" s="26">
        <v>0.2</v>
      </c>
      <c r="CBQ61" s="26">
        <v>0.4</v>
      </c>
      <c r="CBR61" s="26">
        <v>0.5</v>
      </c>
      <c r="CBS61" s="26">
        <v>0.5</v>
      </c>
      <c r="CBT61" s="26">
        <v>0.5</v>
      </c>
      <c r="CBU61" s="27" t="s">
        <v>28</v>
      </c>
      <c r="CBV61" s="27" t="s">
        <v>8293</v>
      </c>
      <c r="CBW61" s="27" t="s">
        <v>8294</v>
      </c>
      <c r="CBX61" s="27" t="s">
        <v>8343</v>
      </c>
      <c r="CBY61" s="27" t="s">
        <v>8296</v>
      </c>
      <c r="CBZ61" s="27" t="s">
        <v>8296</v>
      </c>
      <c r="CCA61" s="27" t="s">
        <v>8297</v>
      </c>
      <c r="CCB61" s="27" t="s">
        <v>8298</v>
      </c>
      <c r="CCC61" s="27" t="s">
        <v>8296</v>
      </c>
      <c r="CCD61" s="27" t="s">
        <v>8297</v>
      </c>
      <c r="CCE61" s="27" t="s">
        <v>8297</v>
      </c>
      <c r="CCF61" s="27" t="s">
        <v>8297</v>
      </c>
      <c r="CCG61" s="27" t="s">
        <v>8297</v>
      </c>
      <c r="CCH61" s="27" t="s">
        <v>8298</v>
      </c>
      <c r="CCI61" s="27" t="s">
        <v>8298</v>
      </c>
      <c r="CCJ61" s="27" t="s">
        <v>8298</v>
      </c>
      <c r="CCK61" s="27" t="s">
        <v>8297</v>
      </c>
      <c r="CCL61" s="27" t="s">
        <v>8297</v>
      </c>
      <c r="CCN61" s="27" t="s">
        <v>8296</v>
      </c>
      <c r="CCO61" s="27" t="s">
        <v>8300</v>
      </c>
      <c r="CCP61" s="27" t="s">
        <v>8296</v>
      </c>
      <c r="CCQ61" s="27" t="s">
        <v>8296</v>
      </c>
      <c r="CCR61" s="27" t="s">
        <v>8296</v>
      </c>
      <c r="CCS61" s="27" t="s">
        <v>8298</v>
      </c>
      <c r="CCT61" s="27" t="s">
        <v>8296</v>
      </c>
      <c r="CCU61" s="27" t="s">
        <v>8296</v>
      </c>
      <c r="CCV61" s="27" t="s">
        <v>8298</v>
      </c>
      <c r="CCW61" s="27" t="s">
        <v>8298</v>
      </c>
      <c r="CCX61" s="27" t="s">
        <v>8298</v>
      </c>
      <c r="CCY61" s="27" t="s">
        <v>8298</v>
      </c>
      <c r="CCZ61" s="27" t="s">
        <v>28</v>
      </c>
      <c r="CDA61" s="27" t="s">
        <v>28</v>
      </c>
      <c r="CDB61" s="27" t="s">
        <v>28</v>
      </c>
      <c r="CDC61" s="27" t="s">
        <v>25</v>
      </c>
      <c r="CDD61" s="27" t="s">
        <v>28</v>
      </c>
      <c r="CDE61" s="27" t="s">
        <v>28</v>
      </c>
      <c r="CDF61" s="27" t="s">
        <v>28</v>
      </c>
      <c r="CDG61" s="27" t="s">
        <v>28</v>
      </c>
      <c r="CDH61" s="27" t="s">
        <v>28</v>
      </c>
      <c r="CDI61" s="27" t="s">
        <v>25</v>
      </c>
      <c r="CDJ61" s="27" t="s">
        <v>25</v>
      </c>
      <c r="CDK61" s="27" t="s">
        <v>25</v>
      </c>
      <c r="CDL61" s="27" t="s">
        <v>28</v>
      </c>
      <c r="CDM61" s="27" t="s">
        <v>28</v>
      </c>
      <c r="CDO61" s="27" t="s">
        <v>28</v>
      </c>
      <c r="CDP61" s="27" t="s">
        <v>25</v>
      </c>
      <c r="CDQ61" s="27" t="s">
        <v>28</v>
      </c>
      <c r="CDR61" s="27" t="s">
        <v>28</v>
      </c>
      <c r="CDS61" s="27" t="s">
        <v>28</v>
      </c>
      <c r="CDT61" s="27" t="s">
        <v>28</v>
      </c>
      <c r="CDU61" s="27" t="s">
        <v>28</v>
      </c>
      <c r="CDV61" s="27" t="s">
        <v>28</v>
      </c>
      <c r="CDW61" s="27" t="s">
        <v>25</v>
      </c>
      <c r="CDX61" s="27" t="s">
        <v>25</v>
      </c>
      <c r="CDY61" s="27" t="s">
        <v>25</v>
      </c>
      <c r="CDZ61" s="27" t="s">
        <v>25</v>
      </c>
      <c r="CEA61" s="27" t="s">
        <v>2673</v>
      </c>
      <c r="CEB61" s="27" t="s">
        <v>2673</v>
      </c>
      <c r="CEC61" s="27" t="s">
        <v>8301</v>
      </c>
      <c r="CED61" s="27" t="s">
        <v>8302</v>
      </c>
      <c r="CEE61" s="27" t="s">
        <v>2673</v>
      </c>
      <c r="CEF61" s="27" t="s">
        <v>8301</v>
      </c>
      <c r="CEG61" s="27" t="s">
        <v>2673</v>
      </c>
      <c r="CEH61" s="27" t="s">
        <v>2673</v>
      </c>
      <c r="CEI61" s="27" t="s">
        <v>8301</v>
      </c>
      <c r="CEJ61" s="27" t="s">
        <v>8302</v>
      </c>
      <c r="CEK61" s="27" t="s">
        <v>8302</v>
      </c>
      <c r="CEL61" s="27" t="s">
        <v>8302</v>
      </c>
      <c r="CEM61" s="27" t="s">
        <v>8301</v>
      </c>
      <c r="CEN61" s="27" t="s">
        <v>8301</v>
      </c>
      <c r="CEP61" s="27" t="s">
        <v>2673</v>
      </c>
      <c r="CEQ61" s="27" t="s">
        <v>8304</v>
      </c>
      <c r="CER61" s="27" t="s">
        <v>8305</v>
      </c>
      <c r="CES61" s="27" t="s">
        <v>2673</v>
      </c>
      <c r="CET61" s="27" t="s">
        <v>2673</v>
      </c>
      <c r="CEU61" s="27" t="s">
        <v>2673</v>
      </c>
      <c r="CEV61" s="27" t="s">
        <v>2673</v>
      </c>
      <c r="CEW61" s="27" t="s">
        <v>8306</v>
      </c>
      <c r="CEX61" s="27" t="s">
        <v>8302</v>
      </c>
      <c r="CEY61" s="27" t="s">
        <v>8303</v>
      </c>
      <c r="CEZ61" s="27" t="s">
        <v>8301</v>
      </c>
      <c r="CFA61" s="27" t="s">
        <v>2673</v>
      </c>
      <c r="CFB61" s="27" t="s">
        <v>25</v>
      </c>
      <c r="CFC61" s="27" t="s">
        <v>25</v>
      </c>
      <c r="CFD61" s="27" t="s">
        <v>25</v>
      </c>
      <c r="CFE61" s="27" t="s">
        <v>25</v>
      </c>
      <c r="CFF61" s="27" t="s">
        <v>25</v>
      </c>
      <c r="CFG61" s="27" t="s">
        <v>25</v>
      </c>
      <c r="CFH61" s="27" t="s">
        <v>25</v>
      </c>
      <c r="CFI61" s="27" t="s">
        <v>25</v>
      </c>
      <c r="CFJ61" s="27" t="s">
        <v>25</v>
      </c>
      <c r="CFK61" s="27" t="s">
        <v>25</v>
      </c>
      <c r="CFL61" s="27" t="s">
        <v>25</v>
      </c>
      <c r="CFM61" s="27" t="s">
        <v>25</v>
      </c>
      <c r="CFN61" s="27" t="s">
        <v>25</v>
      </c>
      <c r="CFO61" s="27" t="s">
        <v>25</v>
      </c>
      <c r="CFQ61" s="27" t="s">
        <v>25</v>
      </c>
      <c r="CFR61" s="27" t="s">
        <v>25</v>
      </c>
      <c r="CFS61" s="27" t="s">
        <v>25</v>
      </c>
      <c r="CFT61" s="27" t="s">
        <v>25</v>
      </c>
      <c r="CFU61" s="27" t="s">
        <v>25</v>
      </c>
      <c r="CFV61" s="27" t="s">
        <v>25</v>
      </c>
      <c r="CFW61" s="27" t="s">
        <v>25</v>
      </c>
      <c r="CFX61" s="27" t="s">
        <v>28</v>
      </c>
      <c r="CFY61" s="27" t="s">
        <v>25</v>
      </c>
      <c r="CFZ61" s="27" t="s">
        <v>28</v>
      </c>
      <c r="CGA61" s="27" t="s">
        <v>25</v>
      </c>
      <c r="CGB61" s="27" t="s">
        <v>25</v>
      </c>
      <c r="CPW61" s="27">
        <v>2</v>
      </c>
      <c r="CPX61" s="56">
        <v>15</v>
      </c>
      <c r="CPY61" s="26">
        <v>0</v>
      </c>
      <c r="CQB61" s="25" t="s">
        <v>8307</v>
      </c>
      <c r="CQC61" s="25" t="s">
        <v>8307</v>
      </c>
      <c r="CQD61" s="25" t="s">
        <v>8307</v>
      </c>
      <c r="CQE61" s="25" t="s">
        <v>8307</v>
      </c>
      <c r="CQF61" s="25" t="s">
        <v>8307</v>
      </c>
      <c r="CQI61" s="56">
        <v>150</v>
      </c>
      <c r="CQJ61" s="56">
        <v>150</v>
      </c>
      <c r="CQL61" s="25" t="s">
        <v>13841</v>
      </c>
      <c r="CQM61" s="25" t="s">
        <v>8308</v>
      </c>
      <c r="CQN61" s="25" t="s">
        <v>25</v>
      </c>
      <c r="CQO61" s="25" t="s">
        <v>8309</v>
      </c>
      <c r="CQQ61" s="25" t="s">
        <v>8559</v>
      </c>
      <c r="CQR61" s="25" t="s">
        <v>8560</v>
      </c>
      <c r="CQS61" s="25" t="s">
        <v>28</v>
      </c>
      <c r="CQT61" s="25" t="s">
        <v>8313</v>
      </c>
      <c r="CQU61" s="25" t="s">
        <v>8313</v>
      </c>
      <c r="CQV61" s="25" t="s">
        <v>8313</v>
      </c>
      <c r="CQW61" s="25" t="s">
        <v>8313</v>
      </c>
      <c r="CQX61" s="25" t="s">
        <v>8313</v>
      </c>
      <c r="CQY61" s="25" t="s">
        <v>8313</v>
      </c>
      <c r="CQZ61" s="25" t="s">
        <v>8313</v>
      </c>
      <c r="CRA61" s="25" t="s">
        <v>8314</v>
      </c>
      <c r="CRB61" s="25" t="s">
        <v>8314</v>
      </c>
      <c r="CRC61" s="25" t="s">
        <v>8313</v>
      </c>
      <c r="CRD61" s="25" t="s">
        <v>8314</v>
      </c>
      <c r="CRE61" s="27" t="s">
        <v>8313</v>
      </c>
    </row>
    <row r="62" spans="1:2048 2050:2501" ht="89.25" x14ac:dyDescent="0.2">
      <c r="A62" s="21" t="s">
        <v>136</v>
      </c>
      <c r="B62" s="26">
        <v>0</v>
      </c>
      <c r="C62" s="26">
        <v>0</v>
      </c>
      <c r="D62" s="26">
        <v>0</v>
      </c>
      <c r="E62" s="26">
        <v>0.84250000000000003</v>
      </c>
      <c r="F62" s="26">
        <v>0</v>
      </c>
      <c r="G62" s="26">
        <v>0</v>
      </c>
      <c r="H62" s="26">
        <v>0</v>
      </c>
      <c r="I62" s="26">
        <v>0</v>
      </c>
      <c r="J62" s="26">
        <v>0</v>
      </c>
      <c r="K62" s="26">
        <v>0</v>
      </c>
      <c r="L62" s="26">
        <v>0</v>
      </c>
      <c r="M62" s="26">
        <v>0.1575</v>
      </c>
      <c r="N62" s="26">
        <v>0</v>
      </c>
      <c r="O62" s="26">
        <v>0</v>
      </c>
      <c r="P62" s="26">
        <v>0</v>
      </c>
      <c r="Q62" s="26">
        <v>2.2000000000000002E-2</v>
      </c>
      <c r="R62" s="26">
        <v>0</v>
      </c>
      <c r="S62" s="26">
        <v>0</v>
      </c>
      <c r="T62" s="26">
        <v>0</v>
      </c>
      <c r="U62" s="26">
        <v>0</v>
      </c>
      <c r="V62" s="26">
        <v>0</v>
      </c>
      <c r="W62" s="26">
        <v>0</v>
      </c>
      <c r="X62" s="26">
        <v>0</v>
      </c>
      <c r="Y62" s="26">
        <v>0.97799999999999998</v>
      </c>
      <c r="Z62" s="25">
        <v>0</v>
      </c>
      <c r="KP62" s="25">
        <v>2</v>
      </c>
      <c r="KQ62" s="25" t="s">
        <v>8607</v>
      </c>
      <c r="KR62" s="25" t="s">
        <v>8608</v>
      </c>
      <c r="KS62" s="56">
        <v>3750</v>
      </c>
      <c r="KT62" s="56">
        <v>7500</v>
      </c>
      <c r="KU62" s="56">
        <v>7500</v>
      </c>
      <c r="KV62" s="56">
        <v>15000</v>
      </c>
      <c r="KY62" s="25" t="s">
        <v>8246</v>
      </c>
      <c r="KZ62" s="56">
        <v>1500</v>
      </c>
      <c r="LA62" s="56">
        <v>3000</v>
      </c>
      <c r="LB62" s="56">
        <v>3000</v>
      </c>
      <c r="LC62" s="56">
        <v>6000</v>
      </c>
      <c r="LD62" s="25" t="s">
        <v>8350</v>
      </c>
      <c r="LE62" s="25" t="s">
        <v>8248</v>
      </c>
      <c r="LR62" s="25" t="s">
        <v>8249</v>
      </c>
      <c r="OE62" s="25" t="s">
        <v>25</v>
      </c>
      <c r="OF62" s="25" t="s">
        <v>25</v>
      </c>
      <c r="OH62" s="25" t="s">
        <v>25</v>
      </c>
      <c r="OJ62" s="25" t="s">
        <v>13416</v>
      </c>
      <c r="OK62" s="25" t="s">
        <v>13416</v>
      </c>
      <c r="OS62" s="26">
        <v>0.2</v>
      </c>
      <c r="OT62" s="26">
        <v>0.2</v>
      </c>
      <c r="OU62" s="26">
        <v>0.2</v>
      </c>
      <c r="OV62" s="26">
        <v>0.2</v>
      </c>
      <c r="OW62" s="26">
        <v>0.2</v>
      </c>
      <c r="OX62" s="26">
        <v>0.2</v>
      </c>
      <c r="PG62" s="26">
        <v>0.4</v>
      </c>
      <c r="PH62" s="26">
        <v>0.4</v>
      </c>
      <c r="PI62" s="26">
        <v>0.4</v>
      </c>
      <c r="PJ62" s="26">
        <v>0.2</v>
      </c>
      <c r="PK62" s="26">
        <v>0.4</v>
      </c>
      <c r="PL62" s="26">
        <v>0.4</v>
      </c>
      <c r="PN62" s="25" t="s">
        <v>8250</v>
      </c>
      <c r="PO62" s="25" t="s">
        <v>8250</v>
      </c>
      <c r="PP62" s="25" t="s">
        <v>8250</v>
      </c>
      <c r="PQ62" s="25" t="s">
        <v>8250</v>
      </c>
      <c r="PR62" s="25" t="s">
        <v>8250</v>
      </c>
      <c r="PS62" s="25" t="s">
        <v>8250</v>
      </c>
      <c r="PU62" s="25" t="s">
        <v>25</v>
      </c>
      <c r="PV62" s="25" t="s">
        <v>25</v>
      </c>
      <c r="PW62" s="25" t="s">
        <v>25</v>
      </c>
      <c r="PX62" s="25" t="s">
        <v>25</v>
      </c>
      <c r="PY62" s="25" t="s">
        <v>25</v>
      </c>
      <c r="PZ62" s="25" t="s">
        <v>25</v>
      </c>
      <c r="QB62" s="25" t="s">
        <v>13810</v>
      </c>
      <c r="QC62" s="25" t="s">
        <v>13810</v>
      </c>
      <c r="QD62" s="25" t="s">
        <v>13810</v>
      </c>
      <c r="QE62" s="25" t="s">
        <v>13810</v>
      </c>
      <c r="QF62" s="25" t="s">
        <v>13810</v>
      </c>
      <c r="QG62" s="25" t="s">
        <v>13810</v>
      </c>
      <c r="QH62" s="25" t="s">
        <v>13810</v>
      </c>
      <c r="QI62" s="25" t="s">
        <v>8252</v>
      </c>
      <c r="QJ62" s="25" t="s">
        <v>631</v>
      </c>
      <c r="QL62" s="25" t="s">
        <v>8253</v>
      </c>
      <c r="QM62" s="25" t="s">
        <v>8253</v>
      </c>
      <c r="QN62" s="25" t="s">
        <v>8253</v>
      </c>
      <c r="QO62" s="25" t="s">
        <v>8380</v>
      </c>
      <c r="QP62" s="25" t="s">
        <v>8325</v>
      </c>
      <c r="QQ62" s="25" t="s">
        <v>8262</v>
      </c>
      <c r="QR62" s="25" t="s">
        <v>8262</v>
      </c>
      <c r="QS62" s="25" t="s">
        <v>8253</v>
      </c>
      <c r="RW62" s="26">
        <v>0.2</v>
      </c>
      <c r="RX62" s="26">
        <v>0.2</v>
      </c>
      <c r="RY62" s="26">
        <v>0.2</v>
      </c>
      <c r="RZ62" s="26">
        <v>0.2</v>
      </c>
      <c r="SA62" s="26">
        <v>0.2</v>
      </c>
      <c r="SB62" s="26">
        <v>0.2</v>
      </c>
      <c r="SR62" s="26">
        <v>0.2</v>
      </c>
      <c r="SS62" s="26">
        <v>0.2</v>
      </c>
      <c r="ST62" s="26">
        <v>0.2</v>
      </c>
      <c r="SU62" s="26">
        <v>0.2</v>
      </c>
      <c r="SV62" s="26">
        <v>0.2</v>
      </c>
      <c r="SW62" s="26">
        <v>0.2</v>
      </c>
      <c r="SX62" s="26">
        <v>0.2</v>
      </c>
      <c r="TM62" s="26">
        <v>0.2</v>
      </c>
      <c r="TN62" s="26">
        <v>0.2</v>
      </c>
      <c r="TO62" s="26">
        <v>0.2</v>
      </c>
      <c r="TP62" s="26">
        <v>0.2</v>
      </c>
      <c r="TQ62" s="26">
        <v>0.2</v>
      </c>
      <c r="TR62" s="26">
        <v>0.2</v>
      </c>
      <c r="TS62" s="26">
        <v>0.2</v>
      </c>
      <c r="UH62" s="26">
        <v>0.2</v>
      </c>
      <c r="UI62" s="26">
        <v>0.2</v>
      </c>
      <c r="UJ62" s="26">
        <v>0.2</v>
      </c>
      <c r="UK62" s="26">
        <v>0.2</v>
      </c>
      <c r="UL62" s="26">
        <v>0.2</v>
      </c>
      <c r="UM62" s="26">
        <v>0.2</v>
      </c>
      <c r="UN62" s="26">
        <v>0.2</v>
      </c>
      <c r="VC62" s="25" t="s">
        <v>8352</v>
      </c>
      <c r="VD62" s="25" t="s">
        <v>8298</v>
      </c>
      <c r="VE62" s="25" t="s">
        <v>8321</v>
      </c>
      <c r="VF62" s="25">
        <v>0</v>
      </c>
      <c r="VI62" s="25"/>
      <c r="VJ62" s="25"/>
      <c r="VK62" s="25"/>
      <c r="VL62" s="25"/>
      <c r="VM62" s="25"/>
      <c r="VN62" s="25"/>
      <c r="VP62" s="25"/>
      <c r="VQ62" s="25"/>
      <c r="VR62" s="25"/>
      <c r="VS62" s="25"/>
      <c r="ZA62" s="25"/>
      <c r="ZB62" s="25"/>
      <c r="ZC62" s="25"/>
      <c r="ZD62" s="25"/>
      <c r="ZE62" s="25"/>
      <c r="ZF62" s="25"/>
      <c r="ZG62" s="25"/>
      <c r="ZO62" s="25"/>
      <c r="ZP62" s="25"/>
      <c r="ZQ62" s="25"/>
      <c r="ZR62" s="25"/>
      <c r="ZS62" s="25"/>
      <c r="ZT62" s="25"/>
      <c r="ZU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S62" s="25"/>
      <c r="ACT62" s="25"/>
      <c r="ACU62" s="25"/>
      <c r="ACV62" s="25"/>
      <c r="ACW62" s="25"/>
      <c r="ACX62" s="25"/>
      <c r="ACY62" s="25"/>
      <c r="ACZ62" s="25"/>
      <c r="ADA62" s="25"/>
      <c r="ADB62" s="25"/>
      <c r="ADC62" s="25"/>
      <c r="ADD62" s="25"/>
      <c r="ADE62" s="25"/>
      <c r="ADF62" s="25"/>
      <c r="ADN62" s="25"/>
      <c r="ADO62" s="25"/>
      <c r="ADP62" s="25"/>
      <c r="ADQ62" s="25"/>
      <c r="ADR62" s="25"/>
      <c r="ADS62" s="25"/>
      <c r="ADT62" s="25"/>
      <c r="ADU62" s="25"/>
      <c r="ADV62" s="25"/>
      <c r="ADW62" s="25"/>
      <c r="ADX62" s="25"/>
      <c r="ADY62" s="25"/>
      <c r="ADZ62" s="25"/>
      <c r="AEA62" s="25"/>
      <c r="AEI62" s="25"/>
      <c r="AEJ62" s="25"/>
      <c r="AEK62" s="25"/>
      <c r="AEL62" s="25"/>
      <c r="AEM62" s="25"/>
      <c r="AEN62" s="25"/>
      <c r="AEO62" s="25"/>
      <c r="AEP62" s="25"/>
      <c r="AEQ62" s="25"/>
      <c r="AER62" s="25"/>
      <c r="AES62" s="25"/>
      <c r="AET62" s="25"/>
      <c r="AEU62" s="25"/>
      <c r="AEV62" s="25"/>
      <c r="AFD62" s="25"/>
      <c r="AFE62" s="25"/>
      <c r="AFF62" s="25"/>
      <c r="AFG62" s="25"/>
      <c r="AFH62" s="25"/>
      <c r="AFI62" s="25"/>
      <c r="AFJ62" s="25"/>
      <c r="AFK62" s="25"/>
      <c r="AFL62" s="25"/>
      <c r="AFM62" s="25"/>
      <c r="AFN62" s="25"/>
      <c r="AFO62" s="25"/>
      <c r="AFP62" s="25"/>
      <c r="AFQ62" s="25"/>
      <c r="AFU62" s="25">
        <v>0</v>
      </c>
      <c r="AFX62" s="25"/>
      <c r="AFY62" s="25"/>
      <c r="AFZ62" s="25"/>
      <c r="AGA62" s="25"/>
      <c r="AGB62" s="25"/>
      <c r="AGC62" s="25"/>
      <c r="AGE62" s="25"/>
      <c r="AGF62" s="25"/>
      <c r="AGG62" s="25"/>
      <c r="AGH62" s="25"/>
      <c r="AJP62" s="25"/>
      <c r="AJQ62" s="25"/>
      <c r="AJR62" s="25"/>
      <c r="AJS62" s="25"/>
      <c r="AJT62" s="25"/>
      <c r="AJU62" s="25"/>
      <c r="AJV62" s="25"/>
      <c r="AKD62" s="25"/>
      <c r="AKE62" s="25"/>
      <c r="AKF62" s="25"/>
      <c r="AKG62" s="25"/>
      <c r="AKH62" s="25"/>
      <c r="AKI62" s="25"/>
      <c r="AKJ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H62" s="25"/>
      <c r="ANI62" s="25"/>
      <c r="ANJ62" s="25"/>
      <c r="ANK62" s="25"/>
      <c r="ANL62" s="25"/>
      <c r="ANM62" s="25"/>
      <c r="ANN62" s="25"/>
      <c r="ANO62" s="25"/>
      <c r="ANP62" s="25"/>
      <c r="ANQ62" s="25"/>
      <c r="ANR62" s="25"/>
      <c r="ANS62" s="25"/>
      <c r="ANT62" s="25"/>
      <c r="ANU62" s="25"/>
      <c r="AOC62" s="25"/>
      <c r="AOD62" s="25"/>
      <c r="AOE62" s="25"/>
      <c r="AOF62" s="25"/>
      <c r="AOG62" s="25"/>
      <c r="AOH62" s="25"/>
      <c r="AOI62" s="25"/>
      <c r="AOJ62" s="25"/>
      <c r="AOK62" s="25"/>
      <c r="AOL62" s="25"/>
      <c r="AOM62" s="25"/>
      <c r="AON62" s="25"/>
      <c r="AOO62" s="25"/>
      <c r="AOP62" s="25"/>
      <c r="AOX62" s="25"/>
      <c r="AOY62" s="25"/>
      <c r="AOZ62" s="25"/>
      <c r="APA62" s="25"/>
      <c r="APB62" s="25"/>
      <c r="APC62" s="25"/>
      <c r="APD62" s="25"/>
      <c r="APE62" s="25"/>
      <c r="APF62" s="25"/>
      <c r="APG62" s="25"/>
      <c r="APH62" s="25"/>
      <c r="API62" s="25"/>
      <c r="APJ62" s="25"/>
      <c r="APK62" s="25"/>
      <c r="APS62" s="25"/>
      <c r="APT62" s="25"/>
      <c r="APU62" s="25"/>
      <c r="APV62" s="25"/>
      <c r="APW62" s="25"/>
      <c r="APX62" s="25"/>
      <c r="APY62" s="25"/>
      <c r="APZ62" s="25"/>
      <c r="AQA62" s="25"/>
      <c r="AQB62" s="25"/>
      <c r="AQC62" s="25"/>
      <c r="AQD62" s="25"/>
      <c r="AQE62" s="25"/>
      <c r="AQF62" s="25"/>
      <c r="AQJ62" s="25">
        <v>0</v>
      </c>
      <c r="AQM62" s="25"/>
      <c r="AQN62" s="25"/>
      <c r="AQO62" s="25"/>
      <c r="AQP62" s="25"/>
      <c r="AQQ62" s="25"/>
      <c r="AQR62" s="25"/>
      <c r="AQT62" s="25"/>
      <c r="AQU62" s="25"/>
      <c r="AQV62" s="25"/>
      <c r="AQW62" s="25"/>
      <c r="AUE62" s="25"/>
      <c r="AUF62" s="25"/>
      <c r="AUG62" s="25"/>
      <c r="AUH62" s="25"/>
      <c r="AUI62" s="25"/>
      <c r="AUJ62" s="25"/>
      <c r="AUK62" s="25"/>
      <c r="AUS62" s="25"/>
      <c r="AUT62" s="25"/>
      <c r="AUU62" s="25"/>
      <c r="AUV62" s="25"/>
      <c r="AUW62" s="25"/>
      <c r="AUX62" s="25"/>
      <c r="AUY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W62" s="25"/>
      <c r="AXX62" s="25"/>
      <c r="AXY62" s="25"/>
      <c r="AXZ62" s="25"/>
      <c r="AYA62" s="25"/>
      <c r="AYB62" s="25"/>
      <c r="AYC62" s="25"/>
      <c r="AYD62" s="25"/>
      <c r="AYE62" s="25"/>
      <c r="AYF62" s="25"/>
      <c r="AYG62" s="25"/>
      <c r="AYH62" s="25"/>
      <c r="AYI62" s="25"/>
      <c r="AYJ62" s="25"/>
      <c r="AZM62" s="25"/>
      <c r="AZN62" s="25"/>
      <c r="AZO62" s="25"/>
      <c r="AZP62" s="25"/>
      <c r="AZQ62" s="25"/>
      <c r="AZR62" s="25"/>
      <c r="AZS62" s="25"/>
      <c r="AZT62" s="25"/>
      <c r="AZU62" s="25"/>
      <c r="AZV62" s="25"/>
      <c r="AZW62" s="25"/>
      <c r="AZX62" s="25"/>
      <c r="AZY62" s="25"/>
      <c r="AZZ62" s="25"/>
      <c r="BAR62" s="25"/>
      <c r="BAS62" s="25"/>
      <c r="BAT62" s="25"/>
      <c r="BAU62" s="25"/>
      <c r="BAY62" s="25">
        <v>0</v>
      </c>
      <c r="BBB62" s="25"/>
      <c r="BBC62" s="25"/>
      <c r="BBD62" s="25"/>
      <c r="BBE62" s="25"/>
      <c r="BBF62" s="25"/>
      <c r="BBG62" s="25"/>
      <c r="BBI62" s="25"/>
      <c r="BBJ62" s="25"/>
      <c r="BBK62" s="25"/>
      <c r="BBL62" s="25"/>
      <c r="BET62" s="25"/>
      <c r="BEU62" s="25"/>
      <c r="BEV62" s="25"/>
      <c r="BEW62" s="25"/>
      <c r="BEX62" s="25"/>
      <c r="BEY62" s="25"/>
      <c r="BEZ62" s="25"/>
      <c r="BFH62" s="25"/>
      <c r="BFI62" s="25"/>
      <c r="BFJ62" s="25"/>
      <c r="BFK62" s="25"/>
      <c r="BFL62" s="25"/>
      <c r="BFM62" s="25"/>
      <c r="BFN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L62" s="25"/>
      <c r="BIM62" s="25"/>
      <c r="BIN62" s="25"/>
      <c r="BIO62" s="25"/>
      <c r="BIP62" s="25"/>
      <c r="BIQ62" s="25"/>
      <c r="BIR62" s="25"/>
      <c r="BIS62" s="25"/>
      <c r="BIT62" s="25"/>
      <c r="BIU62" s="25"/>
      <c r="BIV62" s="25"/>
      <c r="BIW62" s="25"/>
      <c r="BIX62" s="25"/>
      <c r="BIY62" s="25"/>
      <c r="BJG62" s="25"/>
      <c r="BJH62" s="25"/>
      <c r="BJI62" s="25"/>
      <c r="BJJ62" s="25"/>
      <c r="BJK62" s="25"/>
      <c r="BJL62" s="25"/>
      <c r="BJM62" s="25"/>
      <c r="BJN62" s="25"/>
      <c r="BJO62" s="25"/>
      <c r="BJP62" s="25"/>
      <c r="BJQ62" s="25"/>
      <c r="BJR62" s="25"/>
      <c r="BJS62" s="25"/>
      <c r="BJT62" s="25"/>
      <c r="BKB62" s="25"/>
      <c r="BKC62" s="25"/>
      <c r="BKD62" s="25"/>
      <c r="BKE62" s="25"/>
      <c r="BKF62" s="25"/>
      <c r="BKG62" s="25"/>
      <c r="BKH62" s="25"/>
      <c r="BKI62" s="25"/>
      <c r="BKJ62" s="25"/>
      <c r="BKK62" s="25"/>
      <c r="BKL62" s="25"/>
      <c r="BKM62" s="25"/>
      <c r="BKN62" s="25"/>
      <c r="BKO62" s="25"/>
      <c r="BKW62" s="25"/>
      <c r="BKX62" s="25"/>
      <c r="BKY62" s="25"/>
      <c r="BKZ62" s="25"/>
      <c r="BLA62" s="25"/>
      <c r="BLB62" s="25"/>
      <c r="BLC62" s="25"/>
      <c r="BLD62" s="25"/>
      <c r="BLE62" s="25"/>
      <c r="BLF62" s="25"/>
      <c r="BLG62" s="25"/>
      <c r="BLH62" s="25"/>
      <c r="BLI62" s="25"/>
      <c r="BLJ62" s="25"/>
      <c r="BLN62" s="25">
        <v>0</v>
      </c>
      <c r="BLQ62" s="25"/>
      <c r="BLR62" s="25"/>
      <c r="BLS62" s="25"/>
      <c r="BLT62" s="25"/>
      <c r="BLU62" s="25"/>
      <c r="BLV62" s="25"/>
      <c r="BLX62" s="25"/>
      <c r="BLY62" s="25"/>
      <c r="BLZ62" s="25"/>
      <c r="BMA62" s="25"/>
      <c r="BPI62" s="25"/>
      <c r="BPJ62" s="25"/>
      <c r="BPK62" s="25"/>
      <c r="BPL62" s="25"/>
      <c r="BPM62" s="25"/>
      <c r="BPN62" s="25"/>
      <c r="BPO62" s="25"/>
      <c r="BPW62" s="25"/>
      <c r="BPX62" s="25"/>
      <c r="BPY62" s="25"/>
      <c r="BPZ62" s="25"/>
      <c r="BQA62" s="25"/>
      <c r="BQB62" s="25"/>
      <c r="BQC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TA62" s="25"/>
      <c r="BTB62" s="25"/>
      <c r="BTC62" s="25"/>
      <c r="BTD62" s="25"/>
      <c r="BTE62" s="25"/>
      <c r="BTF62" s="25"/>
      <c r="BTG62" s="25"/>
      <c r="BTH62" s="25"/>
      <c r="BTI62" s="25"/>
      <c r="BTJ62" s="25"/>
      <c r="BTK62" s="25"/>
      <c r="BTL62" s="25"/>
      <c r="BTM62" s="25"/>
      <c r="BTN62" s="25"/>
      <c r="BUQ62" s="25"/>
      <c r="BUR62" s="25"/>
      <c r="BUS62" s="25"/>
      <c r="BUT62" s="25"/>
      <c r="BUU62" s="25"/>
      <c r="BUV62" s="25"/>
      <c r="BUW62" s="25"/>
      <c r="BUX62" s="25"/>
      <c r="BUY62" s="25"/>
      <c r="BUZ62" s="25"/>
      <c r="BVA62" s="25"/>
      <c r="BVB62" s="25"/>
      <c r="BVC62" s="25"/>
      <c r="BVD62" s="25"/>
      <c r="BWC62" s="25" t="s">
        <v>28</v>
      </c>
      <c r="BWD62" s="25" t="s">
        <v>8265</v>
      </c>
      <c r="BWE62" s="25" t="s">
        <v>8357</v>
      </c>
      <c r="BWF62" s="25" t="s">
        <v>13707</v>
      </c>
      <c r="BWG62" s="25" t="s">
        <v>28</v>
      </c>
      <c r="BWH62" s="25" t="s">
        <v>2169</v>
      </c>
      <c r="BWI62" s="25" t="s">
        <v>28</v>
      </c>
      <c r="BWJ62" s="25" t="s">
        <v>8609</v>
      </c>
      <c r="BWK62" s="25" t="s">
        <v>25</v>
      </c>
      <c r="BWM62" s="25" t="s">
        <v>28</v>
      </c>
      <c r="BWN62" s="56">
        <v>2500</v>
      </c>
      <c r="BWO62" s="25" t="s">
        <v>25</v>
      </c>
      <c r="BWQ62" s="25" t="s">
        <v>28</v>
      </c>
      <c r="BWR62" s="25" t="s">
        <v>25</v>
      </c>
      <c r="BWT62" s="25" t="s">
        <v>25</v>
      </c>
      <c r="BWV62" s="25" t="s">
        <v>25</v>
      </c>
      <c r="BWX62" s="25" t="s">
        <v>28</v>
      </c>
      <c r="BWY62" s="25" t="s">
        <v>8387</v>
      </c>
      <c r="BWZ62" s="25" t="s">
        <v>25</v>
      </c>
      <c r="BXB62" s="25" t="s">
        <v>25</v>
      </c>
      <c r="BXD62" s="25" t="s">
        <v>28</v>
      </c>
      <c r="BXE62" s="25" t="s">
        <v>8388</v>
      </c>
      <c r="BXF62" s="25" t="s">
        <v>25</v>
      </c>
      <c r="BXH62" s="25" t="s">
        <v>25</v>
      </c>
      <c r="BXJ62" s="25" t="s">
        <v>28</v>
      </c>
      <c r="BXK62" s="25" t="s">
        <v>8270</v>
      </c>
      <c r="BXL62" s="25" t="s">
        <v>8610</v>
      </c>
      <c r="BXM62" s="25" t="s">
        <v>2201</v>
      </c>
      <c r="BXN62" s="25" t="s">
        <v>8611</v>
      </c>
      <c r="BXO62" s="25" t="s">
        <v>8274</v>
      </c>
      <c r="BXP62" s="25" t="s">
        <v>8274</v>
      </c>
      <c r="BXQ62" s="25" t="s">
        <v>8274</v>
      </c>
      <c r="BXR62" s="25" t="s">
        <v>8274</v>
      </c>
      <c r="BXS62" s="25" t="s">
        <v>8274</v>
      </c>
      <c r="BYC62" s="25" t="s">
        <v>2201</v>
      </c>
      <c r="BYD62" s="25" t="s">
        <v>28</v>
      </c>
      <c r="BYE62" s="25" t="s">
        <v>13611</v>
      </c>
      <c r="BYG62" s="25" t="s">
        <v>8612</v>
      </c>
      <c r="BYH62" s="25" t="s">
        <v>8466</v>
      </c>
      <c r="BYK62" s="25" t="s">
        <v>25</v>
      </c>
      <c r="BYL62" s="25" t="s">
        <v>25</v>
      </c>
      <c r="BYN62" s="25" t="s">
        <v>25</v>
      </c>
      <c r="BYP62" s="25" t="s">
        <v>25</v>
      </c>
      <c r="BYR62" s="25" t="s">
        <v>28</v>
      </c>
      <c r="BYS62" s="25" t="s">
        <v>8279</v>
      </c>
      <c r="BYT62" s="25" t="s">
        <v>8279</v>
      </c>
      <c r="BYU62" s="25" t="s">
        <v>732</v>
      </c>
      <c r="BYV62" s="25" t="s">
        <v>25</v>
      </c>
      <c r="BYW62" s="25" t="s">
        <v>28</v>
      </c>
      <c r="BYX62" s="56">
        <v>1000</v>
      </c>
      <c r="BYY62" s="56">
        <v>2000</v>
      </c>
      <c r="BYZ62" s="25" t="s">
        <v>8280</v>
      </c>
      <c r="BZA62" s="25" t="s">
        <v>8613</v>
      </c>
      <c r="BZB62" s="25" t="s">
        <v>2354</v>
      </c>
      <c r="BZC62" s="25" t="s">
        <v>8282</v>
      </c>
      <c r="BZD62" s="25" t="s">
        <v>28</v>
      </c>
      <c r="BZE62" s="25" t="s">
        <v>28</v>
      </c>
      <c r="BZF62" s="25" t="s">
        <v>28</v>
      </c>
      <c r="BZG62" s="25" t="s">
        <v>25</v>
      </c>
      <c r="BZJ62" s="25" t="s">
        <v>25</v>
      </c>
      <c r="BZM62" s="25" t="s">
        <v>28</v>
      </c>
      <c r="BZN62" s="25" t="s">
        <v>8336</v>
      </c>
      <c r="BZP62" s="25" t="s">
        <v>8366</v>
      </c>
      <c r="BZQ62" s="56">
        <v>1000</v>
      </c>
      <c r="BZR62" s="25" t="s">
        <v>28</v>
      </c>
      <c r="BZS62" s="25" t="s">
        <v>25</v>
      </c>
      <c r="BZT62" s="25" t="s">
        <v>8285</v>
      </c>
      <c r="BZV62" s="25" t="s">
        <v>13637</v>
      </c>
      <c r="BZX62" s="25" t="s">
        <v>8484</v>
      </c>
      <c r="BZZ62" s="25" t="s">
        <v>25</v>
      </c>
      <c r="CAC62" s="25" t="s">
        <v>25</v>
      </c>
      <c r="CAE62" s="25" t="s">
        <v>25</v>
      </c>
      <c r="CAG62" s="25" t="s">
        <v>25</v>
      </c>
      <c r="CAH62" s="25" t="s">
        <v>631</v>
      </c>
      <c r="CAI62" s="25" t="s">
        <v>631</v>
      </c>
      <c r="CAJ62" s="25" t="s">
        <v>631</v>
      </c>
      <c r="CAK62" s="25" t="s">
        <v>631</v>
      </c>
      <c r="CAL62" s="25" t="s">
        <v>631</v>
      </c>
      <c r="CAM62" s="25" t="s">
        <v>8290</v>
      </c>
      <c r="CAN62" s="25" t="s">
        <v>631</v>
      </c>
      <c r="CAO62" s="25" t="s">
        <v>631</v>
      </c>
      <c r="CAP62" s="25" t="s">
        <v>631</v>
      </c>
      <c r="CAQ62" s="25" t="s">
        <v>631</v>
      </c>
      <c r="CAR62" s="25" t="s">
        <v>8455</v>
      </c>
      <c r="CAT62" s="25" t="s">
        <v>25</v>
      </c>
      <c r="CAV62" s="25" t="s">
        <v>8614</v>
      </c>
      <c r="CAW62" s="25" t="s">
        <v>8341</v>
      </c>
      <c r="CAX62" s="25" t="s">
        <v>8342</v>
      </c>
      <c r="CAY62" s="25">
        <v>5</v>
      </c>
      <c r="CAZ62" s="25">
        <v>50</v>
      </c>
      <c r="CBB62" s="25">
        <v>1</v>
      </c>
      <c r="CBC62" s="25">
        <v>0</v>
      </c>
      <c r="CBD62" s="25">
        <v>0</v>
      </c>
      <c r="CBE62" s="56">
        <v>50</v>
      </c>
      <c r="CBF62" s="56">
        <v>150</v>
      </c>
      <c r="CBG62" s="56">
        <v>50</v>
      </c>
      <c r="CBH62" s="56">
        <v>150</v>
      </c>
      <c r="CBI62" s="56">
        <v>2000</v>
      </c>
      <c r="CBJ62" s="56">
        <v>2000</v>
      </c>
      <c r="CBK62" s="56">
        <v>2000</v>
      </c>
      <c r="CBL62" s="56">
        <v>2000</v>
      </c>
      <c r="CBM62" s="26">
        <v>0</v>
      </c>
      <c r="CBN62" s="26">
        <v>0</v>
      </c>
      <c r="CBO62" s="26">
        <v>0.1</v>
      </c>
      <c r="CBP62" s="26">
        <v>0.2</v>
      </c>
      <c r="CBQ62" s="26">
        <v>0.4</v>
      </c>
      <c r="CBR62" s="26">
        <v>0.5</v>
      </c>
      <c r="CBS62" s="26">
        <v>0.5</v>
      </c>
      <c r="CBT62" s="26">
        <v>0.5</v>
      </c>
      <c r="CBU62" s="27" t="s">
        <v>28</v>
      </c>
      <c r="CBV62" s="27" t="s">
        <v>8417</v>
      </c>
      <c r="CBW62" s="27" t="s">
        <v>8294</v>
      </c>
      <c r="CBX62" s="27" t="s">
        <v>8343</v>
      </c>
      <c r="CBY62" s="27" t="s">
        <v>8296</v>
      </c>
      <c r="CBZ62" s="27" t="s">
        <v>8296</v>
      </c>
      <c r="CCA62" s="27" t="s">
        <v>8297</v>
      </c>
      <c r="CCB62" s="27" t="s">
        <v>8298</v>
      </c>
      <c r="CCC62" s="27" t="s">
        <v>8296</v>
      </c>
      <c r="CCD62" s="27" t="s">
        <v>8297</v>
      </c>
      <c r="CCE62" s="27" t="s">
        <v>8297</v>
      </c>
      <c r="CCF62" s="27" t="s">
        <v>8297</v>
      </c>
      <c r="CCG62" s="27" t="s">
        <v>8297</v>
      </c>
      <c r="CCH62" s="27" t="s">
        <v>8296</v>
      </c>
      <c r="CCI62" s="27" t="s">
        <v>8298</v>
      </c>
      <c r="CCJ62" s="27" t="s">
        <v>8298</v>
      </c>
      <c r="CCK62" s="27" t="s">
        <v>8297</v>
      </c>
      <c r="CCL62" s="27" t="s">
        <v>8297</v>
      </c>
      <c r="CCN62" s="27" t="s">
        <v>8296</v>
      </c>
      <c r="CCO62" s="27" t="s">
        <v>8300</v>
      </c>
      <c r="CCP62" s="27" t="s">
        <v>8296</v>
      </c>
      <c r="CCQ62" s="27" t="s">
        <v>8296</v>
      </c>
      <c r="CCR62" s="27" t="s">
        <v>8296</v>
      </c>
      <c r="CCS62" s="27" t="s">
        <v>8298</v>
      </c>
      <c r="CCT62" s="27" t="s">
        <v>8296</v>
      </c>
      <c r="CCU62" s="27" t="s">
        <v>8296</v>
      </c>
      <c r="CCV62" s="27" t="s">
        <v>8298</v>
      </c>
      <c r="CCW62" s="27" t="s">
        <v>8298</v>
      </c>
      <c r="CCX62" s="27" t="s">
        <v>8298</v>
      </c>
      <c r="CCY62" s="27" t="s">
        <v>8298</v>
      </c>
      <c r="CCZ62" s="27" t="s">
        <v>28</v>
      </c>
      <c r="CDA62" s="27" t="s">
        <v>28</v>
      </c>
      <c r="CDB62" s="27" t="s">
        <v>28</v>
      </c>
      <c r="CDC62" s="27" t="s">
        <v>28</v>
      </c>
      <c r="CDD62" s="27" t="s">
        <v>28</v>
      </c>
      <c r="CDE62" s="27" t="s">
        <v>28</v>
      </c>
      <c r="CDF62" s="27" t="s">
        <v>28</v>
      </c>
      <c r="CDG62" s="27" t="s">
        <v>28</v>
      </c>
      <c r="CDH62" s="27" t="s">
        <v>28</v>
      </c>
      <c r="CDI62" s="27" t="s">
        <v>28</v>
      </c>
      <c r="CDJ62" s="27" t="s">
        <v>28</v>
      </c>
      <c r="CDK62" s="27" t="s">
        <v>28</v>
      </c>
      <c r="CDL62" s="27" t="s">
        <v>28</v>
      </c>
      <c r="CDM62" s="27" t="s">
        <v>28</v>
      </c>
      <c r="CDO62" s="27" t="s">
        <v>28</v>
      </c>
      <c r="CDP62" s="27" t="s">
        <v>28</v>
      </c>
      <c r="CDQ62" s="27" t="s">
        <v>28</v>
      </c>
      <c r="CDR62" s="27" t="s">
        <v>28</v>
      </c>
      <c r="CDS62" s="27" t="s">
        <v>28</v>
      </c>
      <c r="CDT62" s="27" t="s">
        <v>28</v>
      </c>
      <c r="CDU62" s="27" t="s">
        <v>28</v>
      </c>
      <c r="CDV62" s="27" t="s">
        <v>28</v>
      </c>
      <c r="CDW62" s="27" t="s">
        <v>28</v>
      </c>
      <c r="CDX62" s="27" t="s">
        <v>28</v>
      </c>
      <c r="CDY62" s="27" t="s">
        <v>28</v>
      </c>
      <c r="CDZ62" s="27" t="s">
        <v>28</v>
      </c>
      <c r="CEA62" s="27" t="s">
        <v>2673</v>
      </c>
      <c r="CEB62" s="27" t="s">
        <v>2673</v>
      </c>
      <c r="CEC62" s="27" t="s">
        <v>2673</v>
      </c>
      <c r="CED62" s="27" t="s">
        <v>8371</v>
      </c>
      <c r="CEE62" s="27" t="s">
        <v>2673</v>
      </c>
      <c r="CEF62" s="27" t="s">
        <v>8301</v>
      </c>
      <c r="CEG62" s="27" t="s">
        <v>2673</v>
      </c>
      <c r="CEH62" s="27" t="s">
        <v>2673</v>
      </c>
      <c r="CEI62" s="27" t="s">
        <v>2673</v>
      </c>
      <c r="CEJ62" s="27" t="s">
        <v>29</v>
      </c>
      <c r="CEK62" s="27" t="s">
        <v>8302</v>
      </c>
      <c r="CEL62" s="27" t="s">
        <v>8303</v>
      </c>
      <c r="CEM62" s="27" t="s">
        <v>8305</v>
      </c>
      <c r="CEN62" s="27" t="s">
        <v>8301</v>
      </c>
      <c r="CEP62" s="27" t="s">
        <v>8303</v>
      </c>
      <c r="CEQ62" s="27" t="s">
        <v>8304</v>
      </c>
      <c r="CER62" s="27" t="s">
        <v>8305</v>
      </c>
      <c r="CES62" s="27" t="s">
        <v>8306</v>
      </c>
      <c r="CET62" s="27" t="s">
        <v>2673</v>
      </c>
      <c r="CEU62" s="27" t="s">
        <v>8304</v>
      </c>
      <c r="CEV62" s="27" t="s">
        <v>2673</v>
      </c>
      <c r="CEW62" s="27" t="s">
        <v>8615</v>
      </c>
      <c r="CEX62" s="27" t="s">
        <v>8303</v>
      </c>
      <c r="CEY62" s="27" t="s">
        <v>8302</v>
      </c>
      <c r="CEZ62" s="27" t="s">
        <v>8306</v>
      </c>
      <c r="CFA62" s="27" t="s">
        <v>2673</v>
      </c>
      <c r="CFB62" s="27" t="s">
        <v>25</v>
      </c>
      <c r="CFC62" s="27" t="s">
        <v>25</v>
      </c>
      <c r="CFD62" s="27" t="s">
        <v>25</v>
      </c>
      <c r="CFE62" s="27" t="s">
        <v>25</v>
      </c>
      <c r="CFF62" s="27" t="s">
        <v>25</v>
      </c>
      <c r="CFG62" s="27" t="s">
        <v>25</v>
      </c>
      <c r="CFH62" s="27" t="s">
        <v>25</v>
      </c>
      <c r="CFI62" s="27" t="s">
        <v>25</v>
      </c>
      <c r="CFJ62" s="27" t="s">
        <v>25</v>
      </c>
      <c r="CFK62" s="27" t="s">
        <v>25</v>
      </c>
      <c r="CFL62" s="27" t="s">
        <v>25</v>
      </c>
      <c r="CFM62" s="27" t="s">
        <v>28</v>
      </c>
      <c r="CFN62" s="27" t="s">
        <v>25</v>
      </c>
      <c r="CFO62" s="27" t="s">
        <v>25</v>
      </c>
      <c r="CFQ62" s="27" t="s">
        <v>25</v>
      </c>
      <c r="CFR62" s="27" t="s">
        <v>28</v>
      </c>
      <c r="CFS62" s="27" t="s">
        <v>25</v>
      </c>
      <c r="CFT62" s="27" t="s">
        <v>25</v>
      </c>
      <c r="CFU62" s="27" t="s">
        <v>25</v>
      </c>
      <c r="CFV62" s="27" t="s">
        <v>28</v>
      </c>
      <c r="CFW62" s="27" t="s">
        <v>25</v>
      </c>
      <c r="CFX62" s="27" t="s">
        <v>28</v>
      </c>
      <c r="CFY62" s="27" t="s">
        <v>28</v>
      </c>
      <c r="CFZ62" s="27" t="s">
        <v>25</v>
      </c>
      <c r="CGA62" s="27" t="s">
        <v>25</v>
      </c>
      <c r="CGB62" s="27" t="s">
        <v>25</v>
      </c>
      <c r="CPW62" s="27">
        <v>1</v>
      </c>
      <c r="CPX62" s="56">
        <v>15</v>
      </c>
      <c r="CPZ62" s="56">
        <v>45</v>
      </c>
      <c r="CQB62" s="25" t="s">
        <v>8372</v>
      </c>
      <c r="CQC62" s="25" t="s">
        <v>8372</v>
      </c>
      <c r="CQD62" s="25" t="s">
        <v>8372</v>
      </c>
      <c r="CQE62" s="25" t="s">
        <v>8372</v>
      </c>
      <c r="CQF62" s="25" t="s">
        <v>8372</v>
      </c>
      <c r="CQI62" s="56">
        <v>200</v>
      </c>
      <c r="CQJ62" s="56">
        <v>200</v>
      </c>
      <c r="CQK62" s="56">
        <v>200</v>
      </c>
      <c r="CQL62" s="25" t="s">
        <v>13674</v>
      </c>
      <c r="CQM62" s="25" t="s">
        <v>8308</v>
      </c>
      <c r="CQN62" s="25" t="s">
        <v>25</v>
      </c>
      <c r="CQO62" s="25" t="s">
        <v>8309</v>
      </c>
      <c r="CQQ62" s="25" t="s">
        <v>8616</v>
      </c>
      <c r="CQR62" s="25" t="s">
        <v>1436</v>
      </c>
      <c r="CQS62" s="25" t="s">
        <v>25</v>
      </c>
      <c r="CQT62" s="25" t="s">
        <v>8312</v>
      </c>
      <c r="CQU62" s="25" t="s">
        <v>8312</v>
      </c>
      <c r="CQV62" s="25" t="s">
        <v>8312</v>
      </c>
      <c r="CQW62" s="25" t="s">
        <v>8312</v>
      </c>
      <c r="CQX62" s="25" t="s">
        <v>8312</v>
      </c>
      <c r="CQY62" s="25" t="s">
        <v>8312</v>
      </c>
      <c r="CQZ62" s="25" t="s">
        <v>8314</v>
      </c>
      <c r="CRA62" s="25" t="s">
        <v>8314</v>
      </c>
      <c r="CRB62" s="25" t="s">
        <v>8314</v>
      </c>
      <c r="CRC62" s="25" t="s">
        <v>8312</v>
      </c>
      <c r="CRD62" s="25" t="s">
        <v>8314</v>
      </c>
      <c r="CRE62" s="27" t="s">
        <v>8312</v>
      </c>
    </row>
    <row r="63" spans="1:2048 2050:2501" ht="89.25" x14ac:dyDescent="0.2">
      <c r="A63" s="21" t="s">
        <v>177</v>
      </c>
      <c r="B63" s="26">
        <v>0.12</v>
      </c>
      <c r="C63" s="26">
        <v>0</v>
      </c>
      <c r="D63" s="26">
        <v>0.04</v>
      </c>
      <c r="E63" s="26">
        <v>0.76</v>
      </c>
      <c r="F63" s="26">
        <v>0</v>
      </c>
      <c r="G63" s="26">
        <v>0</v>
      </c>
      <c r="H63" s="26">
        <v>0</v>
      </c>
      <c r="I63" s="26">
        <v>0</v>
      </c>
      <c r="J63" s="26">
        <v>0</v>
      </c>
      <c r="K63" s="26">
        <v>0</v>
      </c>
      <c r="L63" s="26">
        <v>0</v>
      </c>
      <c r="M63" s="26">
        <v>0.08</v>
      </c>
      <c r="N63" s="26">
        <v>0.13</v>
      </c>
      <c r="O63" s="26">
        <v>0</v>
      </c>
      <c r="P63" s="26">
        <v>0</v>
      </c>
      <c r="Q63" s="26">
        <v>0.56999999999999995</v>
      </c>
      <c r="R63" s="26">
        <v>0</v>
      </c>
      <c r="S63" s="26">
        <v>0</v>
      </c>
      <c r="T63" s="26">
        <v>0</v>
      </c>
      <c r="U63" s="26">
        <v>0</v>
      </c>
      <c r="V63" s="26">
        <v>0</v>
      </c>
      <c r="W63" s="26">
        <v>0</v>
      </c>
      <c r="X63" s="26">
        <v>0</v>
      </c>
      <c r="Y63" s="26">
        <v>0.3</v>
      </c>
      <c r="Z63" s="25">
        <v>1</v>
      </c>
      <c r="AA63" s="25" t="s">
        <v>8974</v>
      </c>
      <c r="AC63" s="56">
        <v>3000</v>
      </c>
      <c r="AD63" s="56">
        <v>9000</v>
      </c>
      <c r="AE63" s="56">
        <v>6900</v>
      </c>
      <c r="AF63" s="56">
        <v>20700</v>
      </c>
      <c r="AI63" s="25" t="s">
        <v>13411</v>
      </c>
      <c r="AJ63" s="56">
        <v>500</v>
      </c>
      <c r="AK63" s="56">
        <v>1500</v>
      </c>
      <c r="AL63" s="56">
        <v>500</v>
      </c>
      <c r="AM63" s="56">
        <v>1500</v>
      </c>
      <c r="AN63" s="25" t="s">
        <v>8247</v>
      </c>
      <c r="AO63" s="25" t="s">
        <v>8248</v>
      </c>
      <c r="BB63" s="25" t="s">
        <v>8249</v>
      </c>
      <c r="DO63" s="25" t="s">
        <v>25</v>
      </c>
      <c r="DP63" s="25" t="s">
        <v>25</v>
      </c>
      <c r="DR63" s="25" t="s">
        <v>25</v>
      </c>
      <c r="DT63" s="25" t="s">
        <v>13417</v>
      </c>
      <c r="DU63" s="25" t="s">
        <v>13417</v>
      </c>
      <c r="DV63" s="56">
        <v>30</v>
      </c>
      <c r="DW63" s="56">
        <v>45</v>
      </c>
      <c r="DX63" s="56">
        <v>45</v>
      </c>
      <c r="DY63" s="56">
        <v>100</v>
      </c>
      <c r="DZ63" s="56">
        <v>45</v>
      </c>
      <c r="EA63" s="56">
        <v>0</v>
      </c>
      <c r="EC63" s="26">
        <v>0</v>
      </c>
      <c r="ED63" s="26">
        <v>0</v>
      </c>
      <c r="EE63" s="26">
        <v>0.1</v>
      </c>
      <c r="EF63" s="26">
        <v>0.1</v>
      </c>
      <c r="EG63" s="26">
        <v>0.1</v>
      </c>
      <c r="EH63" s="26">
        <v>0</v>
      </c>
      <c r="EM63" s="56">
        <v>100</v>
      </c>
      <c r="EQ63" s="26">
        <v>0.3</v>
      </c>
      <c r="ER63" s="26">
        <v>0.3</v>
      </c>
      <c r="ES63" s="26">
        <v>0.3</v>
      </c>
      <c r="ET63" s="26">
        <v>0.1</v>
      </c>
      <c r="EU63" s="26">
        <v>0.3</v>
      </c>
      <c r="EV63" s="26">
        <v>0</v>
      </c>
      <c r="EX63" s="25" t="s">
        <v>8250</v>
      </c>
      <c r="EY63" s="25" t="s">
        <v>8250</v>
      </c>
      <c r="EZ63" s="25" t="s">
        <v>8250</v>
      </c>
      <c r="FA63" s="25" t="s">
        <v>8250</v>
      </c>
      <c r="FB63" s="25" t="s">
        <v>8250</v>
      </c>
      <c r="FC63" s="25" t="s">
        <v>8261</v>
      </c>
      <c r="FE63" s="25" t="s">
        <v>8324</v>
      </c>
      <c r="FF63" s="25" t="s">
        <v>8324</v>
      </c>
      <c r="FG63" s="25" t="s">
        <v>8324</v>
      </c>
      <c r="FH63" s="25" t="s">
        <v>8324</v>
      </c>
      <c r="FI63" s="25" t="s">
        <v>8324</v>
      </c>
      <c r="FJ63" s="25" t="s">
        <v>8324</v>
      </c>
      <c r="FL63" s="25" t="s">
        <v>13810</v>
      </c>
      <c r="FM63" s="25" t="s">
        <v>13810</v>
      </c>
      <c r="FN63" s="25" t="s">
        <v>13810</v>
      </c>
      <c r="FO63" s="25" t="s">
        <v>13810</v>
      </c>
      <c r="FP63" s="25" t="s">
        <v>631</v>
      </c>
      <c r="FQ63" s="25" t="s">
        <v>13810</v>
      </c>
      <c r="FR63" s="25" t="s">
        <v>13810</v>
      </c>
      <c r="FS63" s="25" t="s">
        <v>631</v>
      </c>
      <c r="FT63" s="25" t="s">
        <v>631</v>
      </c>
      <c r="FU63" s="25" t="s">
        <v>13810</v>
      </c>
      <c r="FV63" s="25" t="s">
        <v>8253</v>
      </c>
      <c r="FW63" s="25" t="s">
        <v>8253</v>
      </c>
      <c r="FX63" s="25" t="s">
        <v>8253</v>
      </c>
      <c r="FY63" s="25" t="s">
        <v>13453</v>
      </c>
      <c r="GA63" s="25" t="s">
        <v>13453</v>
      </c>
      <c r="GB63" s="25" t="s">
        <v>13453</v>
      </c>
      <c r="GE63" s="56">
        <v>0</v>
      </c>
      <c r="GF63" s="56">
        <v>0</v>
      </c>
      <c r="GG63" s="56">
        <v>0</v>
      </c>
      <c r="GH63" s="56">
        <v>0</v>
      </c>
      <c r="GI63" s="56">
        <v>0</v>
      </c>
      <c r="GJ63" s="56">
        <v>0</v>
      </c>
      <c r="GK63" s="56">
        <v>0</v>
      </c>
      <c r="GL63" s="56">
        <v>0</v>
      </c>
      <c r="GM63" s="56">
        <v>0</v>
      </c>
      <c r="GN63" s="56">
        <v>0</v>
      </c>
      <c r="GO63" s="56">
        <v>0</v>
      </c>
      <c r="GP63" s="56">
        <v>0</v>
      </c>
      <c r="HG63" s="57">
        <v>0.1</v>
      </c>
      <c r="HH63" s="57">
        <v>0.25</v>
      </c>
      <c r="HI63" s="57">
        <v>0.4</v>
      </c>
      <c r="HN63" s="58">
        <v>0</v>
      </c>
      <c r="HO63" s="56">
        <v>0</v>
      </c>
      <c r="HP63" s="56">
        <v>0</v>
      </c>
      <c r="HQ63" s="56">
        <v>0</v>
      </c>
      <c r="HR63" s="56">
        <v>0</v>
      </c>
      <c r="HS63" s="56">
        <v>0</v>
      </c>
      <c r="IB63" s="26">
        <v>0.5</v>
      </c>
      <c r="IC63" s="26">
        <v>0.5</v>
      </c>
      <c r="ID63" s="26">
        <v>0.5</v>
      </c>
      <c r="II63" s="56">
        <v>0</v>
      </c>
      <c r="IJ63" s="56">
        <v>0</v>
      </c>
      <c r="IK63" s="56">
        <v>0</v>
      </c>
      <c r="IL63" s="56">
        <v>0</v>
      </c>
      <c r="IM63" s="56">
        <v>0</v>
      </c>
      <c r="IN63" s="56">
        <v>0</v>
      </c>
      <c r="IW63" s="26">
        <v>0.1</v>
      </c>
      <c r="IX63" s="26">
        <v>0.25</v>
      </c>
      <c r="IY63" s="26">
        <v>0.4</v>
      </c>
      <c r="JD63" s="56">
        <v>0</v>
      </c>
      <c r="JE63" s="56">
        <v>0</v>
      </c>
      <c r="JF63" s="56">
        <v>0</v>
      </c>
      <c r="JG63" s="56">
        <v>0</v>
      </c>
      <c r="JH63" s="56">
        <v>0</v>
      </c>
      <c r="JI63" s="56">
        <v>0</v>
      </c>
      <c r="JR63" s="26">
        <v>0</v>
      </c>
      <c r="JS63" s="26">
        <v>0</v>
      </c>
      <c r="JT63" s="26">
        <v>0</v>
      </c>
      <c r="JY63" s="56">
        <v>0</v>
      </c>
      <c r="JZ63" s="56">
        <v>0</v>
      </c>
      <c r="KA63" s="56">
        <v>0</v>
      </c>
      <c r="KB63" s="56">
        <v>0</v>
      </c>
      <c r="KC63" s="56">
        <v>0</v>
      </c>
      <c r="KD63" s="56">
        <v>0</v>
      </c>
      <c r="KM63" s="25" t="s">
        <v>8255</v>
      </c>
      <c r="KN63" s="25" t="s">
        <v>8381</v>
      </c>
      <c r="KO63" s="25" t="s">
        <v>8321</v>
      </c>
      <c r="KP63" s="25">
        <v>1</v>
      </c>
      <c r="KQ63" s="25" t="s">
        <v>8975</v>
      </c>
      <c r="KS63" s="56">
        <v>2500</v>
      </c>
      <c r="KT63" s="56">
        <v>5000</v>
      </c>
      <c r="KU63" s="56">
        <v>6000</v>
      </c>
      <c r="KV63" s="56">
        <v>12000</v>
      </c>
      <c r="KY63" s="25" t="s">
        <v>13411</v>
      </c>
      <c r="KZ63" s="56">
        <v>1500</v>
      </c>
      <c r="LA63" s="56">
        <v>3000</v>
      </c>
      <c r="LB63" s="56">
        <v>1500</v>
      </c>
      <c r="LC63" s="56">
        <v>3000</v>
      </c>
      <c r="LD63" s="25" t="s">
        <v>8247</v>
      </c>
      <c r="LE63" s="25" t="s">
        <v>8248</v>
      </c>
      <c r="LR63" s="25" t="s">
        <v>8249</v>
      </c>
      <c r="OE63" s="25" t="s">
        <v>25</v>
      </c>
      <c r="OF63" s="25" t="s">
        <v>25</v>
      </c>
      <c r="OH63" s="25" t="s">
        <v>25</v>
      </c>
      <c r="OJ63" s="25" t="s">
        <v>13421</v>
      </c>
      <c r="OK63" s="25" t="s">
        <v>13421</v>
      </c>
      <c r="OL63" s="56">
        <v>0</v>
      </c>
      <c r="OM63" s="56">
        <v>0</v>
      </c>
      <c r="ON63" s="56">
        <v>0</v>
      </c>
      <c r="OO63" s="56">
        <v>0</v>
      </c>
      <c r="OP63" s="56">
        <v>0</v>
      </c>
      <c r="OQ63" s="56">
        <v>0</v>
      </c>
      <c r="OS63" s="26">
        <v>0.1</v>
      </c>
      <c r="OT63" s="26">
        <v>0.1</v>
      </c>
      <c r="OU63" s="26">
        <v>0.1</v>
      </c>
      <c r="OV63" s="26">
        <v>0.1</v>
      </c>
      <c r="OW63" s="26">
        <v>0.1</v>
      </c>
      <c r="OX63" s="26">
        <v>0.1</v>
      </c>
      <c r="OZ63" s="56">
        <v>0</v>
      </c>
      <c r="PA63" s="56">
        <v>0</v>
      </c>
      <c r="PB63" s="56">
        <v>0</v>
      </c>
      <c r="PC63" s="56">
        <v>0</v>
      </c>
      <c r="PD63" s="56">
        <v>0</v>
      </c>
      <c r="PE63" s="56">
        <v>0</v>
      </c>
      <c r="PG63" s="26">
        <v>0.3</v>
      </c>
      <c r="PH63" s="26">
        <v>0.3</v>
      </c>
      <c r="PI63" s="26">
        <v>0.3</v>
      </c>
      <c r="PJ63" s="26">
        <v>0.3</v>
      </c>
      <c r="PK63" s="26">
        <v>0.3</v>
      </c>
      <c r="PL63" s="26">
        <v>0.3</v>
      </c>
      <c r="PN63" s="25" t="s">
        <v>8250</v>
      </c>
      <c r="PO63" s="25" t="s">
        <v>8250</v>
      </c>
      <c r="PP63" s="25" t="s">
        <v>8250</v>
      </c>
      <c r="PQ63" s="25" t="s">
        <v>8250</v>
      </c>
      <c r="PR63" s="25" t="s">
        <v>8250</v>
      </c>
      <c r="PS63" s="25" t="s">
        <v>8250</v>
      </c>
      <c r="PT63" s="25" t="s">
        <v>8261</v>
      </c>
      <c r="PU63" s="25" t="s">
        <v>28</v>
      </c>
      <c r="PV63" s="25" t="s">
        <v>28</v>
      </c>
      <c r="PW63" s="25" t="s">
        <v>28</v>
      </c>
      <c r="PX63" s="25" t="s">
        <v>28</v>
      </c>
      <c r="PY63" s="25" t="s">
        <v>28</v>
      </c>
      <c r="PZ63" s="25" t="s">
        <v>28</v>
      </c>
      <c r="QB63" s="25" t="s">
        <v>13810</v>
      </c>
      <c r="QC63" s="25" t="s">
        <v>13810</v>
      </c>
      <c r="QD63" s="25" t="s">
        <v>13810</v>
      </c>
      <c r="QE63" s="25" t="s">
        <v>13810</v>
      </c>
      <c r="QF63" s="25" t="s">
        <v>631</v>
      </c>
      <c r="QG63" s="25" t="s">
        <v>13810</v>
      </c>
      <c r="QH63" s="25" t="s">
        <v>13810</v>
      </c>
      <c r="QI63" s="25" t="s">
        <v>631</v>
      </c>
      <c r="QJ63" s="25" t="s">
        <v>631</v>
      </c>
      <c r="QK63" s="25" t="s">
        <v>631</v>
      </c>
      <c r="QL63" s="25" t="s">
        <v>8253</v>
      </c>
      <c r="QM63" s="25" t="s">
        <v>8253</v>
      </c>
      <c r="QN63" s="25" t="s">
        <v>8253</v>
      </c>
      <c r="QO63" s="25" t="s">
        <v>13453</v>
      </c>
      <c r="QQ63" s="25" t="s">
        <v>13453</v>
      </c>
      <c r="QR63" s="25" t="s">
        <v>13453</v>
      </c>
      <c r="QU63" s="56">
        <v>0</v>
      </c>
      <c r="QV63" s="56">
        <v>0</v>
      </c>
      <c r="QW63" s="56">
        <v>0</v>
      </c>
      <c r="QX63" s="56">
        <v>0</v>
      </c>
      <c r="QY63" s="56">
        <v>0</v>
      </c>
      <c r="QZ63" s="56">
        <v>0</v>
      </c>
      <c r="RA63" s="56">
        <v>0</v>
      </c>
      <c r="RB63" s="56">
        <v>0</v>
      </c>
      <c r="RC63" s="56">
        <v>0</v>
      </c>
      <c r="RD63" s="56">
        <v>0</v>
      </c>
      <c r="RE63" s="56">
        <v>0</v>
      </c>
      <c r="RF63" s="56">
        <v>0</v>
      </c>
      <c r="RW63" s="26">
        <v>0.1</v>
      </c>
      <c r="RX63" s="26">
        <v>0.15</v>
      </c>
      <c r="RY63" s="26">
        <v>0.2</v>
      </c>
      <c r="SD63" s="56">
        <v>0</v>
      </c>
      <c r="SE63" s="56">
        <v>0</v>
      </c>
      <c r="SF63" s="56">
        <v>0</v>
      </c>
      <c r="SG63" s="56">
        <v>0</v>
      </c>
      <c r="SI63" s="56">
        <v>0</v>
      </c>
      <c r="SR63" s="26">
        <v>0.5</v>
      </c>
      <c r="SS63" s="26">
        <v>0.5</v>
      </c>
      <c r="ST63" s="26">
        <v>0.5</v>
      </c>
      <c r="SY63" s="56">
        <v>0</v>
      </c>
      <c r="SZ63" s="56">
        <v>0</v>
      </c>
      <c r="TA63" s="56">
        <v>0</v>
      </c>
      <c r="TB63" s="56">
        <v>0</v>
      </c>
      <c r="TC63" s="56">
        <v>0</v>
      </c>
      <c r="TD63" s="56">
        <v>0</v>
      </c>
      <c r="TM63" s="26">
        <v>0.1</v>
      </c>
      <c r="TN63" s="26">
        <v>0.15</v>
      </c>
      <c r="TO63" s="26">
        <v>0.2</v>
      </c>
      <c r="TT63" s="56">
        <v>0</v>
      </c>
      <c r="TU63" s="56">
        <v>0</v>
      </c>
      <c r="TV63" s="56">
        <v>0</v>
      </c>
      <c r="TW63" s="56">
        <v>0</v>
      </c>
      <c r="TX63" s="56">
        <v>0</v>
      </c>
      <c r="TY63" s="56">
        <v>0</v>
      </c>
      <c r="UH63" s="26">
        <v>0</v>
      </c>
      <c r="UI63" s="26">
        <v>0</v>
      </c>
      <c r="UJ63" s="26">
        <v>0</v>
      </c>
      <c r="UO63" s="56">
        <v>0</v>
      </c>
      <c r="UP63" s="56">
        <v>0</v>
      </c>
      <c r="UQ63" s="56">
        <v>0</v>
      </c>
      <c r="UR63" s="56">
        <v>0</v>
      </c>
      <c r="US63" s="56">
        <v>0</v>
      </c>
      <c r="UT63" s="56">
        <v>0</v>
      </c>
      <c r="VC63" s="25" t="s">
        <v>8352</v>
      </c>
      <c r="VD63" s="25" t="s">
        <v>8381</v>
      </c>
      <c r="VE63" s="25" t="s">
        <v>8321</v>
      </c>
      <c r="VF63" s="25">
        <v>0</v>
      </c>
      <c r="VI63" s="25"/>
      <c r="VJ63" s="25"/>
      <c r="VK63" s="25"/>
      <c r="VL63" s="25"/>
      <c r="VM63" s="25"/>
      <c r="VN63" s="25"/>
      <c r="VP63" s="25"/>
      <c r="VQ63" s="25"/>
      <c r="VR63" s="25"/>
      <c r="VS63" s="25"/>
      <c r="ZA63" s="25"/>
      <c r="ZB63" s="25"/>
      <c r="ZC63" s="25"/>
      <c r="ZD63" s="25"/>
      <c r="ZE63" s="25"/>
      <c r="ZF63" s="25"/>
      <c r="ZG63" s="25"/>
      <c r="ZO63" s="25"/>
      <c r="ZP63" s="25"/>
      <c r="ZQ63" s="25"/>
      <c r="ZR63" s="25"/>
      <c r="ZS63" s="25"/>
      <c r="ZT63" s="25"/>
      <c r="ZU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S63" s="25"/>
      <c r="ACT63" s="25"/>
      <c r="ACU63" s="25"/>
      <c r="ACV63" s="25"/>
      <c r="ACW63" s="25"/>
      <c r="ACX63" s="25"/>
      <c r="ACY63" s="25"/>
      <c r="ACZ63" s="25"/>
      <c r="ADA63" s="25"/>
      <c r="ADB63" s="25"/>
      <c r="ADC63" s="25"/>
      <c r="ADD63" s="25"/>
      <c r="ADE63" s="25"/>
      <c r="ADF63" s="25"/>
      <c r="ADN63" s="25"/>
      <c r="ADO63" s="25"/>
      <c r="ADP63" s="25"/>
      <c r="ADQ63" s="25"/>
      <c r="ADR63" s="25"/>
      <c r="ADS63" s="25"/>
      <c r="ADT63" s="25"/>
      <c r="ADU63" s="25"/>
      <c r="ADV63" s="25"/>
      <c r="ADW63" s="25"/>
      <c r="ADX63" s="25"/>
      <c r="ADY63" s="25"/>
      <c r="ADZ63" s="25"/>
      <c r="AEA63" s="25"/>
      <c r="AEI63" s="25"/>
      <c r="AEJ63" s="25"/>
      <c r="AEK63" s="25"/>
      <c r="AEL63" s="25"/>
      <c r="AEM63" s="25"/>
      <c r="AEN63" s="25"/>
      <c r="AEO63" s="25"/>
      <c r="AEP63" s="25"/>
      <c r="AEQ63" s="25"/>
      <c r="AER63" s="25"/>
      <c r="AES63" s="25"/>
      <c r="AET63" s="25"/>
      <c r="AEU63" s="25"/>
      <c r="AEV63" s="25"/>
      <c r="AFD63" s="25"/>
      <c r="AFE63" s="25"/>
      <c r="AFF63" s="25"/>
      <c r="AFG63" s="25"/>
      <c r="AFH63" s="25"/>
      <c r="AFI63" s="25"/>
      <c r="AFJ63" s="25"/>
      <c r="AFK63" s="25"/>
      <c r="AFL63" s="25"/>
      <c r="AFM63" s="25"/>
      <c r="AFN63" s="25"/>
      <c r="AFO63" s="25"/>
      <c r="AFP63" s="25"/>
      <c r="AFQ63" s="25"/>
      <c r="AFU63" s="25">
        <v>0</v>
      </c>
      <c r="AFX63" s="25"/>
      <c r="AFY63" s="25"/>
      <c r="AFZ63" s="25"/>
      <c r="AGA63" s="25"/>
      <c r="AGB63" s="25"/>
      <c r="AGC63" s="25"/>
      <c r="AGE63" s="25"/>
      <c r="AGF63" s="25"/>
      <c r="AGG63" s="25"/>
      <c r="AGH63" s="25"/>
      <c r="AJP63" s="25"/>
      <c r="AJQ63" s="25"/>
      <c r="AJR63" s="25"/>
      <c r="AJS63" s="25"/>
      <c r="AJT63" s="25"/>
      <c r="AJU63" s="25"/>
      <c r="AJV63" s="25"/>
      <c r="AKD63" s="25"/>
      <c r="AKE63" s="25"/>
      <c r="AKF63" s="25"/>
      <c r="AKG63" s="25"/>
      <c r="AKH63" s="25"/>
      <c r="AKI63" s="25"/>
      <c r="AKJ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H63" s="25"/>
      <c r="ANI63" s="25"/>
      <c r="ANJ63" s="25"/>
      <c r="ANK63" s="25"/>
      <c r="ANL63" s="25"/>
      <c r="ANM63" s="25"/>
      <c r="ANN63" s="25"/>
      <c r="ANO63" s="25"/>
      <c r="ANP63" s="25"/>
      <c r="ANQ63" s="25"/>
      <c r="ANR63" s="25"/>
      <c r="ANS63" s="25"/>
      <c r="ANT63" s="25"/>
      <c r="ANU63" s="25"/>
      <c r="AOC63" s="25"/>
      <c r="AOD63" s="25"/>
      <c r="AOE63" s="25"/>
      <c r="AOF63" s="25"/>
      <c r="AOG63" s="25"/>
      <c r="AOH63" s="25"/>
      <c r="AOI63" s="25"/>
      <c r="AOJ63" s="25"/>
      <c r="AOK63" s="25"/>
      <c r="AOL63" s="25"/>
      <c r="AOM63" s="25"/>
      <c r="AON63" s="25"/>
      <c r="AOO63" s="25"/>
      <c r="AOP63" s="25"/>
      <c r="AOX63" s="25"/>
      <c r="AOY63" s="25"/>
      <c r="AOZ63" s="25"/>
      <c r="APA63" s="25"/>
      <c r="APB63" s="25"/>
      <c r="APC63" s="25"/>
      <c r="APD63" s="25"/>
      <c r="APE63" s="25"/>
      <c r="APF63" s="25"/>
      <c r="APG63" s="25"/>
      <c r="APH63" s="25"/>
      <c r="API63" s="25"/>
      <c r="APJ63" s="25"/>
      <c r="APK63" s="25"/>
      <c r="APS63" s="25"/>
      <c r="APT63" s="25"/>
      <c r="APU63" s="25"/>
      <c r="APV63" s="25"/>
      <c r="APW63" s="25"/>
      <c r="APX63" s="25"/>
      <c r="APY63" s="25"/>
      <c r="APZ63" s="25"/>
      <c r="AQA63" s="25"/>
      <c r="AQB63" s="25"/>
      <c r="AQC63" s="25"/>
      <c r="AQD63" s="25"/>
      <c r="AQE63" s="25"/>
      <c r="AQF63" s="25"/>
      <c r="AQJ63" s="25">
        <v>2</v>
      </c>
      <c r="AQK63" s="25" t="s">
        <v>8354</v>
      </c>
      <c r="AQL63" s="25" t="s">
        <v>8976</v>
      </c>
      <c r="AQM63" s="56">
        <v>2000</v>
      </c>
      <c r="AQN63" s="56">
        <v>4000</v>
      </c>
      <c r="AQS63" s="25" t="s">
        <v>13411</v>
      </c>
      <c r="AQX63" s="25" t="s">
        <v>8248</v>
      </c>
      <c r="ARK63" s="25" t="s">
        <v>8249</v>
      </c>
      <c r="ATX63" s="25" t="s">
        <v>25</v>
      </c>
      <c r="ATY63" s="25" t="s">
        <v>25</v>
      </c>
      <c r="AUA63" s="25" t="s">
        <v>25</v>
      </c>
      <c r="AUC63" s="25" t="s">
        <v>13599</v>
      </c>
      <c r="AUE63" s="56">
        <v>20</v>
      </c>
      <c r="AUF63" s="56">
        <v>20</v>
      </c>
      <c r="AUG63" s="56">
        <v>20</v>
      </c>
      <c r="AUH63" s="56">
        <v>150</v>
      </c>
      <c r="AUJ63" s="56">
        <v>20</v>
      </c>
      <c r="AVG63" s="25" t="s">
        <v>8250</v>
      </c>
      <c r="AVH63" s="25" t="s">
        <v>8250</v>
      </c>
      <c r="AVI63" s="25" t="s">
        <v>8250</v>
      </c>
      <c r="AVJ63" s="25" t="s">
        <v>8250</v>
      </c>
      <c r="AVK63" s="25" t="s">
        <v>8250</v>
      </c>
      <c r="AVL63" s="25" t="s">
        <v>8250</v>
      </c>
      <c r="AVN63" s="25" t="s">
        <v>13593</v>
      </c>
      <c r="AVO63" s="25" t="s">
        <v>13593</v>
      </c>
      <c r="AVP63" s="25" t="s">
        <v>13593</v>
      </c>
      <c r="AVQ63" s="25" t="s">
        <v>13593</v>
      </c>
      <c r="AVR63" s="25" t="s">
        <v>13593</v>
      </c>
      <c r="AVS63" s="25" t="s">
        <v>13593</v>
      </c>
      <c r="AVU63" s="25" t="s">
        <v>13810</v>
      </c>
      <c r="AVV63" s="25" t="s">
        <v>13810</v>
      </c>
      <c r="AVW63" s="25" t="s">
        <v>13810</v>
      </c>
      <c r="AVX63" s="25" t="s">
        <v>13810</v>
      </c>
      <c r="AVY63" s="25" t="s">
        <v>631</v>
      </c>
      <c r="AVZ63" s="25" t="s">
        <v>13810</v>
      </c>
      <c r="AWA63" s="25" t="s">
        <v>13810</v>
      </c>
      <c r="AWB63" s="25" t="s">
        <v>631</v>
      </c>
      <c r="AWC63" s="25" t="s">
        <v>631</v>
      </c>
      <c r="AWE63" s="25" t="s">
        <v>8253</v>
      </c>
      <c r="AWF63" s="25" t="s">
        <v>8253</v>
      </c>
      <c r="AWG63" s="25" t="s">
        <v>8253</v>
      </c>
      <c r="AWH63" s="25" t="s">
        <v>13453</v>
      </c>
      <c r="AWJ63" s="25" t="s">
        <v>13453</v>
      </c>
      <c r="AWK63" s="25" t="s">
        <v>13453</v>
      </c>
      <c r="AWN63" s="56">
        <v>15</v>
      </c>
      <c r="AWP63" s="56">
        <v>30</v>
      </c>
      <c r="AWR63" s="56">
        <v>35</v>
      </c>
      <c r="AWT63" s="56">
        <v>70</v>
      </c>
      <c r="AWV63" s="56">
        <v>35</v>
      </c>
      <c r="AWX63" s="56">
        <v>70</v>
      </c>
      <c r="BAV63" s="25" t="s">
        <v>8255</v>
      </c>
      <c r="BAW63" s="25" t="s">
        <v>8381</v>
      </c>
      <c r="BAX63" s="25" t="s">
        <v>8321</v>
      </c>
      <c r="BAY63" s="25">
        <v>0</v>
      </c>
      <c r="BBB63" s="25"/>
      <c r="BBC63" s="25"/>
      <c r="BBD63" s="25"/>
      <c r="BBE63" s="25"/>
      <c r="BBF63" s="25"/>
      <c r="BBG63" s="25"/>
      <c r="BBI63" s="25"/>
      <c r="BBJ63" s="25"/>
      <c r="BBK63" s="25"/>
      <c r="BBL63" s="25"/>
      <c r="BET63" s="25"/>
      <c r="BEU63" s="25"/>
      <c r="BEV63" s="25"/>
      <c r="BEW63" s="25"/>
      <c r="BEX63" s="25"/>
      <c r="BEY63" s="25"/>
      <c r="BEZ63" s="25"/>
      <c r="BFH63" s="25"/>
      <c r="BFI63" s="25"/>
      <c r="BFJ63" s="25"/>
      <c r="BFK63" s="25"/>
      <c r="BFL63" s="25"/>
      <c r="BFM63" s="25"/>
      <c r="BFN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L63" s="25"/>
      <c r="BIM63" s="25"/>
      <c r="BIN63" s="25"/>
      <c r="BIO63" s="25"/>
      <c r="BIP63" s="25"/>
      <c r="BIQ63" s="25"/>
      <c r="BIR63" s="25"/>
      <c r="BIS63" s="25"/>
      <c r="BIT63" s="25"/>
      <c r="BIU63" s="25"/>
      <c r="BIV63" s="25"/>
      <c r="BIW63" s="25"/>
      <c r="BIX63" s="25"/>
      <c r="BIY63" s="25"/>
      <c r="BJG63" s="25"/>
      <c r="BJH63" s="25"/>
      <c r="BJI63" s="25"/>
      <c r="BJJ63" s="25"/>
      <c r="BJK63" s="25"/>
      <c r="BJL63" s="25"/>
      <c r="BJM63" s="25"/>
      <c r="BJN63" s="25"/>
      <c r="BJO63" s="25"/>
      <c r="BJP63" s="25"/>
      <c r="BJQ63" s="25"/>
      <c r="BJR63" s="25"/>
      <c r="BJS63" s="25"/>
      <c r="BJT63" s="25"/>
      <c r="BKB63" s="25"/>
      <c r="BKC63" s="25"/>
      <c r="BKD63" s="25"/>
      <c r="BKE63" s="25"/>
      <c r="BKF63" s="25"/>
      <c r="BKG63" s="25"/>
      <c r="BKH63" s="25"/>
      <c r="BKI63" s="25"/>
      <c r="BKJ63" s="25"/>
      <c r="BKK63" s="25"/>
      <c r="BKL63" s="25"/>
      <c r="BKM63" s="25"/>
      <c r="BKN63" s="25"/>
      <c r="BKO63" s="25"/>
      <c r="BKW63" s="25"/>
      <c r="BKX63" s="25"/>
      <c r="BKY63" s="25"/>
      <c r="BKZ63" s="25"/>
      <c r="BLA63" s="25"/>
      <c r="BLB63" s="25"/>
      <c r="BLC63" s="25"/>
      <c r="BLD63" s="25"/>
      <c r="BLE63" s="25"/>
      <c r="BLF63" s="25"/>
      <c r="BLG63" s="25"/>
      <c r="BLH63" s="25"/>
      <c r="BLI63" s="25"/>
      <c r="BLJ63" s="25"/>
      <c r="BLN63" s="25">
        <v>0</v>
      </c>
      <c r="BLQ63" s="25"/>
      <c r="BLR63" s="25"/>
      <c r="BLS63" s="25"/>
      <c r="BLT63" s="25"/>
      <c r="BLU63" s="25"/>
      <c r="BLV63" s="25"/>
      <c r="BLX63" s="25"/>
      <c r="BLY63" s="25"/>
      <c r="BLZ63" s="25"/>
      <c r="BMA63" s="25"/>
      <c r="BPI63" s="25"/>
      <c r="BPJ63" s="25"/>
      <c r="BPK63" s="25"/>
      <c r="BPL63" s="25"/>
      <c r="BPM63" s="25"/>
      <c r="BPN63" s="25"/>
      <c r="BPO63" s="25"/>
      <c r="BPW63" s="25"/>
      <c r="BPX63" s="25"/>
      <c r="BPY63" s="25"/>
      <c r="BPZ63" s="25"/>
      <c r="BQA63" s="25"/>
      <c r="BQB63" s="25"/>
      <c r="BQC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TA63" s="25"/>
      <c r="BTB63" s="25"/>
      <c r="BTC63" s="25"/>
      <c r="BTD63" s="25"/>
      <c r="BTE63" s="25"/>
      <c r="BTF63" s="25"/>
      <c r="BTG63" s="25"/>
      <c r="BTH63" s="25"/>
      <c r="BTI63" s="25"/>
      <c r="BTJ63" s="25"/>
      <c r="BTK63" s="25"/>
      <c r="BTL63" s="25"/>
      <c r="BTM63" s="25"/>
      <c r="BTN63" s="25"/>
      <c r="BUQ63" s="25"/>
      <c r="BUR63" s="25"/>
      <c r="BUS63" s="25"/>
      <c r="BUT63" s="25"/>
      <c r="BUU63" s="25"/>
      <c r="BUV63" s="25"/>
      <c r="BUW63" s="25"/>
      <c r="BUX63" s="25"/>
      <c r="BUY63" s="25"/>
      <c r="BUZ63" s="25"/>
      <c r="BVA63" s="25"/>
      <c r="BVB63" s="25"/>
      <c r="BVC63" s="25"/>
      <c r="BVD63" s="25"/>
      <c r="BWC63" s="25" t="s">
        <v>28</v>
      </c>
      <c r="BWD63" s="25" t="s">
        <v>8265</v>
      </c>
      <c r="BWE63" s="25" t="s">
        <v>8357</v>
      </c>
      <c r="BWF63" s="25" t="s">
        <v>13707</v>
      </c>
      <c r="BWG63" s="25" t="s">
        <v>25</v>
      </c>
      <c r="BWH63" s="25" t="s">
        <v>2169</v>
      </c>
      <c r="BWI63" s="25" t="s">
        <v>28</v>
      </c>
      <c r="BWJ63" s="25" t="s">
        <v>8630</v>
      </c>
      <c r="BWK63" s="25" t="s">
        <v>25</v>
      </c>
      <c r="BWM63" s="25" t="s">
        <v>28</v>
      </c>
      <c r="BWN63" s="56">
        <v>5000</v>
      </c>
      <c r="BWO63" s="25" t="s">
        <v>25</v>
      </c>
      <c r="BWQ63" s="25" t="s">
        <v>28</v>
      </c>
      <c r="BWR63" s="25" t="s">
        <v>25</v>
      </c>
      <c r="BWT63" s="25" t="s">
        <v>28</v>
      </c>
      <c r="BWU63" s="56">
        <v>5000</v>
      </c>
      <c r="BWV63" s="25" t="s">
        <v>25</v>
      </c>
      <c r="BWX63" s="25" t="s">
        <v>28</v>
      </c>
      <c r="BWY63" s="25" t="s">
        <v>8358</v>
      </c>
      <c r="BWZ63" s="25" t="s">
        <v>28</v>
      </c>
      <c r="BXA63" s="56">
        <v>20</v>
      </c>
      <c r="BXB63" s="25" t="s">
        <v>25</v>
      </c>
      <c r="BXD63" s="25" t="s">
        <v>28</v>
      </c>
      <c r="BXE63" s="25" t="s">
        <v>8358</v>
      </c>
      <c r="BXF63" s="25" t="s">
        <v>28</v>
      </c>
      <c r="BXG63" s="56">
        <v>20</v>
      </c>
      <c r="BXH63" s="25" t="s">
        <v>25</v>
      </c>
      <c r="BXJ63" s="25" t="s">
        <v>28</v>
      </c>
      <c r="BXK63" s="25" t="s">
        <v>8389</v>
      </c>
      <c r="BXL63" s="25" t="s">
        <v>8464</v>
      </c>
      <c r="BXM63" s="25" t="s">
        <v>2201</v>
      </c>
      <c r="BXN63" s="25" t="s">
        <v>8332</v>
      </c>
      <c r="BXO63" s="25" t="s">
        <v>8274</v>
      </c>
      <c r="BXP63" s="25" t="s">
        <v>8361</v>
      </c>
      <c r="BXQ63" s="25" t="s">
        <v>8274</v>
      </c>
      <c r="BXR63" s="25" t="s">
        <v>8274</v>
      </c>
      <c r="BXS63" s="25" t="s">
        <v>8361</v>
      </c>
      <c r="BXT63" s="25" t="s">
        <v>8436</v>
      </c>
      <c r="BXU63" s="25" t="s">
        <v>25</v>
      </c>
      <c r="BXW63" s="25" t="s">
        <v>25</v>
      </c>
      <c r="BXX63" s="25" t="s">
        <v>25</v>
      </c>
      <c r="BXY63" s="25" t="s">
        <v>25</v>
      </c>
      <c r="BXZ63" s="25" t="s">
        <v>25</v>
      </c>
      <c r="BYA63" s="25" t="s">
        <v>25</v>
      </c>
      <c r="BYB63" s="25" t="s">
        <v>25</v>
      </c>
      <c r="BYC63" s="25" t="s">
        <v>2201</v>
      </c>
      <c r="BYD63" s="25" t="s">
        <v>28</v>
      </c>
      <c r="BYE63" s="25" t="s">
        <v>13612</v>
      </c>
      <c r="BYG63" s="25" t="s">
        <v>8977</v>
      </c>
      <c r="BYH63" s="25" t="s">
        <v>8363</v>
      </c>
      <c r="BYK63" s="25" t="s">
        <v>28</v>
      </c>
      <c r="BYL63" s="25" t="s">
        <v>25</v>
      </c>
      <c r="BYN63" s="25" t="s">
        <v>25</v>
      </c>
      <c r="BYP63" s="25" t="s">
        <v>25</v>
      </c>
      <c r="BYR63" s="25" t="s">
        <v>28</v>
      </c>
      <c r="BYS63" s="25" t="s">
        <v>8279</v>
      </c>
      <c r="BYT63" s="25" t="s">
        <v>8279</v>
      </c>
      <c r="BYU63" s="25" t="s">
        <v>732</v>
      </c>
      <c r="BYV63" s="25" t="s">
        <v>25</v>
      </c>
      <c r="BYW63" s="25" t="s">
        <v>28</v>
      </c>
      <c r="BYX63" s="56">
        <v>750</v>
      </c>
      <c r="BYY63" s="56">
        <v>1500</v>
      </c>
      <c r="BYZ63" s="25" t="s">
        <v>8280</v>
      </c>
      <c r="BZA63" s="25" t="s">
        <v>13833</v>
      </c>
      <c r="BZB63" s="25" t="s">
        <v>256</v>
      </c>
      <c r="BZC63" s="25" t="s">
        <v>8282</v>
      </c>
      <c r="BZD63" s="25" t="s">
        <v>28</v>
      </c>
      <c r="BZE63" s="25" t="s">
        <v>28</v>
      </c>
      <c r="BZF63" s="25" t="s">
        <v>28</v>
      </c>
      <c r="BZG63" s="25" t="s">
        <v>25</v>
      </c>
      <c r="BZJ63" s="25" t="s">
        <v>25</v>
      </c>
      <c r="BZM63" s="25" t="s">
        <v>28</v>
      </c>
      <c r="BZN63" s="25" t="s">
        <v>8283</v>
      </c>
      <c r="BZP63" s="25" t="s">
        <v>8366</v>
      </c>
      <c r="BZQ63" s="56">
        <v>1000</v>
      </c>
      <c r="BZR63" s="25" t="s">
        <v>819</v>
      </c>
      <c r="BZS63" s="25" t="s">
        <v>25</v>
      </c>
      <c r="BZT63" s="25" t="s">
        <v>8337</v>
      </c>
      <c r="BZV63" s="25" t="s">
        <v>13644</v>
      </c>
      <c r="BZX63" s="25" t="s">
        <v>8484</v>
      </c>
      <c r="BZZ63" s="25" t="s">
        <v>25</v>
      </c>
      <c r="CAC63" s="25" t="s">
        <v>28</v>
      </c>
      <c r="CAD63" s="25" t="s">
        <v>8288</v>
      </c>
      <c r="CAE63" s="25" t="s">
        <v>25</v>
      </c>
      <c r="CAG63" s="25" t="s">
        <v>25</v>
      </c>
      <c r="CAH63" s="25" t="s">
        <v>8290</v>
      </c>
      <c r="CAI63" s="25" t="s">
        <v>8290</v>
      </c>
      <c r="CAJ63" s="25" t="s">
        <v>631</v>
      </c>
      <c r="CAK63" s="25" t="s">
        <v>631</v>
      </c>
      <c r="CAL63" s="25" t="s">
        <v>247</v>
      </c>
      <c r="CAM63" s="25" t="s">
        <v>8290</v>
      </c>
      <c r="CAN63" s="25" t="s">
        <v>8290</v>
      </c>
      <c r="CAO63" s="25" t="s">
        <v>631</v>
      </c>
      <c r="CAP63" s="25" t="s">
        <v>631</v>
      </c>
      <c r="CAR63" s="25" t="s">
        <v>8455</v>
      </c>
      <c r="CAT63" s="25" t="s">
        <v>28</v>
      </c>
      <c r="CAU63" s="25" t="s">
        <v>8978</v>
      </c>
      <c r="CAV63" s="25" t="s">
        <v>8456</v>
      </c>
      <c r="CAW63" s="25" t="s">
        <v>8341</v>
      </c>
      <c r="CBB63" s="25">
        <v>1</v>
      </c>
      <c r="CBC63" s="25">
        <v>0</v>
      </c>
      <c r="CBD63" s="25">
        <v>0</v>
      </c>
      <c r="CBE63" s="56">
        <v>50</v>
      </c>
      <c r="CBF63" s="56">
        <v>150</v>
      </c>
      <c r="CBG63" s="56">
        <v>50</v>
      </c>
      <c r="CBH63" s="56">
        <v>150</v>
      </c>
      <c r="CBI63" s="56">
        <v>3000</v>
      </c>
      <c r="CBJ63" s="56">
        <v>3000</v>
      </c>
      <c r="CBK63" s="56">
        <v>3000</v>
      </c>
      <c r="CBL63" s="56">
        <v>3000</v>
      </c>
      <c r="CBM63" s="26">
        <v>0</v>
      </c>
      <c r="CBN63" s="26">
        <v>0</v>
      </c>
      <c r="CBO63" s="26">
        <v>0.1</v>
      </c>
      <c r="CBP63" s="26">
        <v>0.2</v>
      </c>
      <c r="CBQ63" s="26">
        <v>0.4</v>
      </c>
      <c r="CBR63" s="26">
        <v>0.5</v>
      </c>
      <c r="CBS63" s="26">
        <v>0.4</v>
      </c>
      <c r="CBT63" s="26">
        <v>0.5</v>
      </c>
      <c r="CBU63" s="27" t="s">
        <v>28</v>
      </c>
      <c r="CBV63" s="27" t="s">
        <v>8369</v>
      </c>
      <c r="CBW63" s="27" t="s">
        <v>8294</v>
      </c>
      <c r="CBX63" s="27" t="s">
        <v>8343</v>
      </c>
      <c r="CBY63" s="27" t="s">
        <v>8296</v>
      </c>
      <c r="CBZ63" s="27" t="s">
        <v>8296</v>
      </c>
      <c r="CCA63" s="27" t="s">
        <v>8297</v>
      </c>
      <c r="CCB63" s="27" t="s">
        <v>8298</v>
      </c>
      <c r="CCC63" s="27" t="s">
        <v>8298</v>
      </c>
      <c r="CCD63" s="27" t="s">
        <v>8297</v>
      </c>
      <c r="CCE63" s="27" t="s">
        <v>8297</v>
      </c>
      <c r="CCF63" s="27" t="s">
        <v>8297</v>
      </c>
      <c r="CCG63" s="27" t="s">
        <v>8297</v>
      </c>
      <c r="CCH63" s="27" t="s">
        <v>8296</v>
      </c>
      <c r="CCI63" s="27" t="s">
        <v>8298</v>
      </c>
      <c r="CCJ63" s="27" t="s">
        <v>8298</v>
      </c>
      <c r="CCK63" s="27" t="s">
        <v>8297</v>
      </c>
      <c r="CCL63" s="27" t="s">
        <v>29</v>
      </c>
      <c r="CCN63" s="27" t="s">
        <v>8296</v>
      </c>
      <c r="CCO63" s="27" t="s">
        <v>8300</v>
      </c>
      <c r="CCP63" s="27" t="s">
        <v>8296</v>
      </c>
      <c r="CCQ63" s="27" t="s">
        <v>8296</v>
      </c>
      <c r="CCR63" s="27" t="s">
        <v>8296</v>
      </c>
      <c r="CCS63" s="27" t="s">
        <v>29</v>
      </c>
      <c r="CCT63" s="27" t="s">
        <v>8296</v>
      </c>
      <c r="CCU63" s="27" t="s">
        <v>8298</v>
      </c>
      <c r="CCV63" s="27" t="s">
        <v>8298</v>
      </c>
      <c r="CCW63" s="27" t="s">
        <v>8298</v>
      </c>
      <c r="CCX63" s="27" t="s">
        <v>8298</v>
      </c>
      <c r="CCY63" s="27" t="s">
        <v>8298</v>
      </c>
      <c r="CCZ63" s="27" t="s">
        <v>28</v>
      </c>
      <c r="CDA63" s="27" t="s">
        <v>28</v>
      </c>
      <c r="CDB63" s="27" t="s">
        <v>28</v>
      </c>
      <c r="CDC63" s="27" t="s">
        <v>28</v>
      </c>
      <c r="CDD63" s="27" t="s">
        <v>28</v>
      </c>
      <c r="CDE63" s="27" t="s">
        <v>28</v>
      </c>
      <c r="CDF63" s="27" t="s">
        <v>28</v>
      </c>
      <c r="CDG63" s="27" t="s">
        <v>28</v>
      </c>
      <c r="CDH63" s="27" t="s">
        <v>28</v>
      </c>
      <c r="CDI63" s="27" t="s">
        <v>28</v>
      </c>
      <c r="CDJ63" s="27" t="s">
        <v>28</v>
      </c>
      <c r="CDK63" s="27" t="s">
        <v>28</v>
      </c>
      <c r="CDL63" s="27" t="s">
        <v>28</v>
      </c>
      <c r="CDM63" s="27" t="s">
        <v>28</v>
      </c>
      <c r="CDO63" s="27" t="s">
        <v>28</v>
      </c>
      <c r="CDP63" s="27" t="s">
        <v>25</v>
      </c>
      <c r="CDQ63" s="27" t="s">
        <v>28</v>
      </c>
      <c r="CDR63" s="27" t="s">
        <v>28</v>
      </c>
      <c r="CDS63" s="27" t="s">
        <v>28</v>
      </c>
      <c r="CDT63" s="27" t="s">
        <v>28</v>
      </c>
      <c r="CDU63" s="27" t="s">
        <v>28</v>
      </c>
      <c r="CDV63" s="27" t="s">
        <v>28</v>
      </c>
      <c r="CDW63" s="27" t="s">
        <v>28</v>
      </c>
      <c r="CDX63" s="27" t="s">
        <v>28</v>
      </c>
      <c r="CDY63" s="27" t="s">
        <v>28</v>
      </c>
      <c r="CDZ63" s="27" t="s">
        <v>28</v>
      </c>
      <c r="CED63" s="27" t="s">
        <v>8420</v>
      </c>
      <c r="CEF63" s="27" t="s">
        <v>8301</v>
      </c>
      <c r="CEG63" s="27" t="s">
        <v>2673</v>
      </c>
      <c r="CEH63" s="27" t="s">
        <v>2673</v>
      </c>
      <c r="CEI63" s="27" t="s">
        <v>2673</v>
      </c>
      <c r="CEJ63" s="27" t="s">
        <v>29</v>
      </c>
      <c r="CEK63" s="27" t="s">
        <v>8420</v>
      </c>
      <c r="CEL63" s="27" t="s">
        <v>8420</v>
      </c>
      <c r="CEM63" s="27" t="s">
        <v>8301</v>
      </c>
      <c r="CEN63" s="27" t="s">
        <v>8301</v>
      </c>
      <c r="CER63" s="27" t="s">
        <v>8305</v>
      </c>
      <c r="CES63" s="27" t="s">
        <v>8306</v>
      </c>
      <c r="CEU63" s="27" t="s">
        <v>29</v>
      </c>
      <c r="CEW63" s="27" t="s">
        <v>8420</v>
      </c>
      <c r="CEX63" s="27" t="s">
        <v>8420</v>
      </c>
      <c r="CEY63" s="27" t="s">
        <v>8303</v>
      </c>
      <c r="CEZ63" s="27" t="s">
        <v>8301</v>
      </c>
      <c r="CFM63" s="27" t="s">
        <v>28</v>
      </c>
      <c r="CFV63" s="27" t="s">
        <v>28</v>
      </c>
      <c r="CFX63" s="27" t="s">
        <v>28</v>
      </c>
      <c r="CFY63" s="27" t="s">
        <v>28</v>
      </c>
      <c r="CPW63" s="27">
        <v>2</v>
      </c>
      <c r="CPX63" s="56">
        <v>10</v>
      </c>
      <c r="CPZ63" s="56">
        <v>25</v>
      </c>
      <c r="CQB63" s="25" t="s">
        <v>8307</v>
      </c>
      <c r="CQC63" s="25" t="s">
        <v>8307</v>
      </c>
      <c r="CQD63" s="25" t="s">
        <v>8344</v>
      </c>
      <c r="CQE63" s="25" t="s">
        <v>8307</v>
      </c>
      <c r="CQF63" s="25" t="s">
        <v>8307</v>
      </c>
      <c r="CQI63" s="56">
        <v>200</v>
      </c>
      <c r="CQJ63" s="56">
        <v>200</v>
      </c>
      <c r="CQK63" s="56">
        <v>200</v>
      </c>
      <c r="CQL63" s="25" t="s">
        <v>13669</v>
      </c>
      <c r="CQM63" s="25" t="s">
        <v>8308</v>
      </c>
      <c r="CQN63" s="25" t="s">
        <v>28</v>
      </c>
      <c r="CQO63" s="25" t="s">
        <v>8309</v>
      </c>
      <c r="CQQ63" s="25" t="s">
        <v>8979</v>
      </c>
      <c r="CQR63" s="25" t="s">
        <v>8980</v>
      </c>
      <c r="CQS63" s="25" t="s">
        <v>28</v>
      </c>
      <c r="CQT63" s="25" t="s">
        <v>8312</v>
      </c>
      <c r="CQU63" s="25" t="s">
        <v>8312</v>
      </c>
      <c r="CQV63" s="25" t="s">
        <v>8312</v>
      </c>
      <c r="CQW63" s="25" t="s">
        <v>8312</v>
      </c>
      <c r="CQX63" s="25" t="s">
        <v>8312</v>
      </c>
      <c r="CQY63" s="25" t="s">
        <v>8312</v>
      </c>
      <c r="CQZ63" s="25" t="s">
        <v>8312</v>
      </c>
      <c r="CRA63" s="25" t="s">
        <v>8314</v>
      </c>
      <c r="CRB63" s="25" t="s">
        <v>8314</v>
      </c>
      <c r="CRC63" s="25" t="s">
        <v>8312</v>
      </c>
      <c r="CRD63" s="25" t="s">
        <v>8314</v>
      </c>
      <c r="CRE63" s="27" t="s">
        <v>8312</v>
      </c>
    </row>
    <row r="64" spans="1:2048 2050:2501" ht="89.25" x14ac:dyDescent="0.2">
      <c r="A64" s="21" t="s">
        <v>162</v>
      </c>
      <c r="B64" s="26">
        <v>0.34</v>
      </c>
      <c r="C64" s="26">
        <v>0.06</v>
      </c>
      <c r="D64" s="26">
        <v>7.0000000000000007E-2</v>
      </c>
      <c r="E64" s="26">
        <v>0.45</v>
      </c>
      <c r="F64" s="26">
        <v>0</v>
      </c>
      <c r="G64" s="26">
        <v>0</v>
      </c>
      <c r="H64" s="26">
        <v>0</v>
      </c>
      <c r="I64" s="26">
        <v>0</v>
      </c>
      <c r="J64" s="26">
        <v>0</v>
      </c>
      <c r="K64" s="26">
        <v>0</v>
      </c>
      <c r="L64" s="26">
        <v>0</v>
      </c>
      <c r="M64" s="26">
        <v>0.08</v>
      </c>
      <c r="N64" s="26">
        <v>0.67</v>
      </c>
      <c r="O64" s="26">
        <v>0</v>
      </c>
      <c r="P64" s="26">
        <v>0</v>
      </c>
      <c r="Q64" s="26">
        <v>0.13</v>
      </c>
      <c r="R64" s="26">
        <v>0</v>
      </c>
      <c r="S64" s="26">
        <v>0</v>
      </c>
      <c r="T64" s="26">
        <v>0</v>
      </c>
      <c r="U64" s="26">
        <v>0</v>
      </c>
      <c r="V64" s="26">
        <v>0</v>
      </c>
      <c r="W64" s="26">
        <v>0</v>
      </c>
      <c r="X64" s="26">
        <v>0</v>
      </c>
      <c r="Y64" s="26">
        <v>0.2</v>
      </c>
      <c r="Z64" s="25">
        <v>2</v>
      </c>
      <c r="AA64" s="25" t="s">
        <v>8853</v>
      </c>
      <c r="AB64" s="25" t="s">
        <v>8854</v>
      </c>
      <c r="AC64" s="56">
        <v>2500</v>
      </c>
      <c r="AD64" s="56">
        <v>4500</v>
      </c>
      <c r="AE64" s="56">
        <v>5000</v>
      </c>
      <c r="AF64" s="56">
        <v>9000</v>
      </c>
      <c r="AI64" s="25" t="s">
        <v>13411</v>
      </c>
      <c r="AJ64" s="56">
        <v>500</v>
      </c>
      <c r="AK64" s="56">
        <v>1500</v>
      </c>
      <c r="AL64" s="56">
        <v>1000</v>
      </c>
      <c r="AM64" s="56">
        <v>3000</v>
      </c>
      <c r="AN64" s="25" t="s">
        <v>8350</v>
      </c>
      <c r="AO64" s="25" t="s">
        <v>8248</v>
      </c>
      <c r="BB64" s="25" t="s">
        <v>8249</v>
      </c>
      <c r="DO64" s="25" t="s">
        <v>25</v>
      </c>
      <c r="DP64" s="25" t="s">
        <v>25</v>
      </c>
      <c r="DR64" s="25" t="s">
        <v>25</v>
      </c>
      <c r="DT64" s="25" t="s">
        <v>13417</v>
      </c>
      <c r="DU64" s="25" t="s">
        <v>13420</v>
      </c>
      <c r="DV64" s="56">
        <v>15</v>
      </c>
      <c r="DW64" s="56">
        <v>15</v>
      </c>
      <c r="DX64" s="56">
        <v>15</v>
      </c>
      <c r="DY64" s="56">
        <v>75</v>
      </c>
      <c r="DZ64" s="56">
        <v>15</v>
      </c>
      <c r="EA64" s="56">
        <v>15</v>
      </c>
      <c r="EG64" s="26">
        <v>0.1</v>
      </c>
      <c r="EM64" s="56">
        <v>75</v>
      </c>
      <c r="EQ64" s="26">
        <v>0.3</v>
      </c>
      <c r="ER64" s="26">
        <v>0.3</v>
      </c>
      <c r="ES64" s="26">
        <v>0.3</v>
      </c>
      <c r="ET64" s="26">
        <v>0.1</v>
      </c>
      <c r="EU64" s="26">
        <v>0.3</v>
      </c>
      <c r="EX64" s="25" t="s">
        <v>8250</v>
      </c>
      <c r="EY64" s="25" t="s">
        <v>8250</v>
      </c>
      <c r="EZ64" s="25" t="s">
        <v>8250</v>
      </c>
      <c r="FA64" s="25" t="s">
        <v>8250</v>
      </c>
      <c r="FB64" s="25" t="s">
        <v>8250</v>
      </c>
      <c r="FC64" s="25" t="s">
        <v>8250</v>
      </c>
      <c r="FE64" s="25" t="s">
        <v>25</v>
      </c>
      <c r="FF64" s="25" t="s">
        <v>25</v>
      </c>
      <c r="FG64" s="25" t="s">
        <v>25</v>
      </c>
      <c r="FH64" s="25" t="s">
        <v>25</v>
      </c>
      <c r="FI64" s="25" t="s">
        <v>25</v>
      </c>
      <c r="FJ64" s="25" t="s">
        <v>25</v>
      </c>
      <c r="FL64" s="25" t="s">
        <v>13810</v>
      </c>
      <c r="FM64" s="25" t="s">
        <v>13810</v>
      </c>
      <c r="FN64" s="25" t="s">
        <v>13810</v>
      </c>
      <c r="FO64" s="25" t="s">
        <v>8424</v>
      </c>
      <c r="FP64" s="25" t="s">
        <v>13810</v>
      </c>
      <c r="FQ64" s="25" t="s">
        <v>13810</v>
      </c>
      <c r="FR64" s="25" t="s">
        <v>13810</v>
      </c>
      <c r="FS64" s="25" t="s">
        <v>13810</v>
      </c>
      <c r="FT64" s="25" t="s">
        <v>631</v>
      </c>
      <c r="FU64" s="25" t="s">
        <v>631</v>
      </c>
      <c r="FV64" s="25" t="s">
        <v>8253</v>
      </c>
      <c r="FW64" s="25" t="s">
        <v>8253</v>
      </c>
      <c r="FX64" s="25" t="s">
        <v>8253</v>
      </c>
      <c r="FY64" s="25" t="s">
        <v>8855</v>
      </c>
      <c r="FZ64" s="25" t="s">
        <v>8253</v>
      </c>
      <c r="GA64" s="25" t="s">
        <v>8253</v>
      </c>
      <c r="GB64" s="25" t="s">
        <v>8253</v>
      </c>
      <c r="GC64" s="25" t="s">
        <v>8253</v>
      </c>
      <c r="GE64" s="56">
        <v>10</v>
      </c>
      <c r="GG64" s="56">
        <v>20</v>
      </c>
      <c r="GI64" s="56">
        <v>25</v>
      </c>
      <c r="GK64" s="56">
        <v>50</v>
      </c>
      <c r="GM64" s="56">
        <v>40</v>
      </c>
      <c r="GO64" s="56">
        <v>80</v>
      </c>
      <c r="HG64" s="57">
        <v>0</v>
      </c>
      <c r="HH64" s="57">
        <v>0</v>
      </c>
      <c r="HI64" s="57">
        <v>0</v>
      </c>
      <c r="HM64" s="57">
        <v>0</v>
      </c>
      <c r="IB64" s="26">
        <v>0</v>
      </c>
      <c r="IC64" s="26">
        <v>0</v>
      </c>
      <c r="ID64" s="26">
        <v>0</v>
      </c>
      <c r="IH64" s="26">
        <v>0</v>
      </c>
      <c r="IW64" s="26">
        <v>0</v>
      </c>
      <c r="IX64" s="26">
        <v>0</v>
      </c>
      <c r="IY64" s="26">
        <v>0</v>
      </c>
      <c r="JC64" s="26">
        <v>0</v>
      </c>
      <c r="JR64" s="26">
        <v>0</v>
      </c>
      <c r="JS64" s="26">
        <v>0</v>
      </c>
      <c r="JT64" s="26">
        <v>0</v>
      </c>
      <c r="JX64" s="26">
        <v>0</v>
      </c>
      <c r="KM64" s="25" t="s">
        <v>8352</v>
      </c>
      <c r="KN64" s="25" t="s">
        <v>8298</v>
      </c>
      <c r="KO64" s="25" t="s">
        <v>8321</v>
      </c>
      <c r="KP64" s="25">
        <v>4</v>
      </c>
      <c r="KQ64" s="25" t="s">
        <v>8856</v>
      </c>
      <c r="KR64" s="25" t="s">
        <v>8857</v>
      </c>
      <c r="KS64" s="56">
        <v>3000</v>
      </c>
      <c r="KT64" s="56">
        <v>6000</v>
      </c>
      <c r="KU64" s="56">
        <v>6000</v>
      </c>
      <c r="KV64" s="56">
        <v>12000</v>
      </c>
      <c r="KY64" s="25" t="s">
        <v>8246</v>
      </c>
      <c r="KZ64" s="56">
        <v>1500</v>
      </c>
      <c r="LA64" s="56">
        <v>3000</v>
      </c>
      <c r="LB64" s="56">
        <v>3000</v>
      </c>
      <c r="LC64" s="56">
        <v>6000</v>
      </c>
      <c r="LD64" s="25" t="s">
        <v>8350</v>
      </c>
      <c r="LE64" s="25" t="s">
        <v>8248</v>
      </c>
      <c r="LR64" s="25" t="s">
        <v>8249</v>
      </c>
      <c r="OE64" s="25" t="s">
        <v>25</v>
      </c>
      <c r="OF64" s="25" t="s">
        <v>25</v>
      </c>
      <c r="OH64" s="25" t="s">
        <v>25</v>
      </c>
      <c r="OJ64" s="25" t="s">
        <v>13416</v>
      </c>
      <c r="OK64" s="25" t="s">
        <v>13420</v>
      </c>
      <c r="OS64" s="26">
        <v>0.1</v>
      </c>
      <c r="OT64" s="26">
        <v>0.1</v>
      </c>
      <c r="OU64" s="26">
        <v>0.1</v>
      </c>
      <c r="OV64" s="26">
        <v>0.1</v>
      </c>
      <c r="OW64" s="26">
        <v>0.1</v>
      </c>
      <c r="OX64" s="26">
        <v>0.1</v>
      </c>
      <c r="PG64" s="26">
        <v>0.3</v>
      </c>
      <c r="PH64" s="26">
        <v>0.3</v>
      </c>
      <c r="PI64" s="26">
        <v>0.3</v>
      </c>
      <c r="PJ64" s="26">
        <v>0.1</v>
      </c>
      <c r="PK64" s="26">
        <v>0.3</v>
      </c>
      <c r="PN64" s="25" t="s">
        <v>8250</v>
      </c>
      <c r="PO64" s="25" t="s">
        <v>8250</v>
      </c>
      <c r="PP64" s="25" t="s">
        <v>8250</v>
      </c>
      <c r="PQ64" s="25" t="s">
        <v>8250</v>
      </c>
      <c r="PR64" s="25" t="s">
        <v>8250</v>
      </c>
      <c r="PS64" s="25" t="s">
        <v>8250</v>
      </c>
      <c r="PU64" s="25" t="s">
        <v>25</v>
      </c>
      <c r="PV64" s="25" t="s">
        <v>25</v>
      </c>
      <c r="PW64" s="25" t="s">
        <v>25</v>
      </c>
      <c r="PX64" s="25" t="s">
        <v>25</v>
      </c>
      <c r="PY64" s="25" t="s">
        <v>25</v>
      </c>
      <c r="PZ64" s="25" t="s">
        <v>25</v>
      </c>
      <c r="QB64" s="25" t="s">
        <v>13810</v>
      </c>
      <c r="QC64" s="25" t="s">
        <v>13810</v>
      </c>
      <c r="QD64" s="25" t="s">
        <v>13810</v>
      </c>
      <c r="QE64" s="25" t="s">
        <v>8424</v>
      </c>
      <c r="QF64" s="25" t="s">
        <v>13810</v>
      </c>
      <c r="QG64" s="25" t="s">
        <v>13810</v>
      </c>
      <c r="QH64" s="25" t="s">
        <v>13810</v>
      </c>
      <c r="QI64" s="25" t="s">
        <v>8252</v>
      </c>
      <c r="QJ64" s="25" t="s">
        <v>631</v>
      </c>
      <c r="QK64" s="25" t="s">
        <v>631</v>
      </c>
      <c r="QL64" s="25" t="s">
        <v>8253</v>
      </c>
      <c r="QM64" s="25" t="s">
        <v>8253</v>
      </c>
      <c r="QN64" s="25" t="s">
        <v>8253</v>
      </c>
      <c r="QO64" s="25" t="s">
        <v>8855</v>
      </c>
      <c r="QP64" s="25" t="s">
        <v>8253</v>
      </c>
      <c r="QQ64" s="25" t="s">
        <v>8253</v>
      </c>
      <c r="QR64" s="25" t="s">
        <v>8253</v>
      </c>
      <c r="QS64" s="25" t="s">
        <v>8253</v>
      </c>
      <c r="QU64" s="56">
        <v>10</v>
      </c>
      <c r="QW64" s="56">
        <v>20</v>
      </c>
      <c r="QY64" s="56">
        <v>25</v>
      </c>
      <c r="RA64" s="56">
        <v>50</v>
      </c>
      <c r="RC64" s="56">
        <v>40</v>
      </c>
      <c r="RE64" s="56">
        <v>80</v>
      </c>
      <c r="RW64" s="26">
        <v>0</v>
      </c>
      <c r="RX64" s="26">
        <v>0</v>
      </c>
      <c r="RY64" s="26">
        <v>0</v>
      </c>
      <c r="VC64" s="25" t="s">
        <v>8352</v>
      </c>
      <c r="VD64" s="25" t="s">
        <v>8298</v>
      </c>
      <c r="VE64" s="25" t="s">
        <v>8321</v>
      </c>
      <c r="VF64" s="25">
        <v>2</v>
      </c>
      <c r="VG64" s="25" t="s">
        <v>8624</v>
      </c>
      <c r="VH64" s="25" t="s">
        <v>8858</v>
      </c>
      <c r="VI64" s="56">
        <v>2200</v>
      </c>
      <c r="VJ64" s="56">
        <v>4400</v>
      </c>
      <c r="VO64" s="25" t="s">
        <v>13592</v>
      </c>
      <c r="VP64" s="56">
        <v>200</v>
      </c>
      <c r="VQ64" s="56">
        <v>400</v>
      </c>
      <c r="VT64" s="25" t="s">
        <v>8248</v>
      </c>
      <c r="WG64" s="25" t="s">
        <v>8249</v>
      </c>
      <c r="YT64" s="25" t="s">
        <v>25</v>
      </c>
      <c r="YU64" s="25" t="s">
        <v>25</v>
      </c>
      <c r="YW64" s="25" t="s">
        <v>25</v>
      </c>
      <c r="YY64" s="25" t="s">
        <v>13417</v>
      </c>
      <c r="ZA64" s="56">
        <v>15</v>
      </c>
      <c r="ZB64" s="56">
        <v>15</v>
      </c>
      <c r="ZC64" s="56">
        <v>15</v>
      </c>
      <c r="ZD64" s="56">
        <v>75</v>
      </c>
      <c r="ZE64" s="56">
        <v>50</v>
      </c>
      <c r="ZF64" s="56">
        <v>15</v>
      </c>
      <c r="AAC64" s="25" t="s">
        <v>8250</v>
      </c>
      <c r="AAD64" s="25" t="s">
        <v>8250</v>
      </c>
      <c r="AAE64" s="25" t="s">
        <v>8250</v>
      </c>
      <c r="AAF64" s="25" t="s">
        <v>8250</v>
      </c>
      <c r="AAG64" s="25" t="s">
        <v>8250</v>
      </c>
      <c r="AAH64" s="25" t="s">
        <v>8250</v>
      </c>
      <c r="AAI64" s="25" t="s">
        <v>8250</v>
      </c>
      <c r="AAJ64" s="25" t="s">
        <v>25</v>
      </c>
      <c r="AAK64" s="25" t="s">
        <v>25</v>
      </c>
      <c r="AAL64" s="25" t="s">
        <v>25</v>
      </c>
      <c r="AAM64" s="25" t="s">
        <v>25</v>
      </c>
      <c r="AAN64" s="25" t="s">
        <v>25</v>
      </c>
      <c r="AAO64" s="25" t="s">
        <v>25</v>
      </c>
      <c r="AAP64" s="25" t="s">
        <v>25</v>
      </c>
      <c r="AAQ64" s="25" t="s">
        <v>13810</v>
      </c>
      <c r="AAR64" s="25" t="s">
        <v>13810</v>
      </c>
      <c r="AAS64" s="25" t="s">
        <v>13810</v>
      </c>
      <c r="AAT64" s="25" t="s">
        <v>8424</v>
      </c>
      <c r="AAU64" s="25" t="s">
        <v>13810</v>
      </c>
      <c r="AAV64" s="25" t="s">
        <v>13810</v>
      </c>
      <c r="AAW64" s="25" t="s">
        <v>8252</v>
      </c>
      <c r="AAX64" s="25" t="s">
        <v>8252</v>
      </c>
      <c r="AAY64" s="25" t="s">
        <v>631</v>
      </c>
      <c r="AAZ64" s="25" t="s">
        <v>631</v>
      </c>
      <c r="ABA64" s="25" t="s">
        <v>8253</v>
      </c>
      <c r="ABB64" s="25" t="s">
        <v>8253</v>
      </c>
      <c r="ABC64" s="25" t="s">
        <v>8253</v>
      </c>
      <c r="ABD64" s="25" t="s">
        <v>8855</v>
      </c>
      <c r="ABE64" s="25" t="s">
        <v>8253</v>
      </c>
      <c r="ABF64" s="25" t="s">
        <v>8253</v>
      </c>
      <c r="ABG64" s="25" t="s">
        <v>8253</v>
      </c>
      <c r="ABH64" s="25" t="s">
        <v>8253</v>
      </c>
      <c r="ABJ64" s="56">
        <v>10</v>
      </c>
      <c r="ABL64" s="56">
        <v>20</v>
      </c>
      <c r="ABN64" s="56">
        <v>25</v>
      </c>
      <c r="ABP64" s="56">
        <v>50</v>
      </c>
      <c r="ABR64" s="56">
        <v>40</v>
      </c>
      <c r="ABT64" s="56">
        <v>80</v>
      </c>
      <c r="AFR64" s="25" t="s">
        <v>8352</v>
      </c>
      <c r="AFS64" s="25" t="s">
        <v>8298</v>
      </c>
      <c r="AFT64" s="25" t="s">
        <v>8321</v>
      </c>
      <c r="AFU64" s="25">
        <v>0</v>
      </c>
      <c r="AFX64" s="25"/>
      <c r="AFY64" s="25"/>
      <c r="AFZ64" s="25"/>
      <c r="AGA64" s="25"/>
      <c r="AGB64" s="25"/>
      <c r="AGC64" s="25"/>
      <c r="AGE64" s="25"/>
      <c r="AGF64" s="25"/>
      <c r="AGG64" s="25"/>
      <c r="AGH64" s="25"/>
      <c r="AJP64" s="25"/>
      <c r="AJQ64" s="25"/>
      <c r="AJR64" s="25"/>
      <c r="AJS64" s="25"/>
      <c r="AJT64" s="25"/>
      <c r="AJU64" s="25"/>
      <c r="AJV64" s="25"/>
      <c r="AKD64" s="25"/>
      <c r="AKE64" s="25"/>
      <c r="AKF64" s="25"/>
      <c r="AKG64" s="25"/>
      <c r="AKH64" s="25"/>
      <c r="AKI64" s="25"/>
      <c r="AKJ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H64" s="25"/>
      <c r="ANI64" s="25"/>
      <c r="ANJ64" s="25"/>
      <c r="ANK64" s="25"/>
      <c r="ANL64" s="25"/>
      <c r="ANM64" s="25"/>
      <c r="ANN64" s="25"/>
      <c r="ANO64" s="25"/>
      <c r="ANP64" s="25"/>
      <c r="ANQ64" s="25"/>
      <c r="ANR64" s="25"/>
      <c r="ANS64" s="25"/>
      <c r="ANT64" s="25"/>
      <c r="ANU64" s="25"/>
      <c r="AOC64" s="25"/>
      <c r="AOD64" s="25"/>
      <c r="AOE64" s="25"/>
      <c r="AOF64" s="25"/>
      <c r="AOG64" s="25"/>
      <c r="AOH64" s="25"/>
      <c r="AOI64" s="25"/>
      <c r="AOJ64" s="25"/>
      <c r="AOK64" s="25"/>
      <c r="AOL64" s="25"/>
      <c r="AOM64" s="25"/>
      <c r="AON64" s="25"/>
      <c r="AOO64" s="25"/>
      <c r="AOP64" s="25"/>
      <c r="AOX64" s="25"/>
      <c r="AOY64" s="25"/>
      <c r="AOZ64" s="25"/>
      <c r="APA64" s="25"/>
      <c r="APB64" s="25"/>
      <c r="APC64" s="25"/>
      <c r="APD64" s="25"/>
      <c r="APE64" s="25"/>
      <c r="APF64" s="25"/>
      <c r="APG64" s="25"/>
      <c r="APH64" s="25"/>
      <c r="API64" s="25"/>
      <c r="APJ64" s="25"/>
      <c r="APK64" s="25"/>
      <c r="APS64" s="25"/>
      <c r="APT64" s="25"/>
      <c r="APU64" s="25"/>
      <c r="APV64" s="25"/>
      <c r="APW64" s="25"/>
      <c r="APX64" s="25"/>
      <c r="APY64" s="25"/>
      <c r="APZ64" s="25"/>
      <c r="AQA64" s="25"/>
      <c r="AQB64" s="25"/>
      <c r="AQC64" s="25"/>
      <c r="AQD64" s="25"/>
      <c r="AQE64" s="25"/>
      <c r="AQF64" s="25"/>
      <c r="AQJ64" s="25">
        <v>5</v>
      </c>
      <c r="AQK64" s="25" t="s">
        <v>8460</v>
      </c>
      <c r="AQL64" s="25" t="s">
        <v>8859</v>
      </c>
      <c r="AQM64" s="56">
        <v>1500</v>
      </c>
      <c r="AQN64" s="56">
        <v>3000</v>
      </c>
      <c r="AQS64" s="25" t="s">
        <v>13598</v>
      </c>
      <c r="AQT64" s="56">
        <v>0</v>
      </c>
      <c r="AQU64" s="56">
        <v>0</v>
      </c>
      <c r="AQX64" s="25" t="s">
        <v>8248</v>
      </c>
      <c r="ARK64" s="25" t="s">
        <v>8249</v>
      </c>
      <c r="ATX64" s="25" t="s">
        <v>25</v>
      </c>
      <c r="ATY64" s="25" t="s">
        <v>25</v>
      </c>
      <c r="AUA64" s="25" t="s">
        <v>25</v>
      </c>
      <c r="AUC64" s="25" t="s">
        <v>13433</v>
      </c>
      <c r="AUE64" s="56">
        <v>15</v>
      </c>
      <c r="AUF64" s="56">
        <v>15</v>
      </c>
      <c r="AUG64" s="56">
        <v>15</v>
      </c>
      <c r="AVU64" s="25" t="s">
        <v>13810</v>
      </c>
      <c r="AVV64" s="25" t="s">
        <v>13810</v>
      </c>
      <c r="AVW64" s="25" t="s">
        <v>13810</v>
      </c>
      <c r="AVX64" s="25" t="s">
        <v>8252</v>
      </c>
      <c r="AVY64" s="25" t="s">
        <v>8252</v>
      </c>
      <c r="AVZ64" s="25" t="s">
        <v>8252</v>
      </c>
      <c r="AWA64" s="25" t="s">
        <v>8252</v>
      </c>
      <c r="AWB64" s="25" t="s">
        <v>8252</v>
      </c>
      <c r="AWC64" s="25" t="s">
        <v>631</v>
      </c>
      <c r="AWD64" s="25" t="s">
        <v>631</v>
      </c>
      <c r="AWE64" s="25" t="s">
        <v>8253</v>
      </c>
      <c r="AWF64" s="25" t="s">
        <v>8253</v>
      </c>
      <c r="AWG64" s="25" t="s">
        <v>8253</v>
      </c>
      <c r="AWH64" s="25" t="s">
        <v>8380</v>
      </c>
      <c r="AWI64" s="25" t="s">
        <v>8253</v>
      </c>
      <c r="AWJ64" s="25" t="s">
        <v>8253</v>
      </c>
      <c r="AWK64" s="25" t="s">
        <v>8253</v>
      </c>
      <c r="AWL64" s="25" t="s">
        <v>8253</v>
      </c>
      <c r="AWN64" s="56">
        <v>10</v>
      </c>
      <c r="AWP64" s="56">
        <v>10</v>
      </c>
      <c r="AWR64" s="56">
        <v>25</v>
      </c>
      <c r="AWT64" s="56">
        <v>25</v>
      </c>
      <c r="AWV64" s="56">
        <v>25</v>
      </c>
      <c r="AWX64" s="56">
        <v>25</v>
      </c>
      <c r="BAV64" s="25" t="s">
        <v>8255</v>
      </c>
      <c r="BAW64" s="25" t="s">
        <v>8256</v>
      </c>
      <c r="BAX64" s="25" t="s">
        <v>8321</v>
      </c>
      <c r="BAY64" s="25">
        <v>0</v>
      </c>
      <c r="BBB64" s="25"/>
      <c r="BBC64" s="25"/>
      <c r="BBD64" s="25"/>
      <c r="BBE64" s="25"/>
      <c r="BBF64" s="25"/>
      <c r="BBG64" s="25"/>
      <c r="BBI64" s="25"/>
      <c r="BBJ64" s="25"/>
      <c r="BBK64" s="25"/>
      <c r="BBL64" s="25"/>
      <c r="BET64" s="25"/>
      <c r="BEU64" s="25"/>
      <c r="BEV64" s="25"/>
      <c r="BEW64" s="25"/>
      <c r="BEX64" s="25"/>
      <c r="BEY64" s="25"/>
      <c r="BEZ64" s="25"/>
      <c r="BFH64" s="25"/>
      <c r="BFI64" s="25"/>
      <c r="BFJ64" s="25"/>
      <c r="BFK64" s="25"/>
      <c r="BFL64" s="25"/>
      <c r="BFM64" s="25"/>
      <c r="BFN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L64" s="25"/>
      <c r="BIM64" s="25"/>
      <c r="BIN64" s="25"/>
      <c r="BIO64" s="25"/>
      <c r="BIP64" s="25"/>
      <c r="BIQ64" s="25"/>
      <c r="BIR64" s="25"/>
      <c r="BIS64" s="25"/>
      <c r="BIT64" s="25"/>
      <c r="BIU64" s="25"/>
      <c r="BIV64" s="25"/>
      <c r="BIW64" s="25"/>
      <c r="BIX64" s="25"/>
      <c r="BIY64" s="25"/>
      <c r="BJG64" s="25"/>
      <c r="BJH64" s="25"/>
      <c r="BJI64" s="25"/>
      <c r="BJJ64" s="25"/>
      <c r="BJK64" s="25"/>
      <c r="BJL64" s="25"/>
      <c r="BJM64" s="25"/>
      <c r="BJN64" s="25"/>
      <c r="BJO64" s="25"/>
      <c r="BJP64" s="25"/>
      <c r="BJQ64" s="25"/>
      <c r="BJR64" s="25"/>
      <c r="BJS64" s="25"/>
      <c r="BJT64" s="25"/>
      <c r="BKB64" s="25"/>
      <c r="BKC64" s="25"/>
      <c r="BKD64" s="25"/>
      <c r="BKE64" s="25"/>
      <c r="BKF64" s="25"/>
      <c r="BKG64" s="25"/>
      <c r="BKH64" s="25"/>
      <c r="BKI64" s="25"/>
      <c r="BKJ64" s="25"/>
      <c r="BKK64" s="25"/>
      <c r="BKL64" s="25"/>
      <c r="BKM64" s="25"/>
      <c r="BKN64" s="25"/>
      <c r="BKO64" s="25"/>
      <c r="BKW64" s="25"/>
      <c r="BKX64" s="25"/>
      <c r="BKY64" s="25"/>
      <c r="BKZ64" s="25"/>
      <c r="BLA64" s="25"/>
      <c r="BLB64" s="25"/>
      <c r="BLC64" s="25"/>
      <c r="BLD64" s="25"/>
      <c r="BLE64" s="25"/>
      <c r="BLF64" s="25"/>
      <c r="BLG64" s="25"/>
      <c r="BLH64" s="25"/>
      <c r="BLI64" s="25"/>
      <c r="BLJ64" s="25"/>
      <c r="BLN64" s="25">
        <v>1</v>
      </c>
      <c r="BLO64" s="25" t="s">
        <v>8860</v>
      </c>
      <c r="BLQ64" s="56">
        <v>2500</v>
      </c>
      <c r="BLR64" s="56">
        <v>4500</v>
      </c>
      <c r="BLW64" s="25" t="s">
        <v>13596</v>
      </c>
      <c r="BLX64" s="56">
        <v>500</v>
      </c>
      <c r="BLY64" s="56">
        <v>1500</v>
      </c>
      <c r="BMB64" s="25" t="s">
        <v>8248</v>
      </c>
      <c r="BMO64" s="25" t="s">
        <v>8249</v>
      </c>
      <c r="BPB64" s="25" t="s">
        <v>25</v>
      </c>
      <c r="BPC64" s="25" t="s">
        <v>28</v>
      </c>
      <c r="BPD64" s="25" t="s">
        <v>28</v>
      </c>
      <c r="BPE64" s="25" t="s">
        <v>25</v>
      </c>
      <c r="BPG64" s="25" t="s">
        <v>13420</v>
      </c>
      <c r="BPH64" s="25" t="s">
        <v>13420</v>
      </c>
      <c r="BPP64" s="26">
        <v>0.1</v>
      </c>
      <c r="BPQ64" s="26">
        <v>0.1</v>
      </c>
      <c r="BPR64" s="26">
        <v>0.1</v>
      </c>
      <c r="BPS64" s="26">
        <v>0.1</v>
      </c>
      <c r="BPT64" s="26">
        <v>0.1</v>
      </c>
      <c r="BQD64" s="26">
        <v>0.1</v>
      </c>
      <c r="BQE64" s="26">
        <v>0.1</v>
      </c>
      <c r="BQF64" s="26">
        <v>0.1</v>
      </c>
      <c r="BQG64" s="26">
        <v>0.1</v>
      </c>
      <c r="BQH64" s="26">
        <v>0.1</v>
      </c>
      <c r="BQK64" s="25" t="s">
        <v>8250</v>
      </c>
      <c r="BQL64" s="25" t="s">
        <v>8250</v>
      </c>
      <c r="BQM64" s="25" t="s">
        <v>8250</v>
      </c>
      <c r="BQN64" s="25" t="s">
        <v>8250</v>
      </c>
      <c r="BQO64" s="25" t="s">
        <v>8250</v>
      </c>
      <c r="BQR64" s="25" t="s">
        <v>25</v>
      </c>
      <c r="BQS64" s="25" t="s">
        <v>25</v>
      </c>
      <c r="BQT64" s="25" t="s">
        <v>25</v>
      </c>
      <c r="BQU64" s="25" t="s">
        <v>25</v>
      </c>
      <c r="BQV64" s="25" t="s">
        <v>25</v>
      </c>
      <c r="BQY64" s="25" t="s">
        <v>13810</v>
      </c>
      <c r="BQZ64" s="25" t="s">
        <v>13810</v>
      </c>
      <c r="BRA64" s="25" t="s">
        <v>13810</v>
      </c>
      <c r="BRB64" s="25" t="s">
        <v>8424</v>
      </c>
      <c r="BRC64" s="25" t="s">
        <v>13810</v>
      </c>
      <c r="BRD64" s="25" t="s">
        <v>13810</v>
      </c>
      <c r="BRE64" s="25" t="s">
        <v>13810</v>
      </c>
      <c r="BRF64" s="25" t="s">
        <v>8252</v>
      </c>
      <c r="BRG64" s="25" t="s">
        <v>631</v>
      </c>
      <c r="BRH64" s="25" t="s">
        <v>631</v>
      </c>
      <c r="BRI64" s="25" t="s">
        <v>8253</v>
      </c>
      <c r="BRJ64" s="25" t="s">
        <v>8253</v>
      </c>
      <c r="BRK64" s="25" t="s">
        <v>8253</v>
      </c>
      <c r="BRL64" s="25" t="s">
        <v>8855</v>
      </c>
      <c r="BRM64" s="25" t="s">
        <v>8253</v>
      </c>
      <c r="BRN64" s="25" t="s">
        <v>8253</v>
      </c>
      <c r="BRO64" s="25" t="s">
        <v>8253</v>
      </c>
      <c r="BRP64" s="25" t="s">
        <v>8253</v>
      </c>
      <c r="BRR64" s="56">
        <v>10</v>
      </c>
      <c r="BRT64" s="56">
        <v>20</v>
      </c>
      <c r="BRV64" s="56">
        <v>25</v>
      </c>
      <c r="BRX64" s="56">
        <v>50</v>
      </c>
      <c r="BRZ64" s="56">
        <v>40</v>
      </c>
      <c r="BSB64" s="56">
        <v>80</v>
      </c>
      <c r="BVZ64" s="25" t="s">
        <v>8352</v>
      </c>
      <c r="BWA64" s="25" t="s">
        <v>8298</v>
      </c>
      <c r="BWB64" s="25" t="s">
        <v>8321</v>
      </c>
      <c r="BWC64" s="25" t="s">
        <v>28</v>
      </c>
      <c r="BWD64" s="25" t="s">
        <v>8265</v>
      </c>
      <c r="BWE64" s="25" t="s">
        <v>8266</v>
      </c>
      <c r="BWF64" s="25" t="s">
        <v>13712</v>
      </c>
      <c r="BWG64" s="25" t="s">
        <v>25</v>
      </c>
      <c r="BWH64" s="25" t="s">
        <v>2169</v>
      </c>
      <c r="BWI64" s="25" t="s">
        <v>28</v>
      </c>
      <c r="BWJ64" s="25" t="s">
        <v>8496</v>
      </c>
      <c r="BWK64" s="25" t="s">
        <v>25</v>
      </c>
      <c r="BWM64" s="25" t="s">
        <v>28</v>
      </c>
      <c r="BWN64" s="56">
        <v>5000</v>
      </c>
      <c r="BWO64" s="25" t="s">
        <v>25</v>
      </c>
      <c r="BWQ64" s="25" t="s">
        <v>28</v>
      </c>
      <c r="BWR64" s="25" t="s">
        <v>25</v>
      </c>
      <c r="BWT64" s="25" t="s">
        <v>25</v>
      </c>
      <c r="BWV64" s="25" t="s">
        <v>25</v>
      </c>
      <c r="BWX64" s="25" t="s">
        <v>28</v>
      </c>
      <c r="BWY64" s="25" t="s">
        <v>8566</v>
      </c>
      <c r="BWZ64" s="25" t="s">
        <v>28</v>
      </c>
      <c r="BXA64" s="56">
        <v>25</v>
      </c>
      <c r="BXB64" s="25" t="s">
        <v>25</v>
      </c>
      <c r="BXD64" s="25" t="s">
        <v>28</v>
      </c>
      <c r="BXE64" s="25" t="s">
        <v>8566</v>
      </c>
      <c r="BXF64" s="25" t="s">
        <v>28</v>
      </c>
      <c r="BXG64" s="56">
        <v>25</v>
      </c>
      <c r="BXH64" s="25" t="s">
        <v>25</v>
      </c>
      <c r="BXJ64" s="25" t="s">
        <v>28</v>
      </c>
      <c r="BXK64" s="25" t="s">
        <v>8360</v>
      </c>
      <c r="BXL64" s="25" t="s">
        <v>13821</v>
      </c>
      <c r="BXM64" s="25" t="s">
        <v>28</v>
      </c>
      <c r="BXN64" s="25" t="s">
        <v>8272</v>
      </c>
      <c r="BXO64" s="25" t="s">
        <v>8274</v>
      </c>
      <c r="BXP64" s="25" t="s">
        <v>8361</v>
      </c>
      <c r="BXQ64" s="25" t="s">
        <v>8274</v>
      </c>
      <c r="BXR64" s="25" t="s">
        <v>8361</v>
      </c>
      <c r="BXS64" s="25" t="s">
        <v>8361</v>
      </c>
      <c r="BXT64" s="25" t="s">
        <v>8792</v>
      </c>
      <c r="BXU64" s="25" t="s">
        <v>25</v>
      </c>
      <c r="BXW64" s="25" t="s">
        <v>25</v>
      </c>
      <c r="BXX64" s="25" t="s">
        <v>25</v>
      </c>
      <c r="BXY64" s="25" t="s">
        <v>28</v>
      </c>
      <c r="BXZ64" s="25" t="s">
        <v>25</v>
      </c>
      <c r="BYA64" s="25" t="s">
        <v>25</v>
      </c>
      <c r="BYB64" s="25" t="s">
        <v>28</v>
      </c>
      <c r="BYC64" s="25" t="s">
        <v>2201</v>
      </c>
      <c r="BYD64" s="25" t="s">
        <v>28</v>
      </c>
      <c r="BYE64" s="25" t="s">
        <v>13621</v>
      </c>
      <c r="BYF64" s="25" t="s">
        <v>8437</v>
      </c>
      <c r="BYH64" s="25" t="s">
        <v>8515</v>
      </c>
      <c r="BYK64" s="25" t="s">
        <v>28</v>
      </c>
      <c r="BYL64" s="25" t="s">
        <v>28</v>
      </c>
      <c r="BYM64" s="25">
        <v>60</v>
      </c>
      <c r="BYN64" s="25" t="s">
        <v>28</v>
      </c>
      <c r="BYO64" s="25">
        <v>0</v>
      </c>
      <c r="BYP64" s="25" t="s">
        <v>25</v>
      </c>
      <c r="BYR64" s="25" t="s">
        <v>28</v>
      </c>
      <c r="BYS64" s="25" t="s">
        <v>8279</v>
      </c>
      <c r="BYT64" s="25" t="s">
        <v>8279</v>
      </c>
      <c r="BYU64" s="25" t="s">
        <v>732</v>
      </c>
      <c r="BYV64" s="25" t="s">
        <v>25</v>
      </c>
      <c r="BYW64" s="25" t="s">
        <v>28</v>
      </c>
      <c r="BYX64" s="56">
        <v>1000</v>
      </c>
      <c r="BYY64" s="56">
        <v>2000</v>
      </c>
      <c r="BYZ64" s="25" t="s">
        <v>8408</v>
      </c>
      <c r="BZA64" s="25" t="s">
        <v>13830</v>
      </c>
      <c r="BZB64" s="25" t="s">
        <v>256</v>
      </c>
      <c r="BZC64" s="25" t="s">
        <v>8282</v>
      </c>
      <c r="BZD64" s="25" t="s">
        <v>28</v>
      </c>
      <c r="BZE64" s="25" t="s">
        <v>28</v>
      </c>
      <c r="BZF64" s="25" t="s">
        <v>28</v>
      </c>
      <c r="BZG64" s="25" t="s">
        <v>25</v>
      </c>
      <c r="BZJ64" s="25" t="s">
        <v>25</v>
      </c>
      <c r="BZM64" s="25" t="s">
        <v>28</v>
      </c>
      <c r="BZN64" s="25" t="s">
        <v>8283</v>
      </c>
      <c r="BZP64" s="25" t="s">
        <v>8366</v>
      </c>
      <c r="BZR64" s="25" t="s">
        <v>28</v>
      </c>
      <c r="BZS64" s="25" t="s">
        <v>25</v>
      </c>
      <c r="BZT64" s="25" t="s">
        <v>8337</v>
      </c>
      <c r="BZV64" s="25" t="s">
        <v>13653</v>
      </c>
      <c r="BZX64" s="25" t="s">
        <v>8548</v>
      </c>
      <c r="BZZ64" s="25" t="s">
        <v>25</v>
      </c>
      <c r="CAC64" s="25" t="s">
        <v>28</v>
      </c>
      <c r="CAD64" s="25" t="s">
        <v>8288</v>
      </c>
      <c r="CAE64" s="25" t="s">
        <v>28</v>
      </c>
      <c r="CAF64" s="25" t="s">
        <v>8289</v>
      </c>
      <c r="CAG64" s="25" t="s">
        <v>25</v>
      </c>
      <c r="CAH64" s="25" t="s">
        <v>631</v>
      </c>
      <c r="CAI64" s="25" t="s">
        <v>631</v>
      </c>
      <c r="CAJ64" s="25" t="s">
        <v>631</v>
      </c>
      <c r="CAK64" s="25" t="s">
        <v>631</v>
      </c>
      <c r="CAL64" s="25" t="s">
        <v>8290</v>
      </c>
      <c r="CAM64" s="25" t="s">
        <v>8290</v>
      </c>
      <c r="CAN64" s="25" t="s">
        <v>631</v>
      </c>
      <c r="CAO64" s="25" t="s">
        <v>631</v>
      </c>
      <c r="CAP64" s="25" t="s">
        <v>8290</v>
      </c>
      <c r="CAQ64" s="25" t="s">
        <v>631</v>
      </c>
      <c r="CAR64" s="25" t="s">
        <v>8518</v>
      </c>
      <c r="CAS64" s="25" t="s">
        <v>4991</v>
      </c>
      <c r="CAT64" s="25" t="s">
        <v>25</v>
      </c>
      <c r="CBB64" s="25">
        <v>2</v>
      </c>
      <c r="CBC64" s="25">
        <v>0</v>
      </c>
      <c r="CBD64" s="25">
        <v>0</v>
      </c>
      <c r="CBE64" s="56">
        <v>50</v>
      </c>
      <c r="CBF64" s="56">
        <v>150</v>
      </c>
      <c r="CBG64" s="56">
        <v>50</v>
      </c>
      <c r="CBH64" s="56">
        <v>150</v>
      </c>
      <c r="CBI64" s="56">
        <v>2500</v>
      </c>
      <c r="CBK64" s="56">
        <v>2500</v>
      </c>
      <c r="CBU64" s="27" t="s">
        <v>28</v>
      </c>
      <c r="CBV64" s="27" t="s">
        <v>8573</v>
      </c>
      <c r="CBW64" s="27" t="s">
        <v>8294</v>
      </c>
      <c r="CBX64" s="27" t="s">
        <v>8295</v>
      </c>
      <c r="CBY64" s="27" t="s">
        <v>8296</v>
      </c>
      <c r="CBZ64" s="27" t="s">
        <v>8296</v>
      </c>
      <c r="CCA64" s="27" t="s">
        <v>8297</v>
      </c>
      <c r="CCB64" s="27" t="s">
        <v>8298</v>
      </c>
      <c r="CCC64" s="27" t="s">
        <v>8296</v>
      </c>
      <c r="CCD64" s="27" t="s">
        <v>8297</v>
      </c>
      <c r="CCE64" s="27" t="s">
        <v>8297</v>
      </c>
      <c r="CCF64" s="27" t="s">
        <v>8297</v>
      </c>
      <c r="CCG64" s="27" t="s">
        <v>8297</v>
      </c>
      <c r="CCH64" s="27" t="s">
        <v>8296</v>
      </c>
      <c r="CCI64" s="27" t="s">
        <v>8298</v>
      </c>
      <c r="CCJ64" s="27" t="s">
        <v>8298</v>
      </c>
      <c r="CCK64" s="27" t="s">
        <v>8297</v>
      </c>
      <c r="CCL64" s="27" t="s">
        <v>8297</v>
      </c>
      <c r="CCM64" s="27" t="s">
        <v>8297</v>
      </c>
      <c r="CCN64" s="27" t="s">
        <v>8297</v>
      </c>
      <c r="CCO64" s="27" t="s">
        <v>8300</v>
      </c>
      <c r="CCP64" s="27" t="s">
        <v>8298</v>
      </c>
      <c r="CCQ64" s="27" t="s">
        <v>8297</v>
      </c>
      <c r="CCR64" s="27" t="s">
        <v>8297</v>
      </c>
      <c r="CCS64" s="27" t="s">
        <v>8298</v>
      </c>
      <c r="CCT64" s="27" t="s">
        <v>8296</v>
      </c>
      <c r="CCU64" s="27" t="s">
        <v>8298</v>
      </c>
      <c r="CCV64" s="27" t="s">
        <v>8298</v>
      </c>
      <c r="CCW64" s="27" t="s">
        <v>8298</v>
      </c>
      <c r="CCX64" s="27" t="s">
        <v>8298</v>
      </c>
      <c r="CCZ64" s="27" t="s">
        <v>28</v>
      </c>
      <c r="CDA64" s="27" t="s">
        <v>28</v>
      </c>
      <c r="CDB64" s="27" t="s">
        <v>28</v>
      </c>
      <c r="CDC64" s="27" t="s">
        <v>25</v>
      </c>
      <c r="CDD64" s="27" t="s">
        <v>28</v>
      </c>
      <c r="CDE64" s="27" t="s">
        <v>28</v>
      </c>
      <c r="CDF64" s="27" t="s">
        <v>28</v>
      </c>
      <c r="CDG64" s="27" t="s">
        <v>28</v>
      </c>
      <c r="CDH64" s="27" t="s">
        <v>28</v>
      </c>
      <c r="CDI64" s="27" t="s">
        <v>28</v>
      </c>
      <c r="CDJ64" s="27" t="s">
        <v>25</v>
      </c>
      <c r="CDK64" s="27" t="s">
        <v>25</v>
      </c>
      <c r="CDL64" s="27" t="s">
        <v>28</v>
      </c>
      <c r="CDM64" s="27" t="s">
        <v>28</v>
      </c>
      <c r="CDN64" s="27" t="s">
        <v>28</v>
      </c>
      <c r="CDO64" s="27" t="s">
        <v>28</v>
      </c>
      <c r="CDP64" s="27" t="s">
        <v>25</v>
      </c>
      <c r="CDQ64" s="27" t="s">
        <v>25</v>
      </c>
      <c r="CDR64" s="27" t="s">
        <v>28</v>
      </c>
      <c r="CDS64" s="27" t="s">
        <v>28</v>
      </c>
      <c r="CDT64" s="27" t="s">
        <v>25</v>
      </c>
      <c r="CDU64" s="27" t="s">
        <v>28</v>
      </c>
      <c r="CDV64" s="27" t="s">
        <v>25</v>
      </c>
      <c r="CDW64" s="27" t="s">
        <v>25</v>
      </c>
      <c r="CDX64" s="27" t="s">
        <v>25</v>
      </c>
      <c r="CDY64" s="27" t="s">
        <v>25</v>
      </c>
      <c r="CEA64" s="27" t="s">
        <v>2673</v>
      </c>
      <c r="CEB64" s="27" t="s">
        <v>2673</v>
      </c>
      <c r="CEC64" s="27" t="s">
        <v>29</v>
      </c>
      <c r="CED64" s="27" t="s">
        <v>8302</v>
      </c>
      <c r="CEE64" s="27" t="s">
        <v>2673</v>
      </c>
      <c r="CEF64" s="27" t="s">
        <v>8301</v>
      </c>
      <c r="CEG64" s="27" t="s">
        <v>2673</v>
      </c>
      <c r="CEH64" s="27" t="s">
        <v>8305</v>
      </c>
      <c r="CEI64" s="27" t="s">
        <v>29</v>
      </c>
      <c r="CEJ64" s="27" t="s">
        <v>2673</v>
      </c>
      <c r="CEK64" s="27" t="s">
        <v>8302</v>
      </c>
      <c r="CEL64" s="27" t="s">
        <v>8302</v>
      </c>
      <c r="CEM64" s="27" t="s">
        <v>8301</v>
      </c>
      <c r="CEN64" s="27" t="s">
        <v>29</v>
      </c>
      <c r="CEO64" s="27" t="s">
        <v>2673</v>
      </c>
      <c r="CEP64" s="27" t="s">
        <v>2673</v>
      </c>
      <c r="CEQ64" s="27" t="s">
        <v>8304</v>
      </c>
      <c r="CER64" s="27" t="s">
        <v>8305</v>
      </c>
      <c r="CES64" s="27" t="s">
        <v>2673</v>
      </c>
      <c r="CET64" s="27" t="s">
        <v>2673</v>
      </c>
      <c r="CEU64" s="27" t="s">
        <v>8304</v>
      </c>
      <c r="CEV64" s="27" t="s">
        <v>2673</v>
      </c>
      <c r="CEW64" s="27" t="s">
        <v>29</v>
      </c>
      <c r="CEX64" s="27" t="s">
        <v>8302</v>
      </c>
      <c r="CEY64" s="27" t="s">
        <v>8302</v>
      </c>
      <c r="CEZ64" s="27" t="s">
        <v>8301</v>
      </c>
      <c r="CFB64" s="27" t="s">
        <v>25</v>
      </c>
      <c r="CFC64" s="27" t="s">
        <v>25</v>
      </c>
      <c r="CFD64" s="27" t="s">
        <v>25</v>
      </c>
      <c r="CFE64" s="27" t="s">
        <v>25</v>
      </c>
      <c r="CFF64" s="27" t="s">
        <v>25</v>
      </c>
      <c r="CFG64" s="27" t="s">
        <v>28</v>
      </c>
      <c r="CFH64" s="27" t="s">
        <v>25</v>
      </c>
      <c r="CFI64" s="27" t="s">
        <v>25</v>
      </c>
      <c r="CFJ64" s="27" t="s">
        <v>25</v>
      </c>
      <c r="CFK64" s="27" t="s">
        <v>25</v>
      </c>
      <c r="CFL64" s="27" t="s">
        <v>25</v>
      </c>
      <c r="CFM64" s="27" t="s">
        <v>28</v>
      </c>
      <c r="CFN64" s="27" t="s">
        <v>28</v>
      </c>
      <c r="CFO64" s="27" t="s">
        <v>25</v>
      </c>
      <c r="CFP64" s="27" t="s">
        <v>25</v>
      </c>
      <c r="CFQ64" s="27" t="s">
        <v>25</v>
      </c>
      <c r="CFR64" s="27" t="s">
        <v>25</v>
      </c>
      <c r="CFS64" s="27" t="s">
        <v>25</v>
      </c>
      <c r="CFT64" s="27" t="s">
        <v>25</v>
      </c>
      <c r="CFU64" s="27" t="s">
        <v>25</v>
      </c>
      <c r="CFV64" s="27" t="s">
        <v>28</v>
      </c>
      <c r="CFW64" s="27" t="s">
        <v>25</v>
      </c>
      <c r="CFX64" s="27" t="s">
        <v>28</v>
      </c>
      <c r="CFY64" s="27" t="s">
        <v>25</v>
      </c>
      <c r="CFZ64" s="27" t="s">
        <v>28</v>
      </c>
      <c r="CGA64" s="27" t="s">
        <v>28</v>
      </c>
      <c r="CPW64" s="27">
        <v>2</v>
      </c>
      <c r="CPX64" s="56">
        <v>10</v>
      </c>
      <c r="CQB64" s="25" t="s">
        <v>8307</v>
      </c>
      <c r="CQC64" s="25" t="s">
        <v>8307</v>
      </c>
      <c r="CQD64" s="25" t="s">
        <v>8307</v>
      </c>
      <c r="CQE64" s="25" t="s">
        <v>8307</v>
      </c>
      <c r="CQF64" s="25" t="s">
        <v>8307</v>
      </c>
      <c r="CQH64" s="56">
        <v>130</v>
      </c>
      <c r="CQI64" s="56">
        <v>130</v>
      </c>
      <c r="CQJ64" s="56">
        <v>130</v>
      </c>
      <c r="CQK64" s="56">
        <v>210</v>
      </c>
      <c r="CQL64" s="25" t="s">
        <v>13692</v>
      </c>
      <c r="CQM64" s="25" t="s">
        <v>8397</v>
      </c>
      <c r="CQN64" s="25" t="s">
        <v>28</v>
      </c>
      <c r="CQO64" s="25" t="s">
        <v>8574</v>
      </c>
      <c r="CQP64" s="56">
        <v>1000</v>
      </c>
      <c r="CQQ64" s="25" t="s">
        <v>4032</v>
      </c>
      <c r="CQR64" s="25" t="s">
        <v>8861</v>
      </c>
      <c r="CQS64" s="25" t="s">
        <v>25</v>
      </c>
      <c r="CQT64" s="25" t="s">
        <v>8312</v>
      </c>
      <c r="CQU64" s="25" t="s">
        <v>8312</v>
      </c>
      <c r="CQV64" s="25" t="s">
        <v>8312</v>
      </c>
      <c r="CQW64" s="25" t="s">
        <v>8312</v>
      </c>
      <c r="CQX64" s="25" t="s">
        <v>8312</v>
      </c>
      <c r="CQY64" s="25" t="s">
        <v>8312</v>
      </c>
      <c r="CQZ64" s="25" t="s">
        <v>8312</v>
      </c>
      <c r="CRA64" s="25" t="s">
        <v>8314</v>
      </c>
      <c r="CRB64" s="25" t="s">
        <v>8314</v>
      </c>
      <c r="CRC64" s="25" t="s">
        <v>8312</v>
      </c>
      <c r="CRD64" s="25" t="s">
        <v>8314</v>
      </c>
      <c r="CRE64" s="27" t="s">
        <v>8312</v>
      </c>
    </row>
    <row r="65" spans="1:2501" ht="89.25" x14ac:dyDescent="0.2">
      <c r="A65" s="21" t="s">
        <v>148</v>
      </c>
      <c r="B65" s="26">
        <v>0.18</v>
      </c>
      <c r="C65" s="26">
        <v>0.38</v>
      </c>
      <c r="D65" s="26">
        <v>0.04</v>
      </c>
      <c r="E65" s="26">
        <v>0.36</v>
      </c>
      <c r="F65" s="26">
        <v>0</v>
      </c>
      <c r="G65" s="26">
        <v>0</v>
      </c>
      <c r="H65" s="26">
        <v>0</v>
      </c>
      <c r="I65" s="26">
        <v>0</v>
      </c>
      <c r="J65" s="26">
        <v>0</v>
      </c>
      <c r="K65" s="26">
        <v>0</v>
      </c>
      <c r="L65" s="26">
        <v>0</v>
      </c>
      <c r="M65" s="26">
        <v>0.04</v>
      </c>
      <c r="N65" s="26">
        <v>0.3</v>
      </c>
      <c r="O65" s="26">
        <v>0.4</v>
      </c>
      <c r="P65" s="26">
        <v>0</v>
      </c>
      <c r="Q65" s="26">
        <v>0.3</v>
      </c>
      <c r="R65" s="26">
        <v>0</v>
      </c>
      <c r="S65" s="26">
        <v>0</v>
      </c>
      <c r="T65" s="26">
        <v>0</v>
      </c>
      <c r="U65" s="26">
        <v>0</v>
      </c>
      <c r="V65" s="26">
        <v>0</v>
      </c>
      <c r="W65" s="26">
        <v>0</v>
      </c>
      <c r="X65" s="26">
        <v>0</v>
      </c>
      <c r="Y65" s="26">
        <v>0</v>
      </c>
      <c r="Z65" s="25">
        <v>3</v>
      </c>
      <c r="AA65" s="25" t="s">
        <v>8729</v>
      </c>
      <c r="AB65" s="25" t="s">
        <v>8730</v>
      </c>
      <c r="AC65" s="56">
        <v>2500</v>
      </c>
      <c r="AD65" s="56">
        <v>5000</v>
      </c>
      <c r="AE65" s="56">
        <v>6000</v>
      </c>
      <c r="AF65" s="56">
        <v>12000</v>
      </c>
      <c r="AI65" s="25" t="s">
        <v>13411</v>
      </c>
      <c r="AJ65" s="56">
        <v>350</v>
      </c>
      <c r="AK65" s="56">
        <v>700</v>
      </c>
      <c r="AL65" s="56">
        <v>1000</v>
      </c>
      <c r="AM65" s="56">
        <v>2000</v>
      </c>
      <c r="AN65" s="25" t="s">
        <v>8350</v>
      </c>
      <c r="AO65" s="25" t="s">
        <v>8248</v>
      </c>
      <c r="BB65" s="25" t="s">
        <v>8249</v>
      </c>
      <c r="DO65" s="25" t="s">
        <v>25</v>
      </c>
      <c r="DP65" s="25" t="s">
        <v>28</v>
      </c>
      <c r="DQ65" s="25" t="s">
        <v>28</v>
      </c>
      <c r="DR65" s="25" t="s">
        <v>25</v>
      </c>
      <c r="DT65" s="25" t="s">
        <v>13417</v>
      </c>
      <c r="DU65" s="25" t="s">
        <v>13420</v>
      </c>
      <c r="DV65" s="56">
        <v>35</v>
      </c>
      <c r="DW65" s="56">
        <v>50</v>
      </c>
      <c r="DZ65" s="56">
        <v>35</v>
      </c>
      <c r="EA65" s="56">
        <v>35</v>
      </c>
      <c r="EE65" s="26">
        <v>0.2</v>
      </c>
      <c r="EF65" s="26">
        <v>0.2</v>
      </c>
      <c r="EQ65" s="26">
        <v>0.4</v>
      </c>
      <c r="ER65" s="26">
        <v>0.4</v>
      </c>
      <c r="ES65" s="26">
        <v>0.4</v>
      </c>
      <c r="ET65" s="26">
        <v>0.4</v>
      </c>
      <c r="EU65" s="26">
        <v>0.4</v>
      </c>
      <c r="EX65" s="25" t="s">
        <v>8250</v>
      </c>
      <c r="EY65" s="25" t="s">
        <v>8250</v>
      </c>
      <c r="EZ65" s="25" t="s">
        <v>8250</v>
      </c>
      <c r="FA65" s="25" t="s">
        <v>8250</v>
      </c>
      <c r="FB65" s="25" t="s">
        <v>8250</v>
      </c>
      <c r="FC65" s="25" t="s">
        <v>8250</v>
      </c>
      <c r="FE65" s="25" t="s">
        <v>25</v>
      </c>
      <c r="FF65" s="25" t="s">
        <v>25</v>
      </c>
      <c r="FG65" s="25" t="s">
        <v>25</v>
      </c>
      <c r="FH65" s="25" t="s">
        <v>28</v>
      </c>
      <c r="FI65" s="25" t="s">
        <v>25</v>
      </c>
      <c r="FJ65" s="25" t="s">
        <v>13593</v>
      </c>
      <c r="FL65" s="25" t="s">
        <v>13810</v>
      </c>
      <c r="FM65" s="25" t="s">
        <v>13810</v>
      </c>
      <c r="FN65" s="25" t="s">
        <v>13810</v>
      </c>
      <c r="FO65" s="25" t="s">
        <v>8252</v>
      </c>
      <c r="FP65" s="25" t="s">
        <v>631</v>
      </c>
      <c r="FQ65" s="25" t="s">
        <v>8252</v>
      </c>
      <c r="FR65" s="25" t="s">
        <v>8252</v>
      </c>
      <c r="FS65" s="25" t="s">
        <v>631</v>
      </c>
      <c r="FT65" s="25" t="s">
        <v>631</v>
      </c>
      <c r="FU65" s="25" t="s">
        <v>631</v>
      </c>
      <c r="FV65" s="25" t="s">
        <v>8253</v>
      </c>
      <c r="FW65" s="25" t="s">
        <v>8253</v>
      </c>
      <c r="FX65" s="25" t="s">
        <v>8253</v>
      </c>
      <c r="FY65" s="25" t="s">
        <v>13453</v>
      </c>
      <c r="GA65" s="25" t="s">
        <v>8253</v>
      </c>
      <c r="GB65" s="25" t="s">
        <v>8253</v>
      </c>
      <c r="GE65" s="56">
        <v>0</v>
      </c>
      <c r="GF65" s="56">
        <v>0</v>
      </c>
      <c r="GG65" s="56">
        <v>0</v>
      </c>
      <c r="GI65" s="56">
        <v>10</v>
      </c>
      <c r="GJ65" s="56">
        <v>10</v>
      </c>
      <c r="GK65" s="56">
        <v>10</v>
      </c>
      <c r="HI65" s="57">
        <v>0.2</v>
      </c>
      <c r="HJ65" s="57">
        <v>0.35</v>
      </c>
      <c r="HK65" s="57">
        <v>0.2</v>
      </c>
      <c r="HN65" s="58">
        <v>0</v>
      </c>
      <c r="HS65" s="56">
        <v>75</v>
      </c>
      <c r="HU65" s="56">
        <v>125</v>
      </c>
      <c r="ID65" s="26">
        <v>0.2</v>
      </c>
      <c r="IE65" s="26">
        <v>0.35</v>
      </c>
      <c r="II65" s="56">
        <v>0</v>
      </c>
      <c r="IN65" s="56">
        <v>75</v>
      </c>
      <c r="IP65" s="56">
        <v>125</v>
      </c>
      <c r="IY65" s="26">
        <v>0.2</v>
      </c>
      <c r="IZ65" s="26">
        <v>0.35</v>
      </c>
      <c r="JD65" s="56">
        <v>0</v>
      </c>
      <c r="JI65" s="56">
        <v>75</v>
      </c>
      <c r="JK65" s="56">
        <v>125</v>
      </c>
      <c r="JT65" s="26">
        <v>0.2</v>
      </c>
      <c r="JU65" s="26">
        <v>0.35</v>
      </c>
      <c r="JY65" s="56">
        <v>0</v>
      </c>
      <c r="KM65" s="25" t="s">
        <v>8255</v>
      </c>
      <c r="KN65" s="25" t="s">
        <v>8256</v>
      </c>
      <c r="KO65" s="25" t="s">
        <v>8321</v>
      </c>
      <c r="KP65" s="25">
        <v>2</v>
      </c>
      <c r="KQ65" s="25" t="s">
        <v>8731</v>
      </c>
      <c r="KR65" s="25" t="s">
        <v>8732</v>
      </c>
      <c r="KS65" s="56">
        <v>4400</v>
      </c>
      <c r="KT65" s="56">
        <v>6850</v>
      </c>
      <c r="KU65" s="56">
        <v>8000</v>
      </c>
      <c r="KV65" s="56">
        <v>16000</v>
      </c>
      <c r="KY65" s="25" t="s">
        <v>8246</v>
      </c>
      <c r="KZ65" s="56">
        <v>1700</v>
      </c>
      <c r="LA65" s="56">
        <v>3400</v>
      </c>
      <c r="LB65" s="56">
        <v>3500</v>
      </c>
      <c r="LC65" s="56">
        <v>7000</v>
      </c>
      <c r="LD65" s="25" t="s">
        <v>8247</v>
      </c>
      <c r="LE65" s="25" t="s">
        <v>8733</v>
      </c>
      <c r="LR65" s="25" t="s">
        <v>8249</v>
      </c>
      <c r="OE65" s="25" t="s">
        <v>25</v>
      </c>
      <c r="OF65" s="25" t="s">
        <v>28</v>
      </c>
      <c r="OG65" s="25" t="s">
        <v>28</v>
      </c>
      <c r="OH65" s="25" t="s">
        <v>25</v>
      </c>
      <c r="OJ65" s="25" t="s">
        <v>13416</v>
      </c>
      <c r="OK65" s="25" t="s">
        <v>13420</v>
      </c>
      <c r="OS65" s="26">
        <v>0.1</v>
      </c>
      <c r="OT65" s="26">
        <v>0.1</v>
      </c>
      <c r="OU65" s="26">
        <v>0.1</v>
      </c>
      <c r="OV65" s="26">
        <v>0.1</v>
      </c>
      <c r="OW65" s="26">
        <v>0.1</v>
      </c>
      <c r="PG65" s="26">
        <v>0.45</v>
      </c>
      <c r="PH65" s="26">
        <v>0.45</v>
      </c>
      <c r="PI65" s="26">
        <v>0.45</v>
      </c>
      <c r="PJ65" s="26">
        <v>0.45</v>
      </c>
      <c r="PK65" s="26">
        <v>0.45</v>
      </c>
      <c r="PN65" s="25" t="s">
        <v>8250</v>
      </c>
      <c r="PO65" s="25" t="s">
        <v>8250</v>
      </c>
      <c r="PP65" s="25" t="s">
        <v>8250</v>
      </c>
      <c r="PQ65" s="25" t="s">
        <v>8250</v>
      </c>
      <c r="PR65" s="25" t="s">
        <v>8250</v>
      </c>
      <c r="PS65" s="25" t="s">
        <v>8250</v>
      </c>
      <c r="PU65" s="25" t="s">
        <v>25</v>
      </c>
      <c r="PV65" s="25" t="s">
        <v>25</v>
      </c>
      <c r="PW65" s="25" t="s">
        <v>25</v>
      </c>
      <c r="PX65" s="25" t="s">
        <v>28</v>
      </c>
      <c r="PY65" s="25" t="s">
        <v>25</v>
      </c>
      <c r="PZ65" s="25" t="s">
        <v>13593</v>
      </c>
      <c r="QB65" s="25" t="s">
        <v>13810</v>
      </c>
      <c r="QC65" s="25" t="s">
        <v>13810</v>
      </c>
      <c r="QD65" s="25" t="s">
        <v>13810</v>
      </c>
      <c r="QE65" s="25" t="s">
        <v>8252</v>
      </c>
      <c r="QF65" s="25" t="s">
        <v>631</v>
      </c>
      <c r="QG65" s="25" t="s">
        <v>8252</v>
      </c>
      <c r="QH65" s="25" t="s">
        <v>8252</v>
      </c>
      <c r="QI65" s="25" t="s">
        <v>631</v>
      </c>
      <c r="QJ65" s="25" t="s">
        <v>631</v>
      </c>
      <c r="QK65" s="25" t="s">
        <v>631</v>
      </c>
      <c r="QL65" s="25" t="s">
        <v>8253</v>
      </c>
      <c r="QM65" s="25" t="s">
        <v>8253</v>
      </c>
      <c r="QN65" s="25" t="s">
        <v>8253</v>
      </c>
      <c r="QO65" s="25" t="s">
        <v>13453</v>
      </c>
      <c r="QQ65" s="25" t="s">
        <v>8253</v>
      </c>
      <c r="QR65" s="25" t="s">
        <v>8253</v>
      </c>
      <c r="QU65" s="56">
        <v>0</v>
      </c>
      <c r="QV65" s="56">
        <v>0</v>
      </c>
      <c r="QW65" s="56">
        <v>0</v>
      </c>
      <c r="QX65" s="56">
        <v>0</v>
      </c>
      <c r="QY65" s="56">
        <v>10</v>
      </c>
      <c r="QZ65" s="56">
        <v>10</v>
      </c>
      <c r="RA65" s="56">
        <v>10</v>
      </c>
      <c r="RB65" s="56">
        <v>10</v>
      </c>
      <c r="RY65" s="26">
        <v>0.25</v>
      </c>
      <c r="RZ65" s="26">
        <v>0.4</v>
      </c>
      <c r="VC65" s="25" t="s">
        <v>8255</v>
      </c>
      <c r="VD65" s="25" t="s">
        <v>8256</v>
      </c>
      <c r="VE65" s="25" t="s">
        <v>8321</v>
      </c>
      <c r="VF65" s="25">
        <v>2</v>
      </c>
      <c r="VG65" s="25" t="s">
        <v>8734</v>
      </c>
      <c r="VH65" s="25" t="s">
        <v>8735</v>
      </c>
      <c r="VI65" s="56">
        <v>2000</v>
      </c>
      <c r="VJ65" s="56">
        <v>4000</v>
      </c>
      <c r="VK65" s="56">
        <v>6000</v>
      </c>
      <c r="VL65" s="56">
        <v>12000</v>
      </c>
      <c r="VO65" s="25" t="s">
        <v>8246</v>
      </c>
      <c r="VP65" s="56">
        <v>200</v>
      </c>
      <c r="VQ65" s="56">
        <v>400</v>
      </c>
      <c r="VR65" s="56">
        <v>1000</v>
      </c>
      <c r="VS65" s="56">
        <v>2000</v>
      </c>
      <c r="VT65" s="25" t="s">
        <v>8248</v>
      </c>
      <c r="WG65" s="25" t="s">
        <v>8249</v>
      </c>
      <c r="YT65" s="25" t="s">
        <v>25</v>
      </c>
      <c r="YU65" s="25" t="s">
        <v>28</v>
      </c>
      <c r="YV65" s="25" t="s">
        <v>28</v>
      </c>
      <c r="YW65" s="25" t="s">
        <v>25</v>
      </c>
      <c r="YY65" s="25" t="s">
        <v>13417</v>
      </c>
      <c r="YZ65" s="25" t="s">
        <v>13420</v>
      </c>
      <c r="ZA65" s="56">
        <v>35</v>
      </c>
      <c r="ZB65" s="56">
        <v>50</v>
      </c>
      <c r="ZF65" s="56">
        <v>35</v>
      </c>
      <c r="ZJ65" s="26">
        <v>0.2</v>
      </c>
      <c r="ZK65" s="26">
        <v>0.2</v>
      </c>
      <c r="ZL65" s="26">
        <v>0.2</v>
      </c>
      <c r="ZS65" s="56">
        <v>35</v>
      </c>
      <c r="ZV65" s="26">
        <v>0.4</v>
      </c>
      <c r="ZW65" s="26">
        <v>0.4</v>
      </c>
      <c r="ZX65" s="26">
        <v>0.4</v>
      </c>
      <c r="ZY65" s="26">
        <v>0.4</v>
      </c>
      <c r="AAC65" s="25" t="s">
        <v>8250</v>
      </c>
      <c r="AAD65" s="25" t="s">
        <v>8250</v>
      </c>
      <c r="AAE65" s="25" t="s">
        <v>8250</v>
      </c>
      <c r="AAF65" s="25" t="s">
        <v>8250</v>
      </c>
      <c r="AAG65" s="25" t="s">
        <v>8250</v>
      </c>
      <c r="AAJ65" s="25" t="s">
        <v>25</v>
      </c>
      <c r="AAK65" s="25" t="s">
        <v>25</v>
      </c>
      <c r="AAL65" s="25" t="s">
        <v>25</v>
      </c>
      <c r="AAM65" s="25" t="s">
        <v>28</v>
      </c>
      <c r="AAN65" s="25" t="s">
        <v>25</v>
      </c>
      <c r="AAQ65" s="25" t="s">
        <v>13810</v>
      </c>
      <c r="AAR65" s="25" t="s">
        <v>13810</v>
      </c>
      <c r="AAS65" s="25" t="s">
        <v>13810</v>
      </c>
      <c r="AAT65" s="25" t="s">
        <v>8252</v>
      </c>
      <c r="AAU65" s="25" t="s">
        <v>631</v>
      </c>
      <c r="AAV65" s="25" t="s">
        <v>8252</v>
      </c>
      <c r="AAW65" s="25" t="s">
        <v>8252</v>
      </c>
      <c r="AAY65" s="25" t="s">
        <v>631</v>
      </c>
      <c r="AAZ65" s="25" t="s">
        <v>631</v>
      </c>
      <c r="ABA65" s="25" t="s">
        <v>8253</v>
      </c>
      <c r="ABB65" s="25" t="s">
        <v>8253</v>
      </c>
      <c r="ABC65" s="25" t="s">
        <v>8253</v>
      </c>
      <c r="ABD65" s="25" t="s">
        <v>13453</v>
      </c>
      <c r="ABF65" s="25" t="s">
        <v>8253</v>
      </c>
      <c r="ABG65" s="25" t="s">
        <v>8253</v>
      </c>
      <c r="ABJ65" s="56">
        <v>0</v>
      </c>
      <c r="ABK65" s="56">
        <v>0</v>
      </c>
      <c r="ABL65" s="56">
        <v>0</v>
      </c>
      <c r="ABM65" s="56">
        <v>0</v>
      </c>
      <c r="ABN65" s="56">
        <v>10</v>
      </c>
      <c r="ABO65" s="56">
        <v>10</v>
      </c>
      <c r="ABP65" s="56">
        <v>10</v>
      </c>
      <c r="ABQ65" s="56">
        <v>10</v>
      </c>
      <c r="ACN65" s="26">
        <v>0.2</v>
      </c>
      <c r="ACO65" s="26">
        <v>0.35</v>
      </c>
      <c r="ACX65" s="56">
        <v>75</v>
      </c>
      <c r="ACZ65" s="56">
        <v>125</v>
      </c>
      <c r="ADI65" s="26">
        <v>0.2</v>
      </c>
      <c r="ADJ65" s="26">
        <v>0.35</v>
      </c>
      <c r="ADS65" s="56">
        <v>75</v>
      </c>
      <c r="ADU65" s="56">
        <v>125</v>
      </c>
      <c r="AED65" s="26">
        <v>0.2</v>
      </c>
      <c r="AEE65" s="26">
        <v>0.35</v>
      </c>
      <c r="AEN65" s="56">
        <v>75</v>
      </c>
      <c r="AEP65" s="56">
        <v>125</v>
      </c>
      <c r="AEY65" s="26">
        <v>0.2</v>
      </c>
      <c r="AEZ65" s="26">
        <v>0.35</v>
      </c>
      <c r="AFI65" s="56">
        <v>75</v>
      </c>
      <c r="AFK65" s="56">
        <v>125</v>
      </c>
      <c r="AFR65" s="25" t="s">
        <v>8255</v>
      </c>
      <c r="AFS65" s="25" t="s">
        <v>8256</v>
      </c>
      <c r="AFT65" s="25" t="s">
        <v>8321</v>
      </c>
      <c r="AFU65" s="25">
        <v>0</v>
      </c>
      <c r="AFX65" s="25"/>
      <c r="AFY65" s="25"/>
      <c r="AFZ65" s="25"/>
      <c r="AGA65" s="25"/>
      <c r="AGB65" s="25"/>
      <c r="AGC65" s="25"/>
      <c r="AGE65" s="25"/>
      <c r="AGF65" s="25"/>
      <c r="AGG65" s="25"/>
      <c r="AGH65" s="25"/>
      <c r="AJP65" s="25"/>
      <c r="AJQ65" s="25"/>
      <c r="AJR65" s="25"/>
      <c r="AJS65" s="25"/>
      <c r="AJT65" s="25"/>
      <c r="AJU65" s="25"/>
      <c r="AJV65" s="25"/>
      <c r="AKD65" s="25"/>
      <c r="AKE65" s="25"/>
      <c r="AKF65" s="25"/>
      <c r="AKG65" s="25"/>
      <c r="AKH65" s="25"/>
      <c r="AKI65" s="25"/>
      <c r="AKJ65" s="25"/>
      <c r="ALY65" s="25"/>
      <c r="ALZ65" s="25"/>
      <c r="AMA65" s="25"/>
      <c r="AMB65" s="25"/>
      <c r="AMC65" s="25"/>
      <c r="AMD65" s="25"/>
      <c r="AME65" s="25"/>
      <c r="AMF65" s="25"/>
      <c r="AMG65" s="25"/>
      <c r="AMH65" s="25"/>
      <c r="AMI65" s="25"/>
      <c r="AMJ65" s="25"/>
      <c r="AMK65" s="25"/>
      <c r="AML65" s="25"/>
      <c r="AMM65" s="25"/>
      <c r="AMN65" s="25"/>
      <c r="AMO65" s="25"/>
      <c r="AMP65" s="25"/>
      <c r="AMQ65" s="25"/>
      <c r="AMR65" s="25"/>
      <c r="AMS65" s="25"/>
      <c r="AMT65" s="25"/>
      <c r="AMU65" s="25"/>
      <c r="AMV65" s="25"/>
      <c r="AMW65" s="25"/>
      <c r="AMX65" s="25"/>
      <c r="AMY65" s="25"/>
      <c r="AMZ65" s="25"/>
      <c r="ANH65" s="25"/>
      <c r="ANI65" s="25"/>
      <c r="ANJ65" s="25"/>
      <c r="ANK65" s="25"/>
      <c r="ANL65" s="25"/>
      <c r="ANM65" s="25"/>
      <c r="ANN65" s="25"/>
      <c r="ANO65" s="25"/>
      <c r="ANP65" s="25"/>
      <c r="ANQ65" s="25"/>
      <c r="ANR65" s="25"/>
      <c r="ANS65" s="25"/>
      <c r="ANT65" s="25"/>
      <c r="ANU65" s="25"/>
      <c r="AOC65" s="25"/>
      <c r="AOD65" s="25"/>
      <c r="AOE65" s="25"/>
      <c r="AOF65" s="25"/>
      <c r="AOG65" s="25"/>
      <c r="AOH65" s="25"/>
      <c r="AOI65" s="25"/>
      <c r="AOJ65" s="25"/>
      <c r="AOK65" s="25"/>
      <c r="AOL65" s="25"/>
      <c r="AOM65" s="25"/>
      <c r="AON65" s="25"/>
      <c r="AOO65" s="25"/>
      <c r="AOP65" s="25"/>
      <c r="AOX65" s="25"/>
      <c r="AOY65" s="25"/>
      <c r="AOZ65" s="25"/>
      <c r="APA65" s="25"/>
      <c r="APB65" s="25"/>
      <c r="APC65" s="25"/>
      <c r="APD65" s="25"/>
      <c r="APE65" s="25"/>
      <c r="APF65" s="25"/>
      <c r="APG65" s="25"/>
      <c r="APH65" s="25"/>
      <c r="API65" s="25"/>
      <c r="APJ65" s="25"/>
      <c r="APK65" s="25"/>
      <c r="APS65" s="25"/>
      <c r="APT65" s="25"/>
      <c r="APU65" s="25"/>
      <c r="APV65" s="25"/>
      <c r="APW65" s="25"/>
      <c r="APX65" s="25"/>
      <c r="APY65" s="25"/>
      <c r="APZ65" s="25"/>
      <c r="AQA65" s="25"/>
      <c r="AQB65" s="25"/>
      <c r="AQC65" s="25"/>
      <c r="AQD65" s="25"/>
      <c r="AQE65" s="25"/>
      <c r="AQF65" s="25"/>
      <c r="AQJ65" s="25">
        <v>2</v>
      </c>
      <c r="AQK65" s="25" t="s">
        <v>8736</v>
      </c>
      <c r="AQL65" s="25" t="s">
        <v>8737</v>
      </c>
      <c r="AQM65" s="56">
        <v>1500</v>
      </c>
      <c r="AQN65" s="56">
        <v>3000</v>
      </c>
      <c r="AQS65" s="25" t="s">
        <v>8260</v>
      </c>
      <c r="AQX65" s="25" t="s">
        <v>8248</v>
      </c>
      <c r="ARK65" s="25" t="s">
        <v>8249</v>
      </c>
      <c r="ATX65" s="25" t="s">
        <v>25</v>
      </c>
      <c r="ATY65" s="25" t="s">
        <v>28</v>
      </c>
      <c r="ATZ65" s="25" t="s">
        <v>25</v>
      </c>
      <c r="AUA65" s="25" t="s">
        <v>25</v>
      </c>
      <c r="AUC65" s="25" t="s">
        <v>13417</v>
      </c>
      <c r="AUD65" s="25" t="s">
        <v>8404</v>
      </c>
      <c r="AUE65" s="56">
        <v>20</v>
      </c>
      <c r="AUF65" s="56">
        <v>20</v>
      </c>
      <c r="AUG65" s="56">
        <v>20</v>
      </c>
      <c r="AUH65" s="56">
        <v>50</v>
      </c>
      <c r="AUI65" s="56">
        <v>20</v>
      </c>
      <c r="AUJ65" s="56">
        <v>0</v>
      </c>
      <c r="AUV65" s="56">
        <v>50</v>
      </c>
      <c r="AVG65" s="25" t="s">
        <v>8250</v>
      </c>
      <c r="AVH65" s="25" t="s">
        <v>8250</v>
      </c>
      <c r="AVI65" s="25" t="s">
        <v>8250</v>
      </c>
      <c r="AVJ65" s="25" t="s">
        <v>8250</v>
      </c>
      <c r="AVK65" s="25" t="s">
        <v>8527</v>
      </c>
      <c r="AVL65" s="25" t="s">
        <v>8261</v>
      </c>
      <c r="AVN65" s="25" t="s">
        <v>25</v>
      </c>
      <c r="AVO65" s="25" t="s">
        <v>25</v>
      </c>
      <c r="AVP65" s="25" t="s">
        <v>25</v>
      </c>
      <c r="AVQ65" s="25" t="s">
        <v>25</v>
      </c>
      <c r="AVR65" s="25" t="s">
        <v>25</v>
      </c>
      <c r="AVU65" s="25" t="s">
        <v>13810</v>
      </c>
      <c r="AVV65" s="25" t="s">
        <v>13810</v>
      </c>
      <c r="AVW65" s="25" t="s">
        <v>13810</v>
      </c>
      <c r="AVX65" s="25" t="s">
        <v>13810</v>
      </c>
      <c r="AVY65" s="25" t="s">
        <v>631</v>
      </c>
      <c r="AVZ65" s="25" t="s">
        <v>13810</v>
      </c>
      <c r="AWA65" s="25" t="s">
        <v>13810</v>
      </c>
      <c r="AWB65" s="25" t="s">
        <v>631</v>
      </c>
      <c r="AWC65" s="25" t="s">
        <v>631</v>
      </c>
      <c r="AWD65" s="25" t="s">
        <v>631</v>
      </c>
      <c r="AWE65" s="25" t="s">
        <v>8253</v>
      </c>
      <c r="AWF65" s="25" t="s">
        <v>8253</v>
      </c>
      <c r="AWG65" s="25" t="s">
        <v>8253</v>
      </c>
      <c r="AWH65" s="25" t="s">
        <v>8262</v>
      </c>
      <c r="AWJ65" s="25" t="s">
        <v>8253</v>
      </c>
      <c r="AWK65" s="25" t="s">
        <v>8253</v>
      </c>
      <c r="AWN65" s="56">
        <v>0</v>
      </c>
      <c r="AWP65" s="56">
        <v>0</v>
      </c>
      <c r="AWR65" s="56">
        <v>10</v>
      </c>
      <c r="AWT65" s="56">
        <v>10</v>
      </c>
      <c r="AWV65" s="56">
        <v>20</v>
      </c>
      <c r="AWX65" s="56">
        <v>20</v>
      </c>
      <c r="BAV65" s="25" t="s">
        <v>8255</v>
      </c>
      <c r="BAW65" s="25" t="s">
        <v>8256</v>
      </c>
      <c r="BAX65" s="25" t="s">
        <v>8321</v>
      </c>
      <c r="BAY65" s="25">
        <v>0</v>
      </c>
      <c r="BBB65" s="25"/>
      <c r="BBC65" s="25"/>
      <c r="BBD65" s="25"/>
      <c r="BBE65" s="25"/>
      <c r="BBF65" s="25"/>
      <c r="BBG65" s="25"/>
      <c r="BBI65" s="25"/>
      <c r="BBJ65" s="25"/>
      <c r="BBK65" s="25"/>
      <c r="BBL65" s="25"/>
      <c r="BET65" s="25"/>
      <c r="BEU65" s="25"/>
      <c r="BEV65" s="25"/>
      <c r="BEW65" s="25"/>
      <c r="BEX65" s="25"/>
      <c r="BEY65" s="25"/>
      <c r="BEZ65" s="25"/>
      <c r="BFH65" s="25"/>
      <c r="BFI65" s="25"/>
      <c r="BFJ65" s="25"/>
      <c r="BFK65" s="25"/>
      <c r="BFL65" s="25"/>
      <c r="BFM65" s="25"/>
      <c r="BFN65" s="25"/>
      <c r="BHC65" s="25"/>
      <c r="BHD65" s="25"/>
      <c r="BHE65" s="25"/>
      <c r="BHF65" s="25"/>
      <c r="BHG65" s="25"/>
      <c r="BHH65" s="25"/>
      <c r="BHI65" s="25"/>
      <c r="BHJ65" s="25"/>
      <c r="BHK65" s="25"/>
      <c r="BHL65" s="25"/>
      <c r="BHM65" s="25"/>
      <c r="BHN65" s="25"/>
      <c r="BHO65" s="25"/>
      <c r="BHP65" s="25"/>
      <c r="BHQ65" s="25"/>
      <c r="BHR65" s="25"/>
      <c r="BHS65" s="25"/>
      <c r="BHT65" s="25"/>
      <c r="BHU65" s="25"/>
      <c r="BHV65" s="25"/>
      <c r="BHW65" s="25"/>
      <c r="BHX65" s="25"/>
      <c r="BHY65" s="25"/>
      <c r="BHZ65" s="25"/>
      <c r="BIA65" s="25"/>
      <c r="BIB65" s="25"/>
      <c r="BIC65" s="25"/>
      <c r="BID65" s="25"/>
      <c r="BIL65" s="25"/>
      <c r="BIM65" s="25"/>
      <c r="BIN65" s="25"/>
      <c r="BIO65" s="25"/>
      <c r="BIP65" s="25"/>
      <c r="BIQ65" s="25"/>
      <c r="BIR65" s="25"/>
      <c r="BIS65" s="25"/>
      <c r="BIT65" s="25"/>
      <c r="BIU65" s="25"/>
      <c r="BIV65" s="25"/>
      <c r="BIW65" s="25"/>
      <c r="BIX65" s="25"/>
      <c r="BIY65" s="25"/>
      <c r="BJG65" s="25"/>
      <c r="BJH65" s="25"/>
      <c r="BJI65" s="25"/>
      <c r="BJJ65" s="25"/>
      <c r="BJK65" s="25"/>
      <c r="BJL65" s="25"/>
      <c r="BJM65" s="25"/>
      <c r="BJN65" s="25"/>
      <c r="BJO65" s="25"/>
      <c r="BJP65" s="25"/>
      <c r="BJQ65" s="25"/>
      <c r="BJR65" s="25"/>
      <c r="BJS65" s="25"/>
      <c r="BJT65" s="25"/>
      <c r="BKB65" s="25"/>
      <c r="BKC65" s="25"/>
      <c r="BKD65" s="25"/>
      <c r="BKE65" s="25"/>
      <c r="BKF65" s="25"/>
      <c r="BKG65" s="25"/>
      <c r="BKH65" s="25"/>
      <c r="BKI65" s="25"/>
      <c r="BKJ65" s="25"/>
      <c r="BKK65" s="25"/>
      <c r="BKL65" s="25"/>
      <c r="BKM65" s="25"/>
      <c r="BKN65" s="25"/>
      <c r="BKO65" s="25"/>
      <c r="BKW65" s="25"/>
      <c r="BKX65" s="25"/>
      <c r="BKY65" s="25"/>
      <c r="BKZ65" s="25"/>
      <c r="BLA65" s="25"/>
      <c r="BLB65" s="25"/>
      <c r="BLC65" s="25"/>
      <c r="BLD65" s="25"/>
      <c r="BLE65" s="25"/>
      <c r="BLF65" s="25"/>
      <c r="BLG65" s="25"/>
      <c r="BLH65" s="25"/>
      <c r="BLI65" s="25"/>
      <c r="BLJ65" s="25"/>
      <c r="BLN65" s="25">
        <v>0</v>
      </c>
      <c r="BLQ65" s="25"/>
      <c r="BLR65" s="25"/>
      <c r="BLS65" s="25"/>
      <c r="BLT65" s="25"/>
      <c r="BLU65" s="25"/>
      <c r="BLV65" s="25"/>
      <c r="BLX65" s="25"/>
      <c r="BLY65" s="25"/>
      <c r="BLZ65" s="25"/>
      <c r="BMA65" s="25"/>
      <c r="BPI65" s="25"/>
      <c r="BPJ65" s="25"/>
      <c r="BPK65" s="25"/>
      <c r="BPL65" s="25"/>
      <c r="BPM65" s="25"/>
      <c r="BPN65" s="25"/>
      <c r="BPO65" s="25"/>
      <c r="BPW65" s="25"/>
      <c r="BPX65" s="25"/>
      <c r="BPY65" s="25"/>
      <c r="BPZ65" s="25"/>
      <c r="BQA65" s="25"/>
      <c r="BQB65" s="25"/>
      <c r="BQC65" s="25"/>
      <c r="BRR65" s="25"/>
      <c r="BRS65" s="25"/>
      <c r="BRT65" s="25"/>
      <c r="BRU65" s="25"/>
      <c r="BRV65" s="25"/>
      <c r="BRW65" s="25"/>
      <c r="BRX65" s="25"/>
      <c r="BRY65" s="25"/>
      <c r="BRZ65" s="25"/>
      <c r="BSA65" s="25"/>
      <c r="BSB65" s="25"/>
      <c r="BSC65" s="25"/>
      <c r="BSD65" s="25"/>
      <c r="BSE65" s="25"/>
      <c r="BSF65" s="25"/>
      <c r="BSG65" s="25"/>
      <c r="BSH65" s="25"/>
      <c r="BSI65" s="25"/>
      <c r="BSJ65" s="25"/>
      <c r="BSK65" s="25"/>
      <c r="BSL65" s="25"/>
      <c r="BSM65" s="25"/>
      <c r="BSN65" s="25"/>
      <c r="BSO65" s="25"/>
      <c r="BSP65" s="25"/>
      <c r="BSQ65" s="25"/>
      <c r="BSR65" s="25"/>
      <c r="BSS65" s="25"/>
      <c r="BTA65" s="25"/>
      <c r="BTB65" s="25"/>
      <c r="BTC65" s="25"/>
      <c r="BTD65" s="25"/>
      <c r="BTE65" s="25"/>
      <c r="BTF65" s="25"/>
      <c r="BTG65" s="25"/>
      <c r="BTH65" s="25"/>
      <c r="BTI65" s="25"/>
      <c r="BTJ65" s="25"/>
      <c r="BTK65" s="25"/>
      <c r="BTL65" s="25"/>
      <c r="BTM65" s="25"/>
      <c r="BTN65" s="25"/>
      <c r="BUQ65" s="25"/>
      <c r="BUR65" s="25"/>
      <c r="BUS65" s="25"/>
      <c r="BUT65" s="25"/>
      <c r="BUU65" s="25"/>
      <c r="BUV65" s="25"/>
      <c r="BUW65" s="25"/>
      <c r="BUX65" s="25"/>
      <c r="BUY65" s="25"/>
      <c r="BUZ65" s="25"/>
      <c r="BVA65" s="25"/>
      <c r="BVB65" s="25"/>
      <c r="BVC65" s="25"/>
      <c r="BVD65" s="25"/>
      <c r="BWC65" s="25" t="s">
        <v>28</v>
      </c>
      <c r="BWD65" s="25" t="s">
        <v>8265</v>
      </c>
      <c r="BWE65" s="25" t="s">
        <v>8266</v>
      </c>
      <c r="BWF65" s="25" t="s">
        <v>13710</v>
      </c>
      <c r="BWG65" s="25" t="s">
        <v>28</v>
      </c>
      <c r="BWH65" s="25" t="s">
        <v>2169</v>
      </c>
      <c r="BWI65" s="25" t="s">
        <v>28</v>
      </c>
      <c r="BWJ65" s="25" t="s">
        <v>8267</v>
      </c>
      <c r="BWK65" s="25" t="s">
        <v>28</v>
      </c>
      <c r="BWL65" s="56">
        <v>1200</v>
      </c>
      <c r="BWM65" s="25" t="s">
        <v>25</v>
      </c>
      <c r="BWO65" s="25" t="s">
        <v>25</v>
      </c>
      <c r="BWQ65" s="25" t="s">
        <v>28</v>
      </c>
      <c r="BWR65" s="25" t="s">
        <v>25</v>
      </c>
      <c r="BWT65" s="25" t="s">
        <v>25</v>
      </c>
      <c r="BWV65" s="25" t="s">
        <v>25</v>
      </c>
      <c r="BWX65" s="25" t="s">
        <v>28</v>
      </c>
      <c r="BWY65" s="25" t="s">
        <v>8358</v>
      </c>
      <c r="BWZ65" s="25" t="s">
        <v>28</v>
      </c>
      <c r="BXA65" s="56">
        <v>25</v>
      </c>
      <c r="BXB65" s="25" t="s">
        <v>25</v>
      </c>
      <c r="BXD65" s="25" t="s">
        <v>28</v>
      </c>
      <c r="BXE65" s="25" t="s">
        <v>8358</v>
      </c>
      <c r="BXF65" s="25" t="s">
        <v>28</v>
      </c>
      <c r="BXG65" s="56">
        <v>18</v>
      </c>
      <c r="BXH65" s="25" t="s">
        <v>25</v>
      </c>
      <c r="BXJ65" s="25" t="s">
        <v>28</v>
      </c>
      <c r="BXK65" s="25" t="s">
        <v>8270</v>
      </c>
      <c r="BXL65" s="25" t="s">
        <v>13821</v>
      </c>
      <c r="BXM65" s="25" t="s">
        <v>2201</v>
      </c>
      <c r="BXN65" s="25" t="s">
        <v>8332</v>
      </c>
      <c r="BXO65" s="25" t="s">
        <v>8274</v>
      </c>
      <c r="BXP65" s="25" t="s">
        <v>8361</v>
      </c>
      <c r="BXT65" s="25" t="s">
        <v>8465</v>
      </c>
      <c r="BXU65" s="25" t="s">
        <v>25</v>
      </c>
      <c r="BXW65" s="25" t="s">
        <v>28</v>
      </c>
      <c r="BXX65" s="25" t="s">
        <v>28</v>
      </c>
      <c r="BXY65" s="25" t="s">
        <v>28</v>
      </c>
      <c r="BXZ65" s="25" t="s">
        <v>25</v>
      </c>
      <c r="BYA65" s="25" t="s">
        <v>25</v>
      </c>
      <c r="BYB65" s="25" t="s">
        <v>25</v>
      </c>
      <c r="BYC65" s="25" t="s">
        <v>2201</v>
      </c>
      <c r="BYD65" s="25" t="s">
        <v>28</v>
      </c>
      <c r="BYE65" s="25" t="s">
        <v>13612</v>
      </c>
      <c r="BYF65" s="25" t="s">
        <v>8277</v>
      </c>
      <c r="BYH65" s="25" t="s">
        <v>8278</v>
      </c>
      <c r="BYK65" s="25" t="s">
        <v>28</v>
      </c>
      <c r="BYL65" s="25" t="s">
        <v>28</v>
      </c>
      <c r="BYM65" s="25">
        <v>60</v>
      </c>
      <c r="BYN65" s="25" t="s">
        <v>28</v>
      </c>
      <c r="BYO65" s="25">
        <v>60</v>
      </c>
      <c r="BYP65" s="25" t="s">
        <v>28</v>
      </c>
      <c r="BYQ65" s="25">
        <v>60</v>
      </c>
      <c r="BYR65" s="25" t="s">
        <v>28</v>
      </c>
      <c r="BYS65" s="25" t="s">
        <v>8279</v>
      </c>
      <c r="BYT65" s="25" t="s">
        <v>8279</v>
      </c>
      <c r="BYU65" s="25" t="s">
        <v>732</v>
      </c>
      <c r="BYV65" s="25" t="s">
        <v>25</v>
      </c>
      <c r="BYW65" s="25" t="s">
        <v>28</v>
      </c>
      <c r="BYX65" s="56">
        <v>600</v>
      </c>
      <c r="BYY65" s="56">
        <v>1200</v>
      </c>
      <c r="BYZ65" s="25" t="s">
        <v>8408</v>
      </c>
      <c r="BZA65" s="25" t="s">
        <v>8738</v>
      </c>
      <c r="BZB65" s="25" t="s">
        <v>2269</v>
      </c>
      <c r="BZC65" s="25" t="s">
        <v>8282</v>
      </c>
      <c r="BZD65" s="25" t="s">
        <v>28</v>
      </c>
      <c r="BZE65" s="25" t="s">
        <v>25</v>
      </c>
      <c r="BZF65" s="25" t="s">
        <v>28</v>
      </c>
      <c r="BZG65" s="25" t="s">
        <v>25</v>
      </c>
      <c r="BZJ65" s="25" t="s">
        <v>25</v>
      </c>
      <c r="BZM65" s="25" t="s">
        <v>28</v>
      </c>
      <c r="BZN65" s="25" t="s">
        <v>8283</v>
      </c>
      <c r="BZP65" s="25" t="s">
        <v>8366</v>
      </c>
      <c r="BZQ65" s="56">
        <v>1000</v>
      </c>
      <c r="BZR65" s="25" t="s">
        <v>819</v>
      </c>
      <c r="BZS65" s="25" t="s">
        <v>25</v>
      </c>
      <c r="BZT65" s="25" t="s">
        <v>8337</v>
      </c>
      <c r="BZV65" s="25" t="s">
        <v>13650</v>
      </c>
      <c r="BZX65" s="25" t="s">
        <v>8739</v>
      </c>
      <c r="BZZ65" s="25" t="s">
        <v>25</v>
      </c>
      <c r="CAC65" s="25" t="s">
        <v>28</v>
      </c>
      <c r="CAD65" s="25" t="s">
        <v>8288</v>
      </c>
      <c r="CAE65" s="25" t="s">
        <v>28</v>
      </c>
      <c r="CAF65" s="25" t="s">
        <v>8289</v>
      </c>
      <c r="CAG65" s="25" t="s">
        <v>25</v>
      </c>
      <c r="CAH65" s="25" t="s">
        <v>631</v>
      </c>
      <c r="CAI65" s="25" t="s">
        <v>631</v>
      </c>
      <c r="CAJ65" s="25" t="s">
        <v>631</v>
      </c>
      <c r="CAK65" s="25" t="s">
        <v>631</v>
      </c>
      <c r="CAL65" s="25" t="s">
        <v>8290</v>
      </c>
      <c r="CAM65" s="25" t="s">
        <v>8290</v>
      </c>
      <c r="CAN65" s="25" t="s">
        <v>631</v>
      </c>
      <c r="CAO65" s="25" t="s">
        <v>8290</v>
      </c>
      <c r="CAP65" s="25" t="s">
        <v>631</v>
      </c>
      <c r="CAR65" s="25" t="s">
        <v>8339</v>
      </c>
      <c r="CAT65" s="25" t="s">
        <v>25</v>
      </c>
      <c r="CBB65" s="25">
        <v>2</v>
      </c>
      <c r="CBE65" s="56">
        <v>50</v>
      </c>
      <c r="CBF65" s="56">
        <v>150</v>
      </c>
      <c r="CBG65" s="56">
        <v>50</v>
      </c>
      <c r="CBH65" s="56">
        <v>150</v>
      </c>
      <c r="CBI65" s="56">
        <v>2000</v>
      </c>
      <c r="CBK65" s="56">
        <v>2000</v>
      </c>
      <c r="CBM65" s="26">
        <v>0</v>
      </c>
      <c r="CBN65" s="26">
        <v>0.1</v>
      </c>
      <c r="CBO65" s="26">
        <v>0.2</v>
      </c>
      <c r="CBP65" s="26">
        <v>0.3</v>
      </c>
      <c r="CBQ65" s="26">
        <v>0.5</v>
      </c>
      <c r="CBR65" s="26">
        <v>0.4</v>
      </c>
      <c r="CBS65" s="26">
        <v>0.5</v>
      </c>
      <c r="CBT65" s="26">
        <v>0.4</v>
      </c>
      <c r="CBU65" s="27" t="s">
        <v>28</v>
      </c>
      <c r="CBV65" s="27" t="s">
        <v>8522</v>
      </c>
      <c r="CBW65" s="27" t="s">
        <v>8294</v>
      </c>
      <c r="CBX65" s="27" t="s">
        <v>8343</v>
      </c>
      <c r="CBY65" s="27" t="s">
        <v>8296</v>
      </c>
      <c r="CBZ65" s="27" t="s">
        <v>8296</v>
      </c>
      <c r="CCA65" s="27" t="s">
        <v>8297</v>
      </c>
      <c r="CCB65" s="27" t="s">
        <v>8298</v>
      </c>
      <c r="CCC65" s="27" t="s">
        <v>8296</v>
      </c>
      <c r="CCD65" s="27" t="s">
        <v>8297</v>
      </c>
      <c r="CCE65" s="27" t="s">
        <v>8297</v>
      </c>
      <c r="CCF65" s="27" t="s">
        <v>8297</v>
      </c>
      <c r="CCG65" s="27" t="s">
        <v>8297</v>
      </c>
      <c r="CCH65" s="27" t="s">
        <v>8298</v>
      </c>
      <c r="CCI65" s="27" t="s">
        <v>8298</v>
      </c>
      <c r="CCJ65" s="27" t="s">
        <v>8298</v>
      </c>
      <c r="CCK65" s="27" t="s">
        <v>8297</v>
      </c>
      <c r="CCL65" s="27" t="s">
        <v>8297</v>
      </c>
      <c r="CCN65" s="27" t="s">
        <v>8297</v>
      </c>
      <c r="CCO65" s="27" t="s">
        <v>8300</v>
      </c>
      <c r="CCP65" s="27" t="s">
        <v>8297</v>
      </c>
      <c r="CCQ65" s="27" t="s">
        <v>8297</v>
      </c>
      <c r="CCR65" s="27" t="s">
        <v>8296</v>
      </c>
      <c r="CCS65" s="27" t="s">
        <v>8300</v>
      </c>
      <c r="CCT65" s="27" t="s">
        <v>8296</v>
      </c>
      <c r="CCU65" s="27" t="s">
        <v>8298</v>
      </c>
      <c r="CCV65" s="27" t="s">
        <v>8298</v>
      </c>
      <c r="CCW65" s="27" t="s">
        <v>8298</v>
      </c>
      <c r="CCX65" s="27" t="s">
        <v>8298</v>
      </c>
      <c r="CCY65" s="27" t="s">
        <v>8298</v>
      </c>
      <c r="CCZ65" s="27" t="s">
        <v>28</v>
      </c>
      <c r="CDA65" s="27" t="s">
        <v>28</v>
      </c>
      <c r="CDB65" s="27" t="s">
        <v>28</v>
      </c>
      <c r="CDC65" s="27" t="s">
        <v>28</v>
      </c>
      <c r="CDD65" s="27" t="s">
        <v>28</v>
      </c>
      <c r="CDE65" s="27" t="s">
        <v>28</v>
      </c>
      <c r="CDF65" s="27" t="s">
        <v>28</v>
      </c>
      <c r="CDG65" s="27" t="s">
        <v>28</v>
      </c>
      <c r="CDH65" s="27" t="s">
        <v>28</v>
      </c>
      <c r="CDI65" s="27" t="s">
        <v>28</v>
      </c>
      <c r="CDJ65" s="27" t="s">
        <v>28</v>
      </c>
      <c r="CDK65" s="27" t="s">
        <v>28</v>
      </c>
      <c r="CDL65" s="27" t="s">
        <v>28</v>
      </c>
      <c r="CDM65" s="27" t="s">
        <v>28</v>
      </c>
      <c r="CDO65" s="27" t="s">
        <v>28</v>
      </c>
      <c r="CDP65" s="27" t="s">
        <v>28</v>
      </c>
      <c r="CDQ65" s="27" t="s">
        <v>28</v>
      </c>
      <c r="CDR65" s="27" t="s">
        <v>28</v>
      </c>
      <c r="CDS65" s="27" t="s">
        <v>28</v>
      </c>
      <c r="CDT65" s="27" t="s">
        <v>28</v>
      </c>
      <c r="CDU65" s="27" t="s">
        <v>28</v>
      </c>
      <c r="CDV65" s="27" t="s">
        <v>28</v>
      </c>
      <c r="CDW65" s="27" t="s">
        <v>28</v>
      </c>
      <c r="CDX65" s="27" t="s">
        <v>28</v>
      </c>
      <c r="CDY65" s="27" t="s">
        <v>28</v>
      </c>
      <c r="CDZ65" s="27" t="s">
        <v>28</v>
      </c>
      <c r="CEA65" s="27" t="s">
        <v>2673</v>
      </c>
      <c r="CEB65" s="27" t="s">
        <v>2673</v>
      </c>
      <c r="CEC65" s="27" t="s">
        <v>8301</v>
      </c>
      <c r="CED65" s="27" t="s">
        <v>8302</v>
      </c>
      <c r="CEE65" s="27" t="s">
        <v>2673</v>
      </c>
      <c r="CEF65" s="27" t="s">
        <v>2673</v>
      </c>
      <c r="CEG65" s="27" t="s">
        <v>8301</v>
      </c>
      <c r="CEH65" s="27" t="s">
        <v>8301</v>
      </c>
      <c r="CEI65" s="27" t="s">
        <v>2673</v>
      </c>
      <c r="CEJ65" s="27" t="s">
        <v>8302</v>
      </c>
      <c r="CEK65" s="27" t="s">
        <v>8302</v>
      </c>
      <c r="CEL65" s="27" t="s">
        <v>8302</v>
      </c>
      <c r="CEM65" s="27" t="s">
        <v>2673</v>
      </c>
      <c r="CEN65" s="27" t="s">
        <v>2673</v>
      </c>
      <c r="CEP65" s="27" t="s">
        <v>2673</v>
      </c>
      <c r="CEQ65" s="27" t="s">
        <v>2673</v>
      </c>
      <c r="CER65" s="27" t="s">
        <v>2673</v>
      </c>
      <c r="CES65" s="27" t="s">
        <v>2673</v>
      </c>
      <c r="CET65" s="27" t="s">
        <v>2673</v>
      </c>
      <c r="CEU65" s="27" t="s">
        <v>2673</v>
      </c>
      <c r="CEV65" s="27" t="s">
        <v>2673</v>
      </c>
      <c r="CEW65" s="27" t="s">
        <v>8302</v>
      </c>
      <c r="CEX65" s="27" t="s">
        <v>8302</v>
      </c>
      <c r="CEY65" s="27" t="s">
        <v>8302</v>
      </c>
      <c r="CEZ65" s="27" t="s">
        <v>8301</v>
      </c>
      <c r="CFA65" s="27" t="s">
        <v>8302</v>
      </c>
      <c r="CFB65" s="27" t="s">
        <v>25</v>
      </c>
      <c r="CFC65" s="27" t="s">
        <v>25</v>
      </c>
      <c r="CFD65" s="27" t="s">
        <v>25</v>
      </c>
      <c r="CFE65" s="27" t="s">
        <v>25</v>
      </c>
      <c r="CFF65" s="27" t="s">
        <v>25</v>
      </c>
      <c r="CFG65" s="27" t="s">
        <v>25</v>
      </c>
      <c r="CFH65" s="27" t="s">
        <v>25</v>
      </c>
      <c r="CFI65" s="27" t="s">
        <v>25</v>
      </c>
      <c r="CFJ65" s="27" t="s">
        <v>25</v>
      </c>
      <c r="CFK65" s="27" t="s">
        <v>25</v>
      </c>
      <c r="CFL65" s="27" t="s">
        <v>25</v>
      </c>
      <c r="CFM65" s="27" t="s">
        <v>28</v>
      </c>
      <c r="CFN65" s="27" t="s">
        <v>25</v>
      </c>
      <c r="CFO65" s="27" t="s">
        <v>25</v>
      </c>
      <c r="CFQ65" s="27" t="s">
        <v>25</v>
      </c>
      <c r="CFR65" s="27" t="s">
        <v>25</v>
      </c>
      <c r="CFS65" s="27" t="s">
        <v>25</v>
      </c>
      <c r="CFT65" s="27" t="s">
        <v>25</v>
      </c>
      <c r="CFU65" s="27" t="s">
        <v>25</v>
      </c>
      <c r="CFV65" s="27" t="s">
        <v>25</v>
      </c>
      <c r="CFW65" s="27" t="s">
        <v>25</v>
      </c>
      <c r="CFX65" s="27" t="s">
        <v>28</v>
      </c>
      <c r="CFY65" s="27" t="s">
        <v>28</v>
      </c>
      <c r="CFZ65" s="27" t="s">
        <v>25</v>
      </c>
      <c r="CGA65" s="27" t="s">
        <v>25</v>
      </c>
      <c r="CGB65" s="27" t="s">
        <v>28</v>
      </c>
      <c r="CPW65" s="27">
        <v>2</v>
      </c>
      <c r="CPX65" s="56">
        <v>10</v>
      </c>
      <c r="CQB65" s="25" t="s">
        <v>8307</v>
      </c>
      <c r="CQC65" s="25" t="s">
        <v>8307</v>
      </c>
      <c r="CQD65" s="25" t="s">
        <v>8344</v>
      </c>
      <c r="CQE65" s="25" t="s">
        <v>8307</v>
      </c>
      <c r="CQF65" s="25" t="s">
        <v>8307</v>
      </c>
      <c r="CQH65" s="56">
        <v>35</v>
      </c>
      <c r="CQI65" s="56">
        <v>130</v>
      </c>
      <c r="CQJ65" s="56">
        <v>130</v>
      </c>
      <c r="CQK65" s="56">
        <v>250</v>
      </c>
      <c r="CQL65" s="25" t="s">
        <v>13682</v>
      </c>
      <c r="CQM65" s="25" t="s">
        <v>8397</v>
      </c>
      <c r="CQN65" s="25" t="s">
        <v>28</v>
      </c>
      <c r="CQO65" s="25" t="s">
        <v>8309</v>
      </c>
      <c r="CQQ65" s="25" t="s">
        <v>8740</v>
      </c>
      <c r="CQS65" s="25" t="s">
        <v>28</v>
      </c>
      <c r="CQT65" s="25" t="s">
        <v>8314</v>
      </c>
      <c r="CQU65" s="25" t="s">
        <v>8312</v>
      </c>
      <c r="CQV65" s="25" t="s">
        <v>8313</v>
      </c>
      <c r="CQW65" s="25" t="s">
        <v>8312</v>
      </c>
      <c r="CQX65" s="25" t="s">
        <v>8313</v>
      </c>
      <c r="CQY65" s="25" t="s">
        <v>8312</v>
      </c>
      <c r="CQZ65" s="25" t="s">
        <v>8312</v>
      </c>
      <c r="CRA65" s="25" t="s">
        <v>8314</v>
      </c>
      <c r="CRB65" s="25" t="s">
        <v>8314</v>
      </c>
      <c r="CRC65" s="25" t="s">
        <v>8312</v>
      </c>
      <c r="CRD65" s="25" t="s">
        <v>8313</v>
      </c>
      <c r="CRE65" s="27" t="s">
        <v>8314</v>
      </c>
    </row>
    <row r="66" spans="1:2501" ht="89.25" x14ac:dyDescent="0.2">
      <c r="A66" s="21" t="s">
        <v>167</v>
      </c>
      <c r="B66" s="26">
        <v>0.42</v>
      </c>
      <c r="C66" s="26">
        <v>0</v>
      </c>
      <c r="D66" s="26">
        <v>0.28000000000000003</v>
      </c>
      <c r="E66" s="26">
        <v>0.26</v>
      </c>
      <c r="F66" s="26">
        <v>0</v>
      </c>
      <c r="G66" s="26">
        <v>0</v>
      </c>
      <c r="H66" s="26">
        <v>0</v>
      </c>
      <c r="I66" s="26">
        <v>0</v>
      </c>
      <c r="J66" s="26">
        <v>0</v>
      </c>
      <c r="K66" s="26">
        <v>0</v>
      </c>
      <c r="L66" s="26">
        <v>0</v>
      </c>
      <c r="M66" s="26">
        <v>0.04</v>
      </c>
      <c r="N66" s="26">
        <v>0.42</v>
      </c>
      <c r="O66" s="26">
        <v>0</v>
      </c>
      <c r="P66" s="26">
        <v>0.28000000000000003</v>
      </c>
      <c r="Q66" s="26">
        <v>0.26</v>
      </c>
      <c r="R66" s="26">
        <v>0</v>
      </c>
      <c r="S66" s="26">
        <v>0</v>
      </c>
      <c r="T66" s="26">
        <v>0</v>
      </c>
      <c r="U66" s="26">
        <v>0</v>
      </c>
      <c r="V66" s="26">
        <v>0</v>
      </c>
      <c r="W66" s="26">
        <v>0</v>
      </c>
      <c r="X66" s="26">
        <v>0</v>
      </c>
      <c r="Y66" s="26">
        <v>0.04</v>
      </c>
      <c r="Z66" s="25">
        <v>1</v>
      </c>
      <c r="AA66" s="25" t="s">
        <v>8653</v>
      </c>
      <c r="AC66" s="56">
        <v>2000</v>
      </c>
      <c r="AD66" s="56">
        <v>4000</v>
      </c>
      <c r="AE66" s="56">
        <v>4000</v>
      </c>
      <c r="AF66" s="56">
        <v>8000</v>
      </c>
      <c r="AI66" s="25" t="s">
        <v>8246</v>
      </c>
      <c r="AJ66" s="56">
        <v>250</v>
      </c>
      <c r="AK66" s="56">
        <v>500</v>
      </c>
      <c r="AL66" s="56">
        <v>500</v>
      </c>
      <c r="AM66" s="56">
        <v>1000</v>
      </c>
      <c r="AN66" s="25" t="s">
        <v>8350</v>
      </c>
      <c r="AO66" s="25" t="s">
        <v>8248</v>
      </c>
      <c r="BB66" s="25" t="s">
        <v>8249</v>
      </c>
      <c r="DO66" s="25" t="s">
        <v>25</v>
      </c>
      <c r="DP66" s="25" t="s">
        <v>28</v>
      </c>
      <c r="DQ66" s="25" t="s">
        <v>25</v>
      </c>
      <c r="DR66" s="25" t="s">
        <v>25</v>
      </c>
      <c r="DT66" s="25" t="s">
        <v>13417</v>
      </c>
      <c r="DU66" s="25" t="s">
        <v>13417</v>
      </c>
      <c r="DV66" s="56">
        <v>20</v>
      </c>
      <c r="DW66" s="56">
        <v>35</v>
      </c>
      <c r="DX66" s="56">
        <v>20</v>
      </c>
      <c r="DZ66" s="56">
        <v>35</v>
      </c>
      <c r="EA66" s="56">
        <v>0</v>
      </c>
      <c r="EF66" s="26">
        <v>0.1</v>
      </c>
      <c r="EQ66" s="26">
        <v>0.3</v>
      </c>
      <c r="ER66" s="26">
        <v>0.3</v>
      </c>
      <c r="ES66" s="26">
        <v>0.3</v>
      </c>
      <c r="ET66" s="26">
        <v>0.1</v>
      </c>
      <c r="EU66" s="26">
        <v>0.3</v>
      </c>
      <c r="EV66" s="26">
        <v>0.3</v>
      </c>
      <c r="EX66" s="25" t="s">
        <v>8250</v>
      </c>
      <c r="EY66" s="25" t="s">
        <v>8250</v>
      </c>
      <c r="EZ66" s="25" t="s">
        <v>8250</v>
      </c>
      <c r="FA66" s="25" t="s">
        <v>8250</v>
      </c>
      <c r="FB66" s="25" t="s">
        <v>8250</v>
      </c>
      <c r="FC66" s="25" t="s">
        <v>8261</v>
      </c>
      <c r="FD66" s="25" t="s">
        <v>8250</v>
      </c>
      <c r="FE66" s="25" t="s">
        <v>25</v>
      </c>
      <c r="FF66" s="25" t="s">
        <v>25</v>
      </c>
      <c r="FG66" s="25" t="s">
        <v>25</v>
      </c>
      <c r="FH66" s="25" t="s">
        <v>25</v>
      </c>
      <c r="FI66" s="25" t="s">
        <v>25</v>
      </c>
      <c r="FJ66" s="25" t="s">
        <v>25</v>
      </c>
      <c r="FK66" s="25" t="s">
        <v>25</v>
      </c>
      <c r="FL66" s="25" t="s">
        <v>13810</v>
      </c>
      <c r="FM66" s="25" t="s">
        <v>13810</v>
      </c>
      <c r="FN66" s="25" t="s">
        <v>13810</v>
      </c>
      <c r="FO66" s="25" t="s">
        <v>13810</v>
      </c>
      <c r="FP66" s="25" t="s">
        <v>631</v>
      </c>
      <c r="FQ66" s="25" t="s">
        <v>631</v>
      </c>
      <c r="FR66" s="25" t="s">
        <v>13810</v>
      </c>
      <c r="FS66" s="25" t="s">
        <v>13810</v>
      </c>
      <c r="FT66" s="25" t="s">
        <v>631</v>
      </c>
      <c r="FV66" s="25" t="s">
        <v>8253</v>
      </c>
      <c r="FW66" s="25" t="s">
        <v>8317</v>
      </c>
      <c r="FX66" s="25" t="s">
        <v>8317</v>
      </c>
      <c r="FY66" s="25" t="s">
        <v>8424</v>
      </c>
      <c r="GB66" s="25" t="s">
        <v>8317</v>
      </c>
      <c r="GC66" s="25" t="s">
        <v>8253</v>
      </c>
      <c r="GE66" s="56">
        <v>5</v>
      </c>
      <c r="GG66" s="56">
        <v>10</v>
      </c>
      <c r="HH66" s="57">
        <v>0.3</v>
      </c>
      <c r="HI66" s="57">
        <v>0.4</v>
      </c>
      <c r="HP66" s="56">
        <v>25</v>
      </c>
      <c r="HQ66" s="56">
        <v>75</v>
      </c>
      <c r="HR66" s="56">
        <v>40</v>
      </c>
      <c r="HS66" s="56">
        <v>120</v>
      </c>
      <c r="IX66" s="11">
        <v>0.3</v>
      </c>
      <c r="IY66" s="11">
        <v>0.4</v>
      </c>
      <c r="JF66" s="56">
        <v>65</v>
      </c>
      <c r="JG66" s="56">
        <v>195</v>
      </c>
      <c r="JH66" s="56">
        <v>100</v>
      </c>
      <c r="JI66" s="56">
        <v>300</v>
      </c>
      <c r="KM66" s="25" t="s">
        <v>8352</v>
      </c>
      <c r="KN66" s="25" t="s">
        <v>8381</v>
      </c>
      <c r="KO66" s="25" t="s">
        <v>8321</v>
      </c>
      <c r="KP66" s="25">
        <v>1</v>
      </c>
      <c r="KQ66" s="25" t="s">
        <v>8892</v>
      </c>
      <c r="KS66" s="56">
        <v>2800</v>
      </c>
      <c r="KT66" s="56">
        <v>5600</v>
      </c>
      <c r="KU66" s="56">
        <v>5600</v>
      </c>
      <c r="KV66" s="56">
        <v>11200</v>
      </c>
      <c r="KY66" s="25" t="s">
        <v>8246</v>
      </c>
      <c r="KZ66" s="56">
        <v>1400</v>
      </c>
      <c r="LA66" s="56">
        <v>2800</v>
      </c>
      <c r="LB66" s="56">
        <v>2800</v>
      </c>
      <c r="LC66" s="56">
        <v>5600</v>
      </c>
      <c r="LD66" s="25" t="s">
        <v>8247</v>
      </c>
      <c r="LE66" s="25" t="s">
        <v>8248</v>
      </c>
      <c r="LR66" s="25" t="s">
        <v>8249</v>
      </c>
      <c r="OE66" s="25" t="s">
        <v>25</v>
      </c>
      <c r="OF66" s="25" t="s">
        <v>28</v>
      </c>
      <c r="OG66" s="25" t="s">
        <v>25</v>
      </c>
      <c r="OH66" s="25" t="s">
        <v>25</v>
      </c>
      <c r="OJ66" s="25" t="s">
        <v>13416</v>
      </c>
      <c r="OK66" s="25" t="s">
        <v>13416</v>
      </c>
      <c r="OS66" s="26">
        <v>0.1</v>
      </c>
      <c r="OT66" s="26">
        <v>0.1</v>
      </c>
      <c r="OU66" s="26">
        <v>0.1</v>
      </c>
      <c r="OV66" s="26">
        <v>0.1</v>
      </c>
      <c r="OW66" s="26">
        <v>0.1</v>
      </c>
      <c r="OX66" s="26">
        <v>0</v>
      </c>
      <c r="PG66" s="26">
        <v>0.3</v>
      </c>
      <c r="PH66" s="26">
        <v>0.3</v>
      </c>
      <c r="PI66" s="26">
        <v>0.3</v>
      </c>
      <c r="PJ66" s="26">
        <v>0.1</v>
      </c>
      <c r="PK66" s="26">
        <v>0.3</v>
      </c>
      <c r="PL66" s="26">
        <v>0.3</v>
      </c>
      <c r="PN66" s="25" t="s">
        <v>8250</v>
      </c>
      <c r="PO66" s="25" t="s">
        <v>8250</v>
      </c>
      <c r="PP66" s="25" t="s">
        <v>8250</v>
      </c>
      <c r="PQ66" s="25" t="s">
        <v>8250</v>
      </c>
      <c r="PR66" s="25" t="s">
        <v>8250</v>
      </c>
      <c r="PS66" s="25" t="s">
        <v>8527</v>
      </c>
      <c r="PU66" s="25" t="s">
        <v>25</v>
      </c>
      <c r="PV66" s="25" t="s">
        <v>25</v>
      </c>
      <c r="PW66" s="25" t="s">
        <v>25</v>
      </c>
      <c r="PX66" s="25" t="s">
        <v>25</v>
      </c>
      <c r="PY66" s="25" t="s">
        <v>25</v>
      </c>
      <c r="PZ66" s="25" t="s">
        <v>25</v>
      </c>
      <c r="QB66" s="25" t="s">
        <v>13810</v>
      </c>
      <c r="QC66" s="25" t="s">
        <v>13810</v>
      </c>
      <c r="QD66" s="25" t="s">
        <v>13810</v>
      </c>
      <c r="QE66" s="25" t="s">
        <v>13810</v>
      </c>
      <c r="QF66" s="25" t="s">
        <v>631</v>
      </c>
      <c r="QG66" s="25" t="s">
        <v>631</v>
      </c>
      <c r="QH66" s="25" t="s">
        <v>13810</v>
      </c>
      <c r="QI66" s="25" t="s">
        <v>13810</v>
      </c>
      <c r="QJ66" s="25" t="s">
        <v>631</v>
      </c>
      <c r="QL66" s="25" t="s">
        <v>8253</v>
      </c>
      <c r="QM66" s="25" t="s">
        <v>8317</v>
      </c>
      <c r="QN66" s="25" t="s">
        <v>8317</v>
      </c>
      <c r="QO66" s="25" t="s">
        <v>8424</v>
      </c>
      <c r="QR66" s="25" t="s">
        <v>8317</v>
      </c>
      <c r="QS66" s="25" t="s">
        <v>8253</v>
      </c>
      <c r="QU66" s="56">
        <v>5</v>
      </c>
      <c r="QW66" s="56">
        <v>10</v>
      </c>
      <c r="RX66" s="26">
        <v>0.3</v>
      </c>
      <c r="RY66" s="26">
        <v>0.4</v>
      </c>
      <c r="SF66" s="56">
        <v>25</v>
      </c>
      <c r="SG66" s="56">
        <v>75</v>
      </c>
      <c r="SH66" s="56">
        <v>40</v>
      </c>
      <c r="SI66" s="56">
        <v>120</v>
      </c>
      <c r="TN66" s="26">
        <v>0.3</v>
      </c>
      <c r="TO66" s="26">
        <v>0.4</v>
      </c>
      <c r="TV66" s="56">
        <v>65</v>
      </c>
      <c r="TW66" s="56">
        <v>195</v>
      </c>
      <c r="TX66" s="56">
        <v>100</v>
      </c>
      <c r="TY66" s="56">
        <v>300</v>
      </c>
      <c r="VC66" s="25" t="s">
        <v>8352</v>
      </c>
      <c r="VD66" s="25" t="s">
        <v>8381</v>
      </c>
      <c r="VE66" s="25" t="s">
        <v>8321</v>
      </c>
      <c r="VF66" s="25">
        <v>0</v>
      </c>
      <c r="VI66" s="25"/>
      <c r="VJ66" s="25"/>
      <c r="VK66" s="25"/>
      <c r="VL66" s="25"/>
      <c r="VM66" s="25"/>
      <c r="VN66" s="25"/>
      <c r="VP66" s="25"/>
      <c r="VQ66" s="25"/>
      <c r="VR66" s="25"/>
      <c r="VS66" s="25"/>
      <c r="ZA66" s="25"/>
      <c r="ZB66" s="25"/>
      <c r="ZC66" s="25"/>
      <c r="ZD66" s="25"/>
      <c r="ZE66" s="25"/>
      <c r="ZF66" s="25"/>
      <c r="ZG66" s="25"/>
      <c r="ZO66" s="25"/>
      <c r="ZP66" s="25"/>
      <c r="ZQ66" s="25"/>
      <c r="ZR66" s="25"/>
      <c r="ZS66" s="25"/>
      <c r="ZT66" s="25"/>
      <c r="ZU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S66" s="25"/>
      <c r="ACT66" s="25"/>
      <c r="ACU66" s="25"/>
      <c r="ACV66" s="25"/>
      <c r="ACW66" s="25"/>
      <c r="ACX66" s="25"/>
      <c r="ACY66" s="25"/>
      <c r="ACZ66" s="25"/>
      <c r="ADA66" s="25"/>
      <c r="ADB66" s="25"/>
      <c r="ADC66" s="25"/>
      <c r="ADD66" s="25"/>
      <c r="ADE66" s="25"/>
      <c r="ADF66" s="25"/>
      <c r="ADN66" s="25"/>
      <c r="ADO66" s="25"/>
      <c r="ADP66" s="25"/>
      <c r="ADQ66" s="25"/>
      <c r="ADR66" s="25"/>
      <c r="ADS66" s="25"/>
      <c r="ADT66" s="25"/>
      <c r="ADU66" s="25"/>
      <c r="ADV66" s="25"/>
      <c r="ADW66" s="25"/>
      <c r="ADX66" s="25"/>
      <c r="ADY66" s="25"/>
      <c r="ADZ66" s="25"/>
      <c r="AEA66" s="25"/>
      <c r="AEI66" s="25"/>
      <c r="AEJ66" s="25"/>
      <c r="AEK66" s="25"/>
      <c r="AEL66" s="25"/>
      <c r="AEM66" s="25"/>
      <c r="AEN66" s="25"/>
      <c r="AEO66" s="25"/>
      <c r="AEP66" s="25"/>
      <c r="AEQ66" s="25"/>
      <c r="AER66" s="25"/>
      <c r="AES66" s="25"/>
      <c r="AET66" s="25"/>
      <c r="AEU66" s="25"/>
      <c r="AEV66" s="25"/>
      <c r="AFD66" s="25"/>
      <c r="AFE66" s="25"/>
      <c r="AFF66" s="25"/>
      <c r="AFG66" s="25"/>
      <c r="AFH66" s="25"/>
      <c r="AFI66" s="25"/>
      <c r="AFJ66" s="25"/>
      <c r="AFK66" s="25"/>
      <c r="AFL66" s="25"/>
      <c r="AFM66" s="25"/>
      <c r="AFN66" s="25"/>
      <c r="AFO66" s="25"/>
      <c r="AFP66" s="25"/>
      <c r="AFQ66" s="25"/>
      <c r="AFU66" s="25">
        <v>1</v>
      </c>
      <c r="AFV66" s="25" t="s">
        <v>3971</v>
      </c>
      <c r="AFX66" s="56">
        <v>1500</v>
      </c>
      <c r="AFY66" s="56">
        <v>3000</v>
      </c>
      <c r="AGD66" s="25" t="s">
        <v>8260</v>
      </c>
      <c r="AGE66" s="56">
        <v>0</v>
      </c>
      <c r="AGF66" s="56">
        <v>0</v>
      </c>
      <c r="AGI66" s="25" t="s">
        <v>8248</v>
      </c>
      <c r="AGV66" s="25" t="s">
        <v>8249</v>
      </c>
      <c r="AJI66" s="25" t="s">
        <v>25</v>
      </c>
      <c r="AJJ66" s="25" t="s">
        <v>28</v>
      </c>
      <c r="AJK66" s="25" t="s">
        <v>25</v>
      </c>
      <c r="AJL66" s="25" t="s">
        <v>25</v>
      </c>
      <c r="AJN66" s="25" t="s">
        <v>13417</v>
      </c>
      <c r="AJP66" s="56">
        <v>20</v>
      </c>
      <c r="AJQ66" s="56">
        <v>35</v>
      </c>
      <c r="AJR66" s="56">
        <v>20</v>
      </c>
      <c r="AJS66" s="56">
        <v>100</v>
      </c>
      <c r="AJT66" s="56">
        <v>35</v>
      </c>
      <c r="AJU66" s="56">
        <v>0</v>
      </c>
      <c r="AKR66" s="25" t="s">
        <v>8250</v>
      </c>
      <c r="AKS66" s="25" t="s">
        <v>8250</v>
      </c>
      <c r="AKT66" s="25" t="s">
        <v>8250</v>
      </c>
      <c r="AKU66" s="25" t="s">
        <v>8250</v>
      </c>
      <c r="AKV66" s="25" t="s">
        <v>8250</v>
      </c>
      <c r="AKW66" s="25" t="s">
        <v>8261</v>
      </c>
      <c r="AKY66" s="25" t="s">
        <v>25</v>
      </c>
      <c r="AKZ66" s="25" t="s">
        <v>25</v>
      </c>
      <c r="ALA66" s="25" t="s">
        <v>25</v>
      </c>
      <c r="ALB66" s="25" t="s">
        <v>25</v>
      </c>
      <c r="ALC66" s="25" t="s">
        <v>25</v>
      </c>
      <c r="ALD66" s="25" t="s">
        <v>25</v>
      </c>
      <c r="ALF66" s="25" t="s">
        <v>13810</v>
      </c>
      <c r="ALG66" s="25" t="s">
        <v>13810</v>
      </c>
      <c r="ALH66" s="25" t="s">
        <v>13810</v>
      </c>
      <c r="ALI66" s="25" t="s">
        <v>13810</v>
      </c>
      <c r="ALJ66" s="25" t="s">
        <v>631</v>
      </c>
      <c r="ALK66" s="25" t="s">
        <v>631</v>
      </c>
      <c r="ALL66" s="25" t="s">
        <v>13810</v>
      </c>
      <c r="ALM66" s="25" t="s">
        <v>13810</v>
      </c>
      <c r="ALN66" s="25" t="s">
        <v>631</v>
      </c>
      <c r="ALO66" s="25" t="s">
        <v>631</v>
      </c>
      <c r="ALP66" s="25" t="s">
        <v>8253</v>
      </c>
      <c r="ALQ66" s="25" t="s">
        <v>8253</v>
      </c>
      <c r="ALR66" s="25" t="s">
        <v>8253</v>
      </c>
      <c r="ALS66" s="25" t="s">
        <v>8253</v>
      </c>
      <c r="ALV66" s="25" t="s">
        <v>8253</v>
      </c>
      <c r="ALW66" s="25" t="s">
        <v>8253</v>
      </c>
      <c r="ALY66" s="56">
        <v>5</v>
      </c>
      <c r="AMA66" s="56">
        <v>10</v>
      </c>
      <c r="AMC66" s="56">
        <v>25</v>
      </c>
      <c r="AME66" s="56">
        <v>50</v>
      </c>
      <c r="AQG66" s="25" t="s">
        <v>8255</v>
      </c>
      <c r="AQH66" s="25" t="s">
        <v>8256</v>
      </c>
      <c r="AQI66" s="25" t="s">
        <v>8321</v>
      </c>
      <c r="AQJ66" s="25">
        <v>0</v>
      </c>
      <c r="AQM66" s="25"/>
      <c r="AQN66" s="25"/>
      <c r="AQO66" s="25"/>
      <c r="AQP66" s="25"/>
      <c r="AQQ66" s="25"/>
      <c r="AQR66" s="25"/>
      <c r="AQT66" s="25"/>
      <c r="AQU66" s="25"/>
      <c r="AQV66" s="25"/>
      <c r="AQW66" s="25"/>
      <c r="AUE66" s="25"/>
      <c r="AUF66" s="25"/>
      <c r="AUG66" s="25"/>
      <c r="AUH66" s="25"/>
      <c r="AUI66" s="25"/>
      <c r="AUJ66" s="25"/>
      <c r="AUK66" s="25"/>
      <c r="AUS66" s="25"/>
      <c r="AUT66" s="25"/>
      <c r="AUU66" s="25"/>
      <c r="AUV66" s="25"/>
      <c r="AUW66" s="25"/>
      <c r="AUX66" s="25"/>
      <c r="AUY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W66" s="25"/>
      <c r="AXX66" s="25"/>
      <c r="AXY66" s="25"/>
      <c r="AXZ66" s="25"/>
      <c r="AYA66" s="25"/>
      <c r="AYB66" s="25"/>
      <c r="AYC66" s="25"/>
      <c r="AYD66" s="25"/>
      <c r="AYE66" s="25"/>
      <c r="AYF66" s="25"/>
      <c r="AYG66" s="25"/>
      <c r="AYH66" s="25"/>
      <c r="AYI66" s="25"/>
      <c r="AYJ66" s="25"/>
      <c r="AZM66" s="25"/>
      <c r="AZN66" s="25"/>
      <c r="AZO66" s="25"/>
      <c r="AZP66" s="25"/>
      <c r="AZQ66" s="25"/>
      <c r="AZR66" s="25"/>
      <c r="AZS66" s="25"/>
      <c r="AZT66" s="25"/>
      <c r="AZU66" s="25"/>
      <c r="AZV66" s="25"/>
      <c r="AZW66" s="25"/>
      <c r="AZX66" s="25"/>
      <c r="AZY66" s="25"/>
      <c r="AZZ66" s="25"/>
      <c r="BAR66" s="25"/>
      <c r="BAS66" s="25"/>
      <c r="BAT66" s="25"/>
      <c r="BAU66" s="25"/>
      <c r="BAY66" s="25">
        <v>0</v>
      </c>
      <c r="BBB66" s="25"/>
      <c r="BBC66" s="25"/>
      <c r="BBD66" s="25"/>
      <c r="BBE66" s="25"/>
      <c r="BBF66" s="25"/>
      <c r="BBG66" s="25"/>
      <c r="BBI66" s="25"/>
      <c r="BBJ66" s="25"/>
      <c r="BBK66" s="25"/>
      <c r="BBL66" s="25"/>
      <c r="BET66" s="25"/>
      <c r="BEU66" s="25"/>
      <c r="BEV66" s="25"/>
      <c r="BEW66" s="25"/>
      <c r="BEX66" s="25"/>
      <c r="BEY66" s="25"/>
      <c r="BEZ66" s="25"/>
      <c r="BFH66" s="25"/>
      <c r="BFI66" s="25"/>
      <c r="BFJ66" s="25"/>
      <c r="BFK66" s="25"/>
      <c r="BFL66" s="25"/>
      <c r="BFM66" s="25"/>
      <c r="BFN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L66" s="25"/>
      <c r="BIM66" s="25"/>
      <c r="BIN66" s="25"/>
      <c r="BIO66" s="25"/>
      <c r="BIP66" s="25"/>
      <c r="BIQ66" s="25"/>
      <c r="BIR66" s="25"/>
      <c r="BIS66" s="25"/>
      <c r="BIT66" s="25"/>
      <c r="BIU66" s="25"/>
      <c r="BIV66" s="25"/>
      <c r="BIW66" s="25"/>
      <c r="BIX66" s="25"/>
      <c r="BIY66" s="25"/>
      <c r="BJG66" s="25"/>
      <c r="BJH66" s="25"/>
      <c r="BJI66" s="25"/>
      <c r="BJJ66" s="25"/>
      <c r="BJK66" s="25"/>
      <c r="BJL66" s="25"/>
      <c r="BJM66" s="25"/>
      <c r="BJN66" s="25"/>
      <c r="BJO66" s="25"/>
      <c r="BJP66" s="25"/>
      <c r="BJQ66" s="25"/>
      <c r="BJR66" s="25"/>
      <c r="BJS66" s="25"/>
      <c r="BJT66" s="25"/>
      <c r="BKB66" s="25"/>
      <c r="BKC66" s="25"/>
      <c r="BKD66" s="25"/>
      <c r="BKE66" s="25"/>
      <c r="BKF66" s="25"/>
      <c r="BKG66" s="25"/>
      <c r="BKH66" s="25"/>
      <c r="BKI66" s="25"/>
      <c r="BKJ66" s="25"/>
      <c r="BKK66" s="25"/>
      <c r="BKL66" s="25"/>
      <c r="BKM66" s="25"/>
      <c r="BKN66" s="25"/>
      <c r="BKO66" s="25"/>
      <c r="BKW66" s="25"/>
      <c r="BKX66" s="25"/>
      <c r="BKY66" s="25"/>
      <c r="BKZ66" s="25"/>
      <c r="BLA66" s="25"/>
      <c r="BLB66" s="25"/>
      <c r="BLC66" s="25"/>
      <c r="BLD66" s="25"/>
      <c r="BLE66" s="25"/>
      <c r="BLF66" s="25"/>
      <c r="BLG66" s="25"/>
      <c r="BLH66" s="25"/>
      <c r="BLI66" s="25"/>
      <c r="BLJ66" s="25"/>
      <c r="BLN66" s="25">
        <v>0</v>
      </c>
      <c r="BLQ66" s="25"/>
      <c r="BLR66" s="25"/>
      <c r="BLS66" s="25"/>
      <c r="BLT66" s="25"/>
      <c r="BLU66" s="25"/>
      <c r="BLV66" s="25"/>
      <c r="BLX66" s="25"/>
      <c r="BLY66" s="25"/>
      <c r="BLZ66" s="25"/>
      <c r="BMA66" s="25"/>
      <c r="BPI66" s="25"/>
      <c r="BPJ66" s="25"/>
      <c r="BPK66" s="25"/>
      <c r="BPL66" s="25"/>
      <c r="BPM66" s="25"/>
      <c r="BPN66" s="25"/>
      <c r="BPO66" s="25"/>
      <c r="BPW66" s="25"/>
      <c r="BPX66" s="25"/>
      <c r="BPY66" s="25"/>
      <c r="BPZ66" s="25"/>
      <c r="BQA66" s="25"/>
      <c r="BQB66" s="25"/>
      <c r="BQC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TA66" s="25"/>
      <c r="BTB66" s="25"/>
      <c r="BTC66" s="25"/>
      <c r="BTD66" s="25"/>
      <c r="BTE66" s="25"/>
      <c r="BTF66" s="25"/>
      <c r="BTG66" s="25"/>
      <c r="BTH66" s="25"/>
      <c r="BTI66" s="25"/>
      <c r="BTJ66" s="25"/>
      <c r="BTK66" s="25"/>
      <c r="BTL66" s="25"/>
      <c r="BTM66" s="25"/>
      <c r="BTN66" s="25"/>
      <c r="BUQ66" s="25"/>
      <c r="BUR66" s="25"/>
      <c r="BUS66" s="25"/>
      <c r="BUT66" s="25"/>
      <c r="BUU66" s="25"/>
      <c r="BUV66" s="25"/>
      <c r="BUW66" s="25"/>
      <c r="BUX66" s="25"/>
      <c r="BUY66" s="25"/>
      <c r="BUZ66" s="25"/>
      <c r="BVA66" s="25"/>
      <c r="BVB66" s="25"/>
      <c r="BVC66" s="25"/>
      <c r="BVD66" s="25"/>
      <c r="BWC66" s="25" t="s">
        <v>28</v>
      </c>
      <c r="BWD66" s="25" t="s">
        <v>8265</v>
      </c>
      <c r="BWE66" s="25" t="s">
        <v>8357</v>
      </c>
      <c r="BWF66" s="25" t="s">
        <v>13719</v>
      </c>
      <c r="BWG66" s="25" t="s">
        <v>28</v>
      </c>
      <c r="BWH66" s="25" t="s">
        <v>2169</v>
      </c>
      <c r="BWI66" s="25" t="s">
        <v>28</v>
      </c>
      <c r="BWJ66" s="25" t="s">
        <v>8267</v>
      </c>
      <c r="BWK66" s="25" t="s">
        <v>25</v>
      </c>
      <c r="BWM66" s="25" t="s">
        <v>25</v>
      </c>
      <c r="BWO66" s="25" t="s">
        <v>25</v>
      </c>
      <c r="BWQ66" s="25" t="s">
        <v>25</v>
      </c>
      <c r="BWX66" s="25" t="s">
        <v>28</v>
      </c>
      <c r="BWY66" s="25" t="s">
        <v>8358</v>
      </c>
      <c r="BWZ66" s="25" t="s">
        <v>28</v>
      </c>
      <c r="BXA66" s="56">
        <v>30</v>
      </c>
      <c r="BXB66" s="25" t="s">
        <v>25</v>
      </c>
      <c r="BXD66" s="25" t="s">
        <v>28</v>
      </c>
      <c r="BXE66" s="25" t="s">
        <v>8358</v>
      </c>
      <c r="BXF66" s="25" t="s">
        <v>28</v>
      </c>
      <c r="BXG66" s="56">
        <v>30</v>
      </c>
      <c r="BXH66" s="25" t="s">
        <v>25</v>
      </c>
      <c r="BXJ66" s="25" t="s">
        <v>28</v>
      </c>
      <c r="BXK66" s="25" t="s">
        <v>8685</v>
      </c>
      <c r="BXL66" s="25" t="s">
        <v>13821</v>
      </c>
      <c r="BXM66" s="25" t="s">
        <v>2201</v>
      </c>
      <c r="BXN66" s="25" t="s">
        <v>8272</v>
      </c>
      <c r="BXO66" s="25" t="s">
        <v>8274</v>
      </c>
      <c r="BXP66" s="25" t="s">
        <v>8274</v>
      </c>
      <c r="BXQ66" s="25" t="s">
        <v>8274</v>
      </c>
      <c r="BXR66" s="25" t="s">
        <v>8274</v>
      </c>
      <c r="BXS66" s="25" t="s">
        <v>8274</v>
      </c>
      <c r="BXT66" s="25" t="s">
        <v>8893</v>
      </c>
      <c r="BXU66" s="25" t="s">
        <v>25</v>
      </c>
      <c r="BXW66" s="25" t="s">
        <v>25</v>
      </c>
      <c r="BXX66" s="25" t="s">
        <v>25</v>
      </c>
      <c r="BXY66" s="25" t="s">
        <v>25</v>
      </c>
      <c r="BXZ66" s="25" t="s">
        <v>25</v>
      </c>
      <c r="BYA66" s="25" t="s">
        <v>25</v>
      </c>
      <c r="BYB66" s="25" t="s">
        <v>25</v>
      </c>
      <c r="BYC66" s="25" t="s">
        <v>2201</v>
      </c>
      <c r="BYD66" s="25" t="s">
        <v>28</v>
      </c>
      <c r="BYE66" s="25" t="s">
        <v>13608</v>
      </c>
      <c r="BYF66" s="25" t="s">
        <v>8277</v>
      </c>
      <c r="BYH66" s="25" t="s">
        <v>8278</v>
      </c>
      <c r="BYK66" s="25" t="s">
        <v>28</v>
      </c>
      <c r="BYL66" s="25" t="s">
        <v>28</v>
      </c>
      <c r="BYM66" s="25">
        <v>60</v>
      </c>
      <c r="BYN66" s="25" t="s">
        <v>25</v>
      </c>
      <c r="BYP66" s="25" t="s">
        <v>28</v>
      </c>
      <c r="BYQ66" s="25">
        <v>60</v>
      </c>
      <c r="BYR66" s="25" t="s">
        <v>28</v>
      </c>
      <c r="BYS66" s="25" t="s">
        <v>8279</v>
      </c>
      <c r="BYT66" s="25" t="s">
        <v>732</v>
      </c>
      <c r="BYU66" s="25" t="s">
        <v>732</v>
      </c>
      <c r="BYV66" s="25" t="s">
        <v>25</v>
      </c>
      <c r="BYW66" s="25" t="s">
        <v>28</v>
      </c>
      <c r="BYX66" s="56">
        <v>750</v>
      </c>
      <c r="BYY66" s="56">
        <v>1500</v>
      </c>
      <c r="BYZ66" s="25" t="s">
        <v>8280</v>
      </c>
      <c r="BZA66" s="25" t="s">
        <v>8894</v>
      </c>
      <c r="BZB66" s="25" t="s">
        <v>256</v>
      </c>
      <c r="BZC66" s="25" t="s">
        <v>8282</v>
      </c>
      <c r="BZD66" s="25" t="s">
        <v>28</v>
      </c>
      <c r="BZE66" s="25" t="s">
        <v>28</v>
      </c>
      <c r="BZF66" s="25" t="s">
        <v>28</v>
      </c>
      <c r="BZG66" s="25" t="s">
        <v>25</v>
      </c>
      <c r="BZJ66" s="25" t="s">
        <v>25</v>
      </c>
      <c r="BZM66" s="25" t="s">
        <v>28</v>
      </c>
      <c r="BZN66" s="25" t="s">
        <v>8283</v>
      </c>
      <c r="BZP66" s="25" t="s">
        <v>8366</v>
      </c>
      <c r="BZQ66" s="56">
        <v>1000</v>
      </c>
      <c r="BZR66" s="25" t="s">
        <v>28</v>
      </c>
      <c r="BZS66" s="25" t="s">
        <v>25</v>
      </c>
      <c r="BZT66" s="25" t="s">
        <v>8337</v>
      </c>
      <c r="BZV66" s="25" t="s">
        <v>8895</v>
      </c>
      <c r="BZX66" s="25" t="s">
        <v>8739</v>
      </c>
      <c r="BZZ66" s="25" t="s">
        <v>25</v>
      </c>
      <c r="CAC66" s="25" t="s">
        <v>28</v>
      </c>
      <c r="CAD66" s="25" t="s">
        <v>8288</v>
      </c>
      <c r="CAE66" s="25" t="s">
        <v>28</v>
      </c>
      <c r="CAF66" s="25" t="s">
        <v>8289</v>
      </c>
      <c r="CAG66" s="25" t="s">
        <v>25</v>
      </c>
      <c r="CAH66" s="25" t="s">
        <v>247</v>
      </c>
      <c r="CAI66" s="25" t="s">
        <v>247</v>
      </c>
      <c r="CAJ66" s="25" t="s">
        <v>631</v>
      </c>
      <c r="CAK66" s="25" t="s">
        <v>247</v>
      </c>
      <c r="CAL66" s="25" t="s">
        <v>8290</v>
      </c>
      <c r="CAM66" s="25" t="s">
        <v>8290</v>
      </c>
      <c r="CAN66" s="25" t="s">
        <v>8290</v>
      </c>
      <c r="CAO66" s="25" t="s">
        <v>8290</v>
      </c>
      <c r="CAP66" s="25" t="s">
        <v>8290</v>
      </c>
      <c r="CAQ66" s="25" t="s">
        <v>631</v>
      </c>
      <c r="CAR66" s="25" t="s">
        <v>8518</v>
      </c>
      <c r="CAS66" s="25" t="s">
        <v>4991</v>
      </c>
      <c r="CAT66" s="25" t="s">
        <v>25</v>
      </c>
      <c r="CBB66" s="25">
        <v>2</v>
      </c>
      <c r="CBC66" s="25">
        <v>0</v>
      </c>
      <c r="CBD66" s="25">
        <v>0</v>
      </c>
      <c r="CBE66" s="56">
        <v>50</v>
      </c>
      <c r="CBF66" s="56">
        <v>150</v>
      </c>
      <c r="CBG66" s="56">
        <v>50</v>
      </c>
      <c r="CBH66" s="56">
        <v>150</v>
      </c>
      <c r="CBI66" s="56">
        <v>3000</v>
      </c>
      <c r="CBM66" s="26">
        <v>0</v>
      </c>
      <c r="CBN66" s="26">
        <v>0</v>
      </c>
      <c r="CBO66" s="26">
        <v>0.1</v>
      </c>
      <c r="CBP66" s="26">
        <v>0.2</v>
      </c>
      <c r="CBQ66" s="26">
        <v>0.15</v>
      </c>
      <c r="CBR66" s="26">
        <v>0.5</v>
      </c>
      <c r="CBS66" s="26">
        <v>0.5</v>
      </c>
      <c r="CBT66" s="26">
        <v>0.5</v>
      </c>
      <c r="CBU66" s="27" t="s">
        <v>28</v>
      </c>
      <c r="CBV66" s="27" t="s">
        <v>8417</v>
      </c>
      <c r="CBW66" s="27" t="s">
        <v>8294</v>
      </c>
      <c r="CBX66" s="27" t="s">
        <v>8502</v>
      </c>
      <c r="CBY66" s="27" t="s">
        <v>8296</v>
      </c>
      <c r="CBZ66" s="27" t="s">
        <v>8296</v>
      </c>
      <c r="CCA66" s="27" t="s">
        <v>8297</v>
      </c>
      <c r="CCB66" s="27" t="s">
        <v>8298</v>
      </c>
      <c r="CCC66" s="27" t="s">
        <v>8296</v>
      </c>
      <c r="CCD66" s="27" t="s">
        <v>8297</v>
      </c>
      <c r="CCE66" s="27" t="s">
        <v>8296</v>
      </c>
      <c r="CCF66" s="27" t="s">
        <v>8297</v>
      </c>
      <c r="CCG66" s="27" t="s">
        <v>8297</v>
      </c>
      <c r="CCI66" s="27" t="s">
        <v>8298</v>
      </c>
      <c r="CCJ66" s="27" t="s">
        <v>8298</v>
      </c>
      <c r="CCK66" s="27" t="s">
        <v>8297</v>
      </c>
      <c r="CCL66" s="27" t="s">
        <v>8297</v>
      </c>
      <c r="CCM66" s="27" t="s">
        <v>8298</v>
      </c>
      <c r="CCN66" s="27" t="s">
        <v>8296</v>
      </c>
      <c r="CCO66" s="27" t="s">
        <v>8300</v>
      </c>
      <c r="CCP66" s="27" t="s">
        <v>8296</v>
      </c>
      <c r="CCQ66" s="27" t="s">
        <v>8297</v>
      </c>
      <c r="CCR66" s="27" t="s">
        <v>8296</v>
      </c>
      <c r="CCS66" s="27" t="s">
        <v>8300</v>
      </c>
      <c r="CCT66" s="27" t="s">
        <v>8296</v>
      </c>
      <c r="CCU66" s="27" t="s">
        <v>8298</v>
      </c>
      <c r="CCV66" s="27" t="s">
        <v>8298</v>
      </c>
      <c r="CCW66" s="27" t="s">
        <v>8298</v>
      </c>
      <c r="CCX66" s="27" t="s">
        <v>8298</v>
      </c>
      <c r="CCY66" s="27" t="s">
        <v>8296</v>
      </c>
      <c r="CCZ66" s="27" t="s">
        <v>28</v>
      </c>
      <c r="CDA66" s="27" t="s">
        <v>28</v>
      </c>
      <c r="CDB66" s="27" t="s">
        <v>28</v>
      </c>
      <c r="CDC66" s="27" t="s">
        <v>25</v>
      </c>
      <c r="CDD66" s="27" t="s">
        <v>28</v>
      </c>
      <c r="CDE66" s="27" t="s">
        <v>28</v>
      </c>
      <c r="CDF66" s="27" t="s">
        <v>28</v>
      </c>
      <c r="CDG66" s="27" t="s">
        <v>28</v>
      </c>
      <c r="CDH66" s="27" t="s">
        <v>28</v>
      </c>
      <c r="CDJ66" s="27" t="s">
        <v>25</v>
      </c>
      <c r="CDK66" s="27" t="s">
        <v>25</v>
      </c>
      <c r="CDL66" s="27" t="s">
        <v>28</v>
      </c>
      <c r="CDM66" s="27" t="s">
        <v>28</v>
      </c>
      <c r="CDN66" s="27" t="s">
        <v>25</v>
      </c>
      <c r="CDO66" s="27" t="s">
        <v>28</v>
      </c>
      <c r="CDP66" s="27" t="s">
        <v>28</v>
      </c>
      <c r="CDQ66" s="27" t="s">
        <v>28</v>
      </c>
      <c r="CDR66" s="27" t="s">
        <v>28</v>
      </c>
      <c r="CDS66" s="27" t="s">
        <v>28</v>
      </c>
      <c r="CDT66" s="27" t="s">
        <v>28</v>
      </c>
      <c r="CDU66" s="27" t="s">
        <v>28</v>
      </c>
      <c r="CDV66" s="27" t="s">
        <v>25</v>
      </c>
      <c r="CDW66" s="27" t="s">
        <v>25</v>
      </c>
      <c r="CDX66" s="27" t="s">
        <v>28</v>
      </c>
      <c r="CDY66" s="27" t="s">
        <v>28</v>
      </c>
      <c r="CDZ66" s="27" t="s">
        <v>28</v>
      </c>
      <c r="CEA66" s="27" t="s">
        <v>2673</v>
      </c>
      <c r="CEB66" s="27" t="s">
        <v>2673</v>
      </c>
      <c r="CEC66" s="27" t="s">
        <v>2673</v>
      </c>
      <c r="CED66" s="27" t="s">
        <v>8371</v>
      </c>
      <c r="CEE66" s="27" t="s">
        <v>2673</v>
      </c>
      <c r="CEF66" s="27" t="s">
        <v>2673</v>
      </c>
      <c r="CEG66" s="27" t="s">
        <v>2673</v>
      </c>
      <c r="CEH66" s="27" t="s">
        <v>2673</v>
      </c>
      <c r="CEI66" s="27" t="s">
        <v>2673</v>
      </c>
      <c r="CEK66" s="27" t="s">
        <v>8302</v>
      </c>
      <c r="CEL66" s="27" t="s">
        <v>8371</v>
      </c>
      <c r="CEM66" s="27" t="s">
        <v>2673</v>
      </c>
      <c r="CEN66" s="27" t="s">
        <v>2673</v>
      </c>
      <c r="CEO66" s="27" t="s">
        <v>8301</v>
      </c>
      <c r="CEP66" s="27" t="s">
        <v>2673</v>
      </c>
      <c r="CEQ66" s="27" t="s">
        <v>2673</v>
      </c>
      <c r="CER66" s="27" t="s">
        <v>2673</v>
      </c>
      <c r="CES66" s="27" t="s">
        <v>8301</v>
      </c>
      <c r="CET66" s="27" t="s">
        <v>2673</v>
      </c>
      <c r="CEU66" s="27" t="s">
        <v>2673</v>
      </c>
      <c r="CEV66" s="27" t="s">
        <v>2673</v>
      </c>
      <c r="CEW66" s="27" t="s">
        <v>2673</v>
      </c>
      <c r="CEX66" s="27" t="s">
        <v>8371</v>
      </c>
      <c r="CEY66" s="27" t="s">
        <v>8303</v>
      </c>
      <c r="CEZ66" s="27" t="s">
        <v>8305</v>
      </c>
      <c r="CFA66" s="27" t="s">
        <v>2673</v>
      </c>
      <c r="CFB66" s="27" t="s">
        <v>25</v>
      </c>
      <c r="CFC66" s="27" t="s">
        <v>25</v>
      </c>
      <c r="CFD66" s="27" t="s">
        <v>25</v>
      </c>
      <c r="CFE66" s="27" t="s">
        <v>25</v>
      </c>
      <c r="CFF66" s="27" t="s">
        <v>25</v>
      </c>
      <c r="CFG66" s="27" t="s">
        <v>25</v>
      </c>
      <c r="CFH66" s="27" t="s">
        <v>25</v>
      </c>
      <c r="CFI66" s="27" t="s">
        <v>25</v>
      </c>
      <c r="CFJ66" s="27" t="s">
        <v>25</v>
      </c>
      <c r="CFL66" s="27" t="s">
        <v>25</v>
      </c>
      <c r="CFM66" s="27" t="s">
        <v>28</v>
      </c>
      <c r="CFN66" s="27" t="s">
        <v>25</v>
      </c>
      <c r="CFO66" s="27" t="s">
        <v>25</v>
      </c>
      <c r="CFP66" s="27" t="s">
        <v>25</v>
      </c>
      <c r="CFQ66" s="27" t="s">
        <v>25</v>
      </c>
      <c r="CFR66" s="27" t="s">
        <v>25</v>
      </c>
      <c r="CFS66" s="27" t="s">
        <v>25</v>
      </c>
      <c r="CFT66" s="27" t="s">
        <v>25</v>
      </c>
      <c r="CFU66" s="27" t="s">
        <v>25</v>
      </c>
      <c r="CFV66" s="27" t="s">
        <v>25</v>
      </c>
      <c r="CFW66" s="27" t="s">
        <v>25</v>
      </c>
      <c r="CFX66" s="27" t="s">
        <v>28</v>
      </c>
      <c r="CFY66" s="27" t="s">
        <v>28</v>
      </c>
      <c r="CFZ66" s="27" t="s">
        <v>25</v>
      </c>
      <c r="CGA66" s="27" t="s">
        <v>25</v>
      </c>
      <c r="CGB66" s="27" t="s">
        <v>25</v>
      </c>
      <c r="CPW66" s="27">
        <v>1</v>
      </c>
      <c r="CPY66" s="26">
        <v>0</v>
      </c>
      <c r="CQB66" s="25" t="s">
        <v>8372</v>
      </c>
      <c r="CQC66" s="25" t="s">
        <v>8372</v>
      </c>
      <c r="CQD66" s="25" t="s">
        <v>8372</v>
      </c>
      <c r="CQF66" s="25" t="s">
        <v>8372</v>
      </c>
      <c r="CQG66" s="56">
        <v>50</v>
      </c>
      <c r="CQH66" s="56">
        <v>200</v>
      </c>
      <c r="CQI66" s="56">
        <v>200</v>
      </c>
      <c r="CQK66" s="56">
        <v>200</v>
      </c>
      <c r="CQL66" s="25" t="s">
        <v>13695</v>
      </c>
      <c r="CQM66" s="25" t="s">
        <v>8345</v>
      </c>
      <c r="CQN66" s="25" t="s">
        <v>28</v>
      </c>
      <c r="CQO66" s="25" t="s">
        <v>8309</v>
      </c>
      <c r="CQQ66" s="25" t="s">
        <v>8896</v>
      </c>
      <c r="CQR66" s="25" t="s">
        <v>8897</v>
      </c>
      <c r="CQS66" s="25" t="s">
        <v>25</v>
      </c>
      <c r="CQT66" s="25" t="s">
        <v>8312</v>
      </c>
      <c r="CQU66" s="25" t="s">
        <v>8312</v>
      </c>
      <c r="CQV66" s="25" t="s">
        <v>8312</v>
      </c>
      <c r="CQW66" s="25" t="s">
        <v>8312</v>
      </c>
      <c r="CQX66" s="25" t="s">
        <v>8312</v>
      </c>
      <c r="CQY66" s="25" t="s">
        <v>8312</v>
      </c>
      <c r="CQZ66" s="25" t="s">
        <v>8312</v>
      </c>
      <c r="CRA66" s="25" t="s">
        <v>8312</v>
      </c>
      <c r="CRB66" s="25" t="s">
        <v>8312</v>
      </c>
      <c r="CRC66" s="25" t="s">
        <v>8312</v>
      </c>
      <c r="CRD66" s="25" t="s">
        <v>8312</v>
      </c>
      <c r="CRE66" s="27" t="s">
        <v>8312</v>
      </c>
    </row>
    <row r="67" spans="1:2501" x14ac:dyDescent="0.2">
      <c r="A67" s="71" t="s">
        <v>14025</v>
      </c>
      <c r="B67" s="72">
        <f>COUNTA(B3:B66)</f>
        <v>64</v>
      </c>
      <c r="C67" s="72">
        <f t="shared" ref="C67:BN67" si="0">COUNTA(C3:C66)</f>
        <v>64</v>
      </c>
      <c r="D67" s="72">
        <f t="shared" si="0"/>
        <v>64</v>
      </c>
      <c r="E67" s="72">
        <f t="shared" si="0"/>
        <v>64</v>
      </c>
      <c r="F67" s="72">
        <f t="shared" si="0"/>
        <v>64</v>
      </c>
      <c r="G67" s="72">
        <f t="shared" si="0"/>
        <v>64</v>
      </c>
      <c r="H67" s="72">
        <f t="shared" si="0"/>
        <v>64</v>
      </c>
      <c r="I67" s="72">
        <f t="shared" si="0"/>
        <v>64</v>
      </c>
      <c r="J67" s="72">
        <f t="shared" si="0"/>
        <v>64</v>
      </c>
      <c r="K67" s="72">
        <f t="shared" si="0"/>
        <v>64</v>
      </c>
      <c r="L67" s="72">
        <f t="shared" si="0"/>
        <v>64</v>
      </c>
      <c r="M67" s="72">
        <f t="shared" si="0"/>
        <v>64</v>
      </c>
      <c r="N67" s="72">
        <f t="shared" si="0"/>
        <v>64</v>
      </c>
      <c r="O67" s="72">
        <f t="shared" si="0"/>
        <v>64</v>
      </c>
      <c r="P67" s="72">
        <f t="shared" si="0"/>
        <v>64</v>
      </c>
      <c r="Q67" s="72">
        <f t="shared" si="0"/>
        <v>64</v>
      </c>
      <c r="R67" s="72">
        <f t="shared" si="0"/>
        <v>64</v>
      </c>
      <c r="S67" s="72">
        <f t="shared" si="0"/>
        <v>64</v>
      </c>
      <c r="T67" s="72">
        <f t="shared" si="0"/>
        <v>64</v>
      </c>
      <c r="U67" s="72">
        <f t="shared" si="0"/>
        <v>64</v>
      </c>
      <c r="V67" s="72">
        <f t="shared" si="0"/>
        <v>64</v>
      </c>
      <c r="W67" s="72">
        <f t="shared" si="0"/>
        <v>64</v>
      </c>
      <c r="X67" s="72">
        <f t="shared" si="0"/>
        <v>64</v>
      </c>
      <c r="Y67" s="72">
        <f t="shared" si="0"/>
        <v>64</v>
      </c>
      <c r="Z67" s="72">
        <f t="shared" si="0"/>
        <v>64</v>
      </c>
      <c r="AA67" s="72">
        <f t="shared" si="0"/>
        <v>54</v>
      </c>
      <c r="AB67" s="72">
        <f t="shared" si="0"/>
        <v>11</v>
      </c>
      <c r="AC67" s="72">
        <f t="shared" si="0"/>
        <v>54</v>
      </c>
      <c r="AD67" s="72">
        <f t="shared" si="0"/>
        <v>54</v>
      </c>
      <c r="AE67" s="72">
        <f t="shared" si="0"/>
        <v>53</v>
      </c>
      <c r="AF67" s="72">
        <f t="shared" si="0"/>
        <v>53</v>
      </c>
      <c r="AG67" s="72">
        <f t="shared" si="0"/>
        <v>13</v>
      </c>
      <c r="AH67" s="72">
        <f t="shared" si="0"/>
        <v>13</v>
      </c>
      <c r="AI67" s="72">
        <f t="shared" si="0"/>
        <v>54</v>
      </c>
      <c r="AJ67" s="72">
        <f t="shared" si="0"/>
        <v>54</v>
      </c>
      <c r="AK67" s="72">
        <f t="shared" si="0"/>
        <v>54</v>
      </c>
      <c r="AL67" s="72">
        <f t="shared" si="0"/>
        <v>54</v>
      </c>
      <c r="AM67" s="72">
        <f t="shared" si="0"/>
        <v>54</v>
      </c>
      <c r="AN67" s="72">
        <f t="shared" si="0"/>
        <v>50</v>
      </c>
      <c r="AO67" s="72">
        <f t="shared" si="0"/>
        <v>49</v>
      </c>
      <c r="AP67" s="72">
        <f t="shared" si="0"/>
        <v>0</v>
      </c>
      <c r="AQ67" s="72">
        <f t="shared" si="0"/>
        <v>0</v>
      </c>
      <c r="AR67" s="72">
        <f t="shared" si="0"/>
        <v>0</v>
      </c>
      <c r="AS67" s="72">
        <f t="shared" si="0"/>
        <v>0</v>
      </c>
      <c r="AT67" s="72">
        <f t="shared" si="0"/>
        <v>0</v>
      </c>
      <c r="AU67" s="72">
        <f t="shared" si="0"/>
        <v>0</v>
      </c>
      <c r="AV67" s="72">
        <f t="shared" si="0"/>
        <v>0</v>
      </c>
      <c r="AW67" s="72">
        <f t="shared" si="0"/>
        <v>0</v>
      </c>
      <c r="AX67" s="72">
        <f t="shared" si="0"/>
        <v>2</v>
      </c>
      <c r="AY67" s="72">
        <f t="shared" si="0"/>
        <v>1</v>
      </c>
      <c r="AZ67" s="72">
        <f t="shared" si="0"/>
        <v>0</v>
      </c>
      <c r="BA67" s="72">
        <f t="shared" si="0"/>
        <v>0</v>
      </c>
      <c r="BB67" s="72">
        <f t="shared" si="0"/>
        <v>48</v>
      </c>
      <c r="BC67" s="72">
        <f t="shared" si="0"/>
        <v>1</v>
      </c>
      <c r="BD67" s="72">
        <f t="shared" si="0"/>
        <v>0</v>
      </c>
      <c r="BE67" s="72">
        <f t="shared" si="0"/>
        <v>0</v>
      </c>
      <c r="BF67" s="72">
        <f t="shared" si="0"/>
        <v>1</v>
      </c>
      <c r="BG67" s="72">
        <f t="shared" si="0"/>
        <v>0</v>
      </c>
      <c r="BH67" s="72">
        <f t="shared" si="0"/>
        <v>0</v>
      </c>
      <c r="BI67" s="72">
        <f t="shared" si="0"/>
        <v>0</v>
      </c>
      <c r="BJ67" s="72">
        <f t="shared" si="0"/>
        <v>1</v>
      </c>
      <c r="BK67" s="72">
        <f t="shared" si="0"/>
        <v>3</v>
      </c>
      <c r="BL67" s="72">
        <f t="shared" si="0"/>
        <v>2</v>
      </c>
      <c r="BM67" s="72">
        <f t="shared" si="0"/>
        <v>0</v>
      </c>
      <c r="BN67" s="72">
        <f t="shared" si="0"/>
        <v>0</v>
      </c>
      <c r="BO67" s="72">
        <f t="shared" ref="BO67:DZ67" si="1">COUNTA(BO3:BO66)</f>
        <v>0</v>
      </c>
      <c r="BP67" s="72">
        <f t="shared" si="1"/>
        <v>0</v>
      </c>
      <c r="BQ67" s="72">
        <f t="shared" si="1"/>
        <v>0</v>
      </c>
      <c r="BR67" s="72">
        <f t="shared" si="1"/>
        <v>0</v>
      </c>
      <c r="BS67" s="72">
        <f t="shared" si="1"/>
        <v>0</v>
      </c>
      <c r="BT67" s="72">
        <f t="shared" si="1"/>
        <v>0</v>
      </c>
      <c r="BU67" s="72">
        <f t="shared" si="1"/>
        <v>0</v>
      </c>
      <c r="BV67" s="72">
        <f t="shared" si="1"/>
        <v>0</v>
      </c>
      <c r="BW67" s="72">
        <f t="shared" si="1"/>
        <v>0</v>
      </c>
      <c r="BX67" s="72">
        <f t="shared" si="1"/>
        <v>2</v>
      </c>
      <c r="BY67" s="72">
        <f t="shared" si="1"/>
        <v>0</v>
      </c>
      <c r="BZ67" s="72">
        <f t="shared" si="1"/>
        <v>0</v>
      </c>
      <c r="CA67" s="72">
        <f t="shared" si="1"/>
        <v>0</v>
      </c>
      <c r="CB67" s="72">
        <f t="shared" si="1"/>
        <v>0</v>
      </c>
      <c r="CC67" s="72">
        <f t="shared" si="1"/>
        <v>0</v>
      </c>
      <c r="CD67" s="72">
        <f t="shared" si="1"/>
        <v>0</v>
      </c>
      <c r="CE67" s="72">
        <f t="shared" si="1"/>
        <v>0</v>
      </c>
      <c r="CF67" s="72">
        <f t="shared" si="1"/>
        <v>0</v>
      </c>
      <c r="CG67" s="72">
        <f t="shared" si="1"/>
        <v>0</v>
      </c>
      <c r="CH67" s="72">
        <f t="shared" si="1"/>
        <v>0</v>
      </c>
      <c r="CI67" s="72">
        <f t="shared" si="1"/>
        <v>0</v>
      </c>
      <c r="CJ67" s="72">
        <f t="shared" si="1"/>
        <v>0</v>
      </c>
      <c r="CK67" s="72">
        <f t="shared" si="1"/>
        <v>2</v>
      </c>
      <c r="CL67" s="72">
        <f t="shared" si="1"/>
        <v>0</v>
      </c>
      <c r="CM67" s="72">
        <f t="shared" si="1"/>
        <v>0</v>
      </c>
      <c r="CN67" s="72">
        <f t="shared" si="1"/>
        <v>0</v>
      </c>
      <c r="CO67" s="72">
        <f t="shared" si="1"/>
        <v>0</v>
      </c>
      <c r="CP67" s="72">
        <f t="shared" si="1"/>
        <v>1</v>
      </c>
      <c r="CQ67" s="72">
        <f t="shared" si="1"/>
        <v>0</v>
      </c>
      <c r="CR67" s="72">
        <f t="shared" si="1"/>
        <v>0</v>
      </c>
      <c r="CS67" s="72">
        <f t="shared" si="1"/>
        <v>0</v>
      </c>
      <c r="CT67" s="72">
        <f t="shared" si="1"/>
        <v>0</v>
      </c>
      <c r="CU67" s="72">
        <f t="shared" si="1"/>
        <v>0</v>
      </c>
      <c r="CV67" s="72">
        <f t="shared" si="1"/>
        <v>0</v>
      </c>
      <c r="CW67" s="72">
        <f t="shared" si="1"/>
        <v>1</v>
      </c>
      <c r="CX67" s="72">
        <f t="shared" si="1"/>
        <v>2</v>
      </c>
      <c r="CY67" s="72">
        <f t="shared" si="1"/>
        <v>1</v>
      </c>
      <c r="CZ67" s="72">
        <f t="shared" si="1"/>
        <v>0</v>
      </c>
      <c r="DA67" s="72">
        <f t="shared" si="1"/>
        <v>0</v>
      </c>
      <c r="DB67" s="72">
        <f t="shared" si="1"/>
        <v>0</v>
      </c>
      <c r="DC67" s="72">
        <f t="shared" si="1"/>
        <v>1</v>
      </c>
      <c r="DD67" s="72">
        <f t="shared" si="1"/>
        <v>0</v>
      </c>
      <c r="DE67" s="72">
        <f t="shared" si="1"/>
        <v>0</v>
      </c>
      <c r="DF67" s="72">
        <f t="shared" si="1"/>
        <v>1</v>
      </c>
      <c r="DG67" s="72">
        <f t="shared" si="1"/>
        <v>0</v>
      </c>
      <c r="DH67" s="72">
        <f t="shared" si="1"/>
        <v>0</v>
      </c>
      <c r="DI67" s="72">
        <f t="shared" si="1"/>
        <v>0</v>
      </c>
      <c r="DJ67" s="72">
        <f t="shared" si="1"/>
        <v>1</v>
      </c>
      <c r="DK67" s="72">
        <f t="shared" si="1"/>
        <v>2</v>
      </c>
      <c r="DL67" s="72">
        <f t="shared" si="1"/>
        <v>1</v>
      </c>
      <c r="DM67" s="72">
        <f t="shared" si="1"/>
        <v>0</v>
      </c>
      <c r="DN67" s="72">
        <f t="shared" si="1"/>
        <v>0</v>
      </c>
      <c r="DO67" s="72">
        <f t="shared" si="1"/>
        <v>54</v>
      </c>
      <c r="DP67" s="72">
        <f t="shared" si="1"/>
        <v>54</v>
      </c>
      <c r="DQ67" s="72">
        <f t="shared" si="1"/>
        <v>40</v>
      </c>
      <c r="DR67" s="72">
        <f t="shared" si="1"/>
        <v>53</v>
      </c>
      <c r="DS67" s="72">
        <f t="shared" si="1"/>
        <v>1</v>
      </c>
      <c r="DT67" s="72">
        <f t="shared" si="1"/>
        <v>54</v>
      </c>
      <c r="DU67" s="72">
        <f t="shared" si="1"/>
        <v>54</v>
      </c>
      <c r="DV67" s="72">
        <f t="shared" si="1"/>
        <v>47</v>
      </c>
      <c r="DW67" s="72">
        <f t="shared" si="1"/>
        <v>45</v>
      </c>
      <c r="DX67" s="72">
        <f t="shared" si="1"/>
        <v>28</v>
      </c>
      <c r="DY67" s="72">
        <f t="shared" si="1"/>
        <v>37</v>
      </c>
      <c r="DZ67" s="72">
        <f t="shared" si="1"/>
        <v>40</v>
      </c>
      <c r="EA67" s="72">
        <f t="shared" ref="EA67:GL67" si="2">COUNTA(EA3:EA66)</f>
        <v>40</v>
      </c>
      <c r="EB67" s="72">
        <f t="shared" si="2"/>
        <v>1</v>
      </c>
      <c r="EC67" s="72">
        <f t="shared" si="2"/>
        <v>20</v>
      </c>
      <c r="ED67" s="72">
        <f t="shared" si="2"/>
        <v>19</v>
      </c>
      <c r="EE67" s="72">
        <f t="shared" si="2"/>
        <v>31</v>
      </c>
      <c r="EF67" s="72">
        <f t="shared" si="2"/>
        <v>32</v>
      </c>
      <c r="EG67" s="72">
        <f t="shared" si="2"/>
        <v>24</v>
      </c>
      <c r="EH67" s="72">
        <f t="shared" si="2"/>
        <v>22</v>
      </c>
      <c r="EI67" s="72">
        <f t="shared" si="2"/>
        <v>8</v>
      </c>
      <c r="EJ67" s="72">
        <f t="shared" si="2"/>
        <v>7</v>
      </c>
      <c r="EK67" s="72">
        <f t="shared" si="2"/>
        <v>7</v>
      </c>
      <c r="EL67" s="72">
        <f t="shared" si="2"/>
        <v>8</v>
      </c>
      <c r="EM67" s="72">
        <f t="shared" si="2"/>
        <v>34</v>
      </c>
      <c r="EN67" s="72">
        <f t="shared" si="2"/>
        <v>17</v>
      </c>
      <c r="EO67" s="72">
        <f t="shared" si="2"/>
        <v>9</v>
      </c>
      <c r="EP67" s="72">
        <f t="shared" si="2"/>
        <v>0</v>
      </c>
      <c r="EQ67" s="72">
        <f t="shared" si="2"/>
        <v>54</v>
      </c>
      <c r="ER67" s="72">
        <f t="shared" si="2"/>
        <v>54</v>
      </c>
      <c r="ES67" s="72">
        <f t="shared" si="2"/>
        <v>47</v>
      </c>
      <c r="ET67" s="72">
        <f t="shared" si="2"/>
        <v>34</v>
      </c>
      <c r="EU67" s="72">
        <f t="shared" si="2"/>
        <v>41</v>
      </c>
      <c r="EV67" s="72">
        <f t="shared" si="2"/>
        <v>27</v>
      </c>
      <c r="EW67" s="72">
        <f t="shared" si="2"/>
        <v>8</v>
      </c>
      <c r="EX67" s="72">
        <f t="shared" si="2"/>
        <v>52</v>
      </c>
      <c r="EY67" s="72">
        <f t="shared" si="2"/>
        <v>52</v>
      </c>
      <c r="EZ67" s="72">
        <f t="shared" si="2"/>
        <v>52</v>
      </c>
      <c r="FA67" s="72">
        <f t="shared" si="2"/>
        <v>49</v>
      </c>
      <c r="FB67" s="72">
        <f t="shared" si="2"/>
        <v>49</v>
      </c>
      <c r="FC67" s="72">
        <f t="shared" si="2"/>
        <v>48</v>
      </c>
      <c r="FD67" s="72">
        <f t="shared" si="2"/>
        <v>17</v>
      </c>
      <c r="FE67" s="72">
        <f t="shared" si="2"/>
        <v>51</v>
      </c>
      <c r="FF67" s="72">
        <f t="shared" si="2"/>
        <v>51</v>
      </c>
      <c r="FG67" s="72">
        <f t="shared" si="2"/>
        <v>51</v>
      </c>
      <c r="FH67" s="72">
        <f t="shared" si="2"/>
        <v>48</v>
      </c>
      <c r="FI67" s="72">
        <f t="shared" si="2"/>
        <v>47</v>
      </c>
      <c r="FJ67" s="72">
        <f t="shared" si="2"/>
        <v>46</v>
      </c>
      <c r="FK67" s="72">
        <f t="shared" si="2"/>
        <v>18</v>
      </c>
      <c r="FL67" s="72">
        <f t="shared" si="2"/>
        <v>54</v>
      </c>
      <c r="FM67" s="72">
        <f t="shared" si="2"/>
        <v>54</v>
      </c>
      <c r="FN67" s="72">
        <f t="shared" si="2"/>
        <v>54</v>
      </c>
      <c r="FO67" s="72">
        <f t="shared" si="2"/>
        <v>49</v>
      </c>
      <c r="FP67" s="72">
        <f t="shared" si="2"/>
        <v>49</v>
      </c>
      <c r="FQ67" s="72">
        <f t="shared" si="2"/>
        <v>50</v>
      </c>
      <c r="FR67" s="72">
        <f t="shared" si="2"/>
        <v>49</v>
      </c>
      <c r="FS67" s="72">
        <f t="shared" si="2"/>
        <v>49</v>
      </c>
      <c r="FT67" s="72">
        <f t="shared" si="2"/>
        <v>49</v>
      </c>
      <c r="FU67" s="72">
        <f t="shared" si="2"/>
        <v>28</v>
      </c>
      <c r="FV67" s="72">
        <f t="shared" si="2"/>
        <v>51</v>
      </c>
      <c r="FW67" s="72">
        <f t="shared" si="2"/>
        <v>52</v>
      </c>
      <c r="FX67" s="72">
        <f t="shared" si="2"/>
        <v>53</v>
      </c>
      <c r="FY67" s="72">
        <f t="shared" si="2"/>
        <v>47</v>
      </c>
      <c r="FZ67" s="72">
        <f t="shared" si="2"/>
        <v>33</v>
      </c>
      <c r="GA67" s="72">
        <f t="shared" si="2"/>
        <v>39</v>
      </c>
      <c r="GB67" s="72">
        <f t="shared" si="2"/>
        <v>41</v>
      </c>
      <c r="GC67" s="72">
        <f t="shared" si="2"/>
        <v>19</v>
      </c>
      <c r="GD67" s="72">
        <f t="shared" si="2"/>
        <v>3</v>
      </c>
      <c r="GE67" s="72">
        <f t="shared" si="2"/>
        <v>50</v>
      </c>
      <c r="GF67" s="72">
        <f t="shared" si="2"/>
        <v>15</v>
      </c>
      <c r="GG67" s="72">
        <f t="shared" si="2"/>
        <v>48</v>
      </c>
      <c r="GH67" s="72">
        <f t="shared" si="2"/>
        <v>3</v>
      </c>
      <c r="GI67" s="72">
        <f t="shared" si="2"/>
        <v>39</v>
      </c>
      <c r="GJ67" s="72">
        <f t="shared" si="2"/>
        <v>14</v>
      </c>
      <c r="GK67" s="72">
        <f t="shared" si="2"/>
        <v>39</v>
      </c>
      <c r="GL67" s="72">
        <f t="shared" si="2"/>
        <v>2</v>
      </c>
      <c r="GM67" s="72">
        <f t="shared" ref="GM67:IX67" si="3">COUNTA(GM3:GM66)</f>
        <v>37</v>
      </c>
      <c r="GN67" s="72">
        <f t="shared" si="3"/>
        <v>13</v>
      </c>
      <c r="GO67" s="72">
        <f t="shared" si="3"/>
        <v>37</v>
      </c>
      <c r="GP67" s="72">
        <f t="shared" si="3"/>
        <v>2</v>
      </c>
      <c r="GQ67" s="72">
        <f t="shared" si="3"/>
        <v>7</v>
      </c>
      <c r="GR67" s="72">
        <f t="shared" si="3"/>
        <v>3</v>
      </c>
      <c r="GS67" s="72">
        <f t="shared" si="3"/>
        <v>7</v>
      </c>
      <c r="GT67" s="72">
        <f t="shared" si="3"/>
        <v>0</v>
      </c>
      <c r="GU67" s="72">
        <f t="shared" si="3"/>
        <v>0</v>
      </c>
      <c r="GV67" s="72">
        <f t="shared" si="3"/>
        <v>0</v>
      </c>
      <c r="GW67" s="72">
        <f t="shared" si="3"/>
        <v>0</v>
      </c>
      <c r="GX67" s="72">
        <f t="shared" si="3"/>
        <v>0</v>
      </c>
      <c r="GY67" s="72">
        <f t="shared" si="3"/>
        <v>4</v>
      </c>
      <c r="GZ67" s="72">
        <f t="shared" si="3"/>
        <v>3</v>
      </c>
      <c r="HA67" s="72">
        <f t="shared" si="3"/>
        <v>3</v>
      </c>
      <c r="HB67" s="72">
        <f t="shared" si="3"/>
        <v>1</v>
      </c>
      <c r="HC67" s="72">
        <f t="shared" si="3"/>
        <v>0</v>
      </c>
      <c r="HD67" s="72">
        <f t="shared" si="3"/>
        <v>0</v>
      </c>
      <c r="HE67" s="72">
        <f t="shared" si="3"/>
        <v>0</v>
      </c>
      <c r="HF67" s="72">
        <f t="shared" si="3"/>
        <v>0</v>
      </c>
      <c r="HG67" s="72">
        <f t="shared" si="3"/>
        <v>13</v>
      </c>
      <c r="HH67" s="72">
        <f t="shared" si="3"/>
        <v>23</v>
      </c>
      <c r="HI67" s="72">
        <f t="shared" si="3"/>
        <v>26</v>
      </c>
      <c r="HJ67" s="72">
        <f t="shared" si="3"/>
        <v>10</v>
      </c>
      <c r="HK67" s="72">
        <f t="shared" si="3"/>
        <v>1</v>
      </c>
      <c r="HL67" s="72">
        <f t="shared" si="3"/>
        <v>4</v>
      </c>
      <c r="HM67" s="72">
        <f t="shared" si="3"/>
        <v>2</v>
      </c>
      <c r="HN67" s="72">
        <f t="shared" si="3"/>
        <v>8</v>
      </c>
      <c r="HO67" s="72">
        <f t="shared" si="3"/>
        <v>8</v>
      </c>
      <c r="HP67" s="72">
        <f t="shared" si="3"/>
        <v>14</v>
      </c>
      <c r="HQ67" s="72">
        <f t="shared" si="3"/>
        <v>19</v>
      </c>
      <c r="HR67" s="72">
        <f t="shared" si="3"/>
        <v>15</v>
      </c>
      <c r="HS67" s="72">
        <f t="shared" si="3"/>
        <v>21</v>
      </c>
      <c r="HT67" s="72">
        <f t="shared" si="3"/>
        <v>5</v>
      </c>
      <c r="HU67" s="72">
        <f t="shared" si="3"/>
        <v>10</v>
      </c>
      <c r="HV67" s="72">
        <f t="shared" si="3"/>
        <v>0</v>
      </c>
      <c r="HW67" s="72">
        <f t="shared" si="3"/>
        <v>0</v>
      </c>
      <c r="HX67" s="72">
        <f t="shared" si="3"/>
        <v>1</v>
      </c>
      <c r="HY67" s="72">
        <f t="shared" si="3"/>
        <v>4</v>
      </c>
      <c r="HZ67" s="72">
        <f t="shared" si="3"/>
        <v>0</v>
      </c>
      <c r="IA67" s="72">
        <f t="shared" si="3"/>
        <v>0</v>
      </c>
      <c r="IB67" s="72">
        <f t="shared" si="3"/>
        <v>31</v>
      </c>
      <c r="IC67" s="72">
        <f t="shared" si="3"/>
        <v>33</v>
      </c>
      <c r="ID67" s="72">
        <f t="shared" si="3"/>
        <v>35</v>
      </c>
      <c r="IE67" s="72">
        <f t="shared" si="3"/>
        <v>8</v>
      </c>
      <c r="IF67" s="72">
        <f t="shared" si="3"/>
        <v>0</v>
      </c>
      <c r="IG67" s="72">
        <f t="shared" si="3"/>
        <v>4</v>
      </c>
      <c r="IH67" s="72">
        <f t="shared" si="3"/>
        <v>2</v>
      </c>
      <c r="II67" s="72">
        <f t="shared" si="3"/>
        <v>6</v>
      </c>
      <c r="IJ67" s="72">
        <f t="shared" si="3"/>
        <v>5</v>
      </c>
      <c r="IK67" s="72">
        <f t="shared" si="3"/>
        <v>7</v>
      </c>
      <c r="IL67" s="72">
        <f t="shared" si="3"/>
        <v>8</v>
      </c>
      <c r="IM67" s="72">
        <f t="shared" si="3"/>
        <v>7</v>
      </c>
      <c r="IN67" s="72">
        <f t="shared" si="3"/>
        <v>9</v>
      </c>
      <c r="IO67" s="72">
        <f t="shared" si="3"/>
        <v>3</v>
      </c>
      <c r="IP67" s="72">
        <f t="shared" si="3"/>
        <v>4</v>
      </c>
      <c r="IQ67" s="72">
        <f t="shared" si="3"/>
        <v>0</v>
      </c>
      <c r="IR67" s="72">
        <f t="shared" si="3"/>
        <v>0</v>
      </c>
      <c r="IS67" s="72">
        <f t="shared" si="3"/>
        <v>1</v>
      </c>
      <c r="IT67" s="72">
        <f t="shared" si="3"/>
        <v>1</v>
      </c>
      <c r="IU67" s="72">
        <f t="shared" si="3"/>
        <v>0</v>
      </c>
      <c r="IV67" s="72">
        <f t="shared" si="3"/>
        <v>0</v>
      </c>
      <c r="IW67" s="72">
        <f t="shared" si="3"/>
        <v>17</v>
      </c>
      <c r="IX67" s="72">
        <f t="shared" si="3"/>
        <v>23</v>
      </c>
      <c r="IY67" s="72">
        <f t="shared" ref="IY67:LJ67" si="4">COUNTA(IY3:IY66)</f>
        <v>26</v>
      </c>
      <c r="IZ67" s="72">
        <f t="shared" si="4"/>
        <v>10</v>
      </c>
      <c r="JA67" s="72">
        <f t="shared" si="4"/>
        <v>0</v>
      </c>
      <c r="JB67" s="72">
        <f t="shared" si="4"/>
        <v>1</v>
      </c>
      <c r="JC67" s="72">
        <f t="shared" si="4"/>
        <v>2</v>
      </c>
      <c r="JD67" s="72">
        <f t="shared" si="4"/>
        <v>7</v>
      </c>
      <c r="JE67" s="72">
        <f t="shared" si="4"/>
        <v>7</v>
      </c>
      <c r="JF67" s="72">
        <f t="shared" si="4"/>
        <v>13</v>
      </c>
      <c r="JG67" s="72">
        <f t="shared" si="4"/>
        <v>16</v>
      </c>
      <c r="JH67" s="72">
        <f t="shared" si="4"/>
        <v>13</v>
      </c>
      <c r="JI67" s="72">
        <f t="shared" si="4"/>
        <v>19</v>
      </c>
      <c r="JJ67" s="72">
        <f t="shared" si="4"/>
        <v>4</v>
      </c>
      <c r="JK67" s="72">
        <f t="shared" si="4"/>
        <v>9</v>
      </c>
      <c r="JL67" s="72">
        <f t="shared" si="4"/>
        <v>0</v>
      </c>
      <c r="JM67" s="72">
        <f t="shared" si="4"/>
        <v>0</v>
      </c>
      <c r="JN67" s="72">
        <f t="shared" si="4"/>
        <v>1</v>
      </c>
      <c r="JO67" s="72">
        <f t="shared" si="4"/>
        <v>2</v>
      </c>
      <c r="JP67" s="72">
        <f t="shared" si="4"/>
        <v>0</v>
      </c>
      <c r="JQ67" s="72">
        <f t="shared" si="4"/>
        <v>0</v>
      </c>
      <c r="JR67" s="72">
        <f t="shared" si="4"/>
        <v>14</v>
      </c>
      <c r="JS67" s="72">
        <f t="shared" si="4"/>
        <v>15</v>
      </c>
      <c r="JT67" s="72">
        <f t="shared" si="4"/>
        <v>17</v>
      </c>
      <c r="JU67" s="72">
        <f t="shared" si="4"/>
        <v>7</v>
      </c>
      <c r="JV67" s="72">
        <f t="shared" si="4"/>
        <v>0</v>
      </c>
      <c r="JW67" s="72">
        <f t="shared" si="4"/>
        <v>2</v>
      </c>
      <c r="JX67" s="72">
        <f t="shared" si="4"/>
        <v>2</v>
      </c>
      <c r="JY67" s="72">
        <f t="shared" si="4"/>
        <v>4</v>
      </c>
      <c r="JZ67" s="72">
        <f t="shared" si="4"/>
        <v>3</v>
      </c>
      <c r="KA67" s="72">
        <f t="shared" si="4"/>
        <v>5</v>
      </c>
      <c r="KB67" s="72">
        <f t="shared" si="4"/>
        <v>5</v>
      </c>
      <c r="KC67" s="72">
        <f t="shared" si="4"/>
        <v>5</v>
      </c>
      <c r="KD67" s="72">
        <f t="shared" si="4"/>
        <v>5</v>
      </c>
      <c r="KE67" s="72">
        <f t="shared" si="4"/>
        <v>2</v>
      </c>
      <c r="KF67" s="72">
        <f t="shared" si="4"/>
        <v>2</v>
      </c>
      <c r="KG67" s="72">
        <f t="shared" si="4"/>
        <v>0</v>
      </c>
      <c r="KH67" s="72">
        <f t="shared" si="4"/>
        <v>0</v>
      </c>
      <c r="KI67" s="72">
        <f t="shared" si="4"/>
        <v>1</v>
      </c>
      <c r="KJ67" s="72">
        <f t="shared" si="4"/>
        <v>1</v>
      </c>
      <c r="KK67" s="72">
        <f t="shared" si="4"/>
        <v>0</v>
      </c>
      <c r="KL67" s="72">
        <f t="shared" si="4"/>
        <v>0</v>
      </c>
      <c r="KM67" s="72">
        <f t="shared" si="4"/>
        <v>52</v>
      </c>
      <c r="KN67" s="72">
        <f t="shared" si="4"/>
        <v>52</v>
      </c>
      <c r="KO67" s="72">
        <f t="shared" si="4"/>
        <v>52</v>
      </c>
      <c r="KP67" s="72">
        <f t="shared" si="4"/>
        <v>64</v>
      </c>
      <c r="KQ67" s="72">
        <f t="shared" si="4"/>
        <v>60</v>
      </c>
      <c r="KR67" s="72">
        <f t="shared" si="4"/>
        <v>21</v>
      </c>
      <c r="KS67" s="72">
        <f t="shared" si="4"/>
        <v>60</v>
      </c>
      <c r="KT67" s="72">
        <f t="shared" si="4"/>
        <v>60</v>
      </c>
      <c r="KU67" s="72">
        <f t="shared" si="4"/>
        <v>60</v>
      </c>
      <c r="KV67" s="72">
        <f t="shared" si="4"/>
        <v>60</v>
      </c>
      <c r="KW67" s="72">
        <f t="shared" si="4"/>
        <v>15</v>
      </c>
      <c r="KX67" s="72">
        <f t="shared" si="4"/>
        <v>15</v>
      </c>
      <c r="KY67" s="72">
        <f t="shared" si="4"/>
        <v>60</v>
      </c>
      <c r="KZ67" s="72">
        <f t="shared" si="4"/>
        <v>60</v>
      </c>
      <c r="LA67" s="72">
        <f t="shared" si="4"/>
        <v>60</v>
      </c>
      <c r="LB67" s="72">
        <f t="shared" si="4"/>
        <v>59</v>
      </c>
      <c r="LC67" s="72">
        <f t="shared" si="4"/>
        <v>59</v>
      </c>
      <c r="LD67" s="72">
        <f t="shared" si="4"/>
        <v>59</v>
      </c>
      <c r="LE67" s="72">
        <f t="shared" si="4"/>
        <v>57</v>
      </c>
      <c r="LF67" s="72">
        <f t="shared" si="4"/>
        <v>0</v>
      </c>
      <c r="LG67" s="72">
        <f t="shared" si="4"/>
        <v>0</v>
      </c>
      <c r="LH67" s="72">
        <f t="shared" si="4"/>
        <v>0</v>
      </c>
      <c r="LI67" s="72">
        <f t="shared" si="4"/>
        <v>0</v>
      </c>
      <c r="LJ67" s="72">
        <f t="shared" si="4"/>
        <v>0</v>
      </c>
      <c r="LK67" s="72">
        <f t="shared" ref="LK67:NV67" si="5">COUNTA(LK3:LK66)</f>
        <v>0</v>
      </c>
      <c r="LL67" s="72">
        <f t="shared" si="5"/>
        <v>0</v>
      </c>
      <c r="LM67" s="72">
        <f t="shared" si="5"/>
        <v>0</v>
      </c>
      <c r="LN67" s="72">
        <f t="shared" si="5"/>
        <v>1</v>
      </c>
      <c r="LO67" s="72">
        <f t="shared" si="5"/>
        <v>0</v>
      </c>
      <c r="LP67" s="72">
        <f t="shared" si="5"/>
        <v>0</v>
      </c>
      <c r="LQ67" s="72">
        <f t="shared" si="5"/>
        <v>0</v>
      </c>
      <c r="LR67" s="72">
        <f t="shared" si="5"/>
        <v>56</v>
      </c>
      <c r="LS67" s="72">
        <f t="shared" si="5"/>
        <v>0</v>
      </c>
      <c r="LT67" s="72">
        <f t="shared" si="5"/>
        <v>0</v>
      </c>
      <c r="LU67" s="72">
        <f t="shared" si="5"/>
        <v>0</v>
      </c>
      <c r="LV67" s="72">
        <f t="shared" si="5"/>
        <v>0</v>
      </c>
      <c r="LW67" s="72">
        <f t="shared" si="5"/>
        <v>0</v>
      </c>
      <c r="LX67" s="72">
        <f t="shared" si="5"/>
        <v>0</v>
      </c>
      <c r="LY67" s="72">
        <f t="shared" si="5"/>
        <v>0</v>
      </c>
      <c r="LZ67" s="72">
        <f t="shared" si="5"/>
        <v>0</v>
      </c>
      <c r="MA67" s="72">
        <f t="shared" si="5"/>
        <v>1</v>
      </c>
      <c r="MB67" s="72">
        <f t="shared" si="5"/>
        <v>0</v>
      </c>
      <c r="MC67" s="72">
        <f t="shared" si="5"/>
        <v>0</v>
      </c>
      <c r="MD67" s="72">
        <f t="shared" si="5"/>
        <v>0</v>
      </c>
      <c r="ME67" s="72">
        <f t="shared" si="5"/>
        <v>0</v>
      </c>
      <c r="MF67" s="72">
        <f t="shared" si="5"/>
        <v>0</v>
      </c>
      <c r="MG67" s="72">
        <f t="shared" si="5"/>
        <v>0</v>
      </c>
      <c r="MH67" s="72">
        <f t="shared" si="5"/>
        <v>0</v>
      </c>
      <c r="MI67" s="72">
        <f t="shared" si="5"/>
        <v>0</v>
      </c>
      <c r="MJ67" s="72">
        <f t="shared" si="5"/>
        <v>0</v>
      </c>
      <c r="MK67" s="72">
        <f t="shared" si="5"/>
        <v>0</v>
      </c>
      <c r="ML67" s="72">
        <f t="shared" si="5"/>
        <v>0</v>
      </c>
      <c r="MM67" s="72">
        <f t="shared" si="5"/>
        <v>0</v>
      </c>
      <c r="MN67" s="72">
        <f t="shared" si="5"/>
        <v>1</v>
      </c>
      <c r="MO67" s="72">
        <f t="shared" si="5"/>
        <v>0</v>
      </c>
      <c r="MP67" s="72">
        <f t="shared" si="5"/>
        <v>0</v>
      </c>
      <c r="MQ67" s="72">
        <f t="shared" si="5"/>
        <v>0</v>
      </c>
      <c r="MR67" s="72">
        <f t="shared" si="5"/>
        <v>0</v>
      </c>
      <c r="MS67" s="72">
        <f t="shared" si="5"/>
        <v>0</v>
      </c>
      <c r="MT67" s="72">
        <f t="shared" si="5"/>
        <v>0</v>
      </c>
      <c r="MU67" s="72">
        <f t="shared" si="5"/>
        <v>0</v>
      </c>
      <c r="MV67" s="72">
        <f t="shared" si="5"/>
        <v>0</v>
      </c>
      <c r="MW67" s="72">
        <f t="shared" si="5"/>
        <v>0</v>
      </c>
      <c r="MX67" s="72">
        <f t="shared" si="5"/>
        <v>0</v>
      </c>
      <c r="MY67" s="72">
        <f t="shared" si="5"/>
        <v>0</v>
      </c>
      <c r="MZ67" s="72">
        <f t="shared" si="5"/>
        <v>0</v>
      </c>
      <c r="NA67" s="72">
        <f t="shared" si="5"/>
        <v>1</v>
      </c>
      <c r="NB67" s="72">
        <f t="shared" si="5"/>
        <v>0</v>
      </c>
      <c r="NC67" s="72">
        <f t="shared" si="5"/>
        <v>0</v>
      </c>
      <c r="ND67" s="72">
        <f t="shared" si="5"/>
        <v>0</v>
      </c>
      <c r="NE67" s="72">
        <f t="shared" si="5"/>
        <v>0</v>
      </c>
      <c r="NF67" s="72">
        <f t="shared" si="5"/>
        <v>0</v>
      </c>
      <c r="NG67" s="72">
        <f t="shared" si="5"/>
        <v>0</v>
      </c>
      <c r="NH67" s="72">
        <f t="shared" si="5"/>
        <v>0</v>
      </c>
      <c r="NI67" s="72">
        <f t="shared" si="5"/>
        <v>0</v>
      </c>
      <c r="NJ67" s="72">
        <f t="shared" si="5"/>
        <v>0</v>
      </c>
      <c r="NK67" s="72">
        <f t="shared" si="5"/>
        <v>0</v>
      </c>
      <c r="NL67" s="72">
        <f t="shared" si="5"/>
        <v>0</v>
      </c>
      <c r="NM67" s="72">
        <f t="shared" si="5"/>
        <v>0</v>
      </c>
      <c r="NN67" s="72">
        <f t="shared" si="5"/>
        <v>1</v>
      </c>
      <c r="NO67" s="72">
        <f t="shared" si="5"/>
        <v>0</v>
      </c>
      <c r="NP67" s="72">
        <f t="shared" si="5"/>
        <v>0</v>
      </c>
      <c r="NQ67" s="72">
        <f t="shared" si="5"/>
        <v>0</v>
      </c>
      <c r="NR67" s="72">
        <f t="shared" si="5"/>
        <v>0</v>
      </c>
      <c r="NS67" s="72">
        <f t="shared" si="5"/>
        <v>0</v>
      </c>
      <c r="NT67" s="72">
        <f t="shared" si="5"/>
        <v>0</v>
      </c>
      <c r="NU67" s="72">
        <f t="shared" si="5"/>
        <v>0</v>
      </c>
      <c r="NV67" s="72">
        <f t="shared" si="5"/>
        <v>0</v>
      </c>
      <c r="NW67" s="72">
        <f t="shared" ref="NW67:QH67" si="6">COUNTA(NW3:NW66)</f>
        <v>0</v>
      </c>
      <c r="NX67" s="72">
        <f t="shared" si="6"/>
        <v>0</v>
      </c>
      <c r="NY67" s="72">
        <f t="shared" si="6"/>
        <v>0</v>
      </c>
      <c r="NZ67" s="72">
        <f t="shared" si="6"/>
        <v>0</v>
      </c>
      <c r="OA67" s="72">
        <f t="shared" si="6"/>
        <v>1</v>
      </c>
      <c r="OB67" s="72">
        <f t="shared" si="6"/>
        <v>0</v>
      </c>
      <c r="OC67" s="72">
        <f t="shared" si="6"/>
        <v>0</v>
      </c>
      <c r="OD67" s="72">
        <f t="shared" si="6"/>
        <v>0</v>
      </c>
      <c r="OE67" s="72">
        <f t="shared" si="6"/>
        <v>61</v>
      </c>
      <c r="OF67" s="72">
        <f t="shared" si="6"/>
        <v>61</v>
      </c>
      <c r="OG67" s="72">
        <f t="shared" si="6"/>
        <v>43</v>
      </c>
      <c r="OH67" s="72">
        <f t="shared" si="6"/>
        <v>61</v>
      </c>
      <c r="OI67" s="72">
        <f t="shared" si="6"/>
        <v>1</v>
      </c>
      <c r="OJ67" s="72">
        <f t="shared" si="6"/>
        <v>60</v>
      </c>
      <c r="OK67" s="72">
        <f t="shared" si="6"/>
        <v>60</v>
      </c>
      <c r="OL67" s="72">
        <f t="shared" si="6"/>
        <v>3</v>
      </c>
      <c r="OM67" s="72">
        <f t="shared" si="6"/>
        <v>3</v>
      </c>
      <c r="ON67" s="72">
        <f t="shared" si="6"/>
        <v>3</v>
      </c>
      <c r="OO67" s="72">
        <f t="shared" si="6"/>
        <v>2</v>
      </c>
      <c r="OP67" s="72">
        <f t="shared" si="6"/>
        <v>2</v>
      </c>
      <c r="OQ67" s="72">
        <f t="shared" si="6"/>
        <v>9</v>
      </c>
      <c r="OR67" s="72">
        <f t="shared" si="6"/>
        <v>0</v>
      </c>
      <c r="OS67" s="72">
        <f t="shared" si="6"/>
        <v>60</v>
      </c>
      <c r="OT67" s="72">
        <f t="shared" si="6"/>
        <v>60</v>
      </c>
      <c r="OU67" s="72">
        <f t="shared" si="6"/>
        <v>58</v>
      </c>
      <c r="OV67" s="72">
        <f t="shared" si="6"/>
        <v>54</v>
      </c>
      <c r="OW67" s="72">
        <f t="shared" si="6"/>
        <v>55</v>
      </c>
      <c r="OX67" s="72">
        <f t="shared" si="6"/>
        <v>39</v>
      </c>
      <c r="OY67" s="72">
        <f t="shared" si="6"/>
        <v>17</v>
      </c>
      <c r="OZ67" s="72">
        <f t="shared" si="6"/>
        <v>5</v>
      </c>
      <c r="PA67" s="72">
        <f t="shared" si="6"/>
        <v>5</v>
      </c>
      <c r="PB67" s="72">
        <f t="shared" si="6"/>
        <v>4</v>
      </c>
      <c r="PC67" s="72">
        <f t="shared" si="6"/>
        <v>4</v>
      </c>
      <c r="PD67" s="72">
        <f t="shared" si="6"/>
        <v>4</v>
      </c>
      <c r="PE67" s="72">
        <f t="shared" si="6"/>
        <v>5</v>
      </c>
      <c r="PF67" s="72">
        <f t="shared" si="6"/>
        <v>0</v>
      </c>
      <c r="PG67" s="72">
        <f t="shared" si="6"/>
        <v>59</v>
      </c>
      <c r="PH67" s="72">
        <f t="shared" si="6"/>
        <v>59</v>
      </c>
      <c r="PI67" s="72">
        <f t="shared" si="6"/>
        <v>57</v>
      </c>
      <c r="PJ67" s="72">
        <f t="shared" si="6"/>
        <v>53</v>
      </c>
      <c r="PK67" s="72">
        <f t="shared" si="6"/>
        <v>54</v>
      </c>
      <c r="PL67" s="72">
        <f t="shared" si="6"/>
        <v>28</v>
      </c>
      <c r="PM67" s="72">
        <f t="shared" si="6"/>
        <v>16</v>
      </c>
      <c r="PN67" s="72">
        <f t="shared" si="6"/>
        <v>59</v>
      </c>
      <c r="PO67" s="72">
        <f t="shared" si="6"/>
        <v>59</v>
      </c>
      <c r="PP67" s="72">
        <f t="shared" si="6"/>
        <v>59</v>
      </c>
      <c r="PQ67" s="72">
        <f t="shared" si="6"/>
        <v>53</v>
      </c>
      <c r="PR67" s="72">
        <f t="shared" si="6"/>
        <v>54</v>
      </c>
      <c r="PS67" s="72">
        <f t="shared" si="6"/>
        <v>48</v>
      </c>
      <c r="PT67" s="72">
        <f t="shared" si="6"/>
        <v>20</v>
      </c>
      <c r="PU67" s="72">
        <f t="shared" si="6"/>
        <v>56</v>
      </c>
      <c r="PV67" s="72">
        <f t="shared" si="6"/>
        <v>56</v>
      </c>
      <c r="PW67" s="72">
        <f t="shared" si="6"/>
        <v>57</v>
      </c>
      <c r="PX67" s="72">
        <f t="shared" si="6"/>
        <v>51</v>
      </c>
      <c r="PY67" s="72">
        <f t="shared" si="6"/>
        <v>50</v>
      </c>
      <c r="PZ67" s="72">
        <f t="shared" si="6"/>
        <v>46</v>
      </c>
      <c r="QA67" s="72">
        <f t="shared" si="6"/>
        <v>18</v>
      </c>
      <c r="QB67" s="72">
        <f t="shared" si="6"/>
        <v>61</v>
      </c>
      <c r="QC67" s="72">
        <f t="shared" si="6"/>
        <v>61</v>
      </c>
      <c r="QD67" s="72">
        <f t="shared" si="6"/>
        <v>61</v>
      </c>
      <c r="QE67" s="72">
        <f t="shared" si="6"/>
        <v>58</v>
      </c>
      <c r="QF67" s="72">
        <f t="shared" si="6"/>
        <v>55</v>
      </c>
      <c r="QG67" s="72">
        <f t="shared" si="6"/>
        <v>56</v>
      </c>
      <c r="QH67" s="72">
        <f t="shared" si="6"/>
        <v>56</v>
      </c>
      <c r="QI67" s="72">
        <f t="shared" ref="QI67:ST67" si="7">COUNTA(QI3:QI66)</f>
        <v>55</v>
      </c>
      <c r="QJ67" s="72">
        <f t="shared" si="7"/>
        <v>56</v>
      </c>
      <c r="QK67" s="72">
        <f t="shared" si="7"/>
        <v>31</v>
      </c>
      <c r="QL67" s="72">
        <f t="shared" si="7"/>
        <v>60</v>
      </c>
      <c r="QM67" s="72">
        <f t="shared" si="7"/>
        <v>60</v>
      </c>
      <c r="QN67" s="72">
        <f t="shared" si="7"/>
        <v>59</v>
      </c>
      <c r="QO67" s="72">
        <f t="shared" si="7"/>
        <v>57</v>
      </c>
      <c r="QP67" s="72">
        <f t="shared" si="7"/>
        <v>38</v>
      </c>
      <c r="QQ67" s="72">
        <f t="shared" si="7"/>
        <v>46</v>
      </c>
      <c r="QR67" s="72">
        <f t="shared" si="7"/>
        <v>47</v>
      </c>
      <c r="QS67" s="72">
        <f t="shared" si="7"/>
        <v>23</v>
      </c>
      <c r="QT67" s="72">
        <f t="shared" si="7"/>
        <v>1</v>
      </c>
      <c r="QU67" s="72">
        <f t="shared" si="7"/>
        <v>24</v>
      </c>
      <c r="QV67" s="72">
        <f t="shared" si="7"/>
        <v>5</v>
      </c>
      <c r="QW67" s="72">
        <f t="shared" si="7"/>
        <v>24</v>
      </c>
      <c r="QX67" s="72">
        <f t="shared" si="7"/>
        <v>4</v>
      </c>
      <c r="QY67" s="72">
        <f t="shared" si="7"/>
        <v>18</v>
      </c>
      <c r="QZ67" s="72">
        <f t="shared" si="7"/>
        <v>5</v>
      </c>
      <c r="RA67" s="72">
        <f t="shared" si="7"/>
        <v>20</v>
      </c>
      <c r="RB67" s="72">
        <f t="shared" si="7"/>
        <v>4</v>
      </c>
      <c r="RC67" s="72">
        <f t="shared" si="7"/>
        <v>17</v>
      </c>
      <c r="RD67" s="72">
        <f t="shared" si="7"/>
        <v>4</v>
      </c>
      <c r="RE67" s="72">
        <f t="shared" si="7"/>
        <v>19</v>
      </c>
      <c r="RF67" s="72">
        <f t="shared" si="7"/>
        <v>3</v>
      </c>
      <c r="RG67" s="72">
        <f t="shared" si="7"/>
        <v>6</v>
      </c>
      <c r="RH67" s="72">
        <f t="shared" si="7"/>
        <v>3</v>
      </c>
      <c r="RI67" s="72">
        <f t="shared" si="7"/>
        <v>6</v>
      </c>
      <c r="RJ67" s="72">
        <f t="shared" si="7"/>
        <v>2</v>
      </c>
      <c r="RK67" s="72">
        <f t="shared" si="7"/>
        <v>0</v>
      </c>
      <c r="RL67" s="72">
        <f t="shared" si="7"/>
        <v>0</v>
      </c>
      <c r="RM67" s="72">
        <f t="shared" si="7"/>
        <v>0</v>
      </c>
      <c r="RN67" s="72">
        <f t="shared" si="7"/>
        <v>0</v>
      </c>
      <c r="RO67" s="72">
        <f t="shared" si="7"/>
        <v>3</v>
      </c>
      <c r="RP67" s="72">
        <f t="shared" si="7"/>
        <v>0</v>
      </c>
      <c r="RQ67" s="72">
        <f t="shared" si="7"/>
        <v>0</v>
      </c>
      <c r="RR67" s="72">
        <f t="shared" si="7"/>
        <v>0</v>
      </c>
      <c r="RS67" s="72">
        <f t="shared" si="7"/>
        <v>0</v>
      </c>
      <c r="RT67" s="72">
        <f t="shared" si="7"/>
        <v>0</v>
      </c>
      <c r="RU67" s="72">
        <f t="shared" si="7"/>
        <v>0</v>
      </c>
      <c r="RV67" s="72">
        <f t="shared" si="7"/>
        <v>0</v>
      </c>
      <c r="RW67" s="72">
        <f t="shared" si="7"/>
        <v>38</v>
      </c>
      <c r="RX67" s="72">
        <f t="shared" si="7"/>
        <v>42</v>
      </c>
      <c r="RY67" s="72">
        <f t="shared" si="7"/>
        <v>43</v>
      </c>
      <c r="RZ67" s="72">
        <f t="shared" si="7"/>
        <v>15</v>
      </c>
      <c r="SA67" s="72">
        <f t="shared" si="7"/>
        <v>2</v>
      </c>
      <c r="SB67" s="72">
        <f t="shared" si="7"/>
        <v>7</v>
      </c>
      <c r="SC67" s="72">
        <f t="shared" si="7"/>
        <v>2</v>
      </c>
      <c r="SD67" s="72">
        <f t="shared" si="7"/>
        <v>3</v>
      </c>
      <c r="SE67" s="72">
        <f t="shared" si="7"/>
        <v>5</v>
      </c>
      <c r="SF67" s="72">
        <f t="shared" si="7"/>
        <v>5</v>
      </c>
      <c r="SG67" s="72">
        <f t="shared" si="7"/>
        <v>8</v>
      </c>
      <c r="SH67" s="72">
        <f t="shared" si="7"/>
        <v>9</v>
      </c>
      <c r="SI67" s="72">
        <f t="shared" si="7"/>
        <v>8</v>
      </c>
      <c r="SJ67" s="72">
        <f t="shared" si="7"/>
        <v>3</v>
      </c>
      <c r="SK67" s="72">
        <f t="shared" si="7"/>
        <v>3</v>
      </c>
      <c r="SL67" s="72">
        <f t="shared" si="7"/>
        <v>1</v>
      </c>
      <c r="SM67" s="72">
        <f t="shared" si="7"/>
        <v>1</v>
      </c>
      <c r="SN67" s="72">
        <f t="shared" si="7"/>
        <v>1</v>
      </c>
      <c r="SO67" s="72">
        <f t="shared" si="7"/>
        <v>3</v>
      </c>
      <c r="SP67" s="72">
        <f t="shared" si="7"/>
        <v>1</v>
      </c>
      <c r="SQ67" s="72">
        <f t="shared" si="7"/>
        <v>1</v>
      </c>
      <c r="SR67" s="72">
        <f t="shared" si="7"/>
        <v>21</v>
      </c>
      <c r="SS67" s="72">
        <f t="shared" si="7"/>
        <v>21</v>
      </c>
      <c r="ST67" s="72">
        <f t="shared" si="7"/>
        <v>21</v>
      </c>
      <c r="SU67" s="72">
        <f t="shared" ref="SU67:VF67" si="8">COUNTA(SU3:SU66)</f>
        <v>6</v>
      </c>
      <c r="SV67" s="72">
        <f t="shared" si="8"/>
        <v>2</v>
      </c>
      <c r="SW67" s="72">
        <f t="shared" si="8"/>
        <v>4</v>
      </c>
      <c r="SX67" s="72">
        <f t="shared" si="8"/>
        <v>1</v>
      </c>
      <c r="SY67" s="72">
        <f t="shared" si="8"/>
        <v>4</v>
      </c>
      <c r="SZ67" s="72">
        <f t="shared" si="8"/>
        <v>4</v>
      </c>
      <c r="TA67" s="72">
        <f t="shared" si="8"/>
        <v>4</v>
      </c>
      <c r="TB67" s="72">
        <f t="shared" si="8"/>
        <v>5</v>
      </c>
      <c r="TC67" s="72">
        <f t="shared" si="8"/>
        <v>4</v>
      </c>
      <c r="TD67" s="72">
        <f t="shared" si="8"/>
        <v>5</v>
      </c>
      <c r="TE67" s="72">
        <f t="shared" si="8"/>
        <v>1</v>
      </c>
      <c r="TF67" s="72">
        <f t="shared" si="8"/>
        <v>2</v>
      </c>
      <c r="TG67" s="72">
        <f t="shared" si="8"/>
        <v>1</v>
      </c>
      <c r="TH67" s="72">
        <f t="shared" si="8"/>
        <v>1</v>
      </c>
      <c r="TI67" s="72">
        <f t="shared" si="8"/>
        <v>1</v>
      </c>
      <c r="TJ67" s="72">
        <f t="shared" si="8"/>
        <v>1</v>
      </c>
      <c r="TK67" s="72">
        <f t="shared" si="8"/>
        <v>0</v>
      </c>
      <c r="TL67" s="72">
        <f t="shared" si="8"/>
        <v>0</v>
      </c>
      <c r="TM67" s="72">
        <f t="shared" si="8"/>
        <v>16</v>
      </c>
      <c r="TN67" s="72">
        <f t="shared" si="8"/>
        <v>18</v>
      </c>
      <c r="TO67" s="72">
        <f t="shared" si="8"/>
        <v>18</v>
      </c>
      <c r="TP67" s="72">
        <f t="shared" si="8"/>
        <v>5</v>
      </c>
      <c r="TQ67" s="72">
        <f t="shared" si="8"/>
        <v>2</v>
      </c>
      <c r="TR67" s="72">
        <f t="shared" si="8"/>
        <v>4</v>
      </c>
      <c r="TS67" s="72">
        <f t="shared" si="8"/>
        <v>1</v>
      </c>
      <c r="TT67" s="72">
        <f t="shared" si="8"/>
        <v>3</v>
      </c>
      <c r="TU67" s="72">
        <f t="shared" si="8"/>
        <v>6</v>
      </c>
      <c r="TV67" s="72">
        <f t="shared" si="8"/>
        <v>5</v>
      </c>
      <c r="TW67" s="72">
        <f t="shared" si="8"/>
        <v>8</v>
      </c>
      <c r="TX67" s="72">
        <f t="shared" si="8"/>
        <v>5</v>
      </c>
      <c r="TY67" s="72">
        <f t="shared" si="8"/>
        <v>8</v>
      </c>
      <c r="TZ67" s="72">
        <f t="shared" si="8"/>
        <v>1</v>
      </c>
      <c r="UA67" s="72">
        <f t="shared" si="8"/>
        <v>2</v>
      </c>
      <c r="UB67" s="72">
        <f t="shared" si="8"/>
        <v>1</v>
      </c>
      <c r="UC67" s="72">
        <f t="shared" si="8"/>
        <v>1</v>
      </c>
      <c r="UD67" s="72">
        <f t="shared" si="8"/>
        <v>1</v>
      </c>
      <c r="UE67" s="72">
        <f t="shared" si="8"/>
        <v>1</v>
      </c>
      <c r="UF67" s="72">
        <f t="shared" si="8"/>
        <v>0</v>
      </c>
      <c r="UG67" s="72">
        <f t="shared" si="8"/>
        <v>1</v>
      </c>
      <c r="UH67" s="72">
        <f t="shared" si="8"/>
        <v>10</v>
      </c>
      <c r="UI67" s="72">
        <f t="shared" si="8"/>
        <v>9</v>
      </c>
      <c r="UJ67" s="72">
        <f t="shared" si="8"/>
        <v>9</v>
      </c>
      <c r="UK67" s="72">
        <f t="shared" si="8"/>
        <v>2</v>
      </c>
      <c r="UL67" s="72">
        <f t="shared" si="8"/>
        <v>2</v>
      </c>
      <c r="UM67" s="72">
        <f t="shared" si="8"/>
        <v>3</v>
      </c>
      <c r="UN67" s="72">
        <f t="shared" si="8"/>
        <v>1</v>
      </c>
      <c r="UO67" s="72">
        <f t="shared" si="8"/>
        <v>2</v>
      </c>
      <c r="UP67" s="72">
        <f t="shared" si="8"/>
        <v>2</v>
      </c>
      <c r="UQ67" s="72">
        <f t="shared" si="8"/>
        <v>2</v>
      </c>
      <c r="UR67" s="72">
        <f t="shared" si="8"/>
        <v>2</v>
      </c>
      <c r="US67" s="72">
        <f t="shared" si="8"/>
        <v>2</v>
      </c>
      <c r="UT67" s="72">
        <f t="shared" si="8"/>
        <v>2</v>
      </c>
      <c r="UU67" s="72">
        <f t="shared" si="8"/>
        <v>1</v>
      </c>
      <c r="UV67" s="72">
        <f t="shared" si="8"/>
        <v>1</v>
      </c>
      <c r="UW67" s="72">
        <f t="shared" si="8"/>
        <v>1</v>
      </c>
      <c r="UX67" s="72">
        <f t="shared" si="8"/>
        <v>1</v>
      </c>
      <c r="UY67" s="72">
        <f t="shared" si="8"/>
        <v>1</v>
      </c>
      <c r="UZ67" s="72">
        <f t="shared" si="8"/>
        <v>1</v>
      </c>
      <c r="VA67" s="72">
        <f t="shared" si="8"/>
        <v>1</v>
      </c>
      <c r="VB67" s="72">
        <f t="shared" si="8"/>
        <v>1</v>
      </c>
      <c r="VC67" s="72">
        <f t="shared" si="8"/>
        <v>59</v>
      </c>
      <c r="VD67" s="72">
        <f t="shared" si="8"/>
        <v>60</v>
      </c>
      <c r="VE67" s="72">
        <f t="shared" si="8"/>
        <v>59</v>
      </c>
      <c r="VF67" s="72">
        <f t="shared" si="8"/>
        <v>64</v>
      </c>
      <c r="VG67" s="72">
        <f t="shared" ref="VG67:XR67" si="9">COUNTA(VG3:VG66)</f>
        <v>18</v>
      </c>
      <c r="VH67" s="72">
        <f t="shared" si="9"/>
        <v>6</v>
      </c>
      <c r="VI67" s="72">
        <f t="shared" si="9"/>
        <v>18</v>
      </c>
      <c r="VJ67" s="72">
        <f t="shared" si="9"/>
        <v>18</v>
      </c>
      <c r="VK67" s="72">
        <f t="shared" si="9"/>
        <v>1</v>
      </c>
      <c r="VL67" s="72">
        <f t="shared" si="9"/>
        <v>1</v>
      </c>
      <c r="VM67" s="72">
        <f t="shared" si="9"/>
        <v>2</v>
      </c>
      <c r="VN67" s="72">
        <f t="shared" si="9"/>
        <v>2</v>
      </c>
      <c r="VO67" s="72">
        <f t="shared" si="9"/>
        <v>18</v>
      </c>
      <c r="VP67" s="72">
        <f t="shared" si="9"/>
        <v>14</v>
      </c>
      <c r="VQ67" s="72">
        <f t="shared" si="9"/>
        <v>14</v>
      </c>
      <c r="VR67" s="72">
        <f t="shared" si="9"/>
        <v>2</v>
      </c>
      <c r="VS67" s="72">
        <f t="shared" si="9"/>
        <v>2</v>
      </c>
      <c r="VT67" s="72">
        <f t="shared" si="9"/>
        <v>18</v>
      </c>
      <c r="VU67" s="72">
        <f t="shared" si="9"/>
        <v>0</v>
      </c>
      <c r="VV67" s="72">
        <f t="shared" si="9"/>
        <v>0</v>
      </c>
      <c r="VW67" s="72">
        <f t="shared" si="9"/>
        <v>0</v>
      </c>
      <c r="VX67" s="72">
        <f t="shared" si="9"/>
        <v>0</v>
      </c>
      <c r="VY67" s="72">
        <f t="shared" si="9"/>
        <v>0</v>
      </c>
      <c r="VZ67" s="72">
        <f t="shared" si="9"/>
        <v>0</v>
      </c>
      <c r="WA67" s="72">
        <f t="shared" si="9"/>
        <v>0</v>
      </c>
      <c r="WB67" s="72">
        <f t="shared" si="9"/>
        <v>0</v>
      </c>
      <c r="WC67" s="72">
        <f t="shared" si="9"/>
        <v>0</v>
      </c>
      <c r="WD67" s="72">
        <f t="shared" si="9"/>
        <v>0</v>
      </c>
      <c r="WE67" s="72">
        <f t="shared" si="9"/>
        <v>0</v>
      </c>
      <c r="WF67" s="72">
        <f t="shared" si="9"/>
        <v>0</v>
      </c>
      <c r="WG67" s="72">
        <f t="shared" si="9"/>
        <v>15</v>
      </c>
      <c r="WH67" s="72">
        <f t="shared" si="9"/>
        <v>0</v>
      </c>
      <c r="WI67" s="72">
        <f t="shared" si="9"/>
        <v>0</v>
      </c>
      <c r="WJ67" s="72">
        <f t="shared" si="9"/>
        <v>0</v>
      </c>
      <c r="WK67" s="72">
        <f t="shared" si="9"/>
        <v>0</v>
      </c>
      <c r="WL67" s="72">
        <f t="shared" si="9"/>
        <v>0</v>
      </c>
      <c r="WM67" s="72">
        <f t="shared" si="9"/>
        <v>0</v>
      </c>
      <c r="WN67" s="72">
        <f t="shared" si="9"/>
        <v>0</v>
      </c>
      <c r="WO67" s="72">
        <f t="shared" si="9"/>
        <v>0</v>
      </c>
      <c r="WP67" s="72">
        <f t="shared" si="9"/>
        <v>0</v>
      </c>
      <c r="WQ67" s="72">
        <f t="shared" si="9"/>
        <v>0</v>
      </c>
      <c r="WR67" s="72">
        <f t="shared" si="9"/>
        <v>0</v>
      </c>
      <c r="WS67" s="72">
        <f t="shared" si="9"/>
        <v>0</v>
      </c>
      <c r="WT67" s="72">
        <f t="shared" si="9"/>
        <v>0</v>
      </c>
      <c r="WU67" s="72">
        <f t="shared" si="9"/>
        <v>0</v>
      </c>
      <c r="WV67" s="72">
        <f t="shared" si="9"/>
        <v>0</v>
      </c>
      <c r="WW67" s="72">
        <f t="shared" si="9"/>
        <v>0</v>
      </c>
      <c r="WX67" s="72">
        <f t="shared" si="9"/>
        <v>0</v>
      </c>
      <c r="WY67" s="72">
        <f t="shared" si="9"/>
        <v>0</v>
      </c>
      <c r="WZ67" s="72">
        <f t="shared" si="9"/>
        <v>0</v>
      </c>
      <c r="XA67" s="72">
        <f t="shared" si="9"/>
        <v>0</v>
      </c>
      <c r="XB67" s="72">
        <f t="shared" si="9"/>
        <v>0</v>
      </c>
      <c r="XC67" s="72">
        <f t="shared" si="9"/>
        <v>0</v>
      </c>
      <c r="XD67" s="72">
        <f t="shared" si="9"/>
        <v>0</v>
      </c>
      <c r="XE67" s="72">
        <f t="shared" si="9"/>
        <v>0</v>
      </c>
      <c r="XF67" s="72">
        <f t="shared" si="9"/>
        <v>0</v>
      </c>
      <c r="XG67" s="72">
        <f t="shared" si="9"/>
        <v>0</v>
      </c>
      <c r="XH67" s="72">
        <f t="shared" si="9"/>
        <v>0</v>
      </c>
      <c r="XI67" s="72">
        <f t="shared" si="9"/>
        <v>0</v>
      </c>
      <c r="XJ67" s="72">
        <f t="shared" si="9"/>
        <v>0</v>
      </c>
      <c r="XK67" s="72">
        <f t="shared" si="9"/>
        <v>0</v>
      </c>
      <c r="XL67" s="72">
        <f t="shared" si="9"/>
        <v>0</v>
      </c>
      <c r="XM67" s="72">
        <f t="shared" si="9"/>
        <v>0</v>
      </c>
      <c r="XN67" s="72">
        <f t="shared" si="9"/>
        <v>0</v>
      </c>
      <c r="XO67" s="72">
        <f t="shared" si="9"/>
        <v>0</v>
      </c>
      <c r="XP67" s="72">
        <f t="shared" si="9"/>
        <v>0</v>
      </c>
      <c r="XQ67" s="72">
        <f t="shared" si="9"/>
        <v>0</v>
      </c>
      <c r="XR67" s="72">
        <f t="shared" si="9"/>
        <v>0</v>
      </c>
      <c r="XS67" s="72">
        <f t="shared" ref="XS67:AAD67" si="10">COUNTA(XS3:XS66)</f>
        <v>0</v>
      </c>
      <c r="XT67" s="72">
        <f t="shared" si="10"/>
        <v>0</v>
      </c>
      <c r="XU67" s="72">
        <f t="shared" si="10"/>
        <v>0</v>
      </c>
      <c r="XV67" s="72">
        <f t="shared" si="10"/>
        <v>0</v>
      </c>
      <c r="XW67" s="72">
        <f t="shared" si="10"/>
        <v>0</v>
      </c>
      <c r="XX67" s="72">
        <f t="shared" si="10"/>
        <v>0</v>
      </c>
      <c r="XY67" s="72">
        <f t="shared" si="10"/>
        <v>0</v>
      </c>
      <c r="XZ67" s="72">
        <f t="shared" si="10"/>
        <v>0</v>
      </c>
      <c r="YA67" s="72">
        <f t="shared" si="10"/>
        <v>0</v>
      </c>
      <c r="YB67" s="72">
        <f t="shared" si="10"/>
        <v>0</v>
      </c>
      <c r="YC67" s="72">
        <f t="shared" si="10"/>
        <v>0</v>
      </c>
      <c r="YD67" s="72">
        <f t="shared" si="10"/>
        <v>0</v>
      </c>
      <c r="YE67" s="72">
        <f t="shared" si="10"/>
        <v>0</v>
      </c>
      <c r="YF67" s="72">
        <f t="shared" si="10"/>
        <v>0</v>
      </c>
      <c r="YG67" s="72">
        <f t="shared" si="10"/>
        <v>0</v>
      </c>
      <c r="YH67" s="72">
        <f t="shared" si="10"/>
        <v>0</v>
      </c>
      <c r="YI67" s="72">
        <f t="shared" si="10"/>
        <v>0</v>
      </c>
      <c r="YJ67" s="72">
        <f t="shared" si="10"/>
        <v>0</v>
      </c>
      <c r="YK67" s="72">
        <f t="shared" si="10"/>
        <v>0</v>
      </c>
      <c r="YL67" s="72">
        <f t="shared" si="10"/>
        <v>0</v>
      </c>
      <c r="YM67" s="72">
        <f t="shared" si="10"/>
        <v>0</v>
      </c>
      <c r="YN67" s="72">
        <f t="shared" si="10"/>
        <v>0</v>
      </c>
      <c r="YO67" s="72">
        <f t="shared" si="10"/>
        <v>0</v>
      </c>
      <c r="YP67" s="72">
        <f t="shared" si="10"/>
        <v>0</v>
      </c>
      <c r="YQ67" s="72">
        <f t="shared" si="10"/>
        <v>0</v>
      </c>
      <c r="YR67" s="72">
        <f t="shared" si="10"/>
        <v>0</v>
      </c>
      <c r="YS67" s="72">
        <f t="shared" si="10"/>
        <v>0</v>
      </c>
      <c r="YT67" s="72">
        <f t="shared" si="10"/>
        <v>18</v>
      </c>
      <c r="YU67" s="72">
        <f t="shared" si="10"/>
        <v>18</v>
      </c>
      <c r="YV67" s="72">
        <f t="shared" si="10"/>
        <v>10</v>
      </c>
      <c r="YW67" s="72">
        <f t="shared" si="10"/>
        <v>18</v>
      </c>
      <c r="YX67" s="72">
        <f t="shared" si="10"/>
        <v>0</v>
      </c>
      <c r="YY67" s="72">
        <f t="shared" si="10"/>
        <v>17</v>
      </c>
      <c r="YZ67" s="72">
        <f t="shared" si="10"/>
        <v>11</v>
      </c>
      <c r="ZA67" s="72">
        <f t="shared" si="10"/>
        <v>17</v>
      </c>
      <c r="ZB67" s="72">
        <f t="shared" si="10"/>
        <v>17</v>
      </c>
      <c r="ZC67" s="72">
        <f t="shared" si="10"/>
        <v>11</v>
      </c>
      <c r="ZD67" s="72">
        <f t="shared" si="10"/>
        <v>14</v>
      </c>
      <c r="ZE67" s="72">
        <f t="shared" si="10"/>
        <v>15</v>
      </c>
      <c r="ZF67" s="72">
        <f t="shared" si="10"/>
        <v>16</v>
      </c>
      <c r="ZG67" s="72">
        <f t="shared" si="10"/>
        <v>0</v>
      </c>
      <c r="ZH67" s="72">
        <f t="shared" si="10"/>
        <v>3</v>
      </c>
      <c r="ZI67" s="72">
        <f t="shared" si="10"/>
        <v>3</v>
      </c>
      <c r="ZJ67" s="72">
        <f t="shared" si="10"/>
        <v>5</v>
      </c>
      <c r="ZK67" s="72">
        <f t="shared" si="10"/>
        <v>6</v>
      </c>
      <c r="ZL67" s="72">
        <f t="shared" si="10"/>
        <v>3</v>
      </c>
      <c r="ZM67" s="72">
        <f t="shared" si="10"/>
        <v>2</v>
      </c>
      <c r="ZN67" s="72">
        <f t="shared" si="10"/>
        <v>2</v>
      </c>
      <c r="ZO67" s="72">
        <f t="shared" si="10"/>
        <v>0</v>
      </c>
      <c r="ZP67" s="72">
        <f t="shared" si="10"/>
        <v>0</v>
      </c>
      <c r="ZQ67" s="72">
        <f t="shared" si="10"/>
        <v>1</v>
      </c>
      <c r="ZR67" s="72">
        <f t="shared" si="10"/>
        <v>9</v>
      </c>
      <c r="ZS67" s="72">
        <f t="shared" si="10"/>
        <v>4</v>
      </c>
      <c r="ZT67" s="72">
        <f t="shared" si="10"/>
        <v>1</v>
      </c>
      <c r="ZU67" s="72">
        <f t="shared" si="10"/>
        <v>0</v>
      </c>
      <c r="ZV67" s="72">
        <f t="shared" si="10"/>
        <v>2</v>
      </c>
      <c r="ZW67" s="72">
        <f t="shared" si="10"/>
        <v>2</v>
      </c>
      <c r="ZX67" s="72">
        <f t="shared" si="10"/>
        <v>2</v>
      </c>
      <c r="ZY67" s="72">
        <f t="shared" si="10"/>
        <v>5</v>
      </c>
      <c r="ZZ67" s="72">
        <f t="shared" si="10"/>
        <v>1</v>
      </c>
      <c r="AAA67" s="72">
        <f t="shared" si="10"/>
        <v>0</v>
      </c>
      <c r="AAB67" s="72">
        <f t="shared" si="10"/>
        <v>0</v>
      </c>
      <c r="AAC67" s="72">
        <f t="shared" si="10"/>
        <v>18</v>
      </c>
      <c r="AAD67" s="72">
        <f t="shared" si="10"/>
        <v>18</v>
      </c>
      <c r="AAE67" s="72">
        <f t="shared" ref="AAE67:ACP67" si="11">COUNTA(AAE3:AAE66)</f>
        <v>17</v>
      </c>
      <c r="AAF67" s="72">
        <f t="shared" si="11"/>
        <v>18</v>
      </c>
      <c r="AAG67" s="72">
        <f t="shared" si="11"/>
        <v>18</v>
      </c>
      <c r="AAH67" s="72">
        <f t="shared" si="11"/>
        <v>15</v>
      </c>
      <c r="AAI67" s="72">
        <f t="shared" si="11"/>
        <v>5</v>
      </c>
      <c r="AAJ67" s="72">
        <f t="shared" si="11"/>
        <v>18</v>
      </c>
      <c r="AAK67" s="72">
        <f t="shared" si="11"/>
        <v>18</v>
      </c>
      <c r="AAL67" s="72">
        <f t="shared" si="11"/>
        <v>18</v>
      </c>
      <c r="AAM67" s="72">
        <f t="shared" si="11"/>
        <v>18</v>
      </c>
      <c r="AAN67" s="72">
        <f t="shared" si="11"/>
        <v>18</v>
      </c>
      <c r="AAO67" s="72">
        <f t="shared" si="11"/>
        <v>16</v>
      </c>
      <c r="AAP67" s="72">
        <f t="shared" si="11"/>
        <v>6</v>
      </c>
      <c r="AAQ67" s="72">
        <f t="shared" si="11"/>
        <v>18</v>
      </c>
      <c r="AAR67" s="72">
        <f t="shared" si="11"/>
        <v>18</v>
      </c>
      <c r="AAS67" s="72">
        <f t="shared" si="11"/>
        <v>18</v>
      </c>
      <c r="AAT67" s="72">
        <f t="shared" si="11"/>
        <v>18</v>
      </c>
      <c r="AAU67" s="72">
        <f t="shared" si="11"/>
        <v>17</v>
      </c>
      <c r="AAV67" s="72">
        <f t="shared" si="11"/>
        <v>17</v>
      </c>
      <c r="AAW67" s="72">
        <f t="shared" si="11"/>
        <v>17</v>
      </c>
      <c r="AAX67" s="72">
        <f t="shared" si="11"/>
        <v>16</v>
      </c>
      <c r="AAY67" s="72">
        <f t="shared" si="11"/>
        <v>17</v>
      </c>
      <c r="AAZ67" s="72">
        <f t="shared" si="11"/>
        <v>15</v>
      </c>
      <c r="ABA67" s="72">
        <f t="shared" si="11"/>
        <v>17</v>
      </c>
      <c r="ABB67" s="72">
        <f t="shared" si="11"/>
        <v>17</v>
      </c>
      <c r="ABC67" s="72">
        <f t="shared" si="11"/>
        <v>18</v>
      </c>
      <c r="ABD67" s="72">
        <f t="shared" si="11"/>
        <v>18</v>
      </c>
      <c r="ABE67" s="72">
        <f t="shared" si="11"/>
        <v>13</v>
      </c>
      <c r="ABF67" s="72">
        <f t="shared" si="11"/>
        <v>14</v>
      </c>
      <c r="ABG67" s="72">
        <f t="shared" si="11"/>
        <v>13</v>
      </c>
      <c r="ABH67" s="72">
        <f t="shared" si="11"/>
        <v>6</v>
      </c>
      <c r="ABI67" s="72">
        <f t="shared" si="11"/>
        <v>0</v>
      </c>
      <c r="ABJ67" s="72">
        <f t="shared" si="11"/>
        <v>16</v>
      </c>
      <c r="ABK67" s="72">
        <f t="shared" si="11"/>
        <v>3</v>
      </c>
      <c r="ABL67" s="72">
        <f t="shared" si="11"/>
        <v>16</v>
      </c>
      <c r="ABM67" s="72">
        <f t="shared" si="11"/>
        <v>2</v>
      </c>
      <c r="ABN67" s="72">
        <f t="shared" si="11"/>
        <v>12</v>
      </c>
      <c r="ABO67" s="72">
        <f t="shared" si="11"/>
        <v>2</v>
      </c>
      <c r="ABP67" s="72">
        <f t="shared" si="11"/>
        <v>12</v>
      </c>
      <c r="ABQ67" s="72">
        <f t="shared" si="11"/>
        <v>1</v>
      </c>
      <c r="ABR67" s="72">
        <f t="shared" si="11"/>
        <v>11</v>
      </c>
      <c r="ABS67" s="72">
        <f t="shared" si="11"/>
        <v>1</v>
      </c>
      <c r="ABT67" s="72">
        <f t="shared" si="11"/>
        <v>11</v>
      </c>
      <c r="ABU67" s="72">
        <f t="shared" si="11"/>
        <v>0</v>
      </c>
      <c r="ABV67" s="72">
        <f t="shared" si="11"/>
        <v>3</v>
      </c>
      <c r="ABW67" s="72">
        <f t="shared" si="11"/>
        <v>1</v>
      </c>
      <c r="ABX67" s="72">
        <f t="shared" si="11"/>
        <v>3</v>
      </c>
      <c r="ABY67" s="72">
        <f t="shared" si="11"/>
        <v>0</v>
      </c>
      <c r="ABZ67" s="72">
        <f t="shared" si="11"/>
        <v>0</v>
      </c>
      <c r="ACA67" s="72">
        <f t="shared" si="11"/>
        <v>0</v>
      </c>
      <c r="ACB67" s="72">
        <f t="shared" si="11"/>
        <v>0</v>
      </c>
      <c r="ACC67" s="72">
        <f t="shared" si="11"/>
        <v>0</v>
      </c>
      <c r="ACD67" s="72">
        <f t="shared" si="11"/>
        <v>1</v>
      </c>
      <c r="ACE67" s="72">
        <f t="shared" si="11"/>
        <v>0</v>
      </c>
      <c r="ACF67" s="72">
        <f t="shared" si="11"/>
        <v>0</v>
      </c>
      <c r="ACG67" s="72">
        <f t="shared" si="11"/>
        <v>0</v>
      </c>
      <c r="ACH67" s="72">
        <f t="shared" si="11"/>
        <v>0</v>
      </c>
      <c r="ACI67" s="72">
        <f t="shared" si="11"/>
        <v>0</v>
      </c>
      <c r="ACJ67" s="72">
        <f t="shared" si="11"/>
        <v>0</v>
      </c>
      <c r="ACK67" s="72">
        <f t="shared" si="11"/>
        <v>0</v>
      </c>
      <c r="ACL67" s="72">
        <f t="shared" si="11"/>
        <v>1</v>
      </c>
      <c r="ACM67" s="72">
        <f t="shared" si="11"/>
        <v>2</v>
      </c>
      <c r="ACN67" s="72">
        <f t="shared" si="11"/>
        <v>8</v>
      </c>
      <c r="ACO67" s="72">
        <f t="shared" si="11"/>
        <v>5</v>
      </c>
      <c r="ACP67" s="72">
        <f t="shared" si="11"/>
        <v>0</v>
      </c>
      <c r="ACQ67" s="72">
        <f t="shared" ref="ACQ67:AFB67" si="12">COUNTA(ACQ3:ACQ66)</f>
        <v>1</v>
      </c>
      <c r="ACR67" s="72">
        <f t="shared" si="12"/>
        <v>0</v>
      </c>
      <c r="ACS67" s="72">
        <f t="shared" si="12"/>
        <v>0</v>
      </c>
      <c r="ACT67" s="72">
        <f t="shared" si="12"/>
        <v>1</v>
      </c>
      <c r="ACU67" s="72">
        <f t="shared" si="12"/>
        <v>4</v>
      </c>
      <c r="ACV67" s="72">
        <f t="shared" si="12"/>
        <v>5</v>
      </c>
      <c r="ACW67" s="72">
        <f t="shared" si="12"/>
        <v>4</v>
      </c>
      <c r="ACX67" s="72">
        <f t="shared" si="12"/>
        <v>6</v>
      </c>
      <c r="ACY67" s="72">
        <f t="shared" si="12"/>
        <v>2</v>
      </c>
      <c r="ACZ67" s="72">
        <f t="shared" si="12"/>
        <v>5</v>
      </c>
      <c r="ADA67" s="72">
        <f t="shared" si="12"/>
        <v>0</v>
      </c>
      <c r="ADB67" s="72">
        <f t="shared" si="12"/>
        <v>0</v>
      </c>
      <c r="ADC67" s="72">
        <f t="shared" si="12"/>
        <v>0</v>
      </c>
      <c r="ADD67" s="72">
        <f t="shared" si="12"/>
        <v>1</v>
      </c>
      <c r="ADE67" s="72">
        <f t="shared" si="12"/>
        <v>0</v>
      </c>
      <c r="ADF67" s="72">
        <f t="shared" si="12"/>
        <v>0</v>
      </c>
      <c r="ADG67" s="72">
        <f t="shared" si="12"/>
        <v>4</v>
      </c>
      <c r="ADH67" s="72">
        <f t="shared" si="12"/>
        <v>5</v>
      </c>
      <c r="ADI67" s="72">
        <f t="shared" si="12"/>
        <v>6</v>
      </c>
      <c r="ADJ67" s="72">
        <f t="shared" si="12"/>
        <v>3</v>
      </c>
      <c r="ADK67" s="72">
        <f t="shared" si="12"/>
        <v>0</v>
      </c>
      <c r="ADL67" s="72">
        <f t="shared" si="12"/>
        <v>0</v>
      </c>
      <c r="ADM67" s="72">
        <f t="shared" si="12"/>
        <v>0</v>
      </c>
      <c r="ADN67" s="72">
        <f t="shared" si="12"/>
        <v>0</v>
      </c>
      <c r="ADO67" s="72">
        <f t="shared" si="12"/>
        <v>0</v>
      </c>
      <c r="ADP67" s="72">
        <f t="shared" si="12"/>
        <v>1</v>
      </c>
      <c r="ADQ67" s="72">
        <f t="shared" si="12"/>
        <v>1</v>
      </c>
      <c r="ADR67" s="72">
        <f t="shared" si="12"/>
        <v>1</v>
      </c>
      <c r="ADS67" s="72">
        <f t="shared" si="12"/>
        <v>2</v>
      </c>
      <c r="ADT67" s="72">
        <f t="shared" si="12"/>
        <v>1</v>
      </c>
      <c r="ADU67" s="72">
        <f t="shared" si="12"/>
        <v>2</v>
      </c>
      <c r="ADV67" s="72">
        <f t="shared" si="12"/>
        <v>0</v>
      </c>
      <c r="ADW67" s="72">
        <f t="shared" si="12"/>
        <v>0</v>
      </c>
      <c r="ADX67" s="72">
        <f t="shared" si="12"/>
        <v>0</v>
      </c>
      <c r="ADY67" s="72">
        <f t="shared" si="12"/>
        <v>0</v>
      </c>
      <c r="ADZ67" s="72">
        <f t="shared" si="12"/>
        <v>0</v>
      </c>
      <c r="AEA67" s="72">
        <f t="shared" si="12"/>
        <v>0</v>
      </c>
      <c r="AEB67" s="72">
        <f t="shared" si="12"/>
        <v>3</v>
      </c>
      <c r="AEC67" s="72">
        <f t="shared" si="12"/>
        <v>7</v>
      </c>
      <c r="AED67" s="72">
        <f t="shared" si="12"/>
        <v>9</v>
      </c>
      <c r="AEE67" s="72">
        <f t="shared" si="12"/>
        <v>5</v>
      </c>
      <c r="AEF67" s="72">
        <f t="shared" si="12"/>
        <v>0</v>
      </c>
      <c r="AEG67" s="72">
        <f t="shared" si="12"/>
        <v>1</v>
      </c>
      <c r="AEH67" s="72">
        <f t="shared" si="12"/>
        <v>0</v>
      </c>
      <c r="AEI67" s="72">
        <f t="shared" si="12"/>
        <v>2</v>
      </c>
      <c r="AEJ67" s="72">
        <f t="shared" si="12"/>
        <v>1</v>
      </c>
      <c r="AEK67" s="72">
        <f t="shared" si="12"/>
        <v>5</v>
      </c>
      <c r="AEL67" s="72">
        <f t="shared" si="12"/>
        <v>5</v>
      </c>
      <c r="AEM67" s="72">
        <f t="shared" si="12"/>
        <v>5</v>
      </c>
      <c r="AEN67" s="72">
        <f t="shared" si="12"/>
        <v>7</v>
      </c>
      <c r="AEO67" s="72">
        <f t="shared" si="12"/>
        <v>2</v>
      </c>
      <c r="AEP67" s="72">
        <f t="shared" si="12"/>
        <v>4</v>
      </c>
      <c r="AEQ67" s="72">
        <f t="shared" si="12"/>
        <v>0</v>
      </c>
      <c r="AER67" s="72">
        <f t="shared" si="12"/>
        <v>0</v>
      </c>
      <c r="AES67" s="72">
        <f t="shared" si="12"/>
        <v>0</v>
      </c>
      <c r="AET67" s="72">
        <f t="shared" si="12"/>
        <v>1</v>
      </c>
      <c r="AEU67" s="72">
        <f t="shared" si="12"/>
        <v>0</v>
      </c>
      <c r="AEV67" s="72">
        <f t="shared" si="12"/>
        <v>0</v>
      </c>
      <c r="AEW67" s="72">
        <f t="shared" si="12"/>
        <v>2</v>
      </c>
      <c r="AEX67" s="72">
        <f t="shared" si="12"/>
        <v>3</v>
      </c>
      <c r="AEY67" s="72">
        <f t="shared" si="12"/>
        <v>4</v>
      </c>
      <c r="AEZ67" s="72">
        <f t="shared" si="12"/>
        <v>2</v>
      </c>
      <c r="AFA67" s="72">
        <f t="shared" si="12"/>
        <v>0</v>
      </c>
      <c r="AFB67" s="72">
        <f t="shared" si="12"/>
        <v>0</v>
      </c>
      <c r="AFC67" s="72">
        <f t="shared" ref="AFC67:AHN67" si="13">COUNTA(AFC3:AFC66)</f>
        <v>0</v>
      </c>
      <c r="AFD67" s="72">
        <f t="shared" si="13"/>
        <v>1</v>
      </c>
      <c r="AFE67" s="72">
        <f t="shared" si="13"/>
        <v>1</v>
      </c>
      <c r="AFF67" s="72">
        <f t="shared" si="13"/>
        <v>2</v>
      </c>
      <c r="AFG67" s="72">
        <f t="shared" si="13"/>
        <v>2</v>
      </c>
      <c r="AFH67" s="72">
        <f t="shared" si="13"/>
        <v>2</v>
      </c>
      <c r="AFI67" s="72">
        <f t="shared" si="13"/>
        <v>3</v>
      </c>
      <c r="AFJ67" s="72">
        <f t="shared" si="13"/>
        <v>1</v>
      </c>
      <c r="AFK67" s="72">
        <f t="shared" si="13"/>
        <v>2</v>
      </c>
      <c r="AFL67" s="72">
        <f t="shared" si="13"/>
        <v>0</v>
      </c>
      <c r="AFM67" s="72">
        <f t="shared" si="13"/>
        <v>0</v>
      </c>
      <c r="AFN67" s="72">
        <f t="shared" si="13"/>
        <v>0</v>
      </c>
      <c r="AFO67" s="72">
        <f t="shared" si="13"/>
        <v>0</v>
      </c>
      <c r="AFP67" s="72">
        <f t="shared" si="13"/>
        <v>0</v>
      </c>
      <c r="AFQ67" s="72">
        <f t="shared" si="13"/>
        <v>0</v>
      </c>
      <c r="AFR67" s="72">
        <f t="shared" si="13"/>
        <v>18</v>
      </c>
      <c r="AFS67" s="72">
        <f t="shared" si="13"/>
        <v>18</v>
      </c>
      <c r="AFT67" s="72">
        <f t="shared" si="13"/>
        <v>17</v>
      </c>
      <c r="AFU67" s="72">
        <f t="shared" si="13"/>
        <v>64</v>
      </c>
      <c r="AFV67" s="72">
        <f t="shared" si="13"/>
        <v>5</v>
      </c>
      <c r="AFW67" s="72">
        <f t="shared" si="13"/>
        <v>2</v>
      </c>
      <c r="AFX67" s="72">
        <f t="shared" si="13"/>
        <v>5</v>
      </c>
      <c r="AFY67" s="72">
        <f t="shared" si="13"/>
        <v>5</v>
      </c>
      <c r="AFZ67" s="72">
        <f t="shared" si="13"/>
        <v>1</v>
      </c>
      <c r="AGA67" s="72">
        <f t="shared" si="13"/>
        <v>1</v>
      </c>
      <c r="AGB67" s="72">
        <f t="shared" si="13"/>
        <v>0</v>
      </c>
      <c r="AGC67" s="72">
        <f t="shared" si="13"/>
        <v>0</v>
      </c>
      <c r="AGD67" s="72">
        <f t="shared" si="13"/>
        <v>5</v>
      </c>
      <c r="AGE67" s="72">
        <f t="shared" si="13"/>
        <v>4</v>
      </c>
      <c r="AGF67" s="72">
        <f t="shared" si="13"/>
        <v>4</v>
      </c>
      <c r="AGG67" s="72">
        <f t="shared" si="13"/>
        <v>1</v>
      </c>
      <c r="AGH67" s="72">
        <f t="shared" si="13"/>
        <v>1</v>
      </c>
      <c r="AGI67" s="72">
        <f t="shared" si="13"/>
        <v>4</v>
      </c>
      <c r="AGJ67" s="72">
        <f t="shared" si="13"/>
        <v>0</v>
      </c>
      <c r="AGK67" s="72">
        <f t="shared" si="13"/>
        <v>0</v>
      </c>
      <c r="AGL67" s="72">
        <f t="shared" si="13"/>
        <v>0</v>
      </c>
      <c r="AGM67" s="72">
        <f t="shared" si="13"/>
        <v>0</v>
      </c>
      <c r="AGN67" s="72">
        <f t="shared" si="13"/>
        <v>0</v>
      </c>
      <c r="AGO67" s="72">
        <f t="shared" si="13"/>
        <v>0</v>
      </c>
      <c r="AGP67" s="72">
        <f t="shared" si="13"/>
        <v>1</v>
      </c>
      <c r="AGQ67" s="72">
        <f t="shared" si="13"/>
        <v>0</v>
      </c>
      <c r="AGR67" s="72">
        <f t="shared" si="13"/>
        <v>0</v>
      </c>
      <c r="AGS67" s="72">
        <f t="shared" si="13"/>
        <v>0</v>
      </c>
      <c r="AGT67" s="72">
        <f t="shared" si="13"/>
        <v>0</v>
      </c>
      <c r="AGU67" s="72">
        <f t="shared" si="13"/>
        <v>0</v>
      </c>
      <c r="AGV67" s="72">
        <f t="shared" si="13"/>
        <v>5</v>
      </c>
      <c r="AGW67" s="72">
        <f t="shared" si="13"/>
        <v>0</v>
      </c>
      <c r="AGX67" s="72">
        <f t="shared" si="13"/>
        <v>0</v>
      </c>
      <c r="AGY67" s="72">
        <f t="shared" si="13"/>
        <v>0</v>
      </c>
      <c r="AGZ67" s="72">
        <f t="shared" si="13"/>
        <v>0</v>
      </c>
      <c r="AHA67" s="72">
        <f t="shared" si="13"/>
        <v>0</v>
      </c>
      <c r="AHB67" s="72">
        <f t="shared" si="13"/>
        <v>0</v>
      </c>
      <c r="AHC67" s="72">
        <f t="shared" si="13"/>
        <v>0</v>
      </c>
      <c r="AHD67" s="72">
        <f t="shared" si="13"/>
        <v>0</v>
      </c>
      <c r="AHE67" s="72">
        <f t="shared" si="13"/>
        <v>0</v>
      </c>
      <c r="AHF67" s="72">
        <f t="shared" si="13"/>
        <v>0</v>
      </c>
      <c r="AHG67" s="72">
        <f t="shared" si="13"/>
        <v>0</v>
      </c>
      <c r="AHH67" s="72">
        <f t="shared" si="13"/>
        <v>0</v>
      </c>
      <c r="AHI67" s="72">
        <f t="shared" si="13"/>
        <v>0</v>
      </c>
      <c r="AHJ67" s="72">
        <f t="shared" si="13"/>
        <v>0</v>
      </c>
      <c r="AHK67" s="72">
        <f t="shared" si="13"/>
        <v>0</v>
      </c>
      <c r="AHL67" s="72">
        <f t="shared" si="13"/>
        <v>0</v>
      </c>
      <c r="AHM67" s="72">
        <f t="shared" si="13"/>
        <v>0</v>
      </c>
      <c r="AHN67" s="72">
        <f t="shared" si="13"/>
        <v>0</v>
      </c>
      <c r="AHO67" s="72">
        <f t="shared" ref="AHO67:AJZ67" si="14">COUNTA(AHO3:AHO66)</f>
        <v>0</v>
      </c>
      <c r="AHP67" s="72">
        <f t="shared" si="14"/>
        <v>0</v>
      </c>
      <c r="AHQ67" s="72">
        <f t="shared" si="14"/>
        <v>0</v>
      </c>
      <c r="AHR67" s="72">
        <f t="shared" si="14"/>
        <v>0</v>
      </c>
      <c r="AHS67" s="72">
        <f t="shared" si="14"/>
        <v>0</v>
      </c>
      <c r="AHT67" s="72">
        <f t="shared" si="14"/>
        <v>0</v>
      </c>
      <c r="AHU67" s="72">
        <f t="shared" si="14"/>
        <v>0</v>
      </c>
      <c r="AHV67" s="72">
        <f t="shared" si="14"/>
        <v>0</v>
      </c>
      <c r="AHW67" s="72">
        <f t="shared" si="14"/>
        <v>0</v>
      </c>
      <c r="AHX67" s="72">
        <f t="shared" si="14"/>
        <v>0</v>
      </c>
      <c r="AHY67" s="72">
        <f t="shared" si="14"/>
        <v>0</v>
      </c>
      <c r="AHZ67" s="72">
        <f t="shared" si="14"/>
        <v>0</v>
      </c>
      <c r="AIA67" s="72">
        <f t="shared" si="14"/>
        <v>0</v>
      </c>
      <c r="AIB67" s="72">
        <f t="shared" si="14"/>
        <v>0</v>
      </c>
      <c r="AIC67" s="72">
        <f t="shared" si="14"/>
        <v>0</v>
      </c>
      <c r="AID67" s="72">
        <f t="shared" si="14"/>
        <v>0</v>
      </c>
      <c r="AIE67" s="72">
        <f t="shared" si="14"/>
        <v>0</v>
      </c>
      <c r="AIF67" s="72">
        <f t="shared" si="14"/>
        <v>0</v>
      </c>
      <c r="AIG67" s="72">
        <f t="shared" si="14"/>
        <v>0</v>
      </c>
      <c r="AIH67" s="72">
        <f t="shared" si="14"/>
        <v>0</v>
      </c>
      <c r="AII67" s="72">
        <f t="shared" si="14"/>
        <v>0</v>
      </c>
      <c r="AIJ67" s="72">
        <f t="shared" si="14"/>
        <v>0</v>
      </c>
      <c r="AIK67" s="72">
        <f t="shared" si="14"/>
        <v>0</v>
      </c>
      <c r="AIL67" s="72">
        <f t="shared" si="14"/>
        <v>0</v>
      </c>
      <c r="AIM67" s="72">
        <f t="shared" si="14"/>
        <v>0</v>
      </c>
      <c r="AIN67" s="72">
        <f t="shared" si="14"/>
        <v>0</v>
      </c>
      <c r="AIO67" s="72">
        <f t="shared" si="14"/>
        <v>0</v>
      </c>
      <c r="AIP67" s="72">
        <f t="shared" si="14"/>
        <v>0</v>
      </c>
      <c r="AIQ67" s="72">
        <f t="shared" si="14"/>
        <v>0</v>
      </c>
      <c r="AIR67" s="72">
        <f t="shared" si="14"/>
        <v>0</v>
      </c>
      <c r="AIS67" s="72">
        <f t="shared" si="14"/>
        <v>0</v>
      </c>
      <c r="AIT67" s="72">
        <f t="shared" si="14"/>
        <v>0</v>
      </c>
      <c r="AIU67" s="72">
        <f t="shared" si="14"/>
        <v>0</v>
      </c>
      <c r="AIV67" s="72">
        <f t="shared" si="14"/>
        <v>0</v>
      </c>
      <c r="AIW67" s="72">
        <f t="shared" si="14"/>
        <v>0</v>
      </c>
      <c r="AIX67" s="72">
        <f t="shared" si="14"/>
        <v>0</v>
      </c>
      <c r="AIY67" s="72">
        <f t="shared" si="14"/>
        <v>0</v>
      </c>
      <c r="AIZ67" s="72">
        <f t="shared" si="14"/>
        <v>0</v>
      </c>
      <c r="AJA67" s="72">
        <f t="shared" si="14"/>
        <v>0</v>
      </c>
      <c r="AJB67" s="72">
        <f t="shared" si="14"/>
        <v>0</v>
      </c>
      <c r="AJC67" s="72">
        <f t="shared" si="14"/>
        <v>0</v>
      </c>
      <c r="AJD67" s="72">
        <f t="shared" si="14"/>
        <v>0</v>
      </c>
      <c r="AJE67" s="72">
        <f t="shared" si="14"/>
        <v>0</v>
      </c>
      <c r="AJF67" s="72">
        <f t="shared" si="14"/>
        <v>0</v>
      </c>
      <c r="AJG67" s="72">
        <f t="shared" si="14"/>
        <v>0</v>
      </c>
      <c r="AJH67" s="72">
        <f t="shared" si="14"/>
        <v>0</v>
      </c>
      <c r="AJI67" s="72">
        <f t="shared" si="14"/>
        <v>6</v>
      </c>
      <c r="AJJ67" s="72">
        <f t="shared" si="14"/>
        <v>6</v>
      </c>
      <c r="AJK67" s="72">
        <f t="shared" si="14"/>
        <v>5</v>
      </c>
      <c r="AJL67" s="72">
        <f t="shared" si="14"/>
        <v>6</v>
      </c>
      <c r="AJM67" s="72">
        <f t="shared" si="14"/>
        <v>0</v>
      </c>
      <c r="AJN67" s="72">
        <f t="shared" si="14"/>
        <v>5</v>
      </c>
      <c r="AJO67" s="72">
        <f t="shared" si="14"/>
        <v>2</v>
      </c>
      <c r="AJP67" s="72">
        <f t="shared" si="14"/>
        <v>5</v>
      </c>
      <c r="AJQ67" s="72">
        <f t="shared" si="14"/>
        <v>5</v>
      </c>
      <c r="AJR67" s="72">
        <f t="shared" si="14"/>
        <v>5</v>
      </c>
      <c r="AJS67" s="72">
        <f t="shared" si="14"/>
        <v>4</v>
      </c>
      <c r="AJT67" s="72">
        <f t="shared" si="14"/>
        <v>5</v>
      </c>
      <c r="AJU67" s="72">
        <f t="shared" si="14"/>
        <v>2</v>
      </c>
      <c r="AJV67" s="72">
        <f t="shared" si="14"/>
        <v>0</v>
      </c>
      <c r="AJW67" s="72">
        <f t="shared" si="14"/>
        <v>0</v>
      </c>
      <c r="AJX67" s="72">
        <f t="shared" si="14"/>
        <v>0</v>
      </c>
      <c r="AJY67" s="72">
        <f t="shared" si="14"/>
        <v>1</v>
      </c>
      <c r="AJZ67" s="72">
        <f t="shared" si="14"/>
        <v>1</v>
      </c>
      <c r="AKA67" s="72">
        <f t="shared" ref="AKA67:AML67" si="15">COUNTA(AKA3:AKA66)</f>
        <v>0</v>
      </c>
      <c r="AKB67" s="72">
        <f t="shared" si="15"/>
        <v>0</v>
      </c>
      <c r="AKC67" s="72">
        <f t="shared" si="15"/>
        <v>0</v>
      </c>
      <c r="AKD67" s="72">
        <f t="shared" si="15"/>
        <v>1</v>
      </c>
      <c r="AKE67" s="72">
        <f t="shared" si="15"/>
        <v>1</v>
      </c>
      <c r="AKF67" s="72">
        <f t="shared" si="15"/>
        <v>0</v>
      </c>
      <c r="AKG67" s="72">
        <f t="shared" si="15"/>
        <v>2</v>
      </c>
      <c r="AKH67" s="72">
        <f t="shared" si="15"/>
        <v>1</v>
      </c>
      <c r="AKI67" s="72">
        <f t="shared" si="15"/>
        <v>0</v>
      </c>
      <c r="AKJ67" s="72">
        <f t="shared" si="15"/>
        <v>0</v>
      </c>
      <c r="AKK67" s="72">
        <f t="shared" si="15"/>
        <v>0</v>
      </c>
      <c r="AKL67" s="72">
        <f t="shared" si="15"/>
        <v>0</v>
      </c>
      <c r="AKM67" s="72">
        <f t="shared" si="15"/>
        <v>1</v>
      </c>
      <c r="AKN67" s="72">
        <f t="shared" si="15"/>
        <v>0</v>
      </c>
      <c r="AKO67" s="72">
        <f t="shared" si="15"/>
        <v>0</v>
      </c>
      <c r="AKP67" s="72">
        <f t="shared" si="15"/>
        <v>1</v>
      </c>
      <c r="AKQ67" s="72">
        <f t="shared" si="15"/>
        <v>0</v>
      </c>
      <c r="AKR67" s="72">
        <f t="shared" si="15"/>
        <v>5</v>
      </c>
      <c r="AKS67" s="72">
        <f t="shared" si="15"/>
        <v>5</v>
      </c>
      <c r="AKT67" s="72">
        <f t="shared" si="15"/>
        <v>5</v>
      </c>
      <c r="AKU67" s="72">
        <f t="shared" si="15"/>
        <v>4</v>
      </c>
      <c r="AKV67" s="72">
        <f t="shared" si="15"/>
        <v>4</v>
      </c>
      <c r="AKW67" s="72">
        <f t="shared" si="15"/>
        <v>3</v>
      </c>
      <c r="AKX67" s="72">
        <f t="shared" si="15"/>
        <v>0</v>
      </c>
      <c r="AKY67" s="72">
        <f t="shared" si="15"/>
        <v>5</v>
      </c>
      <c r="AKZ67" s="72">
        <f t="shared" si="15"/>
        <v>5</v>
      </c>
      <c r="ALA67" s="72">
        <f t="shared" si="15"/>
        <v>5</v>
      </c>
      <c r="ALB67" s="72">
        <f t="shared" si="15"/>
        <v>3</v>
      </c>
      <c r="ALC67" s="72">
        <f t="shared" si="15"/>
        <v>3</v>
      </c>
      <c r="ALD67" s="72">
        <f t="shared" si="15"/>
        <v>3</v>
      </c>
      <c r="ALE67" s="72">
        <f t="shared" si="15"/>
        <v>2</v>
      </c>
      <c r="ALF67" s="72">
        <f t="shared" si="15"/>
        <v>5</v>
      </c>
      <c r="ALG67" s="72">
        <f t="shared" si="15"/>
        <v>5</v>
      </c>
      <c r="ALH67" s="72">
        <f t="shared" si="15"/>
        <v>5</v>
      </c>
      <c r="ALI67" s="72">
        <f t="shared" si="15"/>
        <v>5</v>
      </c>
      <c r="ALJ67" s="72">
        <f t="shared" si="15"/>
        <v>4</v>
      </c>
      <c r="ALK67" s="72">
        <f t="shared" si="15"/>
        <v>4</v>
      </c>
      <c r="ALL67" s="72">
        <f t="shared" si="15"/>
        <v>4</v>
      </c>
      <c r="ALM67" s="72">
        <f t="shared" si="15"/>
        <v>4</v>
      </c>
      <c r="ALN67" s="72">
        <f t="shared" si="15"/>
        <v>4</v>
      </c>
      <c r="ALO67" s="72">
        <f t="shared" si="15"/>
        <v>3</v>
      </c>
      <c r="ALP67" s="72">
        <f t="shared" si="15"/>
        <v>5</v>
      </c>
      <c r="ALQ67" s="72">
        <f t="shared" si="15"/>
        <v>5</v>
      </c>
      <c r="ALR67" s="72">
        <f t="shared" si="15"/>
        <v>5</v>
      </c>
      <c r="ALS67" s="72">
        <f t="shared" si="15"/>
        <v>5</v>
      </c>
      <c r="ALT67" s="72">
        <f t="shared" si="15"/>
        <v>2</v>
      </c>
      <c r="ALU67" s="72">
        <f t="shared" si="15"/>
        <v>3</v>
      </c>
      <c r="ALV67" s="72">
        <f t="shared" si="15"/>
        <v>4</v>
      </c>
      <c r="ALW67" s="72">
        <f t="shared" si="15"/>
        <v>4</v>
      </c>
      <c r="ALX67" s="72">
        <f t="shared" si="15"/>
        <v>0</v>
      </c>
      <c r="ALY67" s="72">
        <f t="shared" si="15"/>
        <v>4</v>
      </c>
      <c r="ALZ67" s="72">
        <f t="shared" si="15"/>
        <v>1</v>
      </c>
      <c r="AMA67" s="72">
        <f t="shared" si="15"/>
        <v>4</v>
      </c>
      <c r="AMB67" s="72">
        <f t="shared" si="15"/>
        <v>1</v>
      </c>
      <c r="AMC67" s="72">
        <f t="shared" si="15"/>
        <v>4</v>
      </c>
      <c r="AMD67" s="72">
        <f t="shared" si="15"/>
        <v>1</v>
      </c>
      <c r="AME67" s="72">
        <f t="shared" si="15"/>
        <v>4</v>
      </c>
      <c r="AMF67" s="72">
        <f t="shared" si="15"/>
        <v>1</v>
      </c>
      <c r="AMG67" s="72">
        <f t="shared" si="15"/>
        <v>1</v>
      </c>
      <c r="AMH67" s="72">
        <f t="shared" si="15"/>
        <v>1</v>
      </c>
      <c r="AMI67" s="72">
        <f t="shared" si="15"/>
        <v>1</v>
      </c>
      <c r="AMJ67" s="72">
        <f t="shared" si="15"/>
        <v>1</v>
      </c>
      <c r="AMK67" s="72">
        <f t="shared" si="15"/>
        <v>1</v>
      </c>
      <c r="AML67" s="72">
        <f t="shared" si="15"/>
        <v>1</v>
      </c>
      <c r="AMM67" s="72">
        <f t="shared" ref="AMM67:AOX67" si="16">COUNTA(AMM3:AMM66)</f>
        <v>1</v>
      </c>
      <c r="AMN67" s="72">
        <f t="shared" si="16"/>
        <v>1</v>
      </c>
      <c r="AMO67" s="72">
        <f t="shared" si="16"/>
        <v>1</v>
      </c>
      <c r="AMP67" s="72">
        <f t="shared" si="16"/>
        <v>1</v>
      </c>
      <c r="AMQ67" s="72">
        <f t="shared" si="16"/>
        <v>1</v>
      </c>
      <c r="AMR67" s="72">
        <f t="shared" si="16"/>
        <v>1</v>
      </c>
      <c r="AMS67" s="72">
        <f t="shared" si="16"/>
        <v>1</v>
      </c>
      <c r="AMT67" s="72">
        <f t="shared" si="16"/>
        <v>0</v>
      </c>
      <c r="AMU67" s="72">
        <f t="shared" si="16"/>
        <v>1</v>
      </c>
      <c r="AMV67" s="72">
        <f t="shared" si="16"/>
        <v>0</v>
      </c>
      <c r="AMW67" s="72">
        <f t="shared" si="16"/>
        <v>2</v>
      </c>
      <c r="AMX67" s="72">
        <f t="shared" si="16"/>
        <v>1</v>
      </c>
      <c r="AMY67" s="72">
        <f t="shared" si="16"/>
        <v>2</v>
      </c>
      <c r="AMZ67" s="72">
        <f t="shared" si="16"/>
        <v>1</v>
      </c>
      <c r="ANA67" s="72">
        <f t="shared" si="16"/>
        <v>0</v>
      </c>
      <c r="ANB67" s="72">
        <f t="shared" si="16"/>
        <v>0</v>
      </c>
      <c r="ANC67" s="72">
        <f t="shared" si="16"/>
        <v>0</v>
      </c>
      <c r="AND67" s="72">
        <f t="shared" si="16"/>
        <v>0</v>
      </c>
      <c r="ANE67" s="72">
        <f t="shared" si="16"/>
        <v>0</v>
      </c>
      <c r="ANF67" s="72">
        <f t="shared" si="16"/>
        <v>1</v>
      </c>
      <c r="ANG67" s="72">
        <f t="shared" si="16"/>
        <v>0</v>
      </c>
      <c r="ANH67" s="72">
        <f t="shared" si="16"/>
        <v>1</v>
      </c>
      <c r="ANI67" s="72">
        <f t="shared" si="16"/>
        <v>1</v>
      </c>
      <c r="ANJ67" s="72">
        <f t="shared" si="16"/>
        <v>1</v>
      </c>
      <c r="ANK67" s="72">
        <f t="shared" si="16"/>
        <v>1</v>
      </c>
      <c r="ANL67" s="72">
        <f t="shared" si="16"/>
        <v>1</v>
      </c>
      <c r="ANM67" s="72">
        <f t="shared" si="16"/>
        <v>1</v>
      </c>
      <c r="ANN67" s="72">
        <f t="shared" si="16"/>
        <v>1</v>
      </c>
      <c r="ANO67" s="72">
        <f t="shared" si="16"/>
        <v>1</v>
      </c>
      <c r="ANP67" s="72">
        <f t="shared" si="16"/>
        <v>1</v>
      </c>
      <c r="ANQ67" s="72">
        <f t="shared" si="16"/>
        <v>1</v>
      </c>
      <c r="ANR67" s="72">
        <f t="shared" si="16"/>
        <v>1</v>
      </c>
      <c r="ANS67" s="72">
        <f t="shared" si="16"/>
        <v>1</v>
      </c>
      <c r="ANT67" s="72">
        <f t="shared" si="16"/>
        <v>1</v>
      </c>
      <c r="ANU67" s="72">
        <f t="shared" si="16"/>
        <v>1</v>
      </c>
      <c r="ANV67" s="72">
        <f t="shared" si="16"/>
        <v>1</v>
      </c>
      <c r="ANW67" s="72">
        <f t="shared" si="16"/>
        <v>1</v>
      </c>
      <c r="ANX67" s="72">
        <f t="shared" si="16"/>
        <v>1</v>
      </c>
      <c r="ANY67" s="72">
        <f t="shared" si="16"/>
        <v>1</v>
      </c>
      <c r="ANZ67" s="72">
        <f t="shared" si="16"/>
        <v>1</v>
      </c>
      <c r="AOA67" s="72">
        <f t="shared" si="16"/>
        <v>0</v>
      </c>
      <c r="AOB67" s="72">
        <f t="shared" si="16"/>
        <v>1</v>
      </c>
      <c r="AOC67" s="72">
        <f t="shared" si="16"/>
        <v>1</v>
      </c>
      <c r="AOD67" s="72">
        <f t="shared" si="16"/>
        <v>1</v>
      </c>
      <c r="AOE67" s="72">
        <f t="shared" si="16"/>
        <v>1</v>
      </c>
      <c r="AOF67" s="72">
        <f t="shared" si="16"/>
        <v>1</v>
      </c>
      <c r="AOG67" s="72">
        <f t="shared" si="16"/>
        <v>1</v>
      </c>
      <c r="AOH67" s="72">
        <f t="shared" si="16"/>
        <v>1</v>
      </c>
      <c r="AOI67" s="72">
        <f t="shared" si="16"/>
        <v>1</v>
      </c>
      <c r="AOJ67" s="72">
        <f t="shared" si="16"/>
        <v>1</v>
      </c>
      <c r="AOK67" s="72">
        <f t="shared" si="16"/>
        <v>1</v>
      </c>
      <c r="AOL67" s="72">
        <f t="shared" si="16"/>
        <v>1</v>
      </c>
      <c r="AOM67" s="72">
        <f t="shared" si="16"/>
        <v>1</v>
      </c>
      <c r="AON67" s="72">
        <f t="shared" si="16"/>
        <v>1</v>
      </c>
      <c r="AOO67" s="72">
        <f t="shared" si="16"/>
        <v>1</v>
      </c>
      <c r="AOP67" s="72">
        <f t="shared" si="16"/>
        <v>1</v>
      </c>
      <c r="AOQ67" s="72">
        <f t="shared" si="16"/>
        <v>0</v>
      </c>
      <c r="AOR67" s="72">
        <f t="shared" si="16"/>
        <v>0</v>
      </c>
      <c r="AOS67" s="72">
        <f t="shared" si="16"/>
        <v>0</v>
      </c>
      <c r="AOT67" s="72">
        <f t="shared" si="16"/>
        <v>0</v>
      </c>
      <c r="AOU67" s="72">
        <f t="shared" si="16"/>
        <v>0</v>
      </c>
      <c r="AOV67" s="72">
        <f t="shared" si="16"/>
        <v>1</v>
      </c>
      <c r="AOW67" s="72">
        <f t="shared" si="16"/>
        <v>0</v>
      </c>
      <c r="AOX67" s="72">
        <f t="shared" si="16"/>
        <v>1</v>
      </c>
      <c r="AOY67" s="72">
        <f t="shared" ref="AOY67:ARJ67" si="17">COUNTA(AOY3:AOY66)</f>
        <v>1</v>
      </c>
      <c r="AOZ67" s="72">
        <f t="shared" si="17"/>
        <v>1</v>
      </c>
      <c r="APA67" s="72">
        <f t="shared" si="17"/>
        <v>1</v>
      </c>
      <c r="APB67" s="72">
        <f t="shared" si="17"/>
        <v>1</v>
      </c>
      <c r="APC67" s="72">
        <f t="shared" si="17"/>
        <v>1</v>
      </c>
      <c r="APD67" s="72">
        <f t="shared" si="17"/>
        <v>1</v>
      </c>
      <c r="APE67" s="72">
        <f t="shared" si="17"/>
        <v>1</v>
      </c>
      <c r="APF67" s="72">
        <f t="shared" si="17"/>
        <v>1</v>
      </c>
      <c r="APG67" s="72">
        <f t="shared" si="17"/>
        <v>1</v>
      </c>
      <c r="APH67" s="72">
        <f t="shared" si="17"/>
        <v>1</v>
      </c>
      <c r="API67" s="72">
        <f t="shared" si="17"/>
        <v>1</v>
      </c>
      <c r="APJ67" s="72">
        <f t="shared" si="17"/>
        <v>1</v>
      </c>
      <c r="APK67" s="72">
        <f t="shared" si="17"/>
        <v>1</v>
      </c>
      <c r="APL67" s="72">
        <f t="shared" si="17"/>
        <v>0</v>
      </c>
      <c r="APM67" s="72">
        <f t="shared" si="17"/>
        <v>0</v>
      </c>
      <c r="APN67" s="72">
        <f t="shared" si="17"/>
        <v>0</v>
      </c>
      <c r="APO67" s="72">
        <f t="shared" si="17"/>
        <v>0</v>
      </c>
      <c r="APP67" s="72">
        <f t="shared" si="17"/>
        <v>0</v>
      </c>
      <c r="APQ67" s="72">
        <f t="shared" si="17"/>
        <v>1</v>
      </c>
      <c r="APR67" s="72">
        <f t="shared" si="17"/>
        <v>0</v>
      </c>
      <c r="APS67" s="72">
        <f t="shared" si="17"/>
        <v>0</v>
      </c>
      <c r="APT67" s="72">
        <f t="shared" si="17"/>
        <v>0</v>
      </c>
      <c r="APU67" s="72">
        <f t="shared" si="17"/>
        <v>0</v>
      </c>
      <c r="APV67" s="72">
        <f t="shared" si="17"/>
        <v>0</v>
      </c>
      <c r="APW67" s="72">
        <f t="shared" si="17"/>
        <v>0</v>
      </c>
      <c r="APX67" s="72">
        <f t="shared" si="17"/>
        <v>0</v>
      </c>
      <c r="APY67" s="72">
        <f t="shared" si="17"/>
        <v>0</v>
      </c>
      <c r="APZ67" s="72">
        <f t="shared" si="17"/>
        <v>0</v>
      </c>
      <c r="AQA67" s="72">
        <f t="shared" si="17"/>
        <v>0</v>
      </c>
      <c r="AQB67" s="72">
        <f t="shared" si="17"/>
        <v>0</v>
      </c>
      <c r="AQC67" s="72">
        <f t="shared" si="17"/>
        <v>1</v>
      </c>
      <c r="AQD67" s="72">
        <f t="shared" si="17"/>
        <v>1</v>
      </c>
      <c r="AQE67" s="72">
        <f t="shared" si="17"/>
        <v>0</v>
      </c>
      <c r="AQF67" s="72">
        <f t="shared" si="17"/>
        <v>0</v>
      </c>
      <c r="AQG67" s="72">
        <f t="shared" si="17"/>
        <v>5</v>
      </c>
      <c r="AQH67" s="72">
        <f t="shared" si="17"/>
        <v>5</v>
      </c>
      <c r="AQI67" s="72">
        <f t="shared" si="17"/>
        <v>6</v>
      </c>
      <c r="AQJ67" s="72">
        <f t="shared" si="17"/>
        <v>64</v>
      </c>
      <c r="AQK67" s="72">
        <f t="shared" si="17"/>
        <v>55</v>
      </c>
      <c r="AQL67" s="72">
        <f t="shared" si="17"/>
        <v>35</v>
      </c>
      <c r="AQM67" s="72">
        <f t="shared" si="17"/>
        <v>53</v>
      </c>
      <c r="AQN67" s="72">
        <f t="shared" si="17"/>
        <v>53</v>
      </c>
      <c r="AQO67" s="72">
        <f t="shared" si="17"/>
        <v>6</v>
      </c>
      <c r="AQP67" s="72">
        <f t="shared" si="17"/>
        <v>6</v>
      </c>
      <c r="AQQ67" s="72">
        <f t="shared" si="17"/>
        <v>7</v>
      </c>
      <c r="AQR67" s="72">
        <f t="shared" si="17"/>
        <v>6</v>
      </c>
      <c r="AQS67" s="72">
        <f t="shared" si="17"/>
        <v>53</v>
      </c>
      <c r="AQT67" s="72">
        <f t="shared" si="17"/>
        <v>39</v>
      </c>
      <c r="AQU67" s="72">
        <f t="shared" si="17"/>
        <v>39</v>
      </c>
      <c r="AQV67" s="72">
        <f t="shared" si="17"/>
        <v>8</v>
      </c>
      <c r="AQW67" s="72">
        <f t="shared" si="17"/>
        <v>8</v>
      </c>
      <c r="AQX67" s="72">
        <f t="shared" si="17"/>
        <v>49</v>
      </c>
      <c r="AQY67" s="72">
        <f t="shared" si="17"/>
        <v>0</v>
      </c>
      <c r="AQZ67" s="72">
        <f t="shared" si="17"/>
        <v>0</v>
      </c>
      <c r="ARA67" s="72">
        <f t="shared" si="17"/>
        <v>0</v>
      </c>
      <c r="ARB67" s="72">
        <f t="shared" si="17"/>
        <v>0</v>
      </c>
      <c r="ARC67" s="72">
        <f t="shared" si="17"/>
        <v>0</v>
      </c>
      <c r="ARD67" s="72">
        <f t="shared" si="17"/>
        <v>0</v>
      </c>
      <c r="ARE67" s="72">
        <f t="shared" si="17"/>
        <v>0</v>
      </c>
      <c r="ARF67" s="72">
        <f t="shared" si="17"/>
        <v>0</v>
      </c>
      <c r="ARG67" s="72">
        <f t="shared" si="17"/>
        <v>0</v>
      </c>
      <c r="ARH67" s="72">
        <f t="shared" si="17"/>
        <v>0</v>
      </c>
      <c r="ARI67" s="72">
        <f t="shared" si="17"/>
        <v>0</v>
      </c>
      <c r="ARJ67" s="72">
        <f t="shared" si="17"/>
        <v>0</v>
      </c>
      <c r="ARK67" s="72">
        <f t="shared" ref="ARK67:ATV67" si="18">COUNTA(ARK3:ARK66)</f>
        <v>44</v>
      </c>
      <c r="ARL67" s="72">
        <f t="shared" si="18"/>
        <v>0</v>
      </c>
      <c r="ARM67" s="72">
        <f t="shared" si="18"/>
        <v>0</v>
      </c>
      <c r="ARN67" s="72">
        <f t="shared" si="18"/>
        <v>0</v>
      </c>
      <c r="ARO67" s="72">
        <f t="shared" si="18"/>
        <v>0</v>
      </c>
      <c r="ARP67" s="72">
        <f t="shared" si="18"/>
        <v>0</v>
      </c>
      <c r="ARQ67" s="72">
        <f t="shared" si="18"/>
        <v>0</v>
      </c>
      <c r="ARR67" s="72">
        <f t="shared" si="18"/>
        <v>0</v>
      </c>
      <c r="ARS67" s="72">
        <f t="shared" si="18"/>
        <v>0</v>
      </c>
      <c r="ART67" s="72">
        <f t="shared" si="18"/>
        <v>0</v>
      </c>
      <c r="ARU67" s="72">
        <f t="shared" si="18"/>
        <v>0</v>
      </c>
      <c r="ARV67" s="72">
        <f t="shared" si="18"/>
        <v>0</v>
      </c>
      <c r="ARW67" s="72">
        <f t="shared" si="18"/>
        <v>0</v>
      </c>
      <c r="ARX67" s="72">
        <f t="shared" si="18"/>
        <v>0</v>
      </c>
      <c r="ARY67" s="72">
        <f t="shared" si="18"/>
        <v>0</v>
      </c>
      <c r="ARZ67" s="72">
        <f t="shared" si="18"/>
        <v>0</v>
      </c>
      <c r="ASA67" s="72">
        <f t="shared" si="18"/>
        <v>0</v>
      </c>
      <c r="ASB67" s="72">
        <f t="shared" si="18"/>
        <v>0</v>
      </c>
      <c r="ASC67" s="72">
        <f t="shared" si="18"/>
        <v>0</v>
      </c>
      <c r="ASD67" s="72">
        <f t="shared" si="18"/>
        <v>0</v>
      </c>
      <c r="ASE67" s="72">
        <f t="shared" si="18"/>
        <v>0</v>
      </c>
      <c r="ASF67" s="72">
        <f t="shared" si="18"/>
        <v>0</v>
      </c>
      <c r="ASG67" s="72">
        <f t="shared" si="18"/>
        <v>0</v>
      </c>
      <c r="ASH67" s="72">
        <f t="shared" si="18"/>
        <v>0</v>
      </c>
      <c r="ASI67" s="72">
        <f t="shared" si="18"/>
        <v>0</v>
      </c>
      <c r="ASJ67" s="72">
        <f t="shared" si="18"/>
        <v>0</v>
      </c>
      <c r="ASK67" s="72">
        <f t="shared" si="18"/>
        <v>0</v>
      </c>
      <c r="ASL67" s="72">
        <f t="shared" si="18"/>
        <v>0</v>
      </c>
      <c r="ASM67" s="72">
        <f t="shared" si="18"/>
        <v>0</v>
      </c>
      <c r="ASN67" s="72">
        <f t="shared" si="18"/>
        <v>0</v>
      </c>
      <c r="ASO67" s="72">
        <f t="shared" si="18"/>
        <v>0</v>
      </c>
      <c r="ASP67" s="72">
        <f t="shared" si="18"/>
        <v>0</v>
      </c>
      <c r="ASQ67" s="72">
        <f t="shared" si="18"/>
        <v>0</v>
      </c>
      <c r="ASR67" s="72">
        <f t="shared" si="18"/>
        <v>0</v>
      </c>
      <c r="ASS67" s="72">
        <f t="shared" si="18"/>
        <v>0</v>
      </c>
      <c r="AST67" s="72">
        <f t="shared" si="18"/>
        <v>0</v>
      </c>
      <c r="ASU67" s="72">
        <f t="shared" si="18"/>
        <v>0</v>
      </c>
      <c r="ASV67" s="72">
        <f t="shared" si="18"/>
        <v>0</v>
      </c>
      <c r="ASW67" s="72">
        <f t="shared" si="18"/>
        <v>0</v>
      </c>
      <c r="ASX67" s="72">
        <f t="shared" si="18"/>
        <v>0</v>
      </c>
      <c r="ASY67" s="72">
        <f t="shared" si="18"/>
        <v>0</v>
      </c>
      <c r="ASZ67" s="72">
        <f t="shared" si="18"/>
        <v>0</v>
      </c>
      <c r="ATA67" s="72">
        <f t="shared" si="18"/>
        <v>0</v>
      </c>
      <c r="ATB67" s="72">
        <f t="shared" si="18"/>
        <v>0</v>
      </c>
      <c r="ATC67" s="72">
        <f t="shared" si="18"/>
        <v>0</v>
      </c>
      <c r="ATD67" s="72">
        <f t="shared" si="18"/>
        <v>0</v>
      </c>
      <c r="ATE67" s="72">
        <f t="shared" si="18"/>
        <v>0</v>
      </c>
      <c r="ATF67" s="72">
        <f t="shared" si="18"/>
        <v>0</v>
      </c>
      <c r="ATG67" s="72">
        <f t="shared" si="18"/>
        <v>0</v>
      </c>
      <c r="ATH67" s="72">
        <f t="shared" si="18"/>
        <v>0</v>
      </c>
      <c r="ATI67" s="72">
        <f t="shared" si="18"/>
        <v>0</v>
      </c>
      <c r="ATJ67" s="72">
        <f t="shared" si="18"/>
        <v>0</v>
      </c>
      <c r="ATK67" s="72">
        <f t="shared" si="18"/>
        <v>0</v>
      </c>
      <c r="ATL67" s="72">
        <f t="shared" si="18"/>
        <v>0</v>
      </c>
      <c r="ATM67" s="72">
        <f t="shared" si="18"/>
        <v>0</v>
      </c>
      <c r="ATN67" s="72">
        <f t="shared" si="18"/>
        <v>0</v>
      </c>
      <c r="ATO67" s="72">
        <f t="shared" si="18"/>
        <v>0</v>
      </c>
      <c r="ATP67" s="72">
        <f t="shared" si="18"/>
        <v>0</v>
      </c>
      <c r="ATQ67" s="72">
        <f t="shared" si="18"/>
        <v>0</v>
      </c>
      <c r="ATR67" s="72">
        <f t="shared" si="18"/>
        <v>0</v>
      </c>
      <c r="ATS67" s="72">
        <f t="shared" si="18"/>
        <v>0</v>
      </c>
      <c r="ATT67" s="72">
        <f t="shared" si="18"/>
        <v>0</v>
      </c>
      <c r="ATU67" s="72">
        <f t="shared" si="18"/>
        <v>0</v>
      </c>
      <c r="ATV67" s="72">
        <f t="shared" si="18"/>
        <v>0</v>
      </c>
      <c r="ATW67" s="72">
        <f t="shared" ref="ATW67:AWH67" si="19">COUNTA(ATW3:ATW66)</f>
        <v>0</v>
      </c>
      <c r="ATX67" s="72">
        <f t="shared" si="19"/>
        <v>53</v>
      </c>
      <c r="ATY67" s="72">
        <f t="shared" si="19"/>
        <v>55</v>
      </c>
      <c r="ATZ67" s="72">
        <f t="shared" si="19"/>
        <v>32</v>
      </c>
      <c r="AUA67" s="72">
        <f t="shared" si="19"/>
        <v>55</v>
      </c>
      <c r="AUB67" s="72">
        <f t="shared" si="19"/>
        <v>2</v>
      </c>
      <c r="AUC67" s="72">
        <f t="shared" si="19"/>
        <v>55</v>
      </c>
      <c r="AUD67" s="72">
        <f t="shared" si="19"/>
        <v>32</v>
      </c>
      <c r="AUE67" s="72">
        <f t="shared" si="19"/>
        <v>54</v>
      </c>
      <c r="AUF67" s="72">
        <f t="shared" si="19"/>
        <v>54</v>
      </c>
      <c r="AUG67" s="72">
        <f t="shared" si="19"/>
        <v>46</v>
      </c>
      <c r="AUH67" s="72">
        <f t="shared" si="19"/>
        <v>46</v>
      </c>
      <c r="AUI67" s="72">
        <f t="shared" si="19"/>
        <v>47</v>
      </c>
      <c r="AUJ67" s="72">
        <f t="shared" si="19"/>
        <v>36</v>
      </c>
      <c r="AUK67" s="72">
        <f t="shared" si="19"/>
        <v>3</v>
      </c>
      <c r="AUL67" s="72">
        <f t="shared" si="19"/>
        <v>7</v>
      </c>
      <c r="AUM67" s="72">
        <f t="shared" si="19"/>
        <v>6</v>
      </c>
      <c r="AUN67" s="72">
        <f t="shared" si="19"/>
        <v>7</v>
      </c>
      <c r="AUO67" s="72">
        <f t="shared" si="19"/>
        <v>8</v>
      </c>
      <c r="AUP67" s="72">
        <f t="shared" si="19"/>
        <v>5</v>
      </c>
      <c r="AUQ67" s="72">
        <f t="shared" si="19"/>
        <v>5</v>
      </c>
      <c r="AUR67" s="72">
        <f t="shared" si="19"/>
        <v>1</v>
      </c>
      <c r="AUS67" s="72">
        <f t="shared" si="19"/>
        <v>0</v>
      </c>
      <c r="AUT67" s="72">
        <f t="shared" si="19"/>
        <v>0</v>
      </c>
      <c r="AUU67" s="72">
        <f t="shared" si="19"/>
        <v>0</v>
      </c>
      <c r="AUV67" s="72">
        <f t="shared" si="19"/>
        <v>22</v>
      </c>
      <c r="AUW67" s="72">
        <f t="shared" si="19"/>
        <v>9</v>
      </c>
      <c r="AUX67" s="72">
        <f t="shared" si="19"/>
        <v>0</v>
      </c>
      <c r="AUY67" s="72">
        <f t="shared" si="19"/>
        <v>1</v>
      </c>
      <c r="AUZ67" s="72">
        <f t="shared" si="19"/>
        <v>0</v>
      </c>
      <c r="AVA67" s="72">
        <f t="shared" si="19"/>
        <v>0</v>
      </c>
      <c r="AVB67" s="72">
        <f t="shared" si="19"/>
        <v>1</v>
      </c>
      <c r="AVC67" s="72">
        <f t="shared" si="19"/>
        <v>5</v>
      </c>
      <c r="AVD67" s="72">
        <f t="shared" si="19"/>
        <v>1</v>
      </c>
      <c r="AVE67" s="72">
        <f t="shared" si="19"/>
        <v>0</v>
      </c>
      <c r="AVF67" s="72">
        <f t="shared" si="19"/>
        <v>1</v>
      </c>
      <c r="AVG67" s="72">
        <f t="shared" si="19"/>
        <v>47</v>
      </c>
      <c r="AVH67" s="72">
        <f t="shared" si="19"/>
        <v>47</v>
      </c>
      <c r="AVI67" s="72">
        <f t="shared" si="19"/>
        <v>44</v>
      </c>
      <c r="AVJ67" s="72">
        <f t="shared" si="19"/>
        <v>43</v>
      </c>
      <c r="AVK67" s="72">
        <f t="shared" si="19"/>
        <v>43</v>
      </c>
      <c r="AVL67" s="72">
        <f t="shared" si="19"/>
        <v>41</v>
      </c>
      <c r="AVM67" s="72">
        <f t="shared" si="19"/>
        <v>16</v>
      </c>
      <c r="AVN67" s="72">
        <f t="shared" si="19"/>
        <v>47</v>
      </c>
      <c r="AVO67" s="72">
        <f t="shared" si="19"/>
        <v>47</v>
      </c>
      <c r="AVP67" s="72">
        <f t="shared" si="19"/>
        <v>46</v>
      </c>
      <c r="AVQ67" s="72">
        <f t="shared" si="19"/>
        <v>39</v>
      </c>
      <c r="AVR67" s="72">
        <f t="shared" si="19"/>
        <v>40</v>
      </c>
      <c r="AVS67" s="72">
        <f t="shared" si="19"/>
        <v>37</v>
      </c>
      <c r="AVT67" s="72">
        <f t="shared" si="19"/>
        <v>14</v>
      </c>
      <c r="AVU67" s="72">
        <f t="shared" si="19"/>
        <v>55</v>
      </c>
      <c r="AVV67" s="72">
        <f t="shared" si="19"/>
        <v>55</v>
      </c>
      <c r="AVW67" s="72">
        <f t="shared" si="19"/>
        <v>55</v>
      </c>
      <c r="AVX67" s="72">
        <f t="shared" si="19"/>
        <v>54</v>
      </c>
      <c r="AVY67" s="72">
        <f t="shared" si="19"/>
        <v>49</v>
      </c>
      <c r="AVZ67" s="72">
        <f t="shared" si="19"/>
        <v>49</v>
      </c>
      <c r="AWA67" s="72">
        <f t="shared" si="19"/>
        <v>48</v>
      </c>
      <c r="AWB67" s="72">
        <f t="shared" si="19"/>
        <v>48</v>
      </c>
      <c r="AWC67" s="72">
        <f t="shared" si="19"/>
        <v>46</v>
      </c>
      <c r="AWD67" s="72">
        <f t="shared" si="19"/>
        <v>27</v>
      </c>
      <c r="AWE67" s="72">
        <f t="shared" si="19"/>
        <v>50</v>
      </c>
      <c r="AWF67" s="72">
        <f t="shared" si="19"/>
        <v>50</v>
      </c>
      <c r="AWG67" s="72">
        <f t="shared" si="19"/>
        <v>50</v>
      </c>
      <c r="AWH67" s="72">
        <f t="shared" si="19"/>
        <v>48</v>
      </c>
      <c r="AWI67" s="72">
        <f t="shared" ref="AWI67:AYT67" si="20">COUNTA(AWI3:AWI66)</f>
        <v>31</v>
      </c>
      <c r="AWJ67" s="72">
        <f t="shared" si="20"/>
        <v>29</v>
      </c>
      <c r="AWK67" s="72">
        <f t="shared" si="20"/>
        <v>34</v>
      </c>
      <c r="AWL67" s="72">
        <f t="shared" si="20"/>
        <v>25</v>
      </c>
      <c r="AWM67" s="72">
        <f t="shared" si="20"/>
        <v>3</v>
      </c>
      <c r="AWN67" s="72">
        <f t="shared" si="20"/>
        <v>52</v>
      </c>
      <c r="AWO67" s="72">
        <f t="shared" si="20"/>
        <v>2</v>
      </c>
      <c r="AWP67" s="72">
        <f t="shared" si="20"/>
        <v>48</v>
      </c>
      <c r="AWQ67" s="72">
        <f t="shared" si="20"/>
        <v>2</v>
      </c>
      <c r="AWR67" s="72">
        <f t="shared" si="20"/>
        <v>53</v>
      </c>
      <c r="AWS67" s="72">
        <f t="shared" si="20"/>
        <v>3</v>
      </c>
      <c r="AWT67" s="72">
        <f t="shared" si="20"/>
        <v>48</v>
      </c>
      <c r="AWU67" s="72">
        <f t="shared" si="20"/>
        <v>2</v>
      </c>
      <c r="AWV67" s="72">
        <f t="shared" si="20"/>
        <v>29</v>
      </c>
      <c r="AWW67" s="72">
        <f t="shared" si="20"/>
        <v>3</v>
      </c>
      <c r="AWX67" s="72">
        <f t="shared" si="20"/>
        <v>26</v>
      </c>
      <c r="AWY67" s="72">
        <f t="shared" si="20"/>
        <v>2</v>
      </c>
      <c r="AWZ67" s="72">
        <f t="shared" si="20"/>
        <v>4</v>
      </c>
      <c r="AXA67" s="72">
        <f t="shared" si="20"/>
        <v>0</v>
      </c>
      <c r="AXB67" s="72">
        <f t="shared" si="20"/>
        <v>1</v>
      </c>
      <c r="AXC67" s="72">
        <f t="shared" si="20"/>
        <v>0</v>
      </c>
      <c r="AXD67" s="72">
        <f t="shared" si="20"/>
        <v>0</v>
      </c>
      <c r="AXE67" s="72">
        <f t="shared" si="20"/>
        <v>0</v>
      </c>
      <c r="AXF67" s="72">
        <f t="shared" si="20"/>
        <v>0</v>
      </c>
      <c r="AXG67" s="72">
        <f t="shared" si="20"/>
        <v>0</v>
      </c>
      <c r="AXH67" s="72">
        <f t="shared" si="20"/>
        <v>10</v>
      </c>
      <c r="AXI67" s="72">
        <f t="shared" si="20"/>
        <v>0</v>
      </c>
      <c r="AXJ67" s="72">
        <f t="shared" si="20"/>
        <v>4</v>
      </c>
      <c r="AXK67" s="72">
        <f t="shared" si="20"/>
        <v>0</v>
      </c>
      <c r="AXL67" s="72">
        <f t="shared" si="20"/>
        <v>0</v>
      </c>
      <c r="AXM67" s="72">
        <f t="shared" si="20"/>
        <v>0</v>
      </c>
      <c r="AXN67" s="72">
        <f t="shared" si="20"/>
        <v>0</v>
      </c>
      <c r="AXO67" s="72">
        <f t="shared" si="20"/>
        <v>0</v>
      </c>
      <c r="AXP67" s="72">
        <f t="shared" si="20"/>
        <v>1</v>
      </c>
      <c r="AXQ67" s="72">
        <f t="shared" si="20"/>
        <v>2</v>
      </c>
      <c r="AXR67" s="72">
        <f t="shared" si="20"/>
        <v>3</v>
      </c>
      <c r="AXS67" s="72">
        <f t="shared" si="20"/>
        <v>3</v>
      </c>
      <c r="AXT67" s="72">
        <f t="shared" si="20"/>
        <v>0</v>
      </c>
      <c r="AXU67" s="72">
        <f t="shared" si="20"/>
        <v>4</v>
      </c>
      <c r="AXV67" s="72">
        <f t="shared" si="20"/>
        <v>1</v>
      </c>
      <c r="AXW67" s="72">
        <f t="shared" si="20"/>
        <v>2</v>
      </c>
      <c r="AXX67" s="72">
        <f t="shared" si="20"/>
        <v>3</v>
      </c>
      <c r="AXY67" s="72">
        <f t="shared" si="20"/>
        <v>2</v>
      </c>
      <c r="AXZ67" s="72">
        <f t="shared" si="20"/>
        <v>4</v>
      </c>
      <c r="AYA67" s="72">
        <f t="shared" si="20"/>
        <v>3</v>
      </c>
      <c r="AYB67" s="72">
        <f t="shared" si="20"/>
        <v>3</v>
      </c>
      <c r="AYC67" s="72">
        <f t="shared" si="20"/>
        <v>0</v>
      </c>
      <c r="AYD67" s="72">
        <f t="shared" si="20"/>
        <v>2</v>
      </c>
      <c r="AYE67" s="72">
        <f t="shared" si="20"/>
        <v>0</v>
      </c>
      <c r="AYF67" s="72">
        <f t="shared" si="20"/>
        <v>0</v>
      </c>
      <c r="AYG67" s="72">
        <f t="shared" si="20"/>
        <v>1</v>
      </c>
      <c r="AYH67" s="72">
        <f t="shared" si="20"/>
        <v>4</v>
      </c>
      <c r="AYI67" s="72">
        <f t="shared" si="20"/>
        <v>0</v>
      </c>
      <c r="AYJ67" s="72">
        <f t="shared" si="20"/>
        <v>0</v>
      </c>
      <c r="AYK67" s="72">
        <f t="shared" si="20"/>
        <v>0</v>
      </c>
      <c r="AYL67" s="72">
        <f t="shared" si="20"/>
        <v>0</v>
      </c>
      <c r="AYM67" s="72">
        <f t="shared" si="20"/>
        <v>0</v>
      </c>
      <c r="AYN67" s="72">
        <f t="shared" si="20"/>
        <v>0</v>
      </c>
      <c r="AYO67" s="72">
        <f t="shared" si="20"/>
        <v>0</v>
      </c>
      <c r="AYP67" s="72">
        <f t="shared" si="20"/>
        <v>0</v>
      </c>
      <c r="AYQ67" s="72">
        <f t="shared" si="20"/>
        <v>0</v>
      </c>
      <c r="AYR67" s="72">
        <f t="shared" si="20"/>
        <v>0</v>
      </c>
      <c r="AYS67" s="72">
        <f t="shared" si="20"/>
        <v>0</v>
      </c>
      <c r="AYT67" s="72">
        <f t="shared" si="20"/>
        <v>0</v>
      </c>
      <c r="AYU67" s="72">
        <f t="shared" ref="AYU67:BBF67" si="21">COUNTA(AYU3:AYU66)</f>
        <v>0</v>
      </c>
      <c r="AYV67" s="72">
        <f t="shared" si="21"/>
        <v>0</v>
      </c>
      <c r="AYW67" s="72">
        <f t="shared" si="21"/>
        <v>0</v>
      </c>
      <c r="AYX67" s="72">
        <f t="shared" si="21"/>
        <v>0</v>
      </c>
      <c r="AYY67" s="72">
        <f t="shared" si="21"/>
        <v>0</v>
      </c>
      <c r="AYZ67" s="72">
        <f t="shared" si="21"/>
        <v>0</v>
      </c>
      <c r="AZA67" s="72">
        <f t="shared" si="21"/>
        <v>0</v>
      </c>
      <c r="AZB67" s="72">
        <f t="shared" si="21"/>
        <v>0</v>
      </c>
      <c r="AZC67" s="72">
        <f t="shared" si="21"/>
        <v>0</v>
      </c>
      <c r="AZD67" s="72">
        <f t="shared" si="21"/>
        <v>0</v>
      </c>
      <c r="AZE67" s="72">
        <f t="shared" si="21"/>
        <v>0</v>
      </c>
      <c r="AZF67" s="72">
        <f t="shared" si="21"/>
        <v>1</v>
      </c>
      <c r="AZG67" s="72">
        <f t="shared" si="21"/>
        <v>2</v>
      </c>
      <c r="AZH67" s="72">
        <f t="shared" si="21"/>
        <v>1</v>
      </c>
      <c r="AZI67" s="72">
        <f t="shared" si="21"/>
        <v>3</v>
      </c>
      <c r="AZJ67" s="72">
        <f t="shared" si="21"/>
        <v>0</v>
      </c>
      <c r="AZK67" s="72">
        <f t="shared" si="21"/>
        <v>0</v>
      </c>
      <c r="AZL67" s="72">
        <f t="shared" si="21"/>
        <v>0</v>
      </c>
      <c r="AZM67" s="72">
        <f t="shared" si="21"/>
        <v>3</v>
      </c>
      <c r="AZN67" s="72">
        <f t="shared" si="21"/>
        <v>4</v>
      </c>
      <c r="AZO67" s="72">
        <f t="shared" si="21"/>
        <v>3</v>
      </c>
      <c r="AZP67" s="72">
        <f t="shared" si="21"/>
        <v>5</v>
      </c>
      <c r="AZQ67" s="72">
        <f t="shared" si="21"/>
        <v>2</v>
      </c>
      <c r="AZR67" s="72">
        <f t="shared" si="21"/>
        <v>1</v>
      </c>
      <c r="AZS67" s="72">
        <f t="shared" si="21"/>
        <v>1</v>
      </c>
      <c r="AZT67" s="72">
        <f t="shared" si="21"/>
        <v>3</v>
      </c>
      <c r="AZU67" s="72">
        <f t="shared" si="21"/>
        <v>0</v>
      </c>
      <c r="AZV67" s="72">
        <f t="shared" si="21"/>
        <v>0</v>
      </c>
      <c r="AZW67" s="72">
        <f t="shared" si="21"/>
        <v>0</v>
      </c>
      <c r="AZX67" s="72">
        <f t="shared" si="21"/>
        <v>0</v>
      </c>
      <c r="AZY67" s="72">
        <f t="shared" si="21"/>
        <v>0</v>
      </c>
      <c r="AZZ67" s="72">
        <f t="shared" si="21"/>
        <v>0</v>
      </c>
      <c r="BAA67" s="72">
        <f t="shared" si="21"/>
        <v>0</v>
      </c>
      <c r="BAB67" s="72">
        <f t="shared" si="21"/>
        <v>0</v>
      </c>
      <c r="BAC67" s="72">
        <f t="shared" si="21"/>
        <v>0</v>
      </c>
      <c r="BAD67" s="72">
        <f t="shared" si="21"/>
        <v>0</v>
      </c>
      <c r="BAE67" s="72">
        <f t="shared" si="21"/>
        <v>0</v>
      </c>
      <c r="BAF67" s="72">
        <f t="shared" si="21"/>
        <v>0</v>
      </c>
      <c r="BAG67" s="72">
        <f t="shared" si="21"/>
        <v>0</v>
      </c>
      <c r="BAH67" s="72">
        <f t="shared" si="21"/>
        <v>0</v>
      </c>
      <c r="BAI67" s="72">
        <f t="shared" si="21"/>
        <v>0</v>
      </c>
      <c r="BAJ67" s="72">
        <f t="shared" si="21"/>
        <v>0</v>
      </c>
      <c r="BAK67" s="72">
        <f t="shared" si="21"/>
        <v>0</v>
      </c>
      <c r="BAL67" s="72">
        <f t="shared" si="21"/>
        <v>0</v>
      </c>
      <c r="BAM67" s="72">
        <f t="shared" si="21"/>
        <v>0</v>
      </c>
      <c r="BAN67" s="72">
        <f t="shared" si="21"/>
        <v>0</v>
      </c>
      <c r="BAO67" s="72">
        <f t="shared" si="21"/>
        <v>0</v>
      </c>
      <c r="BAP67" s="72">
        <f t="shared" si="21"/>
        <v>0</v>
      </c>
      <c r="BAQ67" s="72">
        <f t="shared" si="21"/>
        <v>0</v>
      </c>
      <c r="BAR67" s="72">
        <f t="shared" si="21"/>
        <v>1</v>
      </c>
      <c r="BAS67" s="72">
        <f t="shared" si="21"/>
        <v>0</v>
      </c>
      <c r="BAT67" s="72">
        <f t="shared" si="21"/>
        <v>0</v>
      </c>
      <c r="BAU67" s="72">
        <f t="shared" si="21"/>
        <v>0</v>
      </c>
      <c r="BAV67" s="72">
        <f t="shared" si="21"/>
        <v>51</v>
      </c>
      <c r="BAW67" s="72">
        <f t="shared" si="21"/>
        <v>52</v>
      </c>
      <c r="BAX67" s="72">
        <f t="shared" si="21"/>
        <v>49</v>
      </c>
      <c r="BAY67" s="72">
        <f t="shared" si="21"/>
        <v>64</v>
      </c>
      <c r="BAZ67" s="72">
        <f t="shared" si="21"/>
        <v>4</v>
      </c>
      <c r="BBA67" s="72">
        <f t="shared" si="21"/>
        <v>1</v>
      </c>
      <c r="BBB67" s="72">
        <f t="shared" si="21"/>
        <v>3</v>
      </c>
      <c r="BBC67" s="72">
        <f t="shared" si="21"/>
        <v>3</v>
      </c>
      <c r="BBD67" s="72">
        <f t="shared" si="21"/>
        <v>4</v>
      </c>
      <c r="BBE67" s="72">
        <f t="shared" si="21"/>
        <v>4</v>
      </c>
      <c r="BBF67" s="72">
        <f t="shared" si="21"/>
        <v>0</v>
      </c>
      <c r="BBG67" s="72">
        <f t="shared" ref="BBG67:BDR67" si="22">COUNTA(BBG3:BBG66)</f>
        <v>0</v>
      </c>
      <c r="BBH67" s="72">
        <f t="shared" si="22"/>
        <v>4</v>
      </c>
      <c r="BBI67" s="72">
        <f t="shared" si="22"/>
        <v>3</v>
      </c>
      <c r="BBJ67" s="72">
        <f t="shared" si="22"/>
        <v>3</v>
      </c>
      <c r="BBK67" s="72">
        <f t="shared" si="22"/>
        <v>4</v>
      </c>
      <c r="BBL67" s="72">
        <f t="shared" si="22"/>
        <v>4</v>
      </c>
      <c r="BBM67" s="72">
        <f t="shared" si="22"/>
        <v>3</v>
      </c>
      <c r="BBN67" s="72">
        <f t="shared" si="22"/>
        <v>0</v>
      </c>
      <c r="BBO67" s="72">
        <f t="shared" si="22"/>
        <v>0</v>
      </c>
      <c r="BBP67" s="72">
        <f t="shared" si="22"/>
        <v>0</v>
      </c>
      <c r="BBQ67" s="72">
        <f t="shared" si="22"/>
        <v>0</v>
      </c>
      <c r="BBR67" s="72">
        <f t="shared" si="22"/>
        <v>0</v>
      </c>
      <c r="BBS67" s="72">
        <f t="shared" si="22"/>
        <v>0</v>
      </c>
      <c r="BBT67" s="72">
        <f t="shared" si="22"/>
        <v>0</v>
      </c>
      <c r="BBU67" s="72">
        <f t="shared" si="22"/>
        <v>0</v>
      </c>
      <c r="BBV67" s="72">
        <f t="shared" si="22"/>
        <v>0</v>
      </c>
      <c r="BBW67" s="72">
        <f t="shared" si="22"/>
        <v>0</v>
      </c>
      <c r="BBX67" s="72">
        <f t="shared" si="22"/>
        <v>0</v>
      </c>
      <c r="BBY67" s="72">
        <f t="shared" si="22"/>
        <v>0</v>
      </c>
      <c r="BBZ67" s="72">
        <f t="shared" si="22"/>
        <v>2</v>
      </c>
      <c r="BCA67" s="72">
        <f t="shared" si="22"/>
        <v>0</v>
      </c>
      <c r="BCB67" s="72">
        <f t="shared" si="22"/>
        <v>0</v>
      </c>
      <c r="BCC67" s="72">
        <f t="shared" si="22"/>
        <v>0</v>
      </c>
      <c r="BCD67" s="72">
        <f t="shared" si="22"/>
        <v>0</v>
      </c>
      <c r="BCE67" s="72">
        <f t="shared" si="22"/>
        <v>0</v>
      </c>
      <c r="BCF67" s="72">
        <f t="shared" si="22"/>
        <v>0</v>
      </c>
      <c r="BCG67" s="72">
        <f t="shared" si="22"/>
        <v>0</v>
      </c>
      <c r="BCH67" s="72">
        <f t="shared" si="22"/>
        <v>0</v>
      </c>
      <c r="BCI67" s="72">
        <f t="shared" si="22"/>
        <v>0</v>
      </c>
      <c r="BCJ67" s="72">
        <f t="shared" si="22"/>
        <v>0</v>
      </c>
      <c r="BCK67" s="72">
        <f t="shared" si="22"/>
        <v>0</v>
      </c>
      <c r="BCL67" s="72">
        <f t="shared" si="22"/>
        <v>1</v>
      </c>
      <c r="BCM67" s="72">
        <f t="shared" si="22"/>
        <v>0</v>
      </c>
      <c r="BCN67" s="72">
        <f t="shared" si="22"/>
        <v>0</v>
      </c>
      <c r="BCO67" s="72">
        <f t="shared" si="22"/>
        <v>0</v>
      </c>
      <c r="BCP67" s="72">
        <f t="shared" si="22"/>
        <v>0</v>
      </c>
      <c r="BCQ67" s="72">
        <f t="shared" si="22"/>
        <v>0</v>
      </c>
      <c r="BCR67" s="72">
        <f t="shared" si="22"/>
        <v>0</v>
      </c>
      <c r="BCS67" s="72">
        <f t="shared" si="22"/>
        <v>0</v>
      </c>
      <c r="BCT67" s="72">
        <f t="shared" si="22"/>
        <v>0</v>
      </c>
      <c r="BCU67" s="72">
        <f t="shared" si="22"/>
        <v>0</v>
      </c>
      <c r="BCV67" s="72">
        <f t="shared" si="22"/>
        <v>0</v>
      </c>
      <c r="BCW67" s="72">
        <f t="shared" si="22"/>
        <v>0</v>
      </c>
      <c r="BCX67" s="72">
        <f t="shared" si="22"/>
        <v>0</v>
      </c>
      <c r="BCY67" s="72">
        <f t="shared" si="22"/>
        <v>0</v>
      </c>
      <c r="BCZ67" s="72">
        <f t="shared" si="22"/>
        <v>0</v>
      </c>
      <c r="BDA67" s="72">
        <f t="shared" si="22"/>
        <v>0</v>
      </c>
      <c r="BDB67" s="72">
        <f t="shared" si="22"/>
        <v>0</v>
      </c>
      <c r="BDC67" s="72">
        <f t="shared" si="22"/>
        <v>0</v>
      </c>
      <c r="BDD67" s="72">
        <f t="shared" si="22"/>
        <v>0</v>
      </c>
      <c r="BDE67" s="72">
        <f t="shared" si="22"/>
        <v>0</v>
      </c>
      <c r="BDF67" s="72">
        <f t="shared" si="22"/>
        <v>0</v>
      </c>
      <c r="BDG67" s="72">
        <f t="shared" si="22"/>
        <v>0</v>
      </c>
      <c r="BDH67" s="72">
        <f t="shared" si="22"/>
        <v>0</v>
      </c>
      <c r="BDI67" s="72">
        <f t="shared" si="22"/>
        <v>0</v>
      </c>
      <c r="BDJ67" s="72">
        <f t="shared" si="22"/>
        <v>0</v>
      </c>
      <c r="BDK67" s="72">
        <f t="shared" si="22"/>
        <v>0</v>
      </c>
      <c r="BDL67" s="72">
        <f t="shared" si="22"/>
        <v>0</v>
      </c>
      <c r="BDM67" s="72">
        <f t="shared" si="22"/>
        <v>0</v>
      </c>
      <c r="BDN67" s="72">
        <f t="shared" si="22"/>
        <v>0</v>
      </c>
      <c r="BDO67" s="72">
        <f t="shared" si="22"/>
        <v>0</v>
      </c>
      <c r="BDP67" s="72">
        <f t="shared" si="22"/>
        <v>0</v>
      </c>
      <c r="BDQ67" s="72">
        <f t="shared" si="22"/>
        <v>0</v>
      </c>
      <c r="BDR67" s="72">
        <f t="shared" si="22"/>
        <v>0</v>
      </c>
      <c r="BDS67" s="72">
        <f t="shared" ref="BDS67:BGD67" si="23">COUNTA(BDS3:BDS66)</f>
        <v>0</v>
      </c>
      <c r="BDT67" s="72">
        <f t="shared" si="23"/>
        <v>0</v>
      </c>
      <c r="BDU67" s="72">
        <f t="shared" si="23"/>
        <v>0</v>
      </c>
      <c r="BDV67" s="72">
        <f t="shared" si="23"/>
        <v>0</v>
      </c>
      <c r="BDW67" s="72">
        <f t="shared" si="23"/>
        <v>0</v>
      </c>
      <c r="BDX67" s="72">
        <f t="shared" si="23"/>
        <v>0</v>
      </c>
      <c r="BDY67" s="72">
        <f t="shared" si="23"/>
        <v>0</v>
      </c>
      <c r="BDZ67" s="72">
        <f t="shared" si="23"/>
        <v>0</v>
      </c>
      <c r="BEA67" s="72">
        <f t="shared" si="23"/>
        <v>0</v>
      </c>
      <c r="BEB67" s="72">
        <f t="shared" si="23"/>
        <v>0</v>
      </c>
      <c r="BEC67" s="72">
        <f t="shared" si="23"/>
        <v>0</v>
      </c>
      <c r="BED67" s="72">
        <f t="shared" si="23"/>
        <v>0</v>
      </c>
      <c r="BEE67" s="72">
        <f t="shared" si="23"/>
        <v>0</v>
      </c>
      <c r="BEF67" s="72">
        <f t="shared" si="23"/>
        <v>0</v>
      </c>
      <c r="BEG67" s="72">
        <f t="shared" si="23"/>
        <v>0</v>
      </c>
      <c r="BEH67" s="72">
        <f t="shared" si="23"/>
        <v>0</v>
      </c>
      <c r="BEI67" s="72">
        <f t="shared" si="23"/>
        <v>0</v>
      </c>
      <c r="BEJ67" s="72">
        <f t="shared" si="23"/>
        <v>0</v>
      </c>
      <c r="BEK67" s="72">
        <f t="shared" si="23"/>
        <v>0</v>
      </c>
      <c r="BEL67" s="72">
        <f t="shared" si="23"/>
        <v>0</v>
      </c>
      <c r="BEM67" s="72">
        <f t="shared" si="23"/>
        <v>4</v>
      </c>
      <c r="BEN67" s="72">
        <f t="shared" si="23"/>
        <v>4</v>
      </c>
      <c r="BEO67" s="72">
        <f t="shared" si="23"/>
        <v>3</v>
      </c>
      <c r="BEP67" s="72">
        <f t="shared" si="23"/>
        <v>4</v>
      </c>
      <c r="BEQ67" s="72">
        <f t="shared" si="23"/>
        <v>0</v>
      </c>
      <c r="BER67" s="72">
        <f t="shared" si="23"/>
        <v>4</v>
      </c>
      <c r="BES67" s="72">
        <f t="shared" si="23"/>
        <v>4</v>
      </c>
      <c r="BET67" s="72">
        <f t="shared" si="23"/>
        <v>3</v>
      </c>
      <c r="BEU67" s="72">
        <f t="shared" si="23"/>
        <v>3</v>
      </c>
      <c r="BEV67" s="72">
        <f t="shared" si="23"/>
        <v>1</v>
      </c>
      <c r="BEW67" s="72">
        <f t="shared" si="23"/>
        <v>3</v>
      </c>
      <c r="BEX67" s="72">
        <f t="shared" si="23"/>
        <v>3</v>
      </c>
      <c r="BEY67" s="72">
        <f t="shared" si="23"/>
        <v>2</v>
      </c>
      <c r="BEZ67" s="72">
        <f t="shared" si="23"/>
        <v>0</v>
      </c>
      <c r="BFA67" s="72">
        <f t="shared" si="23"/>
        <v>2</v>
      </c>
      <c r="BFB67" s="72">
        <f t="shared" si="23"/>
        <v>2</v>
      </c>
      <c r="BFC67" s="72">
        <f t="shared" si="23"/>
        <v>1</v>
      </c>
      <c r="BFD67" s="72">
        <f t="shared" si="23"/>
        <v>2</v>
      </c>
      <c r="BFE67" s="72">
        <f t="shared" si="23"/>
        <v>1</v>
      </c>
      <c r="BFF67" s="72">
        <f t="shared" si="23"/>
        <v>2</v>
      </c>
      <c r="BFG67" s="72">
        <f t="shared" si="23"/>
        <v>1</v>
      </c>
      <c r="BFH67" s="72">
        <f t="shared" si="23"/>
        <v>1</v>
      </c>
      <c r="BFI67" s="72">
        <f t="shared" si="23"/>
        <v>1</v>
      </c>
      <c r="BFJ67" s="72">
        <f t="shared" si="23"/>
        <v>0</v>
      </c>
      <c r="BFK67" s="72">
        <f t="shared" si="23"/>
        <v>2</v>
      </c>
      <c r="BFL67" s="72">
        <f t="shared" si="23"/>
        <v>1</v>
      </c>
      <c r="BFM67" s="72">
        <f t="shared" si="23"/>
        <v>1</v>
      </c>
      <c r="BFN67" s="72">
        <f t="shared" si="23"/>
        <v>0</v>
      </c>
      <c r="BFO67" s="72">
        <f t="shared" si="23"/>
        <v>3</v>
      </c>
      <c r="BFP67" s="72">
        <f t="shared" si="23"/>
        <v>3</v>
      </c>
      <c r="BFQ67" s="72">
        <f t="shared" si="23"/>
        <v>2</v>
      </c>
      <c r="BFR67" s="72">
        <f t="shared" si="23"/>
        <v>3</v>
      </c>
      <c r="BFS67" s="72">
        <f t="shared" si="23"/>
        <v>3</v>
      </c>
      <c r="BFT67" s="72">
        <f t="shared" si="23"/>
        <v>1</v>
      </c>
      <c r="BFU67" s="72">
        <f t="shared" si="23"/>
        <v>1</v>
      </c>
      <c r="BFV67" s="72">
        <f t="shared" si="23"/>
        <v>3</v>
      </c>
      <c r="BFW67" s="72">
        <f t="shared" si="23"/>
        <v>3</v>
      </c>
      <c r="BFX67" s="72">
        <f t="shared" si="23"/>
        <v>2</v>
      </c>
      <c r="BFY67" s="72">
        <f t="shared" si="23"/>
        <v>3</v>
      </c>
      <c r="BFZ67" s="72">
        <f t="shared" si="23"/>
        <v>3</v>
      </c>
      <c r="BGA67" s="72">
        <f t="shared" si="23"/>
        <v>3</v>
      </c>
      <c r="BGB67" s="72">
        <f t="shared" si="23"/>
        <v>2</v>
      </c>
      <c r="BGC67" s="72">
        <f t="shared" si="23"/>
        <v>3</v>
      </c>
      <c r="BGD67" s="72">
        <f t="shared" si="23"/>
        <v>3</v>
      </c>
      <c r="BGE67" s="72">
        <f t="shared" ref="BGE67:BIP67" si="24">COUNTA(BGE3:BGE66)</f>
        <v>3</v>
      </c>
      <c r="BGF67" s="72">
        <f t="shared" si="24"/>
        <v>3</v>
      </c>
      <c r="BGG67" s="72">
        <f t="shared" si="24"/>
        <v>3</v>
      </c>
      <c r="BGH67" s="72">
        <f t="shared" si="24"/>
        <v>2</v>
      </c>
      <c r="BGI67" s="72">
        <f t="shared" si="24"/>
        <v>1</v>
      </c>
      <c r="BGJ67" s="72">
        <f t="shared" si="24"/>
        <v>4</v>
      </c>
      <c r="BGK67" s="72">
        <f t="shared" si="24"/>
        <v>4</v>
      </c>
      <c r="BGL67" s="72">
        <f t="shared" si="24"/>
        <v>4</v>
      </c>
      <c r="BGM67" s="72">
        <f t="shared" si="24"/>
        <v>3</v>
      </c>
      <c r="BGN67" s="72">
        <f t="shared" si="24"/>
        <v>3</v>
      </c>
      <c r="BGO67" s="72">
        <f t="shared" si="24"/>
        <v>3</v>
      </c>
      <c r="BGP67" s="72">
        <f t="shared" si="24"/>
        <v>3</v>
      </c>
      <c r="BGQ67" s="72">
        <f t="shared" si="24"/>
        <v>3</v>
      </c>
      <c r="BGR67" s="72">
        <f t="shared" si="24"/>
        <v>3</v>
      </c>
      <c r="BGS67" s="72">
        <f t="shared" si="24"/>
        <v>3</v>
      </c>
      <c r="BGT67" s="72">
        <f t="shared" si="24"/>
        <v>3</v>
      </c>
      <c r="BGU67" s="72">
        <f t="shared" si="24"/>
        <v>3</v>
      </c>
      <c r="BGV67" s="72">
        <f t="shared" si="24"/>
        <v>3</v>
      </c>
      <c r="BGW67" s="72">
        <f t="shared" si="24"/>
        <v>3</v>
      </c>
      <c r="BGX67" s="72">
        <f t="shared" si="24"/>
        <v>2</v>
      </c>
      <c r="BGY67" s="72">
        <f t="shared" si="24"/>
        <v>1</v>
      </c>
      <c r="BGZ67" s="72">
        <f t="shared" si="24"/>
        <v>2</v>
      </c>
      <c r="BHA67" s="72">
        <f t="shared" si="24"/>
        <v>0</v>
      </c>
      <c r="BHB67" s="72">
        <f t="shared" si="24"/>
        <v>0</v>
      </c>
      <c r="BHC67" s="72">
        <f t="shared" si="24"/>
        <v>2</v>
      </c>
      <c r="BHD67" s="72">
        <f t="shared" si="24"/>
        <v>1</v>
      </c>
      <c r="BHE67" s="72">
        <f t="shared" si="24"/>
        <v>2</v>
      </c>
      <c r="BHF67" s="72">
        <f t="shared" si="24"/>
        <v>0</v>
      </c>
      <c r="BHG67" s="72">
        <f t="shared" si="24"/>
        <v>1</v>
      </c>
      <c r="BHH67" s="72">
        <f t="shared" si="24"/>
        <v>1</v>
      </c>
      <c r="BHI67" s="72">
        <f t="shared" si="24"/>
        <v>1</v>
      </c>
      <c r="BHJ67" s="72">
        <f t="shared" si="24"/>
        <v>0</v>
      </c>
      <c r="BHK67" s="72">
        <f t="shared" si="24"/>
        <v>1</v>
      </c>
      <c r="BHL67" s="72">
        <f t="shared" si="24"/>
        <v>1</v>
      </c>
      <c r="BHM67" s="72">
        <f t="shared" si="24"/>
        <v>1</v>
      </c>
      <c r="BHN67" s="72">
        <f t="shared" si="24"/>
        <v>0</v>
      </c>
      <c r="BHO67" s="72">
        <f t="shared" si="24"/>
        <v>0</v>
      </c>
      <c r="BHP67" s="72">
        <f t="shared" si="24"/>
        <v>0</v>
      </c>
      <c r="BHQ67" s="72">
        <f t="shared" si="24"/>
        <v>0</v>
      </c>
      <c r="BHR67" s="72">
        <f t="shared" si="24"/>
        <v>0</v>
      </c>
      <c r="BHS67" s="72">
        <f t="shared" si="24"/>
        <v>0</v>
      </c>
      <c r="BHT67" s="72">
        <f t="shared" si="24"/>
        <v>0</v>
      </c>
      <c r="BHU67" s="72">
        <f t="shared" si="24"/>
        <v>0</v>
      </c>
      <c r="BHV67" s="72">
        <f t="shared" si="24"/>
        <v>0</v>
      </c>
      <c r="BHW67" s="72">
        <f t="shared" si="24"/>
        <v>0</v>
      </c>
      <c r="BHX67" s="72">
        <f t="shared" si="24"/>
        <v>0</v>
      </c>
      <c r="BHY67" s="72">
        <f t="shared" si="24"/>
        <v>0</v>
      </c>
      <c r="BHZ67" s="72">
        <f t="shared" si="24"/>
        <v>0</v>
      </c>
      <c r="BIA67" s="72">
        <f t="shared" si="24"/>
        <v>0</v>
      </c>
      <c r="BIB67" s="72">
        <f t="shared" si="24"/>
        <v>0</v>
      </c>
      <c r="BIC67" s="72">
        <f t="shared" si="24"/>
        <v>0</v>
      </c>
      <c r="BID67" s="72">
        <f t="shared" si="24"/>
        <v>0</v>
      </c>
      <c r="BIE67" s="72">
        <f t="shared" si="24"/>
        <v>1</v>
      </c>
      <c r="BIF67" s="72">
        <f t="shared" si="24"/>
        <v>1</v>
      </c>
      <c r="BIG67" s="72">
        <f t="shared" si="24"/>
        <v>1</v>
      </c>
      <c r="BIH67" s="72">
        <f t="shared" si="24"/>
        <v>0</v>
      </c>
      <c r="BII67" s="72">
        <f t="shared" si="24"/>
        <v>0</v>
      </c>
      <c r="BIJ67" s="72">
        <f t="shared" si="24"/>
        <v>1</v>
      </c>
      <c r="BIK67" s="72">
        <f t="shared" si="24"/>
        <v>0</v>
      </c>
      <c r="BIL67" s="72">
        <f t="shared" si="24"/>
        <v>0</v>
      </c>
      <c r="BIM67" s="72">
        <f t="shared" si="24"/>
        <v>0</v>
      </c>
      <c r="BIN67" s="72">
        <f t="shared" si="24"/>
        <v>0</v>
      </c>
      <c r="BIO67" s="72">
        <f t="shared" si="24"/>
        <v>1</v>
      </c>
      <c r="BIP67" s="72">
        <f t="shared" si="24"/>
        <v>0</v>
      </c>
      <c r="BIQ67" s="72">
        <f t="shared" ref="BIQ67:BLB67" si="25">COUNTA(BIQ3:BIQ66)</f>
        <v>1</v>
      </c>
      <c r="BIR67" s="72">
        <f t="shared" si="25"/>
        <v>0</v>
      </c>
      <c r="BIS67" s="72">
        <f t="shared" si="25"/>
        <v>0</v>
      </c>
      <c r="BIT67" s="72">
        <f t="shared" si="25"/>
        <v>0</v>
      </c>
      <c r="BIU67" s="72">
        <f t="shared" si="25"/>
        <v>0</v>
      </c>
      <c r="BIV67" s="72">
        <f t="shared" si="25"/>
        <v>0</v>
      </c>
      <c r="BIW67" s="72">
        <f t="shared" si="25"/>
        <v>1</v>
      </c>
      <c r="BIX67" s="72">
        <f t="shared" si="25"/>
        <v>0</v>
      </c>
      <c r="BIY67" s="72">
        <f t="shared" si="25"/>
        <v>0</v>
      </c>
      <c r="BIZ67" s="72">
        <f t="shared" si="25"/>
        <v>3</v>
      </c>
      <c r="BJA67" s="72">
        <f t="shared" si="25"/>
        <v>3</v>
      </c>
      <c r="BJB67" s="72">
        <f t="shared" si="25"/>
        <v>3</v>
      </c>
      <c r="BJC67" s="72">
        <f t="shared" si="25"/>
        <v>0</v>
      </c>
      <c r="BJD67" s="72">
        <f t="shared" si="25"/>
        <v>0</v>
      </c>
      <c r="BJE67" s="72">
        <f t="shared" si="25"/>
        <v>0</v>
      </c>
      <c r="BJF67" s="72">
        <f t="shared" si="25"/>
        <v>0</v>
      </c>
      <c r="BJG67" s="72">
        <f t="shared" si="25"/>
        <v>1</v>
      </c>
      <c r="BJH67" s="72">
        <f t="shared" si="25"/>
        <v>1</v>
      </c>
      <c r="BJI67" s="72">
        <f t="shared" si="25"/>
        <v>1</v>
      </c>
      <c r="BJJ67" s="72">
        <f t="shared" si="25"/>
        <v>1</v>
      </c>
      <c r="BJK67" s="72">
        <f t="shared" si="25"/>
        <v>1</v>
      </c>
      <c r="BJL67" s="72">
        <f t="shared" si="25"/>
        <v>1</v>
      </c>
      <c r="BJM67" s="72">
        <f t="shared" si="25"/>
        <v>0</v>
      </c>
      <c r="BJN67" s="72">
        <f t="shared" si="25"/>
        <v>0</v>
      </c>
      <c r="BJO67" s="72">
        <f t="shared" si="25"/>
        <v>0</v>
      </c>
      <c r="BJP67" s="72">
        <f t="shared" si="25"/>
        <v>0</v>
      </c>
      <c r="BJQ67" s="72">
        <f t="shared" si="25"/>
        <v>0</v>
      </c>
      <c r="BJR67" s="72">
        <f t="shared" si="25"/>
        <v>0</v>
      </c>
      <c r="BJS67" s="72">
        <f t="shared" si="25"/>
        <v>0</v>
      </c>
      <c r="BJT67" s="72">
        <f t="shared" si="25"/>
        <v>0</v>
      </c>
      <c r="BJU67" s="72">
        <f t="shared" si="25"/>
        <v>1</v>
      </c>
      <c r="BJV67" s="72">
        <f t="shared" si="25"/>
        <v>1</v>
      </c>
      <c r="BJW67" s="72">
        <f t="shared" si="25"/>
        <v>1</v>
      </c>
      <c r="BJX67" s="72">
        <f t="shared" si="25"/>
        <v>0</v>
      </c>
      <c r="BJY67" s="72">
        <f t="shared" si="25"/>
        <v>0</v>
      </c>
      <c r="BJZ67" s="72">
        <f t="shared" si="25"/>
        <v>0</v>
      </c>
      <c r="BKA67" s="72">
        <f t="shared" si="25"/>
        <v>0</v>
      </c>
      <c r="BKB67" s="72">
        <f t="shared" si="25"/>
        <v>0</v>
      </c>
      <c r="BKC67" s="72">
        <f t="shared" si="25"/>
        <v>0</v>
      </c>
      <c r="BKD67" s="72">
        <f t="shared" si="25"/>
        <v>0</v>
      </c>
      <c r="BKE67" s="72">
        <f t="shared" si="25"/>
        <v>1</v>
      </c>
      <c r="BKF67" s="72">
        <f t="shared" si="25"/>
        <v>0</v>
      </c>
      <c r="BKG67" s="72">
        <f t="shared" si="25"/>
        <v>1</v>
      </c>
      <c r="BKH67" s="72">
        <f t="shared" si="25"/>
        <v>0</v>
      </c>
      <c r="BKI67" s="72">
        <f t="shared" si="25"/>
        <v>0</v>
      </c>
      <c r="BKJ67" s="72">
        <f t="shared" si="25"/>
        <v>0</v>
      </c>
      <c r="BKK67" s="72">
        <f t="shared" si="25"/>
        <v>0</v>
      </c>
      <c r="BKL67" s="72">
        <f t="shared" si="25"/>
        <v>0</v>
      </c>
      <c r="BKM67" s="72">
        <f t="shared" si="25"/>
        <v>0</v>
      </c>
      <c r="BKN67" s="72">
        <f t="shared" si="25"/>
        <v>0</v>
      </c>
      <c r="BKO67" s="72">
        <f t="shared" si="25"/>
        <v>0</v>
      </c>
      <c r="BKP67" s="72">
        <f t="shared" si="25"/>
        <v>2</v>
      </c>
      <c r="BKQ67" s="72">
        <f t="shared" si="25"/>
        <v>2</v>
      </c>
      <c r="BKR67" s="72">
        <f t="shared" si="25"/>
        <v>2</v>
      </c>
      <c r="BKS67" s="72">
        <f t="shared" si="25"/>
        <v>0</v>
      </c>
      <c r="BKT67" s="72">
        <f t="shared" si="25"/>
        <v>0</v>
      </c>
      <c r="BKU67" s="72">
        <f t="shared" si="25"/>
        <v>0</v>
      </c>
      <c r="BKV67" s="72">
        <f t="shared" si="25"/>
        <v>0</v>
      </c>
      <c r="BKW67" s="72">
        <f t="shared" si="25"/>
        <v>1</v>
      </c>
      <c r="BKX67" s="72">
        <f t="shared" si="25"/>
        <v>1</v>
      </c>
      <c r="BKY67" s="72">
        <f t="shared" si="25"/>
        <v>1</v>
      </c>
      <c r="BKZ67" s="72">
        <f t="shared" si="25"/>
        <v>1</v>
      </c>
      <c r="BLA67" s="72">
        <f t="shared" si="25"/>
        <v>1</v>
      </c>
      <c r="BLB67" s="72">
        <f t="shared" si="25"/>
        <v>1</v>
      </c>
      <c r="BLC67" s="72">
        <f t="shared" ref="BLC67:BNN67" si="26">COUNTA(BLC3:BLC66)</f>
        <v>0</v>
      </c>
      <c r="BLD67" s="72">
        <f t="shared" si="26"/>
        <v>0</v>
      </c>
      <c r="BLE67" s="72">
        <f t="shared" si="26"/>
        <v>0</v>
      </c>
      <c r="BLF67" s="72">
        <f t="shared" si="26"/>
        <v>0</v>
      </c>
      <c r="BLG67" s="72">
        <f t="shared" si="26"/>
        <v>0</v>
      </c>
      <c r="BLH67" s="72">
        <f t="shared" si="26"/>
        <v>0</v>
      </c>
      <c r="BLI67" s="72">
        <f t="shared" si="26"/>
        <v>0</v>
      </c>
      <c r="BLJ67" s="72">
        <f t="shared" si="26"/>
        <v>0</v>
      </c>
      <c r="BLK67" s="72">
        <f t="shared" si="26"/>
        <v>3</v>
      </c>
      <c r="BLL67" s="72">
        <f t="shared" si="26"/>
        <v>3</v>
      </c>
      <c r="BLM67" s="72">
        <f t="shared" si="26"/>
        <v>3</v>
      </c>
      <c r="BLN67" s="72">
        <f t="shared" si="26"/>
        <v>64</v>
      </c>
      <c r="BLO67" s="72">
        <f t="shared" si="26"/>
        <v>7</v>
      </c>
      <c r="BLP67" s="72">
        <f t="shared" si="26"/>
        <v>0</v>
      </c>
      <c r="BLQ67" s="72">
        <f t="shared" si="26"/>
        <v>7</v>
      </c>
      <c r="BLR67" s="72">
        <f t="shared" si="26"/>
        <v>7</v>
      </c>
      <c r="BLS67" s="72">
        <f t="shared" si="26"/>
        <v>4</v>
      </c>
      <c r="BLT67" s="72">
        <f t="shared" si="26"/>
        <v>4</v>
      </c>
      <c r="BLU67" s="72">
        <f t="shared" si="26"/>
        <v>1</v>
      </c>
      <c r="BLV67" s="72">
        <f t="shared" si="26"/>
        <v>1</v>
      </c>
      <c r="BLW67" s="72">
        <f t="shared" si="26"/>
        <v>7</v>
      </c>
      <c r="BLX67" s="72">
        <f t="shared" si="26"/>
        <v>7</v>
      </c>
      <c r="BLY67" s="72">
        <f t="shared" si="26"/>
        <v>7</v>
      </c>
      <c r="BLZ67" s="72">
        <f t="shared" si="26"/>
        <v>4</v>
      </c>
      <c r="BMA67" s="72">
        <f t="shared" si="26"/>
        <v>4</v>
      </c>
      <c r="BMB67" s="72">
        <f t="shared" si="26"/>
        <v>7</v>
      </c>
      <c r="BMC67" s="72">
        <f t="shared" si="26"/>
        <v>0</v>
      </c>
      <c r="BMD67" s="72">
        <f t="shared" si="26"/>
        <v>0</v>
      </c>
      <c r="BME67" s="72">
        <f t="shared" si="26"/>
        <v>0</v>
      </c>
      <c r="BMF67" s="72">
        <f t="shared" si="26"/>
        <v>0</v>
      </c>
      <c r="BMG67" s="72">
        <f t="shared" si="26"/>
        <v>0</v>
      </c>
      <c r="BMH67" s="72">
        <f t="shared" si="26"/>
        <v>0</v>
      </c>
      <c r="BMI67" s="72">
        <f t="shared" si="26"/>
        <v>0</v>
      </c>
      <c r="BMJ67" s="72">
        <f t="shared" si="26"/>
        <v>0</v>
      </c>
      <c r="BMK67" s="72">
        <f t="shared" si="26"/>
        <v>0</v>
      </c>
      <c r="BML67" s="72">
        <f t="shared" si="26"/>
        <v>0</v>
      </c>
      <c r="BMM67" s="72">
        <f t="shared" si="26"/>
        <v>0</v>
      </c>
      <c r="BMN67" s="72">
        <f t="shared" si="26"/>
        <v>0</v>
      </c>
      <c r="BMO67" s="72">
        <f t="shared" si="26"/>
        <v>7</v>
      </c>
      <c r="BMP67" s="72">
        <f t="shared" si="26"/>
        <v>0</v>
      </c>
      <c r="BMQ67" s="72">
        <f t="shared" si="26"/>
        <v>0</v>
      </c>
      <c r="BMR67" s="72">
        <f t="shared" si="26"/>
        <v>0</v>
      </c>
      <c r="BMS67" s="72">
        <f t="shared" si="26"/>
        <v>0</v>
      </c>
      <c r="BMT67" s="72">
        <f t="shared" si="26"/>
        <v>0</v>
      </c>
      <c r="BMU67" s="72">
        <f t="shared" si="26"/>
        <v>0</v>
      </c>
      <c r="BMV67" s="72">
        <f t="shared" si="26"/>
        <v>0</v>
      </c>
      <c r="BMW67" s="72">
        <f t="shared" si="26"/>
        <v>0</v>
      </c>
      <c r="BMX67" s="72">
        <f t="shared" si="26"/>
        <v>0</v>
      </c>
      <c r="BMY67" s="72">
        <f t="shared" si="26"/>
        <v>0</v>
      </c>
      <c r="BMZ67" s="72">
        <f t="shared" si="26"/>
        <v>0</v>
      </c>
      <c r="BNA67" s="72">
        <f t="shared" si="26"/>
        <v>0</v>
      </c>
      <c r="BNB67" s="72">
        <f t="shared" si="26"/>
        <v>0</v>
      </c>
      <c r="BNC67" s="72">
        <f t="shared" si="26"/>
        <v>0</v>
      </c>
      <c r="BND67" s="72">
        <f t="shared" si="26"/>
        <v>0</v>
      </c>
      <c r="BNE67" s="72">
        <f t="shared" si="26"/>
        <v>0</v>
      </c>
      <c r="BNF67" s="72">
        <f t="shared" si="26"/>
        <v>0</v>
      </c>
      <c r="BNG67" s="72">
        <f t="shared" si="26"/>
        <v>0</v>
      </c>
      <c r="BNH67" s="72">
        <f t="shared" si="26"/>
        <v>0</v>
      </c>
      <c r="BNI67" s="72">
        <f t="shared" si="26"/>
        <v>0</v>
      </c>
      <c r="BNJ67" s="72">
        <f t="shared" si="26"/>
        <v>0</v>
      </c>
      <c r="BNK67" s="72">
        <f t="shared" si="26"/>
        <v>0</v>
      </c>
      <c r="BNL67" s="72">
        <f t="shared" si="26"/>
        <v>0</v>
      </c>
      <c r="BNM67" s="72">
        <f t="shared" si="26"/>
        <v>0</v>
      </c>
      <c r="BNN67" s="72">
        <f t="shared" si="26"/>
        <v>0</v>
      </c>
      <c r="BNO67" s="72">
        <f t="shared" ref="BNO67:BPZ67" si="27">COUNTA(BNO3:BNO66)</f>
        <v>0</v>
      </c>
      <c r="BNP67" s="72">
        <f t="shared" si="27"/>
        <v>0</v>
      </c>
      <c r="BNQ67" s="72">
        <f t="shared" si="27"/>
        <v>0</v>
      </c>
      <c r="BNR67" s="72">
        <f t="shared" si="27"/>
        <v>0</v>
      </c>
      <c r="BNS67" s="72">
        <f t="shared" si="27"/>
        <v>0</v>
      </c>
      <c r="BNT67" s="72">
        <f t="shared" si="27"/>
        <v>0</v>
      </c>
      <c r="BNU67" s="72">
        <f t="shared" si="27"/>
        <v>0</v>
      </c>
      <c r="BNV67" s="72">
        <f t="shared" si="27"/>
        <v>0</v>
      </c>
      <c r="BNW67" s="72">
        <f t="shared" si="27"/>
        <v>0</v>
      </c>
      <c r="BNX67" s="72">
        <f t="shared" si="27"/>
        <v>0</v>
      </c>
      <c r="BNY67" s="72">
        <f t="shared" si="27"/>
        <v>0</v>
      </c>
      <c r="BNZ67" s="72">
        <f t="shared" si="27"/>
        <v>0</v>
      </c>
      <c r="BOA67" s="72">
        <f t="shared" si="27"/>
        <v>0</v>
      </c>
      <c r="BOB67" s="72">
        <f t="shared" si="27"/>
        <v>0</v>
      </c>
      <c r="BOC67" s="72">
        <f t="shared" si="27"/>
        <v>0</v>
      </c>
      <c r="BOD67" s="72">
        <f t="shared" si="27"/>
        <v>0</v>
      </c>
      <c r="BOE67" s="72">
        <f t="shared" si="27"/>
        <v>0</v>
      </c>
      <c r="BOF67" s="72">
        <f t="shared" si="27"/>
        <v>0</v>
      </c>
      <c r="BOG67" s="72">
        <f t="shared" si="27"/>
        <v>0</v>
      </c>
      <c r="BOH67" s="72">
        <f t="shared" si="27"/>
        <v>0</v>
      </c>
      <c r="BOI67" s="72">
        <f t="shared" si="27"/>
        <v>0</v>
      </c>
      <c r="BOJ67" s="72">
        <f t="shared" si="27"/>
        <v>0</v>
      </c>
      <c r="BOK67" s="72">
        <f t="shared" si="27"/>
        <v>0</v>
      </c>
      <c r="BOL67" s="72">
        <f t="shared" si="27"/>
        <v>0</v>
      </c>
      <c r="BOM67" s="72">
        <f t="shared" si="27"/>
        <v>0</v>
      </c>
      <c r="BON67" s="72">
        <f t="shared" si="27"/>
        <v>0</v>
      </c>
      <c r="BOO67" s="72">
        <f t="shared" si="27"/>
        <v>0</v>
      </c>
      <c r="BOP67" s="72">
        <f t="shared" si="27"/>
        <v>0</v>
      </c>
      <c r="BOQ67" s="72">
        <f t="shared" si="27"/>
        <v>0</v>
      </c>
      <c r="BOR67" s="72">
        <f t="shared" si="27"/>
        <v>0</v>
      </c>
      <c r="BOS67" s="72">
        <f t="shared" si="27"/>
        <v>0</v>
      </c>
      <c r="BOT67" s="72">
        <f t="shared" si="27"/>
        <v>0</v>
      </c>
      <c r="BOU67" s="72">
        <f t="shared" si="27"/>
        <v>0</v>
      </c>
      <c r="BOV67" s="72">
        <f t="shared" si="27"/>
        <v>0</v>
      </c>
      <c r="BOW67" s="72">
        <f t="shared" si="27"/>
        <v>0</v>
      </c>
      <c r="BOX67" s="72">
        <f t="shared" si="27"/>
        <v>0</v>
      </c>
      <c r="BOY67" s="72">
        <f t="shared" si="27"/>
        <v>0</v>
      </c>
      <c r="BOZ67" s="72">
        <f t="shared" si="27"/>
        <v>0</v>
      </c>
      <c r="BPA67" s="72">
        <f t="shared" si="27"/>
        <v>0</v>
      </c>
      <c r="BPB67" s="72">
        <f t="shared" si="27"/>
        <v>7</v>
      </c>
      <c r="BPC67" s="72">
        <f t="shared" si="27"/>
        <v>7</v>
      </c>
      <c r="BPD67" s="72">
        <f t="shared" si="27"/>
        <v>4</v>
      </c>
      <c r="BPE67" s="72">
        <f t="shared" si="27"/>
        <v>7</v>
      </c>
      <c r="BPF67" s="72">
        <f t="shared" si="27"/>
        <v>0</v>
      </c>
      <c r="BPG67" s="72">
        <f t="shared" si="27"/>
        <v>6</v>
      </c>
      <c r="BPH67" s="72">
        <f t="shared" si="27"/>
        <v>6</v>
      </c>
      <c r="BPI67" s="72">
        <f t="shared" si="27"/>
        <v>1</v>
      </c>
      <c r="BPJ67" s="72">
        <f t="shared" si="27"/>
        <v>1</v>
      </c>
      <c r="BPK67" s="72">
        <f t="shared" si="27"/>
        <v>0</v>
      </c>
      <c r="BPL67" s="72">
        <f t="shared" si="27"/>
        <v>0</v>
      </c>
      <c r="BPM67" s="72">
        <f t="shared" si="27"/>
        <v>0</v>
      </c>
      <c r="BPN67" s="72">
        <f t="shared" si="27"/>
        <v>0</v>
      </c>
      <c r="BPO67" s="72">
        <f t="shared" si="27"/>
        <v>0</v>
      </c>
      <c r="BPP67" s="72">
        <f t="shared" si="27"/>
        <v>5</v>
      </c>
      <c r="BPQ67" s="72">
        <f t="shared" si="27"/>
        <v>5</v>
      </c>
      <c r="BPR67" s="72">
        <f t="shared" si="27"/>
        <v>6</v>
      </c>
      <c r="BPS67" s="72">
        <f t="shared" si="27"/>
        <v>6</v>
      </c>
      <c r="BPT67" s="72">
        <f t="shared" si="27"/>
        <v>6</v>
      </c>
      <c r="BPU67" s="72">
        <f t="shared" si="27"/>
        <v>5</v>
      </c>
      <c r="BPV67" s="72">
        <f t="shared" si="27"/>
        <v>1</v>
      </c>
      <c r="BPW67" s="72">
        <f t="shared" si="27"/>
        <v>2</v>
      </c>
      <c r="BPX67" s="72">
        <f t="shared" si="27"/>
        <v>2</v>
      </c>
      <c r="BPY67" s="72">
        <f t="shared" si="27"/>
        <v>1</v>
      </c>
      <c r="BPZ67" s="72">
        <f t="shared" si="27"/>
        <v>0</v>
      </c>
      <c r="BQA67" s="72">
        <f t="shared" ref="BQA67:BSL67" si="28">COUNTA(BQA3:BQA66)</f>
        <v>0</v>
      </c>
      <c r="BQB67" s="72">
        <f t="shared" si="28"/>
        <v>1</v>
      </c>
      <c r="BQC67" s="72">
        <f t="shared" si="28"/>
        <v>0</v>
      </c>
      <c r="BQD67" s="72">
        <f t="shared" si="28"/>
        <v>5</v>
      </c>
      <c r="BQE67" s="72">
        <f t="shared" si="28"/>
        <v>5</v>
      </c>
      <c r="BQF67" s="72">
        <f t="shared" si="28"/>
        <v>6</v>
      </c>
      <c r="BQG67" s="72">
        <f t="shared" si="28"/>
        <v>4</v>
      </c>
      <c r="BQH67" s="72">
        <f t="shared" si="28"/>
        <v>4</v>
      </c>
      <c r="BQI67" s="72">
        <f t="shared" si="28"/>
        <v>2</v>
      </c>
      <c r="BQJ67" s="72">
        <f t="shared" si="28"/>
        <v>1</v>
      </c>
      <c r="BQK67" s="72">
        <f t="shared" si="28"/>
        <v>7</v>
      </c>
      <c r="BQL67" s="72">
        <f t="shared" si="28"/>
        <v>7</v>
      </c>
      <c r="BQM67" s="72">
        <f t="shared" si="28"/>
        <v>7</v>
      </c>
      <c r="BQN67" s="72">
        <f t="shared" si="28"/>
        <v>5</v>
      </c>
      <c r="BQO67" s="72">
        <f t="shared" si="28"/>
        <v>5</v>
      </c>
      <c r="BQP67" s="72">
        <f t="shared" si="28"/>
        <v>5</v>
      </c>
      <c r="BQQ67" s="72">
        <f t="shared" si="28"/>
        <v>0</v>
      </c>
      <c r="BQR67" s="72">
        <f t="shared" si="28"/>
        <v>7</v>
      </c>
      <c r="BQS67" s="72">
        <f t="shared" si="28"/>
        <v>7</v>
      </c>
      <c r="BQT67" s="72">
        <f t="shared" si="28"/>
        <v>7</v>
      </c>
      <c r="BQU67" s="72">
        <f t="shared" si="28"/>
        <v>5</v>
      </c>
      <c r="BQV67" s="72">
        <f t="shared" si="28"/>
        <v>5</v>
      </c>
      <c r="BQW67" s="72">
        <f t="shared" si="28"/>
        <v>5</v>
      </c>
      <c r="BQX67" s="72">
        <f t="shared" si="28"/>
        <v>0</v>
      </c>
      <c r="BQY67" s="72">
        <f t="shared" si="28"/>
        <v>7</v>
      </c>
      <c r="BQZ67" s="72">
        <f t="shared" si="28"/>
        <v>7</v>
      </c>
      <c r="BRA67" s="72">
        <f t="shared" si="28"/>
        <v>7</v>
      </c>
      <c r="BRB67" s="72">
        <f t="shared" si="28"/>
        <v>6</v>
      </c>
      <c r="BRC67" s="72">
        <f t="shared" si="28"/>
        <v>6</v>
      </c>
      <c r="BRD67" s="72">
        <f t="shared" si="28"/>
        <v>7</v>
      </c>
      <c r="BRE67" s="72">
        <f t="shared" si="28"/>
        <v>6</v>
      </c>
      <c r="BRF67" s="72">
        <f t="shared" si="28"/>
        <v>7</v>
      </c>
      <c r="BRG67" s="72">
        <f t="shared" si="28"/>
        <v>7</v>
      </c>
      <c r="BRH67" s="72">
        <f t="shared" si="28"/>
        <v>3</v>
      </c>
      <c r="BRI67" s="72">
        <f t="shared" si="28"/>
        <v>7</v>
      </c>
      <c r="BRJ67" s="72">
        <f t="shared" si="28"/>
        <v>7</v>
      </c>
      <c r="BRK67" s="72">
        <f t="shared" si="28"/>
        <v>6</v>
      </c>
      <c r="BRL67" s="72">
        <f t="shared" si="28"/>
        <v>6</v>
      </c>
      <c r="BRM67" s="72">
        <f t="shared" si="28"/>
        <v>4</v>
      </c>
      <c r="BRN67" s="72">
        <f t="shared" si="28"/>
        <v>4</v>
      </c>
      <c r="BRO67" s="72">
        <f t="shared" si="28"/>
        <v>4</v>
      </c>
      <c r="BRP67" s="72">
        <f t="shared" si="28"/>
        <v>2</v>
      </c>
      <c r="BRQ67" s="72">
        <f t="shared" si="28"/>
        <v>0</v>
      </c>
      <c r="BRR67" s="72">
        <f t="shared" si="28"/>
        <v>5</v>
      </c>
      <c r="BRS67" s="72">
        <f t="shared" si="28"/>
        <v>1</v>
      </c>
      <c r="BRT67" s="72">
        <f t="shared" si="28"/>
        <v>5</v>
      </c>
      <c r="BRU67" s="72">
        <f t="shared" si="28"/>
        <v>0</v>
      </c>
      <c r="BRV67" s="72">
        <f t="shared" si="28"/>
        <v>2</v>
      </c>
      <c r="BRW67" s="72">
        <f t="shared" si="28"/>
        <v>0</v>
      </c>
      <c r="BRX67" s="72">
        <f t="shared" si="28"/>
        <v>2</v>
      </c>
      <c r="BRY67" s="72">
        <f t="shared" si="28"/>
        <v>0</v>
      </c>
      <c r="BRZ67" s="72">
        <f t="shared" si="28"/>
        <v>2</v>
      </c>
      <c r="BSA67" s="72">
        <f t="shared" si="28"/>
        <v>0</v>
      </c>
      <c r="BSB67" s="72">
        <f t="shared" si="28"/>
        <v>2</v>
      </c>
      <c r="BSC67" s="72">
        <f t="shared" si="28"/>
        <v>0</v>
      </c>
      <c r="BSD67" s="72">
        <f t="shared" si="28"/>
        <v>0</v>
      </c>
      <c r="BSE67" s="72">
        <f t="shared" si="28"/>
        <v>0</v>
      </c>
      <c r="BSF67" s="72">
        <f t="shared" si="28"/>
        <v>0</v>
      </c>
      <c r="BSG67" s="72">
        <f t="shared" si="28"/>
        <v>0</v>
      </c>
      <c r="BSH67" s="72">
        <f t="shared" si="28"/>
        <v>0</v>
      </c>
      <c r="BSI67" s="72">
        <f t="shared" si="28"/>
        <v>0</v>
      </c>
      <c r="BSJ67" s="72">
        <f t="shared" si="28"/>
        <v>0</v>
      </c>
      <c r="BSK67" s="72">
        <f t="shared" si="28"/>
        <v>0</v>
      </c>
      <c r="BSL67" s="72">
        <f t="shared" si="28"/>
        <v>0</v>
      </c>
      <c r="BSM67" s="72">
        <f t="shared" ref="BSM67:BUX67" si="29">COUNTA(BSM3:BSM66)</f>
        <v>0</v>
      </c>
      <c r="BSN67" s="72">
        <f t="shared" si="29"/>
        <v>0</v>
      </c>
      <c r="BSO67" s="72">
        <f t="shared" si="29"/>
        <v>0</v>
      </c>
      <c r="BSP67" s="72">
        <f t="shared" si="29"/>
        <v>0</v>
      </c>
      <c r="BSQ67" s="72">
        <f t="shared" si="29"/>
        <v>0</v>
      </c>
      <c r="BSR67" s="72">
        <f t="shared" si="29"/>
        <v>0</v>
      </c>
      <c r="BSS67" s="72">
        <f t="shared" si="29"/>
        <v>0</v>
      </c>
      <c r="BST67" s="72">
        <f t="shared" si="29"/>
        <v>2</v>
      </c>
      <c r="BSU67" s="72">
        <f t="shared" si="29"/>
        <v>5</v>
      </c>
      <c r="BSV67" s="72">
        <f t="shared" si="29"/>
        <v>5</v>
      </c>
      <c r="BSW67" s="72">
        <f t="shared" si="29"/>
        <v>2</v>
      </c>
      <c r="BSX67" s="72">
        <f t="shared" si="29"/>
        <v>1</v>
      </c>
      <c r="BSY67" s="72">
        <f t="shared" si="29"/>
        <v>1</v>
      </c>
      <c r="BSZ67" s="72">
        <f t="shared" si="29"/>
        <v>0</v>
      </c>
      <c r="BTA67" s="72">
        <f t="shared" si="29"/>
        <v>1</v>
      </c>
      <c r="BTB67" s="72">
        <f t="shared" si="29"/>
        <v>1</v>
      </c>
      <c r="BTC67" s="72">
        <f t="shared" si="29"/>
        <v>4</v>
      </c>
      <c r="BTD67" s="72">
        <f t="shared" si="29"/>
        <v>4</v>
      </c>
      <c r="BTE67" s="72">
        <f t="shared" si="29"/>
        <v>4</v>
      </c>
      <c r="BTF67" s="72">
        <f t="shared" si="29"/>
        <v>4</v>
      </c>
      <c r="BTG67" s="72">
        <f t="shared" si="29"/>
        <v>1</v>
      </c>
      <c r="BTH67" s="72">
        <f t="shared" si="29"/>
        <v>2</v>
      </c>
      <c r="BTI67" s="72">
        <f t="shared" si="29"/>
        <v>0</v>
      </c>
      <c r="BTJ67" s="72">
        <f t="shared" si="29"/>
        <v>0</v>
      </c>
      <c r="BTK67" s="72">
        <f t="shared" si="29"/>
        <v>0</v>
      </c>
      <c r="BTL67" s="72">
        <f t="shared" si="29"/>
        <v>1</v>
      </c>
      <c r="BTM67" s="72">
        <f t="shared" si="29"/>
        <v>0</v>
      </c>
      <c r="BTN67" s="72">
        <f t="shared" si="29"/>
        <v>0</v>
      </c>
      <c r="BTO67" s="72">
        <f t="shared" si="29"/>
        <v>4</v>
      </c>
      <c r="BTP67" s="72">
        <f t="shared" si="29"/>
        <v>5</v>
      </c>
      <c r="BTQ67" s="72">
        <f t="shared" si="29"/>
        <v>5</v>
      </c>
      <c r="BTR67" s="72">
        <f t="shared" si="29"/>
        <v>0</v>
      </c>
      <c r="BTS67" s="72">
        <f t="shared" si="29"/>
        <v>1</v>
      </c>
      <c r="BTT67" s="72">
        <f t="shared" si="29"/>
        <v>0</v>
      </c>
      <c r="BTU67" s="72">
        <f t="shared" si="29"/>
        <v>0</v>
      </c>
      <c r="BTV67" s="72">
        <f t="shared" si="29"/>
        <v>0</v>
      </c>
      <c r="BTW67" s="72">
        <f t="shared" si="29"/>
        <v>0</v>
      </c>
      <c r="BTX67" s="72">
        <f t="shared" si="29"/>
        <v>0</v>
      </c>
      <c r="BTY67" s="72">
        <f t="shared" si="29"/>
        <v>0</v>
      </c>
      <c r="BTZ67" s="72">
        <f t="shared" si="29"/>
        <v>0</v>
      </c>
      <c r="BUA67" s="72">
        <f t="shared" si="29"/>
        <v>0</v>
      </c>
      <c r="BUB67" s="72">
        <f t="shared" si="29"/>
        <v>0</v>
      </c>
      <c r="BUC67" s="72">
        <f t="shared" si="29"/>
        <v>0</v>
      </c>
      <c r="BUD67" s="72">
        <f t="shared" si="29"/>
        <v>0</v>
      </c>
      <c r="BUE67" s="72">
        <f t="shared" si="29"/>
        <v>0</v>
      </c>
      <c r="BUF67" s="72">
        <f t="shared" si="29"/>
        <v>0</v>
      </c>
      <c r="BUG67" s="72">
        <f t="shared" si="29"/>
        <v>0</v>
      </c>
      <c r="BUH67" s="72">
        <f t="shared" si="29"/>
        <v>0</v>
      </c>
      <c r="BUI67" s="72">
        <f t="shared" si="29"/>
        <v>0</v>
      </c>
      <c r="BUJ67" s="72">
        <f t="shared" si="29"/>
        <v>2</v>
      </c>
      <c r="BUK67" s="72">
        <f t="shared" si="29"/>
        <v>5</v>
      </c>
      <c r="BUL67" s="72">
        <f t="shared" si="29"/>
        <v>5</v>
      </c>
      <c r="BUM67" s="72">
        <f t="shared" si="29"/>
        <v>2</v>
      </c>
      <c r="BUN67" s="72">
        <f t="shared" si="29"/>
        <v>1</v>
      </c>
      <c r="BUO67" s="72">
        <f t="shared" si="29"/>
        <v>0</v>
      </c>
      <c r="BUP67" s="72">
        <f t="shared" si="29"/>
        <v>0</v>
      </c>
      <c r="BUQ67" s="72">
        <f t="shared" si="29"/>
        <v>1</v>
      </c>
      <c r="BUR67" s="72">
        <f t="shared" si="29"/>
        <v>1</v>
      </c>
      <c r="BUS67" s="72">
        <f t="shared" si="29"/>
        <v>4</v>
      </c>
      <c r="BUT67" s="72">
        <f t="shared" si="29"/>
        <v>4</v>
      </c>
      <c r="BUU67" s="72">
        <f t="shared" si="29"/>
        <v>4</v>
      </c>
      <c r="BUV67" s="72">
        <f t="shared" si="29"/>
        <v>4</v>
      </c>
      <c r="BUW67" s="72">
        <f t="shared" si="29"/>
        <v>1</v>
      </c>
      <c r="BUX67" s="72">
        <f t="shared" si="29"/>
        <v>1</v>
      </c>
      <c r="BUY67" s="72">
        <f t="shared" ref="BUY67:BXJ67" si="30">COUNTA(BUY3:BUY66)</f>
        <v>0</v>
      </c>
      <c r="BUZ67" s="72">
        <f t="shared" si="30"/>
        <v>0</v>
      </c>
      <c r="BVA67" s="72">
        <f t="shared" si="30"/>
        <v>0</v>
      </c>
      <c r="BVB67" s="72">
        <f t="shared" si="30"/>
        <v>0</v>
      </c>
      <c r="BVC67" s="72">
        <f t="shared" si="30"/>
        <v>0</v>
      </c>
      <c r="BVD67" s="72">
        <f t="shared" si="30"/>
        <v>0</v>
      </c>
      <c r="BVE67" s="72">
        <f t="shared" si="30"/>
        <v>1</v>
      </c>
      <c r="BVF67" s="72">
        <f t="shared" si="30"/>
        <v>2</v>
      </c>
      <c r="BVG67" s="72">
        <f t="shared" si="30"/>
        <v>2</v>
      </c>
      <c r="BVH67" s="72">
        <f t="shared" si="30"/>
        <v>0</v>
      </c>
      <c r="BVI67" s="72">
        <f t="shared" si="30"/>
        <v>1</v>
      </c>
      <c r="BVJ67" s="72">
        <f t="shared" si="30"/>
        <v>0</v>
      </c>
      <c r="BVK67" s="72">
        <f t="shared" si="30"/>
        <v>0</v>
      </c>
      <c r="BVL67" s="72">
        <f t="shared" si="30"/>
        <v>0</v>
      </c>
      <c r="BVM67" s="72">
        <f t="shared" si="30"/>
        <v>0</v>
      </c>
      <c r="BVN67" s="72">
        <f t="shared" si="30"/>
        <v>0</v>
      </c>
      <c r="BVO67" s="72">
        <f t="shared" si="30"/>
        <v>0</v>
      </c>
      <c r="BVP67" s="72">
        <f t="shared" si="30"/>
        <v>0</v>
      </c>
      <c r="BVQ67" s="72">
        <f t="shared" si="30"/>
        <v>0</v>
      </c>
      <c r="BVR67" s="72">
        <f t="shared" si="30"/>
        <v>0</v>
      </c>
      <c r="BVS67" s="72">
        <f t="shared" si="30"/>
        <v>0</v>
      </c>
      <c r="BVT67" s="72">
        <f t="shared" si="30"/>
        <v>0</v>
      </c>
      <c r="BVU67" s="72">
        <f t="shared" si="30"/>
        <v>0</v>
      </c>
      <c r="BVV67" s="72">
        <f t="shared" si="30"/>
        <v>0</v>
      </c>
      <c r="BVW67" s="72">
        <f t="shared" si="30"/>
        <v>0</v>
      </c>
      <c r="BVX67" s="72">
        <f t="shared" si="30"/>
        <v>0</v>
      </c>
      <c r="BVY67" s="72">
        <f t="shared" si="30"/>
        <v>0</v>
      </c>
      <c r="BVZ67" s="72">
        <f t="shared" si="30"/>
        <v>7</v>
      </c>
      <c r="BWA67" s="72">
        <f t="shared" si="30"/>
        <v>7</v>
      </c>
      <c r="BWB67" s="72">
        <f t="shared" si="30"/>
        <v>6</v>
      </c>
      <c r="BWC67" s="72">
        <f t="shared" si="30"/>
        <v>64</v>
      </c>
      <c r="BWD67" s="72">
        <f t="shared" si="30"/>
        <v>58</v>
      </c>
      <c r="BWE67" s="72">
        <f t="shared" si="30"/>
        <v>57</v>
      </c>
      <c r="BWF67" s="72">
        <f t="shared" si="30"/>
        <v>60</v>
      </c>
      <c r="BWG67" s="72">
        <f t="shared" si="30"/>
        <v>57</v>
      </c>
      <c r="BWH67" s="72">
        <f t="shared" si="30"/>
        <v>64</v>
      </c>
      <c r="BWI67" s="72">
        <f t="shared" si="30"/>
        <v>61</v>
      </c>
      <c r="BWJ67" s="72">
        <f t="shared" si="30"/>
        <v>56</v>
      </c>
      <c r="BWK67" s="72">
        <f t="shared" si="30"/>
        <v>59</v>
      </c>
      <c r="BWL67" s="72">
        <f t="shared" si="30"/>
        <v>9</v>
      </c>
      <c r="BWM67" s="72">
        <f t="shared" si="30"/>
        <v>59</v>
      </c>
      <c r="BWN67" s="72">
        <f t="shared" si="30"/>
        <v>16</v>
      </c>
      <c r="BWO67" s="72">
        <f t="shared" si="30"/>
        <v>60</v>
      </c>
      <c r="BWP67" s="72">
        <f t="shared" si="30"/>
        <v>0</v>
      </c>
      <c r="BWQ67" s="72">
        <f t="shared" si="30"/>
        <v>61</v>
      </c>
      <c r="BWR67" s="72">
        <f t="shared" si="30"/>
        <v>46</v>
      </c>
      <c r="BWS67" s="72">
        <f t="shared" si="30"/>
        <v>0</v>
      </c>
      <c r="BWT67" s="72">
        <f t="shared" si="30"/>
        <v>46</v>
      </c>
      <c r="BWU67" s="72">
        <f t="shared" si="30"/>
        <v>1</v>
      </c>
      <c r="BWV67" s="72">
        <f t="shared" si="30"/>
        <v>46</v>
      </c>
      <c r="BWW67" s="72">
        <f t="shared" si="30"/>
        <v>0</v>
      </c>
      <c r="BWX67" s="72">
        <f t="shared" si="30"/>
        <v>64</v>
      </c>
      <c r="BWY67" s="72">
        <f t="shared" si="30"/>
        <v>62</v>
      </c>
      <c r="BWZ67" s="72">
        <f t="shared" si="30"/>
        <v>63</v>
      </c>
      <c r="BXA67" s="72">
        <f t="shared" si="30"/>
        <v>43</v>
      </c>
      <c r="BXB67" s="72">
        <f t="shared" si="30"/>
        <v>63</v>
      </c>
      <c r="BXC67" s="72">
        <f t="shared" si="30"/>
        <v>17</v>
      </c>
      <c r="BXD67" s="72">
        <f t="shared" si="30"/>
        <v>63</v>
      </c>
      <c r="BXE67" s="72">
        <f t="shared" si="30"/>
        <v>62</v>
      </c>
      <c r="BXF67" s="72">
        <f t="shared" si="30"/>
        <v>62</v>
      </c>
      <c r="BXG67" s="72">
        <f t="shared" si="30"/>
        <v>51</v>
      </c>
      <c r="BXH67" s="72">
        <f t="shared" si="30"/>
        <v>62</v>
      </c>
      <c r="BXI67" s="72">
        <f t="shared" si="30"/>
        <v>15</v>
      </c>
      <c r="BXJ67" s="72">
        <f t="shared" si="30"/>
        <v>64</v>
      </c>
      <c r="BXK67" s="72">
        <f t="shared" ref="BXK67:BZV67" si="31">COUNTA(BXK3:BXK66)</f>
        <v>52</v>
      </c>
      <c r="BXL67" s="72">
        <f t="shared" si="31"/>
        <v>56</v>
      </c>
      <c r="BXM67" s="72">
        <f t="shared" si="31"/>
        <v>56</v>
      </c>
      <c r="BXN67" s="72">
        <f t="shared" si="31"/>
        <v>57</v>
      </c>
      <c r="BXO67" s="72">
        <f t="shared" si="31"/>
        <v>58</v>
      </c>
      <c r="BXP67" s="72">
        <f t="shared" si="31"/>
        <v>58</v>
      </c>
      <c r="BXQ67" s="72">
        <f t="shared" si="31"/>
        <v>52</v>
      </c>
      <c r="BXR67" s="72">
        <f t="shared" si="31"/>
        <v>52</v>
      </c>
      <c r="BXS67" s="72">
        <f t="shared" si="31"/>
        <v>53</v>
      </c>
      <c r="BXT67" s="72">
        <f t="shared" si="31"/>
        <v>37</v>
      </c>
      <c r="BXU67" s="72">
        <f t="shared" si="31"/>
        <v>41</v>
      </c>
      <c r="BXV67" s="72">
        <f t="shared" si="31"/>
        <v>1</v>
      </c>
      <c r="BXW67" s="72">
        <f t="shared" si="31"/>
        <v>58</v>
      </c>
      <c r="BXX67" s="72">
        <f t="shared" si="31"/>
        <v>57</v>
      </c>
      <c r="BXY67" s="72">
        <f t="shared" si="31"/>
        <v>47</v>
      </c>
      <c r="BXZ67" s="72">
        <f t="shared" si="31"/>
        <v>48</v>
      </c>
      <c r="BYA67" s="72">
        <f t="shared" si="31"/>
        <v>48</v>
      </c>
      <c r="BYB67" s="72">
        <f t="shared" si="31"/>
        <v>47</v>
      </c>
      <c r="BYC67" s="72">
        <f t="shared" si="31"/>
        <v>58</v>
      </c>
      <c r="BYD67" s="72">
        <f t="shared" si="31"/>
        <v>64</v>
      </c>
      <c r="BYE67" s="72">
        <f t="shared" si="31"/>
        <v>57</v>
      </c>
      <c r="BYF67" s="72">
        <f t="shared" si="31"/>
        <v>51</v>
      </c>
      <c r="BYG67" s="72">
        <f t="shared" si="31"/>
        <v>10</v>
      </c>
      <c r="BYH67" s="72">
        <f t="shared" si="31"/>
        <v>59</v>
      </c>
      <c r="BYI67" s="72">
        <f t="shared" si="31"/>
        <v>5</v>
      </c>
      <c r="BYJ67" s="72">
        <f t="shared" si="31"/>
        <v>4</v>
      </c>
      <c r="BYK67" s="72">
        <f t="shared" si="31"/>
        <v>59</v>
      </c>
      <c r="BYL67" s="72">
        <f t="shared" si="31"/>
        <v>60</v>
      </c>
      <c r="BYM67" s="72">
        <f t="shared" si="31"/>
        <v>28</v>
      </c>
      <c r="BYN67" s="72">
        <f t="shared" si="31"/>
        <v>60</v>
      </c>
      <c r="BYO67" s="72">
        <f t="shared" si="31"/>
        <v>20</v>
      </c>
      <c r="BYP67" s="72">
        <f t="shared" si="31"/>
        <v>60</v>
      </c>
      <c r="BYQ67" s="72">
        <f t="shared" si="31"/>
        <v>9</v>
      </c>
      <c r="BYR67" s="72">
        <f t="shared" si="31"/>
        <v>64</v>
      </c>
      <c r="BYS67" s="72">
        <f t="shared" si="31"/>
        <v>61</v>
      </c>
      <c r="BYT67" s="72">
        <f t="shared" si="31"/>
        <v>60</v>
      </c>
      <c r="BYU67" s="72">
        <f t="shared" si="31"/>
        <v>61</v>
      </c>
      <c r="BYV67" s="72">
        <f t="shared" si="31"/>
        <v>61</v>
      </c>
      <c r="BYW67" s="72">
        <f t="shared" si="31"/>
        <v>61</v>
      </c>
      <c r="BYX67" s="72">
        <f t="shared" si="31"/>
        <v>57</v>
      </c>
      <c r="BYY67" s="72">
        <f t="shared" si="31"/>
        <v>57</v>
      </c>
      <c r="BYZ67" s="72">
        <f t="shared" si="31"/>
        <v>58</v>
      </c>
      <c r="BZA67" s="72">
        <f t="shared" si="31"/>
        <v>53</v>
      </c>
      <c r="BZB67" s="72">
        <f t="shared" si="31"/>
        <v>58</v>
      </c>
      <c r="BZC67" s="72">
        <f t="shared" si="31"/>
        <v>38</v>
      </c>
      <c r="BZD67" s="72">
        <f t="shared" si="31"/>
        <v>58</v>
      </c>
      <c r="BZE67" s="72">
        <f t="shared" si="31"/>
        <v>57</v>
      </c>
      <c r="BZF67" s="72">
        <f t="shared" si="31"/>
        <v>58</v>
      </c>
      <c r="BZG67" s="72">
        <f t="shared" si="31"/>
        <v>59</v>
      </c>
      <c r="BZH67" s="72">
        <f t="shared" si="31"/>
        <v>2</v>
      </c>
      <c r="BZI67" s="72">
        <f t="shared" si="31"/>
        <v>2</v>
      </c>
      <c r="BZJ67" s="72">
        <f t="shared" si="31"/>
        <v>59</v>
      </c>
      <c r="BZK67" s="72">
        <f t="shared" si="31"/>
        <v>6</v>
      </c>
      <c r="BZL67" s="72">
        <f t="shared" si="31"/>
        <v>0</v>
      </c>
      <c r="BZM67" s="72">
        <f t="shared" si="31"/>
        <v>59</v>
      </c>
      <c r="BZN67" s="72">
        <f t="shared" si="31"/>
        <v>55</v>
      </c>
      <c r="BZO67" s="72">
        <f t="shared" si="31"/>
        <v>2</v>
      </c>
      <c r="BZP67" s="72">
        <f t="shared" si="31"/>
        <v>55</v>
      </c>
      <c r="BZQ67" s="72">
        <f t="shared" si="31"/>
        <v>52</v>
      </c>
      <c r="BZR67" s="72">
        <f t="shared" si="31"/>
        <v>59</v>
      </c>
      <c r="BZS67" s="72">
        <f t="shared" si="31"/>
        <v>59</v>
      </c>
      <c r="BZT67" s="72">
        <f t="shared" si="31"/>
        <v>59</v>
      </c>
      <c r="BZU67" s="72">
        <f t="shared" si="31"/>
        <v>1</v>
      </c>
      <c r="BZV67" s="72">
        <f t="shared" si="31"/>
        <v>58</v>
      </c>
      <c r="BZW67" s="72">
        <f t="shared" ref="BZW67:CCH67" si="32">COUNTA(BZW3:BZW66)</f>
        <v>7</v>
      </c>
      <c r="BZX67" s="72">
        <f t="shared" si="32"/>
        <v>58</v>
      </c>
      <c r="BZY67" s="72">
        <f t="shared" si="32"/>
        <v>2</v>
      </c>
      <c r="BZZ67" s="72">
        <f t="shared" si="32"/>
        <v>64</v>
      </c>
      <c r="CAA67" s="72">
        <f t="shared" si="32"/>
        <v>3</v>
      </c>
      <c r="CAB67" s="72">
        <f t="shared" si="32"/>
        <v>3</v>
      </c>
      <c r="CAC67" s="72">
        <f t="shared" si="32"/>
        <v>64</v>
      </c>
      <c r="CAD67" s="72">
        <f t="shared" si="32"/>
        <v>42</v>
      </c>
      <c r="CAE67" s="72">
        <f t="shared" si="32"/>
        <v>63</v>
      </c>
      <c r="CAF67" s="72">
        <f t="shared" si="32"/>
        <v>39</v>
      </c>
      <c r="CAG67" s="72">
        <f t="shared" si="32"/>
        <v>58</v>
      </c>
      <c r="CAH67" s="72">
        <f t="shared" si="32"/>
        <v>62</v>
      </c>
      <c r="CAI67" s="72">
        <f t="shared" si="32"/>
        <v>62</v>
      </c>
      <c r="CAJ67" s="72">
        <f t="shared" si="32"/>
        <v>61</v>
      </c>
      <c r="CAK67" s="72">
        <f t="shared" si="32"/>
        <v>62</v>
      </c>
      <c r="CAL67" s="72">
        <f t="shared" si="32"/>
        <v>63</v>
      </c>
      <c r="CAM67" s="72">
        <f t="shared" si="32"/>
        <v>63</v>
      </c>
      <c r="CAN67" s="72">
        <f t="shared" si="32"/>
        <v>63</v>
      </c>
      <c r="CAO67" s="72">
        <f t="shared" si="32"/>
        <v>62</v>
      </c>
      <c r="CAP67" s="72">
        <f t="shared" si="32"/>
        <v>62</v>
      </c>
      <c r="CAQ67" s="72">
        <f t="shared" si="32"/>
        <v>37</v>
      </c>
      <c r="CAR67" s="72">
        <f t="shared" si="32"/>
        <v>61</v>
      </c>
      <c r="CAS67" s="72">
        <f t="shared" si="32"/>
        <v>10</v>
      </c>
      <c r="CAT67" s="72">
        <f t="shared" si="32"/>
        <v>59</v>
      </c>
      <c r="CAU67" s="72">
        <f t="shared" si="32"/>
        <v>24</v>
      </c>
      <c r="CAV67" s="72">
        <f t="shared" si="32"/>
        <v>23</v>
      </c>
      <c r="CAW67" s="72">
        <f t="shared" si="32"/>
        <v>29</v>
      </c>
      <c r="CAX67" s="72">
        <f t="shared" si="32"/>
        <v>15</v>
      </c>
      <c r="CAY67" s="72">
        <f t="shared" si="32"/>
        <v>7</v>
      </c>
      <c r="CAZ67" s="72">
        <f t="shared" si="32"/>
        <v>7</v>
      </c>
      <c r="CBA67" s="72">
        <f t="shared" si="32"/>
        <v>7</v>
      </c>
      <c r="CBB67" s="72">
        <f t="shared" si="32"/>
        <v>64</v>
      </c>
      <c r="CBC67" s="72">
        <f t="shared" si="32"/>
        <v>53</v>
      </c>
      <c r="CBD67" s="72">
        <f t="shared" si="32"/>
        <v>51</v>
      </c>
      <c r="CBE67" s="72">
        <f t="shared" si="32"/>
        <v>59</v>
      </c>
      <c r="CBF67" s="72">
        <f t="shared" si="32"/>
        <v>58</v>
      </c>
      <c r="CBG67" s="72">
        <f t="shared" si="32"/>
        <v>56</v>
      </c>
      <c r="CBH67" s="72">
        <f t="shared" si="32"/>
        <v>56</v>
      </c>
      <c r="CBI67" s="72">
        <f t="shared" si="32"/>
        <v>61</v>
      </c>
      <c r="CBJ67" s="72">
        <f t="shared" si="32"/>
        <v>15</v>
      </c>
      <c r="CBK67" s="72">
        <f t="shared" si="32"/>
        <v>59</v>
      </c>
      <c r="CBL67" s="72">
        <f t="shared" si="32"/>
        <v>16</v>
      </c>
      <c r="CBM67" s="72">
        <f t="shared" si="32"/>
        <v>60</v>
      </c>
      <c r="CBN67" s="72">
        <f t="shared" si="32"/>
        <v>58</v>
      </c>
      <c r="CBO67" s="72">
        <f t="shared" si="32"/>
        <v>61</v>
      </c>
      <c r="CBP67" s="72">
        <f t="shared" si="32"/>
        <v>59</v>
      </c>
      <c r="CBQ67" s="72">
        <f t="shared" si="32"/>
        <v>61</v>
      </c>
      <c r="CBR67" s="72">
        <f t="shared" si="32"/>
        <v>59</v>
      </c>
      <c r="CBS67" s="72">
        <f t="shared" si="32"/>
        <v>58</v>
      </c>
      <c r="CBT67" s="72">
        <f t="shared" si="32"/>
        <v>57</v>
      </c>
      <c r="CBU67" s="72">
        <f t="shared" si="32"/>
        <v>60</v>
      </c>
      <c r="CBV67" s="72">
        <f t="shared" si="32"/>
        <v>61</v>
      </c>
      <c r="CBW67" s="72">
        <f t="shared" si="32"/>
        <v>59</v>
      </c>
      <c r="CBX67" s="72">
        <f t="shared" si="32"/>
        <v>61</v>
      </c>
      <c r="CBY67" s="72">
        <f t="shared" si="32"/>
        <v>59</v>
      </c>
      <c r="CBZ67" s="72">
        <f t="shared" si="32"/>
        <v>57</v>
      </c>
      <c r="CCA67" s="72">
        <f t="shared" si="32"/>
        <v>60</v>
      </c>
      <c r="CCB67" s="72">
        <f t="shared" si="32"/>
        <v>61</v>
      </c>
      <c r="CCC67" s="72">
        <f t="shared" si="32"/>
        <v>59</v>
      </c>
      <c r="CCD67" s="72">
        <f t="shared" si="32"/>
        <v>61</v>
      </c>
      <c r="CCE67" s="72">
        <f t="shared" si="32"/>
        <v>60</v>
      </c>
      <c r="CCF67" s="72">
        <f t="shared" si="32"/>
        <v>60</v>
      </c>
      <c r="CCG67" s="72">
        <f t="shared" si="32"/>
        <v>60</v>
      </c>
      <c r="CCH67" s="72">
        <f t="shared" si="32"/>
        <v>56</v>
      </c>
      <c r="CCI67" s="72">
        <f t="shared" ref="CCI67:CET67" si="33">COUNTA(CCI3:CCI66)</f>
        <v>60</v>
      </c>
      <c r="CCJ67" s="72">
        <f t="shared" si="33"/>
        <v>60</v>
      </c>
      <c r="CCK67" s="72">
        <f t="shared" si="33"/>
        <v>60</v>
      </c>
      <c r="CCL67" s="72">
        <f t="shared" si="33"/>
        <v>61</v>
      </c>
      <c r="CCM67" s="72">
        <f t="shared" si="33"/>
        <v>27</v>
      </c>
      <c r="CCN67" s="72">
        <f t="shared" si="33"/>
        <v>59</v>
      </c>
      <c r="CCO67" s="72">
        <f t="shared" si="33"/>
        <v>57</v>
      </c>
      <c r="CCP67" s="72">
        <f t="shared" si="33"/>
        <v>61</v>
      </c>
      <c r="CCQ67" s="72">
        <f t="shared" si="33"/>
        <v>60</v>
      </c>
      <c r="CCR67" s="72">
        <f t="shared" si="33"/>
        <v>60</v>
      </c>
      <c r="CCS67" s="72">
        <f t="shared" si="33"/>
        <v>59</v>
      </c>
      <c r="CCT67" s="72">
        <f t="shared" si="33"/>
        <v>60</v>
      </c>
      <c r="CCU67" s="72">
        <f t="shared" si="33"/>
        <v>60</v>
      </c>
      <c r="CCV67" s="72">
        <f t="shared" si="33"/>
        <v>61</v>
      </c>
      <c r="CCW67" s="72">
        <f t="shared" si="33"/>
        <v>60</v>
      </c>
      <c r="CCX67" s="72">
        <f t="shared" si="33"/>
        <v>59</v>
      </c>
      <c r="CCY67" s="72">
        <f t="shared" si="33"/>
        <v>54</v>
      </c>
      <c r="CCZ67" s="72">
        <f t="shared" si="33"/>
        <v>59</v>
      </c>
      <c r="CDA67" s="72">
        <f t="shared" si="33"/>
        <v>58</v>
      </c>
      <c r="CDB67" s="72">
        <f t="shared" si="33"/>
        <v>60</v>
      </c>
      <c r="CDC67" s="72">
        <f t="shared" si="33"/>
        <v>61</v>
      </c>
      <c r="CDD67" s="72">
        <f t="shared" si="33"/>
        <v>59</v>
      </c>
      <c r="CDE67" s="72">
        <f t="shared" si="33"/>
        <v>61</v>
      </c>
      <c r="CDF67" s="72">
        <f t="shared" si="33"/>
        <v>60</v>
      </c>
      <c r="CDG67" s="72">
        <f t="shared" si="33"/>
        <v>60</v>
      </c>
      <c r="CDH67" s="72">
        <f t="shared" si="33"/>
        <v>60</v>
      </c>
      <c r="CDI67" s="72">
        <f t="shared" si="33"/>
        <v>57</v>
      </c>
      <c r="CDJ67" s="72">
        <f t="shared" si="33"/>
        <v>61</v>
      </c>
      <c r="CDK67" s="72">
        <f t="shared" si="33"/>
        <v>60</v>
      </c>
      <c r="CDL67" s="72">
        <f t="shared" si="33"/>
        <v>60</v>
      </c>
      <c r="CDM67" s="72">
        <f t="shared" si="33"/>
        <v>61</v>
      </c>
      <c r="CDN67" s="72">
        <f t="shared" si="33"/>
        <v>28</v>
      </c>
      <c r="CDO67" s="72">
        <f t="shared" si="33"/>
        <v>59</v>
      </c>
      <c r="CDP67" s="72">
        <f t="shared" si="33"/>
        <v>57</v>
      </c>
      <c r="CDQ67" s="72">
        <f t="shared" si="33"/>
        <v>61</v>
      </c>
      <c r="CDR67" s="72">
        <f t="shared" si="33"/>
        <v>61</v>
      </c>
      <c r="CDS67" s="72">
        <f t="shared" si="33"/>
        <v>60</v>
      </c>
      <c r="CDT67" s="72">
        <f t="shared" si="33"/>
        <v>59</v>
      </c>
      <c r="CDU67" s="72">
        <f t="shared" si="33"/>
        <v>60</v>
      </c>
      <c r="CDV67" s="72">
        <f t="shared" si="33"/>
        <v>60</v>
      </c>
      <c r="CDW67" s="72">
        <f t="shared" si="33"/>
        <v>61</v>
      </c>
      <c r="CDX67" s="72">
        <f t="shared" si="33"/>
        <v>60</v>
      </c>
      <c r="CDY67" s="72">
        <f t="shared" si="33"/>
        <v>59</v>
      </c>
      <c r="CDZ67" s="72">
        <f t="shared" si="33"/>
        <v>54</v>
      </c>
      <c r="CEA67" s="72">
        <f t="shared" si="33"/>
        <v>49</v>
      </c>
      <c r="CEB67" s="72">
        <f t="shared" si="33"/>
        <v>48</v>
      </c>
      <c r="CEC67" s="72">
        <f t="shared" si="33"/>
        <v>51</v>
      </c>
      <c r="CED67" s="72">
        <f t="shared" si="33"/>
        <v>59</v>
      </c>
      <c r="CEE67" s="72">
        <f t="shared" si="33"/>
        <v>49</v>
      </c>
      <c r="CEF67" s="72">
        <f t="shared" si="33"/>
        <v>55</v>
      </c>
      <c r="CEG67" s="72">
        <f t="shared" si="33"/>
        <v>52</v>
      </c>
      <c r="CEH67" s="72">
        <f t="shared" si="33"/>
        <v>53</v>
      </c>
      <c r="CEI67" s="72">
        <f t="shared" si="33"/>
        <v>53</v>
      </c>
      <c r="CEJ67" s="72">
        <f t="shared" si="33"/>
        <v>50</v>
      </c>
      <c r="CEK67" s="72">
        <f t="shared" si="33"/>
        <v>57</v>
      </c>
      <c r="CEL67" s="72">
        <f t="shared" si="33"/>
        <v>55</v>
      </c>
      <c r="CEM67" s="72">
        <f t="shared" si="33"/>
        <v>55</v>
      </c>
      <c r="CEN67" s="72">
        <f t="shared" si="33"/>
        <v>54</v>
      </c>
      <c r="CEO67" s="72">
        <f t="shared" si="33"/>
        <v>26</v>
      </c>
      <c r="CEP67" s="72">
        <f t="shared" si="33"/>
        <v>50</v>
      </c>
      <c r="CEQ67" s="72">
        <f t="shared" si="33"/>
        <v>50</v>
      </c>
      <c r="CER67" s="72">
        <f t="shared" si="33"/>
        <v>55</v>
      </c>
      <c r="CES67" s="72">
        <f t="shared" si="33"/>
        <v>54</v>
      </c>
      <c r="CET67" s="72">
        <f t="shared" si="33"/>
        <v>51</v>
      </c>
      <c r="CEU67" s="72">
        <f t="shared" ref="CEU67:CHF67" si="34">COUNTA(CEU3:CEU66)</f>
        <v>50</v>
      </c>
      <c r="CEV67" s="72">
        <f t="shared" si="34"/>
        <v>50</v>
      </c>
      <c r="CEW67" s="72">
        <f t="shared" si="34"/>
        <v>54</v>
      </c>
      <c r="CEX67" s="72">
        <f t="shared" si="34"/>
        <v>56</v>
      </c>
      <c r="CEY67" s="72">
        <f t="shared" si="34"/>
        <v>58</v>
      </c>
      <c r="CEZ67" s="72">
        <f t="shared" si="34"/>
        <v>57</v>
      </c>
      <c r="CFA67" s="72">
        <f t="shared" si="34"/>
        <v>50</v>
      </c>
      <c r="CFB67" s="72">
        <f t="shared" si="34"/>
        <v>55</v>
      </c>
      <c r="CFC67" s="72">
        <f t="shared" si="34"/>
        <v>53</v>
      </c>
      <c r="CFD67" s="72">
        <f t="shared" si="34"/>
        <v>55</v>
      </c>
      <c r="CFE67" s="72">
        <f t="shared" si="34"/>
        <v>56</v>
      </c>
      <c r="CFF67" s="72">
        <f t="shared" si="34"/>
        <v>55</v>
      </c>
      <c r="CFG67" s="72">
        <f t="shared" si="34"/>
        <v>55</v>
      </c>
      <c r="CFH67" s="72">
        <f t="shared" si="34"/>
        <v>55</v>
      </c>
      <c r="CFI67" s="72">
        <f t="shared" si="34"/>
        <v>56</v>
      </c>
      <c r="CFJ67" s="72">
        <f t="shared" si="34"/>
        <v>56</v>
      </c>
      <c r="CFK67" s="72">
        <f t="shared" si="34"/>
        <v>54</v>
      </c>
      <c r="CFL67" s="72">
        <f t="shared" si="34"/>
        <v>55</v>
      </c>
      <c r="CFM67" s="72">
        <f t="shared" si="34"/>
        <v>58</v>
      </c>
      <c r="CFN67" s="72">
        <f t="shared" si="34"/>
        <v>56</v>
      </c>
      <c r="CFO67" s="72">
        <f t="shared" si="34"/>
        <v>56</v>
      </c>
      <c r="CFP67" s="72">
        <f t="shared" si="34"/>
        <v>27</v>
      </c>
      <c r="CFQ67" s="72">
        <f t="shared" si="34"/>
        <v>55</v>
      </c>
      <c r="CFR67" s="72">
        <f t="shared" si="34"/>
        <v>54</v>
      </c>
      <c r="CFS67" s="72">
        <f t="shared" si="34"/>
        <v>57</v>
      </c>
      <c r="CFT67" s="72">
        <f t="shared" si="34"/>
        <v>56</v>
      </c>
      <c r="CFU67" s="72">
        <f t="shared" si="34"/>
        <v>56</v>
      </c>
      <c r="CFV67" s="72">
        <f t="shared" si="34"/>
        <v>58</v>
      </c>
      <c r="CFW67" s="72">
        <f t="shared" si="34"/>
        <v>55</v>
      </c>
      <c r="CFX67" s="72">
        <f t="shared" si="34"/>
        <v>59</v>
      </c>
      <c r="CFY67" s="72">
        <f t="shared" si="34"/>
        <v>59</v>
      </c>
      <c r="CFZ67" s="72">
        <f t="shared" si="34"/>
        <v>56</v>
      </c>
      <c r="CGA67" s="72">
        <f t="shared" si="34"/>
        <v>56</v>
      </c>
      <c r="CGB67" s="72">
        <f t="shared" si="34"/>
        <v>51</v>
      </c>
      <c r="CGC67" s="72">
        <f t="shared" si="34"/>
        <v>4</v>
      </c>
      <c r="CGD67" s="72">
        <f t="shared" si="34"/>
        <v>4</v>
      </c>
      <c r="CGE67" s="72">
        <f t="shared" si="34"/>
        <v>1</v>
      </c>
      <c r="CGF67" s="72">
        <f t="shared" si="34"/>
        <v>1</v>
      </c>
      <c r="CGG67" s="72">
        <f t="shared" si="34"/>
        <v>2</v>
      </c>
      <c r="CGH67" s="72">
        <f t="shared" si="34"/>
        <v>1</v>
      </c>
      <c r="CGI67" s="72">
        <f t="shared" si="34"/>
        <v>4</v>
      </c>
      <c r="CGJ67" s="72">
        <f t="shared" si="34"/>
        <v>1</v>
      </c>
      <c r="CGK67" s="72">
        <f t="shared" si="34"/>
        <v>8</v>
      </c>
      <c r="CGL67" s="72">
        <f t="shared" si="34"/>
        <v>6</v>
      </c>
      <c r="CGM67" s="72">
        <f t="shared" si="34"/>
        <v>7</v>
      </c>
      <c r="CGN67" s="72">
        <f t="shared" si="34"/>
        <v>6</v>
      </c>
      <c r="CGO67" s="72">
        <f t="shared" si="34"/>
        <v>8</v>
      </c>
      <c r="CGP67" s="72">
        <f t="shared" si="34"/>
        <v>6</v>
      </c>
      <c r="CGQ67" s="72">
        <f t="shared" si="34"/>
        <v>8</v>
      </c>
      <c r="CGR67" s="72">
        <f t="shared" si="34"/>
        <v>6</v>
      </c>
      <c r="CGS67" s="72">
        <f t="shared" si="34"/>
        <v>6</v>
      </c>
      <c r="CGT67" s="72">
        <f t="shared" si="34"/>
        <v>8</v>
      </c>
      <c r="CGU67" s="72">
        <f t="shared" si="34"/>
        <v>8</v>
      </c>
      <c r="CGV67" s="72">
        <f t="shared" si="34"/>
        <v>8</v>
      </c>
      <c r="CGW67" s="72">
        <f t="shared" si="34"/>
        <v>8</v>
      </c>
      <c r="CGX67" s="72">
        <f t="shared" si="34"/>
        <v>8</v>
      </c>
      <c r="CGY67" s="72">
        <f t="shared" si="34"/>
        <v>8</v>
      </c>
      <c r="CGZ67" s="72">
        <f t="shared" si="34"/>
        <v>8</v>
      </c>
      <c r="CHA67" s="72">
        <f t="shared" si="34"/>
        <v>8</v>
      </c>
      <c r="CHB67" s="72">
        <f t="shared" si="34"/>
        <v>8</v>
      </c>
      <c r="CHC67" s="72">
        <f t="shared" si="34"/>
        <v>8</v>
      </c>
      <c r="CHD67" s="72">
        <f t="shared" si="34"/>
        <v>8</v>
      </c>
      <c r="CHE67" s="72">
        <f t="shared" si="34"/>
        <v>3</v>
      </c>
      <c r="CHF67" s="72">
        <f t="shared" si="34"/>
        <v>8</v>
      </c>
      <c r="CHG67" s="72">
        <f t="shared" ref="CHG67:CJR67" si="35">COUNTA(CHG3:CHG66)</f>
        <v>7</v>
      </c>
      <c r="CHH67" s="72">
        <f t="shared" si="35"/>
        <v>5</v>
      </c>
      <c r="CHI67" s="72">
        <f t="shared" si="35"/>
        <v>8</v>
      </c>
      <c r="CHJ67" s="72">
        <f t="shared" si="35"/>
        <v>3</v>
      </c>
      <c r="CHK67" s="72">
        <f t="shared" si="35"/>
        <v>8</v>
      </c>
      <c r="CHL67" s="72">
        <f t="shared" si="35"/>
        <v>8</v>
      </c>
      <c r="CHM67" s="72">
        <f t="shared" si="35"/>
        <v>8</v>
      </c>
      <c r="CHN67" s="72">
        <f t="shared" si="35"/>
        <v>8</v>
      </c>
      <c r="CHO67" s="72">
        <f t="shared" si="35"/>
        <v>8</v>
      </c>
      <c r="CHP67" s="72">
        <f t="shared" si="35"/>
        <v>8</v>
      </c>
      <c r="CHQ67" s="72">
        <f t="shared" si="35"/>
        <v>8</v>
      </c>
      <c r="CHR67" s="72">
        <f t="shared" si="35"/>
        <v>8</v>
      </c>
      <c r="CHS67" s="72">
        <f t="shared" si="35"/>
        <v>8</v>
      </c>
      <c r="CHT67" s="72">
        <f t="shared" si="35"/>
        <v>8</v>
      </c>
      <c r="CHU67" s="72">
        <f t="shared" si="35"/>
        <v>8</v>
      </c>
      <c r="CHV67" s="72">
        <f t="shared" si="35"/>
        <v>8</v>
      </c>
      <c r="CHW67" s="72">
        <f t="shared" si="35"/>
        <v>7</v>
      </c>
      <c r="CHX67" s="72">
        <f t="shared" si="35"/>
        <v>7</v>
      </c>
      <c r="CHY67" s="72">
        <f t="shared" si="35"/>
        <v>7</v>
      </c>
      <c r="CHZ67" s="72">
        <f t="shared" si="35"/>
        <v>7</v>
      </c>
      <c r="CIA67" s="72">
        <f t="shared" si="35"/>
        <v>7</v>
      </c>
      <c r="CIB67" s="72">
        <f t="shared" si="35"/>
        <v>7</v>
      </c>
      <c r="CIC67" s="72">
        <f t="shared" si="35"/>
        <v>7</v>
      </c>
      <c r="CID67" s="72">
        <f t="shared" si="35"/>
        <v>7</v>
      </c>
      <c r="CIE67" s="72">
        <f t="shared" si="35"/>
        <v>7</v>
      </c>
      <c r="CIF67" s="72">
        <f t="shared" si="35"/>
        <v>3</v>
      </c>
      <c r="CIG67" s="72">
        <f t="shared" si="35"/>
        <v>7</v>
      </c>
      <c r="CIH67" s="72">
        <f t="shared" si="35"/>
        <v>6</v>
      </c>
      <c r="CII67" s="72">
        <f t="shared" si="35"/>
        <v>3</v>
      </c>
      <c r="CIJ67" s="72">
        <f t="shared" si="35"/>
        <v>7</v>
      </c>
      <c r="CIK67" s="72">
        <f t="shared" si="35"/>
        <v>3</v>
      </c>
      <c r="CIL67" s="72">
        <f t="shared" si="35"/>
        <v>7</v>
      </c>
      <c r="CIM67" s="72">
        <f t="shared" si="35"/>
        <v>7</v>
      </c>
      <c r="CIN67" s="72">
        <f t="shared" si="35"/>
        <v>7</v>
      </c>
      <c r="CIO67" s="72">
        <f t="shared" si="35"/>
        <v>7</v>
      </c>
      <c r="CIP67" s="72">
        <f t="shared" si="35"/>
        <v>7</v>
      </c>
      <c r="CIQ67" s="72">
        <f t="shared" si="35"/>
        <v>7</v>
      </c>
      <c r="CIR67" s="72">
        <f t="shared" si="35"/>
        <v>7</v>
      </c>
      <c r="CIS67" s="72">
        <f t="shared" si="35"/>
        <v>7</v>
      </c>
      <c r="CIT67" s="72">
        <f t="shared" si="35"/>
        <v>7</v>
      </c>
      <c r="CIU67" s="72">
        <f t="shared" si="35"/>
        <v>7</v>
      </c>
      <c r="CIV67" s="72">
        <f t="shared" si="35"/>
        <v>7</v>
      </c>
      <c r="CIW67" s="72">
        <f t="shared" si="35"/>
        <v>7</v>
      </c>
      <c r="CIX67" s="72">
        <f t="shared" si="35"/>
        <v>4</v>
      </c>
      <c r="CIY67" s="72">
        <f t="shared" si="35"/>
        <v>4</v>
      </c>
      <c r="CIZ67" s="72">
        <f t="shared" si="35"/>
        <v>5</v>
      </c>
      <c r="CJA67" s="72">
        <f t="shared" si="35"/>
        <v>7</v>
      </c>
      <c r="CJB67" s="72">
        <f t="shared" si="35"/>
        <v>4</v>
      </c>
      <c r="CJC67" s="72">
        <f t="shared" si="35"/>
        <v>5</v>
      </c>
      <c r="CJD67" s="72">
        <f t="shared" si="35"/>
        <v>4</v>
      </c>
      <c r="CJE67" s="72">
        <f t="shared" si="35"/>
        <v>4</v>
      </c>
      <c r="CJF67" s="72">
        <f t="shared" si="35"/>
        <v>4</v>
      </c>
      <c r="CJG67" s="72">
        <f t="shared" si="35"/>
        <v>2</v>
      </c>
      <c r="CJH67" s="72">
        <f t="shared" si="35"/>
        <v>6</v>
      </c>
      <c r="CJI67" s="72">
        <f t="shared" si="35"/>
        <v>5</v>
      </c>
      <c r="CJJ67" s="72">
        <f t="shared" si="35"/>
        <v>3</v>
      </c>
      <c r="CJK67" s="72">
        <f t="shared" si="35"/>
        <v>4</v>
      </c>
      <c r="CJL67" s="72">
        <f t="shared" si="35"/>
        <v>2</v>
      </c>
      <c r="CJM67" s="72">
        <f t="shared" si="35"/>
        <v>4</v>
      </c>
      <c r="CJN67" s="72">
        <f t="shared" si="35"/>
        <v>5</v>
      </c>
      <c r="CJO67" s="72">
        <f t="shared" si="35"/>
        <v>6</v>
      </c>
      <c r="CJP67" s="72">
        <f t="shared" si="35"/>
        <v>5</v>
      </c>
      <c r="CJQ67" s="72">
        <f t="shared" si="35"/>
        <v>4</v>
      </c>
      <c r="CJR67" s="72">
        <f t="shared" si="35"/>
        <v>4</v>
      </c>
      <c r="CJS67" s="72">
        <f t="shared" ref="CJS67:CMD67" si="36">COUNTA(CJS3:CJS66)</f>
        <v>4</v>
      </c>
      <c r="CJT67" s="72">
        <f t="shared" si="36"/>
        <v>5</v>
      </c>
      <c r="CJU67" s="72">
        <f t="shared" si="36"/>
        <v>6</v>
      </c>
      <c r="CJV67" s="72">
        <f t="shared" si="36"/>
        <v>6</v>
      </c>
      <c r="CJW67" s="72">
        <f t="shared" si="36"/>
        <v>6</v>
      </c>
      <c r="CJX67" s="72">
        <f t="shared" si="36"/>
        <v>5</v>
      </c>
      <c r="CJY67" s="72">
        <f t="shared" si="36"/>
        <v>7</v>
      </c>
      <c r="CJZ67" s="72">
        <f t="shared" si="36"/>
        <v>7</v>
      </c>
      <c r="CKA67" s="72">
        <f t="shared" si="36"/>
        <v>7</v>
      </c>
      <c r="CKB67" s="72">
        <f t="shared" si="36"/>
        <v>7</v>
      </c>
      <c r="CKC67" s="72">
        <f t="shared" si="36"/>
        <v>7</v>
      </c>
      <c r="CKD67" s="72">
        <f t="shared" si="36"/>
        <v>7</v>
      </c>
      <c r="CKE67" s="72">
        <f t="shared" si="36"/>
        <v>7</v>
      </c>
      <c r="CKF67" s="72">
        <f t="shared" si="36"/>
        <v>7</v>
      </c>
      <c r="CKG67" s="72">
        <f t="shared" si="36"/>
        <v>7</v>
      </c>
      <c r="CKH67" s="72">
        <f t="shared" si="36"/>
        <v>4</v>
      </c>
      <c r="CKI67" s="72">
        <f t="shared" si="36"/>
        <v>7</v>
      </c>
      <c r="CKJ67" s="72">
        <f t="shared" si="36"/>
        <v>6</v>
      </c>
      <c r="CKK67" s="72">
        <f t="shared" si="36"/>
        <v>4</v>
      </c>
      <c r="CKL67" s="72">
        <f t="shared" si="36"/>
        <v>7</v>
      </c>
      <c r="CKM67" s="72">
        <f t="shared" si="36"/>
        <v>4</v>
      </c>
      <c r="CKN67" s="72">
        <f t="shared" si="36"/>
        <v>7</v>
      </c>
      <c r="CKO67" s="72">
        <f t="shared" si="36"/>
        <v>7</v>
      </c>
      <c r="CKP67" s="72">
        <f t="shared" si="36"/>
        <v>7</v>
      </c>
      <c r="CKQ67" s="72">
        <f t="shared" si="36"/>
        <v>7</v>
      </c>
      <c r="CKR67" s="72">
        <f t="shared" si="36"/>
        <v>7</v>
      </c>
      <c r="CKS67" s="72">
        <f t="shared" si="36"/>
        <v>7</v>
      </c>
      <c r="CKT67" s="72">
        <f t="shared" si="36"/>
        <v>7</v>
      </c>
      <c r="CKU67" s="72">
        <f t="shared" si="36"/>
        <v>7</v>
      </c>
      <c r="CKV67" s="72">
        <f t="shared" si="36"/>
        <v>7</v>
      </c>
      <c r="CKW67" s="72">
        <f t="shared" si="36"/>
        <v>7</v>
      </c>
      <c r="CKX67" s="72">
        <f t="shared" si="36"/>
        <v>7</v>
      </c>
      <c r="CKY67" s="72">
        <f t="shared" si="36"/>
        <v>7</v>
      </c>
      <c r="CKZ67" s="72">
        <f t="shared" si="36"/>
        <v>1</v>
      </c>
      <c r="CLA67" s="72">
        <f t="shared" si="36"/>
        <v>1</v>
      </c>
      <c r="CLB67" s="72">
        <f t="shared" si="36"/>
        <v>1</v>
      </c>
      <c r="CLC67" s="72">
        <f t="shared" si="36"/>
        <v>1</v>
      </c>
      <c r="CLD67" s="72">
        <f t="shared" si="36"/>
        <v>1</v>
      </c>
      <c r="CLE67" s="72">
        <f t="shared" si="36"/>
        <v>0</v>
      </c>
      <c r="CLF67" s="72">
        <f t="shared" si="36"/>
        <v>1</v>
      </c>
      <c r="CLG67" s="72">
        <f t="shared" si="36"/>
        <v>0</v>
      </c>
      <c r="CLH67" s="72">
        <f t="shared" si="36"/>
        <v>1</v>
      </c>
      <c r="CLI67" s="72">
        <f t="shared" si="36"/>
        <v>1</v>
      </c>
      <c r="CLJ67" s="72">
        <f t="shared" si="36"/>
        <v>1</v>
      </c>
      <c r="CLK67" s="72">
        <f t="shared" si="36"/>
        <v>1</v>
      </c>
      <c r="CLL67" s="72">
        <f t="shared" si="36"/>
        <v>1</v>
      </c>
      <c r="CLM67" s="72">
        <f t="shared" si="36"/>
        <v>1</v>
      </c>
      <c r="CLN67" s="72">
        <f t="shared" si="36"/>
        <v>1</v>
      </c>
      <c r="CLO67" s="72">
        <f t="shared" si="36"/>
        <v>1</v>
      </c>
      <c r="CLP67" s="72">
        <f t="shared" si="36"/>
        <v>1</v>
      </c>
      <c r="CLQ67" s="72">
        <f t="shared" si="36"/>
        <v>1</v>
      </c>
      <c r="CLR67" s="72">
        <f t="shared" si="36"/>
        <v>1</v>
      </c>
      <c r="CLS67" s="72">
        <f t="shared" si="36"/>
        <v>1</v>
      </c>
      <c r="CLT67" s="72">
        <f t="shared" si="36"/>
        <v>1</v>
      </c>
      <c r="CLU67" s="72">
        <f t="shared" si="36"/>
        <v>1</v>
      </c>
      <c r="CLV67" s="72">
        <f t="shared" si="36"/>
        <v>1</v>
      </c>
      <c r="CLW67" s="72">
        <f t="shared" si="36"/>
        <v>1</v>
      </c>
      <c r="CLX67" s="72">
        <f t="shared" si="36"/>
        <v>1</v>
      </c>
      <c r="CLY67" s="72">
        <f t="shared" si="36"/>
        <v>1</v>
      </c>
      <c r="CLZ67" s="72">
        <f t="shared" si="36"/>
        <v>1</v>
      </c>
      <c r="CMA67" s="72">
        <f t="shared" si="36"/>
        <v>1</v>
      </c>
      <c r="CMB67" s="72">
        <f t="shared" si="36"/>
        <v>0</v>
      </c>
      <c r="CMC67" s="72">
        <f t="shared" si="36"/>
        <v>1</v>
      </c>
      <c r="CMD67" s="72">
        <f t="shared" si="36"/>
        <v>1</v>
      </c>
      <c r="CME67" s="72">
        <f t="shared" ref="CME67:COP67" si="37">COUNTA(CME3:CME66)</f>
        <v>1</v>
      </c>
      <c r="CMF67" s="72">
        <f t="shared" si="37"/>
        <v>1</v>
      </c>
      <c r="CMG67" s="72">
        <f t="shared" si="37"/>
        <v>0</v>
      </c>
      <c r="CMH67" s="72">
        <f t="shared" si="37"/>
        <v>1</v>
      </c>
      <c r="CMI67" s="72">
        <f t="shared" si="37"/>
        <v>1</v>
      </c>
      <c r="CMJ67" s="72">
        <f t="shared" si="37"/>
        <v>1</v>
      </c>
      <c r="CMK67" s="72">
        <f t="shared" si="37"/>
        <v>1</v>
      </c>
      <c r="CML67" s="72">
        <f t="shared" si="37"/>
        <v>1</v>
      </c>
      <c r="CMM67" s="72">
        <f t="shared" si="37"/>
        <v>1</v>
      </c>
      <c r="CMN67" s="72">
        <f t="shared" si="37"/>
        <v>1</v>
      </c>
      <c r="CMO67" s="72">
        <f t="shared" si="37"/>
        <v>1</v>
      </c>
      <c r="CMP67" s="72">
        <f t="shared" si="37"/>
        <v>1</v>
      </c>
      <c r="CMQ67" s="72">
        <f t="shared" si="37"/>
        <v>1</v>
      </c>
      <c r="CMR67" s="72">
        <f t="shared" si="37"/>
        <v>1</v>
      </c>
      <c r="CMS67" s="72">
        <f t="shared" si="37"/>
        <v>1</v>
      </c>
      <c r="CMT67" s="72">
        <f t="shared" si="37"/>
        <v>1</v>
      </c>
      <c r="CMU67" s="72">
        <f t="shared" si="37"/>
        <v>1</v>
      </c>
      <c r="CMV67" s="72">
        <f t="shared" si="37"/>
        <v>1</v>
      </c>
      <c r="CMW67" s="72">
        <f t="shared" si="37"/>
        <v>1</v>
      </c>
      <c r="CMX67" s="72">
        <f t="shared" si="37"/>
        <v>1</v>
      </c>
      <c r="CMY67" s="72">
        <f t="shared" si="37"/>
        <v>1</v>
      </c>
      <c r="CMZ67" s="72">
        <f t="shared" si="37"/>
        <v>1</v>
      </c>
      <c r="CNA67" s="72">
        <f t="shared" si="37"/>
        <v>1</v>
      </c>
      <c r="CNB67" s="72">
        <f t="shared" si="37"/>
        <v>1</v>
      </c>
      <c r="CNC67" s="72">
        <f t="shared" si="37"/>
        <v>0</v>
      </c>
      <c r="CND67" s="72">
        <f t="shared" si="37"/>
        <v>1</v>
      </c>
      <c r="CNE67" s="72">
        <f t="shared" si="37"/>
        <v>1</v>
      </c>
      <c r="CNF67" s="72">
        <f t="shared" si="37"/>
        <v>1</v>
      </c>
      <c r="CNG67" s="72">
        <f t="shared" si="37"/>
        <v>1</v>
      </c>
      <c r="CNH67" s="72">
        <f t="shared" si="37"/>
        <v>0</v>
      </c>
      <c r="CNI67" s="72">
        <f t="shared" si="37"/>
        <v>1</v>
      </c>
      <c r="CNJ67" s="72">
        <f t="shared" si="37"/>
        <v>1</v>
      </c>
      <c r="CNK67" s="72">
        <f t="shared" si="37"/>
        <v>1</v>
      </c>
      <c r="CNL67" s="72">
        <f t="shared" si="37"/>
        <v>1</v>
      </c>
      <c r="CNM67" s="72">
        <f t="shared" si="37"/>
        <v>1</v>
      </c>
      <c r="CNN67" s="72">
        <f t="shared" si="37"/>
        <v>1</v>
      </c>
      <c r="CNO67" s="72">
        <f t="shared" si="37"/>
        <v>1</v>
      </c>
      <c r="CNP67" s="72">
        <f t="shared" si="37"/>
        <v>1</v>
      </c>
      <c r="CNQ67" s="72">
        <f t="shared" si="37"/>
        <v>1</v>
      </c>
      <c r="CNR67" s="72">
        <f t="shared" si="37"/>
        <v>1</v>
      </c>
      <c r="CNS67" s="72">
        <f t="shared" si="37"/>
        <v>1</v>
      </c>
      <c r="CNT67" s="72">
        <f t="shared" si="37"/>
        <v>1</v>
      </c>
      <c r="CNU67" s="72">
        <f t="shared" si="37"/>
        <v>1</v>
      </c>
      <c r="CNV67" s="72">
        <f t="shared" si="37"/>
        <v>1</v>
      </c>
      <c r="CNW67" s="72">
        <f t="shared" si="37"/>
        <v>1</v>
      </c>
      <c r="CNX67" s="72">
        <f t="shared" si="37"/>
        <v>1</v>
      </c>
      <c r="CNY67" s="72">
        <f t="shared" si="37"/>
        <v>1</v>
      </c>
      <c r="CNZ67" s="72">
        <f t="shared" si="37"/>
        <v>1</v>
      </c>
      <c r="COA67" s="72">
        <f t="shared" si="37"/>
        <v>1</v>
      </c>
      <c r="COB67" s="72">
        <f t="shared" si="37"/>
        <v>1</v>
      </c>
      <c r="COC67" s="72">
        <f t="shared" si="37"/>
        <v>1</v>
      </c>
      <c r="COD67" s="72">
        <f t="shared" si="37"/>
        <v>0</v>
      </c>
      <c r="COE67" s="72">
        <f t="shared" si="37"/>
        <v>1</v>
      </c>
      <c r="COF67" s="72">
        <f t="shared" si="37"/>
        <v>1</v>
      </c>
      <c r="COG67" s="72">
        <f t="shared" si="37"/>
        <v>1</v>
      </c>
      <c r="COH67" s="72">
        <f t="shared" si="37"/>
        <v>1</v>
      </c>
      <c r="COI67" s="72">
        <f t="shared" si="37"/>
        <v>0</v>
      </c>
      <c r="COJ67" s="72">
        <f t="shared" si="37"/>
        <v>1</v>
      </c>
      <c r="COK67" s="72">
        <f t="shared" si="37"/>
        <v>1</v>
      </c>
      <c r="COL67" s="72">
        <f t="shared" si="37"/>
        <v>1</v>
      </c>
      <c r="COM67" s="72">
        <f t="shared" si="37"/>
        <v>1</v>
      </c>
      <c r="CON67" s="72">
        <f t="shared" si="37"/>
        <v>1</v>
      </c>
      <c r="COO67" s="72">
        <f t="shared" si="37"/>
        <v>1</v>
      </c>
      <c r="COP67" s="72">
        <f t="shared" si="37"/>
        <v>1</v>
      </c>
      <c r="COQ67" s="72">
        <f t="shared" ref="COQ67:CRB67" si="38">COUNTA(COQ3:COQ66)</f>
        <v>1</v>
      </c>
      <c r="COR67" s="72">
        <f t="shared" si="38"/>
        <v>1</v>
      </c>
      <c r="COS67" s="72">
        <f t="shared" si="38"/>
        <v>1</v>
      </c>
      <c r="COT67" s="72">
        <f t="shared" si="38"/>
        <v>1</v>
      </c>
      <c r="COU67" s="72">
        <f t="shared" si="38"/>
        <v>1</v>
      </c>
      <c r="COV67" s="72">
        <f t="shared" si="38"/>
        <v>1</v>
      </c>
      <c r="COW67" s="72">
        <f t="shared" si="38"/>
        <v>1</v>
      </c>
      <c r="COX67" s="72">
        <f t="shared" si="38"/>
        <v>1</v>
      </c>
      <c r="COY67" s="72">
        <f t="shared" si="38"/>
        <v>1</v>
      </c>
      <c r="COZ67" s="72">
        <f t="shared" si="38"/>
        <v>1</v>
      </c>
      <c r="CPA67" s="72">
        <f t="shared" si="38"/>
        <v>1</v>
      </c>
      <c r="CPB67" s="72">
        <f t="shared" si="38"/>
        <v>1</v>
      </c>
      <c r="CPC67" s="72">
        <f t="shared" si="38"/>
        <v>1</v>
      </c>
      <c r="CPD67" s="72">
        <f t="shared" si="38"/>
        <v>1</v>
      </c>
      <c r="CPE67" s="72">
        <f t="shared" si="38"/>
        <v>0</v>
      </c>
      <c r="CPF67" s="72">
        <f t="shared" si="38"/>
        <v>1</v>
      </c>
      <c r="CPG67" s="72">
        <f t="shared" si="38"/>
        <v>1</v>
      </c>
      <c r="CPH67" s="72">
        <f t="shared" si="38"/>
        <v>1</v>
      </c>
      <c r="CPI67" s="72">
        <f t="shared" si="38"/>
        <v>1</v>
      </c>
      <c r="CPJ67" s="72">
        <f t="shared" si="38"/>
        <v>0</v>
      </c>
      <c r="CPK67" s="72">
        <f t="shared" si="38"/>
        <v>1</v>
      </c>
      <c r="CPL67" s="72">
        <f t="shared" si="38"/>
        <v>1</v>
      </c>
      <c r="CPM67" s="72">
        <f t="shared" si="38"/>
        <v>1</v>
      </c>
      <c r="CPN67" s="72">
        <f t="shared" si="38"/>
        <v>1</v>
      </c>
      <c r="CPO67" s="72">
        <f t="shared" si="38"/>
        <v>1</v>
      </c>
      <c r="CPP67" s="72">
        <f t="shared" si="38"/>
        <v>1</v>
      </c>
      <c r="CPQ67" s="72">
        <f t="shared" si="38"/>
        <v>1</v>
      </c>
      <c r="CPR67" s="72">
        <f t="shared" si="38"/>
        <v>1</v>
      </c>
      <c r="CPS67" s="72">
        <f t="shared" si="38"/>
        <v>1</v>
      </c>
      <c r="CPT67" s="72">
        <f t="shared" si="38"/>
        <v>1</v>
      </c>
      <c r="CPU67" s="72">
        <f t="shared" si="38"/>
        <v>1</v>
      </c>
      <c r="CPV67" s="72">
        <f t="shared" si="38"/>
        <v>1</v>
      </c>
      <c r="CPW67" s="72">
        <f t="shared" si="38"/>
        <v>63</v>
      </c>
      <c r="CPX67" s="72">
        <f t="shared" si="38"/>
        <v>54</v>
      </c>
      <c r="CPY67" s="72">
        <f t="shared" si="38"/>
        <v>37</v>
      </c>
      <c r="CPZ67" s="72">
        <f t="shared" si="38"/>
        <v>31</v>
      </c>
      <c r="CQA67" s="72">
        <f t="shared" si="38"/>
        <v>19</v>
      </c>
      <c r="CQB67" s="72">
        <f t="shared" si="38"/>
        <v>58</v>
      </c>
      <c r="CQC67" s="72">
        <f t="shared" si="38"/>
        <v>58</v>
      </c>
      <c r="CQD67" s="72">
        <f t="shared" si="38"/>
        <v>58</v>
      </c>
      <c r="CQE67" s="72">
        <f t="shared" si="38"/>
        <v>57</v>
      </c>
      <c r="CQF67" s="72">
        <f t="shared" si="38"/>
        <v>58</v>
      </c>
      <c r="CQG67" s="72">
        <f t="shared" si="38"/>
        <v>17</v>
      </c>
      <c r="CQH67" s="72">
        <f t="shared" si="38"/>
        <v>30</v>
      </c>
      <c r="CQI67" s="72">
        <f t="shared" si="38"/>
        <v>58</v>
      </c>
      <c r="CQJ67" s="72">
        <f t="shared" si="38"/>
        <v>57</v>
      </c>
      <c r="CQK67" s="72">
        <f t="shared" si="38"/>
        <v>41</v>
      </c>
      <c r="CQL67" s="72">
        <f t="shared" si="38"/>
        <v>55</v>
      </c>
      <c r="CQM67" s="72">
        <f t="shared" si="38"/>
        <v>57</v>
      </c>
      <c r="CQN67" s="72">
        <f t="shared" si="38"/>
        <v>57</v>
      </c>
      <c r="CQO67" s="72">
        <f t="shared" si="38"/>
        <v>58</v>
      </c>
      <c r="CQP67" s="72">
        <f t="shared" si="38"/>
        <v>11</v>
      </c>
      <c r="CQQ67" s="72">
        <f t="shared" si="38"/>
        <v>57</v>
      </c>
      <c r="CQR67" s="72">
        <f t="shared" si="38"/>
        <v>50</v>
      </c>
      <c r="CQS67" s="72">
        <f t="shared" si="38"/>
        <v>63</v>
      </c>
      <c r="CQT67" s="72">
        <f t="shared" si="38"/>
        <v>61</v>
      </c>
      <c r="CQU67" s="72">
        <f t="shared" si="38"/>
        <v>61</v>
      </c>
      <c r="CQV67" s="72">
        <f t="shared" si="38"/>
        <v>61</v>
      </c>
      <c r="CQW67" s="72">
        <f t="shared" si="38"/>
        <v>61</v>
      </c>
      <c r="CQX67" s="72">
        <f t="shared" si="38"/>
        <v>61</v>
      </c>
      <c r="CQY67" s="72">
        <f t="shared" si="38"/>
        <v>61</v>
      </c>
      <c r="CQZ67" s="72">
        <f t="shared" si="38"/>
        <v>61</v>
      </c>
      <c r="CRA67" s="72">
        <f t="shared" si="38"/>
        <v>61</v>
      </c>
      <c r="CRB67" s="72">
        <f t="shared" si="38"/>
        <v>61</v>
      </c>
      <c r="CRC67" s="72">
        <f t="shared" ref="CRC67:CRE67" si="39">COUNTA(CRC3:CRC66)</f>
        <v>61</v>
      </c>
      <c r="CRD67" s="72">
        <f t="shared" si="39"/>
        <v>61</v>
      </c>
      <c r="CRE67" s="72">
        <f t="shared" si="39"/>
        <v>61</v>
      </c>
    </row>
  </sheetData>
  <autoFilter ref="A2:CRE66" xr:uid="{1289774A-4A1D-4102-BB07-85F0B308701B}">
    <sortState xmlns:xlrd2="http://schemas.microsoft.com/office/spreadsheetml/2017/richdata2" ref="A3:CRE66">
      <sortCondition ref="A3:A66"/>
    </sortState>
  </autoFilter>
  <hyperlinks>
    <hyperlink ref="A1" location="Index!A1" display="Index" xr:uid="{00000000-0004-0000-06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2501"/>
  <sheetViews>
    <sheetView workbookViewId="0">
      <pane xSplit="1" ySplit="2" topLeftCell="B3" activePane="bottomRight" state="frozen"/>
      <selection activeCell="BZA6" sqref="BZA6"/>
      <selection pane="topRight" activeCell="BZA6" sqref="BZA6"/>
      <selection pane="bottomLeft" activeCell="BZA6" sqref="BZA6"/>
      <selection pane="bottomRight" activeCell="B3" sqref="B3"/>
    </sheetView>
  </sheetViews>
  <sheetFormatPr defaultRowHeight="12.75" x14ac:dyDescent="0.2"/>
  <cols>
    <col min="1" max="1" width="9.140625" style="59"/>
    <col min="2" max="42" width="30.7109375" style="60" customWidth="1"/>
    <col min="43" max="43" width="30.7109375" style="61" customWidth="1"/>
    <col min="44" max="44" width="30.7109375" style="60" customWidth="1"/>
    <col min="45" max="45" width="50.7109375" style="60" customWidth="1"/>
    <col min="46" max="46" width="30.7109375" style="60" customWidth="1"/>
    <col min="47" max="47" width="30.7109375" style="61" customWidth="1"/>
    <col min="48" max="48" width="50.7109375" style="60" customWidth="1"/>
    <col min="49" max="50" width="30.7109375" style="60" customWidth="1"/>
    <col min="51" max="51" width="70.7109375" style="60" customWidth="1"/>
    <col min="52" max="67" width="30.7109375" style="60" customWidth="1"/>
    <col min="68" max="72" width="30.7109375" style="61" customWidth="1"/>
    <col min="73" max="78" width="30.7109375" style="60" customWidth="1"/>
    <col min="79" max="79" width="50.7109375" style="60" customWidth="1"/>
    <col min="80" max="80" width="60.7109375" style="60" customWidth="1"/>
    <col min="81" max="81" width="30.7109375" style="60" customWidth="1"/>
    <col min="82" max="82" width="35.7109375" style="60" customWidth="1"/>
    <col min="83" max="88" width="30.7109375" style="60" customWidth="1"/>
    <col min="89" max="16384" width="9.140625" style="59"/>
  </cols>
  <sheetData>
    <row r="1" spans="1:88" s="30" customFormat="1" x14ac:dyDescent="0.2">
      <c r="A1" s="68" t="s">
        <v>181</v>
      </c>
      <c r="B1" s="12" t="s">
        <v>9015</v>
      </c>
      <c r="C1" s="12" t="s">
        <v>9016</v>
      </c>
      <c r="D1" s="12" t="s">
        <v>9017</v>
      </c>
      <c r="E1" s="12" t="s">
        <v>9018</v>
      </c>
      <c r="F1" s="12" t="s">
        <v>9019</v>
      </c>
      <c r="G1" s="12" t="s">
        <v>9020</v>
      </c>
      <c r="H1" s="12" t="s">
        <v>9021</v>
      </c>
      <c r="I1" s="12" t="s">
        <v>9022</v>
      </c>
      <c r="J1" s="12" t="s">
        <v>9023</v>
      </c>
      <c r="K1" s="12" t="s">
        <v>9024</v>
      </c>
      <c r="L1" s="12" t="s">
        <v>9025</v>
      </c>
      <c r="M1" s="12" t="s">
        <v>9026</v>
      </c>
      <c r="N1" s="12" t="s">
        <v>9027</v>
      </c>
      <c r="O1" s="12" t="s">
        <v>9028</v>
      </c>
      <c r="P1" s="12" t="s">
        <v>9029</v>
      </c>
      <c r="Q1" s="12" t="s">
        <v>9030</v>
      </c>
      <c r="R1" s="12" t="s">
        <v>9031</v>
      </c>
      <c r="S1" s="12" t="s">
        <v>9032</v>
      </c>
      <c r="T1" s="12" t="s">
        <v>9033</v>
      </c>
      <c r="U1" s="12" t="s">
        <v>9034</v>
      </c>
      <c r="V1" s="12" t="s">
        <v>9035</v>
      </c>
      <c r="W1" s="12" t="s">
        <v>9036</v>
      </c>
      <c r="X1" s="12" t="s">
        <v>9037</v>
      </c>
      <c r="Y1" s="12" t="s">
        <v>9038</v>
      </c>
      <c r="Z1" s="12" t="s">
        <v>9039</v>
      </c>
      <c r="AA1" s="12" t="s">
        <v>9040</v>
      </c>
      <c r="AB1" s="12" t="s">
        <v>9041</v>
      </c>
      <c r="AC1" s="12" t="s">
        <v>9042</v>
      </c>
      <c r="AD1" s="12" t="s">
        <v>9043</v>
      </c>
      <c r="AE1" s="12" t="s">
        <v>9044</v>
      </c>
      <c r="AF1" s="12" t="s">
        <v>9045</v>
      </c>
      <c r="AG1" s="12" t="s">
        <v>9046</v>
      </c>
      <c r="AH1" s="12" t="s">
        <v>9047</v>
      </c>
      <c r="AI1" s="12" t="s">
        <v>9048</v>
      </c>
      <c r="AJ1" s="12" t="s">
        <v>9049</v>
      </c>
      <c r="AK1" s="12" t="s">
        <v>9050</v>
      </c>
      <c r="AL1" s="12" t="s">
        <v>9051</v>
      </c>
      <c r="AM1" s="12" t="s">
        <v>9052</v>
      </c>
      <c r="AN1" s="12" t="s">
        <v>9053</v>
      </c>
      <c r="AO1" s="12" t="s">
        <v>9054</v>
      </c>
      <c r="AP1" s="12" t="s">
        <v>9055</v>
      </c>
      <c r="AQ1" s="38" t="s">
        <v>9056</v>
      </c>
      <c r="AR1" s="12" t="s">
        <v>9057</v>
      </c>
      <c r="AS1" s="12" t="s">
        <v>9058</v>
      </c>
      <c r="AT1" s="12" t="s">
        <v>9059</v>
      </c>
      <c r="AU1" s="38" t="s">
        <v>9060</v>
      </c>
      <c r="AV1" s="12" t="s">
        <v>9061</v>
      </c>
      <c r="AW1" s="12" t="s">
        <v>9062</v>
      </c>
      <c r="AX1" s="12" t="s">
        <v>9063</v>
      </c>
      <c r="AY1" s="12" t="s">
        <v>9064</v>
      </c>
      <c r="AZ1" s="12" t="s">
        <v>9065</v>
      </c>
      <c r="BA1" s="12" t="s">
        <v>9066</v>
      </c>
      <c r="BB1" s="12" t="s">
        <v>9067</v>
      </c>
      <c r="BC1" s="12" t="s">
        <v>9068</v>
      </c>
      <c r="BD1" s="12" t="s">
        <v>9069</v>
      </c>
      <c r="BE1" s="12" t="s">
        <v>9070</v>
      </c>
      <c r="BF1" s="12" t="s">
        <v>9071</v>
      </c>
      <c r="BG1" s="12" t="s">
        <v>9072</v>
      </c>
      <c r="BH1" s="12" t="s">
        <v>9073</v>
      </c>
      <c r="BI1" s="12" t="s">
        <v>9074</v>
      </c>
      <c r="BJ1" s="12" t="s">
        <v>9075</v>
      </c>
      <c r="BK1" s="12" t="s">
        <v>9076</v>
      </c>
      <c r="BL1" s="12" t="s">
        <v>9077</v>
      </c>
      <c r="BM1" s="12" t="s">
        <v>9078</v>
      </c>
      <c r="BN1" s="12" t="s">
        <v>9079</v>
      </c>
      <c r="BO1" s="12" t="s">
        <v>9080</v>
      </c>
      <c r="BP1" s="38" t="s">
        <v>9081</v>
      </c>
      <c r="BQ1" s="38" t="s">
        <v>9082</v>
      </c>
      <c r="BR1" s="38" t="s">
        <v>9083</v>
      </c>
      <c r="BS1" s="38" t="s">
        <v>9084</v>
      </c>
      <c r="BT1" s="38" t="s">
        <v>9085</v>
      </c>
      <c r="BU1" s="12" t="s">
        <v>9086</v>
      </c>
      <c r="BV1" s="12" t="s">
        <v>9087</v>
      </c>
      <c r="BW1" s="12" t="s">
        <v>9088</v>
      </c>
      <c r="BX1" s="12" t="s">
        <v>9089</v>
      </c>
      <c r="BY1" s="12" t="s">
        <v>9090</v>
      </c>
      <c r="BZ1" s="12" t="s">
        <v>9091</v>
      </c>
      <c r="CA1" s="12" t="s">
        <v>9092</v>
      </c>
      <c r="CB1" s="12" t="s">
        <v>9093</v>
      </c>
      <c r="CC1" s="12" t="s">
        <v>9094</v>
      </c>
      <c r="CD1" s="12" t="s">
        <v>9095</v>
      </c>
      <c r="CE1" s="12" t="s">
        <v>9096</v>
      </c>
      <c r="CF1" s="12" t="s">
        <v>9097</v>
      </c>
      <c r="CG1" s="12" t="s">
        <v>9098</v>
      </c>
      <c r="CH1" s="12" t="s">
        <v>9099</v>
      </c>
      <c r="CI1" s="12" t="s">
        <v>9100</v>
      </c>
      <c r="CJ1" s="12" t="s">
        <v>9101</v>
      </c>
    </row>
    <row r="2" spans="1:88" s="30" customFormat="1" ht="51" x14ac:dyDescent="0.2">
      <c r="A2" s="30" t="s">
        <v>116</v>
      </c>
      <c r="B2" s="75" t="s">
        <v>12129</v>
      </c>
      <c r="C2" s="75" t="s">
        <v>12130</v>
      </c>
      <c r="D2" s="75" t="s">
        <v>12131</v>
      </c>
      <c r="E2" s="75" t="s">
        <v>12132</v>
      </c>
      <c r="F2" s="75" t="s">
        <v>12133</v>
      </c>
      <c r="G2" s="75" t="s">
        <v>12134</v>
      </c>
      <c r="H2" s="12" t="s">
        <v>12135</v>
      </c>
      <c r="I2" s="12" t="s">
        <v>12136</v>
      </c>
      <c r="J2" s="12" t="s">
        <v>12137</v>
      </c>
      <c r="K2" s="12" t="s">
        <v>12138</v>
      </c>
      <c r="L2" s="12" t="s">
        <v>12139</v>
      </c>
      <c r="M2" s="12" t="s">
        <v>12140</v>
      </c>
      <c r="N2" s="12" t="s">
        <v>12141</v>
      </c>
      <c r="O2" s="12" t="s">
        <v>12142</v>
      </c>
      <c r="P2" s="12" t="s">
        <v>12143</v>
      </c>
      <c r="Q2" s="12" t="s">
        <v>12144</v>
      </c>
      <c r="R2" s="12" t="s">
        <v>12145</v>
      </c>
      <c r="S2" s="12" t="s">
        <v>12146</v>
      </c>
      <c r="T2" s="12" t="s">
        <v>12147</v>
      </c>
      <c r="U2" s="12" t="s">
        <v>12148</v>
      </c>
      <c r="V2" s="12" t="s">
        <v>12149</v>
      </c>
      <c r="W2" s="12" t="s">
        <v>12150</v>
      </c>
      <c r="X2" s="12" t="s">
        <v>12151</v>
      </c>
      <c r="Y2" s="12" t="s">
        <v>12152</v>
      </c>
      <c r="Z2" s="12" t="s">
        <v>12153</v>
      </c>
      <c r="AA2" s="12" t="s">
        <v>12154</v>
      </c>
      <c r="AB2" s="75" t="s">
        <v>12155</v>
      </c>
      <c r="AC2" s="75" t="s">
        <v>12156</v>
      </c>
      <c r="AD2" s="75" t="s">
        <v>12157</v>
      </c>
      <c r="AE2" s="75" t="s">
        <v>12158</v>
      </c>
      <c r="AF2" s="12" t="s">
        <v>12159</v>
      </c>
      <c r="AG2" s="12" t="s">
        <v>12160</v>
      </c>
      <c r="AH2" s="12" t="s">
        <v>12161</v>
      </c>
      <c r="AI2" s="75" t="s">
        <v>12162</v>
      </c>
      <c r="AJ2" s="75" t="s">
        <v>12163</v>
      </c>
      <c r="AK2" s="75" t="s">
        <v>12164</v>
      </c>
      <c r="AL2" s="12" t="s">
        <v>12165</v>
      </c>
      <c r="AM2" s="12" t="s">
        <v>12166</v>
      </c>
      <c r="AN2" s="12" t="s">
        <v>12167</v>
      </c>
      <c r="AO2" s="75" t="s">
        <v>12168</v>
      </c>
      <c r="AP2" s="75" t="s">
        <v>12169</v>
      </c>
      <c r="AQ2" s="77" t="s">
        <v>12170</v>
      </c>
      <c r="AR2" s="24" t="s">
        <v>12171</v>
      </c>
      <c r="AS2" s="12" t="s">
        <v>12172</v>
      </c>
      <c r="AT2" s="24" t="s">
        <v>14432</v>
      </c>
      <c r="AU2" s="77" t="s">
        <v>12173</v>
      </c>
      <c r="AV2" s="75" t="s">
        <v>12174</v>
      </c>
      <c r="AW2" s="75" t="s">
        <v>12175</v>
      </c>
      <c r="AX2" s="12" t="s">
        <v>12176</v>
      </c>
      <c r="AY2" s="12" t="s">
        <v>12177</v>
      </c>
      <c r="AZ2" s="12" t="s">
        <v>12178</v>
      </c>
      <c r="BA2" s="12" t="s">
        <v>12179</v>
      </c>
      <c r="BB2" s="12" t="s">
        <v>12180</v>
      </c>
      <c r="BC2" s="12" t="s">
        <v>12181</v>
      </c>
      <c r="BD2" s="12" t="s">
        <v>12182</v>
      </c>
      <c r="BE2" s="12" t="s">
        <v>12183</v>
      </c>
      <c r="BF2" s="12" t="s">
        <v>12184</v>
      </c>
      <c r="BG2" s="12" t="s">
        <v>12185</v>
      </c>
      <c r="BH2" s="12" t="s">
        <v>12186</v>
      </c>
      <c r="BI2" s="12" t="s">
        <v>12187</v>
      </c>
      <c r="BJ2" s="12" t="s">
        <v>12188</v>
      </c>
      <c r="BK2" s="12" t="s">
        <v>12189</v>
      </c>
      <c r="BL2" s="12" t="s">
        <v>12190</v>
      </c>
      <c r="BM2" s="12" t="s">
        <v>12191</v>
      </c>
      <c r="BN2" s="12" t="s">
        <v>12192</v>
      </c>
      <c r="BO2" s="12" t="s">
        <v>12193</v>
      </c>
      <c r="BP2" s="38" t="s">
        <v>12194</v>
      </c>
      <c r="BQ2" s="38" t="s">
        <v>12195</v>
      </c>
      <c r="BR2" s="38" t="s">
        <v>12196</v>
      </c>
      <c r="BS2" s="38" t="s">
        <v>12197</v>
      </c>
      <c r="BT2" s="38" t="s">
        <v>12198</v>
      </c>
      <c r="BU2" s="75" t="s">
        <v>12199</v>
      </c>
      <c r="BV2" s="75" t="s">
        <v>12200</v>
      </c>
      <c r="BW2" s="75" t="s">
        <v>12201</v>
      </c>
      <c r="BX2" s="12" t="s">
        <v>12202</v>
      </c>
      <c r="BY2" s="12" t="s">
        <v>12203</v>
      </c>
      <c r="BZ2" s="12" t="s">
        <v>12204</v>
      </c>
      <c r="CA2" s="75" t="s">
        <v>12205</v>
      </c>
      <c r="CB2" s="12" t="s">
        <v>12206</v>
      </c>
      <c r="CC2" s="75" t="s">
        <v>12207</v>
      </c>
      <c r="CD2" s="75" t="s">
        <v>12208</v>
      </c>
      <c r="CE2" s="12" t="s">
        <v>12209</v>
      </c>
      <c r="CF2" s="12" t="s">
        <v>12210</v>
      </c>
      <c r="CG2" s="12" t="s">
        <v>12211</v>
      </c>
      <c r="CH2" s="75" t="s">
        <v>12212</v>
      </c>
      <c r="CI2" s="12" t="s">
        <v>14589</v>
      </c>
      <c r="CJ2" s="12" t="s">
        <v>14590</v>
      </c>
    </row>
    <row r="3" spans="1:88" ht="38.25" x14ac:dyDescent="0.2">
      <c r="A3" s="31" t="s">
        <v>152</v>
      </c>
      <c r="B3" s="9" t="s">
        <v>9128</v>
      </c>
      <c r="C3" s="9" t="s">
        <v>9128</v>
      </c>
      <c r="D3" s="9" t="s">
        <v>9128</v>
      </c>
      <c r="E3" s="9" t="s">
        <v>9128</v>
      </c>
      <c r="F3" s="9" t="s">
        <v>9103</v>
      </c>
      <c r="G3" s="9" t="s">
        <v>9128</v>
      </c>
      <c r="H3" s="9"/>
      <c r="I3" s="9"/>
      <c r="J3" s="9"/>
      <c r="K3" s="9"/>
      <c r="L3" s="9"/>
      <c r="M3" s="9"/>
      <c r="N3" s="9"/>
      <c r="O3" s="9"/>
      <c r="P3" s="9"/>
      <c r="Q3" s="9"/>
      <c r="R3" s="9"/>
      <c r="S3" s="9"/>
      <c r="T3" s="9"/>
      <c r="U3" s="9"/>
      <c r="V3" s="9"/>
      <c r="W3" s="9"/>
      <c r="X3" s="9"/>
      <c r="Y3" s="9"/>
      <c r="Z3" s="9"/>
      <c r="AA3" s="9"/>
      <c r="AB3" s="9"/>
      <c r="AC3" s="9"/>
      <c r="AD3" s="9"/>
      <c r="AE3" s="9"/>
      <c r="AF3" s="9"/>
      <c r="AG3" s="9"/>
      <c r="AH3" s="9"/>
      <c r="AI3" s="9" t="s">
        <v>9111</v>
      </c>
      <c r="AJ3" s="9" t="s">
        <v>9105</v>
      </c>
      <c r="AK3" s="9" t="s">
        <v>2159</v>
      </c>
      <c r="AL3" s="9" t="s">
        <v>25</v>
      </c>
      <c r="AM3" s="9"/>
      <c r="AN3" s="9"/>
      <c r="AO3" s="9" t="s">
        <v>28</v>
      </c>
      <c r="AP3" s="9" t="s">
        <v>673</v>
      </c>
      <c r="AQ3" s="39">
        <v>450</v>
      </c>
      <c r="AR3" s="9" t="s">
        <v>25</v>
      </c>
      <c r="AS3" s="9"/>
      <c r="AT3" s="9"/>
      <c r="AU3" s="39"/>
      <c r="AV3" s="9"/>
      <c r="AW3" s="9"/>
      <c r="AX3" s="9" t="s">
        <v>9138</v>
      </c>
      <c r="AY3" s="9"/>
      <c r="AZ3" s="9"/>
      <c r="BA3" s="9"/>
      <c r="BB3" s="9"/>
      <c r="BC3" s="9"/>
      <c r="BD3" s="9"/>
      <c r="BE3" s="9"/>
      <c r="BF3" s="9"/>
      <c r="BG3" s="9"/>
      <c r="BH3" s="9"/>
      <c r="BI3" s="9"/>
      <c r="BJ3" s="9"/>
      <c r="BK3" s="9"/>
      <c r="BL3" s="9"/>
      <c r="BM3" s="9"/>
      <c r="BN3" s="9"/>
      <c r="BO3" s="9"/>
      <c r="BP3" s="39"/>
      <c r="BQ3" s="39"/>
      <c r="BR3" s="39"/>
      <c r="BS3" s="39"/>
      <c r="BT3" s="39"/>
      <c r="BU3" s="9" t="s">
        <v>9278</v>
      </c>
      <c r="BV3" s="9" t="s">
        <v>9268</v>
      </c>
      <c r="BW3" s="9" t="s">
        <v>9135</v>
      </c>
      <c r="BX3" s="9"/>
      <c r="BY3" s="9"/>
      <c r="BZ3" s="9"/>
      <c r="CA3" s="9"/>
      <c r="CB3" s="9"/>
      <c r="CC3" s="9" t="s">
        <v>28</v>
      </c>
      <c r="CD3" s="9" t="s">
        <v>9273</v>
      </c>
      <c r="CE3" s="9" t="s">
        <v>25</v>
      </c>
      <c r="CF3" s="9"/>
      <c r="CG3" s="9"/>
      <c r="CH3" s="9"/>
      <c r="CI3" s="9" t="s">
        <v>9188</v>
      </c>
      <c r="CJ3" s="9"/>
    </row>
    <row r="4" spans="1:88" ht="63.75" x14ac:dyDescent="0.2">
      <c r="A4" s="31" t="s">
        <v>133</v>
      </c>
      <c r="B4" s="9" t="s">
        <v>9128</v>
      </c>
      <c r="C4" s="9" t="s">
        <v>9102</v>
      </c>
      <c r="D4" s="9" t="s">
        <v>9102</v>
      </c>
      <c r="E4" s="9" t="s">
        <v>9102</v>
      </c>
      <c r="F4" s="9" t="s">
        <v>9102</v>
      </c>
      <c r="G4" s="9" t="s">
        <v>9102</v>
      </c>
      <c r="H4" s="9"/>
      <c r="I4" s="9"/>
      <c r="J4" s="9"/>
      <c r="K4" s="9"/>
      <c r="L4" s="9"/>
      <c r="M4" s="9"/>
      <c r="N4" s="9"/>
      <c r="O4" s="9"/>
      <c r="P4" s="9"/>
      <c r="Q4" s="9"/>
      <c r="R4" s="9"/>
      <c r="S4" s="9"/>
      <c r="T4" s="9"/>
      <c r="U4" s="9"/>
      <c r="V4" s="9"/>
      <c r="W4" s="9"/>
      <c r="X4" s="9"/>
      <c r="Y4" s="9"/>
      <c r="Z4" s="9"/>
      <c r="AA4" s="9"/>
      <c r="AB4" s="9" t="s">
        <v>25</v>
      </c>
      <c r="AC4" s="9"/>
      <c r="AD4" s="9"/>
      <c r="AE4" s="9"/>
      <c r="AF4" s="9" t="s">
        <v>9176</v>
      </c>
      <c r="AG4" s="9" t="s">
        <v>9181</v>
      </c>
      <c r="AH4" s="9" t="s">
        <v>13858</v>
      </c>
      <c r="AI4" s="9" t="s">
        <v>9111</v>
      </c>
      <c r="AJ4" s="9" t="s">
        <v>9105</v>
      </c>
      <c r="AK4" s="9" t="s">
        <v>2224</v>
      </c>
      <c r="AL4" s="9" t="s">
        <v>9153</v>
      </c>
      <c r="AM4" s="9"/>
      <c r="AN4" s="9"/>
      <c r="AO4" s="9" t="s">
        <v>28</v>
      </c>
      <c r="AP4" s="9" t="s">
        <v>673</v>
      </c>
      <c r="AQ4" s="39">
        <v>720</v>
      </c>
      <c r="AR4" s="9" t="s">
        <v>28</v>
      </c>
      <c r="AS4" s="9" t="s">
        <v>13868</v>
      </c>
      <c r="AT4" s="9"/>
      <c r="AU4" s="39">
        <v>720</v>
      </c>
      <c r="AV4" s="9" t="s">
        <v>9221</v>
      </c>
      <c r="AW4" s="9" t="s">
        <v>13465</v>
      </c>
      <c r="AX4" s="9" t="s">
        <v>9138</v>
      </c>
      <c r="AY4" s="9"/>
      <c r="AZ4" s="9"/>
      <c r="BA4" s="9"/>
      <c r="BB4" s="9"/>
      <c r="BC4" s="9"/>
      <c r="BD4" s="9"/>
      <c r="BE4" s="9"/>
      <c r="BF4" s="9"/>
      <c r="BG4" s="9"/>
      <c r="BH4" s="9"/>
      <c r="BI4" s="9"/>
      <c r="BJ4" s="9"/>
      <c r="BK4" s="9"/>
      <c r="BL4" s="9"/>
      <c r="BM4" s="9"/>
      <c r="BN4" s="9"/>
      <c r="BO4" s="9"/>
      <c r="BP4" s="39"/>
      <c r="BQ4" s="39"/>
      <c r="BR4" s="39"/>
      <c r="BS4" s="39"/>
      <c r="BT4" s="39"/>
      <c r="BU4" s="9" t="s">
        <v>9120</v>
      </c>
      <c r="BV4" s="9" t="s">
        <v>9168</v>
      </c>
      <c r="BW4" s="9" t="s">
        <v>9122</v>
      </c>
      <c r="BX4" s="9" t="s">
        <v>9158</v>
      </c>
      <c r="BY4" s="9" t="s">
        <v>25</v>
      </c>
      <c r="BZ4" s="9" t="s">
        <v>28</v>
      </c>
      <c r="CA4" s="9" t="s">
        <v>14435</v>
      </c>
      <c r="CB4" s="9" t="s">
        <v>13475</v>
      </c>
      <c r="CC4" s="9" t="s">
        <v>28</v>
      </c>
      <c r="CD4" s="9" t="s">
        <v>13479</v>
      </c>
      <c r="CE4" s="9" t="s">
        <v>25</v>
      </c>
      <c r="CF4" s="9" t="s">
        <v>9142</v>
      </c>
      <c r="CG4" s="9"/>
      <c r="CH4" s="9" t="s">
        <v>9171</v>
      </c>
      <c r="CI4" s="9" t="s">
        <v>4751</v>
      </c>
      <c r="CJ4" s="9"/>
    </row>
    <row r="5" spans="1:88" ht="51" x14ac:dyDescent="0.2">
      <c r="A5" s="31" t="s">
        <v>156</v>
      </c>
      <c r="B5" s="9" t="s">
        <v>9102</v>
      </c>
      <c r="C5" s="9" t="s">
        <v>9102</v>
      </c>
      <c r="D5" s="9" t="s">
        <v>9102</v>
      </c>
      <c r="E5" s="9" t="s">
        <v>9102</v>
      </c>
      <c r="F5" s="9" t="s">
        <v>9102</v>
      </c>
      <c r="G5" s="9" t="s">
        <v>9102</v>
      </c>
      <c r="H5" s="9" t="s">
        <v>25</v>
      </c>
      <c r="I5" s="9" t="s">
        <v>9129</v>
      </c>
      <c r="J5" s="9" t="s">
        <v>25</v>
      </c>
      <c r="K5" s="9"/>
      <c r="L5" s="9"/>
      <c r="M5" s="9"/>
      <c r="N5" s="9"/>
      <c r="O5" s="9"/>
      <c r="P5" s="9"/>
      <c r="Q5" s="9"/>
      <c r="R5" s="9"/>
      <c r="S5" s="9"/>
      <c r="T5" s="9"/>
      <c r="U5" s="9"/>
      <c r="V5" s="9"/>
      <c r="W5" s="9"/>
      <c r="X5" s="9"/>
      <c r="Y5" s="9"/>
      <c r="Z5" s="9"/>
      <c r="AA5" s="9"/>
      <c r="AB5" s="9" t="s">
        <v>25</v>
      </c>
      <c r="AC5" s="9"/>
      <c r="AD5" s="9"/>
      <c r="AE5" s="9"/>
      <c r="AF5" s="9" t="s">
        <v>9150</v>
      </c>
      <c r="AG5" s="9" t="s">
        <v>9151</v>
      </c>
      <c r="AH5" s="9"/>
      <c r="AI5" s="9" t="s">
        <v>9111</v>
      </c>
      <c r="AJ5" s="9" t="s">
        <v>9105</v>
      </c>
      <c r="AK5" s="9" t="s">
        <v>13865</v>
      </c>
      <c r="AL5" s="9" t="s">
        <v>25</v>
      </c>
      <c r="AM5" s="9"/>
      <c r="AN5" s="9"/>
      <c r="AO5" s="9" t="s">
        <v>2201</v>
      </c>
      <c r="AP5" s="9"/>
      <c r="AQ5" s="39"/>
      <c r="AR5" s="9" t="s">
        <v>25</v>
      </c>
      <c r="AS5" s="9"/>
      <c r="AT5" s="9"/>
      <c r="AU5" s="39"/>
      <c r="AV5" s="9" t="s">
        <v>14433</v>
      </c>
      <c r="AW5" s="9" t="s">
        <v>9287</v>
      </c>
      <c r="AX5" s="9" t="s">
        <v>9138</v>
      </c>
      <c r="AY5" s="9"/>
      <c r="AZ5" s="9"/>
      <c r="BA5" s="9"/>
      <c r="BB5" s="9"/>
      <c r="BC5" s="9"/>
      <c r="BD5" s="9"/>
      <c r="BE5" s="9"/>
      <c r="BF5" s="9"/>
      <c r="BG5" s="9"/>
      <c r="BH5" s="9"/>
      <c r="BI5" s="9"/>
      <c r="BJ5" s="9"/>
      <c r="BK5" s="9"/>
      <c r="BL5" s="9"/>
      <c r="BM5" s="9"/>
      <c r="BN5" s="9"/>
      <c r="BO5" s="9"/>
      <c r="BP5" s="39"/>
      <c r="BQ5" s="39"/>
      <c r="BR5" s="39"/>
      <c r="BS5" s="39"/>
      <c r="BT5" s="39"/>
      <c r="BU5" s="9" t="s">
        <v>14627</v>
      </c>
      <c r="BV5" s="9" t="s">
        <v>9121</v>
      </c>
      <c r="BW5" s="9" t="s">
        <v>9122</v>
      </c>
      <c r="BX5" s="9" t="s">
        <v>9123</v>
      </c>
      <c r="BY5" s="9" t="s">
        <v>25</v>
      </c>
      <c r="BZ5" s="9" t="s">
        <v>25</v>
      </c>
      <c r="CA5" s="9"/>
      <c r="CB5" s="9"/>
      <c r="CC5" s="9" t="s">
        <v>28</v>
      </c>
      <c r="CD5" s="9"/>
      <c r="CE5" s="9" t="s">
        <v>25</v>
      </c>
      <c r="CF5" s="9"/>
      <c r="CG5" s="9"/>
      <c r="CH5" s="9"/>
      <c r="CI5" s="9" t="s">
        <v>9188</v>
      </c>
      <c r="CJ5" s="9"/>
    </row>
    <row r="6" spans="1:88" ht="63.75" x14ac:dyDescent="0.2">
      <c r="A6" s="31" t="s">
        <v>179</v>
      </c>
      <c r="B6" s="9" t="s">
        <v>9102</v>
      </c>
      <c r="C6" s="9" t="s">
        <v>9102</v>
      </c>
      <c r="D6" s="9" t="s">
        <v>9128</v>
      </c>
      <c r="E6" s="9" t="s">
        <v>9128</v>
      </c>
      <c r="F6" s="9" t="s">
        <v>9102</v>
      </c>
      <c r="G6" s="9" t="s">
        <v>9102</v>
      </c>
      <c r="H6" s="9" t="s">
        <v>28</v>
      </c>
      <c r="I6" s="9" t="s">
        <v>9104</v>
      </c>
      <c r="J6" s="9" t="s">
        <v>25</v>
      </c>
      <c r="K6" s="9"/>
      <c r="L6" s="9"/>
      <c r="M6" s="9"/>
      <c r="N6" s="9"/>
      <c r="O6" s="9"/>
      <c r="P6" s="9"/>
      <c r="Q6" s="9"/>
      <c r="R6" s="9"/>
      <c r="S6" s="9"/>
      <c r="T6" s="9"/>
      <c r="U6" s="9"/>
      <c r="V6" s="9"/>
      <c r="W6" s="9"/>
      <c r="X6" s="9"/>
      <c r="Y6" s="9"/>
      <c r="Z6" s="9"/>
      <c r="AA6" s="9"/>
      <c r="AB6" s="9"/>
      <c r="AC6" s="9"/>
      <c r="AD6" s="9"/>
      <c r="AE6" s="9"/>
      <c r="AF6" s="9"/>
      <c r="AG6" s="9"/>
      <c r="AH6" s="9"/>
      <c r="AI6" s="9" t="s">
        <v>9111</v>
      </c>
      <c r="AJ6" s="9" t="s">
        <v>9162</v>
      </c>
      <c r="AK6" s="9" t="s">
        <v>9112</v>
      </c>
      <c r="AL6" s="9" t="s">
        <v>9153</v>
      </c>
      <c r="AM6" s="9"/>
      <c r="AN6" s="9"/>
      <c r="AO6" s="9" t="s">
        <v>2201</v>
      </c>
      <c r="AP6" s="9"/>
      <c r="AQ6" s="39"/>
      <c r="AR6" s="9" t="s">
        <v>28</v>
      </c>
      <c r="AS6" s="9" t="s">
        <v>13868</v>
      </c>
      <c r="AT6" s="9"/>
      <c r="AU6" s="39">
        <v>600</v>
      </c>
      <c r="AV6" s="9" t="s">
        <v>9334</v>
      </c>
      <c r="AW6" s="9" t="s">
        <v>13874</v>
      </c>
      <c r="AX6" s="9" t="s">
        <v>9138</v>
      </c>
      <c r="AY6" s="9"/>
      <c r="AZ6" s="9"/>
      <c r="BA6" s="9"/>
      <c r="BB6" s="9"/>
      <c r="BC6" s="9"/>
      <c r="BD6" s="9"/>
      <c r="BE6" s="9"/>
      <c r="BF6" s="9"/>
      <c r="BG6" s="9"/>
      <c r="BH6" s="9"/>
      <c r="BI6" s="9"/>
      <c r="BJ6" s="9"/>
      <c r="BK6" s="9"/>
      <c r="BL6" s="9"/>
      <c r="BM6" s="9"/>
      <c r="BN6" s="9"/>
      <c r="BO6" s="9"/>
      <c r="BP6" s="39"/>
      <c r="BQ6" s="39"/>
      <c r="BR6" s="39"/>
      <c r="BS6" s="39"/>
      <c r="BT6" s="39"/>
      <c r="BU6" s="9" t="s">
        <v>9120</v>
      </c>
      <c r="BV6" s="9" t="s">
        <v>9168</v>
      </c>
      <c r="BW6" s="9" t="s">
        <v>9122</v>
      </c>
      <c r="BX6" s="9" t="s">
        <v>9158</v>
      </c>
      <c r="BY6" s="9" t="s">
        <v>25</v>
      </c>
      <c r="BZ6" s="9" t="s">
        <v>25</v>
      </c>
      <c r="CA6" s="9" t="s">
        <v>9335</v>
      </c>
      <c r="CB6" s="9" t="s">
        <v>13475</v>
      </c>
      <c r="CC6" s="9" t="s">
        <v>28</v>
      </c>
      <c r="CD6" s="9" t="s">
        <v>13486</v>
      </c>
      <c r="CE6" s="9" t="s">
        <v>25</v>
      </c>
      <c r="CF6" s="9"/>
      <c r="CG6" s="9"/>
      <c r="CH6" s="9"/>
      <c r="CI6" s="9" t="s">
        <v>635</v>
      </c>
      <c r="CJ6" s="9"/>
    </row>
    <row r="7" spans="1:88" ht="63.75" x14ac:dyDescent="0.2">
      <c r="A7" s="31" t="s">
        <v>122</v>
      </c>
      <c r="B7" s="9" t="s">
        <v>9128</v>
      </c>
      <c r="C7" s="9" t="s">
        <v>9102</v>
      </c>
      <c r="D7" s="9" t="s">
        <v>9128</v>
      </c>
      <c r="E7" s="9" t="s">
        <v>9102</v>
      </c>
      <c r="F7" s="9" t="s">
        <v>9102</v>
      </c>
      <c r="G7" s="9" t="s">
        <v>9102</v>
      </c>
      <c r="H7" s="9"/>
      <c r="I7" s="9"/>
      <c r="J7" s="9"/>
      <c r="K7" s="9"/>
      <c r="L7" s="9"/>
      <c r="M7" s="9"/>
      <c r="N7" s="9"/>
      <c r="O7" s="9"/>
      <c r="P7" s="9"/>
      <c r="Q7" s="9"/>
      <c r="R7" s="9"/>
      <c r="S7" s="9"/>
      <c r="T7" s="9"/>
      <c r="U7" s="9"/>
      <c r="V7" s="9"/>
      <c r="W7" s="9"/>
      <c r="X7" s="9"/>
      <c r="Y7" s="9"/>
      <c r="Z7" s="9"/>
      <c r="AA7" s="9"/>
      <c r="AB7" s="9"/>
      <c r="AC7" s="9"/>
      <c r="AD7" s="9"/>
      <c r="AE7" s="9"/>
      <c r="AF7" s="9" t="s">
        <v>9108</v>
      </c>
      <c r="AG7" s="9" t="s">
        <v>9109</v>
      </c>
      <c r="AH7" s="9" t="s">
        <v>9161</v>
      </c>
      <c r="AI7" s="9" t="s">
        <v>9111</v>
      </c>
      <c r="AJ7" s="9" t="s">
        <v>9162</v>
      </c>
      <c r="AK7" s="9" t="s">
        <v>9163</v>
      </c>
      <c r="AL7" s="9" t="s">
        <v>25</v>
      </c>
      <c r="AM7" s="9"/>
      <c r="AN7" s="9"/>
      <c r="AO7" s="9" t="s">
        <v>28</v>
      </c>
      <c r="AP7" s="9" t="s">
        <v>9164</v>
      </c>
      <c r="AQ7" s="39"/>
      <c r="AR7" s="9" t="s">
        <v>25</v>
      </c>
      <c r="AS7" s="9"/>
      <c r="AT7" s="9"/>
      <c r="AU7" s="39"/>
      <c r="AV7" s="9" t="s">
        <v>9165</v>
      </c>
      <c r="AW7" s="9" t="s">
        <v>9166</v>
      </c>
      <c r="AX7" s="9" t="s">
        <v>9138</v>
      </c>
      <c r="AY7" s="9"/>
      <c r="AZ7" s="9"/>
      <c r="BA7" s="9"/>
      <c r="BB7" s="9"/>
      <c r="BC7" s="9"/>
      <c r="BD7" s="9"/>
      <c r="BE7" s="9"/>
      <c r="BF7" s="9"/>
      <c r="BG7" s="9"/>
      <c r="BH7" s="9"/>
      <c r="BI7" s="9"/>
      <c r="BJ7" s="9"/>
      <c r="BK7" s="9"/>
      <c r="BL7" s="9"/>
      <c r="BM7" s="9"/>
      <c r="BN7" s="9"/>
      <c r="BO7" s="9"/>
      <c r="BP7" s="39"/>
      <c r="BQ7" s="39"/>
      <c r="BR7" s="39"/>
      <c r="BS7" s="39"/>
      <c r="BT7" s="39"/>
      <c r="BU7" s="9" t="s">
        <v>9167</v>
      </c>
      <c r="BV7" s="9" t="s">
        <v>9168</v>
      </c>
      <c r="BW7" s="9" t="s">
        <v>9122</v>
      </c>
      <c r="BX7" s="9" t="s">
        <v>9158</v>
      </c>
      <c r="BY7" s="9" t="s">
        <v>28</v>
      </c>
      <c r="BZ7" s="9" t="s">
        <v>25</v>
      </c>
      <c r="CA7" s="9"/>
      <c r="CB7" s="9"/>
      <c r="CC7" s="9" t="s">
        <v>28</v>
      </c>
      <c r="CD7" s="9" t="s">
        <v>9169</v>
      </c>
      <c r="CE7" s="9" t="s">
        <v>28</v>
      </c>
      <c r="CF7" s="9">
        <v>4</v>
      </c>
      <c r="CG7" s="9" t="s">
        <v>13487</v>
      </c>
      <c r="CH7" s="9" t="s">
        <v>9171</v>
      </c>
      <c r="CI7" s="9" t="s">
        <v>9126</v>
      </c>
      <c r="CJ7" s="9" t="s">
        <v>9172</v>
      </c>
    </row>
    <row r="8" spans="1:88" ht="51" x14ac:dyDescent="0.2">
      <c r="A8" s="31" t="s">
        <v>160</v>
      </c>
      <c r="B8" s="9" t="s">
        <v>9102</v>
      </c>
      <c r="C8" s="9" t="s">
        <v>9102</v>
      </c>
      <c r="D8" s="9" t="s">
        <v>9102</v>
      </c>
      <c r="E8" s="9" t="s">
        <v>9102</v>
      </c>
      <c r="F8" s="9" t="s">
        <v>9102</v>
      </c>
      <c r="G8" s="9" t="s">
        <v>9102</v>
      </c>
      <c r="H8" s="9" t="s">
        <v>28</v>
      </c>
      <c r="I8" s="9" t="s">
        <v>9104</v>
      </c>
      <c r="J8" s="9" t="s">
        <v>25</v>
      </c>
      <c r="K8" s="9"/>
      <c r="L8" s="9"/>
      <c r="M8" s="9"/>
      <c r="N8" s="9"/>
      <c r="O8" s="9"/>
      <c r="P8" s="9"/>
      <c r="Q8" s="9"/>
      <c r="R8" s="9"/>
      <c r="S8" s="9"/>
      <c r="T8" s="9"/>
      <c r="U8" s="9"/>
      <c r="V8" s="9"/>
      <c r="W8" s="9"/>
      <c r="X8" s="9"/>
      <c r="Y8" s="9"/>
      <c r="Z8" s="9"/>
      <c r="AA8" s="9"/>
      <c r="AB8" s="9" t="s">
        <v>41</v>
      </c>
      <c r="AC8" s="9"/>
      <c r="AD8" s="9"/>
      <c r="AE8" s="9"/>
      <c r="AF8" s="9" t="s">
        <v>9176</v>
      </c>
      <c r="AG8" s="9" t="s">
        <v>9181</v>
      </c>
      <c r="AH8" s="9" t="s">
        <v>9218</v>
      </c>
      <c r="AI8" s="9" t="s">
        <v>631</v>
      </c>
      <c r="AJ8" s="9"/>
      <c r="AK8" s="9"/>
      <c r="AL8" s="9" t="s">
        <v>25</v>
      </c>
      <c r="AM8" s="9"/>
      <c r="AN8" s="9"/>
      <c r="AO8" s="9" t="s">
        <v>2201</v>
      </c>
      <c r="AP8" s="9"/>
      <c r="AQ8" s="39"/>
      <c r="AR8" s="9" t="s">
        <v>25</v>
      </c>
      <c r="AS8" s="9"/>
      <c r="AT8" s="9"/>
      <c r="AU8" s="39"/>
      <c r="AV8" s="9" t="s">
        <v>9228</v>
      </c>
      <c r="AW8" s="9" t="s">
        <v>9296</v>
      </c>
      <c r="AX8" s="9" t="s">
        <v>9138</v>
      </c>
      <c r="AY8" s="9"/>
      <c r="AZ8" s="9"/>
      <c r="BA8" s="9"/>
      <c r="BB8" s="9"/>
      <c r="BC8" s="9"/>
      <c r="BD8" s="9"/>
      <c r="BE8" s="9"/>
      <c r="BF8" s="9"/>
      <c r="BG8" s="9"/>
      <c r="BH8" s="9"/>
      <c r="BI8" s="9"/>
      <c r="BJ8" s="9"/>
      <c r="BK8" s="9"/>
      <c r="BL8" s="9"/>
      <c r="BM8" s="9"/>
      <c r="BN8" s="9"/>
      <c r="BO8" s="9"/>
      <c r="BP8" s="39"/>
      <c r="BQ8" s="39"/>
      <c r="BR8" s="39"/>
      <c r="BS8" s="39"/>
      <c r="BT8" s="39"/>
      <c r="BU8" s="9" t="s">
        <v>9167</v>
      </c>
      <c r="BV8" s="9" t="s">
        <v>9121</v>
      </c>
      <c r="BW8" s="9" t="s">
        <v>9122</v>
      </c>
      <c r="BX8" s="9" t="s">
        <v>9140</v>
      </c>
      <c r="BY8" s="9" t="s">
        <v>25</v>
      </c>
      <c r="BZ8" s="9" t="s">
        <v>25</v>
      </c>
      <c r="CA8" s="9"/>
      <c r="CB8" s="9"/>
      <c r="CC8" s="9" t="s">
        <v>28</v>
      </c>
      <c r="CD8" s="9" t="s">
        <v>9297</v>
      </c>
      <c r="CE8" s="9" t="s">
        <v>25</v>
      </c>
      <c r="CF8" s="9"/>
      <c r="CG8" s="9"/>
      <c r="CH8" s="9"/>
      <c r="CI8" s="9" t="s">
        <v>635</v>
      </c>
      <c r="CJ8" s="9"/>
    </row>
    <row r="9" spans="1:88" ht="51" x14ac:dyDescent="0.2">
      <c r="A9" s="31" t="s">
        <v>154</v>
      </c>
      <c r="B9" s="9" t="s">
        <v>9128</v>
      </c>
      <c r="C9" s="9" t="s">
        <v>9102</v>
      </c>
      <c r="D9" s="9" t="s">
        <v>9102</v>
      </c>
      <c r="E9" s="9" t="s">
        <v>9102</v>
      </c>
      <c r="F9" s="9" t="s">
        <v>9102</v>
      </c>
      <c r="G9" s="9" t="s">
        <v>9102</v>
      </c>
      <c r="H9" s="9"/>
      <c r="I9" s="9"/>
      <c r="J9" s="9"/>
      <c r="K9" s="9"/>
      <c r="L9" s="9"/>
      <c r="M9" s="9"/>
      <c r="N9" s="9"/>
      <c r="O9" s="9"/>
      <c r="P9" s="9"/>
      <c r="Q9" s="9"/>
      <c r="R9" s="9"/>
      <c r="S9" s="9"/>
      <c r="T9" s="9"/>
      <c r="U9" s="9"/>
      <c r="V9" s="9"/>
      <c r="W9" s="9"/>
      <c r="X9" s="9"/>
      <c r="Y9" s="9"/>
      <c r="Z9" s="9"/>
      <c r="AA9" s="9"/>
      <c r="AB9" s="9" t="s">
        <v>25</v>
      </c>
      <c r="AC9" s="9"/>
      <c r="AD9" s="9"/>
      <c r="AE9" s="9"/>
      <c r="AF9" s="9" t="s">
        <v>9176</v>
      </c>
      <c r="AG9" s="9" t="s">
        <v>9181</v>
      </c>
      <c r="AH9" s="9" t="s">
        <v>13853</v>
      </c>
      <c r="AI9" s="9" t="s">
        <v>9111</v>
      </c>
      <c r="AJ9" s="9" t="s">
        <v>9105</v>
      </c>
      <c r="AK9" s="9" t="s">
        <v>2185</v>
      </c>
      <c r="AL9" s="9" t="s">
        <v>25</v>
      </c>
      <c r="AM9" s="9"/>
      <c r="AN9" s="9"/>
      <c r="AO9" s="9" t="s">
        <v>2201</v>
      </c>
      <c r="AP9" s="9"/>
      <c r="AQ9" s="39"/>
      <c r="AR9" s="9" t="s">
        <v>25</v>
      </c>
      <c r="AS9" s="9"/>
      <c r="AT9" s="9"/>
      <c r="AU9" s="39"/>
      <c r="AV9" s="9" t="s">
        <v>9177</v>
      </c>
      <c r="AW9" s="9" t="s">
        <v>9166</v>
      </c>
      <c r="AX9" s="9" t="s">
        <v>9138</v>
      </c>
      <c r="AY9" s="9"/>
      <c r="AZ9" s="9"/>
      <c r="BA9" s="9"/>
      <c r="BB9" s="9"/>
      <c r="BC9" s="9"/>
      <c r="BD9" s="9"/>
      <c r="BE9" s="9"/>
      <c r="BF9" s="9"/>
      <c r="BG9" s="9"/>
      <c r="BH9" s="9"/>
      <c r="BI9" s="9"/>
      <c r="BJ9" s="9"/>
      <c r="BK9" s="9"/>
      <c r="BL9" s="9"/>
      <c r="BM9" s="9"/>
      <c r="BN9" s="9"/>
      <c r="BO9" s="9"/>
      <c r="BP9" s="39"/>
      <c r="BQ9" s="39"/>
      <c r="BR9" s="39"/>
      <c r="BS9" s="39"/>
      <c r="BT9" s="39"/>
      <c r="BU9" s="9" t="s">
        <v>9282</v>
      </c>
      <c r="BV9" s="9" t="s">
        <v>9268</v>
      </c>
      <c r="BW9" s="9" t="s">
        <v>9122</v>
      </c>
      <c r="BX9" s="9" t="s">
        <v>9184</v>
      </c>
      <c r="BY9" s="9" t="s">
        <v>25</v>
      </c>
      <c r="BZ9" s="9" t="s">
        <v>25</v>
      </c>
      <c r="CA9" s="9" t="s">
        <v>14436</v>
      </c>
      <c r="CB9" s="9" t="s">
        <v>13472</v>
      </c>
      <c r="CC9" s="9" t="s">
        <v>25</v>
      </c>
      <c r="CD9" s="9"/>
      <c r="CE9" s="9" t="s">
        <v>25</v>
      </c>
      <c r="CF9" s="9"/>
      <c r="CG9" s="9"/>
      <c r="CH9" s="9"/>
      <c r="CI9" s="9" t="s">
        <v>635</v>
      </c>
      <c r="CJ9" s="9"/>
    </row>
    <row r="10" spans="1:88" ht="38.25" x14ac:dyDescent="0.2">
      <c r="A10" s="31" t="s">
        <v>170</v>
      </c>
      <c r="B10" s="9" t="s">
        <v>9128</v>
      </c>
      <c r="C10" s="9" t="s">
        <v>9102</v>
      </c>
      <c r="D10" s="9" t="s">
        <v>9128</v>
      </c>
      <c r="E10" s="9" t="s">
        <v>9128</v>
      </c>
      <c r="F10" s="9" t="s">
        <v>9128</v>
      </c>
      <c r="G10" s="9" t="s">
        <v>9128</v>
      </c>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39"/>
      <c r="AR10" s="9"/>
      <c r="AS10" s="9"/>
      <c r="AT10" s="9"/>
      <c r="AU10" s="39"/>
      <c r="AV10" s="9"/>
      <c r="AW10" s="9"/>
      <c r="AX10" s="9" t="s">
        <v>9138</v>
      </c>
      <c r="AY10" s="9"/>
      <c r="AZ10" s="9"/>
      <c r="BA10" s="9"/>
      <c r="BB10" s="9"/>
      <c r="BC10" s="9"/>
      <c r="BD10" s="9"/>
      <c r="BE10" s="9"/>
      <c r="BF10" s="9"/>
      <c r="BG10" s="9"/>
      <c r="BH10" s="9"/>
      <c r="BI10" s="9"/>
      <c r="BJ10" s="9"/>
      <c r="BK10" s="9"/>
      <c r="BL10" s="9"/>
      <c r="BM10" s="9"/>
      <c r="BN10" s="9"/>
      <c r="BO10" s="9"/>
      <c r="BP10" s="39"/>
      <c r="BQ10" s="39"/>
      <c r="BR10" s="39"/>
      <c r="BS10" s="39"/>
      <c r="BT10" s="39"/>
      <c r="BU10" s="9" t="s">
        <v>635</v>
      </c>
      <c r="BV10" s="9"/>
      <c r="BW10" s="9"/>
      <c r="BX10" s="9"/>
      <c r="BY10" s="9"/>
      <c r="BZ10" s="9"/>
      <c r="CA10" s="9"/>
      <c r="CB10" s="9"/>
      <c r="CC10" s="9" t="s">
        <v>28</v>
      </c>
      <c r="CD10" s="9" t="s">
        <v>9319</v>
      </c>
      <c r="CE10" s="9" t="s">
        <v>25</v>
      </c>
      <c r="CF10" s="9"/>
      <c r="CG10" s="9"/>
      <c r="CH10" s="9"/>
      <c r="CI10" s="9" t="s">
        <v>13492</v>
      </c>
      <c r="CJ10" s="9"/>
    </row>
    <row r="11" spans="1:88" ht="63.75" x14ac:dyDescent="0.2">
      <c r="A11" s="31" t="s">
        <v>176</v>
      </c>
      <c r="B11" s="9" t="s">
        <v>9102</v>
      </c>
      <c r="C11" s="9" t="s">
        <v>9102</v>
      </c>
      <c r="D11" s="9" t="s">
        <v>9102</v>
      </c>
      <c r="E11" s="9" t="s">
        <v>9103</v>
      </c>
      <c r="F11" s="9" t="s">
        <v>9102</v>
      </c>
      <c r="G11" s="9" t="s">
        <v>9102</v>
      </c>
      <c r="H11" s="9" t="s">
        <v>28</v>
      </c>
      <c r="I11" s="9" t="s">
        <v>9129</v>
      </c>
      <c r="J11" s="9" t="s">
        <v>28</v>
      </c>
      <c r="K11" s="9" t="s">
        <v>9105</v>
      </c>
      <c r="L11" s="9" t="s">
        <v>9237</v>
      </c>
      <c r="M11" s="9"/>
      <c r="N11" s="9" t="s">
        <v>28</v>
      </c>
      <c r="O11" s="9" t="s">
        <v>28</v>
      </c>
      <c r="P11" s="9" t="s">
        <v>28</v>
      </c>
      <c r="Q11" s="9" t="s">
        <v>28</v>
      </c>
      <c r="R11" s="9" t="s">
        <v>28</v>
      </c>
      <c r="S11" s="9" t="s">
        <v>28</v>
      </c>
      <c r="T11" s="9" t="s">
        <v>25</v>
      </c>
      <c r="U11" s="9" t="s">
        <v>25</v>
      </c>
      <c r="V11" s="9" t="s">
        <v>28</v>
      </c>
      <c r="W11" s="9" t="s">
        <v>25</v>
      </c>
      <c r="X11" s="9" t="s">
        <v>28</v>
      </c>
      <c r="Y11" s="9" t="s">
        <v>28</v>
      </c>
      <c r="Z11" s="9" t="s">
        <v>25</v>
      </c>
      <c r="AA11" s="9" t="s">
        <v>9304</v>
      </c>
      <c r="AB11" s="9" t="s">
        <v>28</v>
      </c>
      <c r="AC11" s="9" t="s">
        <v>9105</v>
      </c>
      <c r="AD11" s="9" t="s">
        <v>9200</v>
      </c>
      <c r="AE11" s="9" t="s">
        <v>9246</v>
      </c>
      <c r="AF11" s="9" t="s">
        <v>9176</v>
      </c>
      <c r="AG11" s="9" t="s">
        <v>9109</v>
      </c>
      <c r="AH11" s="9" t="s">
        <v>13854</v>
      </c>
      <c r="AI11" s="9" t="s">
        <v>9111</v>
      </c>
      <c r="AJ11" s="9" t="s">
        <v>9105</v>
      </c>
      <c r="AK11" s="9" t="s">
        <v>13862</v>
      </c>
      <c r="AL11" s="9" t="s">
        <v>9153</v>
      </c>
      <c r="AM11" s="9"/>
      <c r="AN11" s="9"/>
      <c r="AO11" s="9" t="s">
        <v>2201</v>
      </c>
      <c r="AP11" s="9"/>
      <c r="AQ11" s="39"/>
      <c r="AR11" s="9" t="s">
        <v>25</v>
      </c>
      <c r="AS11" s="9"/>
      <c r="AT11" s="9"/>
      <c r="AU11" s="39"/>
      <c r="AV11" s="9" t="s">
        <v>9202</v>
      </c>
      <c r="AW11" s="9" t="s">
        <v>9166</v>
      </c>
      <c r="AX11" s="9" t="s">
        <v>9138</v>
      </c>
      <c r="AY11" s="9"/>
      <c r="AZ11" s="9"/>
      <c r="BA11" s="9"/>
      <c r="BB11" s="9"/>
      <c r="BC11" s="9"/>
      <c r="BD11" s="9"/>
      <c r="BE11" s="9"/>
      <c r="BF11" s="9"/>
      <c r="BG11" s="9"/>
      <c r="BH11" s="9"/>
      <c r="BI11" s="9"/>
      <c r="BJ11" s="9"/>
      <c r="BK11" s="9"/>
      <c r="BL11" s="9"/>
      <c r="BM11" s="9"/>
      <c r="BN11" s="9"/>
      <c r="BO11" s="9"/>
      <c r="BP11" s="39"/>
      <c r="BQ11" s="39"/>
      <c r="BR11" s="39"/>
      <c r="BS11" s="39"/>
      <c r="BT11" s="39"/>
      <c r="BU11" s="9" t="s">
        <v>9120</v>
      </c>
      <c r="BV11" s="9" t="s">
        <v>9268</v>
      </c>
      <c r="BW11" s="9" t="s">
        <v>9122</v>
      </c>
      <c r="BX11" s="9" t="s">
        <v>9136</v>
      </c>
      <c r="BY11" s="9" t="s">
        <v>25</v>
      </c>
      <c r="BZ11" s="9" t="s">
        <v>25</v>
      </c>
      <c r="CA11" s="9" t="s">
        <v>9327</v>
      </c>
      <c r="CB11" s="9" t="s">
        <v>9328</v>
      </c>
      <c r="CC11" s="9" t="s">
        <v>28</v>
      </c>
      <c r="CD11" s="9" t="s">
        <v>9329</v>
      </c>
      <c r="CE11" s="9" t="s">
        <v>25</v>
      </c>
      <c r="CF11" s="9"/>
      <c r="CG11" s="9"/>
      <c r="CH11" s="9"/>
      <c r="CI11" s="9" t="s">
        <v>13491</v>
      </c>
      <c r="CJ11" s="9"/>
    </row>
    <row r="12" spans="1:88" ht="51" x14ac:dyDescent="0.2">
      <c r="A12" s="31" t="s">
        <v>175</v>
      </c>
      <c r="B12" s="9" t="s">
        <v>9128</v>
      </c>
      <c r="C12" s="9" t="s">
        <v>9128</v>
      </c>
      <c r="D12" s="9" t="s">
        <v>9128</v>
      </c>
      <c r="E12" s="9" t="s">
        <v>9128</v>
      </c>
      <c r="F12" s="9" t="s">
        <v>9102</v>
      </c>
      <c r="G12" s="9" t="s">
        <v>9102</v>
      </c>
      <c r="H12" s="9"/>
      <c r="I12" s="9"/>
      <c r="J12" s="9"/>
      <c r="K12" s="9"/>
      <c r="L12" s="9"/>
      <c r="M12" s="9"/>
      <c r="N12" s="9"/>
      <c r="O12" s="9"/>
      <c r="P12" s="9"/>
      <c r="Q12" s="9"/>
      <c r="R12" s="9"/>
      <c r="S12" s="9"/>
      <c r="T12" s="9"/>
      <c r="U12" s="9"/>
      <c r="V12" s="9"/>
      <c r="W12" s="9"/>
      <c r="X12" s="9"/>
      <c r="Y12" s="9"/>
      <c r="Z12" s="9"/>
      <c r="AA12" s="9"/>
      <c r="AB12" s="9"/>
      <c r="AC12" s="9"/>
      <c r="AD12" s="9"/>
      <c r="AE12" s="9"/>
      <c r="AF12" s="9" t="s">
        <v>9176</v>
      </c>
      <c r="AG12" s="9" t="s">
        <v>9181</v>
      </c>
      <c r="AH12" s="9"/>
      <c r="AI12" s="9" t="s">
        <v>9111</v>
      </c>
      <c r="AJ12" s="9" t="s">
        <v>9105</v>
      </c>
      <c r="AK12" s="9" t="s">
        <v>2159</v>
      </c>
      <c r="AL12" s="9" t="s">
        <v>9153</v>
      </c>
      <c r="AM12" s="9"/>
      <c r="AN12" s="9"/>
      <c r="AO12" s="9" t="s">
        <v>28</v>
      </c>
      <c r="AP12" s="9" t="s">
        <v>673</v>
      </c>
      <c r="AQ12" s="39">
        <v>450</v>
      </c>
      <c r="AR12" s="9" t="s">
        <v>28</v>
      </c>
      <c r="AS12" s="9" t="s">
        <v>13868</v>
      </c>
      <c r="AT12" s="9"/>
      <c r="AU12" s="39">
        <v>450</v>
      </c>
      <c r="AV12" s="9" t="s">
        <v>14434</v>
      </c>
      <c r="AW12" s="9" t="s">
        <v>635</v>
      </c>
      <c r="AX12" s="9" t="s">
        <v>9131</v>
      </c>
      <c r="AY12" s="9"/>
      <c r="AZ12" s="9"/>
      <c r="BA12" s="9"/>
      <c r="BB12" s="9"/>
      <c r="BC12" s="9"/>
      <c r="BD12" s="9" t="s">
        <v>9191</v>
      </c>
      <c r="BE12" s="9"/>
      <c r="BF12" s="9"/>
      <c r="BG12" s="9"/>
      <c r="BH12" s="9"/>
      <c r="BI12" s="9"/>
      <c r="BJ12" s="9"/>
      <c r="BK12" s="9" t="s">
        <v>9119</v>
      </c>
      <c r="BL12" s="9" t="s">
        <v>41</v>
      </c>
      <c r="BM12" s="9" t="s">
        <v>25</v>
      </c>
      <c r="BN12" s="9" t="s">
        <v>25</v>
      </c>
      <c r="BO12" s="9" t="s">
        <v>25</v>
      </c>
      <c r="BP12" s="39"/>
      <c r="BQ12" s="39"/>
      <c r="BR12" s="39"/>
      <c r="BS12" s="39"/>
      <c r="BT12" s="39"/>
      <c r="BU12" s="9" t="s">
        <v>635</v>
      </c>
      <c r="BV12" s="9"/>
      <c r="BW12" s="9"/>
      <c r="BX12" s="9"/>
      <c r="BY12" s="9"/>
      <c r="BZ12" s="9"/>
      <c r="CA12" s="9"/>
      <c r="CB12" s="9"/>
      <c r="CC12" s="9" t="s">
        <v>28</v>
      </c>
      <c r="CD12" s="9" t="s">
        <v>13485</v>
      </c>
      <c r="CE12" s="9" t="s">
        <v>25</v>
      </c>
      <c r="CF12" s="9"/>
      <c r="CG12" s="9"/>
      <c r="CH12" s="9"/>
      <c r="CI12" s="9" t="s">
        <v>635</v>
      </c>
      <c r="CJ12" s="9"/>
    </row>
    <row r="13" spans="1:88" ht="76.5" x14ac:dyDescent="0.2">
      <c r="A13" s="31" t="s">
        <v>121</v>
      </c>
      <c r="B13" s="9" t="s">
        <v>9103</v>
      </c>
      <c r="C13" s="9" t="s">
        <v>9102</v>
      </c>
      <c r="D13" s="9" t="s">
        <v>9146</v>
      </c>
      <c r="E13" s="9" t="s">
        <v>9146</v>
      </c>
      <c r="F13" s="9" t="s">
        <v>9102</v>
      </c>
      <c r="G13" s="9" t="s">
        <v>9102</v>
      </c>
      <c r="H13" s="9" t="s">
        <v>28</v>
      </c>
      <c r="I13" s="9" t="s">
        <v>9147</v>
      </c>
      <c r="J13" s="9" t="s">
        <v>28</v>
      </c>
      <c r="K13" s="9" t="s">
        <v>9105</v>
      </c>
      <c r="L13" s="9" t="s">
        <v>9148</v>
      </c>
      <c r="M13" s="9"/>
      <c r="N13" s="9" t="s">
        <v>28</v>
      </c>
      <c r="O13" s="9" t="s">
        <v>28</v>
      </c>
      <c r="P13" s="9" t="s">
        <v>28</v>
      </c>
      <c r="Q13" s="9" t="s">
        <v>28</v>
      </c>
      <c r="R13" s="9" t="s">
        <v>28</v>
      </c>
      <c r="S13" s="9" t="s">
        <v>28</v>
      </c>
      <c r="T13" s="9" t="s">
        <v>32</v>
      </c>
      <c r="U13" s="9" t="s">
        <v>32</v>
      </c>
      <c r="V13" s="9" t="s">
        <v>28</v>
      </c>
      <c r="W13" s="9" t="s">
        <v>25</v>
      </c>
      <c r="X13" s="9" t="s">
        <v>25</v>
      </c>
      <c r="Y13" s="9" t="s">
        <v>28</v>
      </c>
      <c r="Z13" s="9" t="s">
        <v>28</v>
      </c>
      <c r="AA13" s="9" t="s">
        <v>2159</v>
      </c>
      <c r="AB13" s="9" t="s">
        <v>28</v>
      </c>
      <c r="AC13" s="9" t="s">
        <v>9105</v>
      </c>
      <c r="AD13" s="9" t="s">
        <v>13851</v>
      </c>
      <c r="AE13" s="9" t="s">
        <v>9149</v>
      </c>
      <c r="AF13" s="9" t="s">
        <v>9150</v>
      </c>
      <c r="AG13" s="9" t="s">
        <v>9151</v>
      </c>
      <c r="AH13" s="9" t="s">
        <v>9149</v>
      </c>
      <c r="AI13" s="9" t="s">
        <v>9111</v>
      </c>
      <c r="AJ13" s="9" t="s">
        <v>9105</v>
      </c>
      <c r="AK13" s="9" t="s">
        <v>9152</v>
      </c>
      <c r="AL13" s="9" t="s">
        <v>9153</v>
      </c>
      <c r="AM13" s="9"/>
      <c r="AN13" s="9"/>
      <c r="AO13" s="9" t="s">
        <v>2201</v>
      </c>
      <c r="AP13" s="9"/>
      <c r="AQ13" s="39"/>
      <c r="AR13" s="9" t="s">
        <v>25</v>
      </c>
      <c r="AS13" s="9"/>
      <c r="AT13" s="9"/>
      <c r="AU13" s="39"/>
      <c r="AV13" s="9" t="s">
        <v>9115</v>
      </c>
      <c r="AW13" s="9" t="s">
        <v>13871</v>
      </c>
      <c r="AX13" s="9" t="s">
        <v>9154</v>
      </c>
      <c r="AY13" s="9" t="s">
        <v>13876</v>
      </c>
      <c r="AZ13" s="9" t="s">
        <v>13882</v>
      </c>
      <c r="BA13" s="9" t="s">
        <v>13882</v>
      </c>
      <c r="BB13" s="9" t="s">
        <v>13882</v>
      </c>
      <c r="BC13" s="9" t="s">
        <v>13882</v>
      </c>
      <c r="BD13" s="9" t="s">
        <v>13882</v>
      </c>
      <c r="BE13" s="9" t="s">
        <v>13882</v>
      </c>
      <c r="BF13" s="9" t="s">
        <v>9155</v>
      </c>
      <c r="BG13" s="9" t="s">
        <v>13882</v>
      </c>
      <c r="BH13" s="9" t="s">
        <v>9156</v>
      </c>
      <c r="BI13" s="9" t="s">
        <v>9156</v>
      </c>
      <c r="BJ13" s="9" t="s">
        <v>29</v>
      </c>
      <c r="BK13" s="9" t="s">
        <v>9119</v>
      </c>
      <c r="BL13" s="9" t="s">
        <v>25</v>
      </c>
      <c r="BM13" s="9" t="s">
        <v>25</v>
      </c>
      <c r="BN13" s="9" t="s">
        <v>25</v>
      </c>
      <c r="BO13" s="9" t="s">
        <v>25</v>
      </c>
      <c r="BP13" s="39"/>
      <c r="BQ13" s="39"/>
      <c r="BR13" s="39"/>
      <c r="BS13" s="39"/>
      <c r="BT13" s="39"/>
      <c r="BU13" s="9" t="s">
        <v>9157</v>
      </c>
      <c r="BV13" s="9" t="s">
        <v>9121</v>
      </c>
      <c r="BW13" s="9" t="s">
        <v>9135</v>
      </c>
      <c r="BX13" s="9" t="s">
        <v>9158</v>
      </c>
      <c r="BY13" s="9" t="s">
        <v>28</v>
      </c>
      <c r="BZ13" s="9" t="s">
        <v>25</v>
      </c>
      <c r="CA13" s="9"/>
      <c r="CB13" s="9"/>
      <c r="CC13" s="9" t="s">
        <v>28</v>
      </c>
      <c r="CD13" s="9" t="s">
        <v>9159</v>
      </c>
      <c r="CE13" s="9" t="s">
        <v>25</v>
      </c>
      <c r="CF13" s="9"/>
      <c r="CG13" s="9"/>
      <c r="CH13" s="9"/>
      <c r="CI13" s="9" t="s">
        <v>9160</v>
      </c>
      <c r="CJ13" s="9"/>
    </row>
    <row r="14" spans="1:88" ht="63.75" x14ac:dyDescent="0.2">
      <c r="A14" s="31" t="s">
        <v>147</v>
      </c>
      <c r="B14" s="9" t="s">
        <v>9128</v>
      </c>
      <c r="C14" s="9" t="s">
        <v>9128</v>
      </c>
      <c r="D14" s="9" t="s">
        <v>9128</v>
      </c>
      <c r="E14" s="9" t="s">
        <v>9128</v>
      </c>
      <c r="F14" s="9" t="s">
        <v>9103</v>
      </c>
      <c r="G14" s="9" t="s">
        <v>9103</v>
      </c>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t="s">
        <v>9111</v>
      </c>
      <c r="AJ14" s="9" t="s">
        <v>9105</v>
      </c>
      <c r="AK14" s="9" t="s">
        <v>13864</v>
      </c>
      <c r="AL14" s="9" t="s">
        <v>9153</v>
      </c>
      <c r="AM14" s="9"/>
      <c r="AN14" s="9"/>
      <c r="AO14" s="9" t="s">
        <v>2201</v>
      </c>
      <c r="AP14" s="9"/>
      <c r="AQ14" s="39"/>
      <c r="AR14" s="9" t="s">
        <v>28</v>
      </c>
      <c r="AS14" s="9" t="s">
        <v>9250</v>
      </c>
      <c r="AT14" s="9"/>
      <c r="AU14" s="39">
        <v>360</v>
      </c>
      <c r="AV14" s="9" t="s">
        <v>9264</v>
      </c>
      <c r="AW14" s="9" t="s">
        <v>635</v>
      </c>
      <c r="AX14" s="9" t="s">
        <v>9131</v>
      </c>
      <c r="AY14" s="9" t="s">
        <v>13879</v>
      </c>
      <c r="AZ14" s="9" t="s">
        <v>9197</v>
      </c>
      <c r="BA14" s="9"/>
      <c r="BB14" s="9"/>
      <c r="BC14" s="9"/>
      <c r="BD14" s="9"/>
      <c r="BE14" s="9" t="s">
        <v>9265</v>
      </c>
      <c r="BF14" s="9" t="s">
        <v>13469</v>
      </c>
      <c r="BG14" s="9" t="s">
        <v>9262</v>
      </c>
      <c r="BH14" s="9" t="s">
        <v>9156</v>
      </c>
      <c r="BI14" s="9" t="s">
        <v>9156</v>
      </c>
      <c r="BJ14" s="9" t="s">
        <v>9197</v>
      </c>
      <c r="BK14" s="9" t="s">
        <v>9119</v>
      </c>
      <c r="BL14" s="9" t="s">
        <v>25</v>
      </c>
      <c r="BM14" s="9" t="s">
        <v>25</v>
      </c>
      <c r="BN14" s="9" t="s">
        <v>25</v>
      </c>
      <c r="BO14" s="9" t="s">
        <v>9119</v>
      </c>
      <c r="BP14" s="39"/>
      <c r="BQ14" s="39"/>
      <c r="BR14" s="39"/>
      <c r="BS14" s="39"/>
      <c r="BT14" s="39"/>
      <c r="BU14" s="9" t="s">
        <v>635</v>
      </c>
      <c r="BV14" s="9"/>
      <c r="BW14" s="9"/>
      <c r="BX14" s="9"/>
      <c r="BY14" s="9"/>
      <c r="BZ14" s="9"/>
      <c r="CA14" s="9"/>
      <c r="CB14" s="9"/>
      <c r="CC14" s="9" t="s">
        <v>25</v>
      </c>
      <c r="CD14" s="9"/>
      <c r="CE14" s="9" t="s">
        <v>28</v>
      </c>
      <c r="CF14" s="9">
        <v>1</v>
      </c>
      <c r="CG14" s="9" t="s">
        <v>4751</v>
      </c>
      <c r="CH14" s="9" t="s">
        <v>9187</v>
      </c>
      <c r="CI14" s="9" t="s">
        <v>4751</v>
      </c>
      <c r="CJ14" s="9"/>
    </row>
    <row r="15" spans="1:88" ht="76.5" x14ac:dyDescent="0.2">
      <c r="A15" s="31" t="s">
        <v>138</v>
      </c>
      <c r="B15" s="9" t="s">
        <v>9102</v>
      </c>
      <c r="C15" s="9" t="s">
        <v>9102</v>
      </c>
      <c r="D15" s="9" t="s">
        <v>9102</v>
      </c>
      <c r="E15" s="9" t="s">
        <v>9102</v>
      </c>
      <c r="F15" s="9" t="s">
        <v>9102</v>
      </c>
      <c r="G15" s="9" t="s">
        <v>9102</v>
      </c>
      <c r="H15" s="9" t="s">
        <v>25</v>
      </c>
      <c r="I15" s="9" t="s">
        <v>9129</v>
      </c>
      <c r="J15" s="9" t="s">
        <v>28</v>
      </c>
      <c r="K15" s="9" t="s">
        <v>9105</v>
      </c>
      <c r="L15" s="9" t="s">
        <v>9237</v>
      </c>
      <c r="M15" s="9"/>
      <c r="N15" s="9" t="s">
        <v>28</v>
      </c>
      <c r="O15" s="9" t="s">
        <v>28</v>
      </c>
      <c r="P15" s="9" t="s">
        <v>28</v>
      </c>
      <c r="Q15" s="9" t="s">
        <v>28</v>
      </c>
      <c r="R15" s="9" t="s">
        <v>28</v>
      </c>
      <c r="S15" s="9" t="s">
        <v>28</v>
      </c>
      <c r="T15" s="9" t="s">
        <v>25</v>
      </c>
      <c r="U15" s="9" t="s">
        <v>25</v>
      </c>
      <c r="V15" s="9" t="s">
        <v>28</v>
      </c>
      <c r="W15" s="9" t="s">
        <v>28</v>
      </c>
      <c r="X15" s="9" t="s">
        <v>28</v>
      </c>
      <c r="Y15" s="9" t="s">
        <v>28</v>
      </c>
      <c r="Z15" s="9" t="s">
        <v>28</v>
      </c>
      <c r="AA15" s="9" t="s">
        <v>13848</v>
      </c>
      <c r="AB15" s="9" t="s">
        <v>25</v>
      </c>
      <c r="AC15" s="9"/>
      <c r="AD15" s="9"/>
      <c r="AE15" s="9"/>
      <c r="AF15" s="9" t="s">
        <v>9176</v>
      </c>
      <c r="AG15" s="9" t="s">
        <v>9181</v>
      </c>
      <c r="AH15" s="9" t="s">
        <v>9238</v>
      </c>
      <c r="AI15" s="9" t="s">
        <v>9111</v>
      </c>
      <c r="AJ15" s="9" t="s">
        <v>9105</v>
      </c>
      <c r="AK15" s="9" t="s">
        <v>13862</v>
      </c>
      <c r="AL15" s="9" t="s">
        <v>25</v>
      </c>
      <c r="AM15" s="9"/>
      <c r="AN15" s="9"/>
      <c r="AO15" s="9" t="s">
        <v>2201</v>
      </c>
      <c r="AP15" s="9"/>
      <c r="AQ15" s="39"/>
      <c r="AR15" s="9" t="s">
        <v>25</v>
      </c>
      <c r="AS15" s="9"/>
      <c r="AT15" s="9"/>
      <c r="AU15" s="39"/>
      <c r="AV15" s="9" t="s">
        <v>9202</v>
      </c>
      <c r="AW15" s="9" t="s">
        <v>635</v>
      </c>
      <c r="AX15" s="9" t="s">
        <v>9138</v>
      </c>
      <c r="AY15" s="9"/>
      <c r="AZ15" s="9"/>
      <c r="BA15" s="9"/>
      <c r="BB15" s="9"/>
      <c r="BC15" s="9"/>
      <c r="BD15" s="9"/>
      <c r="BE15" s="9"/>
      <c r="BF15" s="9"/>
      <c r="BG15" s="9"/>
      <c r="BH15" s="9"/>
      <c r="BI15" s="9"/>
      <c r="BJ15" s="9"/>
      <c r="BK15" s="9"/>
      <c r="BL15" s="9"/>
      <c r="BM15" s="9"/>
      <c r="BN15" s="9"/>
      <c r="BO15" s="9"/>
      <c r="BP15" s="39"/>
      <c r="BQ15" s="39"/>
      <c r="BR15" s="39"/>
      <c r="BS15" s="39"/>
      <c r="BT15" s="39"/>
      <c r="BU15" s="9" t="s">
        <v>9167</v>
      </c>
      <c r="BV15" s="9" t="s">
        <v>9168</v>
      </c>
      <c r="BW15" s="9" t="s">
        <v>9122</v>
      </c>
      <c r="BX15" s="9" t="s">
        <v>9158</v>
      </c>
      <c r="BY15" s="9" t="s">
        <v>25</v>
      </c>
      <c r="BZ15" s="9" t="s">
        <v>25</v>
      </c>
      <c r="CA15" s="9"/>
      <c r="CB15" s="9"/>
      <c r="CC15" s="9" t="s">
        <v>28</v>
      </c>
      <c r="CD15" s="9" t="s">
        <v>13479</v>
      </c>
      <c r="CE15" s="9" t="s">
        <v>25</v>
      </c>
      <c r="CF15" s="9"/>
      <c r="CG15" s="9"/>
      <c r="CH15" s="9"/>
      <c r="CI15" s="9" t="s">
        <v>635</v>
      </c>
      <c r="CJ15" s="9"/>
    </row>
    <row r="16" spans="1:88" ht="38.25" x14ac:dyDescent="0.2">
      <c r="A16" s="31" t="s">
        <v>118</v>
      </c>
      <c r="B16" s="9" t="s">
        <v>9102</v>
      </c>
      <c r="C16" s="9" t="s">
        <v>9102</v>
      </c>
      <c r="D16" s="9" t="s">
        <v>9102</v>
      </c>
      <c r="E16" s="9" t="s">
        <v>9128</v>
      </c>
      <c r="F16" s="9" t="s">
        <v>9128</v>
      </c>
      <c r="G16" s="9" t="s">
        <v>9103</v>
      </c>
      <c r="H16" s="9" t="s">
        <v>32</v>
      </c>
      <c r="I16" s="9" t="s">
        <v>9129</v>
      </c>
      <c r="J16" s="9" t="s">
        <v>25</v>
      </c>
      <c r="K16" s="9"/>
      <c r="L16" s="9"/>
      <c r="M16" s="9"/>
      <c r="N16" s="9"/>
      <c r="O16" s="9"/>
      <c r="P16" s="9"/>
      <c r="Q16" s="9"/>
      <c r="R16" s="9"/>
      <c r="S16" s="9"/>
      <c r="T16" s="9"/>
      <c r="U16" s="9"/>
      <c r="V16" s="9"/>
      <c r="W16" s="9"/>
      <c r="X16" s="9"/>
      <c r="Y16" s="9"/>
      <c r="Z16" s="9"/>
      <c r="AA16" s="9"/>
      <c r="AB16" s="9" t="s">
        <v>25</v>
      </c>
      <c r="AC16" s="9"/>
      <c r="AD16" s="9"/>
      <c r="AE16" s="9"/>
      <c r="AF16" s="9" t="s">
        <v>9108</v>
      </c>
      <c r="AG16" s="9"/>
      <c r="AH16" s="9"/>
      <c r="AI16" s="9" t="s">
        <v>9111</v>
      </c>
      <c r="AJ16" s="9" t="s">
        <v>9105</v>
      </c>
      <c r="AK16" s="9" t="s">
        <v>2185</v>
      </c>
      <c r="AL16" s="9" t="s">
        <v>25</v>
      </c>
      <c r="AM16" s="9"/>
      <c r="AN16" s="9"/>
      <c r="AO16" s="9" t="s">
        <v>2201</v>
      </c>
      <c r="AP16" s="9"/>
      <c r="AQ16" s="39"/>
      <c r="AR16" s="9" t="s">
        <v>25</v>
      </c>
      <c r="AS16" s="9"/>
      <c r="AT16" s="9"/>
      <c r="AU16" s="39"/>
      <c r="AV16" s="9" t="s">
        <v>9130</v>
      </c>
      <c r="AW16" s="9" t="s">
        <v>635</v>
      </c>
      <c r="AX16" s="9" t="s">
        <v>9131</v>
      </c>
      <c r="AY16" s="9" t="s">
        <v>9132</v>
      </c>
      <c r="AZ16" s="9"/>
      <c r="BA16" s="9"/>
      <c r="BB16" s="9"/>
      <c r="BC16" s="9"/>
      <c r="BD16" s="9"/>
      <c r="BE16" s="9" t="s">
        <v>9118</v>
      </c>
      <c r="BF16" s="9"/>
      <c r="BG16" s="9"/>
      <c r="BH16" s="9"/>
      <c r="BI16" s="9"/>
      <c r="BJ16" s="9"/>
      <c r="BK16" s="9" t="s">
        <v>9119</v>
      </c>
      <c r="BL16" s="9" t="s">
        <v>25</v>
      </c>
      <c r="BM16" s="9" t="s">
        <v>25</v>
      </c>
      <c r="BN16" s="9" t="s">
        <v>25</v>
      </c>
      <c r="BO16" s="9" t="s">
        <v>9119</v>
      </c>
      <c r="BP16" s="39"/>
      <c r="BQ16" s="39"/>
      <c r="BR16" s="39"/>
      <c r="BS16" s="39"/>
      <c r="BT16" s="39"/>
      <c r="BU16" s="9" t="s">
        <v>9133</v>
      </c>
      <c r="BV16" s="9" t="s">
        <v>9134</v>
      </c>
      <c r="BW16" s="9" t="s">
        <v>9135</v>
      </c>
      <c r="BX16" s="9" t="s">
        <v>9136</v>
      </c>
      <c r="BY16" s="9" t="s">
        <v>25</v>
      </c>
      <c r="BZ16" s="9" t="s">
        <v>25</v>
      </c>
      <c r="CA16" s="9"/>
      <c r="CB16" s="9"/>
      <c r="CC16" s="9" t="s">
        <v>28</v>
      </c>
      <c r="CD16" s="9" t="s">
        <v>9137</v>
      </c>
      <c r="CE16" s="9" t="s">
        <v>25</v>
      </c>
      <c r="CF16" s="9"/>
      <c r="CG16" s="9"/>
      <c r="CH16" s="9"/>
      <c r="CI16" s="9" t="s">
        <v>635</v>
      </c>
      <c r="CJ16" s="9"/>
    </row>
    <row r="17" spans="1:88" ht="63.75" x14ac:dyDescent="0.2">
      <c r="A17" s="31" t="s">
        <v>134</v>
      </c>
      <c r="B17" s="9" t="s">
        <v>9128</v>
      </c>
      <c r="C17" s="9" t="s">
        <v>9102</v>
      </c>
      <c r="D17" s="9" t="s">
        <v>9102</v>
      </c>
      <c r="E17" s="9" t="s">
        <v>9102</v>
      </c>
      <c r="F17" s="9" t="s">
        <v>9102</v>
      </c>
      <c r="G17" s="9" t="s">
        <v>9102</v>
      </c>
      <c r="H17" s="9"/>
      <c r="I17" s="9"/>
      <c r="J17" s="9"/>
      <c r="K17" s="9"/>
      <c r="L17" s="9"/>
      <c r="M17" s="9"/>
      <c r="N17" s="9"/>
      <c r="O17" s="9"/>
      <c r="P17" s="9"/>
      <c r="Q17" s="9"/>
      <c r="R17" s="9"/>
      <c r="S17" s="9"/>
      <c r="T17" s="9"/>
      <c r="U17" s="9"/>
      <c r="V17" s="9"/>
      <c r="W17" s="9"/>
      <c r="X17" s="9"/>
      <c r="Y17" s="9"/>
      <c r="Z17" s="9"/>
      <c r="AA17" s="9"/>
      <c r="AB17" s="9" t="s">
        <v>28</v>
      </c>
      <c r="AC17" s="9" t="s">
        <v>9105</v>
      </c>
      <c r="AD17" s="9" t="s">
        <v>9222</v>
      </c>
      <c r="AE17" s="9" t="s">
        <v>9210</v>
      </c>
      <c r="AF17" s="9" t="s">
        <v>9150</v>
      </c>
      <c r="AG17" s="9" t="s">
        <v>9151</v>
      </c>
      <c r="AH17" s="9" t="s">
        <v>9210</v>
      </c>
      <c r="AI17" s="9" t="s">
        <v>9111</v>
      </c>
      <c r="AJ17" s="9" t="s">
        <v>9105</v>
      </c>
      <c r="AK17" s="9" t="s">
        <v>9112</v>
      </c>
      <c r="AL17" s="9" t="s">
        <v>9153</v>
      </c>
      <c r="AM17" s="9"/>
      <c r="AN17" s="9"/>
      <c r="AO17" s="9" t="s">
        <v>28</v>
      </c>
      <c r="AP17" s="9" t="s">
        <v>9164</v>
      </c>
      <c r="AQ17" s="39"/>
      <c r="AR17" s="9" t="s">
        <v>25</v>
      </c>
      <c r="AS17" s="9"/>
      <c r="AT17" s="9"/>
      <c r="AU17" s="39"/>
      <c r="AV17" s="9" t="s">
        <v>9115</v>
      </c>
      <c r="AW17" s="9" t="s">
        <v>13871</v>
      </c>
      <c r="AX17" s="9" t="s">
        <v>9138</v>
      </c>
      <c r="AY17" s="9"/>
      <c r="AZ17" s="9"/>
      <c r="BA17" s="9"/>
      <c r="BB17" s="9"/>
      <c r="BC17" s="9"/>
      <c r="BD17" s="9"/>
      <c r="BE17" s="9"/>
      <c r="BF17" s="9"/>
      <c r="BG17" s="9"/>
      <c r="BH17" s="9"/>
      <c r="BI17" s="9"/>
      <c r="BJ17" s="9"/>
      <c r="BK17" s="9"/>
      <c r="BL17" s="9"/>
      <c r="BM17" s="9"/>
      <c r="BN17" s="9"/>
      <c r="BO17" s="9"/>
      <c r="BP17" s="39"/>
      <c r="BQ17" s="39"/>
      <c r="BR17" s="39"/>
      <c r="BS17" s="39"/>
      <c r="BT17" s="39"/>
      <c r="BU17" s="9" t="s">
        <v>9120</v>
      </c>
      <c r="BV17" s="9" t="s">
        <v>9168</v>
      </c>
      <c r="BW17" s="9" t="s">
        <v>9122</v>
      </c>
      <c r="BX17" s="9" t="s">
        <v>9158</v>
      </c>
      <c r="BY17" s="9" t="s">
        <v>25</v>
      </c>
      <c r="BZ17" s="9" t="s">
        <v>28</v>
      </c>
      <c r="CA17" s="9" t="s">
        <v>14437</v>
      </c>
      <c r="CB17" s="9" t="s">
        <v>13471</v>
      </c>
      <c r="CC17" s="9" t="s">
        <v>25</v>
      </c>
      <c r="CD17" s="9"/>
      <c r="CE17" s="9" t="s">
        <v>28</v>
      </c>
      <c r="CF17" s="9">
        <v>4</v>
      </c>
      <c r="CG17" s="9" t="s">
        <v>13484</v>
      </c>
      <c r="CH17" s="9" t="s">
        <v>9223</v>
      </c>
      <c r="CI17" s="9" t="s">
        <v>635</v>
      </c>
      <c r="CJ17" s="9"/>
    </row>
    <row r="18" spans="1:88" ht="51" x14ac:dyDescent="0.2">
      <c r="A18" s="31" t="s">
        <v>171</v>
      </c>
      <c r="B18" s="9" t="s">
        <v>9103</v>
      </c>
      <c r="C18" s="9" t="s">
        <v>9102</v>
      </c>
      <c r="D18" s="9" t="s">
        <v>9102</v>
      </c>
      <c r="E18" s="9" t="s">
        <v>9128</v>
      </c>
      <c r="F18" s="9" t="s">
        <v>9102</v>
      </c>
      <c r="G18" s="9" t="s">
        <v>9102</v>
      </c>
      <c r="H18" s="9" t="s">
        <v>28</v>
      </c>
      <c r="I18" s="9" t="s">
        <v>9147</v>
      </c>
      <c r="J18" s="9" t="s">
        <v>28</v>
      </c>
      <c r="K18" s="9" t="s">
        <v>9105</v>
      </c>
      <c r="L18" s="9" t="s">
        <v>13847</v>
      </c>
      <c r="M18" s="9" t="s">
        <v>9320</v>
      </c>
      <c r="N18" s="9" t="s">
        <v>28</v>
      </c>
      <c r="O18" s="9" t="s">
        <v>28</v>
      </c>
      <c r="P18" s="9" t="s">
        <v>28</v>
      </c>
      <c r="Q18" s="9" t="s">
        <v>28</v>
      </c>
      <c r="R18" s="9" t="s">
        <v>28</v>
      </c>
      <c r="S18" s="9" t="s">
        <v>28</v>
      </c>
      <c r="T18" s="9" t="s">
        <v>25</v>
      </c>
      <c r="U18" s="9" t="s">
        <v>25</v>
      </c>
      <c r="V18" s="9" t="s">
        <v>28</v>
      </c>
      <c r="W18" s="9" t="s">
        <v>25</v>
      </c>
      <c r="X18" s="9" t="s">
        <v>28</v>
      </c>
      <c r="Y18" s="9" t="s">
        <v>28</v>
      </c>
      <c r="Z18" s="9" t="s">
        <v>28</v>
      </c>
      <c r="AA18" s="9" t="s">
        <v>9210</v>
      </c>
      <c r="AB18" s="9" t="s">
        <v>28</v>
      </c>
      <c r="AC18" s="9" t="s">
        <v>9105</v>
      </c>
      <c r="AD18" s="9" t="s">
        <v>9200</v>
      </c>
      <c r="AE18" s="9" t="s">
        <v>13855</v>
      </c>
      <c r="AF18" s="9"/>
      <c r="AG18" s="9"/>
      <c r="AH18" s="9"/>
      <c r="AI18" s="9" t="s">
        <v>9111</v>
      </c>
      <c r="AJ18" s="9" t="s">
        <v>9105</v>
      </c>
      <c r="AK18" s="9" t="s">
        <v>2159</v>
      </c>
      <c r="AL18" s="9" t="s">
        <v>9153</v>
      </c>
      <c r="AM18" s="9"/>
      <c r="AN18" s="9"/>
      <c r="AO18" s="9" t="s">
        <v>2201</v>
      </c>
      <c r="AP18" s="9"/>
      <c r="AQ18" s="39"/>
      <c r="AR18" s="9" t="s">
        <v>25</v>
      </c>
      <c r="AS18" s="9"/>
      <c r="AT18" s="9"/>
      <c r="AU18" s="39"/>
      <c r="AV18" s="9" t="s">
        <v>9321</v>
      </c>
      <c r="AW18" s="9" t="s">
        <v>9287</v>
      </c>
      <c r="AX18" s="9" t="s">
        <v>9154</v>
      </c>
      <c r="AY18" s="9" t="s">
        <v>9322</v>
      </c>
      <c r="AZ18" s="9" t="s">
        <v>9191</v>
      </c>
      <c r="BA18" s="9" t="s">
        <v>9191</v>
      </c>
      <c r="BB18" s="9" t="s">
        <v>9197</v>
      </c>
      <c r="BC18" s="9" t="s">
        <v>9197</v>
      </c>
      <c r="BD18" s="9"/>
      <c r="BE18" s="9" t="s">
        <v>9197</v>
      </c>
      <c r="BF18" s="9" t="s">
        <v>9197</v>
      </c>
      <c r="BG18" s="9"/>
      <c r="BH18" s="9" t="s">
        <v>9197</v>
      </c>
      <c r="BI18" s="9"/>
      <c r="BJ18" s="9" t="s">
        <v>9197</v>
      </c>
      <c r="BK18" s="9" t="s">
        <v>25</v>
      </c>
      <c r="BL18" s="9" t="s">
        <v>25</v>
      </c>
      <c r="BM18" s="9" t="s">
        <v>25</v>
      </c>
      <c r="BN18" s="9" t="s">
        <v>25</v>
      </c>
      <c r="BO18" s="9" t="s">
        <v>25</v>
      </c>
      <c r="BP18" s="39"/>
      <c r="BQ18" s="39"/>
      <c r="BR18" s="39"/>
      <c r="BS18" s="39"/>
      <c r="BT18" s="39"/>
      <c r="BU18" s="9" t="s">
        <v>9167</v>
      </c>
      <c r="BV18" s="9" t="s">
        <v>9121</v>
      </c>
      <c r="BW18" s="9" t="s">
        <v>9135</v>
      </c>
      <c r="BX18" s="9" t="s">
        <v>9158</v>
      </c>
      <c r="BY18" s="9" t="s">
        <v>25</v>
      </c>
      <c r="BZ18" s="9" t="s">
        <v>28</v>
      </c>
      <c r="CA18" s="9"/>
      <c r="CB18" s="9"/>
      <c r="CC18" s="9" t="s">
        <v>28</v>
      </c>
      <c r="CD18" s="9" t="s">
        <v>9323</v>
      </c>
      <c r="CE18" s="9" t="s">
        <v>25</v>
      </c>
      <c r="CF18" s="9"/>
      <c r="CG18" s="9"/>
      <c r="CH18" s="9"/>
      <c r="CI18" s="9" t="s">
        <v>9324</v>
      </c>
      <c r="CJ18" s="9"/>
    </row>
    <row r="19" spans="1:88" ht="63.75" x14ac:dyDescent="0.2">
      <c r="A19" s="31" t="s">
        <v>123</v>
      </c>
      <c r="B19" s="9" t="s">
        <v>9128</v>
      </c>
      <c r="C19" s="9" t="s">
        <v>9102</v>
      </c>
      <c r="D19" s="9" t="s">
        <v>9102</v>
      </c>
      <c r="E19" s="9" t="s">
        <v>9128</v>
      </c>
      <c r="F19" s="9" t="s">
        <v>9102</v>
      </c>
      <c r="G19" s="9" t="s">
        <v>9102</v>
      </c>
      <c r="H19" s="9" t="s">
        <v>28</v>
      </c>
      <c r="I19" s="9" t="s">
        <v>9147</v>
      </c>
      <c r="J19" s="9" t="s">
        <v>28</v>
      </c>
      <c r="K19" s="9" t="s">
        <v>9105</v>
      </c>
      <c r="L19" s="9" t="s">
        <v>9173</v>
      </c>
      <c r="M19" s="9"/>
      <c r="N19" s="9" t="s">
        <v>28</v>
      </c>
      <c r="O19" s="9" t="s">
        <v>28</v>
      </c>
      <c r="P19" s="9" t="s">
        <v>28</v>
      </c>
      <c r="Q19" s="9" t="s">
        <v>28</v>
      </c>
      <c r="R19" s="9" t="s">
        <v>28</v>
      </c>
      <c r="S19" s="9" t="s">
        <v>28</v>
      </c>
      <c r="T19" s="9" t="s">
        <v>25</v>
      </c>
      <c r="U19" s="9" t="s">
        <v>25</v>
      </c>
      <c r="V19" s="9" t="s">
        <v>25</v>
      </c>
      <c r="W19" s="9" t="s">
        <v>25</v>
      </c>
      <c r="X19" s="9" t="s">
        <v>28</v>
      </c>
      <c r="Y19" s="9" t="s">
        <v>28</v>
      </c>
      <c r="Z19" s="9" t="s">
        <v>28</v>
      </c>
      <c r="AA19" s="9" t="s">
        <v>2159</v>
      </c>
      <c r="AB19" s="9" t="s">
        <v>28</v>
      </c>
      <c r="AC19" s="9" t="s">
        <v>9162</v>
      </c>
      <c r="AD19" s="9" t="s">
        <v>9174</v>
      </c>
      <c r="AE19" s="9" t="s">
        <v>9175</v>
      </c>
      <c r="AF19" s="9" t="s">
        <v>9176</v>
      </c>
      <c r="AG19" s="9" t="s">
        <v>9109</v>
      </c>
      <c r="AH19" s="9"/>
      <c r="AI19" s="9" t="s">
        <v>9111</v>
      </c>
      <c r="AJ19" s="9" t="s">
        <v>9105</v>
      </c>
      <c r="AK19" s="9" t="s">
        <v>13859</v>
      </c>
      <c r="AL19" s="9" t="s">
        <v>25</v>
      </c>
      <c r="AM19" s="9"/>
      <c r="AN19" s="9"/>
      <c r="AO19" s="9" t="s">
        <v>2201</v>
      </c>
      <c r="AP19" s="9"/>
      <c r="AQ19" s="39"/>
      <c r="AR19" s="9" t="s">
        <v>25</v>
      </c>
      <c r="AS19" s="9"/>
      <c r="AT19" s="9"/>
      <c r="AU19" s="39"/>
      <c r="AV19" s="9" t="s">
        <v>9177</v>
      </c>
      <c r="AW19" s="9" t="s">
        <v>9166</v>
      </c>
      <c r="AX19" s="9" t="s">
        <v>9138</v>
      </c>
      <c r="AY19" s="9"/>
      <c r="AZ19" s="9"/>
      <c r="BA19" s="9"/>
      <c r="BB19" s="9"/>
      <c r="BC19" s="9"/>
      <c r="BD19" s="9"/>
      <c r="BE19" s="9"/>
      <c r="BF19" s="9"/>
      <c r="BG19" s="9"/>
      <c r="BH19" s="9"/>
      <c r="BI19" s="9"/>
      <c r="BJ19" s="9"/>
      <c r="BK19" s="9" t="s">
        <v>25</v>
      </c>
      <c r="BL19" s="9" t="s">
        <v>25</v>
      </c>
      <c r="BM19" s="9" t="s">
        <v>25</v>
      </c>
      <c r="BN19" s="9" t="s">
        <v>25</v>
      </c>
      <c r="BO19" s="9" t="s">
        <v>25</v>
      </c>
      <c r="BP19" s="39"/>
      <c r="BQ19" s="39"/>
      <c r="BR19" s="39"/>
      <c r="BS19" s="39"/>
      <c r="BT19" s="39"/>
      <c r="BU19" s="9" t="s">
        <v>9178</v>
      </c>
      <c r="BV19" s="9" t="s">
        <v>9168</v>
      </c>
      <c r="BW19" s="9" t="s">
        <v>9122</v>
      </c>
      <c r="BX19" s="9" t="s">
        <v>9158</v>
      </c>
      <c r="BY19" s="9" t="s">
        <v>25</v>
      </c>
      <c r="BZ19" s="9" t="s">
        <v>25</v>
      </c>
      <c r="CA19" s="9" t="s">
        <v>9179</v>
      </c>
      <c r="CB19" s="9" t="s">
        <v>14444</v>
      </c>
      <c r="CC19" s="9" t="s">
        <v>28</v>
      </c>
      <c r="CD19" s="9" t="s">
        <v>9180</v>
      </c>
      <c r="CE19" s="9" t="s">
        <v>28</v>
      </c>
      <c r="CF19" s="9">
        <v>2</v>
      </c>
      <c r="CG19" s="9" t="s">
        <v>4751</v>
      </c>
      <c r="CH19" s="9" t="s">
        <v>9143</v>
      </c>
      <c r="CI19" s="9" t="s">
        <v>635</v>
      </c>
      <c r="CJ19" s="9"/>
    </row>
    <row r="20" spans="1:88" ht="51" x14ac:dyDescent="0.2">
      <c r="A20" s="31" t="s">
        <v>125</v>
      </c>
      <c r="B20" s="9" t="s">
        <v>9128</v>
      </c>
      <c r="C20" s="9" t="s">
        <v>9128</v>
      </c>
      <c r="D20" s="9" t="s">
        <v>9128</v>
      </c>
      <c r="E20" s="9" t="s">
        <v>9102</v>
      </c>
      <c r="F20" s="9" t="s">
        <v>9146</v>
      </c>
      <c r="G20" s="9" t="s">
        <v>9102</v>
      </c>
      <c r="H20" s="9"/>
      <c r="I20" s="9"/>
      <c r="J20" s="9"/>
      <c r="K20" s="9"/>
      <c r="L20" s="9"/>
      <c r="M20" s="9"/>
      <c r="N20" s="9"/>
      <c r="O20" s="9"/>
      <c r="P20" s="9"/>
      <c r="Q20" s="9"/>
      <c r="R20" s="9"/>
      <c r="S20" s="9"/>
      <c r="T20" s="9"/>
      <c r="U20" s="9"/>
      <c r="V20" s="9"/>
      <c r="W20" s="9"/>
      <c r="X20" s="9"/>
      <c r="Y20" s="9"/>
      <c r="Z20" s="9"/>
      <c r="AA20" s="9"/>
      <c r="AB20" s="9"/>
      <c r="AC20" s="9"/>
      <c r="AD20" s="9"/>
      <c r="AE20" s="9"/>
      <c r="AF20" s="9" t="s">
        <v>9176</v>
      </c>
      <c r="AG20" s="9" t="s">
        <v>9181</v>
      </c>
      <c r="AH20" s="9"/>
      <c r="AI20" s="9" t="s">
        <v>9111</v>
      </c>
      <c r="AJ20" s="9" t="s">
        <v>9189</v>
      </c>
      <c r="AK20" s="9" t="s">
        <v>9112</v>
      </c>
      <c r="AL20" s="9" t="s">
        <v>9153</v>
      </c>
      <c r="AM20" s="9"/>
      <c r="AN20" s="9"/>
      <c r="AO20" s="9" t="s">
        <v>2201</v>
      </c>
      <c r="AP20" s="9"/>
      <c r="AQ20" s="39"/>
      <c r="AR20" s="9" t="s">
        <v>25</v>
      </c>
      <c r="AS20" s="9"/>
      <c r="AT20" s="9"/>
      <c r="AU20" s="39"/>
      <c r="AV20" s="9" t="s">
        <v>9130</v>
      </c>
      <c r="AW20" s="9" t="s">
        <v>635</v>
      </c>
      <c r="AX20" s="9" t="s">
        <v>9131</v>
      </c>
      <c r="AY20" s="9" t="s">
        <v>9190</v>
      </c>
      <c r="AZ20" s="9"/>
      <c r="BA20" s="9"/>
      <c r="BB20" s="9"/>
      <c r="BC20" s="9"/>
      <c r="BD20" s="9"/>
      <c r="BE20" s="9" t="s">
        <v>9191</v>
      </c>
      <c r="BF20" s="9" t="s">
        <v>9192</v>
      </c>
      <c r="BG20" s="9"/>
      <c r="BH20" s="9"/>
      <c r="BI20" s="9"/>
      <c r="BJ20" s="9"/>
      <c r="BK20" s="9" t="s">
        <v>25</v>
      </c>
      <c r="BL20" s="9" t="s">
        <v>25</v>
      </c>
      <c r="BM20" s="9" t="s">
        <v>25</v>
      </c>
      <c r="BN20" s="9" t="s">
        <v>25</v>
      </c>
      <c r="BO20" s="9" t="s">
        <v>25</v>
      </c>
      <c r="BP20" s="39"/>
      <c r="BQ20" s="39"/>
      <c r="BR20" s="39"/>
      <c r="BS20" s="39"/>
      <c r="BT20" s="39"/>
      <c r="BU20" s="9" t="s">
        <v>9157</v>
      </c>
      <c r="BV20" s="9" t="s">
        <v>9168</v>
      </c>
      <c r="BW20" s="9" t="s">
        <v>9122</v>
      </c>
      <c r="BX20" s="9" t="s">
        <v>9158</v>
      </c>
      <c r="BY20" s="9" t="s">
        <v>25</v>
      </c>
      <c r="BZ20" s="9" t="s">
        <v>25</v>
      </c>
      <c r="CA20" s="9"/>
      <c r="CB20" s="9"/>
      <c r="CC20" s="9" t="s">
        <v>28</v>
      </c>
      <c r="CD20" s="9" t="s">
        <v>9170</v>
      </c>
      <c r="CE20" s="9" t="s">
        <v>28</v>
      </c>
      <c r="CF20" s="9" t="s">
        <v>9142</v>
      </c>
      <c r="CG20" s="9" t="s">
        <v>9193</v>
      </c>
      <c r="CH20" s="9" t="s">
        <v>9187</v>
      </c>
      <c r="CI20" s="9" t="s">
        <v>9194</v>
      </c>
      <c r="CJ20" s="9"/>
    </row>
    <row r="21" spans="1:88" ht="25.5" x14ac:dyDescent="0.2">
      <c r="A21" s="31" t="s">
        <v>169</v>
      </c>
      <c r="B21" s="9" t="s">
        <v>9128</v>
      </c>
      <c r="C21" s="9" t="s">
        <v>9128</v>
      </c>
      <c r="D21" s="9" t="s">
        <v>9128</v>
      </c>
      <c r="E21" s="9" t="s">
        <v>9128</v>
      </c>
      <c r="F21" s="9" t="s">
        <v>9128</v>
      </c>
      <c r="G21" s="9" t="s">
        <v>9102</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t="s">
        <v>9153</v>
      </c>
      <c r="AM21" s="9"/>
      <c r="AN21" s="9"/>
      <c r="AO21" s="9" t="s">
        <v>28</v>
      </c>
      <c r="AP21" s="9" t="s">
        <v>673</v>
      </c>
      <c r="AQ21" s="39"/>
      <c r="AR21" s="9" t="s">
        <v>28</v>
      </c>
      <c r="AS21" s="9"/>
      <c r="AT21" s="9"/>
      <c r="AU21" s="39"/>
      <c r="AV21" s="9" t="s">
        <v>9183</v>
      </c>
      <c r="AW21" s="9" t="s">
        <v>9166</v>
      </c>
      <c r="AX21" s="9" t="s">
        <v>9138</v>
      </c>
      <c r="AY21" s="9"/>
      <c r="AZ21" s="9"/>
      <c r="BA21" s="9"/>
      <c r="BB21" s="9"/>
      <c r="BC21" s="9"/>
      <c r="BD21" s="9"/>
      <c r="BE21" s="9"/>
      <c r="BF21" s="9"/>
      <c r="BG21" s="9"/>
      <c r="BH21" s="9"/>
      <c r="BI21" s="9"/>
      <c r="BJ21" s="9"/>
      <c r="BK21" s="9"/>
      <c r="BL21" s="9"/>
      <c r="BM21" s="9"/>
      <c r="BN21" s="9"/>
      <c r="BO21" s="9"/>
      <c r="BP21" s="39"/>
      <c r="BQ21" s="39"/>
      <c r="BR21" s="39"/>
      <c r="BS21" s="39"/>
      <c r="BT21" s="39"/>
      <c r="BU21" s="9" t="s">
        <v>9318</v>
      </c>
      <c r="BV21" s="9" t="s">
        <v>9140</v>
      </c>
      <c r="BW21" s="9" t="s">
        <v>9122</v>
      </c>
      <c r="BX21" s="9"/>
      <c r="BY21" s="9"/>
      <c r="BZ21" s="9"/>
      <c r="CA21" s="9"/>
      <c r="CB21" s="9"/>
      <c r="CC21" s="9" t="s">
        <v>25</v>
      </c>
      <c r="CD21" s="9"/>
      <c r="CE21" s="9" t="s">
        <v>25</v>
      </c>
      <c r="CF21" s="9"/>
      <c r="CG21" s="9"/>
      <c r="CH21" s="9"/>
      <c r="CI21" s="9" t="s">
        <v>635</v>
      </c>
      <c r="CJ21" s="9"/>
    </row>
    <row r="22" spans="1:88" ht="63.75" x14ac:dyDescent="0.2">
      <c r="A22" s="31" t="s">
        <v>159</v>
      </c>
      <c r="B22" s="9" t="s">
        <v>9128</v>
      </c>
      <c r="C22" s="9" t="s">
        <v>9128</v>
      </c>
      <c r="D22" s="9" t="s">
        <v>9128</v>
      </c>
      <c r="E22" s="9" t="s">
        <v>9128</v>
      </c>
      <c r="F22" s="9" t="s">
        <v>9128</v>
      </c>
      <c r="G22" s="9" t="s">
        <v>9102</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39"/>
      <c r="AR22" s="9"/>
      <c r="AS22" s="9"/>
      <c r="AT22" s="9"/>
      <c r="AU22" s="39"/>
      <c r="AV22" s="9" t="s">
        <v>9294</v>
      </c>
      <c r="AW22" s="9" t="s">
        <v>9166</v>
      </c>
      <c r="AX22" s="9" t="s">
        <v>9138</v>
      </c>
      <c r="AY22" s="9"/>
      <c r="AZ22" s="9"/>
      <c r="BA22" s="9"/>
      <c r="BB22" s="9"/>
      <c r="BC22" s="9"/>
      <c r="BD22" s="9"/>
      <c r="BE22" s="9"/>
      <c r="BF22" s="9"/>
      <c r="BG22" s="9"/>
      <c r="BH22" s="9"/>
      <c r="BI22" s="9"/>
      <c r="BJ22" s="9"/>
      <c r="BK22" s="9"/>
      <c r="BL22" s="9"/>
      <c r="BM22" s="9"/>
      <c r="BN22" s="9"/>
      <c r="BO22" s="9"/>
      <c r="BP22" s="39"/>
      <c r="BQ22" s="39"/>
      <c r="BR22" s="39"/>
      <c r="BS22" s="39"/>
      <c r="BT22" s="39"/>
      <c r="BU22" s="9" t="s">
        <v>9120</v>
      </c>
      <c r="BV22" s="9" t="s">
        <v>9121</v>
      </c>
      <c r="BW22" s="9" t="s">
        <v>9135</v>
      </c>
      <c r="BX22" s="9" t="s">
        <v>9184</v>
      </c>
      <c r="BY22" s="9" t="s">
        <v>25</v>
      </c>
      <c r="BZ22" s="9" t="s">
        <v>25</v>
      </c>
      <c r="CA22" s="9" t="s">
        <v>9295</v>
      </c>
      <c r="CB22" s="9" t="s">
        <v>14445</v>
      </c>
      <c r="CC22" s="9" t="s">
        <v>25</v>
      </c>
      <c r="CD22" s="9"/>
      <c r="CE22" s="9" t="s">
        <v>25</v>
      </c>
      <c r="CF22" s="9">
        <v>1</v>
      </c>
      <c r="CG22" s="9"/>
      <c r="CH22" s="9"/>
      <c r="CI22" s="9" t="s">
        <v>635</v>
      </c>
      <c r="CJ22" s="9"/>
    </row>
    <row r="23" spans="1:88" ht="51" x14ac:dyDescent="0.2">
      <c r="A23" s="31" t="s">
        <v>166</v>
      </c>
      <c r="B23" s="9" t="s">
        <v>9102</v>
      </c>
      <c r="C23" s="9" t="s">
        <v>9128</v>
      </c>
      <c r="D23" s="9" t="s">
        <v>9102</v>
      </c>
      <c r="E23" s="9" t="s">
        <v>9102</v>
      </c>
      <c r="F23" s="9" t="s">
        <v>9102</v>
      </c>
      <c r="G23" s="9" t="s">
        <v>9102</v>
      </c>
      <c r="H23" s="9" t="s">
        <v>25</v>
      </c>
      <c r="I23" s="9" t="s">
        <v>9129</v>
      </c>
      <c r="J23" s="9" t="s">
        <v>28</v>
      </c>
      <c r="K23" s="9" t="s">
        <v>9105</v>
      </c>
      <c r="L23" s="9" t="s">
        <v>9106</v>
      </c>
      <c r="M23" s="9"/>
      <c r="N23" s="9" t="s">
        <v>28</v>
      </c>
      <c r="O23" s="9" t="s">
        <v>28</v>
      </c>
      <c r="P23" s="9" t="s">
        <v>28</v>
      </c>
      <c r="Q23" s="9" t="s">
        <v>28</v>
      </c>
      <c r="R23" s="9" t="s">
        <v>25</v>
      </c>
      <c r="S23" s="9" t="s">
        <v>25</v>
      </c>
      <c r="T23" s="9" t="s">
        <v>25</v>
      </c>
      <c r="U23" s="9" t="s">
        <v>25</v>
      </c>
      <c r="V23" s="9" t="s">
        <v>25</v>
      </c>
      <c r="W23" s="9" t="s">
        <v>25</v>
      </c>
      <c r="X23" s="9" t="s">
        <v>25</v>
      </c>
      <c r="Y23" s="9" t="s">
        <v>28</v>
      </c>
      <c r="Z23" s="9" t="s">
        <v>25</v>
      </c>
      <c r="AA23" s="9" t="s">
        <v>2159</v>
      </c>
      <c r="AB23" s="9" t="s">
        <v>28</v>
      </c>
      <c r="AC23" s="9" t="s">
        <v>9105</v>
      </c>
      <c r="AD23" s="9" t="s">
        <v>9200</v>
      </c>
      <c r="AE23" s="9" t="s">
        <v>9175</v>
      </c>
      <c r="AF23" s="9" t="s">
        <v>9176</v>
      </c>
      <c r="AG23" s="9" t="s">
        <v>9181</v>
      </c>
      <c r="AH23" s="9" t="s">
        <v>9149</v>
      </c>
      <c r="AI23" s="9" t="s">
        <v>9111</v>
      </c>
      <c r="AJ23" s="9" t="s">
        <v>9105</v>
      </c>
      <c r="AK23" s="9" t="s">
        <v>9260</v>
      </c>
      <c r="AL23" s="9" t="s">
        <v>25</v>
      </c>
      <c r="AM23" s="9"/>
      <c r="AN23" s="9"/>
      <c r="AO23" s="9" t="s">
        <v>2201</v>
      </c>
      <c r="AP23" s="9"/>
      <c r="AQ23" s="39"/>
      <c r="AR23" s="9" t="s">
        <v>25</v>
      </c>
      <c r="AS23" s="9"/>
      <c r="AT23" s="9"/>
      <c r="AU23" s="39"/>
      <c r="AV23" s="9" t="s">
        <v>9202</v>
      </c>
      <c r="AW23" s="9" t="s">
        <v>9311</v>
      </c>
      <c r="AX23" s="9" t="s">
        <v>9138</v>
      </c>
      <c r="AY23" s="9"/>
      <c r="AZ23" s="9"/>
      <c r="BA23" s="9"/>
      <c r="BB23" s="9"/>
      <c r="BC23" s="9"/>
      <c r="BD23" s="9"/>
      <c r="BE23" s="9"/>
      <c r="BF23" s="9"/>
      <c r="BG23" s="9"/>
      <c r="BH23" s="9"/>
      <c r="BI23" s="9"/>
      <c r="BJ23" s="9"/>
      <c r="BK23" s="9"/>
      <c r="BL23" s="9"/>
      <c r="BM23" s="9"/>
      <c r="BN23" s="9"/>
      <c r="BO23" s="9"/>
      <c r="BP23" s="39"/>
      <c r="BQ23" s="39"/>
      <c r="BR23" s="39"/>
      <c r="BS23" s="39"/>
      <c r="BT23" s="39"/>
      <c r="BU23" s="9" t="s">
        <v>9288</v>
      </c>
      <c r="BV23" s="9" t="s">
        <v>9121</v>
      </c>
      <c r="BW23" s="9" t="s">
        <v>9122</v>
      </c>
      <c r="BX23" s="9"/>
      <c r="BY23" s="9"/>
      <c r="BZ23" s="9"/>
      <c r="CA23" s="9"/>
      <c r="CB23" s="9"/>
      <c r="CC23" s="9" t="s">
        <v>25</v>
      </c>
      <c r="CD23" s="9"/>
      <c r="CE23" s="9" t="s">
        <v>25</v>
      </c>
      <c r="CF23" s="9"/>
      <c r="CG23" s="9"/>
      <c r="CH23" s="9"/>
      <c r="CI23" s="9" t="s">
        <v>635</v>
      </c>
      <c r="CJ23" s="9"/>
    </row>
    <row r="24" spans="1:88" ht="51" x14ac:dyDescent="0.2">
      <c r="A24" s="31" t="s">
        <v>157</v>
      </c>
      <c r="B24" s="9" t="s">
        <v>9128</v>
      </c>
      <c r="C24" s="9" t="s">
        <v>9128</v>
      </c>
      <c r="D24" s="9" t="s">
        <v>9128</v>
      </c>
      <c r="E24" s="9" t="s">
        <v>9128</v>
      </c>
      <c r="F24" s="9" t="s">
        <v>9102</v>
      </c>
      <c r="G24" s="9" t="s">
        <v>9102</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t="s">
        <v>9111</v>
      </c>
      <c r="AJ24" s="9" t="s">
        <v>9105</v>
      </c>
      <c r="AK24" s="9" t="s">
        <v>2207</v>
      </c>
      <c r="AL24" s="9" t="s">
        <v>25</v>
      </c>
      <c r="AM24" s="9"/>
      <c r="AN24" s="9"/>
      <c r="AO24" s="9" t="s">
        <v>2201</v>
      </c>
      <c r="AP24" s="9"/>
      <c r="AQ24" s="39"/>
      <c r="AR24" s="9" t="s">
        <v>25</v>
      </c>
      <c r="AS24" s="9"/>
      <c r="AT24" s="9"/>
      <c r="AU24" s="39"/>
      <c r="AV24" s="9" t="s">
        <v>9165</v>
      </c>
      <c r="AW24" s="9" t="s">
        <v>635</v>
      </c>
      <c r="AX24" s="9" t="s">
        <v>9138</v>
      </c>
      <c r="AY24" s="9"/>
      <c r="AZ24" s="9"/>
      <c r="BA24" s="9"/>
      <c r="BB24" s="9"/>
      <c r="BC24" s="9"/>
      <c r="BD24" s="9"/>
      <c r="BE24" s="9"/>
      <c r="BF24" s="9"/>
      <c r="BG24" s="9"/>
      <c r="BH24" s="9"/>
      <c r="BI24" s="9"/>
      <c r="BJ24" s="9"/>
      <c r="BK24" s="9"/>
      <c r="BL24" s="9"/>
      <c r="BM24" s="9"/>
      <c r="BN24" s="9"/>
      <c r="BO24" s="9"/>
      <c r="BP24" s="39"/>
      <c r="BQ24" s="39"/>
      <c r="BR24" s="39"/>
      <c r="BS24" s="39"/>
      <c r="BT24" s="39"/>
      <c r="BU24" s="9" t="s">
        <v>9288</v>
      </c>
      <c r="BV24" s="9" t="s">
        <v>9168</v>
      </c>
      <c r="BW24" s="9" t="s">
        <v>9135</v>
      </c>
      <c r="BX24" s="9"/>
      <c r="BY24" s="9"/>
      <c r="BZ24" s="9"/>
      <c r="CA24" s="9"/>
      <c r="CB24" s="9"/>
      <c r="CC24" s="9" t="s">
        <v>28</v>
      </c>
      <c r="CD24" s="9" t="s">
        <v>9199</v>
      </c>
      <c r="CE24" s="9" t="s">
        <v>25</v>
      </c>
      <c r="CF24" s="9"/>
      <c r="CG24" s="9"/>
      <c r="CH24" s="9"/>
      <c r="CI24" s="9" t="s">
        <v>635</v>
      </c>
      <c r="CJ24" s="9"/>
    </row>
    <row r="25" spans="1:88" ht="51" x14ac:dyDescent="0.2">
      <c r="A25" s="31" t="s">
        <v>144</v>
      </c>
      <c r="B25" s="9" t="s">
        <v>9102</v>
      </c>
      <c r="C25" s="9" t="s">
        <v>9102</v>
      </c>
      <c r="D25" s="9" t="s">
        <v>9102</v>
      </c>
      <c r="E25" s="9" t="s">
        <v>9102</v>
      </c>
      <c r="F25" s="9" t="s">
        <v>9102</v>
      </c>
      <c r="G25" s="9" t="s">
        <v>9102</v>
      </c>
      <c r="H25" s="9" t="s">
        <v>28</v>
      </c>
      <c r="I25" s="9"/>
      <c r="J25" s="9" t="s">
        <v>28</v>
      </c>
      <c r="K25" s="9" t="s">
        <v>9105</v>
      </c>
      <c r="L25" s="9" t="s">
        <v>9258</v>
      </c>
      <c r="M25" s="9"/>
      <c r="N25" s="9" t="s">
        <v>28</v>
      </c>
      <c r="O25" s="9" t="s">
        <v>28</v>
      </c>
      <c r="P25" s="9" t="s">
        <v>28</v>
      </c>
      <c r="Q25" s="9" t="s">
        <v>28</v>
      </c>
      <c r="R25" s="9" t="s">
        <v>32</v>
      </c>
      <c r="S25" s="9" t="s">
        <v>25</v>
      </c>
      <c r="T25" s="9" t="s">
        <v>28</v>
      </c>
      <c r="U25" s="9" t="s">
        <v>25</v>
      </c>
      <c r="V25" s="9" t="s">
        <v>28</v>
      </c>
      <c r="W25" s="9" t="s">
        <v>25</v>
      </c>
      <c r="X25" s="9" t="s">
        <v>28</v>
      </c>
      <c r="Y25" s="9" t="s">
        <v>28</v>
      </c>
      <c r="Z25" s="9" t="s">
        <v>25</v>
      </c>
      <c r="AA25" s="9" t="s">
        <v>2185</v>
      </c>
      <c r="AB25" s="9" t="s">
        <v>25</v>
      </c>
      <c r="AC25" s="9"/>
      <c r="AD25" s="9"/>
      <c r="AE25" s="9"/>
      <c r="AF25" s="9" t="s">
        <v>9150</v>
      </c>
      <c r="AG25" s="9" t="s">
        <v>9151</v>
      </c>
      <c r="AH25" s="9" t="s">
        <v>2185</v>
      </c>
      <c r="AI25" s="9" t="s">
        <v>9111</v>
      </c>
      <c r="AJ25" s="9" t="s">
        <v>9105</v>
      </c>
      <c r="AK25" s="9" t="s">
        <v>2185</v>
      </c>
      <c r="AL25" s="9" t="s">
        <v>9153</v>
      </c>
      <c r="AM25" s="9"/>
      <c r="AN25" s="9"/>
      <c r="AO25" s="9" t="s">
        <v>2201</v>
      </c>
      <c r="AP25" s="9"/>
      <c r="AQ25" s="39"/>
      <c r="AR25" s="9" t="s">
        <v>25</v>
      </c>
      <c r="AS25" s="9"/>
      <c r="AT25" s="9"/>
      <c r="AU25" s="39"/>
      <c r="AV25" s="9" t="s">
        <v>9165</v>
      </c>
      <c r="AW25" s="9" t="s">
        <v>13466</v>
      </c>
      <c r="AX25" s="9" t="s">
        <v>9138</v>
      </c>
      <c r="AY25" s="9"/>
      <c r="AZ25" s="9"/>
      <c r="BA25" s="9"/>
      <c r="BB25" s="9"/>
      <c r="BC25" s="9"/>
      <c r="BD25" s="9"/>
      <c r="BE25" s="9"/>
      <c r="BF25" s="9"/>
      <c r="BG25" s="9"/>
      <c r="BH25" s="9"/>
      <c r="BI25" s="9"/>
      <c r="BJ25" s="9"/>
      <c r="BK25" s="9"/>
      <c r="BL25" s="9"/>
      <c r="BM25" s="9"/>
      <c r="BN25" s="9"/>
      <c r="BO25" s="9"/>
      <c r="BP25" s="39"/>
      <c r="BQ25" s="39"/>
      <c r="BR25" s="39"/>
      <c r="BS25" s="39"/>
      <c r="BT25" s="39"/>
      <c r="BU25" s="9" t="s">
        <v>9167</v>
      </c>
      <c r="BV25" s="9" t="s">
        <v>9168</v>
      </c>
      <c r="BW25" s="9" t="s">
        <v>9122</v>
      </c>
      <c r="BX25" s="9" t="s">
        <v>9158</v>
      </c>
      <c r="BY25" s="9" t="s">
        <v>25</v>
      </c>
      <c r="BZ25" s="9" t="s">
        <v>25</v>
      </c>
      <c r="CA25" s="9"/>
      <c r="CB25" s="9"/>
      <c r="CC25" s="9" t="s">
        <v>25</v>
      </c>
      <c r="CD25" s="9"/>
      <c r="CE25" s="9" t="s">
        <v>25</v>
      </c>
      <c r="CF25" s="9"/>
      <c r="CG25" s="9"/>
      <c r="CH25" s="9"/>
      <c r="CI25" s="9" t="s">
        <v>13494</v>
      </c>
      <c r="CJ25" s="9"/>
    </row>
    <row r="26" spans="1:88" ht="76.5" x14ac:dyDescent="0.2">
      <c r="A26" s="31" t="s">
        <v>140</v>
      </c>
      <c r="B26" s="9" t="s">
        <v>9102</v>
      </c>
      <c r="C26" s="9" t="s">
        <v>9102</v>
      </c>
      <c r="D26" s="9" t="s">
        <v>9102</v>
      </c>
      <c r="E26" s="9" t="s">
        <v>9102</v>
      </c>
      <c r="F26" s="9" t="s">
        <v>9102</v>
      </c>
      <c r="G26" s="9" t="s">
        <v>9102</v>
      </c>
      <c r="H26" s="9" t="s">
        <v>25</v>
      </c>
      <c r="I26" s="9" t="s">
        <v>9226</v>
      </c>
      <c r="J26" s="9" t="s">
        <v>28</v>
      </c>
      <c r="K26" s="9" t="s">
        <v>9105</v>
      </c>
      <c r="L26" s="9" t="s">
        <v>9106</v>
      </c>
      <c r="M26" s="9"/>
      <c r="N26" s="9" t="s">
        <v>28</v>
      </c>
      <c r="O26" s="9" t="s">
        <v>28</v>
      </c>
      <c r="P26" s="9" t="s">
        <v>28</v>
      </c>
      <c r="Q26" s="9" t="s">
        <v>28</v>
      </c>
      <c r="R26" s="9" t="s">
        <v>28</v>
      </c>
      <c r="S26" s="9" t="s">
        <v>28</v>
      </c>
      <c r="T26" s="9" t="s">
        <v>28</v>
      </c>
      <c r="U26" s="9" t="s">
        <v>28</v>
      </c>
      <c r="V26" s="9" t="s">
        <v>28</v>
      </c>
      <c r="W26" s="9" t="s">
        <v>28</v>
      </c>
      <c r="X26" s="9" t="s">
        <v>28</v>
      </c>
      <c r="Y26" s="9" t="s">
        <v>28</v>
      </c>
      <c r="Z26" s="9" t="s">
        <v>28</v>
      </c>
      <c r="AA26" s="9" t="s">
        <v>2159</v>
      </c>
      <c r="AB26" s="9" t="s">
        <v>25</v>
      </c>
      <c r="AC26" s="9"/>
      <c r="AD26" s="9"/>
      <c r="AE26" s="9"/>
      <c r="AF26" s="9" t="s">
        <v>9150</v>
      </c>
      <c r="AG26" s="9" t="s">
        <v>9242</v>
      </c>
      <c r="AH26" s="9" t="s">
        <v>9243</v>
      </c>
      <c r="AI26" s="9"/>
      <c r="AJ26" s="9"/>
      <c r="AK26" s="9"/>
      <c r="AL26" s="9"/>
      <c r="AM26" s="9"/>
      <c r="AN26" s="9"/>
      <c r="AO26" s="9"/>
      <c r="AP26" s="9"/>
      <c r="AQ26" s="39"/>
      <c r="AR26" s="9"/>
      <c r="AS26" s="9"/>
      <c r="AT26" s="9"/>
      <c r="AU26" s="39"/>
      <c r="AV26" s="9" t="s">
        <v>9244</v>
      </c>
      <c r="AW26" s="9" t="s">
        <v>635</v>
      </c>
      <c r="AX26" s="9" t="s">
        <v>9138</v>
      </c>
      <c r="AY26" s="9"/>
      <c r="AZ26" s="9"/>
      <c r="BA26" s="9"/>
      <c r="BB26" s="9"/>
      <c r="BC26" s="9"/>
      <c r="BD26" s="9"/>
      <c r="BE26" s="9"/>
      <c r="BF26" s="9"/>
      <c r="BG26" s="9"/>
      <c r="BH26" s="9"/>
      <c r="BI26" s="9"/>
      <c r="BJ26" s="9"/>
      <c r="BK26" s="9"/>
      <c r="BL26" s="9"/>
      <c r="BM26" s="9"/>
      <c r="BN26" s="9"/>
      <c r="BO26" s="9"/>
      <c r="BP26" s="39"/>
      <c r="BQ26" s="39"/>
      <c r="BR26" s="39"/>
      <c r="BS26" s="39"/>
      <c r="BT26" s="39"/>
      <c r="BU26" s="9" t="s">
        <v>9120</v>
      </c>
      <c r="BV26" s="9" t="s">
        <v>9121</v>
      </c>
      <c r="BW26" s="9" t="s">
        <v>9135</v>
      </c>
      <c r="BX26" s="9" t="s">
        <v>9123</v>
      </c>
      <c r="BY26" s="9" t="s">
        <v>25</v>
      </c>
      <c r="BZ26" s="9" t="s">
        <v>25</v>
      </c>
      <c r="CA26" s="9" t="s">
        <v>9245</v>
      </c>
      <c r="CB26" s="9" t="s">
        <v>13476</v>
      </c>
      <c r="CC26" s="9" t="s">
        <v>28</v>
      </c>
      <c r="CD26" s="9" t="s">
        <v>635</v>
      </c>
      <c r="CE26" s="9" t="s">
        <v>25</v>
      </c>
      <c r="CF26" s="9"/>
      <c r="CG26" s="9"/>
      <c r="CH26" s="9"/>
      <c r="CI26" s="9" t="s">
        <v>635</v>
      </c>
      <c r="CJ26" s="9"/>
    </row>
    <row r="27" spans="1:88" ht="51" x14ac:dyDescent="0.2">
      <c r="A27" s="31" t="s">
        <v>127</v>
      </c>
      <c r="B27" s="9" t="s">
        <v>9128</v>
      </c>
      <c r="C27" s="9" t="s">
        <v>9102</v>
      </c>
      <c r="D27" s="9" t="s">
        <v>9102</v>
      </c>
      <c r="E27" s="9" t="s">
        <v>9102</v>
      </c>
      <c r="F27" s="9" t="s">
        <v>9102</v>
      </c>
      <c r="G27" s="9" t="s">
        <v>9102</v>
      </c>
      <c r="H27" s="9"/>
      <c r="I27" s="9"/>
      <c r="J27" s="9"/>
      <c r="K27" s="9"/>
      <c r="L27" s="9"/>
      <c r="M27" s="9"/>
      <c r="N27" s="9"/>
      <c r="O27" s="9"/>
      <c r="P27" s="9"/>
      <c r="Q27" s="9"/>
      <c r="R27" s="9"/>
      <c r="S27" s="9"/>
      <c r="T27" s="9"/>
      <c r="U27" s="9"/>
      <c r="V27" s="9"/>
      <c r="W27" s="9"/>
      <c r="X27" s="9"/>
      <c r="Y27" s="9"/>
      <c r="Z27" s="9"/>
      <c r="AA27" s="9"/>
      <c r="AB27" s="9" t="s">
        <v>28</v>
      </c>
      <c r="AC27" s="9" t="s">
        <v>9105</v>
      </c>
      <c r="AD27" s="9" t="s">
        <v>9200</v>
      </c>
      <c r="AE27" s="9" t="s">
        <v>9201</v>
      </c>
      <c r="AF27" s="9" t="s">
        <v>9176</v>
      </c>
      <c r="AG27" s="9" t="s">
        <v>9181</v>
      </c>
      <c r="AH27" s="9" t="s">
        <v>9201</v>
      </c>
      <c r="AI27" s="9" t="s">
        <v>9111</v>
      </c>
      <c r="AJ27" s="9" t="s">
        <v>9162</v>
      </c>
      <c r="AK27" s="9" t="s">
        <v>13860</v>
      </c>
      <c r="AL27" s="9" t="s">
        <v>9153</v>
      </c>
      <c r="AM27" s="9"/>
      <c r="AN27" s="9"/>
      <c r="AO27" s="9" t="s">
        <v>2201</v>
      </c>
      <c r="AP27" s="9"/>
      <c r="AQ27" s="39"/>
      <c r="AR27" s="9" t="s">
        <v>25</v>
      </c>
      <c r="AS27" s="9"/>
      <c r="AT27" s="9"/>
      <c r="AU27" s="39"/>
      <c r="AV27" s="9" t="s">
        <v>9202</v>
      </c>
      <c r="AW27" s="9" t="s">
        <v>9166</v>
      </c>
      <c r="AX27" s="9" t="s">
        <v>9138</v>
      </c>
      <c r="AY27" s="9"/>
      <c r="AZ27" s="9"/>
      <c r="BA27" s="9"/>
      <c r="BB27" s="9"/>
      <c r="BC27" s="9"/>
      <c r="BD27" s="9"/>
      <c r="BE27" s="9"/>
      <c r="BF27" s="9"/>
      <c r="BG27" s="9"/>
      <c r="BH27" s="9"/>
      <c r="BI27" s="9"/>
      <c r="BJ27" s="9"/>
      <c r="BK27" s="9"/>
      <c r="BL27" s="9"/>
      <c r="BM27" s="9"/>
      <c r="BN27" s="9"/>
      <c r="BO27" s="9"/>
      <c r="BP27" s="39"/>
      <c r="BQ27" s="39"/>
      <c r="BR27" s="39"/>
      <c r="BS27" s="39"/>
      <c r="BT27" s="39"/>
      <c r="BU27" s="9" t="s">
        <v>9157</v>
      </c>
      <c r="BV27" s="9" t="s">
        <v>9121</v>
      </c>
      <c r="BW27" s="9" t="s">
        <v>9122</v>
      </c>
      <c r="BX27" s="9" t="s">
        <v>9184</v>
      </c>
      <c r="BY27" s="9" t="s">
        <v>25</v>
      </c>
      <c r="BZ27" s="9" t="s">
        <v>25</v>
      </c>
      <c r="CA27" s="9"/>
      <c r="CB27" s="9"/>
      <c r="CC27" s="9" t="s">
        <v>25</v>
      </c>
      <c r="CD27" s="9"/>
      <c r="CE27" s="9" t="s">
        <v>28</v>
      </c>
      <c r="CF27" s="9" t="s">
        <v>9142</v>
      </c>
      <c r="CG27" s="9" t="s">
        <v>9203</v>
      </c>
      <c r="CH27" s="9" t="s">
        <v>9143</v>
      </c>
      <c r="CI27" s="9" t="s">
        <v>13498</v>
      </c>
      <c r="CJ27" s="9"/>
    </row>
    <row r="28" spans="1:88" ht="51" x14ac:dyDescent="0.2">
      <c r="A28" s="31" t="s">
        <v>131</v>
      </c>
      <c r="B28" s="9" t="s">
        <v>9128</v>
      </c>
      <c r="C28" s="9" t="s">
        <v>9102</v>
      </c>
      <c r="D28" s="9" t="s">
        <v>9102</v>
      </c>
      <c r="E28" s="9" t="s">
        <v>9102</v>
      </c>
      <c r="F28" s="9" t="s">
        <v>9102</v>
      </c>
      <c r="G28" s="9" t="s">
        <v>9102</v>
      </c>
      <c r="H28" s="9"/>
      <c r="I28" s="9"/>
      <c r="J28" s="9"/>
      <c r="K28" s="9"/>
      <c r="L28" s="9"/>
      <c r="M28" s="9"/>
      <c r="N28" s="9"/>
      <c r="O28" s="9"/>
      <c r="P28" s="9"/>
      <c r="Q28" s="9"/>
      <c r="R28" s="9"/>
      <c r="S28" s="9"/>
      <c r="T28" s="9"/>
      <c r="U28" s="9"/>
      <c r="V28" s="9"/>
      <c r="W28" s="9"/>
      <c r="X28" s="9"/>
      <c r="Y28" s="9"/>
      <c r="Z28" s="9"/>
      <c r="AA28" s="9"/>
      <c r="AB28" s="9" t="s">
        <v>28</v>
      </c>
      <c r="AC28" s="9" t="s">
        <v>9105</v>
      </c>
      <c r="AD28" s="9" t="s">
        <v>9200</v>
      </c>
      <c r="AE28" s="9" t="s">
        <v>9218</v>
      </c>
      <c r="AF28" s="9" t="s">
        <v>9176</v>
      </c>
      <c r="AG28" s="9" t="s">
        <v>9181</v>
      </c>
      <c r="AH28" s="9" t="s">
        <v>9218</v>
      </c>
      <c r="AI28" s="9" t="s">
        <v>9111</v>
      </c>
      <c r="AJ28" s="9" t="s">
        <v>9105</v>
      </c>
      <c r="AK28" s="9" t="s">
        <v>9112</v>
      </c>
      <c r="AL28" s="9" t="s">
        <v>25</v>
      </c>
      <c r="AM28" s="9"/>
      <c r="AN28" s="9"/>
      <c r="AO28" s="9" t="s">
        <v>2201</v>
      </c>
      <c r="AP28" s="9"/>
      <c r="AQ28" s="39"/>
      <c r="AR28" s="9" t="s">
        <v>25</v>
      </c>
      <c r="AS28" s="9"/>
      <c r="AT28" s="9"/>
      <c r="AU28" s="39"/>
      <c r="AV28" s="9" t="s">
        <v>9177</v>
      </c>
      <c r="AW28" s="9" t="s">
        <v>9219</v>
      </c>
      <c r="AX28" s="9" t="s">
        <v>9138</v>
      </c>
      <c r="AY28" s="9"/>
      <c r="AZ28" s="9"/>
      <c r="BA28" s="9"/>
      <c r="BB28" s="9"/>
      <c r="BC28" s="9"/>
      <c r="BD28" s="9"/>
      <c r="BE28" s="9"/>
      <c r="BF28" s="9"/>
      <c r="BG28" s="9"/>
      <c r="BH28" s="9"/>
      <c r="BI28" s="9"/>
      <c r="BJ28" s="9"/>
      <c r="BK28" s="9"/>
      <c r="BL28" s="9"/>
      <c r="BM28" s="9"/>
      <c r="BN28" s="9"/>
      <c r="BO28" s="9"/>
      <c r="BP28" s="39"/>
      <c r="BQ28" s="39"/>
      <c r="BR28" s="39"/>
      <c r="BS28" s="39"/>
      <c r="BT28" s="39"/>
      <c r="BU28" s="9" t="s">
        <v>9167</v>
      </c>
      <c r="BV28" s="9" t="s">
        <v>9140</v>
      </c>
      <c r="BW28" s="9" t="s">
        <v>9122</v>
      </c>
      <c r="BX28" s="9" t="s">
        <v>9140</v>
      </c>
      <c r="BY28" s="9" t="s">
        <v>25</v>
      </c>
      <c r="BZ28" s="9" t="s">
        <v>25</v>
      </c>
      <c r="CA28" s="9"/>
      <c r="CB28" s="9"/>
      <c r="CC28" s="9" t="s">
        <v>28</v>
      </c>
      <c r="CD28" s="9" t="s">
        <v>13479</v>
      </c>
      <c r="CE28" s="9" t="s">
        <v>25</v>
      </c>
      <c r="CF28" s="9"/>
      <c r="CG28" s="9"/>
      <c r="CH28" s="9"/>
      <c r="CI28" s="9" t="s">
        <v>9207</v>
      </c>
      <c r="CJ28" s="9"/>
    </row>
    <row r="29" spans="1:88" ht="63.75" x14ac:dyDescent="0.2">
      <c r="A29" s="31" t="s">
        <v>139</v>
      </c>
      <c r="B29" s="9" t="s">
        <v>9103</v>
      </c>
      <c r="C29" s="9" t="s">
        <v>9102</v>
      </c>
      <c r="D29" s="9" t="s">
        <v>9128</v>
      </c>
      <c r="E29" s="9" t="s">
        <v>9102</v>
      </c>
      <c r="F29" s="9" t="s">
        <v>9102</v>
      </c>
      <c r="G29" s="9" t="s">
        <v>9102</v>
      </c>
      <c r="H29" s="9" t="s">
        <v>28</v>
      </c>
      <c r="I29" s="9" t="s">
        <v>9129</v>
      </c>
      <c r="J29" s="9" t="s">
        <v>25</v>
      </c>
      <c r="K29" s="9" t="s">
        <v>9105</v>
      </c>
      <c r="L29" s="9"/>
      <c r="M29" s="9"/>
      <c r="N29" s="9" t="s">
        <v>28</v>
      </c>
      <c r="O29" s="9" t="s">
        <v>28</v>
      </c>
      <c r="P29" s="9" t="s">
        <v>28</v>
      </c>
      <c r="Q29" s="9" t="s">
        <v>28</v>
      </c>
      <c r="R29" s="9" t="s">
        <v>28</v>
      </c>
      <c r="S29" s="9" t="s">
        <v>28</v>
      </c>
      <c r="T29" s="9" t="s">
        <v>25</v>
      </c>
      <c r="U29" s="9" t="s">
        <v>25</v>
      </c>
      <c r="V29" s="9" t="s">
        <v>28</v>
      </c>
      <c r="W29" s="9" t="s">
        <v>25</v>
      </c>
      <c r="X29" s="9" t="s">
        <v>28</v>
      </c>
      <c r="Y29" s="9" t="s">
        <v>28</v>
      </c>
      <c r="Z29" s="9" t="s">
        <v>28</v>
      </c>
      <c r="AA29" s="9"/>
      <c r="AB29" s="9" t="s">
        <v>28</v>
      </c>
      <c r="AC29" s="9" t="s">
        <v>9105</v>
      </c>
      <c r="AD29" s="9"/>
      <c r="AE29" s="9"/>
      <c r="AF29" s="9" t="s">
        <v>9108</v>
      </c>
      <c r="AG29" s="9" t="s">
        <v>9109</v>
      </c>
      <c r="AH29" s="9" t="s">
        <v>9210</v>
      </c>
      <c r="AI29" s="9" t="s">
        <v>9111</v>
      </c>
      <c r="AJ29" s="9" t="s">
        <v>9105</v>
      </c>
      <c r="AK29" s="9" t="s">
        <v>9239</v>
      </c>
      <c r="AL29" s="9" t="s">
        <v>25</v>
      </c>
      <c r="AM29" s="9" t="s">
        <v>9233</v>
      </c>
      <c r="AN29" s="9"/>
      <c r="AO29" s="9" t="s">
        <v>2201</v>
      </c>
      <c r="AP29" s="9" t="s">
        <v>673</v>
      </c>
      <c r="AQ29" s="39"/>
      <c r="AR29" s="9" t="s">
        <v>28</v>
      </c>
      <c r="AS29" s="9" t="s">
        <v>13869</v>
      </c>
      <c r="AT29" s="9"/>
      <c r="AU29" s="39">
        <v>1300</v>
      </c>
      <c r="AV29" s="9" t="s">
        <v>9177</v>
      </c>
      <c r="AW29" s="9" t="s">
        <v>13873</v>
      </c>
      <c r="AX29" s="9" t="s">
        <v>9131</v>
      </c>
      <c r="AY29" s="9" t="s">
        <v>13877</v>
      </c>
      <c r="AZ29" s="9" t="s">
        <v>9240</v>
      </c>
      <c r="BA29" s="9"/>
      <c r="BB29" s="9"/>
      <c r="BC29" s="9"/>
      <c r="BD29" s="9" t="s">
        <v>9191</v>
      </c>
      <c r="BE29" s="9"/>
      <c r="BF29" s="9" t="s">
        <v>9240</v>
      </c>
      <c r="BG29" s="9"/>
      <c r="BH29" s="9" t="s">
        <v>29</v>
      </c>
      <c r="BI29" s="9"/>
      <c r="BJ29" s="9" t="s">
        <v>9240</v>
      </c>
      <c r="BK29" s="9" t="s">
        <v>9119</v>
      </c>
      <c r="BL29" s="9" t="s">
        <v>25</v>
      </c>
      <c r="BM29" s="9" t="s">
        <v>25</v>
      </c>
      <c r="BN29" s="9" t="s">
        <v>25</v>
      </c>
      <c r="BO29" s="9" t="s">
        <v>25</v>
      </c>
      <c r="BP29" s="39"/>
      <c r="BQ29" s="39"/>
      <c r="BR29" s="39"/>
      <c r="BS29" s="39"/>
      <c r="BT29" s="39"/>
      <c r="BU29" s="9" t="s">
        <v>9241</v>
      </c>
      <c r="BV29" s="9" t="s">
        <v>9168</v>
      </c>
      <c r="BW29" s="9" t="s">
        <v>9122</v>
      </c>
      <c r="BX29" s="9" t="s">
        <v>9158</v>
      </c>
      <c r="BY29" s="9" t="s">
        <v>28</v>
      </c>
      <c r="BZ29" s="9" t="s">
        <v>25</v>
      </c>
      <c r="CA29" s="9"/>
      <c r="CB29" s="9"/>
      <c r="CC29" s="9" t="s">
        <v>28</v>
      </c>
      <c r="CD29" s="9"/>
      <c r="CE29" s="9" t="s">
        <v>28</v>
      </c>
      <c r="CF29" s="9" t="s">
        <v>9142</v>
      </c>
      <c r="CG29" s="9" t="s">
        <v>13488</v>
      </c>
      <c r="CH29" s="9" t="s">
        <v>9171</v>
      </c>
      <c r="CI29" s="9" t="s">
        <v>13496</v>
      </c>
      <c r="CJ29" s="9"/>
    </row>
    <row r="30" spans="1:88" x14ac:dyDescent="0.2">
      <c r="A30" s="31" t="s">
        <v>120</v>
      </c>
      <c r="B30" s="9" t="s">
        <v>9128</v>
      </c>
      <c r="C30" s="9" t="s">
        <v>9102</v>
      </c>
      <c r="D30" s="9" t="s">
        <v>9128</v>
      </c>
      <c r="E30" s="9" t="s">
        <v>9128</v>
      </c>
      <c r="F30" s="9" t="s">
        <v>9128</v>
      </c>
      <c r="G30" s="9" t="s">
        <v>9128</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39"/>
      <c r="AR30" s="9"/>
      <c r="AS30" s="9"/>
      <c r="AT30" s="9"/>
      <c r="AU30" s="39"/>
      <c r="AV30" s="9"/>
      <c r="AW30" s="9"/>
      <c r="AX30" s="9" t="s">
        <v>9138</v>
      </c>
      <c r="AY30" s="9"/>
      <c r="AZ30" s="9"/>
      <c r="BA30" s="9"/>
      <c r="BB30" s="9"/>
      <c r="BC30" s="9"/>
      <c r="BD30" s="9"/>
      <c r="BE30" s="9"/>
      <c r="BF30" s="9"/>
      <c r="BG30" s="9"/>
      <c r="BH30" s="9"/>
      <c r="BI30" s="9"/>
      <c r="BJ30" s="9"/>
      <c r="BK30" s="9"/>
      <c r="BL30" s="9"/>
      <c r="BM30" s="9"/>
      <c r="BN30" s="9"/>
      <c r="BO30" s="9"/>
      <c r="BP30" s="39"/>
      <c r="BQ30" s="39"/>
      <c r="BR30" s="39"/>
      <c r="BS30" s="39"/>
      <c r="BT30" s="39"/>
      <c r="BU30" s="9" t="s">
        <v>635</v>
      </c>
      <c r="BV30" s="9"/>
      <c r="BW30" s="9"/>
      <c r="BX30" s="9"/>
      <c r="BY30" s="9"/>
      <c r="BZ30" s="9"/>
      <c r="CA30" s="9"/>
      <c r="CB30" s="9"/>
      <c r="CC30" s="9" t="s">
        <v>25</v>
      </c>
      <c r="CD30" s="9"/>
      <c r="CE30" s="9" t="s">
        <v>25</v>
      </c>
      <c r="CF30" s="9"/>
      <c r="CG30" s="9"/>
      <c r="CH30" s="9"/>
      <c r="CI30" s="9" t="s">
        <v>635</v>
      </c>
      <c r="CJ30" s="9"/>
    </row>
    <row r="31" spans="1:88" ht="63.75" x14ac:dyDescent="0.2">
      <c r="A31" s="31" t="s">
        <v>174</v>
      </c>
      <c r="B31" s="9" t="s">
        <v>9128</v>
      </c>
      <c r="C31" s="9" t="s">
        <v>9102</v>
      </c>
      <c r="D31" s="9" t="s">
        <v>9128</v>
      </c>
      <c r="E31" s="9" t="s">
        <v>9128</v>
      </c>
      <c r="F31" s="9" t="s">
        <v>9128</v>
      </c>
      <c r="G31" s="9" t="s">
        <v>9128</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39"/>
      <c r="AR31" s="9"/>
      <c r="AS31" s="9"/>
      <c r="AT31" s="9"/>
      <c r="AU31" s="39"/>
      <c r="AV31" s="9"/>
      <c r="AW31" s="9"/>
      <c r="AX31" s="9" t="s">
        <v>9131</v>
      </c>
      <c r="AY31" s="9" t="s">
        <v>9132</v>
      </c>
      <c r="AZ31" s="9"/>
      <c r="BA31" s="9"/>
      <c r="BB31" s="9"/>
      <c r="BC31" s="9"/>
      <c r="BD31" s="9"/>
      <c r="BE31" s="9"/>
      <c r="BF31" s="9"/>
      <c r="BG31" s="9"/>
      <c r="BH31" s="9"/>
      <c r="BI31" s="9"/>
      <c r="BJ31" s="9"/>
      <c r="BK31" s="9" t="s">
        <v>9119</v>
      </c>
      <c r="BL31" s="9" t="s">
        <v>25</v>
      </c>
      <c r="BM31" s="9" t="s">
        <v>25</v>
      </c>
      <c r="BN31" s="9" t="s">
        <v>25</v>
      </c>
      <c r="BO31" s="9" t="s">
        <v>9119</v>
      </c>
      <c r="BP31" s="39"/>
      <c r="BQ31" s="39"/>
      <c r="BR31" s="39"/>
      <c r="BS31" s="39"/>
      <c r="BT31" s="39"/>
      <c r="BU31" s="9" t="s">
        <v>9178</v>
      </c>
      <c r="BV31" s="9" t="s">
        <v>9168</v>
      </c>
      <c r="BW31" s="9" t="s">
        <v>9135</v>
      </c>
      <c r="BX31" s="9" t="s">
        <v>9123</v>
      </c>
      <c r="BY31" s="9" t="s">
        <v>25</v>
      </c>
      <c r="BZ31" s="9" t="s">
        <v>25</v>
      </c>
      <c r="CA31" s="9" t="s">
        <v>9326</v>
      </c>
      <c r="CB31" s="9" t="s">
        <v>14446</v>
      </c>
      <c r="CC31" s="9" t="s">
        <v>25</v>
      </c>
      <c r="CD31" s="9"/>
      <c r="CE31" s="9" t="s">
        <v>25</v>
      </c>
      <c r="CF31" s="9"/>
      <c r="CG31" s="9"/>
      <c r="CH31" s="9"/>
      <c r="CI31" s="9" t="s">
        <v>635</v>
      </c>
      <c r="CJ31" s="9"/>
    </row>
    <row r="32" spans="1:88" ht="63.75" x14ac:dyDescent="0.2">
      <c r="A32" s="31" t="s">
        <v>124</v>
      </c>
      <c r="B32" s="9" t="s">
        <v>9128</v>
      </c>
      <c r="C32" s="9" t="s">
        <v>9102</v>
      </c>
      <c r="D32" s="9" t="s">
        <v>9102</v>
      </c>
      <c r="E32" s="9" t="s">
        <v>9102</v>
      </c>
      <c r="F32" s="9" t="s">
        <v>9102</v>
      </c>
      <c r="G32" s="9" t="s">
        <v>9102</v>
      </c>
      <c r="H32" s="9"/>
      <c r="I32" s="9"/>
      <c r="J32" s="9"/>
      <c r="K32" s="9"/>
      <c r="L32" s="9"/>
      <c r="M32" s="9"/>
      <c r="N32" s="9"/>
      <c r="O32" s="9"/>
      <c r="P32" s="9"/>
      <c r="Q32" s="9"/>
      <c r="R32" s="9"/>
      <c r="S32" s="9"/>
      <c r="T32" s="9"/>
      <c r="U32" s="9"/>
      <c r="V32" s="9"/>
      <c r="W32" s="9"/>
      <c r="X32" s="9"/>
      <c r="Y32" s="9"/>
      <c r="Z32" s="9"/>
      <c r="AA32" s="9"/>
      <c r="AB32" s="9" t="s">
        <v>25</v>
      </c>
      <c r="AC32" s="9"/>
      <c r="AD32" s="9"/>
      <c r="AE32" s="9"/>
      <c r="AF32" s="9" t="s">
        <v>9176</v>
      </c>
      <c r="AG32" s="9" t="s">
        <v>9181</v>
      </c>
      <c r="AH32" s="9" t="s">
        <v>2185</v>
      </c>
      <c r="AI32" s="9" t="s">
        <v>9111</v>
      </c>
      <c r="AJ32" s="9" t="s">
        <v>9162</v>
      </c>
      <c r="AK32" s="9" t="s">
        <v>9182</v>
      </c>
      <c r="AL32" s="9" t="s">
        <v>25</v>
      </c>
      <c r="AM32" s="9"/>
      <c r="AN32" s="9"/>
      <c r="AO32" s="9" t="s">
        <v>28</v>
      </c>
      <c r="AP32" s="9" t="s">
        <v>673</v>
      </c>
      <c r="AQ32" s="39"/>
      <c r="AR32" s="9" t="s">
        <v>28</v>
      </c>
      <c r="AS32" s="9" t="s">
        <v>13868</v>
      </c>
      <c r="AT32" s="9"/>
      <c r="AU32" s="39">
        <v>1000</v>
      </c>
      <c r="AV32" s="9" t="s">
        <v>9183</v>
      </c>
      <c r="AW32" s="9" t="s">
        <v>635</v>
      </c>
      <c r="AX32" s="9" t="s">
        <v>9138</v>
      </c>
      <c r="AY32" s="9"/>
      <c r="AZ32" s="9"/>
      <c r="BA32" s="9"/>
      <c r="BB32" s="9"/>
      <c r="BC32" s="9"/>
      <c r="BD32" s="9"/>
      <c r="BE32" s="9"/>
      <c r="BF32" s="9"/>
      <c r="BG32" s="9"/>
      <c r="BH32" s="9"/>
      <c r="BI32" s="9"/>
      <c r="BJ32" s="9"/>
      <c r="BK32" s="9"/>
      <c r="BL32" s="9"/>
      <c r="BM32" s="9"/>
      <c r="BN32" s="9"/>
      <c r="BO32" s="9"/>
      <c r="BP32" s="39"/>
      <c r="BQ32" s="39"/>
      <c r="BR32" s="39"/>
      <c r="BS32" s="39"/>
      <c r="BT32" s="39"/>
      <c r="BU32" s="9" t="s">
        <v>9120</v>
      </c>
      <c r="BV32" s="9" t="s">
        <v>9121</v>
      </c>
      <c r="BW32" s="9" t="s">
        <v>9122</v>
      </c>
      <c r="BX32" s="9" t="s">
        <v>9184</v>
      </c>
      <c r="BY32" s="9" t="s">
        <v>28</v>
      </c>
      <c r="BZ32" s="9" t="s">
        <v>25</v>
      </c>
      <c r="CA32" s="9" t="s">
        <v>9185</v>
      </c>
      <c r="CB32" s="9" t="s">
        <v>14447</v>
      </c>
      <c r="CC32" s="9" t="s">
        <v>28</v>
      </c>
      <c r="CD32" s="9" t="s">
        <v>13479</v>
      </c>
      <c r="CE32" s="9" t="s">
        <v>28</v>
      </c>
      <c r="CF32" s="9">
        <v>4</v>
      </c>
      <c r="CG32" s="9" t="s">
        <v>9186</v>
      </c>
      <c r="CH32" s="9" t="s">
        <v>9187</v>
      </c>
      <c r="CI32" s="9" t="s">
        <v>9188</v>
      </c>
      <c r="CJ32" s="9"/>
    </row>
    <row r="33" spans="1:88" ht="76.5" x14ac:dyDescent="0.2">
      <c r="A33" s="31" t="s">
        <v>117</v>
      </c>
      <c r="B33" s="9" t="s">
        <v>9102</v>
      </c>
      <c r="C33" s="9" t="s">
        <v>9102</v>
      </c>
      <c r="D33" s="9" t="s">
        <v>9102</v>
      </c>
      <c r="E33" s="9" t="s">
        <v>9102</v>
      </c>
      <c r="F33" s="9" t="s">
        <v>9103</v>
      </c>
      <c r="G33" s="9" t="s">
        <v>9103</v>
      </c>
      <c r="H33" s="9" t="s">
        <v>28</v>
      </c>
      <c r="I33" s="9" t="s">
        <v>9104</v>
      </c>
      <c r="J33" s="9" t="s">
        <v>28</v>
      </c>
      <c r="K33" s="9" t="s">
        <v>9105</v>
      </c>
      <c r="L33" s="9" t="s">
        <v>9106</v>
      </c>
      <c r="M33" s="9"/>
      <c r="N33" s="9" t="s">
        <v>28</v>
      </c>
      <c r="O33" s="9" t="s">
        <v>28</v>
      </c>
      <c r="P33" s="9" t="s">
        <v>28</v>
      </c>
      <c r="Q33" s="9" t="s">
        <v>28</v>
      </c>
      <c r="R33" s="9" t="s">
        <v>28</v>
      </c>
      <c r="S33" s="9" t="s">
        <v>25</v>
      </c>
      <c r="T33" s="9" t="s">
        <v>25</v>
      </c>
      <c r="U33" s="9" t="s">
        <v>25</v>
      </c>
      <c r="V33" s="9" t="s">
        <v>28</v>
      </c>
      <c r="W33" s="9" t="s">
        <v>25</v>
      </c>
      <c r="X33" s="9" t="s">
        <v>25</v>
      </c>
      <c r="Y33" s="9" t="s">
        <v>28</v>
      </c>
      <c r="Z33" s="9" t="s">
        <v>28</v>
      </c>
      <c r="AA33" s="9" t="s">
        <v>2185</v>
      </c>
      <c r="AB33" s="9" t="s">
        <v>28</v>
      </c>
      <c r="AC33" s="9" t="s">
        <v>9105</v>
      </c>
      <c r="AD33" s="9" t="s">
        <v>9107</v>
      </c>
      <c r="AE33" s="9" t="s">
        <v>2185</v>
      </c>
      <c r="AF33" s="9" t="s">
        <v>9108</v>
      </c>
      <c r="AG33" s="9" t="s">
        <v>9109</v>
      </c>
      <c r="AH33" s="9" t="s">
        <v>9110</v>
      </c>
      <c r="AI33" s="9" t="s">
        <v>9111</v>
      </c>
      <c r="AJ33" s="9" t="s">
        <v>9105</v>
      </c>
      <c r="AK33" s="9" t="s">
        <v>9112</v>
      </c>
      <c r="AL33" s="9" t="s">
        <v>25</v>
      </c>
      <c r="AM33" s="9" t="s">
        <v>9113</v>
      </c>
      <c r="AN33" s="9"/>
      <c r="AO33" s="9" t="s">
        <v>28</v>
      </c>
      <c r="AP33" s="9" t="s">
        <v>673</v>
      </c>
      <c r="AQ33" s="39">
        <v>600</v>
      </c>
      <c r="AR33" s="9" t="s">
        <v>28</v>
      </c>
      <c r="AS33" s="9" t="s">
        <v>13867</v>
      </c>
      <c r="AT33" s="9" t="s">
        <v>9114</v>
      </c>
      <c r="AU33" s="39">
        <v>600</v>
      </c>
      <c r="AV33" s="9" t="s">
        <v>9115</v>
      </c>
      <c r="AW33" s="9" t="s">
        <v>13462</v>
      </c>
      <c r="AX33" s="9" t="s">
        <v>9116</v>
      </c>
      <c r="AY33" s="9" t="s">
        <v>9117</v>
      </c>
      <c r="AZ33" s="9"/>
      <c r="BA33" s="9"/>
      <c r="BB33" s="9"/>
      <c r="BC33" s="9"/>
      <c r="BD33" s="9"/>
      <c r="BE33" s="9" t="s">
        <v>9118</v>
      </c>
      <c r="BF33" s="9" t="s">
        <v>13470</v>
      </c>
      <c r="BG33" s="9"/>
      <c r="BH33" s="9" t="s">
        <v>13470</v>
      </c>
      <c r="BI33" s="9" t="s">
        <v>9118</v>
      </c>
      <c r="BJ33" s="9" t="s">
        <v>9118</v>
      </c>
      <c r="BK33" s="9" t="s">
        <v>9119</v>
      </c>
      <c r="BL33" s="9" t="s">
        <v>9119</v>
      </c>
      <c r="BM33" s="9" t="s">
        <v>9119</v>
      </c>
      <c r="BN33" s="9" t="s">
        <v>9119</v>
      </c>
      <c r="BO33" s="9" t="s">
        <v>9119</v>
      </c>
      <c r="BP33" s="39"/>
      <c r="BQ33" s="39"/>
      <c r="BR33" s="39"/>
      <c r="BS33" s="39"/>
      <c r="BT33" s="39"/>
      <c r="BU33" s="9" t="s">
        <v>9120</v>
      </c>
      <c r="BV33" s="9" t="s">
        <v>9121</v>
      </c>
      <c r="BW33" s="9" t="s">
        <v>9122</v>
      </c>
      <c r="BX33" s="9" t="s">
        <v>9123</v>
      </c>
      <c r="BY33" s="9" t="s">
        <v>28</v>
      </c>
      <c r="BZ33" s="9" t="s">
        <v>25</v>
      </c>
      <c r="CA33" s="9" t="s">
        <v>9124</v>
      </c>
      <c r="CB33" s="9" t="s">
        <v>13471</v>
      </c>
      <c r="CC33" s="9" t="s">
        <v>28</v>
      </c>
      <c r="CD33" s="9" t="s">
        <v>9125</v>
      </c>
      <c r="CE33" s="9" t="s">
        <v>25</v>
      </c>
      <c r="CF33" s="9"/>
      <c r="CG33" s="9"/>
      <c r="CH33" s="9"/>
      <c r="CI33" s="9" t="s">
        <v>9126</v>
      </c>
      <c r="CJ33" s="9" t="s">
        <v>9127</v>
      </c>
    </row>
    <row r="34" spans="1:88" ht="63.75" x14ac:dyDescent="0.2">
      <c r="A34" s="31" t="s">
        <v>168</v>
      </c>
      <c r="B34" s="9" t="s">
        <v>9102</v>
      </c>
      <c r="C34" s="9" t="s">
        <v>9102</v>
      </c>
      <c r="D34" s="9" t="s">
        <v>9102</v>
      </c>
      <c r="E34" s="9" t="s">
        <v>9128</v>
      </c>
      <c r="F34" s="9" t="s">
        <v>9102</v>
      </c>
      <c r="G34" s="9" t="s">
        <v>9103</v>
      </c>
      <c r="H34" s="9"/>
      <c r="I34" s="9"/>
      <c r="J34" s="9" t="s">
        <v>25</v>
      </c>
      <c r="K34" s="9"/>
      <c r="L34" s="9"/>
      <c r="M34" s="9"/>
      <c r="N34" s="9"/>
      <c r="O34" s="9"/>
      <c r="P34" s="9"/>
      <c r="Q34" s="9"/>
      <c r="R34" s="9"/>
      <c r="S34" s="9"/>
      <c r="T34" s="9"/>
      <c r="U34" s="9"/>
      <c r="V34" s="9"/>
      <c r="W34" s="9"/>
      <c r="X34" s="9"/>
      <c r="Y34" s="9"/>
      <c r="Z34" s="9"/>
      <c r="AA34" s="9"/>
      <c r="AB34" s="9" t="s">
        <v>25</v>
      </c>
      <c r="AC34" s="9"/>
      <c r="AD34" s="9"/>
      <c r="AE34" s="9"/>
      <c r="AF34" s="9"/>
      <c r="AG34" s="9"/>
      <c r="AH34" s="9"/>
      <c r="AI34" s="9" t="s">
        <v>9111</v>
      </c>
      <c r="AJ34" s="9" t="s">
        <v>9105</v>
      </c>
      <c r="AK34" s="9" t="s">
        <v>2185</v>
      </c>
      <c r="AL34" s="9" t="s">
        <v>9153</v>
      </c>
      <c r="AM34" s="9"/>
      <c r="AN34" s="9"/>
      <c r="AO34" s="9" t="s">
        <v>2201</v>
      </c>
      <c r="AP34" s="9"/>
      <c r="AQ34" s="39"/>
      <c r="AR34" s="9" t="s">
        <v>28</v>
      </c>
      <c r="AS34" s="9" t="s">
        <v>13867</v>
      </c>
      <c r="AT34" s="9" t="s">
        <v>9315</v>
      </c>
      <c r="AU34" s="39">
        <v>2000</v>
      </c>
      <c r="AV34" s="9" t="s">
        <v>9272</v>
      </c>
      <c r="AW34" s="9" t="s">
        <v>13467</v>
      </c>
      <c r="AX34" s="9" t="s">
        <v>9138</v>
      </c>
      <c r="AY34" s="9"/>
      <c r="AZ34" s="9"/>
      <c r="BA34" s="9"/>
      <c r="BB34" s="9"/>
      <c r="BC34" s="9"/>
      <c r="BD34" s="9"/>
      <c r="BE34" s="9"/>
      <c r="BF34" s="9"/>
      <c r="BG34" s="9"/>
      <c r="BH34" s="9"/>
      <c r="BI34" s="9"/>
      <c r="BJ34" s="9"/>
      <c r="BK34" s="9"/>
      <c r="BL34" s="9"/>
      <c r="BM34" s="9"/>
      <c r="BN34" s="9"/>
      <c r="BO34" s="9"/>
      <c r="BP34" s="39"/>
      <c r="BQ34" s="39"/>
      <c r="BR34" s="39"/>
      <c r="BS34" s="39"/>
      <c r="BT34" s="39"/>
      <c r="BU34" s="9" t="s">
        <v>9120</v>
      </c>
      <c r="BV34" s="9" t="s">
        <v>9121</v>
      </c>
      <c r="BW34" s="9" t="s">
        <v>9122</v>
      </c>
      <c r="BX34" s="9" t="s">
        <v>9123</v>
      </c>
      <c r="BY34" s="9" t="s">
        <v>25</v>
      </c>
      <c r="BZ34" s="9" t="s">
        <v>25</v>
      </c>
      <c r="CA34" s="9" t="s">
        <v>14438</v>
      </c>
      <c r="CB34" s="9" t="s">
        <v>14448</v>
      </c>
      <c r="CC34" s="9" t="s">
        <v>25</v>
      </c>
      <c r="CD34" s="9"/>
      <c r="CE34" s="9" t="s">
        <v>25</v>
      </c>
      <c r="CF34" s="9"/>
      <c r="CG34" s="9"/>
      <c r="CH34" s="9"/>
      <c r="CI34" s="9" t="s">
        <v>9316</v>
      </c>
      <c r="CJ34" s="9" t="s">
        <v>9317</v>
      </c>
    </row>
    <row r="35" spans="1:88" ht="63.75" x14ac:dyDescent="0.2">
      <c r="A35" s="31" t="s">
        <v>143</v>
      </c>
      <c r="B35" s="9" t="s">
        <v>9103</v>
      </c>
      <c r="C35" s="9" t="s">
        <v>9103</v>
      </c>
      <c r="D35" s="9" t="s">
        <v>9128</v>
      </c>
      <c r="E35" s="9" t="s">
        <v>9128</v>
      </c>
      <c r="F35" s="9" t="s">
        <v>9103</v>
      </c>
      <c r="G35" s="9" t="s">
        <v>9103</v>
      </c>
      <c r="H35" s="9" t="s">
        <v>25</v>
      </c>
      <c r="I35" s="9" t="s">
        <v>9147</v>
      </c>
      <c r="J35" s="9" t="s">
        <v>28</v>
      </c>
      <c r="K35" s="9" t="s">
        <v>9105</v>
      </c>
      <c r="L35" s="9" t="s">
        <v>9253</v>
      </c>
      <c r="M35" s="9"/>
      <c r="N35" s="9" t="s">
        <v>28</v>
      </c>
      <c r="O35" s="9" t="s">
        <v>28</v>
      </c>
      <c r="P35" s="9" t="s">
        <v>28</v>
      </c>
      <c r="Q35" s="9" t="s">
        <v>28</v>
      </c>
      <c r="R35" s="9" t="s">
        <v>28</v>
      </c>
      <c r="S35" s="9" t="s">
        <v>28</v>
      </c>
      <c r="T35" s="9"/>
      <c r="U35" s="9"/>
      <c r="V35" s="9" t="s">
        <v>28</v>
      </c>
      <c r="W35" s="9"/>
      <c r="X35" s="9" t="s">
        <v>28</v>
      </c>
      <c r="Y35" s="9" t="s">
        <v>28</v>
      </c>
      <c r="Z35" s="9" t="s">
        <v>28</v>
      </c>
      <c r="AA35" s="9" t="s">
        <v>2159</v>
      </c>
      <c r="AB35" s="9"/>
      <c r="AC35" s="9"/>
      <c r="AD35" s="9"/>
      <c r="AE35" s="9"/>
      <c r="AF35" s="9"/>
      <c r="AG35" s="9"/>
      <c r="AH35" s="9"/>
      <c r="AI35" s="9" t="s">
        <v>9111</v>
      </c>
      <c r="AJ35" s="9" t="s">
        <v>9105</v>
      </c>
      <c r="AK35" s="9" t="s">
        <v>2159</v>
      </c>
      <c r="AL35" s="9" t="s">
        <v>25</v>
      </c>
      <c r="AM35" s="9"/>
      <c r="AN35" s="9"/>
      <c r="AO35" s="9" t="s">
        <v>28</v>
      </c>
      <c r="AP35" s="9" t="s">
        <v>673</v>
      </c>
      <c r="AQ35" s="39">
        <v>500</v>
      </c>
      <c r="AR35" s="9" t="s">
        <v>28</v>
      </c>
      <c r="AS35" s="9" t="s">
        <v>13868</v>
      </c>
      <c r="AT35" s="9"/>
      <c r="AU35" s="39">
        <v>500</v>
      </c>
      <c r="AV35" s="9" t="s">
        <v>9177</v>
      </c>
      <c r="AW35" s="9" t="s">
        <v>13871</v>
      </c>
      <c r="AX35" s="9" t="s">
        <v>9116</v>
      </c>
      <c r="AY35" s="9" t="s">
        <v>9254</v>
      </c>
      <c r="AZ35" s="9" t="s">
        <v>9197</v>
      </c>
      <c r="BA35" s="9" t="s">
        <v>9197</v>
      </c>
      <c r="BB35" s="9" t="s">
        <v>9197</v>
      </c>
      <c r="BC35" s="9"/>
      <c r="BD35" s="9"/>
      <c r="BE35" s="9" t="s">
        <v>9255</v>
      </c>
      <c r="BF35" s="9" t="s">
        <v>9255</v>
      </c>
      <c r="BG35" s="9" t="s">
        <v>9197</v>
      </c>
      <c r="BH35" s="9"/>
      <c r="BI35" s="9"/>
      <c r="BJ35" s="9"/>
      <c r="BK35" s="9" t="s">
        <v>9119</v>
      </c>
      <c r="BL35" s="9" t="s">
        <v>25</v>
      </c>
      <c r="BM35" s="9" t="s">
        <v>25</v>
      </c>
      <c r="BN35" s="9" t="s">
        <v>25</v>
      </c>
      <c r="BO35" s="9" t="s">
        <v>25</v>
      </c>
      <c r="BP35" s="39"/>
      <c r="BQ35" s="39"/>
      <c r="BR35" s="39"/>
      <c r="BS35" s="39"/>
      <c r="BT35" s="39"/>
      <c r="BU35" s="9" t="s">
        <v>9178</v>
      </c>
      <c r="BV35" s="9" t="s">
        <v>9121</v>
      </c>
      <c r="BW35" s="9" t="s">
        <v>9122</v>
      </c>
      <c r="BX35" s="9" t="s">
        <v>9184</v>
      </c>
      <c r="BY35" s="9" t="s">
        <v>25</v>
      </c>
      <c r="BZ35" s="9" t="s">
        <v>25</v>
      </c>
      <c r="CA35" s="9" t="s">
        <v>9256</v>
      </c>
      <c r="CB35" s="9" t="s">
        <v>9257</v>
      </c>
      <c r="CC35" s="9" t="s">
        <v>25</v>
      </c>
      <c r="CD35" s="9"/>
      <c r="CE35" s="9" t="s">
        <v>25</v>
      </c>
      <c r="CF35" s="9"/>
      <c r="CG35" s="9"/>
      <c r="CH35" s="9"/>
      <c r="CI35" s="9"/>
      <c r="CJ35" s="9"/>
    </row>
    <row r="36" spans="1:88" ht="51" x14ac:dyDescent="0.2">
      <c r="A36" s="31" t="s">
        <v>180</v>
      </c>
      <c r="B36" s="9" t="s">
        <v>9128</v>
      </c>
      <c r="C36" s="9" t="s">
        <v>9128</v>
      </c>
      <c r="D36" s="9" t="s">
        <v>9128</v>
      </c>
      <c r="E36" s="9" t="s">
        <v>9128</v>
      </c>
      <c r="F36" s="9" t="s">
        <v>9128</v>
      </c>
      <c r="G36" s="9" t="s">
        <v>9102</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39"/>
      <c r="AR36" s="9"/>
      <c r="AS36" s="9"/>
      <c r="AT36" s="9"/>
      <c r="AU36" s="39"/>
      <c r="AV36" s="9" t="s">
        <v>9247</v>
      </c>
      <c r="AW36" s="9" t="s">
        <v>635</v>
      </c>
      <c r="AX36" s="9" t="s">
        <v>9138</v>
      </c>
      <c r="AY36" s="9"/>
      <c r="AZ36" s="9"/>
      <c r="BA36" s="9"/>
      <c r="BB36" s="9"/>
      <c r="BC36" s="9"/>
      <c r="BD36" s="9"/>
      <c r="BE36" s="9"/>
      <c r="BF36" s="9"/>
      <c r="BG36" s="9"/>
      <c r="BH36" s="9"/>
      <c r="BI36" s="9"/>
      <c r="BJ36" s="9"/>
      <c r="BK36" s="9"/>
      <c r="BL36" s="9"/>
      <c r="BM36" s="9"/>
      <c r="BN36" s="9"/>
      <c r="BO36" s="9"/>
      <c r="BP36" s="39"/>
      <c r="BQ36" s="39"/>
      <c r="BR36" s="39"/>
      <c r="BS36" s="39"/>
      <c r="BT36" s="39"/>
      <c r="BU36" s="9" t="s">
        <v>9241</v>
      </c>
      <c r="BV36" s="9" t="s">
        <v>9121</v>
      </c>
      <c r="BW36" s="9" t="s">
        <v>9122</v>
      </c>
      <c r="BX36" s="9" t="s">
        <v>9123</v>
      </c>
      <c r="BY36" s="9" t="s">
        <v>28</v>
      </c>
      <c r="BZ36" s="9" t="s">
        <v>28</v>
      </c>
      <c r="CA36" s="9"/>
      <c r="CB36" s="9"/>
      <c r="CC36" s="9" t="s">
        <v>25</v>
      </c>
      <c r="CD36" s="9"/>
      <c r="CE36" s="9" t="s">
        <v>25</v>
      </c>
      <c r="CF36" s="9"/>
      <c r="CG36" s="9"/>
      <c r="CH36" s="9"/>
      <c r="CI36" s="9" t="s">
        <v>9199</v>
      </c>
      <c r="CJ36" s="9"/>
    </row>
    <row r="37" spans="1:88" ht="63.75" x14ac:dyDescent="0.2">
      <c r="A37" s="31" t="s">
        <v>158</v>
      </c>
      <c r="B37" s="9" t="s">
        <v>9102</v>
      </c>
      <c r="C37" s="9" t="s">
        <v>9102</v>
      </c>
      <c r="D37" s="9" t="s">
        <v>9102</v>
      </c>
      <c r="E37" s="9" t="s">
        <v>9102</v>
      </c>
      <c r="F37" s="9" t="s">
        <v>9102</v>
      </c>
      <c r="G37" s="9" t="s">
        <v>9102</v>
      </c>
      <c r="H37" s="9" t="s">
        <v>25</v>
      </c>
      <c r="I37" s="9" t="s">
        <v>9226</v>
      </c>
      <c r="J37" s="9" t="s">
        <v>28</v>
      </c>
      <c r="K37" s="9" t="s">
        <v>9105</v>
      </c>
      <c r="L37" s="9" t="s">
        <v>9106</v>
      </c>
      <c r="M37" s="9"/>
      <c r="N37" s="9" t="s">
        <v>28</v>
      </c>
      <c r="O37" s="9" t="s">
        <v>28</v>
      </c>
      <c r="P37" s="9" t="s">
        <v>28</v>
      </c>
      <c r="Q37" s="9" t="s">
        <v>28</v>
      </c>
      <c r="R37" s="9" t="s">
        <v>28</v>
      </c>
      <c r="S37" s="9" t="s">
        <v>28</v>
      </c>
      <c r="T37" s="9" t="s">
        <v>25</v>
      </c>
      <c r="U37" s="9" t="s">
        <v>25</v>
      </c>
      <c r="V37" s="9" t="s">
        <v>28</v>
      </c>
      <c r="W37" s="9" t="s">
        <v>25</v>
      </c>
      <c r="X37" s="9" t="s">
        <v>28</v>
      </c>
      <c r="Y37" s="9" t="s">
        <v>28</v>
      </c>
      <c r="Z37" s="9" t="s">
        <v>25</v>
      </c>
      <c r="AA37" s="9" t="s">
        <v>13849</v>
      </c>
      <c r="AB37" s="9" t="s">
        <v>28</v>
      </c>
      <c r="AC37" s="9" t="s">
        <v>9105</v>
      </c>
      <c r="AD37" s="9" t="s">
        <v>9200</v>
      </c>
      <c r="AE37" s="9" t="s">
        <v>13855</v>
      </c>
      <c r="AF37" s="9" t="s">
        <v>9176</v>
      </c>
      <c r="AG37" s="9" t="s">
        <v>9181</v>
      </c>
      <c r="AH37" s="9" t="s">
        <v>13855</v>
      </c>
      <c r="AI37" s="9" t="s">
        <v>9111</v>
      </c>
      <c r="AJ37" s="9" t="s">
        <v>9105</v>
      </c>
      <c r="AK37" s="9" t="s">
        <v>9289</v>
      </c>
      <c r="AL37" s="9" t="s">
        <v>28</v>
      </c>
      <c r="AM37" s="9" t="s">
        <v>9233</v>
      </c>
      <c r="AN37" s="9" t="s">
        <v>13855</v>
      </c>
      <c r="AO37" s="9" t="s">
        <v>2201</v>
      </c>
      <c r="AP37" s="9"/>
      <c r="AQ37" s="39"/>
      <c r="AR37" s="9" t="s">
        <v>25</v>
      </c>
      <c r="AS37" s="9"/>
      <c r="AT37" s="9"/>
      <c r="AU37" s="39"/>
      <c r="AV37" s="9" t="s">
        <v>9115</v>
      </c>
      <c r="AW37" s="9" t="s">
        <v>13874</v>
      </c>
      <c r="AX37" s="9" t="s">
        <v>9116</v>
      </c>
      <c r="AY37" s="9" t="s">
        <v>9290</v>
      </c>
      <c r="AZ37" s="9"/>
      <c r="BA37" s="9"/>
      <c r="BB37" s="9" t="s">
        <v>9291</v>
      </c>
      <c r="BC37" s="9"/>
      <c r="BD37" s="9"/>
      <c r="BE37" s="9" t="s">
        <v>13883</v>
      </c>
      <c r="BF37" s="9" t="s">
        <v>13883</v>
      </c>
      <c r="BG37" s="9"/>
      <c r="BH37" s="9" t="s">
        <v>13883</v>
      </c>
      <c r="BI37" s="9" t="s">
        <v>13883</v>
      </c>
      <c r="BJ37" s="9" t="s">
        <v>29</v>
      </c>
      <c r="BK37" s="9" t="s">
        <v>25</v>
      </c>
      <c r="BL37" s="9" t="s">
        <v>25</v>
      </c>
      <c r="BM37" s="9" t="s">
        <v>25</v>
      </c>
      <c r="BN37" s="9" t="s">
        <v>25</v>
      </c>
      <c r="BO37" s="9" t="s">
        <v>25</v>
      </c>
      <c r="BP37" s="39"/>
      <c r="BQ37" s="39"/>
      <c r="BR37" s="39"/>
      <c r="BS37" s="39"/>
      <c r="BT37" s="39"/>
      <c r="BU37" s="9" t="s">
        <v>9178</v>
      </c>
      <c r="BV37" s="9" t="s">
        <v>9168</v>
      </c>
      <c r="BW37" s="9" t="s">
        <v>9122</v>
      </c>
      <c r="BX37" s="9" t="s">
        <v>9158</v>
      </c>
      <c r="BY37" s="9" t="s">
        <v>25</v>
      </c>
      <c r="BZ37" s="9" t="s">
        <v>25</v>
      </c>
      <c r="CA37" s="9" t="s">
        <v>9292</v>
      </c>
      <c r="CB37" s="9" t="s">
        <v>13471</v>
      </c>
      <c r="CC37" s="9" t="s">
        <v>25</v>
      </c>
      <c r="CD37" s="9"/>
      <c r="CE37" s="9" t="s">
        <v>28</v>
      </c>
      <c r="CF37" s="9" t="s">
        <v>9142</v>
      </c>
      <c r="CG37" s="9" t="s">
        <v>9293</v>
      </c>
      <c r="CH37" s="9" t="s">
        <v>9171</v>
      </c>
      <c r="CI37" s="9" t="s">
        <v>9217</v>
      </c>
      <c r="CJ37" s="9"/>
    </row>
    <row r="38" spans="1:88" ht="63.75" x14ac:dyDescent="0.2">
      <c r="A38" s="31" t="s">
        <v>150</v>
      </c>
      <c r="B38" s="9" t="s">
        <v>9128</v>
      </c>
      <c r="C38" s="9" t="s">
        <v>9146</v>
      </c>
      <c r="D38" s="9" t="s">
        <v>9146</v>
      </c>
      <c r="E38" s="9" t="s">
        <v>9128</v>
      </c>
      <c r="F38" s="9" t="s">
        <v>9102</v>
      </c>
      <c r="G38" s="9" t="s">
        <v>9102</v>
      </c>
      <c r="H38" s="9"/>
      <c r="I38" s="9"/>
      <c r="J38" s="9"/>
      <c r="K38" s="9"/>
      <c r="L38" s="9"/>
      <c r="M38" s="9"/>
      <c r="N38" s="9"/>
      <c r="O38" s="9"/>
      <c r="P38" s="9"/>
      <c r="Q38" s="9"/>
      <c r="R38" s="9"/>
      <c r="S38" s="9"/>
      <c r="T38" s="9"/>
      <c r="U38" s="9"/>
      <c r="V38" s="9"/>
      <c r="W38" s="9"/>
      <c r="X38" s="9"/>
      <c r="Y38" s="9"/>
      <c r="Z38" s="9"/>
      <c r="AA38" s="9"/>
      <c r="AB38" s="9" t="s">
        <v>28</v>
      </c>
      <c r="AC38" s="9" t="s">
        <v>9105</v>
      </c>
      <c r="AD38" s="9" t="s">
        <v>9200</v>
      </c>
      <c r="AE38" s="9" t="s">
        <v>9210</v>
      </c>
      <c r="AF38" s="9"/>
      <c r="AG38" s="9"/>
      <c r="AH38" s="9"/>
      <c r="AI38" s="9" t="s">
        <v>9111</v>
      </c>
      <c r="AJ38" s="9" t="s">
        <v>9105</v>
      </c>
      <c r="AK38" s="9" t="s">
        <v>9112</v>
      </c>
      <c r="AL38" s="9" t="s">
        <v>25</v>
      </c>
      <c r="AM38" s="9"/>
      <c r="AN38" s="9"/>
      <c r="AO38" s="9" t="s">
        <v>2201</v>
      </c>
      <c r="AP38" s="9"/>
      <c r="AQ38" s="39"/>
      <c r="AR38" s="9" t="s">
        <v>25</v>
      </c>
      <c r="AS38" s="9"/>
      <c r="AT38" s="9"/>
      <c r="AU38" s="39"/>
      <c r="AV38" s="9" t="s">
        <v>9274</v>
      </c>
      <c r="AW38" s="9" t="s">
        <v>635</v>
      </c>
      <c r="AX38" s="9" t="s">
        <v>9154</v>
      </c>
      <c r="AY38" s="9" t="s">
        <v>9275</v>
      </c>
      <c r="AZ38" s="9"/>
      <c r="BA38" s="9" t="s">
        <v>9211</v>
      </c>
      <c r="BB38" s="9"/>
      <c r="BC38" s="9" t="s">
        <v>9211</v>
      </c>
      <c r="BD38" s="9"/>
      <c r="BE38" s="9" t="s">
        <v>9211</v>
      </c>
      <c r="BF38" s="9" t="s">
        <v>9211</v>
      </c>
      <c r="BG38" s="9" t="s">
        <v>9211</v>
      </c>
      <c r="BH38" s="9"/>
      <c r="BI38" s="9"/>
      <c r="BJ38" s="9" t="s">
        <v>9211</v>
      </c>
      <c r="BK38" s="9" t="s">
        <v>9119</v>
      </c>
      <c r="BL38" s="9" t="s">
        <v>25</v>
      </c>
      <c r="BM38" s="9" t="s">
        <v>25</v>
      </c>
      <c r="BN38" s="9" t="s">
        <v>25</v>
      </c>
      <c r="BO38" s="9" t="s">
        <v>9119</v>
      </c>
      <c r="BP38" s="39"/>
      <c r="BQ38" s="39"/>
      <c r="BR38" s="39"/>
      <c r="BS38" s="39"/>
      <c r="BT38" s="39"/>
      <c r="BU38" s="9" t="s">
        <v>9178</v>
      </c>
      <c r="BV38" s="9" t="s">
        <v>9140</v>
      </c>
      <c r="BW38" s="9" t="s">
        <v>9263</v>
      </c>
      <c r="BX38" s="9" t="s">
        <v>9158</v>
      </c>
      <c r="BY38" s="9" t="s">
        <v>25</v>
      </c>
      <c r="BZ38" s="9" t="s">
        <v>25</v>
      </c>
      <c r="CA38" s="9" t="s">
        <v>14439</v>
      </c>
      <c r="CB38" s="9" t="s">
        <v>14447</v>
      </c>
      <c r="CC38" s="9" t="s">
        <v>25</v>
      </c>
      <c r="CD38" s="9"/>
      <c r="CE38" s="9" t="s">
        <v>28</v>
      </c>
      <c r="CF38" s="9">
        <v>2</v>
      </c>
      <c r="CG38" s="9" t="s">
        <v>9276</v>
      </c>
      <c r="CH38" s="9" t="s">
        <v>9187</v>
      </c>
      <c r="CI38" s="9" t="s">
        <v>635</v>
      </c>
      <c r="CJ38" s="9"/>
    </row>
    <row r="39" spans="1:88" ht="63.75" x14ac:dyDescent="0.2">
      <c r="A39" s="31" t="s">
        <v>135</v>
      </c>
      <c r="B39" s="9" t="s">
        <v>9128</v>
      </c>
      <c r="C39" s="9" t="s">
        <v>9102</v>
      </c>
      <c r="D39" s="9" t="s">
        <v>9102</v>
      </c>
      <c r="E39" s="9" t="s">
        <v>9103</v>
      </c>
      <c r="F39" s="9" t="s">
        <v>9102</v>
      </c>
      <c r="G39" s="9" t="s">
        <v>9102</v>
      </c>
      <c r="H39" s="9"/>
      <c r="I39" s="9"/>
      <c r="J39" s="9"/>
      <c r="K39" s="9"/>
      <c r="L39" s="9"/>
      <c r="M39" s="9"/>
      <c r="N39" s="9"/>
      <c r="O39" s="9"/>
      <c r="P39" s="9"/>
      <c r="Q39" s="9"/>
      <c r="R39" s="9"/>
      <c r="S39" s="9"/>
      <c r="T39" s="9"/>
      <c r="U39" s="9"/>
      <c r="V39" s="9"/>
      <c r="W39" s="9"/>
      <c r="X39" s="9"/>
      <c r="Y39" s="9"/>
      <c r="Z39" s="9"/>
      <c r="AA39" s="9"/>
      <c r="AB39" s="9" t="s">
        <v>28</v>
      </c>
      <c r="AC39" s="9" t="s">
        <v>9105</v>
      </c>
      <c r="AD39" s="9" t="s">
        <v>13852</v>
      </c>
      <c r="AE39" s="9" t="s">
        <v>9149</v>
      </c>
      <c r="AF39" s="9" t="s">
        <v>9176</v>
      </c>
      <c r="AG39" s="9" t="s">
        <v>9181</v>
      </c>
      <c r="AH39" s="9" t="s">
        <v>9149</v>
      </c>
      <c r="AI39" s="9" t="s">
        <v>9111</v>
      </c>
      <c r="AJ39" s="9" t="s">
        <v>9105</v>
      </c>
      <c r="AK39" s="9" t="s">
        <v>9182</v>
      </c>
      <c r="AL39" s="9" t="s">
        <v>9153</v>
      </c>
      <c r="AM39" s="9"/>
      <c r="AN39" s="9"/>
      <c r="AO39" s="9" t="s">
        <v>2201</v>
      </c>
      <c r="AP39" s="9"/>
      <c r="AQ39" s="39"/>
      <c r="AR39" s="9" t="s">
        <v>25</v>
      </c>
      <c r="AS39" s="9"/>
      <c r="AT39" s="9"/>
      <c r="AU39" s="39"/>
      <c r="AV39" s="9" t="s">
        <v>9115</v>
      </c>
      <c r="AW39" s="9" t="s">
        <v>13872</v>
      </c>
      <c r="AX39" s="9" t="s">
        <v>9154</v>
      </c>
      <c r="AY39" s="9" t="s">
        <v>9224</v>
      </c>
      <c r="AZ39" s="9"/>
      <c r="BA39" s="9"/>
      <c r="BB39" s="9"/>
      <c r="BC39" s="9"/>
      <c r="BD39" s="9" t="s">
        <v>9191</v>
      </c>
      <c r="BE39" s="9"/>
      <c r="BF39" s="9" t="s">
        <v>9197</v>
      </c>
      <c r="BG39" s="9"/>
      <c r="BH39" s="9" t="s">
        <v>29</v>
      </c>
      <c r="BI39" s="9"/>
      <c r="BJ39" s="9"/>
      <c r="BK39" s="9" t="s">
        <v>9119</v>
      </c>
      <c r="BL39" s="9" t="s">
        <v>28</v>
      </c>
      <c r="BM39" s="9" t="s">
        <v>25</v>
      </c>
      <c r="BN39" s="9" t="s">
        <v>25</v>
      </c>
      <c r="BO39" s="9" t="s">
        <v>25</v>
      </c>
      <c r="BP39" s="39"/>
      <c r="BQ39" s="39">
        <v>1100</v>
      </c>
      <c r="BR39" s="39"/>
      <c r="BS39" s="39"/>
      <c r="BT39" s="39"/>
      <c r="BU39" s="9" t="s">
        <v>9120</v>
      </c>
      <c r="BV39" s="9" t="s">
        <v>9168</v>
      </c>
      <c r="BW39" s="9" t="s">
        <v>9122</v>
      </c>
      <c r="BX39" s="9" t="s">
        <v>9158</v>
      </c>
      <c r="BY39" s="9" t="s">
        <v>25</v>
      </c>
      <c r="BZ39" s="9" t="s">
        <v>28</v>
      </c>
      <c r="CA39" s="9" t="s">
        <v>9225</v>
      </c>
      <c r="CB39" s="9" t="s">
        <v>14449</v>
      </c>
      <c r="CC39" s="9" t="s">
        <v>28</v>
      </c>
      <c r="CD39" s="9" t="s">
        <v>13479</v>
      </c>
      <c r="CE39" s="9" t="s">
        <v>25</v>
      </c>
      <c r="CF39" s="9"/>
      <c r="CG39" s="9"/>
      <c r="CH39" s="9"/>
      <c r="CI39" s="9" t="s">
        <v>13497</v>
      </c>
      <c r="CJ39" s="9"/>
    </row>
    <row r="40" spans="1:88" ht="76.5" x14ac:dyDescent="0.2">
      <c r="A40" s="31" t="s">
        <v>137</v>
      </c>
      <c r="B40" s="9" t="s">
        <v>9103</v>
      </c>
      <c r="C40" s="9" t="s">
        <v>9102</v>
      </c>
      <c r="D40" s="9" t="s">
        <v>9103</v>
      </c>
      <c r="E40" s="9" t="s">
        <v>9103</v>
      </c>
      <c r="F40" s="9" t="s">
        <v>9102</v>
      </c>
      <c r="G40" s="9" t="s">
        <v>9102</v>
      </c>
      <c r="H40" s="9" t="s">
        <v>28</v>
      </c>
      <c r="I40" s="9" t="s">
        <v>9226</v>
      </c>
      <c r="J40" s="9" t="s">
        <v>28</v>
      </c>
      <c r="K40" s="9" t="s">
        <v>9105</v>
      </c>
      <c r="L40" s="9" t="s">
        <v>13844</v>
      </c>
      <c r="M40" s="9"/>
      <c r="N40" s="9" t="s">
        <v>28</v>
      </c>
      <c r="O40" s="9" t="s">
        <v>28</v>
      </c>
      <c r="P40" s="9" t="s">
        <v>28</v>
      </c>
      <c r="Q40" s="9" t="s">
        <v>28</v>
      </c>
      <c r="R40" s="9" t="s">
        <v>28</v>
      </c>
      <c r="S40" s="9" t="s">
        <v>25</v>
      </c>
      <c r="T40" s="9" t="s">
        <v>28</v>
      </c>
      <c r="U40" s="9" t="s">
        <v>25</v>
      </c>
      <c r="V40" s="9" t="s">
        <v>28</v>
      </c>
      <c r="W40" s="9" t="s">
        <v>28</v>
      </c>
      <c r="X40" s="9" t="s">
        <v>25</v>
      </c>
      <c r="Y40" s="9" t="s">
        <v>28</v>
      </c>
      <c r="Z40" s="9" t="s">
        <v>28</v>
      </c>
      <c r="AA40" s="9" t="s">
        <v>9149</v>
      </c>
      <c r="AB40" s="9" t="s">
        <v>41</v>
      </c>
      <c r="AC40" s="9"/>
      <c r="AD40" s="9"/>
      <c r="AE40" s="9"/>
      <c r="AF40" s="9" t="s">
        <v>9231</v>
      </c>
      <c r="AG40" s="9" t="s">
        <v>9232</v>
      </c>
      <c r="AH40" s="9" t="s">
        <v>9149</v>
      </c>
      <c r="AI40" s="9" t="s">
        <v>9111</v>
      </c>
      <c r="AJ40" s="9" t="s">
        <v>9105</v>
      </c>
      <c r="AK40" s="9" t="s">
        <v>2159</v>
      </c>
      <c r="AL40" s="9" t="s">
        <v>28</v>
      </c>
      <c r="AM40" s="9" t="s">
        <v>9233</v>
      </c>
      <c r="AN40" s="9" t="s">
        <v>2159</v>
      </c>
      <c r="AO40" s="9" t="s">
        <v>2201</v>
      </c>
      <c r="AP40" s="9"/>
      <c r="AQ40" s="39"/>
      <c r="AR40" s="9" t="s">
        <v>25</v>
      </c>
      <c r="AS40" s="9"/>
      <c r="AT40" s="9"/>
      <c r="AU40" s="39"/>
      <c r="AV40" s="9" t="s">
        <v>9115</v>
      </c>
      <c r="AW40" s="9" t="s">
        <v>13463</v>
      </c>
      <c r="AX40" s="9" t="s">
        <v>9131</v>
      </c>
      <c r="AY40" s="9" t="s">
        <v>9234</v>
      </c>
      <c r="AZ40" s="9" t="s">
        <v>9235</v>
      </c>
      <c r="BA40" s="9" t="s">
        <v>9191</v>
      </c>
      <c r="BB40" s="9"/>
      <c r="BC40" s="9"/>
      <c r="BD40" s="9" t="s">
        <v>9191</v>
      </c>
      <c r="BE40" s="9" t="s">
        <v>9197</v>
      </c>
      <c r="BF40" s="9" t="s">
        <v>9197</v>
      </c>
      <c r="BG40" s="9"/>
      <c r="BH40" s="9" t="s">
        <v>9197</v>
      </c>
      <c r="BI40" s="9" t="s">
        <v>9197</v>
      </c>
      <c r="BJ40" s="9" t="s">
        <v>9197</v>
      </c>
      <c r="BK40" s="9" t="s">
        <v>25</v>
      </c>
      <c r="BL40" s="9" t="s">
        <v>25</v>
      </c>
      <c r="BM40" s="9" t="s">
        <v>25</v>
      </c>
      <c r="BN40" s="9" t="s">
        <v>25</v>
      </c>
      <c r="BO40" s="9" t="s">
        <v>25</v>
      </c>
      <c r="BP40" s="39"/>
      <c r="BQ40" s="39"/>
      <c r="BR40" s="39"/>
      <c r="BS40" s="39"/>
      <c r="BT40" s="39"/>
      <c r="BU40" s="9" t="s">
        <v>9157</v>
      </c>
      <c r="BV40" s="9" t="s">
        <v>9121</v>
      </c>
      <c r="BW40" s="9" t="s">
        <v>9122</v>
      </c>
      <c r="BX40" s="9" t="s">
        <v>9158</v>
      </c>
      <c r="BY40" s="9" t="s">
        <v>25</v>
      </c>
      <c r="BZ40" s="9" t="s">
        <v>28</v>
      </c>
      <c r="CA40" s="9"/>
      <c r="CB40" s="9"/>
      <c r="CC40" s="9" t="s">
        <v>28</v>
      </c>
      <c r="CD40" s="9" t="s">
        <v>13480</v>
      </c>
      <c r="CE40" s="9" t="s">
        <v>25</v>
      </c>
      <c r="CF40" s="9"/>
      <c r="CG40" s="9"/>
      <c r="CH40" s="9"/>
      <c r="CI40" s="9" t="s">
        <v>9236</v>
      </c>
      <c r="CJ40" s="9"/>
    </row>
    <row r="41" spans="1:88" ht="63.75" x14ac:dyDescent="0.2">
      <c r="A41" s="31" t="s">
        <v>142</v>
      </c>
      <c r="B41" s="9" t="s">
        <v>9146</v>
      </c>
      <c r="C41" s="9" t="s">
        <v>9146</v>
      </c>
      <c r="D41" s="9" t="s">
        <v>9146</v>
      </c>
      <c r="E41" s="9" t="s">
        <v>9146</v>
      </c>
      <c r="F41" s="9" t="s">
        <v>9146</v>
      </c>
      <c r="G41" s="9" t="s">
        <v>9146</v>
      </c>
      <c r="H41" s="9" t="s">
        <v>25</v>
      </c>
      <c r="I41" s="9" t="s">
        <v>9147</v>
      </c>
      <c r="J41" s="9" t="s">
        <v>28</v>
      </c>
      <c r="K41" s="9" t="s">
        <v>9105</v>
      </c>
      <c r="L41" s="9" t="s">
        <v>9248</v>
      </c>
      <c r="M41" s="9"/>
      <c r="N41" s="9" t="s">
        <v>28</v>
      </c>
      <c r="O41" s="9" t="s">
        <v>28</v>
      </c>
      <c r="P41" s="9" t="s">
        <v>28</v>
      </c>
      <c r="Q41" s="9" t="s">
        <v>28</v>
      </c>
      <c r="R41" s="9" t="s">
        <v>28</v>
      </c>
      <c r="S41" s="9" t="s">
        <v>28</v>
      </c>
      <c r="T41" s="9" t="s">
        <v>25</v>
      </c>
      <c r="U41" s="9" t="s">
        <v>25</v>
      </c>
      <c r="V41" s="9" t="s">
        <v>28</v>
      </c>
      <c r="W41" s="9" t="s">
        <v>25</v>
      </c>
      <c r="X41" s="9" t="s">
        <v>28</v>
      </c>
      <c r="Y41" s="9" t="s">
        <v>28</v>
      </c>
      <c r="Z41" s="9" t="s">
        <v>28</v>
      </c>
      <c r="AA41" s="9" t="s">
        <v>9149</v>
      </c>
      <c r="AB41" s="9" t="s">
        <v>25</v>
      </c>
      <c r="AC41" s="9"/>
      <c r="AD41" s="9"/>
      <c r="AE41" s="9"/>
      <c r="AF41" s="9" t="s">
        <v>9176</v>
      </c>
      <c r="AG41" s="9" t="s">
        <v>9242</v>
      </c>
      <c r="AH41" s="9" t="s">
        <v>9149</v>
      </c>
      <c r="AI41" s="9" t="s">
        <v>9111</v>
      </c>
      <c r="AJ41" s="9" t="s">
        <v>9162</v>
      </c>
      <c r="AK41" s="9" t="s">
        <v>13863</v>
      </c>
      <c r="AL41" s="9" t="s">
        <v>28</v>
      </c>
      <c r="AM41" s="9" t="s">
        <v>9249</v>
      </c>
      <c r="AN41" s="9" t="s">
        <v>2159</v>
      </c>
      <c r="AO41" s="9" t="s">
        <v>28</v>
      </c>
      <c r="AP41" s="9" t="s">
        <v>9164</v>
      </c>
      <c r="AQ41" s="39">
        <v>300</v>
      </c>
      <c r="AR41" s="9" t="s">
        <v>28</v>
      </c>
      <c r="AS41" s="9" t="s">
        <v>9250</v>
      </c>
      <c r="AT41" s="9"/>
      <c r="AU41" s="39">
        <v>300</v>
      </c>
      <c r="AV41" s="9" t="s">
        <v>9165</v>
      </c>
      <c r="AW41" s="9" t="s">
        <v>9166</v>
      </c>
      <c r="AX41" s="9" t="s">
        <v>9131</v>
      </c>
      <c r="AY41" s="9" t="s">
        <v>9251</v>
      </c>
      <c r="AZ41" s="9" t="s">
        <v>9197</v>
      </c>
      <c r="BA41" s="9" t="s">
        <v>9197</v>
      </c>
      <c r="BB41" s="9" t="s">
        <v>9197</v>
      </c>
      <c r="BC41" s="9" t="s">
        <v>9197</v>
      </c>
      <c r="BD41" s="9" t="s">
        <v>9197</v>
      </c>
      <c r="BE41" s="9" t="s">
        <v>9197</v>
      </c>
      <c r="BF41" s="9" t="s">
        <v>9197</v>
      </c>
      <c r="BG41" s="9" t="s">
        <v>9197</v>
      </c>
      <c r="BH41" s="9"/>
      <c r="BI41" s="9"/>
      <c r="BJ41" s="9"/>
      <c r="BK41" s="9" t="s">
        <v>25</v>
      </c>
      <c r="BL41" s="9" t="s">
        <v>25</v>
      </c>
      <c r="BM41" s="9" t="s">
        <v>25</v>
      </c>
      <c r="BN41" s="9" t="s">
        <v>25</v>
      </c>
      <c r="BO41" s="9" t="s">
        <v>25</v>
      </c>
      <c r="BP41" s="39"/>
      <c r="BQ41" s="39"/>
      <c r="BR41" s="39"/>
      <c r="BS41" s="39"/>
      <c r="BT41" s="39"/>
      <c r="BU41" s="9" t="s">
        <v>9178</v>
      </c>
      <c r="BV41" s="9" t="s">
        <v>9168</v>
      </c>
      <c r="BW41" s="9" t="s">
        <v>9122</v>
      </c>
      <c r="BX41" s="9" t="s">
        <v>9136</v>
      </c>
      <c r="BY41" s="9" t="s">
        <v>25</v>
      </c>
      <c r="BZ41" s="9" t="s">
        <v>25</v>
      </c>
      <c r="CA41" s="9" t="s">
        <v>14439</v>
      </c>
      <c r="CB41" s="9" t="s">
        <v>13477</v>
      </c>
      <c r="CC41" s="9" t="s">
        <v>28</v>
      </c>
      <c r="CD41" s="9" t="s">
        <v>13482</v>
      </c>
      <c r="CE41" s="9" t="s">
        <v>28</v>
      </c>
      <c r="CF41" s="9">
        <v>4</v>
      </c>
      <c r="CG41" s="9" t="s">
        <v>13489</v>
      </c>
      <c r="CH41" s="9" t="s">
        <v>9171</v>
      </c>
      <c r="CI41" s="9" t="s">
        <v>13495</v>
      </c>
      <c r="CJ41" s="9" t="s">
        <v>9252</v>
      </c>
    </row>
    <row r="42" spans="1:88" ht="63.75" x14ac:dyDescent="0.2">
      <c r="A42" s="31" t="s">
        <v>161</v>
      </c>
      <c r="B42" s="9" t="s">
        <v>9103</v>
      </c>
      <c r="C42" s="9" t="s">
        <v>9103</v>
      </c>
      <c r="D42" s="9" t="s">
        <v>9103</v>
      </c>
      <c r="E42" s="9" t="s">
        <v>9103</v>
      </c>
      <c r="F42" s="9" t="s">
        <v>9103</v>
      </c>
      <c r="G42" s="9" t="s">
        <v>9103</v>
      </c>
      <c r="H42" s="9" t="s">
        <v>25</v>
      </c>
      <c r="I42" s="9" t="s">
        <v>9129</v>
      </c>
      <c r="J42" s="9" t="s">
        <v>28</v>
      </c>
      <c r="K42" s="9" t="s">
        <v>9105</v>
      </c>
      <c r="L42" s="9" t="s">
        <v>9298</v>
      </c>
      <c r="M42" s="9"/>
      <c r="N42" s="9" t="s">
        <v>28</v>
      </c>
      <c r="O42" s="9" t="s">
        <v>28</v>
      </c>
      <c r="P42" s="9" t="s">
        <v>28</v>
      </c>
      <c r="Q42" s="9" t="s">
        <v>28</v>
      </c>
      <c r="R42" s="9" t="s">
        <v>28</v>
      </c>
      <c r="S42" s="9" t="s">
        <v>25</v>
      </c>
      <c r="T42" s="9" t="s">
        <v>25</v>
      </c>
      <c r="U42" s="9" t="s">
        <v>25</v>
      </c>
      <c r="V42" s="9" t="s">
        <v>28</v>
      </c>
      <c r="W42" s="9" t="s">
        <v>25</v>
      </c>
      <c r="X42" s="9" t="s">
        <v>25</v>
      </c>
      <c r="Y42" s="9" t="s">
        <v>28</v>
      </c>
      <c r="Z42" s="9" t="s">
        <v>28</v>
      </c>
      <c r="AA42" s="9" t="s">
        <v>9299</v>
      </c>
      <c r="AB42" s="9" t="s">
        <v>28</v>
      </c>
      <c r="AC42" s="9" t="s">
        <v>9105</v>
      </c>
      <c r="AD42" s="9" t="s">
        <v>9200</v>
      </c>
      <c r="AE42" s="9" t="s">
        <v>9299</v>
      </c>
      <c r="AF42" s="9" t="s">
        <v>9176</v>
      </c>
      <c r="AG42" s="9" t="s">
        <v>9181</v>
      </c>
      <c r="AH42" s="9" t="s">
        <v>9300</v>
      </c>
      <c r="AI42" s="9" t="s">
        <v>9111</v>
      </c>
      <c r="AJ42" s="9" t="s">
        <v>9105</v>
      </c>
      <c r="AK42" s="9" t="s">
        <v>9299</v>
      </c>
      <c r="AL42" s="9" t="s">
        <v>25</v>
      </c>
      <c r="AM42" s="9"/>
      <c r="AN42" s="9"/>
      <c r="AO42" s="9" t="s">
        <v>28</v>
      </c>
      <c r="AP42" s="9" t="s">
        <v>673</v>
      </c>
      <c r="AQ42" s="39">
        <v>300</v>
      </c>
      <c r="AR42" s="9" t="s">
        <v>28</v>
      </c>
      <c r="AS42" s="9" t="s">
        <v>9301</v>
      </c>
      <c r="AT42" s="9"/>
      <c r="AU42" s="39">
        <v>300</v>
      </c>
      <c r="AV42" s="9" t="s">
        <v>9165</v>
      </c>
      <c r="AW42" s="9" t="s">
        <v>9166</v>
      </c>
      <c r="AX42" s="9" t="s">
        <v>9131</v>
      </c>
      <c r="AY42" s="9" t="s">
        <v>13880</v>
      </c>
      <c r="AZ42" s="9"/>
      <c r="BA42" s="9" t="s">
        <v>9302</v>
      </c>
      <c r="BB42" s="9" t="s">
        <v>9302</v>
      </c>
      <c r="BC42" s="9" t="s">
        <v>9302</v>
      </c>
      <c r="BD42" s="9" t="s">
        <v>9302</v>
      </c>
      <c r="BE42" s="9" t="s">
        <v>9302</v>
      </c>
      <c r="BF42" s="9"/>
      <c r="BG42" s="9"/>
      <c r="BH42" s="9" t="s">
        <v>29</v>
      </c>
      <c r="BI42" s="9"/>
      <c r="BJ42" s="9" t="s">
        <v>9302</v>
      </c>
      <c r="BK42" s="9" t="s">
        <v>9119</v>
      </c>
      <c r="BL42" s="9" t="s">
        <v>28</v>
      </c>
      <c r="BM42" s="9" t="s">
        <v>25</v>
      </c>
      <c r="BN42" s="9" t="s">
        <v>25</v>
      </c>
      <c r="BO42" s="9" t="s">
        <v>25</v>
      </c>
      <c r="BP42" s="39"/>
      <c r="BQ42" s="39">
        <v>2150</v>
      </c>
      <c r="BR42" s="39"/>
      <c r="BS42" s="39"/>
      <c r="BT42" s="39"/>
      <c r="BU42" s="9" t="s">
        <v>9167</v>
      </c>
      <c r="BV42" s="9" t="s">
        <v>9168</v>
      </c>
      <c r="BW42" s="9" t="s">
        <v>9122</v>
      </c>
      <c r="BX42" s="9" t="s">
        <v>9158</v>
      </c>
      <c r="BY42" s="9" t="s">
        <v>25</v>
      </c>
      <c r="BZ42" s="9" t="s">
        <v>25</v>
      </c>
      <c r="CA42" s="9"/>
      <c r="CB42" s="9"/>
      <c r="CC42" s="9" t="s">
        <v>25</v>
      </c>
      <c r="CD42" s="9"/>
      <c r="CE42" s="9" t="s">
        <v>25</v>
      </c>
      <c r="CF42" s="9"/>
      <c r="CG42" s="9"/>
      <c r="CH42" s="9"/>
      <c r="CI42" s="9" t="s">
        <v>9217</v>
      </c>
      <c r="CJ42" s="9"/>
    </row>
    <row r="43" spans="1:88" ht="51" x14ac:dyDescent="0.2">
      <c r="A43" s="31" t="s">
        <v>163</v>
      </c>
      <c r="B43" s="9" t="s">
        <v>9128</v>
      </c>
      <c r="C43" s="9" t="s">
        <v>9128</v>
      </c>
      <c r="D43" s="9" t="s">
        <v>9102</v>
      </c>
      <c r="E43" s="9" t="s">
        <v>9102</v>
      </c>
      <c r="F43" s="9" t="s">
        <v>9102</v>
      </c>
      <c r="G43" s="9" t="s">
        <v>9102</v>
      </c>
      <c r="H43" s="9"/>
      <c r="I43" s="9"/>
      <c r="J43" s="9"/>
      <c r="K43" s="9"/>
      <c r="L43" s="9"/>
      <c r="M43" s="9"/>
      <c r="N43" s="9"/>
      <c r="O43" s="9"/>
      <c r="P43" s="9"/>
      <c r="Q43" s="9"/>
      <c r="R43" s="9"/>
      <c r="S43" s="9"/>
      <c r="T43" s="9"/>
      <c r="U43" s="9"/>
      <c r="V43" s="9"/>
      <c r="W43" s="9"/>
      <c r="X43" s="9"/>
      <c r="Y43" s="9"/>
      <c r="Z43" s="9"/>
      <c r="AA43" s="9"/>
      <c r="AB43" s="9" t="s">
        <v>25</v>
      </c>
      <c r="AC43" s="9" t="s">
        <v>9105</v>
      </c>
      <c r="AD43" s="9"/>
      <c r="AE43" s="9"/>
      <c r="AF43" s="9" t="s">
        <v>9231</v>
      </c>
      <c r="AG43" s="9" t="s">
        <v>9232</v>
      </c>
      <c r="AH43" s="9" t="s">
        <v>13856</v>
      </c>
      <c r="AI43" s="9" t="s">
        <v>9259</v>
      </c>
      <c r="AJ43" s="9" t="s">
        <v>9105</v>
      </c>
      <c r="AK43" s="9" t="s">
        <v>9304</v>
      </c>
      <c r="AL43" s="9" t="s">
        <v>25</v>
      </c>
      <c r="AM43" s="9"/>
      <c r="AN43" s="9"/>
      <c r="AO43" s="9" t="s">
        <v>2201</v>
      </c>
      <c r="AP43" s="9"/>
      <c r="AQ43" s="39"/>
      <c r="AR43" s="9" t="s">
        <v>25</v>
      </c>
      <c r="AS43" s="9"/>
      <c r="AT43" s="9"/>
      <c r="AU43" s="39"/>
      <c r="AV43" s="9" t="s">
        <v>9202</v>
      </c>
      <c r="AW43" s="9" t="s">
        <v>635</v>
      </c>
      <c r="AX43" s="9" t="s">
        <v>9131</v>
      </c>
      <c r="AY43" s="9" t="s">
        <v>9305</v>
      </c>
      <c r="AZ43" s="9" t="s">
        <v>9211</v>
      </c>
      <c r="BA43" s="9"/>
      <c r="BB43" s="9"/>
      <c r="BC43" s="9" t="s">
        <v>9211</v>
      </c>
      <c r="BD43" s="9"/>
      <c r="BE43" s="9"/>
      <c r="BF43" s="9"/>
      <c r="BG43" s="9" t="s">
        <v>9211</v>
      </c>
      <c r="BH43" s="9"/>
      <c r="BI43" s="9"/>
      <c r="BJ43" s="9"/>
      <c r="BK43" s="9" t="s">
        <v>25</v>
      </c>
      <c r="BL43" s="9" t="s">
        <v>25</v>
      </c>
      <c r="BM43" s="9" t="s">
        <v>25</v>
      </c>
      <c r="BN43" s="9" t="s">
        <v>25</v>
      </c>
      <c r="BO43" s="9" t="s">
        <v>25</v>
      </c>
      <c r="BP43" s="39"/>
      <c r="BQ43" s="39"/>
      <c r="BR43" s="39"/>
      <c r="BS43" s="39"/>
      <c r="BT43" s="39"/>
      <c r="BU43" s="9" t="s">
        <v>9133</v>
      </c>
      <c r="BV43" s="9" t="s">
        <v>9121</v>
      </c>
      <c r="BW43" s="9" t="s">
        <v>9122</v>
      </c>
      <c r="BX43" s="9" t="s">
        <v>9123</v>
      </c>
      <c r="BY43" s="9" t="s">
        <v>28</v>
      </c>
      <c r="BZ43" s="9" t="s">
        <v>25</v>
      </c>
      <c r="CA43" s="9"/>
      <c r="CB43" s="9"/>
      <c r="CC43" s="9" t="s">
        <v>28</v>
      </c>
      <c r="CD43" s="9" t="s">
        <v>9194</v>
      </c>
      <c r="CE43" s="9" t="s">
        <v>25</v>
      </c>
      <c r="CF43" s="9"/>
      <c r="CG43" s="9"/>
      <c r="CH43" s="9"/>
      <c r="CI43" s="9" t="s">
        <v>635</v>
      </c>
      <c r="CJ43" s="9"/>
    </row>
    <row r="44" spans="1:88" ht="51" x14ac:dyDescent="0.2">
      <c r="A44" s="31" t="s">
        <v>165</v>
      </c>
      <c r="B44" s="9" t="s">
        <v>9102</v>
      </c>
      <c r="C44" s="9" t="s">
        <v>9102</v>
      </c>
      <c r="D44" s="9" t="s">
        <v>9128</v>
      </c>
      <c r="E44" s="9" t="s">
        <v>9102</v>
      </c>
      <c r="F44" s="9" t="s">
        <v>9102</v>
      </c>
      <c r="G44" s="9" t="s">
        <v>9102</v>
      </c>
      <c r="H44" s="9" t="s">
        <v>28</v>
      </c>
      <c r="I44" s="9" t="s">
        <v>9129</v>
      </c>
      <c r="J44" s="9" t="s">
        <v>25</v>
      </c>
      <c r="K44" s="9" t="s">
        <v>9105</v>
      </c>
      <c r="L44" s="9"/>
      <c r="M44" s="9"/>
      <c r="N44" s="9" t="s">
        <v>28</v>
      </c>
      <c r="O44" s="9" t="s">
        <v>28</v>
      </c>
      <c r="P44" s="9" t="s">
        <v>28</v>
      </c>
      <c r="Q44" s="9" t="s">
        <v>28</v>
      </c>
      <c r="R44" s="9" t="s">
        <v>28</v>
      </c>
      <c r="S44" s="9" t="s">
        <v>25</v>
      </c>
      <c r="T44" s="9" t="s">
        <v>25</v>
      </c>
      <c r="U44" s="9" t="s">
        <v>25</v>
      </c>
      <c r="V44" s="9" t="s">
        <v>28</v>
      </c>
      <c r="W44" s="9" t="s">
        <v>25</v>
      </c>
      <c r="X44" s="9" t="s">
        <v>25</v>
      </c>
      <c r="Y44" s="9" t="s">
        <v>28</v>
      </c>
      <c r="Z44" s="9" t="s">
        <v>28</v>
      </c>
      <c r="AA44" s="9" t="s">
        <v>2185</v>
      </c>
      <c r="AB44" s="9"/>
      <c r="AC44" s="9"/>
      <c r="AD44" s="9"/>
      <c r="AE44" s="9"/>
      <c r="AF44" s="9" t="s">
        <v>9176</v>
      </c>
      <c r="AG44" s="9" t="s">
        <v>9181</v>
      </c>
      <c r="AH44" s="9" t="s">
        <v>2185</v>
      </c>
      <c r="AI44" s="9" t="s">
        <v>9111</v>
      </c>
      <c r="AJ44" s="9" t="s">
        <v>9105</v>
      </c>
      <c r="AK44" s="9" t="s">
        <v>2159</v>
      </c>
      <c r="AL44" s="9" t="s">
        <v>9153</v>
      </c>
      <c r="AM44" s="9"/>
      <c r="AN44" s="9"/>
      <c r="AO44" s="9" t="s">
        <v>2201</v>
      </c>
      <c r="AP44" s="9"/>
      <c r="AQ44" s="39"/>
      <c r="AR44" s="9" t="s">
        <v>25</v>
      </c>
      <c r="AS44" s="9"/>
      <c r="AT44" s="9"/>
      <c r="AU44" s="39"/>
      <c r="AV44" s="9" t="s">
        <v>9310</v>
      </c>
      <c r="AW44" s="9" t="s">
        <v>635</v>
      </c>
      <c r="AX44" s="9" t="s">
        <v>9138</v>
      </c>
      <c r="AY44" s="9"/>
      <c r="AZ44" s="9"/>
      <c r="BA44" s="9"/>
      <c r="BB44" s="9"/>
      <c r="BC44" s="9"/>
      <c r="BD44" s="9"/>
      <c r="BE44" s="9"/>
      <c r="BF44" s="9"/>
      <c r="BG44" s="9"/>
      <c r="BH44" s="9"/>
      <c r="BI44" s="9"/>
      <c r="BJ44" s="9"/>
      <c r="BK44" s="9" t="s">
        <v>25</v>
      </c>
      <c r="BL44" s="9" t="s">
        <v>25</v>
      </c>
      <c r="BM44" s="9" t="s">
        <v>25</v>
      </c>
      <c r="BN44" s="9" t="s">
        <v>25</v>
      </c>
      <c r="BO44" s="9" t="s">
        <v>25</v>
      </c>
      <c r="BP44" s="39"/>
      <c r="BQ44" s="39"/>
      <c r="BR44" s="39"/>
      <c r="BS44" s="39"/>
      <c r="BT44" s="39"/>
      <c r="BU44" s="9" t="s">
        <v>9167</v>
      </c>
      <c r="BV44" s="9" t="s">
        <v>9121</v>
      </c>
      <c r="BW44" s="9" t="s">
        <v>9122</v>
      </c>
      <c r="BX44" s="9" t="s">
        <v>9123</v>
      </c>
      <c r="BY44" s="9" t="s">
        <v>25</v>
      </c>
      <c r="BZ44" s="9" t="s">
        <v>25</v>
      </c>
      <c r="CA44" s="9"/>
      <c r="CB44" s="9"/>
      <c r="CC44" s="9" t="s">
        <v>25</v>
      </c>
      <c r="CD44" s="9"/>
      <c r="CE44" s="9" t="s">
        <v>25</v>
      </c>
      <c r="CF44" s="9"/>
      <c r="CG44" s="9"/>
      <c r="CH44" s="9"/>
      <c r="CI44" s="9" t="s">
        <v>9199</v>
      </c>
      <c r="CJ44" s="9"/>
    </row>
    <row r="45" spans="1:88" ht="76.5" x14ac:dyDescent="0.2">
      <c r="A45" s="31" t="s">
        <v>129</v>
      </c>
      <c r="B45" s="9" t="s">
        <v>9103</v>
      </c>
      <c r="C45" s="9" t="s">
        <v>9103</v>
      </c>
      <c r="D45" s="9" t="s">
        <v>9103</v>
      </c>
      <c r="E45" s="9" t="s">
        <v>9103</v>
      </c>
      <c r="F45" s="9" t="s">
        <v>9103</v>
      </c>
      <c r="G45" s="9" t="s">
        <v>9103</v>
      </c>
      <c r="H45" s="9" t="s">
        <v>28</v>
      </c>
      <c r="I45" s="9" t="s">
        <v>9147</v>
      </c>
      <c r="J45" s="9" t="s">
        <v>28</v>
      </c>
      <c r="K45" s="9" t="s">
        <v>9105</v>
      </c>
      <c r="L45" s="9" t="s">
        <v>9208</v>
      </c>
      <c r="M45" s="9" t="s">
        <v>9209</v>
      </c>
      <c r="N45" s="9" t="s">
        <v>28</v>
      </c>
      <c r="O45" s="9" t="s">
        <v>28</v>
      </c>
      <c r="P45" s="9" t="s">
        <v>28</v>
      </c>
      <c r="Q45" s="9" t="s">
        <v>28</v>
      </c>
      <c r="R45" s="9" t="s">
        <v>28</v>
      </c>
      <c r="S45" s="9" t="s">
        <v>28</v>
      </c>
      <c r="T45" s="9" t="s">
        <v>25</v>
      </c>
      <c r="U45" s="9" t="s">
        <v>25</v>
      </c>
      <c r="V45" s="9" t="s">
        <v>28</v>
      </c>
      <c r="W45" s="9" t="s">
        <v>25</v>
      </c>
      <c r="X45" s="9" t="s">
        <v>28</v>
      </c>
      <c r="Y45" s="9" t="s">
        <v>28</v>
      </c>
      <c r="Z45" s="9" t="s">
        <v>28</v>
      </c>
      <c r="AA45" s="9" t="s">
        <v>9210</v>
      </c>
      <c r="AB45" s="9" t="s">
        <v>28</v>
      </c>
      <c r="AC45" s="9" t="s">
        <v>9105</v>
      </c>
      <c r="AD45" s="9" t="s">
        <v>13851</v>
      </c>
      <c r="AE45" s="9" t="s">
        <v>9210</v>
      </c>
      <c r="AF45" s="9" t="s">
        <v>9150</v>
      </c>
      <c r="AG45" s="9" t="s">
        <v>9151</v>
      </c>
      <c r="AH45" s="9" t="s">
        <v>9210</v>
      </c>
      <c r="AI45" s="9" t="s">
        <v>9111</v>
      </c>
      <c r="AJ45" s="9" t="s">
        <v>9162</v>
      </c>
      <c r="AK45" s="9" t="s">
        <v>2159</v>
      </c>
      <c r="AL45" s="9" t="s">
        <v>41</v>
      </c>
      <c r="AM45" s="9"/>
      <c r="AN45" s="9"/>
      <c r="AO45" s="9" t="s">
        <v>28</v>
      </c>
      <c r="AP45" s="9" t="s">
        <v>673</v>
      </c>
      <c r="AQ45" s="39">
        <v>300</v>
      </c>
      <c r="AR45" s="9" t="s">
        <v>28</v>
      </c>
      <c r="AS45" s="9" t="s">
        <v>13868</v>
      </c>
      <c r="AT45" s="9"/>
      <c r="AU45" s="39">
        <v>300</v>
      </c>
      <c r="AV45" s="9" t="s">
        <v>9115</v>
      </c>
      <c r="AW45" s="9" t="s">
        <v>13464</v>
      </c>
      <c r="AX45" s="9" t="s">
        <v>9154</v>
      </c>
      <c r="AY45" s="9" t="s">
        <v>13876</v>
      </c>
      <c r="AZ45" s="9" t="s">
        <v>9191</v>
      </c>
      <c r="BA45" s="9" t="s">
        <v>9191</v>
      </c>
      <c r="BB45" s="9" t="s">
        <v>9211</v>
      </c>
      <c r="BC45" s="9" t="s">
        <v>9212</v>
      </c>
      <c r="BD45" s="9" t="s">
        <v>9212</v>
      </c>
      <c r="BE45" s="9" t="s">
        <v>9213</v>
      </c>
      <c r="BF45" s="9" t="s">
        <v>9214</v>
      </c>
      <c r="BG45" s="9" t="s">
        <v>9211</v>
      </c>
      <c r="BH45" s="9" t="s">
        <v>9215</v>
      </c>
      <c r="BI45" s="9" t="s">
        <v>29</v>
      </c>
      <c r="BJ45" s="9" t="s">
        <v>9211</v>
      </c>
      <c r="BK45" s="9" t="s">
        <v>9119</v>
      </c>
      <c r="BL45" s="9" t="s">
        <v>25</v>
      </c>
      <c r="BM45" s="9" t="s">
        <v>25</v>
      </c>
      <c r="BN45" s="9" t="s">
        <v>25</v>
      </c>
      <c r="BO45" s="9" t="s">
        <v>25</v>
      </c>
      <c r="BP45" s="39"/>
      <c r="BQ45" s="39"/>
      <c r="BR45" s="39"/>
      <c r="BS45" s="39"/>
      <c r="BT45" s="39"/>
      <c r="BU45" s="9" t="s">
        <v>9120</v>
      </c>
      <c r="BV45" s="9" t="s">
        <v>9168</v>
      </c>
      <c r="BW45" s="9" t="s">
        <v>9122</v>
      </c>
      <c r="BX45" s="9" t="s">
        <v>9158</v>
      </c>
      <c r="BY45" s="9" t="s">
        <v>28</v>
      </c>
      <c r="BZ45" s="9" t="s">
        <v>25</v>
      </c>
      <c r="CA45" s="9" t="s">
        <v>9216</v>
      </c>
      <c r="CB45" s="9" t="s">
        <v>13474</v>
      </c>
      <c r="CC45" s="9" t="s">
        <v>28</v>
      </c>
      <c r="CD45" s="9" t="s">
        <v>13480</v>
      </c>
      <c r="CE45" s="9" t="s">
        <v>25</v>
      </c>
      <c r="CF45" s="9"/>
      <c r="CG45" s="9"/>
      <c r="CH45" s="9"/>
      <c r="CI45" s="9" t="s">
        <v>9217</v>
      </c>
      <c r="CJ45" s="9"/>
    </row>
    <row r="46" spans="1:88" ht="63.75" x14ac:dyDescent="0.2">
      <c r="A46" s="31" t="s">
        <v>153</v>
      </c>
      <c r="B46" s="9" t="s">
        <v>9128</v>
      </c>
      <c r="C46" s="9" t="s">
        <v>9102</v>
      </c>
      <c r="D46" s="9" t="s">
        <v>9102</v>
      </c>
      <c r="E46" s="9" t="s">
        <v>9102</v>
      </c>
      <c r="F46" s="9" t="s">
        <v>9103</v>
      </c>
      <c r="G46" s="9" t="s">
        <v>9102</v>
      </c>
      <c r="H46" s="9"/>
      <c r="I46" s="9"/>
      <c r="J46" s="9"/>
      <c r="K46" s="9"/>
      <c r="L46" s="9"/>
      <c r="M46" s="9"/>
      <c r="N46" s="9"/>
      <c r="O46" s="9"/>
      <c r="P46" s="9"/>
      <c r="Q46" s="9"/>
      <c r="R46" s="9"/>
      <c r="S46" s="9"/>
      <c r="T46" s="9"/>
      <c r="U46" s="9"/>
      <c r="V46" s="9"/>
      <c r="W46" s="9"/>
      <c r="X46" s="9"/>
      <c r="Y46" s="9"/>
      <c r="Z46" s="9"/>
      <c r="AA46" s="9"/>
      <c r="AB46" s="9"/>
      <c r="AC46" s="9"/>
      <c r="AD46" s="9"/>
      <c r="AE46" s="9"/>
      <c r="AF46" s="9" t="s">
        <v>9176</v>
      </c>
      <c r="AG46" s="9" t="s">
        <v>9181</v>
      </c>
      <c r="AH46" s="9"/>
      <c r="AI46" s="9" t="s">
        <v>9111</v>
      </c>
      <c r="AJ46" s="9" t="s">
        <v>9105</v>
      </c>
      <c r="AK46" s="9" t="s">
        <v>9112</v>
      </c>
      <c r="AL46" s="9" t="s">
        <v>9153</v>
      </c>
      <c r="AM46" s="9"/>
      <c r="AN46" s="9"/>
      <c r="AO46" s="9" t="s">
        <v>2201</v>
      </c>
      <c r="AP46" s="9"/>
      <c r="AQ46" s="39"/>
      <c r="AR46" s="9" t="s">
        <v>25</v>
      </c>
      <c r="AS46" s="9"/>
      <c r="AT46" s="9"/>
      <c r="AU46" s="39"/>
      <c r="AV46" s="9" t="s">
        <v>9130</v>
      </c>
      <c r="AW46" s="9" t="s">
        <v>13874</v>
      </c>
      <c r="AX46" s="9" t="s">
        <v>9131</v>
      </c>
      <c r="AY46" s="9" t="s">
        <v>9279</v>
      </c>
      <c r="AZ46" s="9"/>
      <c r="BA46" s="9"/>
      <c r="BB46" s="9"/>
      <c r="BC46" s="9"/>
      <c r="BD46" s="9"/>
      <c r="BE46" s="9"/>
      <c r="BF46" s="9" t="s">
        <v>9280</v>
      </c>
      <c r="BG46" s="9"/>
      <c r="BH46" s="9"/>
      <c r="BI46" s="9"/>
      <c r="BJ46" s="9"/>
      <c r="BK46" s="9" t="s">
        <v>25</v>
      </c>
      <c r="BL46" s="9" t="s">
        <v>25</v>
      </c>
      <c r="BM46" s="9" t="s">
        <v>25</v>
      </c>
      <c r="BN46" s="9" t="s">
        <v>25</v>
      </c>
      <c r="BO46" s="9" t="s">
        <v>9119</v>
      </c>
      <c r="BP46" s="39"/>
      <c r="BQ46" s="39"/>
      <c r="BR46" s="39"/>
      <c r="BS46" s="39"/>
      <c r="BT46" s="39"/>
      <c r="BU46" s="9" t="s">
        <v>9120</v>
      </c>
      <c r="BV46" s="9" t="s">
        <v>9121</v>
      </c>
      <c r="BW46" s="9" t="s">
        <v>9122</v>
      </c>
      <c r="BX46" s="9"/>
      <c r="BY46" s="9" t="s">
        <v>28</v>
      </c>
      <c r="BZ46" s="9" t="s">
        <v>25</v>
      </c>
      <c r="CA46" s="9" t="s">
        <v>9225</v>
      </c>
      <c r="CB46" s="9" t="s">
        <v>9281</v>
      </c>
      <c r="CC46" s="9" t="s">
        <v>25</v>
      </c>
      <c r="CD46" s="9"/>
      <c r="CE46" s="9" t="s">
        <v>25</v>
      </c>
      <c r="CF46" s="9"/>
      <c r="CG46" s="9"/>
      <c r="CH46" s="9"/>
      <c r="CI46" s="9" t="s">
        <v>4751</v>
      </c>
      <c r="CJ46" s="9"/>
    </row>
    <row r="47" spans="1:88" ht="63.75" x14ac:dyDescent="0.2">
      <c r="A47" s="31" t="s">
        <v>164</v>
      </c>
      <c r="B47" s="9" t="s">
        <v>9128</v>
      </c>
      <c r="C47" s="9" t="s">
        <v>9103</v>
      </c>
      <c r="D47" s="9" t="s">
        <v>9103</v>
      </c>
      <c r="E47" s="9" t="s">
        <v>9102</v>
      </c>
      <c r="F47" s="9" t="s">
        <v>9102</v>
      </c>
      <c r="G47" s="9" t="s">
        <v>9103</v>
      </c>
      <c r="H47" s="9"/>
      <c r="I47" s="9"/>
      <c r="J47" s="9"/>
      <c r="K47" s="9"/>
      <c r="L47" s="9"/>
      <c r="M47" s="9"/>
      <c r="N47" s="9"/>
      <c r="O47" s="9"/>
      <c r="P47" s="9"/>
      <c r="Q47" s="9"/>
      <c r="R47" s="9"/>
      <c r="S47" s="9"/>
      <c r="T47" s="9"/>
      <c r="U47" s="9"/>
      <c r="V47" s="9"/>
      <c r="W47" s="9"/>
      <c r="X47" s="9"/>
      <c r="Y47" s="9"/>
      <c r="Z47" s="9"/>
      <c r="AA47" s="9"/>
      <c r="AB47" s="9" t="s">
        <v>28</v>
      </c>
      <c r="AC47" s="9" t="s">
        <v>9189</v>
      </c>
      <c r="AD47" s="9" t="s">
        <v>9306</v>
      </c>
      <c r="AE47" s="9" t="s">
        <v>9307</v>
      </c>
      <c r="AF47" s="9" t="s">
        <v>9176</v>
      </c>
      <c r="AG47" s="9" t="s">
        <v>9181</v>
      </c>
      <c r="AH47" s="9" t="s">
        <v>9218</v>
      </c>
      <c r="AI47" s="9" t="s">
        <v>9111</v>
      </c>
      <c r="AJ47" s="9" t="s">
        <v>9105</v>
      </c>
      <c r="AK47" s="9" t="s">
        <v>9260</v>
      </c>
      <c r="AL47" s="9" t="s">
        <v>25</v>
      </c>
      <c r="AM47" s="9"/>
      <c r="AN47" s="9"/>
      <c r="AO47" s="9" t="s">
        <v>28</v>
      </c>
      <c r="AP47" s="9" t="s">
        <v>9164</v>
      </c>
      <c r="AQ47" s="39"/>
      <c r="AR47" s="9" t="s">
        <v>25</v>
      </c>
      <c r="AS47" s="9"/>
      <c r="AT47" s="9"/>
      <c r="AU47" s="39"/>
      <c r="AV47" s="9" t="s">
        <v>9228</v>
      </c>
      <c r="AW47" s="9" t="s">
        <v>635</v>
      </c>
      <c r="AX47" s="9" t="s">
        <v>9131</v>
      </c>
      <c r="AY47" s="9" t="s">
        <v>13881</v>
      </c>
      <c r="AZ47" s="9"/>
      <c r="BA47" s="9"/>
      <c r="BB47" s="9" t="s">
        <v>9308</v>
      </c>
      <c r="BC47" s="9" t="s">
        <v>9308</v>
      </c>
      <c r="BD47" s="9" t="s">
        <v>9308</v>
      </c>
      <c r="BE47" s="9" t="s">
        <v>9308</v>
      </c>
      <c r="BF47" s="9" t="s">
        <v>9308</v>
      </c>
      <c r="BG47" s="9" t="s">
        <v>9308</v>
      </c>
      <c r="BH47" s="9" t="s">
        <v>9308</v>
      </c>
      <c r="BI47" s="9"/>
      <c r="BJ47" s="9" t="s">
        <v>9308</v>
      </c>
      <c r="BK47" s="9" t="s">
        <v>25</v>
      </c>
      <c r="BL47" s="9" t="s">
        <v>25</v>
      </c>
      <c r="BM47" s="9" t="s">
        <v>25</v>
      </c>
      <c r="BN47" s="9" t="s">
        <v>28</v>
      </c>
      <c r="BO47" s="9" t="s">
        <v>41</v>
      </c>
      <c r="BP47" s="39"/>
      <c r="BQ47" s="39"/>
      <c r="BR47" s="39"/>
      <c r="BS47" s="39"/>
      <c r="BT47" s="39"/>
      <c r="BU47" s="9" t="s">
        <v>9120</v>
      </c>
      <c r="BV47" s="9" t="s">
        <v>9168</v>
      </c>
      <c r="BW47" s="9" t="s">
        <v>9122</v>
      </c>
      <c r="BX47" s="9" t="s">
        <v>9158</v>
      </c>
      <c r="BY47" s="9" t="s">
        <v>28</v>
      </c>
      <c r="BZ47" s="9" t="s">
        <v>28</v>
      </c>
      <c r="CA47" s="9" t="s">
        <v>9309</v>
      </c>
      <c r="CB47" s="9" t="s">
        <v>13478</v>
      </c>
      <c r="CC47" s="9" t="s">
        <v>28</v>
      </c>
      <c r="CD47" s="9" t="s">
        <v>13479</v>
      </c>
      <c r="CE47" s="9" t="s">
        <v>25</v>
      </c>
      <c r="CF47" s="9"/>
      <c r="CG47" s="9"/>
      <c r="CH47" s="9"/>
      <c r="CI47" s="9" t="s">
        <v>9194</v>
      </c>
      <c r="CJ47" s="9"/>
    </row>
    <row r="48" spans="1:88" ht="51" x14ac:dyDescent="0.2">
      <c r="A48" s="31" t="s">
        <v>155</v>
      </c>
      <c r="B48" s="9" t="s">
        <v>9103</v>
      </c>
      <c r="C48" s="9" t="s">
        <v>9102</v>
      </c>
      <c r="D48" s="9" t="s">
        <v>9102</v>
      </c>
      <c r="E48" s="9" t="s">
        <v>9102</v>
      </c>
      <c r="F48" s="9" t="s">
        <v>9102</v>
      </c>
      <c r="G48" s="9" t="s">
        <v>9102</v>
      </c>
      <c r="H48" s="9" t="s">
        <v>28</v>
      </c>
      <c r="I48" s="9" t="s">
        <v>9147</v>
      </c>
      <c r="J48" s="9" t="s">
        <v>28</v>
      </c>
      <c r="K48" s="9" t="s">
        <v>9105</v>
      </c>
      <c r="L48" s="9" t="s">
        <v>9173</v>
      </c>
      <c r="M48" s="9"/>
      <c r="N48" s="9" t="s">
        <v>28</v>
      </c>
      <c r="O48" s="9" t="s">
        <v>28</v>
      </c>
      <c r="P48" s="9" t="s">
        <v>28</v>
      </c>
      <c r="Q48" s="9" t="s">
        <v>28</v>
      </c>
      <c r="R48" s="9" t="s">
        <v>28</v>
      </c>
      <c r="S48" s="9" t="s">
        <v>25</v>
      </c>
      <c r="T48" s="9" t="s">
        <v>25</v>
      </c>
      <c r="U48" s="9" t="s">
        <v>25</v>
      </c>
      <c r="V48" s="9" t="s">
        <v>28</v>
      </c>
      <c r="W48" s="9" t="s">
        <v>25</v>
      </c>
      <c r="X48" s="9" t="s">
        <v>25</v>
      </c>
      <c r="Y48" s="9" t="s">
        <v>28</v>
      </c>
      <c r="Z48" s="9" t="s">
        <v>28</v>
      </c>
      <c r="AA48" s="9" t="s">
        <v>2224</v>
      </c>
      <c r="AB48" s="9" t="s">
        <v>28</v>
      </c>
      <c r="AC48" s="9" t="s">
        <v>9105</v>
      </c>
      <c r="AD48" s="9" t="s">
        <v>9200</v>
      </c>
      <c r="AE48" s="9" t="s">
        <v>2207</v>
      </c>
      <c r="AF48" s="9" t="s">
        <v>9176</v>
      </c>
      <c r="AG48" s="9" t="s">
        <v>9181</v>
      </c>
      <c r="AH48" s="9" t="s">
        <v>13857</v>
      </c>
      <c r="AI48" s="9" t="s">
        <v>9111</v>
      </c>
      <c r="AJ48" s="9" t="s">
        <v>9105</v>
      </c>
      <c r="AK48" s="9" t="s">
        <v>9260</v>
      </c>
      <c r="AL48" s="9" t="s">
        <v>9153</v>
      </c>
      <c r="AM48" s="9"/>
      <c r="AN48" s="9"/>
      <c r="AO48" s="9" t="s">
        <v>28</v>
      </c>
      <c r="AP48" s="9" t="s">
        <v>673</v>
      </c>
      <c r="AQ48" s="39">
        <v>240</v>
      </c>
      <c r="AR48" s="9" t="s">
        <v>25</v>
      </c>
      <c r="AS48" s="9"/>
      <c r="AT48" s="9"/>
      <c r="AU48" s="39"/>
      <c r="AV48" s="9" t="s">
        <v>9274</v>
      </c>
      <c r="AW48" s="9" t="s">
        <v>13463</v>
      </c>
      <c r="AX48" s="9" t="s">
        <v>9131</v>
      </c>
      <c r="AY48" s="9" t="s">
        <v>9283</v>
      </c>
      <c r="AZ48" s="9" t="s">
        <v>9191</v>
      </c>
      <c r="BA48" s="9" t="s">
        <v>9191</v>
      </c>
      <c r="BB48" s="9"/>
      <c r="BC48" s="9"/>
      <c r="BD48" s="9" t="s">
        <v>9191</v>
      </c>
      <c r="BE48" s="9" t="s">
        <v>9284</v>
      </c>
      <c r="BF48" s="9" t="s">
        <v>9212</v>
      </c>
      <c r="BG48" s="9"/>
      <c r="BH48" s="9"/>
      <c r="BI48" s="9"/>
      <c r="BJ48" s="9"/>
      <c r="BK48" s="9" t="s">
        <v>9119</v>
      </c>
      <c r="BL48" s="9" t="s">
        <v>25</v>
      </c>
      <c r="BM48" s="9" t="s">
        <v>25</v>
      </c>
      <c r="BN48" s="9" t="s">
        <v>25</v>
      </c>
      <c r="BO48" s="9" t="s">
        <v>9119</v>
      </c>
      <c r="BP48" s="39"/>
      <c r="BQ48" s="39"/>
      <c r="BR48" s="39"/>
      <c r="BS48" s="39"/>
      <c r="BT48" s="39"/>
      <c r="BU48" s="9" t="s">
        <v>9241</v>
      </c>
      <c r="BV48" s="9" t="s">
        <v>9168</v>
      </c>
      <c r="BW48" s="9" t="s">
        <v>9122</v>
      </c>
      <c r="BX48" s="9" t="s">
        <v>9158</v>
      </c>
      <c r="BY48" s="9" t="s">
        <v>25</v>
      </c>
      <c r="BZ48" s="9" t="s">
        <v>25</v>
      </c>
      <c r="CA48" s="9"/>
      <c r="CB48" s="9"/>
      <c r="CC48" s="9" t="s">
        <v>28</v>
      </c>
      <c r="CD48" s="9" t="s">
        <v>13483</v>
      </c>
      <c r="CE48" s="9" t="s">
        <v>25</v>
      </c>
      <c r="CF48" s="9"/>
      <c r="CG48" s="9"/>
      <c r="CH48" s="9"/>
      <c r="CI48" s="9" t="s">
        <v>9285</v>
      </c>
      <c r="CJ48" s="9" t="s">
        <v>9286</v>
      </c>
    </row>
    <row r="49" spans="1:88" ht="63.75" x14ac:dyDescent="0.2">
      <c r="A49" s="31" t="s">
        <v>128</v>
      </c>
      <c r="B49" s="9" t="s">
        <v>9102</v>
      </c>
      <c r="C49" s="9" t="s">
        <v>9102</v>
      </c>
      <c r="D49" s="9" t="s">
        <v>9102</v>
      </c>
      <c r="E49" s="9" t="s">
        <v>9102</v>
      </c>
      <c r="F49" s="9" t="s">
        <v>9102</v>
      </c>
      <c r="G49" s="9" t="s">
        <v>9102</v>
      </c>
      <c r="H49" s="9" t="s">
        <v>25</v>
      </c>
      <c r="I49" s="9" t="s">
        <v>9104</v>
      </c>
      <c r="J49" s="9" t="s">
        <v>25</v>
      </c>
      <c r="K49" s="9" t="s">
        <v>9105</v>
      </c>
      <c r="L49" s="9"/>
      <c r="M49" s="9"/>
      <c r="N49" s="9" t="s">
        <v>28</v>
      </c>
      <c r="O49" s="9" t="s">
        <v>28</v>
      </c>
      <c r="P49" s="9" t="s">
        <v>28</v>
      </c>
      <c r="Q49" s="9" t="s">
        <v>28</v>
      </c>
      <c r="R49" s="9" t="s">
        <v>28</v>
      </c>
      <c r="S49" s="9" t="s">
        <v>25</v>
      </c>
      <c r="T49" s="9" t="s">
        <v>25</v>
      </c>
      <c r="U49" s="9" t="s">
        <v>25</v>
      </c>
      <c r="V49" s="9" t="s">
        <v>28</v>
      </c>
      <c r="W49" s="9" t="s">
        <v>25</v>
      </c>
      <c r="X49" s="9" t="s">
        <v>28</v>
      </c>
      <c r="Y49" s="9" t="s">
        <v>28</v>
      </c>
      <c r="Z49" s="9" t="s">
        <v>28</v>
      </c>
      <c r="AA49" s="9"/>
      <c r="AB49" s="9" t="s">
        <v>28</v>
      </c>
      <c r="AC49" s="9" t="s">
        <v>9204</v>
      </c>
      <c r="AD49" s="9" t="s">
        <v>9200</v>
      </c>
      <c r="AE49" s="9" t="s">
        <v>2207</v>
      </c>
      <c r="AF49" s="9" t="s">
        <v>9176</v>
      </c>
      <c r="AG49" s="9" t="s">
        <v>9181</v>
      </c>
      <c r="AH49" s="9" t="s">
        <v>9149</v>
      </c>
      <c r="AI49" s="9" t="s">
        <v>9111</v>
      </c>
      <c r="AJ49" s="9" t="s">
        <v>9105</v>
      </c>
      <c r="AK49" s="9" t="s">
        <v>2185</v>
      </c>
      <c r="AL49" s="9" t="s">
        <v>9153</v>
      </c>
      <c r="AM49" s="9"/>
      <c r="AN49" s="9"/>
      <c r="AO49" s="9" t="s">
        <v>2201</v>
      </c>
      <c r="AP49" s="9"/>
      <c r="AQ49" s="39"/>
      <c r="AR49" s="9" t="s">
        <v>25</v>
      </c>
      <c r="AS49" s="9"/>
      <c r="AT49" s="9"/>
      <c r="AU49" s="39"/>
      <c r="AV49" s="9" t="s">
        <v>9183</v>
      </c>
      <c r="AW49" s="9" t="s">
        <v>635</v>
      </c>
      <c r="AX49" s="9" t="s">
        <v>9138</v>
      </c>
      <c r="AY49" s="9"/>
      <c r="AZ49" s="9"/>
      <c r="BA49" s="9"/>
      <c r="BB49" s="9"/>
      <c r="BC49" s="9"/>
      <c r="BD49" s="9"/>
      <c r="BE49" s="9"/>
      <c r="BF49" s="9"/>
      <c r="BG49" s="9"/>
      <c r="BH49" s="9"/>
      <c r="BI49" s="9"/>
      <c r="BJ49" s="9"/>
      <c r="BK49" s="9"/>
      <c r="BL49" s="9"/>
      <c r="BM49" s="9"/>
      <c r="BN49" s="9"/>
      <c r="BO49" s="9"/>
      <c r="BP49" s="39"/>
      <c r="BQ49" s="39"/>
      <c r="BR49" s="39"/>
      <c r="BS49" s="39"/>
      <c r="BT49" s="39"/>
      <c r="BU49" s="9" t="s">
        <v>9205</v>
      </c>
      <c r="BV49" s="9" t="s">
        <v>9121</v>
      </c>
      <c r="BW49" s="9" t="s">
        <v>9135</v>
      </c>
      <c r="BX49" s="9" t="s">
        <v>9123</v>
      </c>
      <c r="BY49" s="9" t="s">
        <v>25</v>
      </c>
      <c r="BZ49" s="9" t="s">
        <v>25</v>
      </c>
      <c r="CA49" s="9" t="s">
        <v>14440</v>
      </c>
      <c r="CB49" s="9" t="s">
        <v>13473</v>
      </c>
      <c r="CC49" s="9" t="s">
        <v>28</v>
      </c>
      <c r="CD49" s="9" t="s">
        <v>9206</v>
      </c>
      <c r="CE49" s="9" t="s">
        <v>25</v>
      </c>
      <c r="CF49" s="9"/>
      <c r="CG49" s="9"/>
      <c r="CH49" s="9"/>
      <c r="CI49" s="9" t="s">
        <v>9207</v>
      </c>
      <c r="CJ49" s="9"/>
    </row>
    <row r="50" spans="1:88" ht="51" x14ac:dyDescent="0.2">
      <c r="A50" s="31" t="s">
        <v>126</v>
      </c>
      <c r="B50" s="9" t="s">
        <v>9102</v>
      </c>
      <c r="C50" s="9" t="s">
        <v>9128</v>
      </c>
      <c r="D50" s="9" t="s">
        <v>9128</v>
      </c>
      <c r="E50" s="9" t="s">
        <v>9128</v>
      </c>
      <c r="F50" s="9" t="s">
        <v>9128</v>
      </c>
      <c r="G50" s="9" t="s">
        <v>9103</v>
      </c>
      <c r="H50" s="9" t="s">
        <v>25</v>
      </c>
      <c r="I50" s="9" t="s">
        <v>9129</v>
      </c>
      <c r="J50" s="9" t="s">
        <v>25</v>
      </c>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39"/>
      <c r="AR50" s="9"/>
      <c r="AS50" s="9"/>
      <c r="AT50" s="9"/>
      <c r="AU50" s="39"/>
      <c r="AV50" s="9" t="s">
        <v>9195</v>
      </c>
      <c r="AW50" s="9" t="s">
        <v>13463</v>
      </c>
      <c r="AX50" s="9" t="s">
        <v>9131</v>
      </c>
      <c r="AY50" s="9" t="s">
        <v>9196</v>
      </c>
      <c r="AZ50" s="9" t="s">
        <v>9197</v>
      </c>
      <c r="BA50" s="9"/>
      <c r="BB50" s="9"/>
      <c r="BC50" s="9"/>
      <c r="BD50" s="9"/>
      <c r="BE50" s="9"/>
      <c r="BF50" s="9" t="s">
        <v>9198</v>
      </c>
      <c r="BG50" s="9"/>
      <c r="BH50" s="9"/>
      <c r="BI50" s="9"/>
      <c r="BJ50" s="9"/>
      <c r="BK50" s="9" t="s">
        <v>9119</v>
      </c>
      <c r="BL50" s="9" t="s">
        <v>25</v>
      </c>
      <c r="BM50" s="9" t="s">
        <v>25</v>
      </c>
      <c r="BN50" s="9" t="s">
        <v>25</v>
      </c>
      <c r="BO50" s="9" t="s">
        <v>9119</v>
      </c>
      <c r="BP50" s="39"/>
      <c r="BQ50" s="39"/>
      <c r="BR50" s="39"/>
      <c r="BS50" s="39"/>
      <c r="BT50" s="39"/>
      <c r="BU50" s="9" t="s">
        <v>9139</v>
      </c>
      <c r="BV50" s="9" t="s">
        <v>9121</v>
      </c>
      <c r="BW50" s="9" t="s">
        <v>9122</v>
      </c>
      <c r="BX50" s="9" t="s">
        <v>9123</v>
      </c>
      <c r="BY50" s="9" t="s">
        <v>25</v>
      </c>
      <c r="BZ50" s="9" t="s">
        <v>25</v>
      </c>
      <c r="CA50" s="9"/>
      <c r="CB50" s="9"/>
      <c r="CC50" s="9" t="s">
        <v>28</v>
      </c>
      <c r="CD50" s="9" t="s">
        <v>14451</v>
      </c>
      <c r="CE50" s="9" t="s">
        <v>28</v>
      </c>
      <c r="CF50" s="9">
        <v>1</v>
      </c>
      <c r="CG50" s="9" t="s">
        <v>9199</v>
      </c>
      <c r="CH50" s="9" t="s">
        <v>9143</v>
      </c>
      <c r="CI50" s="9" t="s">
        <v>635</v>
      </c>
      <c r="CJ50" s="9"/>
    </row>
    <row r="51" spans="1:88" ht="51" x14ac:dyDescent="0.2">
      <c r="A51" s="31" t="s">
        <v>130</v>
      </c>
      <c r="B51" s="9" t="s">
        <v>9128</v>
      </c>
      <c r="C51" s="9" t="s">
        <v>9128</v>
      </c>
      <c r="D51" s="9" t="s">
        <v>9128</v>
      </c>
      <c r="E51" s="9" t="s">
        <v>9128</v>
      </c>
      <c r="F51" s="9" t="s">
        <v>9128</v>
      </c>
      <c r="G51" s="9" t="s">
        <v>9128</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t="s">
        <v>2201</v>
      </c>
      <c r="AP51" s="9"/>
      <c r="AQ51" s="39"/>
      <c r="AR51" s="9" t="s">
        <v>28</v>
      </c>
      <c r="AS51" s="9"/>
      <c r="AT51" s="9"/>
      <c r="AU51" s="39"/>
      <c r="AV51" s="9"/>
      <c r="AW51" s="9"/>
      <c r="AX51" s="9" t="s">
        <v>9131</v>
      </c>
      <c r="AY51" s="9" t="s">
        <v>9132</v>
      </c>
      <c r="AZ51" s="9"/>
      <c r="BA51" s="9"/>
      <c r="BB51" s="9"/>
      <c r="BC51" s="9"/>
      <c r="BD51" s="9"/>
      <c r="BE51" s="9" t="s">
        <v>29</v>
      </c>
      <c r="BF51" s="9"/>
      <c r="BG51" s="9"/>
      <c r="BH51" s="9"/>
      <c r="BI51" s="9"/>
      <c r="BJ51" s="9"/>
      <c r="BK51" s="9" t="s">
        <v>9119</v>
      </c>
      <c r="BL51" s="9" t="s">
        <v>25</v>
      </c>
      <c r="BM51" s="9" t="s">
        <v>25</v>
      </c>
      <c r="BN51" s="9" t="s">
        <v>25</v>
      </c>
      <c r="BO51" s="9" t="s">
        <v>9119</v>
      </c>
      <c r="BP51" s="39"/>
      <c r="BQ51" s="39"/>
      <c r="BR51" s="39"/>
      <c r="BS51" s="39"/>
      <c r="BT51" s="39"/>
      <c r="BU51" s="9" t="s">
        <v>9167</v>
      </c>
      <c r="BV51" s="9" t="s">
        <v>9140</v>
      </c>
      <c r="BW51" s="9" t="s">
        <v>9135</v>
      </c>
      <c r="BX51" s="9" t="s">
        <v>9140</v>
      </c>
      <c r="BY51" s="9" t="s">
        <v>25</v>
      </c>
      <c r="BZ51" s="9" t="s">
        <v>25</v>
      </c>
      <c r="CA51" s="9"/>
      <c r="CB51" s="9"/>
      <c r="CC51" s="9" t="s">
        <v>25</v>
      </c>
      <c r="CD51" s="9"/>
      <c r="CE51" s="9" t="s">
        <v>25</v>
      </c>
      <c r="CF51" s="9"/>
      <c r="CG51" s="9"/>
      <c r="CH51" s="9"/>
      <c r="CI51" s="9" t="s">
        <v>635</v>
      </c>
      <c r="CJ51" s="9"/>
    </row>
    <row r="52" spans="1:88" ht="25.5" x14ac:dyDescent="0.2">
      <c r="A52" s="31" t="s">
        <v>173</v>
      </c>
      <c r="B52" s="9" t="s">
        <v>9128</v>
      </c>
      <c r="C52" s="9" t="s">
        <v>9128</v>
      </c>
      <c r="D52" s="9" t="s">
        <v>9128</v>
      </c>
      <c r="E52" s="9" t="s">
        <v>9128</v>
      </c>
      <c r="F52" s="9" t="s">
        <v>9128</v>
      </c>
      <c r="G52" s="9" t="s">
        <v>9128</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t="s">
        <v>2201</v>
      </c>
      <c r="AP52" s="9"/>
      <c r="AQ52" s="39"/>
      <c r="AR52" s="9" t="s">
        <v>25</v>
      </c>
      <c r="AS52" s="9"/>
      <c r="AT52" s="9"/>
      <c r="AU52" s="39"/>
      <c r="AV52" s="9"/>
      <c r="AW52" s="9"/>
      <c r="AX52" s="9" t="s">
        <v>9116</v>
      </c>
      <c r="AY52" s="9" t="s">
        <v>9325</v>
      </c>
      <c r="AZ52" s="9" t="s">
        <v>9197</v>
      </c>
      <c r="BA52" s="9"/>
      <c r="BB52" s="9" t="s">
        <v>9197</v>
      </c>
      <c r="BC52" s="9" t="s">
        <v>9197</v>
      </c>
      <c r="BD52" s="9" t="s">
        <v>9197</v>
      </c>
      <c r="BE52" s="9"/>
      <c r="BF52" s="9"/>
      <c r="BG52" s="9" t="s">
        <v>9197</v>
      </c>
      <c r="BH52" s="9"/>
      <c r="BI52" s="9"/>
      <c r="BJ52" s="9"/>
      <c r="BK52" s="9" t="s">
        <v>9119</v>
      </c>
      <c r="BL52" s="9" t="s">
        <v>25</v>
      </c>
      <c r="BM52" s="9" t="s">
        <v>25</v>
      </c>
      <c r="BN52" s="9" t="s">
        <v>25</v>
      </c>
      <c r="BO52" s="9" t="s">
        <v>9119</v>
      </c>
      <c r="BP52" s="39"/>
      <c r="BQ52" s="39"/>
      <c r="BR52" s="39"/>
      <c r="BS52" s="39"/>
      <c r="BT52" s="39"/>
      <c r="BU52" s="9" t="s">
        <v>635</v>
      </c>
      <c r="BV52" s="9"/>
      <c r="BW52" s="9" t="s">
        <v>9122</v>
      </c>
      <c r="BX52" s="9"/>
      <c r="BY52" s="9" t="s">
        <v>25</v>
      </c>
      <c r="BZ52" s="9" t="s">
        <v>25</v>
      </c>
      <c r="CA52" s="9"/>
      <c r="CB52" s="9"/>
      <c r="CC52" s="9" t="s">
        <v>28</v>
      </c>
      <c r="CD52" s="9" t="s">
        <v>13485</v>
      </c>
      <c r="CE52" s="9" t="s">
        <v>25</v>
      </c>
      <c r="CF52" s="9"/>
      <c r="CG52" s="9"/>
      <c r="CH52" s="9"/>
      <c r="CI52" s="9" t="s">
        <v>635</v>
      </c>
      <c r="CJ52" s="9"/>
    </row>
    <row r="53" spans="1:88" ht="76.5" x14ac:dyDescent="0.2">
      <c r="A53" s="31" t="s">
        <v>178</v>
      </c>
      <c r="B53" s="9" t="s">
        <v>9103</v>
      </c>
      <c r="C53" s="9" t="s">
        <v>9103</v>
      </c>
      <c r="D53" s="9" t="s">
        <v>9102</v>
      </c>
      <c r="E53" s="9" t="s">
        <v>9102</v>
      </c>
      <c r="F53" s="9" t="s">
        <v>9102</v>
      </c>
      <c r="G53" s="9" t="s">
        <v>9103</v>
      </c>
      <c r="H53" s="9" t="s">
        <v>28</v>
      </c>
      <c r="I53" s="9" t="s">
        <v>9147</v>
      </c>
      <c r="J53" s="9" t="s">
        <v>28</v>
      </c>
      <c r="K53" s="9" t="s">
        <v>9105</v>
      </c>
      <c r="L53" s="9" t="s">
        <v>9208</v>
      </c>
      <c r="M53" s="9"/>
      <c r="N53" s="9" t="s">
        <v>28</v>
      </c>
      <c r="O53" s="9" t="s">
        <v>28</v>
      </c>
      <c r="P53" s="9" t="s">
        <v>28</v>
      </c>
      <c r="Q53" s="9" t="s">
        <v>28</v>
      </c>
      <c r="R53" s="9" t="s">
        <v>28</v>
      </c>
      <c r="S53" s="9" t="s">
        <v>28</v>
      </c>
      <c r="T53" s="9" t="s">
        <v>25</v>
      </c>
      <c r="U53" s="9" t="s">
        <v>25</v>
      </c>
      <c r="V53" s="9" t="s">
        <v>28</v>
      </c>
      <c r="W53" s="9" t="s">
        <v>25</v>
      </c>
      <c r="X53" s="9" t="s">
        <v>28</v>
      </c>
      <c r="Y53" s="9" t="s">
        <v>28</v>
      </c>
      <c r="Z53" s="9" t="s">
        <v>28</v>
      </c>
      <c r="AA53" s="9" t="s">
        <v>13850</v>
      </c>
      <c r="AB53" s="9" t="s">
        <v>28</v>
      </c>
      <c r="AC53" s="9" t="s">
        <v>9105</v>
      </c>
      <c r="AD53" s="9" t="s">
        <v>9332</v>
      </c>
      <c r="AE53" s="9" t="s">
        <v>13850</v>
      </c>
      <c r="AF53" s="9" t="s">
        <v>9176</v>
      </c>
      <c r="AG53" s="9" t="s">
        <v>9181</v>
      </c>
      <c r="AH53" s="9" t="s">
        <v>13853</v>
      </c>
      <c r="AI53" s="9" t="s">
        <v>9111</v>
      </c>
      <c r="AJ53" s="9" t="s">
        <v>9105</v>
      </c>
      <c r="AK53" s="9" t="s">
        <v>13866</v>
      </c>
      <c r="AL53" s="9" t="s">
        <v>9153</v>
      </c>
      <c r="AM53" s="9"/>
      <c r="AN53" s="9"/>
      <c r="AO53" s="9" t="s">
        <v>28</v>
      </c>
      <c r="AP53" s="9" t="s">
        <v>9164</v>
      </c>
      <c r="AQ53" s="39">
        <v>480</v>
      </c>
      <c r="AR53" s="9" t="s">
        <v>25</v>
      </c>
      <c r="AS53" s="9"/>
      <c r="AT53" s="9"/>
      <c r="AU53" s="39"/>
      <c r="AV53" s="9" t="s">
        <v>9165</v>
      </c>
      <c r="AW53" s="9" t="s">
        <v>13875</v>
      </c>
      <c r="AX53" s="9" t="s">
        <v>9131</v>
      </c>
      <c r="AY53" s="9" t="s">
        <v>13876</v>
      </c>
      <c r="AZ53" s="9" t="s">
        <v>9333</v>
      </c>
      <c r="BA53" s="9" t="s">
        <v>9333</v>
      </c>
      <c r="BB53" s="9" t="s">
        <v>9333</v>
      </c>
      <c r="BC53" s="9" t="s">
        <v>9333</v>
      </c>
      <c r="BD53" s="9" t="s">
        <v>9333</v>
      </c>
      <c r="BE53" s="9" t="s">
        <v>9333</v>
      </c>
      <c r="BF53" s="9" t="s">
        <v>9333</v>
      </c>
      <c r="BG53" s="9" t="s">
        <v>9333</v>
      </c>
      <c r="BH53" s="9" t="s">
        <v>9333</v>
      </c>
      <c r="BI53" s="9" t="s">
        <v>9333</v>
      </c>
      <c r="BJ53" s="9" t="s">
        <v>9333</v>
      </c>
      <c r="BK53" s="9" t="s">
        <v>9119</v>
      </c>
      <c r="BL53" s="9" t="s">
        <v>25</v>
      </c>
      <c r="BM53" s="9" t="s">
        <v>25</v>
      </c>
      <c r="BN53" s="9" t="s">
        <v>25</v>
      </c>
      <c r="BO53" s="9" t="s">
        <v>25</v>
      </c>
      <c r="BP53" s="39"/>
      <c r="BQ53" s="39"/>
      <c r="BR53" s="39"/>
      <c r="BS53" s="39"/>
      <c r="BT53" s="39"/>
      <c r="BU53" s="9" t="s">
        <v>9120</v>
      </c>
      <c r="BV53" s="9" t="s">
        <v>9168</v>
      </c>
      <c r="BW53" s="9" t="s">
        <v>9122</v>
      </c>
      <c r="BX53" s="9" t="s">
        <v>9123</v>
      </c>
      <c r="BY53" s="9" t="s">
        <v>25</v>
      </c>
      <c r="BZ53" s="9" t="s">
        <v>25</v>
      </c>
      <c r="CA53" s="9" t="s">
        <v>14441</v>
      </c>
      <c r="CB53" s="9" t="s">
        <v>14450</v>
      </c>
      <c r="CC53" s="9" t="s">
        <v>25</v>
      </c>
      <c r="CD53" s="9"/>
      <c r="CE53" s="9" t="s">
        <v>28</v>
      </c>
      <c r="CF53" s="9" t="s">
        <v>9142</v>
      </c>
      <c r="CG53" s="9" t="s">
        <v>13490</v>
      </c>
      <c r="CH53" s="9" t="s">
        <v>9171</v>
      </c>
      <c r="CI53" s="9"/>
      <c r="CJ53" s="9"/>
    </row>
    <row r="54" spans="1:88" ht="51" x14ac:dyDescent="0.2">
      <c r="A54" s="31" t="s">
        <v>151</v>
      </c>
      <c r="B54" s="9" t="s">
        <v>9128</v>
      </c>
      <c r="C54" s="9" t="s">
        <v>9102</v>
      </c>
      <c r="D54" s="9" t="s">
        <v>9128</v>
      </c>
      <c r="E54" s="9" t="s">
        <v>9128</v>
      </c>
      <c r="F54" s="9" t="s">
        <v>9128</v>
      </c>
      <c r="G54" s="9" t="s">
        <v>9102</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39"/>
      <c r="AR54" s="9"/>
      <c r="AS54" s="9"/>
      <c r="AT54" s="9"/>
      <c r="AU54" s="39"/>
      <c r="AV54" s="9" t="s">
        <v>9195</v>
      </c>
      <c r="AW54" s="9" t="s">
        <v>9166</v>
      </c>
      <c r="AX54" s="9" t="s">
        <v>9138</v>
      </c>
      <c r="AY54" s="9"/>
      <c r="AZ54" s="9"/>
      <c r="BA54" s="9"/>
      <c r="BB54" s="9"/>
      <c r="BC54" s="9"/>
      <c r="BD54" s="9"/>
      <c r="BE54" s="9"/>
      <c r="BF54" s="9"/>
      <c r="BG54" s="9"/>
      <c r="BH54" s="9"/>
      <c r="BI54" s="9"/>
      <c r="BJ54" s="9"/>
      <c r="BK54" s="9"/>
      <c r="BL54" s="9"/>
      <c r="BM54" s="9"/>
      <c r="BN54" s="9"/>
      <c r="BO54" s="9"/>
      <c r="BP54" s="39"/>
      <c r="BQ54" s="39"/>
      <c r="BR54" s="39"/>
      <c r="BS54" s="39"/>
      <c r="BT54" s="39"/>
      <c r="BU54" s="9" t="s">
        <v>9277</v>
      </c>
      <c r="BV54" s="9" t="s">
        <v>9121</v>
      </c>
      <c r="BW54" s="9" t="s">
        <v>9135</v>
      </c>
      <c r="BX54" s="9"/>
      <c r="BY54" s="9"/>
      <c r="BZ54" s="9"/>
      <c r="CA54" s="9"/>
      <c r="CB54" s="9"/>
      <c r="CC54" s="9" t="s">
        <v>25</v>
      </c>
      <c r="CD54" s="9"/>
      <c r="CE54" s="9" t="s">
        <v>25</v>
      </c>
      <c r="CF54" s="9"/>
      <c r="CG54" s="9"/>
      <c r="CH54" s="9"/>
      <c r="CI54" s="9" t="s">
        <v>635</v>
      </c>
      <c r="CJ54" s="9"/>
    </row>
    <row r="55" spans="1:88" ht="51" x14ac:dyDescent="0.2">
      <c r="A55" s="31" t="s">
        <v>172</v>
      </c>
      <c r="B55" s="9" t="s">
        <v>9128</v>
      </c>
      <c r="C55" s="9" t="s">
        <v>9128</v>
      </c>
      <c r="D55" s="9" t="s">
        <v>9128</v>
      </c>
      <c r="E55" s="9" t="s">
        <v>9128</v>
      </c>
      <c r="F55" s="9" t="s">
        <v>9128</v>
      </c>
      <c r="G55" s="9" t="s">
        <v>9128</v>
      </c>
      <c r="H55" s="9"/>
      <c r="I55" s="9"/>
      <c r="J55" s="9"/>
      <c r="K55" s="9"/>
      <c r="L55" s="9"/>
      <c r="M55" s="9"/>
      <c r="N55" s="9"/>
      <c r="O55" s="9"/>
      <c r="P55" s="9"/>
      <c r="Q55" s="9"/>
      <c r="R55" s="9"/>
      <c r="S55" s="9"/>
      <c r="T55" s="9"/>
      <c r="U55" s="9"/>
      <c r="V55" s="9"/>
      <c r="W55" s="9"/>
      <c r="X55" s="9"/>
      <c r="Y55" s="9"/>
      <c r="Z55" s="9"/>
      <c r="AA55" s="9"/>
      <c r="AB55" s="9" t="s">
        <v>25</v>
      </c>
      <c r="AC55" s="9"/>
      <c r="AD55" s="9"/>
      <c r="AE55" s="9"/>
      <c r="AF55" s="9"/>
      <c r="AG55" s="9"/>
      <c r="AH55" s="9"/>
      <c r="AI55" s="9"/>
      <c r="AJ55" s="9"/>
      <c r="AK55" s="9"/>
      <c r="AL55" s="9"/>
      <c r="AM55" s="9"/>
      <c r="AN55" s="9"/>
      <c r="AO55" s="9"/>
      <c r="AP55" s="9"/>
      <c r="AQ55" s="39"/>
      <c r="AR55" s="9"/>
      <c r="AS55" s="9"/>
      <c r="AT55" s="9"/>
      <c r="AU55" s="39"/>
      <c r="AV55" s="9"/>
      <c r="AW55" s="9"/>
      <c r="AX55" s="9" t="s">
        <v>9138</v>
      </c>
      <c r="AY55" s="9"/>
      <c r="AZ55" s="9"/>
      <c r="BA55" s="9"/>
      <c r="BB55" s="9"/>
      <c r="BC55" s="9"/>
      <c r="BD55" s="9"/>
      <c r="BE55" s="9"/>
      <c r="BF55" s="9"/>
      <c r="BG55" s="9"/>
      <c r="BH55" s="9"/>
      <c r="BI55" s="9"/>
      <c r="BJ55" s="9"/>
      <c r="BK55" s="9"/>
      <c r="BL55" s="9"/>
      <c r="BM55" s="9"/>
      <c r="BN55" s="9"/>
      <c r="BO55" s="9"/>
      <c r="BP55" s="39"/>
      <c r="BQ55" s="39"/>
      <c r="BR55" s="39"/>
      <c r="BS55" s="39"/>
      <c r="BT55" s="39"/>
      <c r="BU55" s="9" t="s">
        <v>9139</v>
      </c>
      <c r="BV55" s="9" t="s">
        <v>9121</v>
      </c>
      <c r="BW55" s="9" t="s">
        <v>9122</v>
      </c>
      <c r="BX55" s="9" t="s">
        <v>9140</v>
      </c>
      <c r="BY55" s="9" t="s">
        <v>25</v>
      </c>
      <c r="BZ55" s="9" t="s">
        <v>25</v>
      </c>
      <c r="CA55" s="9"/>
      <c r="CB55" s="9"/>
      <c r="CC55" s="9" t="s">
        <v>25</v>
      </c>
      <c r="CD55" s="9"/>
      <c r="CE55" s="9" t="s">
        <v>25</v>
      </c>
      <c r="CF55" s="9"/>
      <c r="CG55" s="9"/>
      <c r="CH55" s="9"/>
      <c r="CI55" s="9" t="s">
        <v>635</v>
      </c>
      <c r="CJ55" s="9"/>
    </row>
    <row r="56" spans="1:88" ht="63.75" x14ac:dyDescent="0.2">
      <c r="A56" s="31" t="s">
        <v>119</v>
      </c>
      <c r="B56" s="9" t="s">
        <v>9128</v>
      </c>
      <c r="C56" s="9" t="s">
        <v>9128</v>
      </c>
      <c r="D56" s="9" t="s">
        <v>9128</v>
      </c>
      <c r="E56" s="9" t="s">
        <v>9128</v>
      </c>
      <c r="F56" s="9" t="s">
        <v>9128</v>
      </c>
      <c r="G56" s="9" t="s">
        <v>9128</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39"/>
      <c r="AR56" s="9"/>
      <c r="AS56" s="9"/>
      <c r="AT56" s="9"/>
      <c r="AU56" s="39"/>
      <c r="AV56" s="9"/>
      <c r="AW56" s="9"/>
      <c r="AX56" s="9" t="s">
        <v>9138</v>
      </c>
      <c r="AY56" s="9"/>
      <c r="AZ56" s="9"/>
      <c r="BA56" s="9"/>
      <c r="BB56" s="9"/>
      <c r="BC56" s="9"/>
      <c r="BD56" s="9"/>
      <c r="BE56" s="9"/>
      <c r="BF56" s="9"/>
      <c r="BG56" s="9"/>
      <c r="BH56" s="9"/>
      <c r="BI56" s="9"/>
      <c r="BJ56" s="9"/>
      <c r="BK56" s="9"/>
      <c r="BL56" s="9"/>
      <c r="BM56" s="9"/>
      <c r="BN56" s="9"/>
      <c r="BO56" s="9"/>
      <c r="BP56" s="39"/>
      <c r="BQ56" s="39"/>
      <c r="BR56" s="39"/>
      <c r="BS56" s="39"/>
      <c r="BT56" s="39"/>
      <c r="BU56" s="9" t="s">
        <v>9139</v>
      </c>
      <c r="BV56" s="9" t="s">
        <v>9140</v>
      </c>
      <c r="BW56" s="9" t="s">
        <v>9135</v>
      </c>
      <c r="BX56" s="9" t="s">
        <v>9140</v>
      </c>
      <c r="BY56" s="9" t="s">
        <v>25</v>
      </c>
      <c r="BZ56" s="9" t="s">
        <v>25</v>
      </c>
      <c r="CA56" s="9"/>
      <c r="CB56" s="9"/>
      <c r="CC56" s="9" t="s">
        <v>28</v>
      </c>
      <c r="CD56" s="9" t="s">
        <v>14452</v>
      </c>
      <c r="CE56" s="9" t="s">
        <v>28</v>
      </c>
      <c r="CF56" s="9" t="s">
        <v>9142</v>
      </c>
      <c r="CG56" s="9" t="s">
        <v>9141</v>
      </c>
      <c r="CH56" s="9" t="s">
        <v>9143</v>
      </c>
      <c r="CI56" s="9" t="s">
        <v>9144</v>
      </c>
      <c r="CJ56" s="9" t="s">
        <v>9145</v>
      </c>
    </row>
    <row r="57" spans="1:88" ht="76.5" x14ac:dyDescent="0.2">
      <c r="A57" s="31" t="s">
        <v>146</v>
      </c>
      <c r="B57" s="9" t="s">
        <v>9103</v>
      </c>
      <c r="C57" s="9" t="s">
        <v>9103</v>
      </c>
      <c r="D57" s="9" t="s">
        <v>9103</v>
      </c>
      <c r="E57" s="9" t="s">
        <v>9103</v>
      </c>
      <c r="F57" s="9" t="s">
        <v>9103</v>
      </c>
      <c r="G57" s="9" t="s">
        <v>9103</v>
      </c>
      <c r="H57" s="9" t="s">
        <v>28</v>
      </c>
      <c r="I57" s="9" t="s">
        <v>9104</v>
      </c>
      <c r="J57" s="9" t="s">
        <v>28</v>
      </c>
      <c r="K57" s="9" t="s">
        <v>9105</v>
      </c>
      <c r="L57" s="9" t="s">
        <v>13845</v>
      </c>
      <c r="M57" s="9"/>
      <c r="N57" s="9" t="s">
        <v>28</v>
      </c>
      <c r="O57" s="9" t="s">
        <v>28</v>
      </c>
      <c r="P57" s="9" t="s">
        <v>28</v>
      </c>
      <c r="Q57" s="9" t="s">
        <v>28</v>
      </c>
      <c r="R57" s="9" t="s">
        <v>28</v>
      </c>
      <c r="S57" s="9" t="s">
        <v>28</v>
      </c>
      <c r="T57" s="9"/>
      <c r="U57" s="9"/>
      <c r="V57" s="9" t="s">
        <v>28</v>
      </c>
      <c r="W57" s="9"/>
      <c r="X57" s="9" t="s">
        <v>28</v>
      </c>
      <c r="Y57" s="9" t="s">
        <v>28</v>
      </c>
      <c r="Z57" s="9" t="s">
        <v>28</v>
      </c>
      <c r="AA57" s="9" t="s">
        <v>2207</v>
      </c>
      <c r="AB57" s="9" t="s">
        <v>28</v>
      </c>
      <c r="AC57" s="9" t="s">
        <v>9105</v>
      </c>
      <c r="AD57" s="9" t="s">
        <v>13852</v>
      </c>
      <c r="AE57" s="9" t="s">
        <v>2207</v>
      </c>
      <c r="AF57" s="9" t="s">
        <v>9176</v>
      </c>
      <c r="AG57" s="9" t="s">
        <v>9181</v>
      </c>
      <c r="AH57" s="9" t="s">
        <v>2207</v>
      </c>
      <c r="AI57" s="9" t="s">
        <v>9111</v>
      </c>
      <c r="AJ57" s="9" t="s">
        <v>9105</v>
      </c>
      <c r="AK57" s="9" t="s">
        <v>2185</v>
      </c>
      <c r="AL57" s="9" t="s">
        <v>25</v>
      </c>
      <c r="AM57" s="9"/>
      <c r="AN57" s="9"/>
      <c r="AO57" s="9" t="s">
        <v>2201</v>
      </c>
      <c r="AP57" s="9"/>
      <c r="AQ57" s="39"/>
      <c r="AR57" s="9" t="s">
        <v>25</v>
      </c>
      <c r="AS57" s="9"/>
      <c r="AT57" s="9"/>
      <c r="AU57" s="39"/>
      <c r="AV57" s="9" t="s">
        <v>9165</v>
      </c>
      <c r="AW57" s="9" t="s">
        <v>635</v>
      </c>
      <c r="AX57" s="9" t="s">
        <v>9131</v>
      </c>
      <c r="AY57" s="9" t="s">
        <v>13878</v>
      </c>
      <c r="AZ57" s="9"/>
      <c r="BA57" s="9" t="s">
        <v>9262</v>
      </c>
      <c r="BB57" s="9" t="s">
        <v>9262</v>
      </c>
      <c r="BC57" s="9" t="s">
        <v>9262</v>
      </c>
      <c r="BD57" s="9" t="s">
        <v>9262</v>
      </c>
      <c r="BE57" s="9" t="s">
        <v>9262</v>
      </c>
      <c r="BF57" s="9" t="s">
        <v>9262</v>
      </c>
      <c r="BG57" s="9" t="s">
        <v>9262</v>
      </c>
      <c r="BH57" s="9" t="s">
        <v>9262</v>
      </c>
      <c r="BI57" s="9" t="s">
        <v>9262</v>
      </c>
      <c r="BJ57" s="9" t="s">
        <v>9262</v>
      </c>
      <c r="BK57" s="9" t="s">
        <v>25</v>
      </c>
      <c r="BL57" s="9" t="s">
        <v>25</v>
      </c>
      <c r="BM57" s="9" t="s">
        <v>25</v>
      </c>
      <c r="BN57" s="9" t="s">
        <v>25</v>
      </c>
      <c r="BO57" s="9" t="s">
        <v>25</v>
      </c>
      <c r="BP57" s="39"/>
      <c r="BQ57" s="39"/>
      <c r="BR57" s="39"/>
      <c r="BS57" s="39"/>
      <c r="BT57" s="39"/>
      <c r="BU57" s="9" t="s">
        <v>9178</v>
      </c>
      <c r="BV57" s="9" t="s">
        <v>9168</v>
      </c>
      <c r="BW57" s="9" t="s">
        <v>9263</v>
      </c>
      <c r="BX57" s="9" t="s">
        <v>9158</v>
      </c>
      <c r="BY57" s="9" t="s">
        <v>28</v>
      </c>
      <c r="BZ57" s="9" t="s">
        <v>25</v>
      </c>
      <c r="CA57" s="9" t="s">
        <v>14442</v>
      </c>
      <c r="CB57" s="9" t="s">
        <v>14450</v>
      </c>
      <c r="CC57" s="9" t="s">
        <v>28</v>
      </c>
      <c r="CD57" s="9" t="s">
        <v>13479</v>
      </c>
      <c r="CE57" s="9" t="s">
        <v>25</v>
      </c>
      <c r="CF57" s="9"/>
      <c r="CG57" s="9"/>
      <c r="CH57" s="9"/>
      <c r="CI57" s="9" t="s">
        <v>14453</v>
      </c>
      <c r="CJ57" s="9"/>
    </row>
    <row r="58" spans="1:88" ht="63.75" x14ac:dyDescent="0.2">
      <c r="A58" s="31" t="s">
        <v>149</v>
      </c>
      <c r="B58" s="9" t="s">
        <v>9102</v>
      </c>
      <c r="C58" s="9" t="s">
        <v>9102</v>
      </c>
      <c r="D58" s="9" t="s">
        <v>9102</v>
      </c>
      <c r="E58" s="9" t="s">
        <v>9102</v>
      </c>
      <c r="F58" s="9" t="s">
        <v>9102</v>
      </c>
      <c r="G58" s="9" t="s">
        <v>9102</v>
      </c>
      <c r="H58" s="9" t="s">
        <v>25</v>
      </c>
      <c r="I58" s="9" t="s">
        <v>9147</v>
      </c>
      <c r="J58" s="9" t="s">
        <v>28</v>
      </c>
      <c r="K58" s="9" t="s">
        <v>9105</v>
      </c>
      <c r="L58" s="9" t="s">
        <v>9270</v>
      </c>
      <c r="M58" s="9"/>
      <c r="N58" s="9" t="s">
        <v>28</v>
      </c>
      <c r="O58" s="9" t="s">
        <v>28</v>
      </c>
      <c r="P58" s="9" t="s">
        <v>28</v>
      </c>
      <c r="Q58" s="9" t="s">
        <v>28</v>
      </c>
      <c r="R58" s="9" t="s">
        <v>28</v>
      </c>
      <c r="S58" s="9" t="s">
        <v>28</v>
      </c>
      <c r="T58" s="9" t="s">
        <v>25</v>
      </c>
      <c r="U58" s="9" t="s">
        <v>25</v>
      </c>
      <c r="V58" s="9" t="s">
        <v>28</v>
      </c>
      <c r="W58" s="9" t="s">
        <v>25</v>
      </c>
      <c r="X58" s="9" t="s">
        <v>28</v>
      </c>
      <c r="Y58" s="9" t="s">
        <v>28</v>
      </c>
      <c r="Z58" s="9" t="s">
        <v>28</v>
      </c>
      <c r="AA58" s="9" t="s">
        <v>9149</v>
      </c>
      <c r="AB58" s="9" t="s">
        <v>28</v>
      </c>
      <c r="AC58" s="9" t="s">
        <v>9162</v>
      </c>
      <c r="AD58" s="9" t="s">
        <v>9227</v>
      </c>
      <c r="AE58" s="9" t="s">
        <v>9210</v>
      </c>
      <c r="AF58" s="9" t="s">
        <v>9176</v>
      </c>
      <c r="AG58" s="9" t="s">
        <v>9181</v>
      </c>
      <c r="AH58" s="9" t="s">
        <v>9218</v>
      </c>
      <c r="AI58" s="9" t="s">
        <v>9111</v>
      </c>
      <c r="AJ58" s="9" t="s">
        <v>9105</v>
      </c>
      <c r="AK58" s="9" t="s">
        <v>9271</v>
      </c>
      <c r="AL58" s="9" t="s">
        <v>25</v>
      </c>
      <c r="AM58" s="9"/>
      <c r="AN58" s="9"/>
      <c r="AO58" s="9" t="s">
        <v>28</v>
      </c>
      <c r="AP58" s="9" t="s">
        <v>673</v>
      </c>
      <c r="AQ58" s="39">
        <v>1959</v>
      </c>
      <c r="AR58" s="9" t="s">
        <v>28</v>
      </c>
      <c r="AS58" s="9" t="s">
        <v>13870</v>
      </c>
      <c r="AT58" s="9"/>
      <c r="AU58" s="39">
        <v>1500</v>
      </c>
      <c r="AV58" s="9" t="s">
        <v>9272</v>
      </c>
      <c r="AW58" s="9" t="s">
        <v>13463</v>
      </c>
      <c r="AX58" s="9" t="s">
        <v>9138</v>
      </c>
      <c r="AY58" s="9"/>
      <c r="AZ58" s="9"/>
      <c r="BA58" s="9"/>
      <c r="BB58" s="9"/>
      <c r="BC58" s="9"/>
      <c r="BD58" s="9"/>
      <c r="BE58" s="9"/>
      <c r="BF58" s="9"/>
      <c r="BG58" s="9"/>
      <c r="BH58" s="9"/>
      <c r="BI58" s="9"/>
      <c r="BJ58" s="9"/>
      <c r="BK58" s="9"/>
      <c r="BL58" s="9"/>
      <c r="BM58" s="9"/>
      <c r="BN58" s="9"/>
      <c r="BO58" s="9"/>
      <c r="BP58" s="39"/>
      <c r="BQ58" s="39"/>
      <c r="BR58" s="39"/>
      <c r="BS58" s="39"/>
      <c r="BT58" s="39"/>
      <c r="BU58" s="9" t="s">
        <v>9120</v>
      </c>
      <c r="BV58" s="9" t="s">
        <v>9168</v>
      </c>
      <c r="BW58" s="9" t="s">
        <v>9122</v>
      </c>
      <c r="BX58" s="9" t="s">
        <v>9136</v>
      </c>
      <c r="BY58" s="9" t="s">
        <v>28</v>
      </c>
      <c r="BZ58" s="9" t="s">
        <v>28</v>
      </c>
      <c r="CA58" s="9" t="s">
        <v>14443</v>
      </c>
      <c r="CB58" s="9" t="s">
        <v>13471</v>
      </c>
      <c r="CC58" s="9" t="s">
        <v>28</v>
      </c>
      <c r="CD58" s="9" t="s">
        <v>9273</v>
      </c>
      <c r="CE58" s="9" t="s">
        <v>25</v>
      </c>
      <c r="CF58" s="9"/>
      <c r="CG58" s="9"/>
      <c r="CH58" s="9"/>
      <c r="CI58" s="9" t="s">
        <v>9199</v>
      </c>
      <c r="CJ58" s="9"/>
    </row>
    <row r="59" spans="1:88" ht="63.75" x14ac:dyDescent="0.2">
      <c r="A59" s="31" t="s">
        <v>145</v>
      </c>
      <c r="B59" s="9" t="s">
        <v>9102</v>
      </c>
      <c r="C59" s="9" t="s">
        <v>9102</v>
      </c>
      <c r="D59" s="9" t="s">
        <v>9102</v>
      </c>
      <c r="E59" s="9" t="s">
        <v>9102</v>
      </c>
      <c r="F59" s="9" t="s">
        <v>9103</v>
      </c>
      <c r="G59" s="9" t="s">
        <v>9103</v>
      </c>
      <c r="H59" s="9" t="s">
        <v>25</v>
      </c>
      <c r="I59" s="9" t="s">
        <v>9129</v>
      </c>
      <c r="J59" s="9" t="s">
        <v>25</v>
      </c>
      <c r="K59" s="9"/>
      <c r="L59" s="9"/>
      <c r="M59" s="9"/>
      <c r="N59" s="9"/>
      <c r="O59" s="9"/>
      <c r="P59" s="9"/>
      <c r="Q59" s="9"/>
      <c r="R59" s="9"/>
      <c r="S59" s="9"/>
      <c r="T59" s="9"/>
      <c r="U59" s="9"/>
      <c r="V59" s="9"/>
      <c r="W59" s="9"/>
      <c r="X59" s="9"/>
      <c r="Y59" s="9"/>
      <c r="Z59" s="9"/>
      <c r="AA59" s="9"/>
      <c r="AB59" s="9" t="s">
        <v>25</v>
      </c>
      <c r="AC59" s="9"/>
      <c r="AD59" s="9"/>
      <c r="AE59" s="9"/>
      <c r="AF59" s="9" t="s">
        <v>9108</v>
      </c>
      <c r="AG59" s="9" t="s">
        <v>9109</v>
      </c>
      <c r="AH59" s="9" t="s">
        <v>2207</v>
      </c>
      <c r="AI59" s="9" t="s">
        <v>9259</v>
      </c>
      <c r="AJ59" s="9" t="s">
        <v>9105</v>
      </c>
      <c r="AK59" s="9" t="s">
        <v>9260</v>
      </c>
      <c r="AL59" s="9" t="s">
        <v>28</v>
      </c>
      <c r="AM59" s="9" t="s">
        <v>9249</v>
      </c>
      <c r="AN59" s="9" t="s">
        <v>2185</v>
      </c>
      <c r="AO59" s="9" t="s">
        <v>28</v>
      </c>
      <c r="AP59" s="9" t="s">
        <v>673</v>
      </c>
      <c r="AQ59" s="39">
        <v>2000</v>
      </c>
      <c r="AR59" s="9" t="s">
        <v>28</v>
      </c>
      <c r="AS59" s="9" t="s">
        <v>13868</v>
      </c>
      <c r="AT59" s="9"/>
      <c r="AU59" s="39">
        <v>2000</v>
      </c>
      <c r="AV59" s="9" t="s">
        <v>9177</v>
      </c>
      <c r="AW59" s="9" t="s">
        <v>13467</v>
      </c>
      <c r="AX59" s="9" t="s">
        <v>9138</v>
      </c>
      <c r="AY59" s="9"/>
      <c r="AZ59" s="9"/>
      <c r="BA59" s="9"/>
      <c r="BB59" s="9"/>
      <c r="BC59" s="9"/>
      <c r="BD59" s="9"/>
      <c r="BE59" s="9"/>
      <c r="BF59" s="9"/>
      <c r="BG59" s="9"/>
      <c r="BH59" s="9"/>
      <c r="BI59" s="9"/>
      <c r="BJ59" s="9"/>
      <c r="BK59" s="9" t="s">
        <v>25</v>
      </c>
      <c r="BL59" s="9" t="s">
        <v>25</v>
      </c>
      <c r="BM59" s="9" t="s">
        <v>25</v>
      </c>
      <c r="BN59" s="9" t="s">
        <v>25</v>
      </c>
      <c r="BO59" s="9" t="s">
        <v>25</v>
      </c>
      <c r="BP59" s="39"/>
      <c r="BQ59" s="39"/>
      <c r="BR59" s="39"/>
      <c r="BS59" s="39"/>
      <c r="BT59" s="39"/>
      <c r="BU59" s="9" t="s">
        <v>9120</v>
      </c>
      <c r="BV59" s="9" t="s">
        <v>9168</v>
      </c>
      <c r="BW59" s="9" t="s">
        <v>9122</v>
      </c>
      <c r="BX59" s="9" t="s">
        <v>9184</v>
      </c>
      <c r="BY59" s="9" t="s">
        <v>28</v>
      </c>
      <c r="BZ59" s="9" t="s">
        <v>25</v>
      </c>
      <c r="CA59" s="9" t="s">
        <v>9261</v>
      </c>
      <c r="CB59" s="9" t="s">
        <v>13475</v>
      </c>
      <c r="CC59" s="9" t="s">
        <v>25</v>
      </c>
      <c r="CD59" s="9"/>
      <c r="CE59" s="9" t="s">
        <v>25</v>
      </c>
      <c r="CF59" s="9"/>
      <c r="CG59" s="9"/>
      <c r="CH59" s="9"/>
      <c r="CI59" s="9" t="s">
        <v>635</v>
      </c>
      <c r="CJ59" s="9"/>
    </row>
    <row r="60" spans="1:88" ht="51" x14ac:dyDescent="0.2">
      <c r="A60" s="31" t="s">
        <v>141</v>
      </c>
      <c r="B60" s="9" t="s">
        <v>9128</v>
      </c>
      <c r="C60" s="9" t="s">
        <v>9102</v>
      </c>
      <c r="D60" s="9" t="s">
        <v>9128</v>
      </c>
      <c r="E60" s="9" t="s">
        <v>9102</v>
      </c>
      <c r="F60" s="9" t="s">
        <v>9102</v>
      </c>
      <c r="G60" s="9" t="s">
        <v>9102</v>
      </c>
      <c r="H60" s="9"/>
      <c r="I60" s="9"/>
      <c r="J60" s="9"/>
      <c r="K60" s="9"/>
      <c r="L60" s="9"/>
      <c r="M60" s="9"/>
      <c r="N60" s="9"/>
      <c r="O60" s="9"/>
      <c r="P60" s="9"/>
      <c r="Q60" s="9"/>
      <c r="R60" s="9"/>
      <c r="S60" s="9"/>
      <c r="T60" s="9"/>
      <c r="U60" s="9"/>
      <c r="V60" s="9"/>
      <c r="W60" s="9"/>
      <c r="X60" s="9"/>
      <c r="Y60" s="9"/>
      <c r="Z60" s="9"/>
      <c r="AA60" s="9"/>
      <c r="AB60" s="9"/>
      <c r="AC60" s="9"/>
      <c r="AD60" s="9"/>
      <c r="AE60" s="9"/>
      <c r="AF60" s="9" t="s">
        <v>9108</v>
      </c>
      <c r="AG60" s="9" t="s">
        <v>9232</v>
      </c>
      <c r="AH60" s="9" t="s">
        <v>13854</v>
      </c>
      <c r="AI60" s="9" t="s">
        <v>9111</v>
      </c>
      <c r="AJ60" s="9" t="s">
        <v>9105</v>
      </c>
      <c r="AK60" s="9" t="s">
        <v>9246</v>
      </c>
      <c r="AL60" s="9" t="s">
        <v>9153</v>
      </c>
      <c r="AM60" s="9"/>
      <c r="AN60" s="9"/>
      <c r="AO60" s="9" t="s">
        <v>2201</v>
      </c>
      <c r="AP60" s="9"/>
      <c r="AQ60" s="39"/>
      <c r="AR60" s="9" t="s">
        <v>25</v>
      </c>
      <c r="AS60" s="9"/>
      <c r="AT60" s="9"/>
      <c r="AU60" s="39"/>
      <c r="AV60" s="9" t="s">
        <v>9247</v>
      </c>
      <c r="AW60" s="9" t="s">
        <v>9166</v>
      </c>
      <c r="AX60" s="9" t="s">
        <v>9138</v>
      </c>
      <c r="AY60" s="9"/>
      <c r="AZ60" s="9"/>
      <c r="BA60" s="9"/>
      <c r="BB60" s="9"/>
      <c r="BC60" s="9"/>
      <c r="BD60" s="9"/>
      <c r="BE60" s="9"/>
      <c r="BF60" s="9"/>
      <c r="BG60" s="9"/>
      <c r="BH60" s="9"/>
      <c r="BI60" s="9"/>
      <c r="BJ60" s="9"/>
      <c r="BK60" s="9"/>
      <c r="BL60" s="9"/>
      <c r="BM60" s="9"/>
      <c r="BN60" s="9"/>
      <c r="BO60" s="9"/>
      <c r="BP60" s="39"/>
      <c r="BQ60" s="39"/>
      <c r="BR60" s="39"/>
      <c r="BS60" s="39"/>
      <c r="BT60" s="39"/>
      <c r="BU60" s="9" t="s">
        <v>9133</v>
      </c>
      <c r="BV60" s="9" t="s">
        <v>9121</v>
      </c>
      <c r="BW60" s="9" t="s">
        <v>9135</v>
      </c>
      <c r="BX60" s="9" t="s">
        <v>9123</v>
      </c>
      <c r="BY60" s="9" t="s">
        <v>25</v>
      </c>
      <c r="BZ60" s="9" t="s">
        <v>25</v>
      </c>
      <c r="CA60" s="9"/>
      <c r="CB60" s="9"/>
      <c r="CC60" s="9" t="s">
        <v>28</v>
      </c>
      <c r="CD60" s="9" t="s">
        <v>13481</v>
      </c>
      <c r="CE60" s="9" t="s">
        <v>25</v>
      </c>
      <c r="CF60" s="9"/>
      <c r="CG60" s="9"/>
      <c r="CH60" s="9"/>
      <c r="CI60" s="9" t="s">
        <v>9217</v>
      </c>
      <c r="CJ60" s="9"/>
    </row>
    <row r="61" spans="1:88" ht="51" x14ac:dyDescent="0.2">
      <c r="A61" s="31" t="s">
        <v>132</v>
      </c>
      <c r="B61" s="9" t="s">
        <v>9128</v>
      </c>
      <c r="C61" s="9" t="s">
        <v>9128</v>
      </c>
      <c r="D61" s="9" t="s">
        <v>9102</v>
      </c>
      <c r="E61" s="9" t="s">
        <v>9102</v>
      </c>
      <c r="F61" s="9" t="s">
        <v>9102</v>
      </c>
      <c r="G61" s="9" t="s">
        <v>9128</v>
      </c>
      <c r="H61" s="9"/>
      <c r="I61" s="9"/>
      <c r="J61" s="9"/>
      <c r="K61" s="9"/>
      <c r="L61" s="9"/>
      <c r="M61" s="9"/>
      <c r="N61" s="9"/>
      <c r="O61" s="9"/>
      <c r="P61" s="9"/>
      <c r="Q61" s="9"/>
      <c r="R61" s="9"/>
      <c r="S61" s="9"/>
      <c r="T61" s="9"/>
      <c r="U61" s="9"/>
      <c r="V61" s="9"/>
      <c r="W61" s="9"/>
      <c r="X61" s="9"/>
      <c r="Y61" s="9"/>
      <c r="Z61" s="9"/>
      <c r="AA61" s="9"/>
      <c r="AB61" s="9" t="s">
        <v>25</v>
      </c>
      <c r="AC61" s="9"/>
      <c r="AD61" s="9"/>
      <c r="AE61" s="9"/>
      <c r="AF61" s="9" t="s">
        <v>9108</v>
      </c>
      <c r="AG61" s="9" t="s">
        <v>9109</v>
      </c>
      <c r="AH61" s="9" t="s">
        <v>9175</v>
      </c>
      <c r="AI61" s="9" t="s">
        <v>9111</v>
      </c>
      <c r="AJ61" s="9" t="s">
        <v>9105</v>
      </c>
      <c r="AK61" s="9" t="s">
        <v>9220</v>
      </c>
      <c r="AL61" s="9" t="s">
        <v>9153</v>
      </c>
      <c r="AM61" s="9"/>
      <c r="AN61" s="9"/>
      <c r="AO61" s="9" t="s">
        <v>28</v>
      </c>
      <c r="AP61" s="9" t="s">
        <v>673</v>
      </c>
      <c r="AQ61" s="39">
        <v>500</v>
      </c>
      <c r="AR61" s="9" t="s">
        <v>25</v>
      </c>
      <c r="AS61" s="9"/>
      <c r="AT61" s="9"/>
      <c r="AU61" s="39"/>
      <c r="AV61" s="9"/>
      <c r="AW61" s="9"/>
      <c r="AX61" s="9" t="s">
        <v>9138</v>
      </c>
      <c r="AY61" s="9"/>
      <c r="AZ61" s="9"/>
      <c r="BA61" s="9"/>
      <c r="BB61" s="9"/>
      <c r="BC61" s="9"/>
      <c r="BD61" s="9"/>
      <c r="BE61" s="9"/>
      <c r="BF61" s="9"/>
      <c r="BG61" s="9"/>
      <c r="BH61" s="9"/>
      <c r="BI61" s="9"/>
      <c r="BJ61" s="9"/>
      <c r="BK61" s="9"/>
      <c r="BL61" s="9"/>
      <c r="BM61" s="9"/>
      <c r="BN61" s="9"/>
      <c r="BO61" s="9"/>
      <c r="BP61" s="39"/>
      <c r="BQ61" s="39"/>
      <c r="BR61" s="39"/>
      <c r="BS61" s="39"/>
      <c r="BT61" s="39"/>
      <c r="BU61" s="9" t="s">
        <v>9167</v>
      </c>
      <c r="BV61" s="9" t="s">
        <v>9134</v>
      </c>
      <c r="BW61" s="9" t="s">
        <v>9122</v>
      </c>
      <c r="BX61" s="9" t="s">
        <v>9158</v>
      </c>
      <c r="BY61" s="9" t="s">
        <v>28</v>
      </c>
      <c r="BZ61" s="9" t="s">
        <v>25</v>
      </c>
      <c r="CA61" s="9"/>
      <c r="CB61" s="9"/>
      <c r="CC61" s="9" t="s">
        <v>28</v>
      </c>
      <c r="CD61" s="9" t="s">
        <v>9199</v>
      </c>
      <c r="CE61" s="9" t="s">
        <v>25</v>
      </c>
      <c r="CF61" s="9"/>
      <c r="CG61" s="9"/>
      <c r="CH61" s="9"/>
      <c r="CI61" s="9" t="s">
        <v>635</v>
      </c>
      <c r="CJ61" s="9"/>
    </row>
    <row r="62" spans="1:88" ht="51" x14ac:dyDescent="0.2">
      <c r="A62" s="31" t="s">
        <v>136</v>
      </c>
      <c r="B62" s="9" t="s">
        <v>9103</v>
      </c>
      <c r="C62" s="9" t="s">
        <v>9103</v>
      </c>
      <c r="D62" s="9" t="s">
        <v>9103</v>
      </c>
      <c r="E62" s="9" t="s">
        <v>9103</v>
      </c>
      <c r="F62" s="9" t="s">
        <v>9102</v>
      </c>
      <c r="G62" s="9" t="s">
        <v>9102</v>
      </c>
      <c r="H62" s="9" t="s">
        <v>28</v>
      </c>
      <c r="I62" s="9" t="s">
        <v>9226</v>
      </c>
      <c r="J62" s="9" t="s">
        <v>28</v>
      </c>
      <c r="K62" s="9" t="s">
        <v>9105</v>
      </c>
      <c r="L62" s="9" t="s">
        <v>9173</v>
      </c>
      <c r="M62" s="9"/>
      <c r="N62" s="9" t="s">
        <v>28</v>
      </c>
      <c r="O62" s="9" t="s">
        <v>28</v>
      </c>
      <c r="P62" s="9" t="s">
        <v>28</v>
      </c>
      <c r="Q62" s="9" t="s">
        <v>28</v>
      </c>
      <c r="R62" s="9" t="s">
        <v>28</v>
      </c>
      <c r="S62" s="9" t="s">
        <v>28</v>
      </c>
      <c r="T62" s="9" t="s">
        <v>25</v>
      </c>
      <c r="U62" s="9" t="s">
        <v>25</v>
      </c>
      <c r="V62" s="9" t="s">
        <v>28</v>
      </c>
      <c r="W62" s="9" t="s">
        <v>25</v>
      </c>
      <c r="X62" s="9" t="s">
        <v>28</v>
      </c>
      <c r="Y62" s="9" t="s">
        <v>28</v>
      </c>
      <c r="Z62" s="9" t="s">
        <v>28</v>
      </c>
      <c r="AA62" s="9" t="s">
        <v>2185</v>
      </c>
      <c r="AB62" s="9" t="s">
        <v>28</v>
      </c>
      <c r="AC62" s="9" t="s">
        <v>9204</v>
      </c>
      <c r="AD62" s="9" t="s">
        <v>9227</v>
      </c>
      <c r="AE62" s="9" t="s">
        <v>2185</v>
      </c>
      <c r="AF62" s="9" t="s">
        <v>9108</v>
      </c>
      <c r="AG62" s="9" t="s">
        <v>9109</v>
      </c>
      <c r="AH62" s="9" t="s">
        <v>2185</v>
      </c>
      <c r="AI62" s="9" t="s">
        <v>9111</v>
      </c>
      <c r="AJ62" s="9" t="s">
        <v>9105</v>
      </c>
      <c r="AK62" s="9" t="s">
        <v>13861</v>
      </c>
      <c r="AL62" s="9" t="s">
        <v>9153</v>
      </c>
      <c r="AM62" s="9"/>
      <c r="AN62" s="9"/>
      <c r="AO62" s="9" t="s">
        <v>28</v>
      </c>
      <c r="AP62" s="9" t="s">
        <v>673</v>
      </c>
      <c r="AQ62" s="39">
        <v>650</v>
      </c>
      <c r="AR62" s="9" t="s">
        <v>25</v>
      </c>
      <c r="AS62" s="9"/>
      <c r="AT62" s="9"/>
      <c r="AU62" s="39"/>
      <c r="AV62" s="9" t="s">
        <v>9228</v>
      </c>
      <c r="AW62" s="9" t="s">
        <v>9166</v>
      </c>
      <c r="AX62" s="9" t="s">
        <v>9131</v>
      </c>
      <c r="AY62" s="9" t="s">
        <v>9229</v>
      </c>
      <c r="AZ62" s="9"/>
      <c r="BA62" s="9"/>
      <c r="BB62" s="9"/>
      <c r="BC62" s="9" t="s">
        <v>29</v>
      </c>
      <c r="BD62" s="9" t="s">
        <v>29</v>
      </c>
      <c r="BE62" s="9" t="s">
        <v>29</v>
      </c>
      <c r="BF62" s="9" t="s">
        <v>9118</v>
      </c>
      <c r="BG62" s="9"/>
      <c r="BH62" s="9"/>
      <c r="BI62" s="9"/>
      <c r="BJ62" s="9"/>
      <c r="BK62" s="9" t="s">
        <v>25</v>
      </c>
      <c r="BL62" s="9" t="s">
        <v>25</v>
      </c>
      <c r="BM62" s="9" t="s">
        <v>25</v>
      </c>
      <c r="BN62" s="9" t="s">
        <v>25</v>
      </c>
      <c r="BO62" s="9" t="s">
        <v>25</v>
      </c>
      <c r="BP62" s="39"/>
      <c r="BQ62" s="39"/>
      <c r="BR62" s="39"/>
      <c r="BS62" s="39"/>
      <c r="BT62" s="39"/>
      <c r="BU62" s="9" t="s">
        <v>9133</v>
      </c>
      <c r="BV62" s="9" t="s">
        <v>9168</v>
      </c>
      <c r="BW62" s="9" t="s">
        <v>9135</v>
      </c>
      <c r="BX62" s="9" t="s">
        <v>9158</v>
      </c>
      <c r="BY62" s="9" t="s">
        <v>25</v>
      </c>
      <c r="BZ62" s="9" t="s">
        <v>25</v>
      </c>
      <c r="CA62" s="9"/>
      <c r="CB62" s="9"/>
      <c r="CC62" s="9" t="s">
        <v>28</v>
      </c>
      <c r="CD62" s="9" t="s">
        <v>9230</v>
      </c>
      <c r="CE62" s="9" t="s">
        <v>25</v>
      </c>
      <c r="CF62" s="9"/>
      <c r="CG62" s="9"/>
      <c r="CH62" s="9"/>
      <c r="CI62" s="9" t="s">
        <v>9207</v>
      </c>
      <c r="CJ62" s="9"/>
    </row>
    <row r="63" spans="1:88" ht="51" x14ac:dyDescent="0.2">
      <c r="A63" s="31" t="s">
        <v>177</v>
      </c>
      <c r="B63" s="9" t="s">
        <v>9102</v>
      </c>
      <c r="C63" s="9" t="s">
        <v>9102</v>
      </c>
      <c r="D63" s="9" t="s">
        <v>9102</v>
      </c>
      <c r="E63" s="9" t="s">
        <v>9128</v>
      </c>
      <c r="F63" s="9" t="s">
        <v>9103</v>
      </c>
      <c r="G63" s="9" t="s">
        <v>9102</v>
      </c>
      <c r="H63" s="9" t="s">
        <v>25</v>
      </c>
      <c r="I63" s="9" t="s">
        <v>9129</v>
      </c>
      <c r="J63" s="9" t="s">
        <v>25</v>
      </c>
      <c r="K63" s="9"/>
      <c r="L63" s="9"/>
      <c r="M63" s="9"/>
      <c r="N63" s="9"/>
      <c r="O63" s="9"/>
      <c r="P63" s="9"/>
      <c r="Q63" s="9"/>
      <c r="R63" s="9"/>
      <c r="S63" s="9"/>
      <c r="T63" s="9"/>
      <c r="U63" s="9"/>
      <c r="V63" s="9"/>
      <c r="W63" s="9"/>
      <c r="X63" s="9"/>
      <c r="Y63" s="9"/>
      <c r="Z63" s="9"/>
      <c r="AA63" s="9"/>
      <c r="AB63" s="9" t="s">
        <v>25</v>
      </c>
      <c r="AC63" s="9"/>
      <c r="AD63" s="9"/>
      <c r="AE63" s="9"/>
      <c r="AF63" s="9"/>
      <c r="AG63" s="9"/>
      <c r="AH63" s="9"/>
      <c r="AI63" s="9" t="s">
        <v>9111</v>
      </c>
      <c r="AJ63" s="9" t="s">
        <v>9162</v>
      </c>
      <c r="AK63" s="9" t="s">
        <v>2159</v>
      </c>
      <c r="AL63" s="9" t="s">
        <v>9153</v>
      </c>
      <c r="AM63" s="9"/>
      <c r="AN63" s="9"/>
      <c r="AO63" s="9" t="s">
        <v>28</v>
      </c>
      <c r="AP63" s="9" t="s">
        <v>673</v>
      </c>
      <c r="AQ63" s="39">
        <v>1000</v>
      </c>
      <c r="AR63" s="9" t="s">
        <v>28</v>
      </c>
      <c r="AS63" s="9" t="s">
        <v>13868</v>
      </c>
      <c r="AT63" s="9"/>
      <c r="AU63" s="39">
        <v>1000</v>
      </c>
      <c r="AV63" s="9" t="s">
        <v>9330</v>
      </c>
      <c r="AW63" s="9" t="s">
        <v>13463</v>
      </c>
      <c r="AX63" s="9" t="s">
        <v>9131</v>
      </c>
      <c r="AY63" s="9" t="s">
        <v>9331</v>
      </c>
      <c r="AZ63" s="9"/>
      <c r="BA63" s="9"/>
      <c r="BB63" s="9"/>
      <c r="BC63" s="9"/>
      <c r="BD63" s="9"/>
      <c r="BE63" s="9" t="s">
        <v>29</v>
      </c>
      <c r="BF63" s="9" t="s">
        <v>9118</v>
      </c>
      <c r="BG63" s="9"/>
      <c r="BH63" s="9" t="s">
        <v>29</v>
      </c>
      <c r="BI63" s="9" t="s">
        <v>29</v>
      </c>
      <c r="BJ63" s="9"/>
      <c r="BK63" s="9" t="s">
        <v>9119</v>
      </c>
      <c r="BL63" s="9" t="s">
        <v>28</v>
      </c>
      <c r="BM63" s="9" t="s">
        <v>25</v>
      </c>
      <c r="BN63" s="9" t="s">
        <v>28</v>
      </c>
      <c r="BO63" s="9" t="s">
        <v>9119</v>
      </c>
      <c r="BP63" s="39"/>
      <c r="BQ63" s="39">
        <v>1500</v>
      </c>
      <c r="BR63" s="39"/>
      <c r="BS63" s="39">
        <v>9000</v>
      </c>
      <c r="BT63" s="39"/>
      <c r="BU63" s="9" t="s">
        <v>635</v>
      </c>
      <c r="BV63" s="9"/>
      <c r="BW63" s="9"/>
      <c r="BX63" s="9"/>
      <c r="BY63" s="9"/>
      <c r="BZ63" s="9"/>
      <c r="CA63" s="9"/>
      <c r="CB63" s="9"/>
      <c r="CC63" s="9" t="s">
        <v>28</v>
      </c>
      <c r="CD63" s="9" t="s">
        <v>13479</v>
      </c>
      <c r="CE63" s="9" t="s">
        <v>25</v>
      </c>
      <c r="CF63" s="9"/>
      <c r="CG63" s="9"/>
      <c r="CH63" s="9"/>
      <c r="CI63" s="9" t="s">
        <v>4591</v>
      </c>
      <c r="CJ63" s="9"/>
    </row>
    <row r="64" spans="1:88" ht="51" x14ac:dyDescent="0.2">
      <c r="A64" s="31" t="s">
        <v>162</v>
      </c>
      <c r="B64" s="9" t="s">
        <v>9128</v>
      </c>
      <c r="C64" s="9" t="s">
        <v>9128</v>
      </c>
      <c r="D64" s="9" t="s">
        <v>9128</v>
      </c>
      <c r="E64" s="9" t="s">
        <v>9128</v>
      </c>
      <c r="F64" s="9" t="s">
        <v>9102</v>
      </c>
      <c r="G64" s="9" t="s">
        <v>9102</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t="s">
        <v>9111</v>
      </c>
      <c r="AJ64" s="9" t="s">
        <v>9105</v>
      </c>
      <c r="AK64" s="9" t="s">
        <v>9246</v>
      </c>
      <c r="AL64" s="9" t="s">
        <v>25</v>
      </c>
      <c r="AM64" s="9"/>
      <c r="AN64" s="9"/>
      <c r="AO64" s="9" t="s">
        <v>28</v>
      </c>
      <c r="AP64" s="9" t="s">
        <v>673</v>
      </c>
      <c r="AQ64" s="39">
        <v>1200</v>
      </c>
      <c r="AR64" s="9" t="s">
        <v>28</v>
      </c>
      <c r="AS64" s="9" t="s">
        <v>13868</v>
      </c>
      <c r="AT64" s="9"/>
      <c r="AU64" s="39">
        <v>1200</v>
      </c>
      <c r="AV64" s="9" t="s">
        <v>9195</v>
      </c>
      <c r="AW64" s="9" t="s">
        <v>9166</v>
      </c>
      <c r="AX64" s="9" t="s">
        <v>9154</v>
      </c>
      <c r="AY64" s="9" t="s">
        <v>9190</v>
      </c>
      <c r="AZ64" s="9"/>
      <c r="BA64" s="9"/>
      <c r="BB64" s="9"/>
      <c r="BC64" s="9"/>
      <c r="BD64" s="9"/>
      <c r="BE64" s="9" t="s">
        <v>9212</v>
      </c>
      <c r="BF64" s="9" t="s">
        <v>9303</v>
      </c>
      <c r="BG64" s="9"/>
      <c r="BH64" s="9"/>
      <c r="BI64" s="9"/>
      <c r="BJ64" s="9"/>
      <c r="BK64" s="9" t="s">
        <v>25</v>
      </c>
      <c r="BL64" s="9" t="s">
        <v>25</v>
      </c>
      <c r="BM64" s="9" t="s">
        <v>25</v>
      </c>
      <c r="BN64" s="9" t="s">
        <v>25</v>
      </c>
      <c r="BO64" s="9" t="s">
        <v>25</v>
      </c>
      <c r="BP64" s="39"/>
      <c r="BQ64" s="39"/>
      <c r="BR64" s="39"/>
      <c r="BS64" s="39"/>
      <c r="BT64" s="39"/>
      <c r="BU64" s="9" t="s">
        <v>9167</v>
      </c>
      <c r="BV64" s="9" t="s">
        <v>9168</v>
      </c>
      <c r="BW64" s="9" t="s">
        <v>9122</v>
      </c>
      <c r="BX64" s="9" t="s">
        <v>9140</v>
      </c>
      <c r="BY64" s="9" t="s">
        <v>25</v>
      </c>
      <c r="BZ64" s="9" t="s">
        <v>28</v>
      </c>
      <c r="CA64" s="9"/>
      <c r="CB64" s="9"/>
      <c r="CC64" s="9" t="s">
        <v>25</v>
      </c>
      <c r="CD64" s="9"/>
      <c r="CE64" s="9" t="s">
        <v>25</v>
      </c>
      <c r="CF64" s="9"/>
      <c r="CG64" s="9"/>
      <c r="CH64" s="9"/>
      <c r="CI64" s="9" t="s">
        <v>13493</v>
      </c>
      <c r="CJ64" s="9"/>
    </row>
    <row r="65" spans="1:88" ht="63.75" x14ac:dyDescent="0.2">
      <c r="A65" s="31" t="s">
        <v>148</v>
      </c>
      <c r="B65" s="9" t="s">
        <v>9128</v>
      </c>
      <c r="C65" s="9" t="s">
        <v>9102</v>
      </c>
      <c r="D65" s="9" t="s">
        <v>9128</v>
      </c>
      <c r="E65" s="9" t="s">
        <v>9128</v>
      </c>
      <c r="F65" s="9" t="s">
        <v>9102</v>
      </c>
      <c r="G65" s="9" t="s">
        <v>9103</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t="s">
        <v>9111</v>
      </c>
      <c r="AJ65" s="9" t="s">
        <v>9105</v>
      </c>
      <c r="AK65" s="9" t="s">
        <v>2159</v>
      </c>
      <c r="AL65" s="9" t="s">
        <v>28</v>
      </c>
      <c r="AM65" s="9" t="s">
        <v>9233</v>
      </c>
      <c r="AN65" s="9" t="s">
        <v>2159</v>
      </c>
      <c r="AO65" s="9" t="s">
        <v>2201</v>
      </c>
      <c r="AP65" s="9"/>
      <c r="AQ65" s="39"/>
      <c r="AR65" s="9" t="s">
        <v>25</v>
      </c>
      <c r="AS65" s="9"/>
      <c r="AT65" s="9"/>
      <c r="AU65" s="39"/>
      <c r="AV65" s="9" t="s">
        <v>9177</v>
      </c>
      <c r="AW65" s="9" t="s">
        <v>13463</v>
      </c>
      <c r="AX65" s="9" t="s">
        <v>9131</v>
      </c>
      <c r="AY65" s="9" t="s">
        <v>13879</v>
      </c>
      <c r="AZ65" s="9" t="s">
        <v>29</v>
      </c>
      <c r="BA65" s="9"/>
      <c r="BB65" s="9"/>
      <c r="BC65" s="9"/>
      <c r="BD65" s="9"/>
      <c r="BE65" s="9" t="s">
        <v>29</v>
      </c>
      <c r="BF65" s="9" t="s">
        <v>13468</v>
      </c>
      <c r="BG65" s="9" t="s">
        <v>29</v>
      </c>
      <c r="BH65" s="9" t="s">
        <v>29</v>
      </c>
      <c r="BI65" s="9" t="s">
        <v>9266</v>
      </c>
      <c r="BJ65" s="9" t="s">
        <v>9267</v>
      </c>
      <c r="BK65" s="9" t="s">
        <v>25</v>
      </c>
      <c r="BL65" s="9" t="s">
        <v>25</v>
      </c>
      <c r="BM65" s="9" t="s">
        <v>25</v>
      </c>
      <c r="BN65" s="9" t="s">
        <v>25</v>
      </c>
      <c r="BO65" s="9" t="s">
        <v>25</v>
      </c>
      <c r="BP65" s="39"/>
      <c r="BQ65" s="39"/>
      <c r="BR65" s="39"/>
      <c r="BS65" s="39"/>
      <c r="BT65" s="39"/>
      <c r="BU65" s="9" t="s">
        <v>9178</v>
      </c>
      <c r="BV65" s="9" t="s">
        <v>9268</v>
      </c>
      <c r="BW65" s="9" t="s">
        <v>9122</v>
      </c>
      <c r="BX65" s="9" t="s">
        <v>9136</v>
      </c>
      <c r="BY65" s="9" t="s">
        <v>25</v>
      </c>
      <c r="BZ65" s="9" t="s">
        <v>25</v>
      </c>
      <c r="CA65" s="9" t="s">
        <v>9269</v>
      </c>
      <c r="CB65" s="9" t="s">
        <v>13471</v>
      </c>
      <c r="CC65" s="9" t="s">
        <v>25</v>
      </c>
      <c r="CD65" s="9"/>
      <c r="CE65" s="9" t="s">
        <v>25</v>
      </c>
      <c r="CF65" s="9"/>
      <c r="CG65" s="9"/>
      <c r="CH65" s="9"/>
      <c r="CI65" s="9" t="s">
        <v>635</v>
      </c>
      <c r="CJ65" s="9"/>
    </row>
    <row r="66" spans="1:88" ht="51" x14ac:dyDescent="0.2">
      <c r="A66" s="31" t="s">
        <v>167</v>
      </c>
      <c r="B66" s="9" t="s">
        <v>9102</v>
      </c>
      <c r="C66" s="9" t="s">
        <v>9128</v>
      </c>
      <c r="D66" s="9" t="s">
        <v>9128</v>
      </c>
      <c r="E66" s="9" t="s">
        <v>9146</v>
      </c>
      <c r="F66" s="9" t="s">
        <v>9102</v>
      </c>
      <c r="G66" s="9" t="s">
        <v>9102</v>
      </c>
      <c r="H66" s="9" t="s">
        <v>25</v>
      </c>
      <c r="I66" s="9" t="s">
        <v>9129</v>
      </c>
      <c r="J66" s="9" t="s">
        <v>28</v>
      </c>
      <c r="K66" s="9" t="s">
        <v>9105</v>
      </c>
      <c r="L66" s="9" t="s">
        <v>13846</v>
      </c>
      <c r="M66" s="9"/>
      <c r="N66" s="9" t="s">
        <v>28</v>
      </c>
      <c r="O66" s="9" t="s">
        <v>28</v>
      </c>
      <c r="P66" s="9" t="s">
        <v>28</v>
      </c>
      <c r="Q66" s="9" t="s">
        <v>28</v>
      </c>
      <c r="R66" s="9" t="s">
        <v>28</v>
      </c>
      <c r="S66" s="9" t="s">
        <v>25</v>
      </c>
      <c r="T66" s="9" t="s">
        <v>25</v>
      </c>
      <c r="U66" s="9" t="s">
        <v>25</v>
      </c>
      <c r="V66" s="9" t="s">
        <v>28</v>
      </c>
      <c r="W66" s="9" t="s">
        <v>25</v>
      </c>
      <c r="X66" s="9" t="s">
        <v>28</v>
      </c>
      <c r="Y66" s="9" t="s">
        <v>28</v>
      </c>
      <c r="Z66" s="9" t="s">
        <v>28</v>
      </c>
      <c r="AA66" s="9" t="s">
        <v>9312</v>
      </c>
      <c r="AB66" s="9"/>
      <c r="AC66" s="9"/>
      <c r="AD66" s="9"/>
      <c r="AE66" s="9"/>
      <c r="AF66" s="9" t="s">
        <v>9176</v>
      </c>
      <c r="AG66" s="9" t="s">
        <v>9181</v>
      </c>
      <c r="AH66" s="9" t="s">
        <v>9210</v>
      </c>
      <c r="AI66" s="9" t="s">
        <v>9111</v>
      </c>
      <c r="AJ66" s="9" t="s">
        <v>9105</v>
      </c>
      <c r="AK66" s="9" t="s">
        <v>13863</v>
      </c>
      <c r="AL66" s="9" t="s">
        <v>9153</v>
      </c>
      <c r="AM66" s="9"/>
      <c r="AN66" s="9"/>
      <c r="AO66" s="9" t="s">
        <v>2201</v>
      </c>
      <c r="AP66" s="9"/>
      <c r="AQ66" s="39"/>
      <c r="AR66" s="9" t="s">
        <v>28</v>
      </c>
      <c r="AS66" s="9" t="s">
        <v>13867</v>
      </c>
      <c r="AT66" s="9" t="s">
        <v>9313</v>
      </c>
      <c r="AU66" s="39">
        <v>480</v>
      </c>
      <c r="AV66" s="9" t="s">
        <v>9314</v>
      </c>
      <c r="AW66" s="9" t="s">
        <v>9166</v>
      </c>
      <c r="AX66" s="9" t="s">
        <v>9138</v>
      </c>
      <c r="AY66" s="9"/>
      <c r="AZ66" s="9"/>
      <c r="BA66" s="9"/>
      <c r="BB66" s="9"/>
      <c r="BC66" s="9"/>
      <c r="BD66" s="9"/>
      <c r="BE66" s="9"/>
      <c r="BF66" s="9"/>
      <c r="BG66" s="9"/>
      <c r="BH66" s="9"/>
      <c r="BI66" s="9"/>
      <c r="BJ66" s="9"/>
      <c r="BK66" s="9"/>
      <c r="BL66" s="9"/>
      <c r="BM66" s="9"/>
      <c r="BN66" s="9"/>
      <c r="BO66" s="9"/>
      <c r="BP66" s="39"/>
      <c r="BQ66" s="39"/>
      <c r="BR66" s="39"/>
      <c r="BS66" s="39"/>
      <c r="BT66" s="39"/>
      <c r="BU66" s="9" t="s">
        <v>9278</v>
      </c>
      <c r="BV66" s="9" t="s">
        <v>9268</v>
      </c>
      <c r="BW66" s="9" t="s">
        <v>9135</v>
      </c>
      <c r="BX66" s="9"/>
      <c r="BY66" s="9"/>
      <c r="BZ66" s="9"/>
      <c r="CA66" s="9"/>
      <c r="CB66" s="9"/>
      <c r="CC66" s="9" t="s">
        <v>28</v>
      </c>
      <c r="CD66" s="9" t="s">
        <v>13484</v>
      </c>
      <c r="CE66" s="9" t="s">
        <v>25</v>
      </c>
      <c r="CF66" s="9"/>
      <c r="CG66" s="9"/>
      <c r="CH66" s="9"/>
      <c r="CI66" s="9" t="s">
        <v>13484</v>
      </c>
      <c r="CJ66" s="9"/>
    </row>
    <row r="67" spans="1:88" x14ac:dyDescent="0.2">
      <c r="A67" s="71" t="s">
        <v>14025</v>
      </c>
      <c r="B67" s="72">
        <f>COUNTA(B3:B66)</f>
        <v>64</v>
      </c>
      <c r="C67" s="72">
        <f t="shared" ref="C67:BN67" si="0">COUNTA(C3:C66)</f>
        <v>64</v>
      </c>
      <c r="D67" s="72">
        <f t="shared" si="0"/>
        <v>64</v>
      </c>
      <c r="E67" s="72">
        <f t="shared" si="0"/>
        <v>64</v>
      </c>
      <c r="F67" s="72">
        <f t="shared" si="0"/>
        <v>64</v>
      </c>
      <c r="G67" s="72">
        <f t="shared" si="0"/>
        <v>64</v>
      </c>
      <c r="H67" s="72">
        <f t="shared" si="0"/>
        <v>31</v>
      </c>
      <c r="I67" s="72">
        <f t="shared" si="0"/>
        <v>30</v>
      </c>
      <c r="J67" s="72">
        <f t="shared" si="0"/>
        <v>32</v>
      </c>
      <c r="K67" s="72">
        <f t="shared" si="0"/>
        <v>24</v>
      </c>
      <c r="L67" s="72">
        <f t="shared" si="0"/>
        <v>21</v>
      </c>
      <c r="M67" s="72">
        <f t="shared" si="0"/>
        <v>2</v>
      </c>
      <c r="N67" s="72">
        <f t="shared" si="0"/>
        <v>24</v>
      </c>
      <c r="O67" s="72">
        <f t="shared" si="0"/>
        <v>24</v>
      </c>
      <c r="P67" s="72">
        <f t="shared" si="0"/>
        <v>24</v>
      </c>
      <c r="Q67" s="72">
        <f t="shared" si="0"/>
        <v>24</v>
      </c>
      <c r="R67" s="72">
        <f t="shared" si="0"/>
        <v>24</v>
      </c>
      <c r="S67" s="72">
        <f t="shared" si="0"/>
        <v>24</v>
      </c>
      <c r="T67" s="72">
        <f t="shared" si="0"/>
        <v>22</v>
      </c>
      <c r="U67" s="72">
        <f t="shared" si="0"/>
        <v>22</v>
      </c>
      <c r="V67" s="72">
        <f t="shared" si="0"/>
        <v>24</v>
      </c>
      <c r="W67" s="72">
        <f t="shared" si="0"/>
        <v>22</v>
      </c>
      <c r="X67" s="72">
        <f t="shared" si="0"/>
        <v>24</v>
      </c>
      <c r="Y67" s="72">
        <f t="shared" si="0"/>
        <v>24</v>
      </c>
      <c r="Z67" s="72">
        <f t="shared" si="0"/>
        <v>24</v>
      </c>
      <c r="AA67" s="72">
        <f t="shared" si="0"/>
        <v>22</v>
      </c>
      <c r="AB67" s="72">
        <f t="shared" si="0"/>
        <v>39</v>
      </c>
      <c r="AC67" s="72">
        <f t="shared" si="0"/>
        <v>23</v>
      </c>
      <c r="AD67" s="72">
        <f t="shared" si="0"/>
        <v>21</v>
      </c>
      <c r="AE67" s="72">
        <f t="shared" si="0"/>
        <v>21</v>
      </c>
      <c r="AF67" s="72">
        <f t="shared" si="0"/>
        <v>41</v>
      </c>
      <c r="AG67" s="72">
        <f t="shared" si="0"/>
        <v>40</v>
      </c>
      <c r="AH67" s="72">
        <f t="shared" si="0"/>
        <v>35</v>
      </c>
      <c r="AI67" s="72">
        <f t="shared" si="0"/>
        <v>51</v>
      </c>
      <c r="AJ67" s="72">
        <f t="shared" si="0"/>
        <v>50</v>
      </c>
      <c r="AK67" s="72">
        <f t="shared" si="0"/>
        <v>50</v>
      </c>
      <c r="AL67" s="72">
        <f t="shared" si="0"/>
        <v>52</v>
      </c>
      <c r="AM67" s="72">
        <f t="shared" si="0"/>
        <v>7</v>
      </c>
      <c r="AN67" s="72">
        <f t="shared" si="0"/>
        <v>5</v>
      </c>
      <c r="AO67" s="72">
        <f t="shared" si="0"/>
        <v>54</v>
      </c>
      <c r="AP67" s="72">
        <f t="shared" si="0"/>
        <v>22</v>
      </c>
      <c r="AQ67" s="72">
        <f t="shared" si="0"/>
        <v>16</v>
      </c>
      <c r="AR67" s="72">
        <f t="shared" si="0"/>
        <v>54</v>
      </c>
      <c r="AS67" s="72">
        <f t="shared" si="0"/>
        <v>17</v>
      </c>
      <c r="AT67" s="72">
        <f t="shared" si="0"/>
        <v>3</v>
      </c>
      <c r="AU67" s="72">
        <f t="shared" si="0"/>
        <v>17</v>
      </c>
      <c r="AV67" s="72">
        <f t="shared" si="0"/>
        <v>55</v>
      </c>
      <c r="AW67" s="72">
        <f t="shared" si="0"/>
        <v>55</v>
      </c>
      <c r="AX67" s="72">
        <f t="shared" si="0"/>
        <v>64</v>
      </c>
      <c r="AY67" s="72">
        <f t="shared" si="0"/>
        <v>29</v>
      </c>
      <c r="AZ67" s="72">
        <f t="shared" si="0"/>
        <v>14</v>
      </c>
      <c r="BA67" s="72">
        <f t="shared" si="0"/>
        <v>11</v>
      </c>
      <c r="BB67" s="72">
        <f t="shared" si="0"/>
        <v>11</v>
      </c>
      <c r="BC67" s="72">
        <f t="shared" si="0"/>
        <v>12</v>
      </c>
      <c r="BD67" s="72">
        <f t="shared" si="0"/>
        <v>14</v>
      </c>
      <c r="BE67" s="72">
        <f t="shared" si="0"/>
        <v>22</v>
      </c>
      <c r="BF67" s="72">
        <f t="shared" si="0"/>
        <v>23</v>
      </c>
      <c r="BG67" s="72">
        <f t="shared" si="0"/>
        <v>12</v>
      </c>
      <c r="BH67" s="72">
        <f t="shared" si="0"/>
        <v>15</v>
      </c>
      <c r="BI67" s="72">
        <f t="shared" si="0"/>
        <v>10</v>
      </c>
      <c r="BJ67" s="72">
        <f t="shared" si="0"/>
        <v>14</v>
      </c>
      <c r="BK67" s="72">
        <f t="shared" si="0"/>
        <v>33</v>
      </c>
      <c r="BL67" s="72">
        <f t="shared" si="0"/>
        <v>33</v>
      </c>
      <c r="BM67" s="72">
        <f t="shared" si="0"/>
        <v>33</v>
      </c>
      <c r="BN67" s="72">
        <f t="shared" si="0"/>
        <v>33</v>
      </c>
      <c r="BO67" s="72">
        <f t="shared" ref="BO67:CJ67" si="1">COUNTA(BO3:BO66)</f>
        <v>33</v>
      </c>
      <c r="BP67" s="72">
        <f t="shared" si="1"/>
        <v>0</v>
      </c>
      <c r="BQ67" s="72">
        <f t="shared" si="1"/>
        <v>3</v>
      </c>
      <c r="BR67" s="72">
        <f t="shared" si="1"/>
        <v>0</v>
      </c>
      <c r="BS67" s="72">
        <f t="shared" si="1"/>
        <v>1</v>
      </c>
      <c r="BT67" s="72">
        <f t="shared" si="1"/>
        <v>0</v>
      </c>
      <c r="BU67" s="72">
        <f t="shared" si="1"/>
        <v>64</v>
      </c>
      <c r="BV67" s="72">
        <f t="shared" si="1"/>
        <v>58</v>
      </c>
      <c r="BW67" s="72">
        <f t="shared" si="1"/>
        <v>59</v>
      </c>
      <c r="BX67" s="72">
        <f t="shared" si="1"/>
        <v>51</v>
      </c>
      <c r="BY67" s="72">
        <f t="shared" si="1"/>
        <v>53</v>
      </c>
      <c r="BZ67" s="72">
        <f t="shared" si="1"/>
        <v>53</v>
      </c>
      <c r="CA67" s="72">
        <f t="shared" si="1"/>
        <v>26</v>
      </c>
      <c r="CB67" s="72">
        <f t="shared" si="1"/>
        <v>26</v>
      </c>
      <c r="CC67" s="72">
        <f t="shared" si="1"/>
        <v>64</v>
      </c>
      <c r="CD67" s="72">
        <f t="shared" si="1"/>
        <v>37</v>
      </c>
      <c r="CE67" s="72">
        <f t="shared" si="1"/>
        <v>64</v>
      </c>
      <c r="CF67" s="72">
        <f t="shared" si="1"/>
        <v>16</v>
      </c>
      <c r="CG67" s="72">
        <f t="shared" si="1"/>
        <v>14</v>
      </c>
      <c r="CH67" s="72">
        <f t="shared" si="1"/>
        <v>15</v>
      </c>
      <c r="CI67" s="72">
        <f t="shared" si="1"/>
        <v>62</v>
      </c>
      <c r="CJ67" s="72">
        <f t="shared" si="1"/>
        <v>6</v>
      </c>
    </row>
    <row r="68" spans="1:88"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row>
    <row r="69" spans="1:88" x14ac:dyDescent="0.2">
      <c r="A69" s="45"/>
      <c r="B69" s="46"/>
      <c r="C69" s="46"/>
      <c r="D69" s="46"/>
      <c r="E69" s="46"/>
      <c r="F69" s="46"/>
      <c r="G69" s="46"/>
      <c r="H69" s="46"/>
      <c r="I69" s="46"/>
      <c r="J69" s="46"/>
      <c r="K69" s="46"/>
      <c r="L69" s="46"/>
      <c r="M69" s="46"/>
      <c r="N69" s="46"/>
      <c r="O69" s="46"/>
      <c r="P69" s="46"/>
      <c r="Q69" s="46"/>
      <c r="R69" s="46"/>
      <c r="S69" s="46"/>
      <c r="T69" s="46"/>
      <c r="U69" s="46"/>
      <c r="V69" s="46"/>
      <c r="W69" s="46"/>
      <c r="X69" s="46"/>
    </row>
    <row r="70" spans="1:88" x14ac:dyDescent="0.2">
      <c r="A70" s="45"/>
      <c r="B70" s="46"/>
      <c r="C70" s="46"/>
      <c r="D70" s="46"/>
      <c r="E70" s="46"/>
      <c r="F70" s="46"/>
      <c r="G70" s="46"/>
      <c r="H70" s="46"/>
      <c r="I70" s="46"/>
      <c r="J70" s="46"/>
      <c r="K70" s="46"/>
      <c r="L70" s="46"/>
      <c r="M70" s="46"/>
      <c r="N70" s="46"/>
      <c r="O70" s="46"/>
      <c r="P70" s="46"/>
      <c r="Q70" s="46"/>
      <c r="R70" s="46"/>
      <c r="S70" s="46"/>
      <c r="T70" s="46"/>
      <c r="U70" s="46"/>
      <c r="V70" s="46"/>
      <c r="W70" s="46"/>
      <c r="X70" s="46"/>
    </row>
    <row r="71" spans="1:88" x14ac:dyDescent="0.2">
      <c r="A71" s="45"/>
      <c r="B71" s="46"/>
      <c r="C71" s="46"/>
      <c r="D71" s="46"/>
      <c r="E71" s="46"/>
      <c r="F71" s="46"/>
      <c r="G71" s="46"/>
      <c r="H71" s="46"/>
      <c r="I71" s="46"/>
      <c r="J71" s="46"/>
      <c r="K71" s="46"/>
      <c r="L71" s="46"/>
      <c r="M71" s="46"/>
      <c r="N71" s="46"/>
      <c r="O71" s="46"/>
      <c r="P71" s="46"/>
      <c r="Q71" s="46"/>
      <c r="R71" s="46"/>
      <c r="S71" s="46"/>
      <c r="T71" s="46"/>
      <c r="U71" s="46"/>
      <c r="V71" s="46"/>
      <c r="W71" s="46"/>
      <c r="X71" s="46"/>
    </row>
    <row r="72" spans="1:88" x14ac:dyDescent="0.2">
      <c r="A72" s="45"/>
      <c r="B72" s="46"/>
      <c r="C72" s="46"/>
      <c r="D72" s="46"/>
      <c r="E72" s="46"/>
      <c r="F72" s="46"/>
      <c r="G72" s="46"/>
      <c r="H72" s="46"/>
      <c r="I72" s="46"/>
      <c r="J72" s="46"/>
      <c r="K72" s="46"/>
      <c r="L72" s="46"/>
      <c r="M72" s="46"/>
      <c r="N72" s="46"/>
      <c r="O72" s="46"/>
      <c r="P72" s="46"/>
      <c r="Q72" s="46"/>
      <c r="R72" s="46"/>
      <c r="S72" s="46"/>
      <c r="T72" s="46"/>
      <c r="U72" s="46"/>
      <c r="V72" s="46"/>
      <c r="W72" s="46"/>
      <c r="X72" s="46"/>
    </row>
    <row r="73" spans="1:88" x14ac:dyDescent="0.2">
      <c r="A73" s="45"/>
      <c r="B73" s="46"/>
      <c r="C73" s="46"/>
      <c r="D73" s="46"/>
      <c r="E73" s="46"/>
      <c r="F73" s="46"/>
      <c r="G73" s="46"/>
      <c r="H73" s="46"/>
      <c r="I73" s="46"/>
      <c r="J73" s="46"/>
      <c r="K73" s="46"/>
      <c r="L73" s="46"/>
      <c r="M73" s="46"/>
      <c r="N73" s="46"/>
      <c r="O73" s="46"/>
      <c r="P73" s="46"/>
      <c r="Q73" s="46"/>
      <c r="R73" s="46"/>
      <c r="S73" s="46"/>
      <c r="T73" s="46"/>
      <c r="U73" s="46"/>
      <c r="V73" s="46"/>
      <c r="W73" s="46"/>
      <c r="X73" s="46"/>
    </row>
    <row r="74" spans="1:88" x14ac:dyDescent="0.2">
      <c r="A74" s="45"/>
      <c r="B74" s="46"/>
      <c r="C74" s="46"/>
      <c r="D74" s="46"/>
      <c r="E74" s="46"/>
      <c r="F74" s="46"/>
      <c r="G74" s="46"/>
      <c r="H74" s="46"/>
      <c r="I74" s="46"/>
      <c r="J74" s="46"/>
      <c r="K74" s="46"/>
      <c r="L74" s="46"/>
      <c r="M74" s="46"/>
      <c r="N74" s="46"/>
      <c r="O74" s="46"/>
      <c r="P74" s="46"/>
      <c r="Q74" s="46"/>
      <c r="R74" s="46"/>
      <c r="S74" s="46"/>
      <c r="T74" s="46"/>
      <c r="U74" s="46"/>
      <c r="V74" s="46"/>
      <c r="W74" s="46"/>
      <c r="X74" s="46"/>
    </row>
    <row r="75" spans="1:88" x14ac:dyDescent="0.2">
      <c r="A75" s="45"/>
      <c r="B75" s="46"/>
      <c r="C75" s="46"/>
      <c r="D75" s="46"/>
      <c r="E75" s="46"/>
      <c r="F75" s="46"/>
      <c r="G75" s="46"/>
      <c r="H75" s="46"/>
      <c r="I75" s="46"/>
      <c r="J75" s="46"/>
      <c r="K75" s="46"/>
      <c r="L75" s="46"/>
      <c r="M75" s="46"/>
      <c r="N75" s="46"/>
      <c r="O75" s="46"/>
      <c r="P75" s="46"/>
      <c r="Q75" s="46"/>
      <c r="R75" s="46"/>
      <c r="S75" s="46"/>
      <c r="T75" s="46"/>
      <c r="U75" s="46"/>
      <c r="V75" s="46"/>
      <c r="W75" s="46"/>
      <c r="X75" s="46"/>
    </row>
    <row r="76" spans="1:88" x14ac:dyDescent="0.2">
      <c r="A76" s="45"/>
      <c r="B76" s="46"/>
      <c r="C76" s="46"/>
      <c r="D76" s="46"/>
      <c r="E76" s="46"/>
      <c r="F76" s="46"/>
      <c r="G76" s="46"/>
      <c r="H76" s="46"/>
      <c r="I76" s="46"/>
      <c r="J76" s="46"/>
      <c r="K76" s="46"/>
      <c r="L76" s="46"/>
      <c r="M76" s="46"/>
      <c r="N76" s="46"/>
      <c r="O76" s="46"/>
      <c r="P76" s="46"/>
      <c r="Q76" s="46"/>
      <c r="R76" s="46"/>
      <c r="S76" s="46"/>
      <c r="T76" s="46"/>
      <c r="U76" s="46"/>
      <c r="V76" s="46"/>
      <c r="W76" s="46"/>
      <c r="X76" s="46"/>
    </row>
    <row r="77" spans="1:88" x14ac:dyDescent="0.2">
      <c r="A77" s="45"/>
      <c r="B77" s="46"/>
      <c r="C77" s="46"/>
      <c r="D77" s="46"/>
      <c r="E77" s="46"/>
      <c r="F77" s="46"/>
      <c r="G77" s="46"/>
      <c r="H77" s="46"/>
      <c r="I77" s="46"/>
      <c r="J77" s="46"/>
      <c r="K77" s="46"/>
      <c r="L77" s="46"/>
      <c r="M77" s="46"/>
      <c r="N77" s="46"/>
      <c r="O77" s="46"/>
      <c r="P77" s="46"/>
      <c r="Q77" s="46"/>
      <c r="R77" s="46"/>
      <c r="S77" s="46"/>
      <c r="T77" s="46"/>
      <c r="U77" s="46"/>
      <c r="V77" s="46"/>
      <c r="W77" s="46"/>
      <c r="X77" s="46"/>
    </row>
    <row r="78" spans="1:88" x14ac:dyDescent="0.2">
      <c r="A78" s="45"/>
      <c r="B78" s="46"/>
      <c r="C78" s="46"/>
      <c r="D78" s="46"/>
      <c r="E78" s="46"/>
      <c r="F78" s="46"/>
      <c r="G78" s="46"/>
      <c r="H78" s="46"/>
      <c r="I78" s="46"/>
      <c r="J78" s="46"/>
      <c r="K78" s="46"/>
      <c r="L78" s="46"/>
      <c r="M78" s="46"/>
      <c r="N78" s="46"/>
      <c r="O78" s="46"/>
      <c r="P78" s="46"/>
      <c r="Q78" s="46"/>
      <c r="R78" s="46"/>
      <c r="S78" s="46"/>
      <c r="T78" s="46"/>
      <c r="U78" s="46"/>
      <c r="V78" s="46"/>
      <c r="W78" s="46"/>
      <c r="X78" s="46"/>
    </row>
    <row r="79" spans="1:88" x14ac:dyDescent="0.2">
      <c r="A79" s="45"/>
      <c r="B79" s="46"/>
      <c r="C79" s="46"/>
      <c r="D79" s="46"/>
      <c r="E79" s="46"/>
      <c r="F79" s="46"/>
      <c r="G79" s="46"/>
      <c r="H79" s="46"/>
      <c r="I79" s="46"/>
      <c r="J79" s="46"/>
      <c r="K79" s="46"/>
      <c r="L79" s="46"/>
      <c r="M79" s="46"/>
      <c r="N79" s="46"/>
      <c r="O79" s="46"/>
      <c r="P79" s="46"/>
      <c r="Q79" s="46"/>
      <c r="R79" s="46"/>
      <c r="S79" s="46"/>
      <c r="T79" s="46"/>
      <c r="U79" s="46"/>
      <c r="V79" s="46"/>
      <c r="W79" s="46"/>
      <c r="X79" s="46"/>
    </row>
    <row r="80" spans="1:88" x14ac:dyDescent="0.2">
      <c r="A80" s="45"/>
      <c r="B80" s="46"/>
      <c r="C80" s="46"/>
      <c r="D80" s="46"/>
      <c r="E80" s="46"/>
      <c r="F80" s="46"/>
      <c r="G80" s="46"/>
      <c r="H80" s="46"/>
      <c r="I80" s="46"/>
      <c r="J80" s="46"/>
      <c r="K80" s="46"/>
      <c r="L80" s="46"/>
      <c r="M80" s="46"/>
      <c r="N80" s="46"/>
      <c r="O80" s="46"/>
      <c r="P80" s="46"/>
      <c r="Q80" s="46"/>
      <c r="R80" s="46"/>
      <c r="S80" s="46"/>
      <c r="T80" s="46"/>
      <c r="U80" s="46"/>
      <c r="V80" s="46"/>
      <c r="W80" s="46"/>
      <c r="X80" s="46"/>
    </row>
    <row r="81" spans="1:24" x14ac:dyDescent="0.2">
      <c r="A81" s="45"/>
      <c r="B81" s="46"/>
      <c r="C81" s="46"/>
      <c r="D81" s="46"/>
      <c r="E81" s="46"/>
      <c r="F81" s="46"/>
      <c r="G81" s="46"/>
      <c r="H81" s="46"/>
      <c r="I81" s="46"/>
      <c r="J81" s="46"/>
      <c r="K81" s="46"/>
      <c r="L81" s="46"/>
      <c r="M81" s="46"/>
      <c r="N81" s="46"/>
      <c r="O81" s="46"/>
      <c r="P81" s="46"/>
      <c r="Q81" s="46"/>
      <c r="R81" s="46"/>
      <c r="S81" s="46"/>
      <c r="T81" s="46"/>
      <c r="U81" s="46"/>
      <c r="V81" s="46"/>
      <c r="W81" s="46"/>
      <c r="X81" s="46"/>
    </row>
    <row r="82" spans="1:24" x14ac:dyDescent="0.2">
      <c r="A82" s="45"/>
      <c r="B82" s="46"/>
      <c r="C82" s="46"/>
      <c r="D82" s="46"/>
      <c r="E82" s="46"/>
      <c r="F82" s="46"/>
      <c r="G82" s="46"/>
      <c r="H82" s="46"/>
      <c r="I82" s="46"/>
      <c r="J82" s="46"/>
      <c r="K82" s="46"/>
      <c r="L82" s="46"/>
      <c r="M82" s="46"/>
      <c r="N82" s="46"/>
      <c r="O82" s="46"/>
      <c r="P82" s="46"/>
      <c r="Q82" s="46"/>
      <c r="R82" s="46"/>
      <c r="S82" s="46"/>
      <c r="T82" s="46"/>
      <c r="U82" s="46"/>
      <c r="V82" s="46"/>
      <c r="W82" s="46"/>
      <c r="X82" s="46"/>
    </row>
    <row r="83" spans="1:24" x14ac:dyDescent="0.2">
      <c r="A83" s="45"/>
      <c r="B83" s="46"/>
      <c r="C83" s="46"/>
      <c r="D83" s="46"/>
      <c r="E83" s="46"/>
      <c r="F83" s="46"/>
      <c r="G83" s="46"/>
      <c r="H83" s="46"/>
      <c r="I83" s="46"/>
      <c r="J83" s="46"/>
      <c r="K83" s="46"/>
      <c r="L83" s="46"/>
      <c r="M83" s="46"/>
      <c r="N83" s="46"/>
      <c r="O83" s="46"/>
      <c r="P83" s="46"/>
      <c r="Q83" s="46"/>
      <c r="R83" s="46"/>
      <c r="S83" s="46"/>
      <c r="T83" s="46"/>
      <c r="U83" s="46"/>
      <c r="V83" s="46"/>
      <c r="W83" s="46"/>
      <c r="X83" s="46"/>
    </row>
    <row r="84" spans="1:24" x14ac:dyDescent="0.2">
      <c r="A84" s="45"/>
      <c r="B84" s="46"/>
      <c r="C84" s="46"/>
      <c r="D84" s="46"/>
      <c r="E84" s="46"/>
      <c r="F84" s="46"/>
      <c r="G84" s="46"/>
      <c r="H84" s="46"/>
      <c r="I84" s="46"/>
      <c r="J84" s="46"/>
      <c r="K84" s="46"/>
      <c r="L84" s="46"/>
      <c r="M84" s="46"/>
      <c r="N84" s="46"/>
      <c r="O84" s="46"/>
      <c r="P84" s="46"/>
      <c r="Q84" s="46"/>
      <c r="R84" s="46"/>
      <c r="S84" s="46"/>
      <c r="T84" s="46"/>
      <c r="U84" s="46"/>
      <c r="V84" s="46"/>
      <c r="W84" s="46"/>
      <c r="X84" s="46"/>
    </row>
    <row r="85" spans="1:24" x14ac:dyDescent="0.2">
      <c r="A85" s="45"/>
      <c r="B85" s="46"/>
      <c r="C85" s="46"/>
      <c r="D85" s="46"/>
      <c r="E85" s="46"/>
      <c r="F85" s="46"/>
      <c r="G85" s="46"/>
      <c r="H85" s="46"/>
      <c r="I85" s="46"/>
      <c r="J85" s="46"/>
      <c r="K85" s="46"/>
      <c r="L85" s="46"/>
      <c r="M85" s="46"/>
      <c r="N85" s="46"/>
      <c r="O85" s="46"/>
      <c r="P85" s="46"/>
      <c r="Q85" s="46"/>
      <c r="R85" s="46"/>
      <c r="S85" s="46"/>
      <c r="T85" s="46"/>
      <c r="U85" s="46"/>
      <c r="V85" s="46"/>
      <c r="W85" s="46"/>
      <c r="X85" s="46"/>
    </row>
    <row r="86" spans="1:24" x14ac:dyDescent="0.2">
      <c r="A86" s="45"/>
      <c r="B86" s="46"/>
      <c r="C86" s="46"/>
      <c r="D86" s="46"/>
      <c r="E86" s="46"/>
      <c r="F86" s="46"/>
      <c r="G86" s="46"/>
      <c r="H86" s="46"/>
      <c r="I86" s="46"/>
      <c r="J86" s="46"/>
      <c r="K86" s="46"/>
      <c r="L86" s="46"/>
      <c r="M86" s="46"/>
      <c r="N86" s="46"/>
      <c r="O86" s="46"/>
      <c r="P86" s="46"/>
      <c r="Q86" s="46"/>
      <c r="R86" s="46"/>
      <c r="S86" s="46"/>
      <c r="T86" s="46"/>
      <c r="U86" s="46"/>
      <c r="V86" s="46"/>
      <c r="W86" s="46"/>
      <c r="X86" s="46"/>
    </row>
    <row r="87" spans="1:24" x14ac:dyDescent="0.2">
      <c r="A87" s="45"/>
      <c r="B87" s="46"/>
      <c r="C87" s="46"/>
      <c r="D87" s="46"/>
      <c r="E87" s="46"/>
      <c r="F87" s="46"/>
      <c r="G87" s="46"/>
      <c r="H87" s="46"/>
      <c r="I87" s="46"/>
      <c r="J87" s="46"/>
      <c r="K87" s="46"/>
      <c r="L87" s="46"/>
      <c r="M87" s="46"/>
      <c r="N87" s="46"/>
      <c r="O87" s="46"/>
      <c r="P87" s="46"/>
      <c r="Q87" s="46"/>
      <c r="R87" s="46"/>
      <c r="S87" s="46"/>
      <c r="T87" s="46"/>
      <c r="U87" s="46"/>
      <c r="V87" s="46"/>
      <c r="W87" s="46"/>
      <c r="X87" s="46"/>
    </row>
    <row r="88" spans="1:24" x14ac:dyDescent="0.2">
      <c r="A88" s="45"/>
      <c r="B88" s="46"/>
      <c r="C88" s="46"/>
      <c r="D88" s="46"/>
      <c r="E88" s="46"/>
      <c r="F88" s="46"/>
      <c r="G88" s="46"/>
      <c r="H88" s="46"/>
      <c r="I88" s="46"/>
      <c r="J88" s="46"/>
      <c r="K88" s="46"/>
      <c r="L88" s="46"/>
      <c r="M88" s="46"/>
      <c r="N88" s="46"/>
      <c r="O88" s="46"/>
      <c r="P88" s="46"/>
      <c r="Q88" s="46"/>
      <c r="R88" s="46"/>
      <c r="S88" s="46"/>
      <c r="T88" s="46"/>
      <c r="U88" s="46"/>
      <c r="V88" s="46"/>
      <c r="W88" s="46"/>
      <c r="X88" s="46"/>
    </row>
    <row r="89" spans="1:24" x14ac:dyDescent="0.2">
      <c r="A89" s="45"/>
      <c r="B89" s="46"/>
      <c r="C89" s="46"/>
      <c r="D89" s="46"/>
      <c r="E89" s="46"/>
      <c r="F89" s="46"/>
      <c r="G89" s="46"/>
      <c r="H89" s="46"/>
      <c r="I89" s="46"/>
      <c r="J89" s="46"/>
      <c r="K89" s="46"/>
      <c r="L89" s="46"/>
      <c r="M89" s="46"/>
      <c r="N89" s="46"/>
      <c r="O89" s="46"/>
      <c r="P89" s="46"/>
      <c r="Q89" s="46"/>
      <c r="R89" s="46"/>
      <c r="S89" s="46"/>
      <c r="T89" s="46"/>
      <c r="U89" s="46"/>
      <c r="V89" s="46"/>
      <c r="W89" s="46"/>
      <c r="X89" s="46"/>
    </row>
    <row r="90" spans="1:24" x14ac:dyDescent="0.2">
      <c r="A90" s="45"/>
      <c r="B90" s="46"/>
      <c r="C90" s="46"/>
      <c r="D90" s="46"/>
      <c r="E90" s="46"/>
      <c r="F90" s="46"/>
      <c r="G90" s="46"/>
      <c r="H90" s="46"/>
      <c r="I90" s="46"/>
      <c r="J90" s="46"/>
      <c r="K90" s="46"/>
      <c r="L90" s="46"/>
      <c r="M90" s="46"/>
      <c r="N90" s="46"/>
      <c r="O90" s="46"/>
      <c r="P90" s="46"/>
      <c r="Q90" s="46"/>
      <c r="R90" s="46"/>
      <c r="S90" s="46"/>
      <c r="T90" s="46"/>
      <c r="U90" s="46"/>
      <c r="V90" s="46"/>
      <c r="W90" s="46"/>
      <c r="X90" s="46"/>
    </row>
    <row r="91" spans="1:24" x14ac:dyDescent="0.2">
      <c r="A91" s="45"/>
      <c r="B91" s="46"/>
      <c r="C91" s="46"/>
      <c r="D91" s="46"/>
      <c r="E91" s="46"/>
      <c r="F91" s="46"/>
      <c r="G91" s="46"/>
      <c r="H91" s="46"/>
      <c r="I91" s="46"/>
      <c r="J91" s="46"/>
      <c r="K91" s="46"/>
      <c r="L91" s="46"/>
      <c r="M91" s="46"/>
      <c r="N91" s="46"/>
      <c r="O91" s="46"/>
      <c r="P91" s="46"/>
      <c r="Q91" s="46"/>
      <c r="R91" s="46"/>
      <c r="S91" s="46"/>
      <c r="T91" s="46"/>
      <c r="U91" s="46"/>
      <c r="V91" s="46"/>
      <c r="W91" s="46"/>
      <c r="X91" s="46"/>
    </row>
    <row r="92" spans="1:24" x14ac:dyDescent="0.2">
      <c r="A92" s="45"/>
      <c r="B92" s="46"/>
      <c r="C92" s="46"/>
      <c r="D92" s="46"/>
      <c r="E92" s="46"/>
      <c r="F92" s="46"/>
      <c r="G92" s="46"/>
      <c r="H92" s="46"/>
      <c r="I92" s="46"/>
      <c r="J92" s="46"/>
      <c r="K92" s="46"/>
      <c r="L92" s="46"/>
      <c r="M92" s="46"/>
      <c r="N92" s="46"/>
      <c r="O92" s="46"/>
      <c r="P92" s="46"/>
      <c r="Q92" s="46"/>
      <c r="R92" s="46"/>
      <c r="S92" s="46"/>
      <c r="T92" s="46"/>
      <c r="U92" s="46"/>
      <c r="V92" s="46"/>
      <c r="W92" s="46"/>
      <c r="X92" s="46"/>
    </row>
    <row r="93" spans="1:24" x14ac:dyDescent="0.2">
      <c r="A93" s="45"/>
      <c r="B93" s="46"/>
      <c r="C93" s="46"/>
      <c r="D93" s="46"/>
      <c r="E93" s="46"/>
      <c r="F93" s="46"/>
      <c r="G93" s="46"/>
      <c r="H93" s="46"/>
      <c r="I93" s="46"/>
      <c r="J93" s="46"/>
      <c r="K93" s="46"/>
      <c r="L93" s="46"/>
      <c r="M93" s="46"/>
      <c r="N93" s="46"/>
      <c r="O93" s="46"/>
      <c r="P93" s="46"/>
      <c r="Q93" s="46"/>
      <c r="R93" s="46"/>
      <c r="S93" s="46"/>
      <c r="T93" s="46"/>
      <c r="U93" s="46"/>
      <c r="V93" s="46"/>
      <c r="W93" s="46"/>
      <c r="X93" s="46"/>
    </row>
    <row r="94" spans="1:24" x14ac:dyDescent="0.2">
      <c r="A94" s="45"/>
      <c r="B94" s="46"/>
      <c r="C94" s="46"/>
      <c r="D94" s="46"/>
      <c r="E94" s="46"/>
      <c r="F94" s="46"/>
      <c r="G94" s="46"/>
      <c r="H94" s="46"/>
      <c r="I94" s="46"/>
      <c r="J94" s="46"/>
      <c r="K94" s="46"/>
      <c r="L94" s="46"/>
      <c r="M94" s="46"/>
      <c r="N94" s="46"/>
      <c r="O94" s="46"/>
      <c r="P94" s="46"/>
      <c r="Q94" s="46"/>
      <c r="R94" s="46"/>
      <c r="S94" s="46"/>
      <c r="T94" s="46"/>
      <c r="U94" s="46"/>
      <c r="V94" s="46"/>
      <c r="W94" s="46"/>
      <c r="X94" s="46"/>
    </row>
    <row r="95" spans="1:24" x14ac:dyDescent="0.2">
      <c r="A95" s="45"/>
      <c r="B95" s="46"/>
      <c r="C95" s="46"/>
      <c r="D95" s="46"/>
      <c r="E95" s="46"/>
      <c r="F95" s="46"/>
      <c r="G95" s="46"/>
      <c r="H95" s="46"/>
      <c r="I95" s="46"/>
      <c r="J95" s="46"/>
      <c r="K95" s="46"/>
      <c r="L95" s="46"/>
      <c r="M95" s="46"/>
      <c r="N95" s="46"/>
      <c r="O95" s="46"/>
      <c r="P95" s="46"/>
      <c r="Q95" s="46"/>
      <c r="R95" s="46"/>
      <c r="S95" s="46"/>
      <c r="T95" s="46"/>
      <c r="U95" s="46"/>
      <c r="V95" s="46"/>
      <c r="W95" s="46"/>
      <c r="X95" s="46"/>
    </row>
    <row r="96" spans="1:24" x14ac:dyDescent="0.2">
      <c r="A96" s="45"/>
      <c r="B96" s="46"/>
      <c r="C96" s="46"/>
      <c r="D96" s="46"/>
      <c r="E96" s="46"/>
      <c r="F96" s="46"/>
      <c r="G96" s="46"/>
      <c r="H96" s="46"/>
      <c r="I96" s="46"/>
      <c r="J96" s="46"/>
      <c r="K96" s="46"/>
      <c r="L96" s="46"/>
      <c r="M96" s="46"/>
      <c r="N96" s="46"/>
      <c r="O96" s="46"/>
      <c r="P96" s="46"/>
      <c r="Q96" s="46"/>
      <c r="R96" s="46"/>
      <c r="S96" s="46"/>
      <c r="T96" s="46"/>
      <c r="U96" s="46"/>
      <c r="V96" s="46"/>
      <c r="W96" s="46"/>
      <c r="X96" s="46"/>
    </row>
    <row r="97" spans="1:24"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row>
    <row r="98" spans="1:24" x14ac:dyDescent="0.2">
      <c r="A98" s="45"/>
      <c r="B98" s="46"/>
      <c r="C98" s="46"/>
      <c r="D98" s="46"/>
      <c r="E98" s="46"/>
      <c r="F98" s="46"/>
      <c r="G98" s="46"/>
      <c r="H98" s="46"/>
      <c r="I98" s="46"/>
      <c r="J98" s="46"/>
      <c r="K98" s="46"/>
      <c r="L98" s="46"/>
      <c r="M98" s="46"/>
      <c r="N98" s="46"/>
      <c r="O98" s="46"/>
      <c r="P98" s="46"/>
      <c r="Q98" s="46"/>
      <c r="R98" s="46"/>
      <c r="S98" s="46"/>
      <c r="T98" s="46"/>
      <c r="U98" s="46"/>
      <c r="V98" s="46"/>
      <c r="W98" s="46"/>
      <c r="X98" s="46"/>
    </row>
    <row r="99" spans="1:24" x14ac:dyDescent="0.2">
      <c r="A99" s="45"/>
      <c r="B99" s="46"/>
      <c r="C99" s="46"/>
      <c r="D99" s="46"/>
      <c r="E99" s="46"/>
      <c r="F99" s="46"/>
      <c r="G99" s="46"/>
      <c r="H99" s="46"/>
      <c r="I99" s="46"/>
      <c r="J99" s="46"/>
      <c r="K99" s="46"/>
      <c r="L99" s="46"/>
      <c r="M99" s="46"/>
      <c r="N99" s="46"/>
      <c r="O99" s="46"/>
      <c r="P99" s="46"/>
      <c r="Q99" s="46"/>
      <c r="R99" s="46"/>
      <c r="S99" s="46"/>
      <c r="T99" s="46"/>
      <c r="U99" s="46"/>
      <c r="V99" s="46"/>
      <c r="W99" s="46"/>
      <c r="X99" s="46"/>
    </row>
    <row r="100" spans="1:24" x14ac:dyDescent="0.2">
      <c r="A100" s="45"/>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x14ac:dyDescent="0.2">
      <c r="A101" s="45"/>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x14ac:dyDescent="0.2">
      <c r="A102" s="45"/>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x14ac:dyDescent="0.2">
      <c r="A103" s="45"/>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x14ac:dyDescent="0.2">
      <c r="A104" s="45"/>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x14ac:dyDescent="0.2">
      <c r="A105" s="45"/>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x14ac:dyDescent="0.2">
      <c r="A106" s="45"/>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x14ac:dyDescent="0.2">
      <c r="A107" s="45"/>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x14ac:dyDescent="0.2">
      <c r="A108" s="45"/>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x14ac:dyDescent="0.2">
      <c r="A109" s="45"/>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x14ac:dyDescent="0.2">
      <c r="A110" s="45"/>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x14ac:dyDescent="0.2">
      <c r="A111" s="45"/>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x14ac:dyDescent="0.2">
      <c r="A112" s="45"/>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x14ac:dyDescent="0.2">
      <c r="A113" s="45"/>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x14ac:dyDescent="0.2">
      <c r="A114" s="45"/>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x14ac:dyDescent="0.2">
      <c r="A115" s="45"/>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x14ac:dyDescent="0.2">
      <c r="A116" s="45"/>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x14ac:dyDescent="0.2">
      <c r="A117" s="45"/>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x14ac:dyDescent="0.2">
      <c r="A118" s="45"/>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x14ac:dyDescent="0.2">
      <c r="A119" s="45"/>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x14ac:dyDescent="0.2">
      <c r="A120" s="45"/>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x14ac:dyDescent="0.2">
      <c r="A121" s="45"/>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x14ac:dyDescent="0.2">
      <c r="A122" s="45"/>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x14ac:dyDescent="0.2">
      <c r="A123" s="45"/>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x14ac:dyDescent="0.2">
      <c r="A124" s="45"/>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x14ac:dyDescent="0.2">
      <c r="A125" s="45"/>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x14ac:dyDescent="0.2">
      <c r="A126" s="45"/>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x14ac:dyDescent="0.2">
      <c r="A127" s="45"/>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x14ac:dyDescent="0.2">
      <c r="A128" s="45"/>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x14ac:dyDescent="0.2">
      <c r="A129" s="45"/>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x14ac:dyDescent="0.2">
      <c r="A130" s="45"/>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x14ac:dyDescent="0.2">
      <c r="A131" s="45"/>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x14ac:dyDescent="0.2">
      <c r="A132" s="45"/>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x14ac:dyDescent="0.2">
      <c r="A133" s="45"/>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x14ac:dyDescent="0.2">
      <c r="A134" s="45"/>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x14ac:dyDescent="0.2">
      <c r="A135" s="45"/>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x14ac:dyDescent="0.2">
      <c r="A136" s="45"/>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x14ac:dyDescent="0.2">
      <c r="A137" s="45"/>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x14ac:dyDescent="0.2">
      <c r="A138" s="45"/>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x14ac:dyDescent="0.2">
      <c r="A139" s="45"/>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x14ac:dyDescent="0.2">
      <c r="A140" s="45"/>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x14ac:dyDescent="0.2">
      <c r="A141" s="45"/>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x14ac:dyDescent="0.2">
      <c r="A142" s="45"/>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x14ac:dyDescent="0.2">
      <c r="A143" s="45"/>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x14ac:dyDescent="0.2">
      <c r="A144" s="45"/>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x14ac:dyDescent="0.2">
      <c r="A145" s="45"/>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x14ac:dyDescent="0.2">
      <c r="A146" s="45"/>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x14ac:dyDescent="0.2">
      <c r="A147" s="45"/>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x14ac:dyDescent="0.2">
      <c r="A148" s="45"/>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x14ac:dyDescent="0.2">
      <c r="A149" s="45"/>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x14ac:dyDescent="0.2">
      <c r="A150" s="45"/>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x14ac:dyDescent="0.2">
      <c r="A151" s="45"/>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x14ac:dyDescent="0.2">
      <c r="A152" s="45"/>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x14ac:dyDescent="0.2">
      <c r="A153" s="45"/>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x14ac:dyDescent="0.2">
      <c r="A154" s="45"/>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x14ac:dyDescent="0.2">
      <c r="A155" s="45"/>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x14ac:dyDescent="0.2">
      <c r="A156" s="45"/>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x14ac:dyDescent="0.2">
      <c r="A157" s="45"/>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x14ac:dyDescent="0.2">
      <c r="A158" s="45"/>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x14ac:dyDescent="0.2">
      <c r="A159" s="45"/>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x14ac:dyDescent="0.2">
      <c r="A160" s="45"/>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x14ac:dyDescent="0.2">
      <c r="A161" s="45"/>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x14ac:dyDescent="0.2">
      <c r="A162" s="45"/>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x14ac:dyDescent="0.2">
      <c r="A163" s="45"/>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x14ac:dyDescent="0.2">
      <c r="A164" s="45"/>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x14ac:dyDescent="0.2">
      <c r="A165" s="45"/>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x14ac:dyDescent="0.2">
      <c r="A166" s="45"/>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x14ac:dyDescent="0.2">
      <c r="A167" s="45"/>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x14ac:dyDescent="0.2">
      <c r="A168" s="45"/>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x14ac:dyDescent="0.2">
      <c r="A169" s="45"/>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x14ac:dyDescent="0.2">
      <c r="A170" s="45"/>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x14ac:dyDescent="0.2">
      <c r="A171" s="45"/>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x14ac:dyDescent="0.2">
      <c r="A172" s="45"/>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x14ac:dyDescent="0.2">
      <c r="A173" s="45"/>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x14ac:dyDescent="0.2">
      <c r="A174" s="45"/>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x14ac:dyDescent="0.2">
      <c r="A175" s="45"/>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x14ac:dyDescent="0.2">
      <c r="A176" s="45"/>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x14ac:dyDescent="0.2">
      <c r="A177" s="45"/>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x14ac:dyDescent="0.2">
      <c r="A178" s="45"/>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x14ac:dyDescent="0.2">
      <c r="A179" s="45"/>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x14ac:dyDescent="0.2">
      <c r="A180" s="45"/>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x14ac:dyDescent="0.2">
      <c r="A181" s="45"/>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x14ac:dyDescent="0.2">
      <c r="A182" s="45"/>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x14ac:dyDescent="0.2">
      <c r="A183" s="45"/>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x14ac:dyDescent="0.2">
      <c r="A184" s="45"/>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x14ac:dyDescent="0.2">
      <c r="A185" s="45"/>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x14ac:dyDescent="0.2">
      <c r="A186" s="45"/>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x14ac:dyDescent="0.2">
      <c r="A187" s="45"/>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x14ac:dyDescent="0.2">
      <c r="A188" s="45"/>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x14ac:dyDescent="0.2">
      <c r="A189" s="45"/>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x14ac:dyDescent="0.2">
      <c r="A190" s="45"/>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x14ac:dyDescent="0.2">
      <c r="A191" s="45"/>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x14ac:dyDescent="0.2">
      <c r="A192" s="45"/>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x14ac:dyDescent="0.2">
      <c r="A193" s="45"/>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x14ac:dyDescent="0.2">
      <c r="A194" s="45"/>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x14ac:dyDescent="0.2">
      <c r="A195" s="45"/>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x14ac:dyDescent="0.2">
      <c r="A196" s="45"/>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x14ac:dyDescent="0.2">
      <c r="A197" s="45"/>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x14ac:dyDescent="0.2">
      <c r="A198" s="45"/>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x14ac:dyDescent="0.2">
      <c r="A199" s="45"/>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x14ac:dyDescent="0.2">
      <c r="A200" s="45"/>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x14ac:dyDescent="0.2">
      <c r="A201" s="45"/>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x14ac:dyDescent="0.2">
      <c r="A202" s="45"/>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x14ac:dyDescent="0.2">
      <c r="A203" s="45"/>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x14ac:dyDescent="0.2">
      <c r="A204" s="45"/>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x14ac:dyDescent="0.2">
      <c r="A205" s="45"/>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x14ac:dyDescent="0.2">
      <c r="A206" s="45"/>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x14ac:dyDescent="0.2">
      <c r="A207" s="45"/>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x14ac:dyDescent="0.2">
      <c r="A208" s="45"/>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x14ac:dyDescent="0.2">
      <c r="A209" s="45"/>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x14ac:dyDescent="0.2">
      <c r="A210" s="45"/>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x14ac:dyDescent="0.2">
      <c r="A211" s="45"/>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x14ac:dyDescent="0.2">
      <c r="A212" s="45"/>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x14ac:dyDescent="0.2">
      <c r="A213" s="45"/>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x14ac:dyDescent="0.2">
      <c r="A214" s="45"/>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x14ac:dyDescent="0.2">
      <c r="A215" s="45"/>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x14ac:dyDescent="0.2">
      <c r="A216" s="45"/>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x14ac:dyDescent="0.2">
      <c r="A217" s="45"/>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x14ac:dyDescent="0.2">
      <c r="A218" s="45"/>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x14ac:dyDescent="0.2">
      <c r="A219" s="45"/>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x14ac:dyDescent="0.2">
      <c r="A220" s="45"/>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x14ac:dyDescent="0.2">
      <c r="A221" s="45"/>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x14ac:dyDescent="0.2">
      <c r="A222" s="45"/>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x14ac:dyDescent="0.2">
      <c r="A223" s="45"/>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x14ac:dyDescent="0.2">
      <c r="A224" s="45"/>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x14ac:dyDescent="0.2">
      <c r="A225" s="45"/>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x14ac:dyDescent="0.2">
      <c r="A226" s="45"/>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x14ac:dyDescent="0.2">
      <c r="A227" s="45"/>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x14ac:dyDescent="0.2">
      <c r="A228" s="45"/>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x14ac:dyDescent="0.2">
      <c r="A229" s="45"/>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x14ac:dyDescent="0.2">
      <c r="A230" s="45"/>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x14ac:dyDescent="0.2">
      <c r="A231" s="45"/>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x14ac:dyDescent="0.2">
      <c r="A232" s="45"/>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x14ac:dyDescent="0.2">
      <c r="A233" s="45"/>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x14ac:dyDescent="0.2">
      <c r="A234" s="45"/>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x14ac:dyDescent="0.2">
      <c r="A235" s="45"/>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x14ac:dyDescent="0.2">
      <c r="A236" s="45"/>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x14ac:dyDescent="0.2">
      <c r="A237" s="45"/>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x14ac:dyDescent="0.2">
      <c r="A238" s="45"/>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x14ac:dyDescent="0.2">
      <c r="A239" s="45"/>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x14ac:dyDescent="0.2">
      <c r="A240" s="45"/>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x14ac:dyDescent="0.2">
      <c r="A241" s="45"/>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x14ac:dyDescent="0.2">
      <c r="A242" s="45"/>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x14ac:dyDescent="0.2">
      <c r="A243" s="45"/>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x14ac:dyDescent="0.2">
      <c r="A244" s="45"/>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x14ac:dyDescent="0.2">
      <c r="A245" s="45"/>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x14ac:dyDescent="0.2">
      <c r="A246" s="45"/>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x14ac:dyDescent="0.2">
      <c r="A247" s="45"/>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x14ac:dyDescent="0.2">
      <c r="A248" s="45"/>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x14ac:dyDescent="0.2">
      <c r="A249" s="45"/>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x14ac:dyDescent="0.2">
      <c r="A250" s="45"/>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x14ac:dyDescent="0.2">
      <c r="A251" s="45"/>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x14ac:dyDescent="0.2">
      <c r="A252" s="45"/>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x14ac:dyDescent="0.2">
      <c r="A253" s="45"/>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x14ac:dyDescent="0.2">
      <c r="A254" s="45"/>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x14ac:dyDescent="0.2">
      <c r="A255" s="45"/>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x14ac:dyDescent="0.2">
      <c r="A256" s="45"/>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x14ac:dyDescent="0.2">
      <c r="A257" s="45"/>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x14ac:dyDescent="0.2">
      <c r="A258" s="45"/>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x14ac:dyDescent="0.2">
      <c r="A259" s="45"/>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x14ac:dyDescent="0.2">
      <c r="A260" s="45"/>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x14ac:dyDescent="0.2">
      <c r="A261" s="45"/>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x14ac:dyDescent="0.2">
      <c r="A262" s="45"/>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x14ac:dyDescent="0.2">
      <c r="A263" s="45"/>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x14ac:dyDescent="0.2">
      <c r="A264" s="45"/>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x14ac:dyDescent="0.2">
      <c r="A265" s="45"/>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x14ac:dyDescent="0.2">
      <c r="A266" s="45"/>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x14ac:dyDescent="0.2">
      <c r="A267" s="45"/>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x14ac:dyDescent="0.2">
      <c r="A268" s="45"/>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x14ac:dyDescent="0.2">
      <c r="A269" s="45"/>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x14ac:dyDescent="0.2">
      <c r="A270" s="45"/>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x14ac:dyDescent="0.2">
      <c r="A271" s="45"/>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x14ac:dyDescent="0.2">
      <c r="A272" s="45"/>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x14ac:dyDescent="0.2">
      <c r="A273" s="45"/>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x14ac:dyDescent="0.2">
      <c r="A274" s="45"/>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x14ac:dyDescent="0.2">
      <c r="A275" s="45"/>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x14ac:dyDescent="0.2">
      <c r="A276" s="45"/>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x14ac:dyDescent="0.2">
      <c r="A277" s="45"/>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x14ac:dyDescent="0.2">
      <c r="A278" s="45"/>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x14ac:dyDescent="0.2">
      <c r="A279" s="45"/>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x14ac:dyDescent="0.2">
      <c r="A280" s="45"/>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x14ac:dyDescent="0.2">
      <c r="A281" s="45"/>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x14ac:dyDescent="0.2">
      <c r="A282" s="45"/>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x14ac:dyDescent="0.2">
      <c r="A283" s="45"/>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x14ac:dyDescent="0.2">
      <c r="A284" s="45"/>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x14ac:dyDescent="0.2">
      <c r="A285" s="45"/>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x14ac:dyDescent="0.2">
      <c r="A286" s="45"/>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x14ac:dyDescent="0.2">
      <c r="A287" s="45"/>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x14ac:dyDescent="0.2">
      <c r="A288" s="45"/>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x14ac:dyDescent="0.2">
      <c r="A289" s="45"/>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x14ac:dyDescent="0.2">
      <c r="A290" s="45"/>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x14ac:dyDescent="0.2">
      <c r="A291" s="45"/>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x14ac:dyDescent="0.2">
      <c r="A292" s="45"/>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x14ac:dyDescent="0.2">
      <c r="A293" s="45"/>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x14ac:dyDescent="0.2">
      <c r="A294" s="45"/>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x14ac:dyDescent="0.2">
      <c r="A295" s="45"/>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x14ac:dyDescent="0.2">
      <c r="A296" s="45"/>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x14ac:dyDescent="0.2">
      <c r="A297" s="45"/>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x14ac:dyDescent="0.2">
      <c r="A298" s="45"/>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x14ac:dyDescent="0.2">
      <c r="A299" s="45"/>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x14ac:dyDescent="0.2">
      <c r="A300" s="45"/>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x14ac:dyDescent="0.2">
      <c r="A301" s="45"/>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x14ac:dyDescent="0.2">
      <c r="A302" s="45"/>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x14ac:dyDescent="0.2">
      <c r="A303" s="45"/>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x14ac:dyDescent="0.2">
      <c r="A304" s="45"/>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x14ac:dyDescent="0.2">
      <c r="A305" s="45"/>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x14ac:dyDescent="0.2">
      <c r="A306" s="45"/>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x14ac:dyDescent="0.2">
      <c r="A307" s="45"/>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x14ac:dyDescent="0.2">
      <c r="A308" s="45"/>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x14ac:dyDescent="0.2">
      <c r="A309" s="45"/>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x14ac:dyDescent="0.2">
      <c r="A310" s="45"/>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x14ac:dyDescent="0.2">
      <c r="A311" s="45"/>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x14ac:dyDescent="0.2">
      <c r="A312" s="45"/>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x14ac:dyDescent="0.2">
      <c r="A313" s="45"/>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x14ac:dyDescent="0.2">
      <c r="A314" s="45"/>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x14ac:dyDescent="0.2">
      <c r="A315" s="45"/>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x14ac:dyDescent="0.2">
      <c r="A316" s="45"/>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x14ac:dyDescent="0.2">
      <c r="A317" s="45"/>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x14ac:dyDescent="0.2">
      <c r="A318" s="45"/>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x14ac:dyDescent="0.2">
      <c r="A319" s="45"/>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x14ac:dyDescent="0.2">
      <c r="A320" s="45"/>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x14ac:dyDescent="0.2">
      <c r="A321" s="45"/>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x14ac:dyDescent="0.2">
      <c r="A322" s="45"/>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x14ac:dyDescent="0.2">
      <c r="A323" s="45"/>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x14ac:dyDescent="0.2">
      <c r="A324" s="45"/>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x14ac:dyDescent="0.2">
      <c r="A325" s="45"/>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x14ac:dyDescent="0.2">
      <c r="A326" s="45"/>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x14ac:dyDescent="0.2">
      <c r="A327" s="45"/>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x14ac:dyDescent="0.2">
      <c r="A328" s="45"/>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x14ac:dyDescent="0.2">
      <c r="A329" s="45"/>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x14ac:dyDescent="0.2">
      <c r="A330" s="45"/>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x14ac:dyDescent="0.2">
      <c r="A331" s="45"/>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x14ac:dyDescent="0.2">
      <c r="A332" s="45"/>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x14ac:dyDescent="0.2">
      <c r="A333" s="45"/>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x14ac:dyDescent="0.2">
      <c r="A334" s="45"/>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x14ac:dyDescent="0.2">
      <c r="A335" s="45"/>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x14ac:dyDescent="0.2">
      <c r="A336" s="45"/>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x14ac:dyDescent="0.2">
      <c r="A337" s="45"/>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x14ac:dyDescent="0.2">
      <c r="A338" s="45"/>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x14ac:dyDescent="0.2">
      <c r="A339" s="45"/>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x14ac:dyDescent="0.2">
      <c r="A340" s="45"/>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x14ac:dyDescent="0.2">
      <c r="A341" s="45"/>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x14ac:dyDescent="0.2">
      <c r="A342" s="45"/>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x14ac:dyDescent="0.2">
      <c r="A343" s="45"/>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x14ac:dyDescent="0.2">
      <c r="A344" s="45"/>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x14ac:dyDescent="0.2">
      <c r="A345" s="45"/>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x14ac:dyDescent="0.2">
      <c r="A346" s="45"/>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x14ac:dyDescent="0.2">
      <c r="A347" s="45"/>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x14ac:dyDescent="0.2">
      <c r="A348" s="45"/>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x14ac:dyDescent="0.2">
      <c r="A349" s="45"/>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x14ac:dyDescent="0.2">
      <c r="A350" s="45"/>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x14ac:dyDescent="0.2">
      <c r="A351" s="45"/>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x14ac:dyDescent="0.2">
      <c r="A352" s="45"/>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x14ac:dyDescent="0.2">
      <c r="A353" s="45"/>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x14ac:dyDescent="0.2">
      <c r="A354" s="45"/>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x14ac:dyDescent="0.2">
      <c r="A355" s="45"/>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x14ac:dyDescent="0.2">
      <c r="A356" s="45"/>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x14ac:dyDescent="0.2">
      <c r="A357" s="45"/>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x14ac:dyDescent="0.2">
      <c r="A358" s="45"/>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x14ac:dyDescent="0.2">
      <c r="A359" s="45"/>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x14ac:dyDescent="0.2">
      <c r="A360" s="45"/>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x14ac:dyDescent="0.2">
      <c r="A361" s="45"/>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x14ac:dyDescent="0.2">
      <c r="A362" s="45"/>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x14ac:dyDescent="0.2">
      <c r="A363" s="45"/>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x14ac:dyDescent="0.2">
      <c r="A364" s="45"/>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x14ac:dyDescent="0.2">
      <c r="A365" s="45"/>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x14ac:dyDescent="0.2">
      <c r="A366" s="45"/>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x14ac:dyDescent="0.2">
      <c r="A367" s="45"/>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x14ac:dyDescent="0.2">
      <c r="A368" s="45"/>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x14ac:dyDescent="0.2">
      <c r="A369" s="45"/>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x14ac:dyDescent="0.2">
      <c r="A370" s="45"/>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x14ac:dyDescent="0.2">
      <c r="A371" s="45"/>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x14ac:dyDescent="0.2">
      <c r="A372" s="45"/>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x14ac:dyDescent="0.2">
      <c r="A373" s="45"/>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x14ac:dyDescent="0.2">
      <c r="A374" s="45"/>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x14ac:dyDescent="0.2">
      <c r="A375" s="45"/>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x14ac:dyDescent="0.2">
      <c r="A376" s="45"/>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x14ac:dyDescent="0.2">
      <c r="A377" s="45"/>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x14ac:dyDescent="0.2">
      <c r="A378" s="45"/>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x14ac:dyDescent="0.2">
      <c r="A379" s="45"/>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x14ac:dyDescent="0.2">
      <c r="A380" s="45"/>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x14ac:dyDescent="0.2">
      <c r="A381" s="45"/>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x14ac:dyDescent="0.2">
      <c r="A382" s="45"/>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x14ac:dyDescent="0.2">
      <c r="A383" s="45"/>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x14ac:dyDescent="0.2">
      <c r="A384" s="45"/>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x14ac:dyDescent="0.2">
      <c r="A385" s="45"/>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x14ac:dyDescent="0.2">
      <c r="A386" s="45"/>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x14ac:dyDescent="0.2">
      <c r="A387" s="45"/>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x14ac:dyDescent="0.2">
      <c r="A388" s="45"/>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x14ac:dyDescent="0.2">
      <c r="A389" s="45"/>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x14ac:dyDescent="0.2">
      <c r="A390" s="45"/>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x14ac:dyDescent="0.2">
      <c r="A391" s="45"/>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x14ac:dyDescent="0.2">
      <c r="A392" s="45"/>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x14ac:dyDescent="0.2">
      <c r="A393" s="45"/>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x14ac:dyDescent="0.2">
      <c r="A394" s="45"/>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x14ac:dyDescent="0.2">
      <c r="A395" s="45"/>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x14ac:dyDescent="0.2">
      <c r="A396" s="45"/>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x14ac:dyDescent="0.2">
      <c r="A397" s="45"/>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x14ac:dyDescent="0.2">
      <c r="A398" s="45"/>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x14ac:dyDescent="0.2">
      <c r="A399" s="45"/>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x14ac:dyDescent="0.2">
      <c r="A400" s="45"/>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x14ac:dyDescent="0.2">
      <c r="A401" s="45"/>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x14ac:dyDescent="0.2">
      <c r="A402" s="45"/>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x14ac:dyDescent="0.2">
      <c r="A403" s="45"/>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x14ac:dyDescent="0.2">
      <c r="A404" s="45"/>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x14ac:dyDescent="0.2">
      <c r="A405" s="45"/>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x14ac:dyDescent="0.2">
      <c r="A406" s="45"/>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x14ac:dyDescent="0.2">
      <c r="A407" s="45"/>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x14ac:dyDescent="0.2">
      <c r="A408" s="45"/>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x14ac:dyDescent="0.2">
      <c r="A409" s="45"/>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x14ac:dyDescent="0.2">
      <c r="A410" s="45"/>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x14ac:dyDescent="0.2">
      <c r="A411" s="45"/>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x14ac:dyDescent="0.2">
      <c r="A412" s="45"/>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x14ac:dyDescent="0.2">
      <c r="A413" s="45"/>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x14ac:dyDescent="0.2">
      <c r="A414" s="45"/>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x14ac:dyDescent="0.2">
      <c r="A415" s="45"/>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x14ac:dyDescent="0.2">
      <c r="A416" s="45"/>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x14ac:dyDescent="0.2">
      <c r="A417" s="45"/>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x14ac:dyDescent="0.2">
      <c r="A418" s="45"/>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x14ac:dyDescent="0.2">
      <c r="A419" s="45"/>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x14ac:dyDescent="0.2">
      <c r="A420" s="45"/>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x14ac:dyDescent="0.2">
      <c r="A421" s="45"/>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x14ac:dyDescent="0.2">
      <c r="A422" s="45"/>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x14ac:dyDescent="0.2">
      <c r="A423" s="45"/>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x14ac:dyDescent="0.2">
      <c r="A424" s="45"/>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x14ac:dyDescent="0.2">
      <c r="A425" s="45"/>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x14ac:dyDescent="0.2">
      <c r="A426" s="45"/>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x14ac:dyDescent="0.2">
      <c r="A427" s="45"/>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x14ac:dyDescent="0.2">
      <c r="A428" s="45"/>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x14ac:dyDescent="0.2">
      <c r="A429" s="45"/>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x14ac:dyDescent="0.2">
      <c r="A430" s="45"/>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x14ac:dyDescent="0.2">
      <c r="A431" s="45"/>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x14ac:dyDescent="0.2">
      <c r="A432" s="45"/>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x14ac:dyDescent="0.2">
      <c r="A433" s="45"/>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x14ac:dyDescent="0.2">
      <c r="A434" s="45"/>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x14ac:dyDescent="0.2">
      <c r="A435" s="45"/>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x14ac:dyDescent="0.2">
      <c r="A436" s="45"/>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x14ac:dyDescent="0.2">
      <c r="A437" s="45"/>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x14ac:dyDescent="0.2">
      <c r="A438" s="45"/>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x14ac:dyDescent="0.2">
      <c r="A439" s="45"/>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x14ac:dyDescent="0.2">
      <c r="A440" s="45"/>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x14ac:dyDescent="0.2">
      <c r="A441" s="45"/>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x14ac:dyDescent="0.2">
      <c r="A442" s="45"/>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x14ac:dyDescent="0.2">
      <c r="A443" s="45"/>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x14ac:dyDescent="0.2">
      <c r="A444" s="45"/>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x14ac:dyDescent="0.2">
      <c r="A445" s="45"/>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x14ac:dyDescent="0.2">
      <c r="A446" s="45"/>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x14ac:dyDescent="0.2">
      <c r="A447" s="45"/>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x14ac:dyDescent="0.2">
      <c r="A448" s="45"/>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x14ac:dyDescent="0.2">
      <c r="A449" s="45"/>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x14ac:dyDescent="0.2">
      <c r="A450" s="45"/>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x14ac:dyDescent="0.2">
      <c r="A451" s="45"/>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x14ac:dyDescent="0.2">
      <c r="A452" s="45"/>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x14ac:dyDescent="0.2">
      <c r="A453" s="45"/>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x14ac:dyDescent="0.2">
      <c r="A454" s="45"/>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x14ac:dyDescent="0.2">
      <c r="A455" s="45"/>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x14ac:dyDescent="0.2">
      <c r="A456" s="45"/>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x14ac:dyDescent="0.2">
      <c r="A457" s="45"/>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x14ac:dyDescent="0.2">
      <c r="A458" s="45"/>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x14ac:dyDescent="0.2">
      <c r="A459" s="45"/>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x14ac:dyDescent="0.2">
      <c r="A460" s="45"/>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x14ac:dyDescent="0.2">
      <c r="A461" s="45"/>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x14ac:dyDescent="0.2">
      <c r="A462" s="45"/>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x14ac:dyDescent="0.2">
      <c r="A463" s="45"/>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x14ac:dyDescent="0.2">
      <c r="A464" s="45"/>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x14ac:dyDescent="0.2">
      <c r="A465" s="45"/>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x14ac:dyDescent="0.2">
      <c r="A466" s="45"/>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x14ac:dyDescent="0.2">
      <c r="A467" s="45"/>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x14ac:dyDescent="0.2">
      <c r="A468" s="45"/>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x14ac:dyDescent="0.2">
      <c r="A469" s="45"/>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x14ac:dyDescent="0.2">
      <c r="A470" s="45"/>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x14ac:dyDescent="0.2">
      <c r="A471" s="45"/>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x14ac:dyDescent="0.2">
      <c r="A472" s="45"/>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x14ac:dyDescent="0.2">
      <c r="A473" s="45"/>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x14ac:dyDescent="0.2">
      <c r="A474" s="45"/>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x14ac:dyDescent="0.2">
      <c r="A475" s="45"/>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x14ac:dyDescent="0.2">
      <c r="A476" s="45"/>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x14ac:dyDescent="0.2">
      <c r="A477" s="45"/>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x14ac:dyDescent="0.2">
      <c r="A478" s="45"/>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x14ac:dyDescent="0.2">
      <c r="A479" s="45"/>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x14ac:dyDescent="0.2">
      <c r="A480" s="45"/>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x14ac:dyDescent="0.2">
      <c r="A481" s="45"/>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x14ac:dyDescent="0.2">
      <c r="A482" s="45"/>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x14ac:dyDescent="0.2">
      <c r="A483" s="45"/>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x14ac:dyDescent="0.2">
      <c r="A484" s="45"/>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x14ac:dyDescent="0.2">
      <c r="A485" s="45"/>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x14ac:dyDescent="0.2">
      <c r="A486" s="45"/>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x14ac:dyDescent="0.2">
      <c r="A487" s="45"/>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x14ac:dyDescent="0.2">
      <c r="A488" s="45"/>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x14ac:dyDescent="0.2">
      <c r="A489" s="45"/>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x14ac:dyDescent="0.2">
      <c r="A490" s="45"/>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x14ac:dyDescent="0.2">
      <c r="A491" s="45"/>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x14ac:dyDescent="0.2">
      <c r="A492" s="45"/>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x14ac:dyDescent="0.2">
      <c r="A493" s="45"/>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x14ac:dyDescent="0.2">
      <c r="A494" s="45"/>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x14ac:dyDescent="0.2">
      <c r="A495" s="45"/>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x14ac:dyDescent="0.2">
      <c r="A496" s="45"/>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x14ac:dyDescent="0.2">
      <c r="A497" s="45"/>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x14ac:dyDescent="0.2">
      <c r="A498" s="45"/>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x14ac:dyDescent="0.2">
      <c r="A499" s="45"/>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x14ac:dyDescent="0.2">
      <c r="A500" s="45"/>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x14ac:dyDescent="0.2">
      <c r="A501" s="45"/>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x14ac:dyDescent="0.2">
      <c r="A502" s="45"/>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x14ac:dyDescent="0.2">
      <c r="A503" s="45"/>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x14ac:dyDescent="0.2">
      <c r="A504" s="45"/>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x14ac:dyDescent="0.2">
      <c r="A505" s="45"/>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x14ac:dyDescent="0.2">
      <c r="A506" s="45"/>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x14ac:dyDescent="0.2">
      <c r="A507" s="45"/>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x14ac:dyDescent="0.2">
      <c r="A508" s="45"/>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x14ac:dyDescent="0.2">
      <c r="A509" s="45"/>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x14ac:dyDescent="0.2">
      <c r="A510" s="45"/>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x14ac:dyDescent="0.2">
      <c r="A511" s="45"/>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x14ac:dyDescent="0.2">
      <c r="A512" s="45"/>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x14ac:dyDescent="0.2">
      <c r="A513" s="45"/>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x14ac:dyDescent="0.2">
      <c r="A514" s="45"/>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x14ac:dyDescent="0.2">
      <c r="A515" s="45"/>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x14ac:dyDescent="0.2">
      <c r="A516" s="45"/>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x14ac:dyDescent="0.2">
      <c r="A517" s="45"/>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x14ac:dyDescent="0.2">
      <c r="A518" s="45"/>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x14ac:dyDescent="0.2">
      <c r="A519" s="45"/>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x14ac:dyDescent="0.2">
      <c r="A520" s="45"/>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x14ac:dyDescent="0.2">
      <c r="A521" s="45"/>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x14ac:dyDescent="0.2">
      <c r="A522" s="45"/>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x14ac:dyDescent="0.2">
      <c r="A523" s="45"/>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x14ac:dyDescent="0.2">
      <c r="A524" s="45"/>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x14ac:dyDescent="0.2">
      <c r="A525" s="45"/>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x14ac:dyDescent="0.2">
      <c r="A526" s="45"/>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x14ac:dyDescent="0.2">
      <c r="A527" s="45"/>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x14ac:dyDescent="0.2">
      <c r="A528" s="45"/>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x14ac:dyDescent="0.2">
      <c r="A529" s="45"/>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x14ac:dyDescent="0.2">
      <c r="A530" s="45"/>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x14ac:dyDescent="0.2">
      <c r="A531" s="45"/>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x14ac:dyDescent="0.2">
      <c r="A532" s="45"/>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x14ac:dyDescent="0.2">
      <c r="A533" s="45"/>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x14ac:dyDescent="0.2">
      <c r="A534" s="45"/>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x14ac:dyDescent="0.2">
      <c r="A535" s="45"/>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x14ac:dyDescent="0.2">
      <c r="A536" s="45"/>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x14ac:dyDescent="0.2">
      <c r="A537" s="45"/>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x14ac:dyDescent="0.2">
      <c r="A538" s="45"/>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x14ac:dyDescent="0.2">
      <c r="A539" s="45"/>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x14ac:dyDescent="0.2">
      <c r="A540" s="45"/>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x14ac:dyDescent="0.2">
      <c r="A541" s="45"/>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x14ac:dyDescent="0.2">
      <c r="A542" s="45"/>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x14ac:dyDescent="0.2">
      <c r="A543" s="45"/>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x14ac:dyDescent="0.2">
      <c r="A544" s="45"/>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x14ac:dyDescent="0.2">
      <c r="A545" s="45"/>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x14ac:dyDescent="0.2">
      <c r="A546" s="45"/>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x14ac:dyDescent="0.2">
      <c r="A547" s="45"/>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x14ac:dyDescent="0.2">
      <c r="A548" s="45"/>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x14ac:dyDescent="0.2">
      <c r="A549" s="45"/>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x14ac:dyDescent="0.2">
      <c r="A550" s="45"/>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x14ac:dyDescent="0.2">
      <c r="A551" s="45"/>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x14ac:dyDescent="0.2">
      <c r="A552" s="45"/>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x14ac:dyDescent="0.2">
      <c r="A553" s="45"/>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x14ac:dyDescent="0.2">
      <c r="A554" s="45"/>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x14ac:dyDescent="0.2">
      <c r="A555" s="45"/>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x14ac:dyDescent="0.2">
      <c r="A556" s="45"/>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x14ac:dyDescent="0.2">
      <c r="A557" s="45"/>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x14ac:dyDescent="0.2">
      <c r="A558" s="45"/>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x14ac:dyDescent="0.2">
      <c r="A559" s="45"/>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x14ac:dyDescent="0.2">
      <c r="A560" s="45"/>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x14ac:dyDescent="0.2">
      <c r="A561" s="45"/>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x14ac:dyDescent="0.2">
      <c r="A562" s="45"/>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x14ac:dyDescent="0.2">
      <c r="A563" s="45"/>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x14ac:dyDescent="0.2">
      <c r="A564" s="45"/>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x14ac:dyDescent="0.2">
      <c r="A565" s="45"/>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x14ac:dyDescent="0.2">
      <c r="A566" s="45"/>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x14ac:dyDescent="0.2">
      <c r="A567" s="45"/>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x14ac:dyDescent="0.2">
      <c r="A568" s="45"/>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x14ac:dyDescent="0.2">
      <c r="A569" s="45"/>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x14ac:dyDescent="0.2">
      <c r="A570" s="45"/>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x14ac:dyDescent="0.2">
      <c r="A571" s="45"/>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x14ac:dyDescent="0.2">
      <c r="A572" s="45"/>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x14ac:dyDescent="0.2">
      <c r="A573" s="45"/>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x14ac:dyDescent="0.2">
      <c r="A574" s="45"/>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x14ac:dyDescent="0.2">
      <c r="A575" s="45"/>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x14ac:dyDescent="0.2">
      <c r="A576" s="45"/>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x14ac:dyDescent="0.2">
      <c r="A577" s="45"/>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x14ac:dyDescent="0.2">
      <c r="A578" s="45"/>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x14ac:dyDescent="0.2">
      <c r="A579" s="45"/>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x14ac:dyDescent="0.2">
      <c r="A580" s="45"/>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x14ac:dyDescent="0.2">
      <c r="A581" s="45"/>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x14ac:dyDescent="0.2">
      <c r="A582" s="45"/>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x14ac:dyDescent="0.2">
      <c r="A583" s="45"/>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x14ac:dyDescent="0.2">
      <c r="A584" s="45"/>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x14ac:dyDescent="0.2">
      <c r="A585" s="45"/>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x14ac:dyDescent="0.2">
      <c r="A586" s="45"/>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x14ac:dyDescent="0.2">
      <c r="A587" s="45"/>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x14ac:dyDescent="0.2">
      <c r="A588" s="45"/>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x14ac:dyDescent="0.2">
      <c r="A589" s="45"/>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x14ac:dyDescent="0.2">
      <c r="A590" s="45"/>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x14ac:dyDescent="0.2">
      <c r="A591" s="45"/>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x14ac:dyDescent="0.2">
      <c r="A592" s="45"/>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x14ac:dyDescent="0.2">
      <c r="A593" s="45"/>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x14ac:dyDescent="0.2">
      <c r="A594" s="45"/>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x14ac:dyDescent="0.2">
      <c r="A595" s="45"/>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x14ac:dyDescent="0.2">
      <c r="A596" s="45"/>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x14ac:dyDescent="0.2">
      <c r="A597" s="45"/>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x14ac:dyDescent="0.2">
      <c r="A598" s="45"/>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x14ac:dyDescent="0.2">
      <c r="A599" s="45"/>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x14ac:dyDescent="0.2">
      <c r="A600" s="45"/>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x14ac:dyDescent="0.2">
      <c r="A601" s="45"/>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x14ac:dyDescent="0.2">
      <c r="A602" s="45"/>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x14ac:dyDescent="0.2">
      <c r="A603" s="45"/>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x14ac:dyDescent="0.2">
      <c r="A604" s="45"/>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x14ac:dyDescent="0.2">
      <c r="A605" s="45"/>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x14ac:dyDescent="0.2">
      <c r="A606" s="45"/>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x14ac:dyDescent="0.2">
      <c r="A607" s="45"/>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x14ac:dyDescent="0.2">
      <c r="A608" s="45"/>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x14ac:dyDescent="0.2">
      <c r="A609" s="45"/>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x14ac:dyDescent="0.2">
      <c r="A610" s="45"/>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x14ac:dyDescent="0.2">
      <c r="A611" s="45"/>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x14ac:dyDescent="0.2">
      <c r="A612" s="45"/>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x14ac:dyDescent="0.2">
      <c r="A613" s="45"/>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x14ac:dyDescent="0.2">
      <c r="A614" s="45"/>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x14ac:dyDescent="0.2">
      <c r="A615" s="45"/>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x14ac:dyDescent="0.2">
      <c r="A616" s="45"/>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x14ac:dyDescent="0.2">
      <c r="A617" s="45"/>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x14ac:dyDescent="0.2">
      <c r="A618" s="45"/>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x14ac:dyDescent="0.2">
      <c r="A619" s="45"/>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x14ac:dyDescent="0.2">
      <c r="A620" s="45"/>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x14ac:dyDescent="0.2">
      <c r="A621" s="45"/>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x14ac:dyDescent="0.2">
      <c r="A622" s="45"/>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x14ac:dyDescent="0.2">
      <c r="A623" s="45"/>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x14ac:dyDescent="0.2">
      <c r="A624" s="45"/>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x14ac:dyDescent="0.2">
      <c r="A625" s="45"/>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x14ac:dyDescent="0.2">
      <c r="A626" s="45"/>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x14ac:dyDescent="0.2">
      <c r="A627" s="45"/>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x14ac:dyDescent="0.2">
      <c r="A628" s="45"/>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x14ac:dyDescent="0.2">
      <c r="A629" s="45"/>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x14ac:dyDescent="0.2">
      <c r="A630" s="45"/>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x14ac:dyDescent="0.2">
      <c r="A631" s="45"/>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x14ac:dyDescent="0.2">
      <c r="A632" s="45"/>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x14ac:dyDescent="0.2">
      <c r="A633" s="45"/>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x14ac:dyDescent="0.2">
      <c r="A634" s="45"/>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x14ac:dyDescent="0.2">
      <c r="A635" s="45"/>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x14ac:dyDescent="0.2">
      <c r="A636" s="45"/>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x14ac:dyDescent="0.2">
      <c r="A637" s="45"/>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x14ac:dyDescent="0.2">
      <c r="A638" s="45"/>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x14ac:dyDescent="0.2">
      <c r="A639" s="45"/>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x14ac:dyDescent="0.2">
      <c r="A640" s="45"/>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x14ac:dyDescent="0.2">
      <c r="A641" s="45"/>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x14ac:dyDescent="0.2">
      <c r="A642" s="45"/>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x14ac:dyDescent="0.2">
      <c r="A643" s="45"/>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x14ac:dyDescent="0.2">
      <c r="A644" s="45"/>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x14ac:dyDescent="0.2">
      <c r="A645" s="45"/>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x14ac:dyDescent="0.2">
      <c r="A646" s="45"/>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x14ac:dyDescent="0.2">
      <c r="A647" s="45"/>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x14ac:dyDescent="0.2">
      <c r="A648" s="45"/>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x14ac:dyDescent="0.2">
      <c r="A649" s="45"/>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x14ac:dyDescent="0.2">
      <c r="A650" s="45"/>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x14ac:dyDescent="0.2">
      <c r="A651" s="45"/>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x14ac:dyDescent="0.2">
      <c r="A652" s="45"/>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x14ac:dyDescent="0.2">
      <c r="A653" s="45"/>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x14ac:dyDescent="0.2">
      <c r="A654" s="45"/>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x14ac:dyDescent="0.2">
      <c r="A655" s="45"/>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x14ac:dyDescent="0.2">
      <c r="A656" s="45"/>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x14ac:dyDescent="0.2">
      <c r="A657" s="45"/>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x14ac:dyDescent="0.2">
      <c r="A658" s="45"/>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x14ac:dyDescent="0.2">
      <c r="A659" s="45"/>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x14ac:dyDescent="0.2">
      <c r="A660" s="45"/>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x14ac:dyDescent="0.2">
      <c r="A661" s="45"/>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x14ac:dyDescent="0.2">
      <c r="A662" s="45"/>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x14ac:dyDescent="0.2">
      <c r="A663" s="45"/>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x14ac:dyDescent="0.2">
      <c r="A664" s="45"/>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x14ac:dyDescent="0.2">
      <c r="A665" s="45"/>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x14ac:dyDescent="0.2">
      <c r="A666" s="45"/>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x14ac:dyDescent="0.2">
      <c r="A667" s="45"/>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x14ac:dyDescent="0.2">
      <c r="A668" s="45"/>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x14ac:dyDescent="0.2">
      <c r="A669" s="45"/>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x14ac:dyDescent="0.2">
      <c r="A670" s="45"/>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x14ac:dyDescent="0.2">
      <c r="A671" s="45"/>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x14ac:dyDescent="0.2">
      <c r="A672" s="45"/>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x14ac:dyDescent="0.2">
      <c r="A673" s="45"/>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x14ac:dyDescent="0.2">
      <c r="A674" s="45"/>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x14ac:dyDescent="0.2">
      <c r="A675" s="45"/>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x14ac:dyDescent="0.2">
      <c r="A676" s="45"/>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x14ac:dyDescent="0.2">
      <c r="A677" s="45"/>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x14ac:dyDescent="0.2">
      <c r="A678" s="45"/>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x14ac:dyDescent="0.2">
      <c r="A679" s="45"/>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x14ac:dyDescent="0.2">
      <c r="A680" s="45"/>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x14ac:dyDescent="0.2">
      <c r="A681" s="45"/>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x14ac:dyDescent="0.2">
      <c r="A682" s="45"/>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x14ac:dyDescent="0.2">
      <c r="A683" s="45"/>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x14ac:dyDescent="0.2">
      <c r="A684" s="45"/>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x14ac:dyDescent="0.2">
      <c r="A685" s="45"/>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x14ac:dyDescent="0.2">
      <c r="A686" s="45"/>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x14ac:dyDescent="0.2">
      <c r="A687" s="45"/>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x14ac:dyDescent="0.2">
      <c r="A688" s="45"/>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x14ac:dyDescent="0.2">
      <c r="A689" s="45"/>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x14ac:dyDescent="0.2">
      <c r="A690" s="45"/>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x14ac:dyDescent="0.2">
      <c r="A691" s="45"/>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x14ac:dyDescent="0.2">
      <c r="A692" s="45"/>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x14ac:dyDescent="0.2">
      <c r="A693" s="45"/>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x14ac:dyDescent="0.2">
      <c r="A694" s="45"/>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x14ac:dyDescent="0.2">
      <c r="A695" s="45"/>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x14ac:dyDescent="0.2">
      <c r="A696" s="45"/>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x14ac:dyDescent="0.2">
      <c r="A697" s="45"/>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x14ac:dyDescent="0.2">
      <c r="A698" s="45"/>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x14ac:dyDescent="0.2">
      <c r="A699" s="45"/>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x14ac:dyDescent="0.2">
      <c r="A700" s="45"/>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x14ac:dyDescent="0.2">
      <c r="A701" s="45"/>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x14ac:dyDescent="0.2">
      <c r="A702" s="45"/>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x14ac:dyDescent="0.2">
      <c r="A703" s="45"/>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x14ac:dyDescent="0.2">
      <c r="A704" s="45"/>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x14ac:dyDescent="0.2">
      <c r="A705" s="45"/>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x14ac:dyDescent="0.2">
      <c r="A706" s="45"/>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x14ac:dyDescent="0.2">
      <c r="A707" s="45"/>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x14ac:dyDescent="0.2">
      <c r="A708" s="45"/>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x14ac:dyDescent="0.2">
      <c r="A709" s="45"/>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x14ac:dyDescent="0.2">
      <c r="A710" s="45"/>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x14ac:dyDescent="0.2">
      <c r="A711" s="45"/>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x14ac:dyDescent="0.2">
      <c r="A712" s="45"/>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x14ac:dyDescent="0.2">
      <c r="A713" s="45"/>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x14ac:dyDescent="0.2">
      <c r="A714" s="45"/>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x14ac:dyDescent="0.2">
      <c r="A715" s="45"/>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x14ac:dyDescent="0.2">
      <c r="A716" s="45"/>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x14ac:dyDescent="0.2">
      <c r="A717" s="45"/>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x14ac:dyDescent="0.2">
      <c r="A718" s="45"/>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x14ac:dyDescent="0.2">
      <c r="A719" s="45"/>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x14ac:dyDescent="0.2">
      <c r="A720" s="45"/>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x14ac:dyDescent="0.2">
      <c r="A721" s="45"/>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x14ac:dyDescent="0.2">
      <c r="A722" s="45"/>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x14ac:dyDescent="0.2">
      <c r="A723" s="45"/>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x14ac:dyDescent="0.2">
      <c r="A724" s="45"/>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x14ac:dyDescent="0.2">
      <c r="A725" s="45"/>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x14ac:dyDescent="0.2">
      <c r="A726" s="45"/>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x14ac:dyDescent="0.2">
      <c r="A727" s="45"/>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x14ac:dyDescent="0.2">
      <c r="A728" s="45"/>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x14ac:dyDescent="0.2">
      <c r="A729" s="45"/>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x14ac:dyDescent="0.2">
      <c r="A730" s="45"/>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x14ac:dyDescent="0.2">
      <c r="A731" s="45"/>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x14ac:dyDescent="0.2">
      <c r="A732" s="45"/>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x14ac:dyDescent="0.2">
      <c r="A733" s="45"/>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x14ac:dyDescent="0.2">
      <c r="A734" s="45"/>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x14ac:dyDescent="0.2">
      <c r="A735" s="45"/>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x14ac:dyDescent="0.2">
      <c r="A736" s="45"/>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x14ac:dyDescent="0.2">
      <c r="A737" s="45"/>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x14ac:dyDescent="0.2">
      <c r="A738" s="45"/>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x14ac:dyDescent="0.2">
      <c r="A739" s="45"/>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x14ac:dyDescent="0.2">
      <c r="A740" s="45"/>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x14ac:dyDescent="0.2">
      <c r="A741" s="45"/>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x14ac:dyDescent="0.2">
      <c r="A742" s="45"/>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x14ac:dyDescent="0.2">
      <c r="A743" s="45"/>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x14ac:dyDescent="0.2">
      <c r="A744" s="45"/>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x14ac:dyDescent="0.2">
      <c r="A745" s="45"/>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x14ac:dyDescent="0.2">
      <c r="A746" s="45"/>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x14ac:dyDescent="0.2">
      <c r="A747" s="45"/>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x14ac:dyDescent="0.2">
      <c r="A748" s="45"/>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x14ac:dyDescent="0.2">
      <c r="A749" s="45"/>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x14ac:dyDescent="0.2">
      <c r="A750" s="45"/>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x14ac:dyDescent="0.2">
      <c r="A751" s="45"/>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x14ac:dyDescent="0.2">
      <c r="A752" s="45"/>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x14ac:dyDescent="0.2">
      <c r="A753" s="45"/>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x14ac:dyDescent="0.2">
      <c r="A754" s="45"/>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x14ac:dyDescent="0.2">
      <c r="A755" s="45"/>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x14ac:dyDescent="0.2">
      <c r="A756" s="45"/>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x14ac:dyDescent="0.2">
      <c r="A757" s="45"/>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x14ac:dyDescent="0.2">
      <c r="A758" s="45"/>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x14ac:dyDescent="0.2">
      <c r="A759" s="45"/>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x14ac:dyDescent="0.2">
      <c r="A760" s="45"/>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x14ac:dyDescent="0.2">
      <c r="A761" s="45"/>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x14ac:dyDescent="0.2">
      <c r="A762" s="45"/>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x14ac:dyDescent="0.2">
      <c r="A763" s="45"/>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x14ac:dyDescent="0.2">
      <c r="A764" s="45"/>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x14ac:dyDescent="0.2">
      <c r="A765" s="45"/>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x14ac:dyDescent="0.2">
      <c r="A766" s="45"/>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x14ac:dyDescent="0.2">
      <c r="A767" s="45"/>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x14ac:dyDescent="0.2">
      <c r="A768" s="45"/>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x14ac:dyDescent="0.2">
      <c r="A769" s="45"/>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x14ac:dyDescent="0.2">
      <c r="A770" s="45"/>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x14ac:dyDescent="0.2">
      <c r="A771" s="45"/>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x14ac:dyDescent="0.2">
      <c r="A772" s="45"/>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x14ac:dyDescent="0.2">
      <c r="A773" s="45"/>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x14ac:dyDescent="0.2">
      <c r="A774" s="45"/>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x14ac:dyDescent="0.2">
      <c r="A775" s="45"/>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x14ac:dyDescent="0.2">
      <c r="A776" s="45"/>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x14ac:dyDescent="0.2">
      <c r="A777" s="45"/>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x14ac:dyDescent="0.2">
      <c r="A778" s="45"/>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x14ac:dyDescent="0.2">
      <c r="A779" s="45"/>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x14ac:dyDescent="0.2">
      <c r="A780" s="45"/>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x14ac:dyDescent="0.2">
      <c r="A781" s="45"/>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x14ac:dyDescent="0.2">
      <c r="A782" s="45"/>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x14ac:dyDescent="0.2">
      <c r="A783" s="45"/>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x14ac:dyDescent="0.2">
      <c r="A784" s="45"/>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x14ac:dyDescent="0.2">
      <c r="A785" s="45"/>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x14ac:dyDescent="0.2">
      <c r="A786" s="45"/>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x14ac:dyDescent="0.2">
      <c r="A787" s="45"/>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x14ac:dyDescent="0.2">
      <c r="A788" s="45"/>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x14ac:dyDescent="0.2">
      <c r="A789" s="45"/>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x14ac:dyDescent="0.2">
      <c r="A790" s="45"/>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x14ac:dyDescent="0.2">
      <c r="A791" s="45"/>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x14ac:dyDescent="0.2">
      <c r="A792" s="45"/>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x14ac:dyDescent="0.2">
      <c r="A793" s="45"/>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x14ac:dyDescent="0.2">
      <c r="A794" s="45"/>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x14ac:dyDescent="0.2">
      <c r="A795" s="45"/>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x14ac:dyDescent="0.2">
      <c r="A796" s="45"/>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x14ac:dyDescent="0.2">
      <c r="A797" s="45"/>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x14ac:dyDescent="0.2">
      <c r="A798" s="45"/>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x14ac:dyDescent="0.2">
      <c r="A799" s="45"/>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x14ac:dyDescent="0.2">
      <c r="A800" s="45"/>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x14ac:dyDescent="0.2">
      <c r="A801" s="45"/>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x14ac:dyDescent="0.2">
      <c r="A802" s="45"/>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x14ac:dyDescent="0.2">
      <c r="A803" s="45"/>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x14ac:dyDescent="0.2">
      <c r="A804" s="45"/>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x14ac:dyDescent="0.2">
      <c r="A805" s="45"/>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x14ac:dyDescent="0.2">
      <c r="A806" s="45"/>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x14ac:dyDescent="0.2">
      <c r="A807" s="45"/>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x14ac:dyDescent="0.2">
      <c r="A808" s="45"/>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x14ac:dyDescent="0.2">
      <c r="A809" s="45"/>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x14ac:dyDescent="0.2">
      <c r="A810" s="45"/>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x14ac:dyDescent="0.2">
      <c r="A811" s="45"/>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x14ac:dyDescent="0.2">
      <c r="A812" s="45"/>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x14ac:dyDescent="0.2">
      <c r="A813" s="45"/>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x14ac:dyDescent="0.2">
      <c r="A814" s="45"/>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x14ac:dyDescent="0.2">
      <c r="A815" s="45"/>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x14ac:dyDescent="0.2">
      <c r="A816" s="45"/>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x14ac:dyDescent="0.2">
      <c r="A817" s="45"/>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x14ac:dyDescent="0.2">
      <c r="A818" s="45"/>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x14ac:dyDescent="0.2">
      <c r="A819" s="45"/>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x14ac:dyDescent="0.2">
      <c r="A820" s="45"/>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x14ac:dyDescent="0.2">
      <c r="A821" s="45"/>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x14ac:dyDescent="0.2">
      <c r="A822" s="45"/>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x14ac:dyDescent="0.2">
      <c r="A823" s="45"/>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x14ac:dyDescent="0.2">
      <c r="A824" s="45"/>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x14ac:dyDescent="0.2">
      <c r="A825" s="45"/>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x14ac:dyDescent="0.2">
      <c r="A826" s="45"/>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x14ac:dyDescent="0.2">
      <c r="A827" s="45"/>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x14ac:dyDescent="0.2">
      <c r="A828" s="45"/>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x14ac:dyDescent="0.2">
      <c r="A829" s="45"/>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x14ac:dyDescent="0.2">
      <c r="A830" s="45"/>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x14ac:dyDescent="0.2">
      <c r="A831" s="45"/>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x14ac:dyDescent="0.2">
      <c r="A832" s="45"/>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x14ac:dyDescent="0.2">
      <c r="A833" s="45"/>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x14ac:dyDescent="0.2">
      <c r="A834" s="45"/>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x14ac:dyDescent="0.2">
      <c r="A835" s="45"/>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x14ac:dyDescent="0.2">
      <c r="A836" s="45"/>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x14ac:dyDescent="0.2">
      <c r="A837" s="45"/>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x14ac:dyDescent="0.2">
      <c r="A838" s="45"/>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x14ac:dyDescent="0.2">
      <c r="A839" s="45"/>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x14ac:dyDescent="0.2">
      <c r="A840" s="45"/>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x14ac:dyDescent="0.2">
      <c r="A841" s="45"/>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x14ac:dyDescent="0.2">
      <c r="A842" s="45"/>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x14ac:dyDescent="0.2">
      <c r="A843" s="45"/>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x14ac:dyDescent="0.2">
      <c r="A844" s="45"/>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x14ac:dyDescent="0.2">
      <c r="A845" s="45"/>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x14ac:dyDescent="0.2">
      <c r="A846" s="45"/>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x14ac:dyDescent="0.2">
      <c r="A847" s="45"/>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x14ac:dyDescent="0.2">
      <c r="A848" s="45"/>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x14ac:dyDescent="0.2">
      <c r="A849" s="45"/>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x14ac:dyDescent="0.2">
      <c r="A850" s="45"/>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x14ac:dyDescent="0.2">
      <c r="A851" s="45"/>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x14ac:dyDescent="0.2">
      <c r="A852" s="45"/>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x14ac:dyDescent="0.2">
      <c r="A853" s="45"/>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x14ac:dyDescent="0.2">
      <c r="A854" s="45"/>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x14ac:dyDescent="0.2">
      <c r="A855" s="45"/>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x14ac:dyDescent="0.2">
      <c r="A856" s="45"/>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x14ac:dyDescent="0.2">
      <c r="A857" s="45"/>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x14ac:dyDescent="0.2">
      <c r="A858" s="45"/>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x14ac:dyDescent="0.2">
      <c r="A859" s="45"/>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x14ac:dyDescent="0.2">
      <c r="A860" s="45"/>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x14ac:dyDescent="0.2">
      <c r="A861" s="45"/>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x14ac:dyDescent="0.2">
      <c r="A862" s="45"/>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x14ac:dyDescent="0.2">
      <c r="A863" s="45"/>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x14ac:dyDescent="0.2">
      <c r="A864" s="45"/>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x14ac:dyDescent="0.2">
      <c r="A865" s="45"/>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x14ac:dyDescent="0.2">
      <c r="A866" s="45"/>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x14ac:dyDescent="0.2">
      <c r="A867" s="45"/>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x14ac:dyDescent="0.2">
      <c r="A868" s="45"/>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x14ac:dyDescent="0.2">
      <c r="A869" s="45"/>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x14ac:dyDescent="0.2">
      <c r="A870" s="45"/>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x14ac:dyDescent="0.2">
      <c r="A871" s="45"/>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x14ac:dyDescent="0.2">
      <c r="A872" s="45"/>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x14ac:dyDescent="0.2">
      <c r="A873" s="45"/>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x14ac:dyDescent="0.2">
      <c r="A874" s="45"/>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x14ac:dyDescent="0.2">
      <c r="A875" s="45"/>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x14ac:dyDescent="0.2">
      <c r="A876" s="45"/>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x14ac:dyDescent="0.2">
      <c r="A877" s="45"/>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x14ac:dyDescent="0.2">
      <c r="A878" s="45"/>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x14ac:dyDescent="0.2">
      <c r="A879" s="45"/>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x14ac:dyDescent="0.2">
      <c r="A880" s="45"/>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x14ac:dyDescent="0.2">
      <c r="A881" s="45"/>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x14ac:dyDescent="0.2">
      <c r="A882" s="45"/>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x14ac:dyDescent="0.2">
      <c r="A883" s="45"/>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x14ac:dyDescent="0.2">
      <c r="A884" s="45"/>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x14ac:dyDescent="0.2">
      <c r="A885" s="45"/>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x14ac:dyDescent="0.2">
      <c r="A886" s="45"/>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x14ac:dyDescent="0.2">
      <c r="A887" s="45"/>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x14ac:dyDescent="0.2">
      <c r="A888" s="45"/>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x14ac:dyDescent="0.2">
      <c r="A889" s="45"/>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x14ac:dyDescent="0.2">
      <c r="A890" s="45"/>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x14ac:dyDescent="0.2">
      <c r="A891" s="45"/>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x14ac:dyDescent="0.2">
      <c r="A892" s="45"/>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x14ac:dyDescent="0.2">
      <c r="A893" s="45"/>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x14ac:dyDescent="0.2">
      <c r="A894" s="45"/>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x14ac:dyDescent="0.2">
      <c r="A895" s="45"/>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x14ac:dyDescent="0.2">
      <c r="A896" s="45"/>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x14ac:dyDescent="0.2">
      <c r="A897" s="45"/>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x14ac:dyDescent="0.2">
      <c r="A898" s="45"/>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x14ac:dyDescent="0.2">
      <c r="A899" s="45"/>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x14ac:dyDescent="0.2">
      <c r="A900" s="45"/>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x14ac:dyDescent="0.2">
      <c r="A901" s="45"/>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x14ac:dyDescent="0.2">
      <c r="A902" s="45"/>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x14ac:dyDescent="0.2">
      <c r="A903" s="45"/>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x14ac:dyDescent="0.2">
      <c r="A904" s="45"/>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x14ac:dyDescent="0.2">
      <c r="A905" s="45"/>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x14ac:dyDescent="0.2">
      <c r="A906" s="45"/>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x14ac:dyDescent="0.2">
      <c r="A907" s="45"/>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x14ac:dyDescent="0.2">
      <c r="A908" s="45"/>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x14ac:dyDescent="0.2">
      <c r="A909" s="45"/>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x14ac:dyDescent="0.2">
      <c r="A910" s="45"/>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x14ac:dyDescent="0.2">
      <c r="A911" s="45"/>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x14ac:dyDescent="0.2">
      <c r="A912" s="45"/>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x14ac:dyDescent="0.2">
      <c r="A913" s="45"/>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x14ac:dyDescent="0.2">
      <c r="A914" s="45"/>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x14ac:dyDescent="0.2">
      <c r="A915" s="45"/>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x14ac:dyDescent="0.2">
      <c r="A916" s="45"/>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x14ac:dyDescent="0.2">
      <c r="A917" s="45"/>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x14ac:dyDescent="0.2">
      <c r="A918" s="45"/>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x14ac:dyDescent="0.2">
      <c r="A919" s="45"/>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x14ac:dyDescent="0.2">
      <c r="A920" s="45"/>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x14ac:dyDescent="0.2">
      <c r="A921" s="45"/>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x14ac:dyDescent="0.2">
      <c r="A922" s="45"/>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x14ac:dyDescent="0.2">
      <c r="A923" s="45"/>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x14ac:dyDescent="0.2">
      <c r="A924" s="45"/>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x14ac:dyDescent="0.2">
      <c r="A925" s="45"/>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x14ac:dyDescent="0.2">
      <c r="A926" s="45"/>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x14ac:dyDescent="0.2">
      <c r="A927" s="45"/>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x14ac:dyDescent="0.2">
      <c r="A928" s="45"/>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x14ac:dyDescent="0.2">
      <c r="A929" s="45"/>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x14ac:dyDescent="0.2">
      <c r="A930" s="45"/>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x14ac:dyDescent="0.2">
      <c r="A931" s="45"/>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x14ac:dyDescent="0.2">
      <c r="A932" s="45"/>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x14ac:dyDescent="0.2">
      <c r="A933" s="45"/>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x14ac:dyDescent="0.2">
      <c r="A934" s="45"/>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x14ac:dyDescent="0.2">
      <c r="A935" s="45"/>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x14ac:dyDescent="0.2">
      <c r="A936" s="45"/>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x14ac:dyDescent="0.2">
      <c r="A937" s="45"/>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x14ac:dyDescent="0.2">
      <c r="A938" s="45"/>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x14ac:dyDescent="0.2">
      <c r="A939" s="45"/>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x14ac:dyDescent="0.2">
      <c r="A940" s="45"/>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x14ac:dyDescent="0.2">
      <c r="A941" s="45"/>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x14ac:dyDescent="0.2">
      <c r="A942" s="45"/>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x14ac:dyDescent="0.2">
      <c r="A943" s="45"/>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x14ac:dyDescent="0.2">
      <c r="A944" s="45"/>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x14ac:dyDescent="0.2">
      <c r="A945" s="45"/>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x14ac:dyDescent="0.2">
      <c r="A946" s="45"/>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x14ac:dyDescent="0.2">
      <c r="A947" s="45"/>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x14ac:dyDescent="0.2">
      <c r="A948" s="45"/>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x14ac:dyDescent="0.2">
      <c r="A949" s="45"/>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x14ac:dyDescent="0.2">
      <c r="A950" s="45"/>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x14ac:dyDescent="0.2">
      <c r="A951" s="45"/>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x14ac:dyDescent="0.2">
      <c r="A952" s="45"/>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x14ac:dyDescent="0.2">
      <c r="A953" s="45"/>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x14ac:dyDescent="0.2">
      <c r="A954" s="45"/>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x14ac:dyDescent="0.2">
      <c r="A955" s="45"/>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x14ac:dyDescent="0.2">
      <c r="A956" s="45"/>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x14ac:dyDescent="0.2">
      <c r="A957" s="45"/>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x14ac:dyDescent="0.2">
      <c r="A958" s="45"/>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x14ac:dyDescent="0.2">
      <c r="A959" s="45"/>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x14ac:dyDescent="0.2">
      <c r="A960" s="45"/>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x14ac:dyDescent="0.2">
      <c r="A961" s="45"/>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x14ac:dyDescent="0.2">
      <c r="A962" s="45"/>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x14ac:dyDescent="0.2">
      <c r="A963" s="45"/>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x14ac:dyDescent="0.2">
      <c r="A964" s="45"/>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x14ac:dyDescent="0.2">
      <c r="A965" s="45"/>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x14ac:dyDescent="0.2">
      <c r="A966" s="45"/>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x14ac:dyDescent="0.2">
      <c r="A967" s="45"/>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x14ac:dyDescent="0.2">
      <c r="A968" s="45"/>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x14ac:dyDescent="0.2">
      <c r="A969" s="45"/>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x14ac:dyDescent="0.2">
      <c r="A970" s="45"/>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x14ac:dyDescent="0.2">
      <c r="A971" s="45"/>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x14ac:dyDescent="0.2">
      <c r="A972" s="45"/>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x14ac:dyDescent="0.2">
      <c r="A973" s="45"/>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row r="974" spans="1:24" x14ac:dyDescent="0.2">
      <c r="A974" s="45"/>
      <c r="B974" s="46"/>
      <c r="C974" s="46"/>
      <c r="D974" s="46"/>
      <c r="E974" s="46"/>
      <c r="F974" s="46"/>
      <c r="G974" s="46"/>
      <c r="H974" s="46"/>
      <c r="I974" s="46"/>
      <c r="J974" s="46"/>
      <c r="K974" s="46"/>
      <c r="L974" s="46"/>
      <c r="M974" s="46"/>
      <c r="N974" s="46"/>
      <c r="O974" s="46"/>
      <c r="P974" s="46"/>
      <c r="Q974" s="46"/>
      <c r="R974" s="46"/>
      <c r="S974" s="46"/>
      <c r="T974" s="46"/>
      <c r="U974" s="46"/>
      <c r="V974" s="46"/>
      <c r="W974" s="46"/>
      <c r="X974" s="46"/>
    </row>
    <row r="975" spans="1:24" x14ac:dyDescent="0.2">
      <c r="A975" s="45"/>
      <c r="B975" s="46"/>
      <c r="C975" s="46"/>
      <c r="D975" s="46"/>
      <c r="E975" s="46"/>
      <c r="F975" s="46"/>
      <c r="G975" s="46"/>
      <c r="H975" s="46"/>
      <c r="I975" s="46"/>
      <c r="J975" s="46"/>
      <c r="K975" s="46"/>
      <c r="L975" s="46"/>
      <c r="M975" s="46"/>
      <c r="N975" s="46"/>
      <c r="O975" s="46"/>
      <c r="P975" s="46"/>
      <c r="Q975" s="46"/>
      <c r="R975" s="46"/>
      <c r="S975" s="46"/>
      <c r="T975" s="46"/>
      <c r="U975" s="46"/>
      <c r="V975" s="46"/>
      <c r="W975" s="46"/>
      <c r="X975" s="46"/>
    </row>
    <row r="976" spans="1:24" x14ac:dyDescent="0.2">
      <c r="A976" s="45"/>
      <c r="B976" s="46"/>
      <c r="C976" s="46"/>
      <c r="D976" s="46"/>
      <c r="E976" s="46"/>
      <c r="F976" s="46"/>
      <c r="G976" s="46"/>
      <c r="H976" s="46"/>
      <c r="I976" s="46"/>
      <c r="J976" s="46"/>
      <c r="K976" s="46"/>
      <c r="L976" s="46"/>
      <c r="M976" s="46"/>
      <c r="N976" s="46"/>
      <c r="O976" s="46"/>
      <c r="P976" s="46"/>
      <c r="Q976" s="46"/>
      <c r="R976" s="46"/>
      <c r="S976" s="46"/>
      <c r="T976" s="46"/>
      <c r="U976" s="46"/>
      <c r="V976" s="46"/>
      <c r="W976" s="46"/>
      <c r="X976" s="46"/>
    </row>
    <row r="977" spans="1:24" x14ac:dyDescent="0.2">
      <c r="A977" s="45"/>
      <c r="B977" s="46"/>
      <c r="C977" s="46"/>
      <c r="D977" s="46"/>
      <c r="E977" s="46"/>
      <c r="F977" s="46"/>
      <c r="G977" s="46"/>
      <c r="H977" s="46"/>
      <c r="I977" s="46"/>
      <c r="J977" s="46"/>
      <c r="K977" s="46"/>
      <c r="L977" s="46"/>
      <c r="M977" s="46"/>
      <c r="N977" s="46"/>
      <c r="O977" s="46"/>
      <c r="P977" s="46"/>
      <c r="Q977" s="46"/>
      <c r="R977" s="46"/>
      <c r="S977" s="46"/>
      <c r="T977" s="46"/>
      <c r="U977" s="46"/>
      <c r="V977" s="46"/>
      <c r="W977" s="46"/>
      <c r="X977" s="46"/>
    </row>
    <row r="978" spans="1:24" x14ac:dyDescent="0.2">
      <c r="A978" s="45"/>
      <c r="B978" s="46"/>
      <c r="C978" s="46"/>
      <c r="D978" s="46"/>
      <c r="E978" s="46"/>
      <c r="F978" s="46"/>
      <c r="G978" s="46"/>
      <c r="H978" s="46"/>
      <c r="I978" s="46"/>
      <c r="J978" s="46"/>
      <c r="K978" s="46"/>
      <c r="L978" s="46"/>
      <c r="M978" s="46"/>
      <c r="N978" s="46"/>
      <c r="O978" s="46"/>
      <c r="P978" s="46"/>
      <c r="Q978" s="46"/>
      <c r="R978" s="46"/>
      <c r="S978" s="46"/>
      <c r="T978" s="46"/>
      <c r="U978" s="46"/>
      <c r="V978" s="46"/>
      <c r="W978" s="46"/>
      <c r="X978" s="46"/>
    </row>
    <row r="979" spans="1:24" x14ac:dyDescent="0.2">
      <c r="A979" s="45"/>
      <c r="B979" s="46"/>
      <c r="C979" s="46"/>
      <c r="D979" s="46"/>
      <c r="E979" s="46"/>
      <c r="F979" s="46"/>
      <c r="G979" s="46"/>
      <c r="H979" s="46"/>
      <c r="I979" s="46"/>
      <c r="J979" s="46"/>
      <c r="K979" s="46"/>
      <c r="L979" s="46"/>
      <c r="M979" s="46"/>
      <c r="N979" s="46"/>
      <c r="O979" s="46"/>
      <c r="P979" s="46"/>
      <c r="Q979" s="46"/>
      <c r="R979" s="46"/>
      <c r="S979" s="46"/>
      <c r="T979" s="46"/>
      <c r="U979" s="46"/>
      <c r="V979" s="46"/>
      <c r="W979" s="46"/>
      <c r="X979" s="46"/>
    </row>
    <row r="980" spans="1:24" x14ac:dyDescent="0.2">
      <c r="A980" s="45"/>
      <c r="B980" s="46"/>
      <c r="C980" s="46"/>
      <c r="D980" s="46"/>
      <c r="E980" s="46"/>
      <c r="F980" s="46"/>
      <c r="G980" s="46"/>
      <c r="H980" s="46"/>
      <c r="I980" s="46"/>
      <c r="J980" s="46"/>
      <c r="K980" s="46"/>
      <c r="L980" s="46"/>
      <c r="M980" s="46"/>
      <c r="N980" s="46"/>
      <c r="O980" s="46"/>
      <c r="P980" s="46"/>
      <c r="Q980" s="46"/>
      <c r="R980" s="46"/>
      <c r="S980" s="46"/>
      <c r="T980" s="46"/>
      <c r="U980" s="46"/>
      <c r="V980" s="46"/>
      <c r="W980" s="46"/>
      <c r="X980" s="46"/>
    </row>
    <row r="981" spans="1:24" x14ac:dyDescent="0.2">
      <c r="A981" s="45"/>
      <c r="B981" s="46"/>
      <c r="C981" s="46"/>
      <c r="D981" s="46"/>
      <c r="E981" s="46"/>
      <c r="F981" s="46"/>
      <c r="G981" s="46"/>
      <c r="H981" s="46"/>
      <c r="I981" s="46"/>
      <c r="J981" s="46"/>
      <c r="K981" s="46"/>
      <c r="L981" s="46"/>
      <c r="M981" s="46"/>
      <c r="N981" s="46"/>
      <c r="O981" s="46"/>
      <c r="P981" s="46"/>
      <c r="Q981" s="46"/>
      <c r="R981" s="46"/>
      <c r="S981" s="46"/>
      <c r="T981" s="46"/>
      <c r="U981" s="46"/>
      <c r="V981" s="46"/>
      <c r="W981" s="46"/>
      <c r="X981" s="46"/>
    </row>
    <row r="982" spans="1:24" x14ac:dyDescent="0.2">
      <c r="A982" s="45"/>
      <c r="B982" s="46"/>
      <c r="C982" s="46"/>
      <c r="D982" s="46"/>
      <c r="E982" s="46"/>
      <c r="F982" s="46"/>
      <c r="G982" s="46"/>
      <c r="H982" s="46"/>
      <c r="I982" s="46"/>
      <c r="J982" s="46"/>
      <c r="K982" s="46"/>
      <c r="L982" s="46"/>
      <c r="M982" s="46"/>
      <c r="N982" s="46"/>
      <c r="O982" s="46"/>
      <c r="P982" s="46"/>
      <c r="Q982" s="46"/>
      <c r="R982" s="46"/>
      <c r="S982" s="46"/>
      <c r="T982" s="46"/>
      <c r="U982" s="46"/>
      <c r="V982" s="46"/>
      <c r="W982" s="46"/>
      <c r="X982" s="46"/>
    </row>
    <row r="983" spans="1:24" x14ac:dyDescent="0.2">
      <c r="A983" s="45"/>
      <c r="B983" s="46"/>
      <c r="C983" s="46"/>
      <c r="D983" s="46"/>
      <c r="E983" s="46"/>
      <c r="F983" s="46"/>
      <c r="G983" s="46"/>
      <c r="H983" s="46"/>
      <c r="I983" s="46"/>
      <c r="J983" s="46"/>
      <c r="K983" s="46"/>
      <c r="L983" s="46"/>
      <c r="M983" s="46"/>
      <c r="N983" s="46"/>
      <c r="O983" s="46"/>
      <c r="P983" s="46"/>
      <c r="Q983" s="46"/>
      <c r="R983" s="46"/>
      <c r="S983" s="46"/>
      <c r="T983" s="46"/>
      <c r="U983" s="46"/>
      <c r="V983" s="46"/>
      <c r="W983" s="46"/>
      <c r="X983" s="46"/>
    </row>
    <row r="984" spans="1:24" x14ac:dyDescent="0.2">
      <c r="A984" s="45"/>
      <c r="B984" s="46"/>
      <c r="C984" s="46"/>
      <c r="D984" s="46"/>
      <c r="E984" s="46"/>
      <c r="F984" s="46"/>
      <c r="G984" s="46"/>
      <c r="H984" s="46"/>
      <c r="I984" s="46"/>
      <c r="J984" s="46"/>
      <c r="K984" s="46"/>
      <c r="L984" s="46"/>
      <c r="M984" s="46"/>
      <c r="N984" s="46"/>
      <c r="O984" s="46"/>
      <c r="P984" s="46"/>
      <c r="Q984" s="46"/>
      <c r="R984" s="46"/>
      <c r="S984" s="46"/>
      <c r="T984" s="46"/>
      <c r="U984" s="46"/>
      <c r="V984" s="46"/>
      <c r="W984" s="46"/>
      <c r="X984" s="46"/>
    </row>
    <row r="985" spans="1:24" x14ac:dyDescent="0.2">
      <c r="A985" s="45"/>
      <c r="B985" s="46"/>
      <c r="C985" s="46"/>
      <c r="D985" s="46"/>
      <c r="E985" s="46"/>
      <c r="F985" s="46"/>
      <c r="G985" s="46"/>
      <c r="H985" s="46"/>
      <c r="I985" s="46"/>
      <c r="J985" s="46"/>
      <c r="K985" s="46"/>
      <c r="L985" s="46"/>
      <c r="M985" s="46"/>
      <c r="N985" s="46"/>
      <c r="O985" s="46"/>
      <c r="P985" s="46"/>
      <c r="Q985" s="46"/>
      <c r="R985" s="46"/>
      <c r="S985" s="46"/>
      <c r="T985" s="46"/>
      <c r="U985" s="46"/>
      <c r="V985" s="46"/>
      <c r="W985" s="46"/>
      <c r="X985" s="46"/>
    </row>
    <row r="986" spans="1:24" x14ac:dyDescent="0.2">
      <c r="A986" s="45"/>
      <c r="B986" s="46"/>
      <c r="C986" s="46"/>
      <c r="D986" s="46"/>
      <c r="E986" s="46"/>
      <c r="F986" s="46"/>
      <c r="G986" s="46"/>
      <c r="H986" s="46"/>
      <c r="I986" s="46"/>
      <c r="J986" s="46"/>
      <c r="K986" s="46"/>
      <c r="L986" s="46"/>
      <c r="M986" s="46"/>
      <c r="N986" s="46"/>
      <c r="O986" s="46"/>
      <c r="P986" s="46"/>
      <c r="Q986" s="46"/>
      <c r="R986" s="46"/>
      <c r="S986" s="46"/>
      <c r="T986" s="46"/>
      <c r="U986" s="46"/>
      <c r="V986" s="46"/>
      <c r="W986" s="46"/>
      <c r="X986" s="46"/>
    </row>
    <row r="987" spans="1:24" x14ac:dyDescent="0.2">
      <c r="A987" s="45"/>
      <c r="B987" s="46"/>
      <c r="C987" s="46"/>
      <c r="D987" s="46"/>
      <c r="E987" s="46"/>
      <c r="F987" s="46"/>
      <c r="G987" s="46"/>
      <c r="H987" s="46"/>
      <c r="I987" s="46"/>
      <c r="J987" s="46"/>
      <c r="K987" s="46"/>
      <c r="L987" s="46"/>
      <c r="M987" s="46"/>
      <c r="N987" s="46"/>
      <c r="O987" s="46"/>
      <c r="P987" s="46"/>
      <c r="Q987" s="46"/>
      <c r="R987" s="46"/>
      <c r="S987" s="46"/>
      <c r="T987" s="46"/>
      <c r="U987" s="46"/>
      <c r="V987" s="46"/>
      <c r="W987" s="46"/>
      <c r="X987" s="46"/>
    </row>
    <row r="988" spans="1:24" x14ac:dyDescent="0.2">
      <c r="A988" s="45"/>
      <c r="B988" s="46"/>
      <c r="C988" s="46"/>
      <c r="D988" s="46"/>
      <c r="E988" s="46"/>
      <c r="F988" s="46"/>
      <c r="G988" s="46"/>
      <c r="H988" s="46"/>
      <c r="I988" s="46"/>
      <c r="J988" s="46"/>
      <c r="K988" s="46"/>
      <c r="L988" s="46"/>
      <c r="M988" s="46"/>
      <c r="N988" s="46"/>
      <c r="O988" s="46"/>
      <c r="P988" s="46"/>
      <c r="Q988" s="46"/>
      <c r="R988" s="46"/>
      <c r="S988" s="46"/>
      <c r="T988" s="46"/>
      <c r="U988" s="46"/>
      <c r="V988" s="46"/>
      <c r="W988" s="46"/>
      <c r="X988" s="46"/>
    </row>
    <row r="989" spans="1:24" x14ac:dyDescent="0.2">
      <c r="A989" s="45"/>
      <c r="B989" s="46"/>
      <c r="C989" s="46"/>
      <c r="D989" s="46"/>
      <c r="E989" s="46"/>
      <c r="F989" s="46"/>
      <c r="G989" s="46"/>
      <c r="H989" s="46"/>
      <c r="I989" s="46"/>
      <c r="J989" s="46"/>
      <c r="K989" s="46"/>
      <c r="L989" s="46"/>
      <c r="M989" s="46"/>
      <c r="N989" s="46"/>
      <c r="O989" s="46"/>
      <c r="P989" s="46"/>
      <c r="Q989" s="46"/>
      <c r="R989" s="46"/>
      <c r="S989" s="46"/>
      <c r="T989" s="46"/>
      <c r="U989" s="46"/>
      <c r="V989" s="46"/>
      <c r="W989" s="46"/>
      <c r="X989" s="46"/>
    </row>
    <row r="990" spans="1:24" x14ac:dyDescent="0.2">
      <c r="A990" s="45"/>
      <c r="B990" s="46"/>
      <c r="C990" s="46"/>
      <c r="D990" s="46"/>
      <c r="E990" s="46"/>
      <c r="F990" s="46"/>
      <c r="G990" s="46"/>
      <c r="H990" s="46"/>
      <c r="I990" s="46"/>
      <c r="J990" s="46"/>
      <c r="K990" s="46"/>
      <c r="L990" s="46"/>
      <c r="M990" s="46"/>
      <c r="N990" s="46"/>
      <c r="O990" s="46"/>
      <c r="P990" s="46"/>
      <c r="Q990" s="46"/>
      <c r="R990" s="46"/>
      <c r="S990" s="46"/>
      <c r="T990" s="46"/>
      <c r="U990" s="46"/>
      <c r="V990" s="46"/>
      <c r="W990" s="46"/>
      <c r="X990" s="46"/>
    </row>
    <row r="991" spans="1:24" x14ac:dyDescent="0.2">
      <c r="A991" s="45"/>
      <c r="B991" s="46"/>
      <c r="C991" s="46"/>
      <c r="D991" s="46"/>
      <c r="E991" s="46"/>
      <c r="F991" s="46"/>
      <c r="G991" s="46"/>
      <c r="H991" s="46"/>
      <c r="I991" s="46"/>
      <c r="J991" s="46"/>
      <c r="K991" s="46"/>
      <c r="L991" s="46"/>
      <c r="M991" s="46"/>
      <c r="N991" s="46"/>
      <c r="O991" s="46"/>
      <c r="P991" s="46"/>
      <c r="Q991" s="46"/>
      <c r="R991" s="46"/>
      <c r="S991" s="46"/>
      <c r="T991" s="46"/>
      <c r="U991" s="46"/>
      <c r="V991" s="46"/>
      <c r="W991" s="46"/>
      <c r="X991" s="46"/>
    </row>
    <row r="992" spans="1:24" x14ac:dyDescent="0.2">
      <c r="A992" s="45"/>
      <c r="B992" s="46"/>
      <c r="C992" s="46"/>
      <c r="D992" s="46"/>
      <c r="E992" s="46"/>
      <c r="F992" s="46"/>
      <c r="G992" s="46"/>
      <c r="H992" s="46"/>
      <c r="I992" s="46"/>
      <c r="J992" s="46"/>
      <c r="K992" s="46"/>
      <c r="L992" s="46"/>
      <c r="M992" s="46"/>
      <c r="N992" s="46"/>
      <c r="O992" s="46"/>
      <c r="P992" s="46"/>
      <c r="Q992" s="46"/>
      <c r="R992" s="46"/>
      <c r="S992" s="46"/>
      <c r="T992" s="46"/>
      <c r="U992" s="46"/>
      <c r="V992" s="46"/>
      <c r="W992" s="46"/>
      <c r="X992" s="46"/>
    </row>
    <row r="993" spans="1:24" x14ac:dyDescent="0.2">
      <c r="A993" s="45"/>
      <c r="B993" s="46"/>
      <c r="C993" s="46"/>
      <c r="D993" s="46"/>
      <c r="E993" s="46"/>
      <c r="F993" s="46"/>
      <c r="G993" s="46"/>
      <c r="H993" s="46"/>
      <c r="I993" s="46"/>
      <c r="J993" s="46"/>
      <c r="K993" s="46"/>
      <c r="L993" s="46"/>
      <c r="M993" s="46"/>
      <c r="N993" s="46"/>
      <c r="O993" s="46"/>
      <c r="P993" s="46"/>
      <c r="Q993" s="46"/>
      <c r="R993" s="46"/>
      <c r="S993" s="46"/>
      <c r="T993" s="46"/>
      <c r="U993" s="46"/>
      <c r="V993" s="46"/>
      <c r="W993" s="46"/>
      <c r="X993" s="46"/>
    </row>
    <row r="994" spans="1:24" x14ac:dyDescent="0.2">
      <c r="A994" s="45"/>
      <c r="B994" s="46"/>
      <c r="C994" s="46"/>
      <c r="D994" s="46"/>
      <c r="E994" s="46"/>
      <c r="F994" s="46"/>
      <c r="G994" s="46"/>
      <c r="H994" s="46"/>
      <c r="I994" s="46"/>
      <c r="J994" s="46"/>
      <c r="K994" s="46"/>
      <c r="L994" s="46"/>
      <c r="M994" s="46"/>
      <c r="N994" s="46"/>
      <c r="O994" s="46"/>
      <c r="P994" s="46"/>
      <c r="Q994" s="46"/>
      <c r="R994" s="46"/>
      <c r="S994" s="46"/>
      <c r="T994" s="46"/>
      <c r="U994" s="46"/>
      <c r="V994" s="46"/>
      <c r="W994" s="46"/>
      <c r="X994" s="46"/>
    </row>
    <row r="995" spans="1:24" x14ac:dyDescent="0.2">
      <c r="A995" s="45"/>
      <c r="B995" s="46"/>
      <c r="C995" s="46"/>
      <c r="D995" s="46"/>
      <c r="E995" s="46"/>
      <c r="F995" s="46"/>
      <c r="G995" s="46"/>
      <c r="H995" s="46"/>
      <c r="I995" s="46"/>
      <c r="J995" s="46"/>
      <c r="K995" s="46"/>
      <c r="L995" s="46"/>
      <c r="M995" s="46"/>
      <c r="N995" s="46"/>
      <c r="O995" s="46"/>
      <c r="P995" s="46"/>
      <c r="Q995" s="46"/>
      <c r="R995" s="46"/>
      <c r="S995" s="46"/>
      <c r="T995" s="46"/>
      <c r="U995" s="46"/>
      <c r="V995" s="46"/>
      <c r="W995" s="46"/>
      <c r="X995" s="46"/>
    </row>
    <row r="996" spans="1:24" x14ac:dyDescent="0.2">
      <c r="A996" s="45"/>
      <c r="B996" s="46"/>
      <c r="C996" s="46"/>
      <c r="D996" s="46"/>
      <c r="E996" s="46"/>
      <c r="F996" s="46"/>
      <c r="G996" s="46"/>
      <c r="H996" s="46"/>
      <c r="I996" s="46"/>
      <c r="J996" s="46"/>
      <c r="K996" s="46"/>
      <c r="L996" s="46"/>
      <c r="M996" s="46"/>
      <c r="N996" s="46"/>
      <c r="O996" s="46"/>
      <c r="P996" s="46"/>
      <c r="Q996" s="46"/>
      <c r="R996" s="46"/>
      <c r="S996" s="46"/>
      <c r="T996" s="46"/>
      <c r="U996" s="46"/>
      <c r="V996" s="46"/>
      <c r="W996" s="46"/>
      <c r="X996" s="46"/>
    </row>
    <row r="997" spans="1:24" x14ac:dyDescent="0.2">
      <c r="A997" s="45"/>
      <c r="B997" s="46"/>
      <c r="C997" s="46"/>
      <c r="D997" s="46"/>
      <c r="E997" s="46"/>
      <c r="F997" s="46"/>
      <c r="G997" s="46"/>
      <c r="H997" s="46"/>
      <c r="I997" s="46"/>
      <c r="J997" s="46"/>
      <c r="K997" s="46"/>
      <c r="L997" s="46"/>
      <c r="M997" s="46"/>
      <c r="N997" s="46"/>
      <c r="O997" s="46"/>
      <c r="P997" s="46"/>
      <c r="Q997" s="46"/>
      <c r="R997" s="46"/>
      <c r="S997" s="46"/>
      <c r="T997" s="46"/>
      <c r="U997" s="46"/>
      <c r="V997" s="46"/>
      <c r="W997" s="46"/>
      <c r="X997" s="46"/>
    </row>
    <row r="998" spans="1:24" x14ac:dyDescent="0.2">
      <c r="A998" s="45"/>
      <c r="B998" s="46"/>
      <c r="C998" s="46"/>
      <c r="D998" s="46"/>
      <c r="E998" s="46"/>
      <c r="F998" s="46"/>
      <c r="G998" s="46"/>
      <c r="H998" s="46"/>
      <c r="I998" s="46"/>
      <c r="J998" s="46"/>
      <c r="K998" s="46"/>
      <c r="L998" s="46"/>
      <c r="M998" s="46"/>
      <c r="N998" s="46"/>
      <c r="O998" s="46"/>
      <c r="P998" s="46"/>
      <c r="Q998" s="46"/>
      <c r="R998" s="46"/>
      <c r="S998" s="46"/>
      <c r="T998" s="46"/>
      <c r="U998" s="46"/>
      <c r="V998" s="46"/>
      <c r="W998" s="46"/>
      <c r="X998" s="46"/>
    </row>
    <row r="999" spans="1:24" x14ac:dyDescent="0.2">
      <c r="A999" s="45"/>
      <c r="B999" s="46"/>
      <c r="C999" s="46"/>
      <c r="D999" s="46"/>
      <c r="E999" s="46"/>
      <c r="F999" s="46"/>
      <c r="G999" s="46"/>
      <c r="H999" s="46"/>
      <c r="I999" s="46"/>
      <c r="J999" s="46"/>
      <c r="K999" s="46"/>
      <c r="L999" s="46"/>
      <c r="M999" s="46"/>
      <c r="N999" s="46"/>
      <c r="O999" s="46"/>
      <c r="P999" s="46"/>
      <c r="Q999" s="46"/>
      <c r="R999" s="46"/>
      <c r="S999" s="46"/>
      <c r="T999" s="46"/>
      <c r="U999" s="46"/>
      <c r="V999" s="46"/>
      <c r="W999" s="46"/>
      <c r="X999" s="46"/>
    </row>
    <row r="1000" spans="1:24" x14ac:dyDescent="0.2">
      <c r="A1000" s="45"/>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row>
    <row r="1001" spans="1:24" x14ac:dyDescent="0.2">
      <c r="A1001" s="45"/>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row>
    <row r="1002" spans="1:24" x14ac:dyDescent="0.2">
      <c r="A1002" s="45"/>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row>
    <row r="1003" spans="1:24" x14ac:dyDescent="0.2">
      <c r="A1003" s="45"/>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row>
    <row r="1004" spans="1:24" x14ac:dyDescent="0.2">
      <c r="A1004" s="45"/>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row>
    <row r="1005" spans="1:24" x14ac:dyDescent="0.2">
      <c r="A1005" s="45"/>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row>
    <row r="1006" spans="1:24" x14ac:dyDescent="0.2">
      <c r="A1006" s="45"/>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row>
    <row r="1007" spans="1:24" x14ac:dyDescent="0.2">
      <c r="A1007" s="45"/>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row>
    <row r="1008" spans="1:24" x14ac:dyDescent="0.2">
      <c r="A1008" s="45"/>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row>
    <row r="1009" spans="1:24" x14ac:dyDescent="0.2">
      <c r="A1009" s="45"/>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row>
    <row r="1010" spans="1:24" x14ac:dyDescent="0.2">
      <c r="A1010" s="45"/>
      <c r="B1010" s="46"/>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row>
    <row r="1011" spans="1:24" x14ac:dyDescent="0.2">
      <c r="A1011" s="45"/>
      <c r="B1011" s="46"/>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row>
    <row r="1012" spans="1:24" x14ac:dyDescent="0.2">
      <c r="A1012" s="45"/>
      <c r="B1012" s="46"/>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row>
    <row r="1013" spans="1:24" x14ac:dyDescent="0.2">
      <c r="A1013" s="45"/>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row>
    <row r="1014" spans="1:24" x14ac:dyDescent="0.2">
      <c r="A1014" s="45"/>
      <c r="B1014" s="46"/>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row>
    <row r="1015" spans="1:24" x14ac:dyDescent="0.2">
      <c r="A1015" s="45"/>
      <c r="B1015" s="46"/>
      <c r="C1015" s="46"/>
      <c r="D1015" s="46"/>
      <c r="E1015" s="46"/>
      <c r="F1015" s="46"/>
      <c r="G1015" s="46"/>
      <c r="H1015" s="46"/>
      <c r="I1015" s="46"/>
      <c r="J1015" s="46"/>
      <c r="K1015" s="46"/>
      <c r="L1015" s="46"/>
      <c r="M1015" s="46"/>
      <c r="N1015" s="46"/>
      <c r="O1015" s="46"/>
      <c r="P1015" s="46"/>
      <c r="Q1015" s="46"/>
      <c r="R1015" s="46"/>
      <c r="S1015" s="46"/>
      <c r="T1015" s="46"/>
      <c r="U1015" s="46"/>
      <c r="V1015" s="46"/>
      <c r="W1015" s="46"/>
      <c r="X1015" s="46"/>
    </row>
    <row r="1016" spans="1:24" x14ac:dyDescent="0.2">
      <c r="A1016" s="45"/>
      <c r="B1016" s="46"/>
      <c r="C1016" s="46"/>
      <c r="D1016" s="46"/>
      <c r="E1016" s="46"/>
      <c r="F1016" s="46"/>
      <c r="G1016" s="46"/>
      <c r="H1016" s="46"/>
      <c r="I1016" s="46"/>
      <c r="J1016" s="46"/>
      <c r="K1016" s="46"/>
      <c r="L1016" s="46"/>
      <c r="M1016" s="46"/>
      <c r="N1016" s="46"/>
      <c r="O1016" s="46"/>
      <c r="P1016" s="46"/>
      <c r="Q1016" s="46"/>
      <c r="R1016" s="46"/>
      <c r="S1016" s="46"/>
      <c r="T1016" s="46"/>
      <c r="U1016" s="46"/>
      <c r="V1016" s="46"/>
      <c r="W1016" s="46"/>
      <c r="X1016" s="46"/>
    </row>
    <row r="1017" spans="1:24" x14ac:dyDescent="0.2">
      <c r="A1017" s="45"/>
      <c r="B1017" s="46"/>
      <c r="C1017" s="46"/>
      <c r="D1017" s="46"/>
      <c r="E1017" s="46"/>
      <c r="F1017" s="46"/>
      <c r="G1017" s="46"/>
      <c r="H1017" s="46"/>
      <c r="I1017" s="46"/>
      <c r="J1017" s="46"/>
      <c r="K1017" s="46"/>
      <c r="L1017" s="46"/>
      <c r="M1017" s="46"/>
      <c r="N1017" s="46"/>
      <c r="O1017" s="46"/>
      <c r="P1017" s="46"/>
      <c r="Q1017" s="46"/>
      <c r="R1017" s="46"/>
      <c r="S1017" s="46"/>
      <c r="T1017" s="46"/>
      <c r="U1017" s="46"/>
      <c r="V1017" s="46"/>
      <c r="W1017" s="46"/>
      <c r="X1017" s="46"/>
    </row>
    <row r="1018" spans="1:24" x14ac:dyDescent="0.2">
      <c r="A1018" s="45"/>
      <c r="B1018" s="46"/>
      <c r="C1018" s="46"/>
      <c r="D1018" s="46"/>
      <c r="E1018" s="46"/>
      <c r="F1018" s="46"/>
      <c r="G1018" s="46"/>
      <c r="H1018" s="46"/>
      <c r="I1018" s="46"/>
      <c r="J1018" s="46"/>
      <c r="K1018" s="46"/>
      <c r="L1018" s="46"/>
      <c r="M1018" s="46"/>
      <c r="N1018" s="46"/>
      <c r="O1018" s="46"/>
      <c r="P1018" s="46"/>
      <c r="Q1018" s="46"/>
      <c r="R1018" s="46"/>
      <c r="S1018" s="46"/>
      <c r="T1018" s="46"/>
      <c r="U1018" s="46"/>
      <c r="V1018" s="46"/>
      <c r="W1018" s="46"/>
      <c r="X1018" s="46"/>
    </row>
    <row r="1019" spans="1:24" x14ac:dyDescent="0.2">
      <c r="A1019" s="45"/>
      <c r="B1019" s="46"/>
      <c r="C1019" s="46"/>
      <c r="D1019" s="46"/>
      <c r="E1019" s="46"/>
      <c r="F1019" s="46"/>
      <c r="G1019" s="46"/>
      <c r="H1019" s="46"/>
      <c r="I1019" s="46"/>
      <c r="J1019" s="46"/>
      <c r="K1019" s="46"/>
      <c r="L1019" s="46"/>
      <c r="M1019" s="46"/>
      <c r="N1019" s="46"/>
      <c r="O1019" s="46"/>
      <c r="P1019" s="46"/>
      <c r="Q1019" s="46"/>
      <c r="R1019" s="46"/>
      <c r="S1019" s="46"/>
      <c r="T1019" s="46"/>
      <c r="U1019" s="46"/>
      <c r="V1019" s="46"/>
      <c r="W1019" s="46"/>
      <c r="X1019" s="46"/>
    </row>
    <row r="1020" spans="1:24" x14ac:dyDescent="0.2">
      <c r="A1020" s="45"/>
      <c r="B1020" s="46"/>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46"/>
    </row>
    <row r="1021" spans="1:24" x14ac:dyDescent="0.2">
      <c r="A1021" s="45"/>
      <c r="B1021" s="46"/>
      <c r="C1021" s="46"/>
      <c r="D1021" s="46"/>
      <c r="E1021" s="46"/>
      <c r="F1021" s="46"/>
      <c r="G1021" s="46"/>
      <c r="H1021" s="46"/>
      <c r="I1021" s="46"/>
      <c r="J1021" s="46"/>
      <c r="K1021" s="46"/>
      <c r="L1021" s="46"/>
      <c r="M1021" s="46"/>
      <c r="N1021" s="46"/>
      <c r="O1021" s="46"/>
      <c r="P1021" s="46"/>
      <c r="Q1021" s="46"/>
      <c r="R1021" s="46"/>
      <c r="S1021" s="46"/>
      <c r="T1021" s="46"/>
      <c r="U1021" s="46"/>
      <c r="V1021" s="46"/>
      <c r="W1021" s="46"/>
      <c r="X1021" s="46"/>
    </row>
    <row r="1022" spans="1:24" x14ac:dyDescent="0.2">
      <c r="A1022" s="45"/>
      <c r="B1022" s="46"/>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row>
    <row r="1023" spans="1:24" x14ac:dyDescent="0.2">
      <c r="A1023" s="45"/>
      <c r="B1023" s="46"/>
      <c r="C1023" s="46"/>
      <c r="D1023" s="46"/>
      <c r="E1023" s="46"/>
      <c r="F1023" s="46"/>
      <c r="G1023" s="46"/>
      <c r="H1023" s="46"/>
      <c r="I1023" s="46"/>
      <c r="J1023" s="46"/>
      <c r="K1023" s="46"/>
      <c r="L1023" s="46"/>
      <c r="M1023" s="46"/>
      <c r="N1023" s="46"/>
      <c r="O1023" s="46"/>
      <c r="P1023" s="46"/>
      <c r="Q1023" s="46"/>
      <c r="R1023" s="46"/>
      <c r="S1023" s="46"/>
      <c r="T1023" s="46"/>
      <c r="U1023" s="46"/>
      <c r="V1023" s="46"/>
      <c r="W1023" s="46"/>
      <c r="X1023" s="46"/>
    </row>
    <row r="1024" spans="1:24" x14ac:dyDescent="0.2">
      <c r="A1024" s="45"/>
      <c r="B1024" s="46"/>
      <c r="C1024" s="46"/>
      <c r="D1024" s="46"/>
      <c r="E1024" s="46"/>
      <c r="F1024" s="46"/>
      <c r="G1024" s="46"/>
      <c r="H1024" s="46"/>
      <c r="I1024" s="46"/>
      <c r="J1024" s="46"/>
      <c r="K1024" s="46"/>
      <c r="L1024" s="46"/>
      <c r="M1024" s="46"/>
      <c r="N1024" s="46"/>
      <c r="O1024" s="46"/>
      <c r="P1024" s="46"/>
      <c r="Q1024" s="46"/>
      <c r="R1024" s="46"/>
      <c r="S1024" s="46"/>
      <c r="T1024" s="46"/>
      <c r="U1024" s="46"/>
      <c r="V1024" s="46"/>
      <c r="W1024" s="46"/>
      <c r="X1024" s="46"/>
    </row>
    <row r="1025" spans="1:24" x14ac:dyDescent="0.2">
      <c r="A1025" s="45"/>
      <c r="B1025" s="46"/>
      <c r="C1025" s="46"/>
      <c r="D1025" s="46"/>
      <c r="E1025" s="46"/>
      <c r="F1025" s="46"/>
      <c r="G1025" s="46"/>
      <c r="H1025" s="46"/>
      <c r="I1025" s="46"/>
      <c r="J1025" s="46"/>
      <c r="K1025" s="46"/>
      <c r="L1025" s="46"/>
      <c r="M1025" s="46"/>
      <c r="N1025" s="46"/>
      <c r="O1025" s="46"/>
      <c r="P1025" s="46"/>
      <c r="Q1025" s="46"/>
      <c r="R1025" s="46"/>
      <c r="S1025" s="46"/>
      <c r="T1025" s="46"/>
      <c r="U1025" s="46"/>
      <c r="V1025" s="46"/>
      <c r="W1025" s="46"/>
      <c r="X1025" s="46"/>
    </row>
    <row r="1026" spans="1:24" x14ac:dyDescent="0.2">
      <c r="A1026" s="45"/>
      <c r="B1026" s="46"/>
      <c r="C1026" s="46"/>
      <c r="D1026" s="46"/>
      <c r="E1026" s="46"/>
      <c r="F1026" s="46"/>
      <c r="G1026" s="46"/>
      <c r="H1026" s="46"/>
      <c r="I1026" s="46"/>
      <c r="J1026" s="46"/>
      <c r="K1026" s="46"/>
      <c r="L1026" s="46"/>
      <c r="M1026" s="46"/>
      <c r="N1026" s="46"/>
      <c r="O1026" s="46"/>
      <c r="P1026" s="46"/>
      <c r="Q1026" s="46"/>
      <c r="R1026" s="46"/>
      <c r="S1026" s="46"/>
      <c r="T1026" s="46"/>
      <c r="U1026" s="46"/>
      <c r="V1026" s="46"/>
      <c r="W1026" s="46"/>
      <c r="X1026" s="46"/>
    </row>
    <row r="1027" spans="1:24" x14ac:dyDescent="0.2">
      <c r="A1027" s="45"/>
      <c r="B1027" s="46"/>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46"/>
    </row>
    <row r="1028" spans="1:24" x14ac:dyDescent="0.2">
      <c r="A1028" s="45"/>
      <c r="B1028" s="46"/>
      <c r="C1028" s="46"/>
      <c r="D1028" s="46"/>
      <c r="E1028" s="46"/>
      <c r="F1028" s="46"/>
      <c r="G1028" s="46"/>
      <c r="H1028" s="46"/>
      <c r="I1028" s="46"/>
      <c r="J1028" s="46"/>
      <c r="K1028" s="46"/>
      <c r="L1028" s="46"/>
      <c r="M1028" s="46"/>
      <c r="N1028" s="46"/>
      <c r="O1028" s="46"/>
      <c r="P1028" s="46"/>
      <c r="Q1028" s="46"/>
      <c r="R1028" s="46"/>
      <c r="S1028" s="46"/>
      <c r="T1028" s="46"/>
      <c r="U1028" s="46"/>
      <c r="V1028" s="46"/>
      <c r="W1028" s="46"/>
      <c r="X1028" s="46"/>
    </row>
    <row r="1029" spans="1:24" x14ac:dyDescent="0.2">
      <c r="A1029" s="45"/>
      <c r="B1029" s="46"/>
      <c r="C1029" s="46"/>
      <c r="D1029" s="46"/>
      <c r="E1029" s="46"/>
      <c r="F1029" s="46"/>
      <c r="G1029" s="46"/>
      <c r="H1029" s="46"/>
      <c r="I1029" s="46"/>
      <c r="J1029" s="46"/>
      <c r="K1029" s="46"/>
      <c r="L1029" s="46"/>
      <c r="M1029" s="46"/>
      <c r="N1029" s="46"/>
      <c r="O1029" s="46"/>
      <c r="P1029" s="46"/>
      <c r="Q1029" s="46"/>
      <c r="R1029" s="46"/>
      <c r="S1029" s="46"/>
      <c r="T1029" s="46"/>
      <c r="U1029" s="46"/>
      <c r="V1029" s="46"/>
      <c r="W1029" s="46"/>
      <c r="X1029" s="46"/>
    </row>
    <row r="1030" spans="1:24" x14ac:dyDescent="0.2">
      <c r="A1030" s="45"/>
      <c r="B1030" s="46"/>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row>
    <row r="1031" spans="1:24" x14ac:dyDescent="0.2">
      <c r="A1031" s="45"/>
      <c r="B1031" s="46"/>
      <c r="C1031" s="46"/>
      <c r="D1031" s="46"/>
      <c r="E1031" s="46"/>
      <c r="F1031" s="46"/>
      <c r="G1031" s="46"/>
      <c r="H1031" s="46"/>
      <c r="I1031" s="46"/>
      <c r="J1031" s="46"/>
      <c r="K1031" s="46"/>
      <c r="L1031" s="46"/>
      <c r="M1031" s="46"/>
      <c r="N1031" s="46"/>
      <c r="O1031" s="46"/>
      <c r="P1031" s="46"/>
      <c r="Q1031" s="46"/>
      <c r="R1031" s="46"/>
      <c r="S1031" s="46"/>
      <c r="T1031" s="46"/>
      <c r="U1031" s="46"/>
      <c r="V1031" s="46"/>
      <c r="W1031" s="46"/>
      <c r="X1031" s="46"/>
    </row>
    <row r="1032" spans="1:24" x14ac:dyDescent="0.2">
      <c r="A1032" s="45"/>
      <c r="B1032" s="46"/>
      <c r="C1032" s="46"/>
      <c r="D1032" s="46"/>
      <c r="E1032" s="46"/>
      <c r="F1032" s="46"/>
      <c r="G1032" s="46"/>
      <c r="H1032" s="46"/>
      <c r="I1032" s="46"/>
      <c r="J1032" s="46"/>
      <c r="K1032" s="46"/>
      <c r="L1032" s="46"/>
      <c r="M1032" s="46"/>
      <c r="N1032" s="46"/>
      <c r="O1032" s="46"/>
      <c r="P1032" s="46"/>
      <c r="Q1032" s="46"/>
      <c r="R1032" s="46"/>
      <c r="S1032" s="46"/>
      <c r="T1032" s="46"/>
      <c r="U1032" s="46"/>
      <c r="V1032" s="46"/>
      <c r="W1032" s="46"/>
      <c r="X1032" s="46"/>
    </row>
    <row r="1033" spans="1:24" x14ac:dyDescent="0.2">
      <c r="A1033" s="45"/>
      <c r="B1033" s="46"/>
      <c r="C1033" s="46"/>
      <c r="D1033" s="46"/>
      <c r="E1033" s="46"/>
      <c r="F1033" s="46"/>
      <c r="G1033" s="46"/>
      <c r="H1033" s="46"/>
      <c r="I1033" s="46"/>
      <c r="J1033" s="46"/>
      <c r="K1033" s="46"/>
      <c r="L1033" s="46"/>
      <c r="M1033" s="46"/>
      <c r="N1033" s="46"/>
      <c r="O1033" s="46"/>
      <c r="P1033" s="46"/>
      <c r="Q1033" s="46"/>
      <c r="R1033" s="46"/>
      <c r="S1033" s="46"/>
      <c r="T1033" s="46"/>
      <c r="U1033" s="46"/>
      <c r="V1033" s="46"/>
      <c r="W1033" s="46"/>
      <c r="X1033" s="46"/>
    </row>
    <row r="1034" spans="1:24" x14ac:dyDescent="0.2">
      <c r="A1034" s="45"/>
      <c r="B1034" s="46"/>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46"/>
    </row>
    <row r="1035" spans="1:24" x14ac:dyDescent="0.2">
      <c r="A1035" s="45"/>
      <c r="B1035" s="46"/>
      <c r="C1035" s="46"/>
      <c r="D1035" s="46"/>
      <c r="E1035" s="46"/>
      <c r="F1035" s="46"/>
      <c r="G1035" s="46"/>
      <c r="H1035" s="46"/>
      <c r="I1035" s="46"/>
      <c r="J1035" s="46"/>
      <c r="K1035" s="46"/>
      <c r="L1035" s="46"/>
      <c r="M1035" s="46"/>
      <c r="N1035" s="46"/>
      <c r="O1035" s="46"/>
      <c r="P1035" s="46"/>
      <c r="Q1035" s="46"/>
      <c r="R1035" s="46"/>
      <c r="S1035" s="46"/>
      <c r="T1035" s="46"/>
      <c r="U1035" s="46"/>
      <c r="V1035" s="46"/>
      <c r="W1035" s="46"/>
      <c r="X1035" s="46"/>
    </row>
    <row r="1036" spans="1:24" x14ac:dyDescent="0.2">
      <c r="A1036" s="45"/>
      <c r="B1036" s="46"/>
      <c r="C1036" s="46"/>
      <c r="D1036" s="46"/>
      <c r="E1036" s="46"/>
      <c r="F1036" s="46"/>
      <c r="G1036" s="46"/>
      <c r="H1036" s="46"/>
      <c r="I1036" s="46"/>
      <c r="J1036" s="46"/>
      <c r="K1036" s="46"/>
      <c r="L1036" s="46"/>
      <c r="M1036" s="46"/>
      <c r="N1036" s="46"/>
      <c r="O1036" s="46"/>
      <c r="P1036" s="46"/>
      <c r="Q1036" s="46"/>
      <c r="R1036" s="46"/>
      <c r="S1036" s="46"/>
      <c r="T1036" s="46"/>
      <c r="U1036" s="46"/>
      <c r="V1036" s="46"/>
      <c r="W1036" s="46"/>
      <c r="X1036" s="46"/>
    </row>
    <row r="1037" spans="1:24" x14ac:dyDescent="0.2">
      <c r="A1037" s="45"/>
      <c r="B1037" s="46"/>
      <c r="C1037" s="46"/>
      <c r="D1037" s="46"/>
      <c r="E1037" s="46"/>
      <c r="F1037" s="46"/>
      <c r="G1037" s="46"/>
      <c r="H1037" s="46"/>
      <c r="I1037" s="46"/>
      <c r="J1037" s="46"/>
      <c r="K1037" s="46"/>
      <c r="L1037" s="46"/>
      <c r="M1037" s="46"/>
      <c r="N1037" s="46"/>
      <c r="O1037" s="46"/>
      <c r="P1037" s="46"/>
      <c r="Q1037" s="46"/>
      <c r="R1037" s="46"/>
      <c r="S1037" s="46"/>
      <c r="T1037" s="46"/>
      <c r="U1037" s="46"/>
      <c r="V1037" s="46"/>
      <c r="W1037" s="46"/>
      <c r="X1037" s="46"/>
    </row>
    <row r="1038" spans="1:24" x14ac:dyDescent="0.2">
      <c r="A1038" s="45"/>
      <c r="B1038" s="46"/>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row>
    <row r="1039" spans="1:24" x14ac:dyDescent="0.2">
      <c r="A1039" s="45"/>
      <c r="B1039" s="46"/>
      <c r="C1039" s="46"/>
      <c r="D1039" s="46"/>
      <c r="E1039" s="46"/>
      <c r="F1039" s="46"/>
      <c r="G1039" s="46"/>
      <c r="H1039" s="46"/>
      <c r="I1039" s="46"/>
      <c r="J1039" s="46"/>
      <c r="K1039" s="46"/>
      <c r="L1039" s="46"/>
      <c r="M1039" s="46"/>
      <c r="N1039" s="46"/>
      <c r="O1039" s="46"/>
      <c r="P1039" s="46"/>
      <c r="Q1039" s="46"/>
      <c r="R1039" s="46"/>
      <c r="S1039" s="46"/>
      <c r="T1039" s="46"/>
      <c r="U1039" s="46"/>
      <c r="V1039" s="46"/>
      <c r="W1039" s="46"/>
      <c r="X1039" s="46"/>
    </row>
    <row r="1040" spans="1:24" x14ac:dyDescent="0.2">
      <c r="A1040" s="45"/>
      <c r="B1040" s="46"/>
      <c r="C1040" s="46"/>
      <c r="D1040" s="46"/>
      <c r="E1040" s="46"/>
      <c r="F1040" s="46"/>
      <c r="G1040" s="46"/>
      <c r="H1040" s="46"/>
      <c r="I1040" s="46"/>
      <c r="J1040" s="46"/>
      <c r="K1040" s="46"/>
      <c r="L1040" s="46"/>
      <c r="M1040" s="46"/>
      <c r="N1040" s="46"/>
      <c r="O1040" s="46"/>
      <c r="P1040" s="46"/>
      <c r="Q1040" s="46"/>
      <c r="R1040" s="46"/>
      <c r="S1040" s="46"/>
      <c r="T1040" s="46"/>
      <c r="U1040" s="46"/>
      <c r="V1040" s="46"/>
      <c r="W1040" s="46"/>
      <c r="X1040" s="46"/>
    </row>
    <row r="1041" spans="1:24" x14ac:dyDescent="0.2">
      <c r="A1041" s="45"/>
      <c r="B1041" s="46"/>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46"/>
    </row>
    <row r="1042" spans="1:24" x14ac:dyDescent="0.2">
      <c r="A1042" s="45"/>
      <c r="B1042" s="46"/>
      <c r="C1042" s="46"/>
      <c r="D1042" s="46"/>
      <c r="E1042" s="46"/>
      <c r="F1042" s="46"/>
      <c r="G1042" s="46"/>
      <c r="H1042" s="46"/>
      <c r="I1042" s="46"/>
      <c r="J1042" s="46"/>
      <c r="K1042" s="46"/>
      <c r="L1042" s="46"/>
      <c r="M1042" s="46"/>
      <c r="N1042" s="46"/>
      <c r="O1042" s="46"/>
      <c r="P1042" s="46"/>
      <c r="Q1042" s="46"/>
      <c r="R1042" s="46"/>
      <c r="S1042" s="46"/>
      <c r="T1042" s="46"/>
      <c r="U1042" s="46"/>
      <c r="V1042" s="46"/>
      <c r="W1042" s="46"/>
      <c r="X1042" s="46"/>
    </row>
    <row r="1043" spans="1:24" x14ac:dyDescent="0.2">
      <c r="A1043" s="45"/>
      <c r="B1043" s="46"/>
      <c r="C1043" s="46"/>
      <c r="D1043" s="46"/>
      <c r="E1043" s="46"/>
      <c r="F1043" s="46"/>
      <c r="G1043" s="46"/>
      <c r="H1043" s="46"/>
      <c r="I1043" s="46"/>
      <c r="J1043" s="46"/>
      <c r="K1043" s="46"/>
      <c r="L1043" s="46"/>
      <c r="M1043" s="46"/>
      <c r="N1043" s="46"/>
      <c r="O1043" s="46"/>
      <c r="P1043" s="46"/>
      <c r="Q1043" s="46"/>
      <c r="R1043" s="46"/>
      <c r="S1043" s="46"/>
      <c r="T1043" s="46"/>
      <c r="U1043" s="46"/>
      <c r="V1043" s="46"/>
      <c r="W1043" s="46"/>
      <c r="X1043" s="46"/>
    </row>
    <row r="1044" spans="1:24" x14ac:dyDescent="0.2">
      <c r="A1044" s="45"/>
      <c r="B1044" s="46"/>
      <c r="C1044" s="46"/>
      <c r="D1044" s="46"/>
      <c r="E1044" s="46"/>
      <c r="F1044" s="46"/>
      <c r="G1044" s="46"/>
      <c r="H1044" s="46"/>
      <c r="I1044" s="46"/>
      <c r="J1044" s="46"/>
      <c r="K1044" s="46"/>
      <c r="L1044" s="46"/>
      <c r="M1044" s="46"/>
      <c r="N1044" s="46"/>
      <c r="O1044" s="46"/>
      <c r="P1044" s="46"/>
      <c r="Q1044" s="46"/>
      <c r="R1044" s="46"/>
      <c r="S1044" s="46"/>
      <c r="T1044" s="46"/>
      <c r="U1044" s="46"/>
      <c r="V1044" s="46"/>
      <c r="W1044" s="46"/>
      <c r="X1044" s="46"/>
    </row>
    <row r="1045" spans="1:24" x14ac:dyDescent="0.2">
      <c r="A1045" s="45"/>
      <c r="B1045" s="46"/>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row>
    <row r="1046" spans="1:24" x14ac:dyDescent="0.2">
      <c r="A1046" s="45"/>
      <c r="B1046" s="46"/>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row>
    <row r="1047" spans="1:24" x14ac:dyDescent="0.2">
      <c r="A1047" s="45"/>
      <c r="B1047" s="46"/>
      <c r="C1047" s="46"/>
      <c r="D1047" s="46"/>
      <c r="E1047" s="46"/>
      <c r="F1047" s="46"/>
      <c r="G1047" s="46"/>
      <c r="H1047" s="46"/>
      <c r="I1047" s="46"/>
      <c r="J1047" s="46"/>
      <c r="K1047" s="46"/>
      <c r="L1047" s="46"/>
      <c r="M1047" s="46"/>
      <c r="N1047" s="46"/>
      <c r="O1047" s="46"/>
      <c r="P1047" s="46"/>
      <c r="Q1047" s="46"/>
      <c r="R1047" s="46"/>
      <c r="S1047" s="46"/>
      <c r="T1047" s="46"/>
      <c r="U1047" s="46"/>
      <c r="V1047" s="46"/>
      <c r="W1047" s="46"/>
      <c r="X1047" s="46"/>
    </row>
    <row r="1048" spans="1:24" x14ac:dyDescent="0.2">
      <c r="A1048" s="45"/>
      <c r="B1048" s="46"/>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46"/>
    </row>
    <row r="1049" spans="1:24" x14ac:dyDescent="0.2">
      <c r="A1049" s="45"/>
      <c r="B1049" s="46"/>
      <c r="C1049" s="46"/>
      <c r="D1049" s="46"/>
      <c r="E1049" s="46"/>
      <c r="F1049" s="46"/>
      <c r="G1049" s="46"/>
      <c r="H1049" s="46"/>
      <c r="I1049" s="46"/>
      <c r="J1049" s="46"/>
      <c r="K1049" s="46"/>
      <c r="L1049" s="46"/>
      <c r="M1049" s="46"/>
      <c r="N1049" s="46"/>
      <c r="O1049" s="46"/>
      <c r="P1049" s="46"/>
      <c r="Q1049" s="46"/>
      <c r="R1049" s="46"/>
      <c r="S1049" s="46"/>
      <c r="T1049" s="46"/>
      <c r="U1049" s="46"/>
      <c r="V1049" s="46"/>
      <c r="W1049" s="46"/>
      <c r="X1049" s="46"/>
    </row>
    <row r="1050" spans="1:24" x14ac:dyDescent="0.2">
      <c r="A1050" s="45"/>
      <c r="B1050" s="46"/>
      <c r="C1050" s="46"/>
      <c r="D1050" s="46"/>
      <c r="E1050" s="46"/>
      <c r="F1050" s="46"/>
      <c r="G1050" s="46"/>
      <c r="H1050" s="46"/>
      <c r="I1050" s="46"/>
      <c r="J1050" s="46"/>
      <c r="K1050" s="46"/>
      <c r="L1050" s="46"/>
      <c r="M1050" s="46"/>
      <c r="N1050" s="46"/>
      <c r="O1050" s="46"/>
      <c r="P1050" s="46"/>
      <c r="Q1050" s="46"/>
      <c r="R1050" s="46"/>
      <c r="S1050" s="46"/>
      <c r="T1050" s="46"/>
      <c r="U1050" s="46"/>
      <c r="V1050" s="46"/>
      <c r="W1050" s="46"/>
      <c r="X1050" s="46"/>
    </row>
    <row r="1051" spans="1:24" x14ac:dyDescent="0.2">
      <c r="A1051" s="45"/>
      <c r="B1051" s="46"/>
      <c r="C1051" s="46"/>
      <c r="D1051" s="46"/>
      <c r="E1051" s="46"/>
      <c r="F1051" s="46"/>
      <c r="G1051" s="46"/>
      <c r="H1051" s="46"/>
      <c r="I1051" s="46"/>
      <c r="J1051" s="46"/>
      <c r="K1051" s="46"/>
      <c r="L1051" s="46"/>
      <c r="M1051" s="46"/>
      <c r="N1051" s="46"/>
      <c r="O1051" s="46"/>
      <c r="P1051" s="46"/>
      <c r="Q1051" s="46"/>
      <c r="R1051" s="46"/>
      <c r="S1051" s="46"/>
      <c r="T1051" s="46"/>
      <c r="U1051" s="46"/>
      <c r="V1051" s="46"/>
      <c r="W1051" s="46"/>
      <c r="X1051" s="46"/>
    </row>
    <row r="1052" spans="1:24" x14ac:dyDescent="0.2">
      <c r="A1052" s="45"/>
      <c r="B1052" s="46"/>
      <c r="C1052" s="46"/>
      <c r="D1052" s="46"/>
      <c r="E1052" s="46"/>
      <c r="F1052" s="46"/>
      <c r="G1052" s="46"/>
      <c r="H1052" s="46"/>
      <c r="I1052" s="46"/>
      <c r="J1052" s="46"/>
      <c r="K1052" s="46"/>
      <c r="L1052" s="46"/>
      <c r="M1052" s="46"/>
      <c r="N1052" s="46"/>
      <c r="O1052" s="46"/>
      <c r="P1052" s="46"/>
      <c r="Q1052" s="46"/>
      <c r="R1052" s="46"/>
      <c r="S1052" s="46"/>
      <c r="T1052" s="46"/>
      <c r="U1052" s="46"/>
      <c r="V1052" s="46"/>
      <c r="W1052" s="46"/>
      <c r="X1052" s="46"/>
    </row>
    <row r="1053" spans="1:24" x14ac:dyDescent="0.2">
      <c r="A1053" s="45"/>
      <c r="B1053" s="46"/>
      <c r="C1053" s="46"/>
      <c r="D1053" s="46"/>
      <c r="E1053" s="46"/>
      <c r="F1053" s="46"/>
      <c r="G1053" s="46"/>
      <c r="H1053" s="46"/>
      <c r="I1053" s="46"/>
      <c r="J1053" s="46"/>
      <c r="K1053" s="46"/>
      <c r="L1053" s="46"/>
      <c r="M1053" s="46"/>
      <c r="N1053" s="46"/>
      <c r="O1053" s="46"/>
      <c r="P1053" s="46"/>
      <c r="Q1053" s="46"/>
      <c r="R1053" s="46"/>
      <c r="S1053" s="46"/>
      <c r="T1053" s="46"/>
      <c r="U1053" s="46"/>
      <c r="V1053" s="46"/>
      <c r="W1053" s="46"/>
      <c r="X1053" s="46"/>
    </row>
    <row r="1054" spans="1:24" x14ac:dyDescent="0.2">
      <c r="A1054" s="45"/>
      <c r="B1054" s="46"/>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row>
    <row r="1055" spans="1:24" x14ac:dyDescent="0.2">
      <c r="A1055" s="45"/>
      <c r="B1055" s="46"/>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46"/>
    </row>
    <row r="1056" spans="1:24" x14ac:dyDescent="0.2">
      <c r="A1056" s="45"/>
      <c r="B1056" s="46"/>
      <c r="C1056" s="46"/>
      <c r="D1056" s="46"/>
      <c r="E1056" s="46"/>
      <c r="F1056" s="46"/>
      <c r="G1056" s="46"/>
      <c r="H1056" s="46"/>
      <c r="I1056" s="46"/>
      <c r="J1056" s="46"/>
      <c r="K1056" s="46"/>
      <c r="L1056" s="46"/>
      <c r="M1056" s="46"/>
      <c r="N1056" s="46"/>
      <c r="O1056" s="46"/>
      <c r="P1056" s="46"/>
      <c r="Q1056" s="46"/>
      <c r="R1056" s="46"/>
      <c r="S1056" s="46"/>
      <c r="T1056" s="46"/>
      <c r="U1056" s="46"/>
      <c r="V1056" s="46"/>
      <c r="W1056" s="46"/>
      <c r="X1056" s="46"/>
    </row>
    <row r="1057" spans="1:24" x14ac:dyDescent="0.2">
      <c r="A1057" s="45"/>
      <c r="B1057" s="46"/>
      <c r="C1057" s="46"/>
      <c r="D1057" s="46"/>
      <c r="E1057" s="46"/>
      <c r="F1057" s="46"/>
      <c r="G1057" s="46"/>
      <c r="H1057" s="46"/>
      <c r="I1057" s="46"/>
      <c r="J1057" s="46"/>
      <c r="K1057" s="46"/>
      <c r="L1057" s="46"/>
      <c r="M1057" s="46"/>
      <c r="N1057" s="46"/>
      <c r="O1057" s="46"/>
      <c r="P1057" s="46"/>
      <c r="Q1057" s="46"/>
      <c r="R1057" s="46"/>
      <c r="S1057" s="46"/>
      <c r="T1057" s="46"/>
      <c r="U1057" s="46"/>
      <c r="V1057" s="46"/>
      <c r="W1057" s="46"/>
      <c r="X1057" s="46"/>
    </row>
    <row r="1058" spans="1:24" x14ac:dyDescent="0.2">
      <c r="A1058" s="45"/>
      <c r="B1058" s="46"/>
      <c r="C1058" s="46"/>
      <c r="D1058" s="46"/>
      <c r="E1058" s="46"/>
      <c r="F1058" s="46"/>
      <c r="G1058" s="46"/>
      <c r="H1058" s="46"/>
      <c r="I1058" s="46"/>
      <c r="J1058" s="46"/>
      <c r="K1058" s="46"/>
      <c r="L1058" s="46"/>
      <c r="M1058" s="46"/>
      <c r="N1058" s="46"/>
      <c r="O1058" s="46"/>
      <c r="P1058" s="46"/>
      <c r="Q1058" s="46"/>
      <c r="R1058" s="46"/>
      <c r="S1058" s="46"/>
      <c r="T1058" s="46"/>
      <c r="U1058" s="46"/>
      <c r="V1058" s="46"/>
      <c r="W1058" s="46"/>
      <c r="X1058" s="46"/>
    </row>
    <row r="1059" spans="1:24" x14ac:dyDescent="0.2">
      <c r="A1059" s="45"/>
      <c r="B1059" s="46"/>
      <c r="C1059" s="46"/>
      <c r="D1059" s="46"/>
      <c r="E1059" s="46"/>
      <c r="F1059" s="46"/>
      <c r="G1059" s="46"/>
      <c r="H1059" s="46"/>
      <c r="I1059" s="46"/>
      <c r="J1059" s="46"/>
      <c r="K1059" s="46"/>
      <c r="L1059" s="46"/>
      <c r="M1059" s="46"/>
      <c r="N1059" s="46"/>
      <c r="O1059" s="46"/>
      <c r="P1059" s="46"/>
      <c r="Q1059" s="46"/>
      <c r="R1059" s="46"/>
      <c r="S1059" s="46"/>
      <c r="T1059" s="46"/>
      <c r="U1059" s="46"/>
      <c r="V1059" s="46"/>
      <c r="W1059" s="46"/>
      <c r="X1059" s="46"/>
    </row>
    <row r="1060" spans="1:24" x14ac:dyDescent="0.2">
      <c r="A1060" s="45"/>
      <c r="B1060" s="46"/>
      <c r="C1060" s="46"/>
      <c r="D1060" s="46"/>
      <c r="E1060" s="46"/>
      <c r="F1060" s="46"/>
      <c r="G1060" s="46"/>
      <c r="H1060" s="46"/>
      <c r="I1060" s="46"/>
      <c r="J1060" s="46"/>
      <c r="K1060" s="46"/>
      <c r="L1060" s="46"/>
      <c r="M1060" s="46"/>
      <c r="N1060" s="46"/>
      <c r="O1060" s="46"/>
      <c r="P1060" s="46"/>
      <c r="Q1060" s="46"/>
      <c r="R1060" s="46"/>
      <c r="S1060" s="46"/>
      <c r="T1060" s="46"/>
      <c r="U1060" s="46"/>
      <c r="V1060" s="46"/>
      <c r="W1060" s="46"/>
      <c r="X1060" s="46"/>
    </row>
    <row r="1061" spans="1:24" x14ac:dyDescent="0.2">
      <c r="A1061" s="45"/>
      <c r="B1061" s="46"/>
      <c r="C1061" s="46"/>
      <c r="D1061" s="46"/>
      <c r="E1061" s="46"/>
      <c r="F1061" s="46"/>
      <c r="G1061" s="46"/>
      <c r="H1061" s="46"/>
      <c r="I1061" s="46"/>
      <c r="J1061" s="46"/>
      <c r="K1061" s="46"/>
      <c r="L1061" s="46"/>
      <c r="M1061" s="46"/>
      <c r="N1061" s="46"/>
      <c r="O1061" s="46"/>
      <c r="P1061" s="46"/>
      <c r="Q1061" s="46"/>
      <c r="R1061" s="46"/>
      <c r="S1061" s="46"/>
      <c r="T1061" s="46"/>
      <c r="U1061" s="46"/>
      <c r="V1061" s="46"/>
      <c r="W1061" s="46"/>
      <c r="X1061" s="46"/>
    </row>
    <row r="1062" spans="1:24" x14ac:dyDescent="0.2">
      <c r="A1062" s="45"/>
      <c r="B1062" s="46"/>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row>
    <row r="1063" spans="1:24" x14ac:dyDescent="0.2">
      <c r="A1063" s="45"/>
      <c r="B1063" s="46"/>
      <c r="C1063" s="46"/>
      <c r="D1063" s="46"/>
      <c r="E1063" s="46"/>
      <c r="F1063" s="46"/>
      <c r="G1063" s="46"/>
      <c r="H1063" s="46"/>
      <c r="I1063" s="46"/>
      <c r="J1063" s="46"/>
      <c r="K1063" s="46"/>
      <c r="L1063" s="46"/>
      <c r="M1063" s="46"/>
      <c r="N1063" s="46"/>
      <c r="O1063" s="46"/>
      <c r="P1063" s="46"/>
      <c r="Q1063" s="46"/>
      <c r="R1063" s="46"/>
      <c r="S1063" s="46"/>
      <c r="T1063" s="46"/>
      <c r="U1063" s="46"/>
      <c r="V1063" s="46"/>
      <c r="W1063" s="46"/>
      <c r="X1063" s="46"/>
    </row>
    <row r="1064" spans="1:24" x14ac:dyDescent="0.2">
      <c r="A1064" s="45"/>
      <c r="B1064" s="46"/>
      <c r="C1064" s="46"/>
      <c r="D1064" s="46"/>
      <c r="E1064" s="46"/>
      <c r="F1064" s="46"/>
      <c r="G1064" s="46"/>
      <c r="H1064" s="46"/>
      <c r="I1064" s="46"/>
      <c r="J1064" s="46"/>
      <c r="K1064" s="46"/>
      <c r="L1064" s="46"/>
      <c r="M1064" s="46"/>
      <c r="N1064" s="46"/>
      <c r="O1064" s="46"/>
      <c r="P1064" s="46"/>
      <c r="Q1064" s="46"/>
      <c r="R1064" s="46"/>
      <c r="S1064" s="46"/>
      <c r="T1064" s="46"/>
      <c r="U1064" s="46"/>
      <c r="V1064" s="46"/>
      <c r="W1064" s="46"/>
      <c r="X1064" s="46"/>
    </row>
    <row r="1065" spans="1:24" x14ac:dyDescent="0.2">
      <c r="A1065" s="45"/>
      <c r="B1065" s="46"/>
      <c r="C1065" s="46"/>
      <c r="D1065" s="46"/>
      <c r="E1065" s="46"/>
      <c r="F1065" s="46"/>
      <c r="G1065" s="46"/>
      <c r="H1065" s="46"/>
      <c r="I1065" s="46"/>
      <c r="J1065" s="46"/>
      <c r="K1065" s="46"/>
      <c r="L1065" s="46"/>
      <c r="M1065" s="46"/>
      <c r="N1065" s="46"/>
      <c r="O1065" s="46"/>
      <c r="P1065" s="46"/>
      <c r="Q1065" s="46"/>
      <c r="R1065" s="46"/>
      <c r="S1065" s="46"/>
      <c r="T1065" s="46"/>
      <c r="U1065" s="46"/>
      <c r="V1065" s="46"/>
      <c r="W1065" s="46"/>
      <c r="X1065" s="46"/>
    </row>
    <row r="1066" spans="1:24" x14ac:dyDescent="0.2">
      <c r="A1066" s="45"/>
      <c r="B1066" s="46"/>
      <c r="C1066" s="46"/>
      <c r="D1066" s="46"/>
      <c r="E1066" s="46"/>
      <c r="F1066" s="46"/>
      <c r="G1066" s="46"/>
      <c r="H1066" s="46"/>
      <c r="I1066" s="46"/>
      <c r="J1066" s="46"/>
      <c r="K1066" s="46"/>
      <c r="L1066" s="46"/>
      <c r="M1066" s="46"/>
      <c r="N1066" s="46"/>
      <c r="O1066" s="46"/>
      <c r="P1066" s="46"/>
      <c r="Q1066" s="46"/>
      <c r="R1066" s="46"/>
      <c r="S1066" s="46"/>
      <c r="T1066" s="46"/>
      <c r="U1066" s="46"/>
      <c r="V1066" s="46"/>
      <c r="W1066" s="46"/>
      <c r="X1066" s="46"/>
    </row>
    <row r="1067" spans="1:24" x14ac:dyDescent="0.2">
      <c r="A1067" s="45"/>
      <c r="B1067" s="46"/>
      <c r="C1067" s="46"/>
      <c r="D1067" s="46"/>
      <c r="E1067" s="46"/>
      <c r="F1067" s="46"/>
      <c r="G1067" s="46"/>
      <c r="H1067" s="46"/>
      <c r="I1067" s="46"/>
      <c r="J1067" s="46"/>
      <c r="K1067" s="46"/>
      <c r="L1067" s="46"/>
      <c r="M1067" s="46"/>
      <c r="N1067" s="46"/>
      <c r="O1067" s="46"/>
      <c r="P1067" s="46"/>
      <c r="Q1067" s="46"/>
      <c r="R1067" s="46"/>
      <c r="S1067" s="46"/>
      <c r="T1067" s="46"/>
      <c r="U1067" s="46"/>
      <c r="V1067" s="46"/>
      <c r="W1067" s="46"/>
      <c r="X1067" s="46"/>
    </row>
    <row r="1068" spans="1:24" x14ac:dyDescent="0.2">
      <c r="A1068" s="45"/>
      <c r="B1068" s="46"/>
      <c r="C1068" s="46"/>
      <c r="D1068" s="46"/>
      <c r="E1068" s="46"/>
      <c r="F1068" s="46"/>
      <c r="G1068" s="46"/>
      <c r="H1068" s="46"/>
      <c r="I1068" s="46"/>
      <c r="J1068" s="46"/>
      <c r="K1068" s="46"/>
      <c r="L1068" s="46"/>
      <c r="M1068" s="46"/>
      <c r="N1068" s="46"/>
      <c r="O1068" s="46"/>
      <c r="P1068" s="46"/>
      <c r="Q1068" s="46"/>
      <c r="R1068" s="46"/>
      <c r="S1068" s="46"/>
      <c r="T1068" s="46"/>
      <c r="U1068" s="46"/>
      <c r="V1068" s="46"/>
      <c r="W1068" s="46"/>
      <c r="X1068" s="46"/>
    </row>
    <row r="1069" spans="1:24" x14ac:dyDescent="0.2">
      <c r="A1069" s="45"/>
      <c r="B1069" s="46"/>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46"/>
    </row>
    <row r="1070" spans="1:24" x14ac:dyDescent="0.2">
      <c r="A1070" s="45"/>
      <c r="B1070" s="46"/>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row>
    <row r="1071" spans="1:24" x14ac:dyDescent="0.2">
      <c r="A1071" s="45"/>
      <c r="B1071" s="46"/>
      <c r="C1071" s="46"/>
      <c r="D1071" s="46"/>
      <c r="E1071" s="46"/>
      <c r="F1071" s="46"/>
      <c r="G1071" s="46"/>
      <c r="H1071" s="46"/>
      <c r="I1071" s="46"/>
      <c r="J1071" s="46"/>
      <c r="K1071" s="46"/>
      <c r="L1071" s="46"/>
      <c r="M1071" s="46"/>
      <c r="N1071" s="46"/>
      <c r="O1071" s="46"/>
      <c r="P1071" s="46"/>
      <c r="Q1071" s="46"/>
      <c r="R1071" s="46"/>
      <c r="S1071" s="46"/>
      <c r="T1071" s="46"/>
      <c r="U1071" s="46"/>
      <c r="V1071" s="46"/>
      <c r="W1071" s="46"/>
      <c r="X1071" s="46"/>
    </row>
    <row r="1072" spans="1:24" x14ac:dyDescent="0.2">
      <c r="A1072" s="45"/>
      <c r="B1072" s="46"/>
      <c r="C1072" s="46"/>
      <c r="D1072" s="46"/>
      <c r="E1072" s="46"/>
      <c r="F1072" s="46"/>
      <c r="G1072" s="46"/>
      <c r="H1072" s="46"/>
      <c r="I1072" s="46"/>
      <c r="J1072" s="46"/>
      <c r="K1072" s="46"/>
      <c r="L1072" s="46"/>
      <c r="M1072" s="46"/>
      <c r="N1072" s="46"/>
      <c r="O1072" s="46"/>
      <c r="P1072" s="46"/>
      <c r="Q1072" s="46"/>
      <c r="R1072" s="46"/>
      <c r="S1072" s="46"/>
      <c r="T1072" s="46"/>
      <c r="U1072" s="46"/>
      <c r="V1072" s="46"/>
      <c r="W1072" s="46"/>
      <c r="X1072" s="46"/>
    </row>
    <row r="1073" spans="1:24" x14ac:dyDescent="0.2">
      <c r="A1073" s="45"/>
      <c r="B1073" s="46"/>
      <c r="C1073" s="46"/>
      <c r="D1073" s="46"/>
      <c r="E1073" s="46"/>
      <c r="F1073" s="46"/>
      <c r="G1073" s="46"/>
      <c r="H1073" s="46"/>
      <c r="I1073" s="46"/>
      <c r="J1073" s="46"/>
      <c r="K1073" s="46"/>
      <c r="L1073" s="46"/>
      <c r="M1073" s="46"/>
      <c r="N1073" s="46"/>
      <c r="O1073" s="46"/>
      <c r="P1073" s="46"/>
      <c r="Q1073" s="46"/>
      <c r="R1073" s="46"/>
      <c r="S1073" s="46"/>
      <c r="T1073" s="46"/>
      <c r="U1073" s="46"/>
      <c r="V1073" s="46"/>
      <c r="W1073" s="46"/>
      <c r="X1073" s="46"/>
    </row>
    <row r="1074" spans="1:24" x14ac:dyDescent="0.2">
      <c r="A1074" s="45"/>
      <c r="B1074" s="46"/>
      <c r="C1074" s="46"/>
      <c r="D1074" s="46"/>
      <c r="E1074" s="46"/>
      <c r="F1074" s="46"/>
      <c r="G1074" s="46"/>
      <c r="H1074" s="46"/>
      <c r="I1074" s="46"/>
      <c r="J1074" s="46"/>
      <c r="K1074" s="46"/>
      <c r="L1074" s="46"/>
      <c r="M1074" s="46"/>
      <c r="N1074" s="46"/>
      <c r="O1074" s="46"/>
      <c r="P1074" s="46"/>
      <c r="Q1074" s="46"/>
      <c r="R1074" s="46"/>
      <c r="S1074" s="46"/>
      <c r="T1074" s="46"/>
      <c r="U1074" s="46"/>
      <c r="V1074" s="46"/>
      <c r="W1074" s="46"/>
      <c r="X1074" s="46"/>
    </row>
    <row r="1075" spans="1:24" x14ac:dyDescent="0.2">
      <c r="A1075" s="45"/>
      <c r="B1075" s="46"/>
      <c r="C1075" s="46"/>
      <c r="D1075" s="46"/>
      <c r="E1075" s="46"/>
      <c r="F1075" s="46"/>
      <c r="G1075" s="46"/>
      <c r="H1075" s="46"/>
      <c r="I1075" s="46"/>
      <c r="J1075" s="46"/>
      <c r="K1075" s="46"/>
      <c r="L1075" s="46"/>
      <c r="M1075" s="46"/>
      <c r="N1075" s="46"/>
      <c r="O1075" s="46"/>
      <c r="P1075" s="46"/>
      <c r="Q1075" s="46"/>
      <c r="R1075" s="46"/>
      <c r="S1075" s="46"/>
      <c r="T1075" s="46"/>
      <c r="U1075" s="46"/>
      <c r="V1075" s="46"/>
      <c r="W1075" s="46"/>
      <c r="X1075" s="46"/>
    </row>
    <row r="1076" spans="1:24" x14ac:dyDescent="0.2">
      <c r="A1076" s="45"/>
      <c r="B1076" s="4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46"/>
    </row>
    <row r="1077" spans="1:24" x14ac:dyDescent="0.2">
      <c r="A1077" s="45"/>
      <c r="B1077" s="46"/>
      <c r="C1077" s="46"/>
      <c r="D1077" s="46"/>
      <c r="E1077" s="46"/>
      <c r="F1077" s="46"/>
      <c r="G1077" s="46"/>
      <c r="H1077" s="46"/>
      <c r="I1077" s="46"/>
      <c r="J1077" s="46"/>
      <c r="K1077" s="46"/>
      <c r="L1077" s="46"/>
      <c r="M1077" s="46"/>
      <c r="N1077" s="46"/>
      <c r="O1077" s="46"/>
      <c r="P1077" s="46"/>
      <c r="Q1077" s="46"/>
      <c r="R1077" s="46"/>
      <c r="S1077" s="46"/>
      <c r="T1077" s="46"/>
      <c r="U1077" s="46"/>
      <c r="V1077" s="46"/>
      <c r="W1077" s="46"/>
      <c r="X1077" s="46"/>
    </row>
    <row r="1078" spans="1:24" x14ac:dyDescent="0.2">
      <c r="A1078" s="45"/>
      <c r="B1078" s="46"/>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row>
    <row r="1079" spans="1:24" x14ac:dyDescent="0.2">
      <c r="A1079" s="45"/>
      <c r="B1079" s="46"/>
      <c r="C1079" s="46"/>
      <c r="D1079" s="46"/>
      <c r="E1079" s="46"/>
      <c r="F1079" s="46"/>
      <c r="G1079" s="46"/>
      <c r="H1079" s="46"/>
      <c r="I1079" s="46"/>
      <c r="J1079" s="46"/>
      <c r="K1079" s="46"/>
      <c r="L1079" s="46"/>
      <c r="M1079" s="46"/>
      <c r="N1079" s="46"/>
      <c r="O1079" s="46"/>
      <c r="P1079" s="46"/>
      <c r="Q1079" s="46"/>
      <c r="R1079" s="46"/>
      <c r="S1079" s="46"/>
      <c r="T1079" s="46"/>
      <c r="U1079" s="46"/>
      <c r="V1079" s="46"/>
      <c r="W1079" s="46"/>
      <c r="X1079" s="46"/>
    </row>
    <row r="1080" spans="1:24" x14ac:dyDescent="0.2">
      <c r="A1080" s="45"/>
      <c r="B1080" s="46"/>
      <c r="C1080" s="46"/>
      <c r="D1080" s="46"/>
      <c r="E1080" s="46"/>
      <c r="F1080" s="46"/>
      <c r="G1080" s="46"/>
      <c r="H1080" s="46"/>
      <c r="I1080" s="46"/>
      <c r="J1080" s="46"/>
      <c r="K1080" s="46"/>
      <c r="L1080" s="46"/>
      <c r="M1080" s="46"/>
      <c r="N1080" s="46"/>
      <c r="O1080" s="46"/>
      <c r="P1080" s="46"/>
      <c r="Q1080" s="46"/>
      <c r="R1080" s="46"/>
      <c r="S1080" s="46"/>
      <c r="T1080" s="46"/>
      <c r="U1080" s="46"/>
      <c r="V1080" s="46"/>
      <c r="W1080" s="46"/>
      <c r="X1080" s="46"/>
    </row>
    <row r="1081" spans="1:24" x14ac:dyDescent="0.2">
      <c r="A1081" s="45"/>
      <c r="B1081" s="46"/>
      <c r="C1081" s="46"/>
      <c r="D1081" s="46"/>
      <c r="E1081" s="46"/>
      <c r="F1081" s="46"/>
      <c r="G1081" s="46"/>
      <c r="H1081" s="46"/>
      <c r="I1081" s="46"/>
      <c r="J1081" s="46"/>
      <c r="K1081" s="46"/>
      <c r="L1081" s="46"/>
      <c r="M1081" s="46"/>
      <c r="N1081" s="46"/>
      <c r="O1081" s="46"/>
      <c r="P1081" s="46"/>
      <c r="Q1081" s="46"/>
      <c r="R1081" s="46"/>
      <c r="S1081" s="46"/>
      <c r="T1081" s="46"/>
      <c r="U1081" s="46"/>
      <c r="V1081" s="46"/>
      <c r="W1081" s="46"/>
      <c r="X1081" s="46"/>
    </row>
    <row r="1082" spans="1:24" x14ac:dyDescent="0.2">
      <c r="A1082" s="45"/>
      <c r="B1082" s="46"/>
      <c r="C1082" s="46"/>
      <c r="D1082" s="46"/>
      <c r="E1082" s="46"/>
      <c r="F1082" s="46"/>
      <c r="G1082" s="46"/>
      <c r="H1082" s="46"/>
      <c r="I1082" s="46"/>
      <c r="J1082" s="46"/>
      <c r="K1082" s="46"/>
      <c r="L1082" s="46"/>
      <c r="M1082" s="46"/>
      <c r="N1082" s="46"/>
      <c r="O1082" s="46"/>
      <c r="P1082" s="46"/>
      <c r="Q1082" s="46"/>
      <c r="R1082" s="46"/>
      <c r="S1082" s="46"/>
      <c r="T1082" s="46"/>
      <c r="U1082" s="46"/>
      <c r="V1082" s="46"/>
      <c r="W1082" s="46"/>
      <c r="X1082" s="46"/>
    </row>
    <row r="1083" spans="1:24" x14ac:dyDescent="0.2">
      <c r="A1083" s="45"/>
      <c r="B1083" s="46"/>
      <c r="C1083" s="46"/>
      <c r="D1083" s="46"/>
      <c r="E1083" s="46"/>
      <c r="F1083" s="46"/>
      <c r="G1083" s="46"/>
      <c r="H1083" s="46"/>
      <c r="I1083" s="46"/>
      <c r="J1083" s="46"/>
      <c r="K1083" s="46"/>
      <c r="L1083" s="46"/>
      <c r="M1083" s="46"/>
      <c r="N1083" s="46"/>
      <c r="O1083" s="46"/>
      <c r="P1083" s="46"/>
      <c r="Q1083" s="46"/>
      <c r="R1083" s="46"/>
      <c r="S1083" s="46"/>
      <c r="T1083" s="46"/>
      <c r="U1083" s="46"/>
      <c r="V1083" s="46"/>
      <c r="W1083" s="46"/>
      <c r="X1083" s="46"/>
    </row>
    <row r="1084" spans="1:24" x14ac:dyDescent="0.2">
      <c r="A1084" s="45"/>
      <c r="B1084" s="46"/>
      <c r="C1084" s="46"/>
      <c r="D1084" s="46"/>
      <c r="E1084" s="46"/>
      <c r="F1084" s="46"/>
      <c r="G1084" s="46"/>
      <c r="H1084" s="46"/>
      <c r="I1084" s="46"/>
      <c r="J1084" s="46"/>
      <c r="K1084" s="46"/>
      <c r="L1084" s="46"/>
      <c r="M1084" s="46"/>
      <c r="N1084" s="46"/>
      <c r="O1084" s="46"/>
      <c r="P1084" s="46"/>
      <c r="Q1084" s="46"/>
      <c r="R1084" s="46"/>
      <c r="S1084" s="46"/>
      <c r="T1084" s="46"/>
      <c r="U1084" s="46"/>
      <c r="V1084" s="46"/>
      <c r="W1084" s="46"/>
      <c r="X1084" s="46"/>
    </row>
    <row r="1085" spans="1:24" x14ac:dyDescent="0.2">
      <c r="A1085" s="45"/>
      <c r="B1085" s="46"/>
      <c r="C1085" s="46"/>
      <c r="D1085" s="46"/>
      <c r="E1085" s="46"/>
      <c r="F1085" s="46"/>
      <c r="G1085" s="46"/>
      <c r="H1085" s="46"/>
      <c r="I1085" s="46"/>
      <c r="J1085" s="46"/>
      <c r="K1085" s="46"/>
      <c r="L1085" s="46"/>
      <c r="M1085" s="46"/>
      <c r="N1085" s="46"/>
      <c r="O1085" s="46"/>
      <c r="P1085" s="46"/>
      <c r="Q1085" s="46"/>
      <c r="R1085" s="46"/>
      <c r="S1085" s="46"/>
      <c r="T1085" s="46"/>
      <c r="U1085" s="46"/>
      <c r="V1085" s="46"/>
      <c r="W1085" s="46"/>
      <c r="X1085" s="46"/>
    </row>
    <row r="1086" spans="1:24" x14ac:dyDescent="0.2">
      <c r="A1086" s="45"/>
      <c r="B1086" s="46"/>
      <c r="C1086" s="46"/>
      <c r="D1086" s="46"/>
      <c r="E1086" s="46"/>
      <c r="F1086" s="46"/>
      <c r="G1086" s="46"/>
      <c r="H1086" s="46"/>
      <c r="I1086" s="46"/>
      <c r="J1086" s="46"/>
      <c r="K1086" s="46"/>
      <c r="L1086" s="46"/>
      <c r="M1086" s="46"/>
      <c r="N1086" s="46"/>
      <c r="O1086" s="46"/>
      <c r="P1086" s="46"/>
      <c r="Q1086" s="46"/>
      <c r="R1086" s="46"/>
      <c r="S1086" s="46"/>
      <c r="T1086" s="46"/>
      <c r="U1086" s="46"/>
      <c r="V1086" s="46"/>
      <c r="W1086" s="46"/>
      <c r="X1086" s="46"/>
    </row>
    <row r="1087" spans="1:24" x14ac:dyDescent="0.2">
      <c r="A1087" s="45"/>
      <c r="B1087" s="46"/>
      <c r="C1087" s="46"/>
      <c r="D1087" s="46"/>
      <c r="E1087" s="46"/>
      <c r="F1087" s="46"/>
      <c r="G1087" s="46"/>
      <c r="H1087" s="46"/>
      <c r="I1087" s="46"/>
      <c r="J1087" s="46"/>
      <c r="K1087" s="46"/>
      <c r="L1087" s="46"/>
      <c r="M1087" s="46"/>
      <c r="N1087" s="46"/>
      <c r="O1087" s="46"/>
      <c r="P1087" s="46"/>
      <c r="Q1087" s="46"/>
      <c r="R1087" s="46"/>
      <c r="S1087" s="46"/>
      <c r="T1087" s="46"/>
      <c r="U1087" s="46"/>
      <c r="V1087" s="46"/>
      <c r="W1087" s="46"/>
      <c r="X1087" s="46"/>
    </row>
    <row r="1088" spans="1:24" x14ac:dyDescent="0.2">
      <c r="A1088" s="45"/>
      <c r="B1088" s="46"/>
      <c r="C1088" s="46"/>
      <c r="D1088" s="46"/>
      <c r="E1088" s="46"/>
      <c r="F1088" s="46"/>
      <c r="G1088" s="46"/>
      <c r="H1088" s="46"/>
      <c r="I1088" s="46"/>
      <c r="J1088" s="46"/>
      <c r="K1088" s="46"/>
      <c r="L1088" s="46"/>
      <c r="M1088" s="46"/>
      <c r="N1088" s="46"/>
      <c r="O1088" s="46"/>
      <c r="P1088" s="46"/>
      <c r="Q1088" s="46"/>
      <c r="R1088" s="46"/>
      <c r="S1088" s="46"/>
      <c r="T1088" s="46"/>
      <c r="U1088" s="46"/>
      <c r="V1088" s="46"/>
      <c r="W1088" s="46"/>
      <c r="X1088" s="46"/>
    </row>
    <row r="1089" spans="1:24" x14ac:dyDescent="0.2">
      <c r="A1089" s="45"/>
      <c r="B1089" s="46"/>
      <c r="C1089" s="46"/>
      <c r="D1089" s="46"/>
      <c r="E1089" s="46"/>
      <c r="F1089" s="46"/>
      <c r="G1089" s="46"/>
      <c r="H1089" s="46"/>
      <c r="I1089" s="46"/>
      <c r="J1089" s="46"/>
      <c r="K1089" s="46"/>
      <c r="L1089" s="46"/>
      <c r="M1089" s="46"/>
      <c r="N1089" s="46"/>
      <c r="O1089" s="46"/>
      <c r="P1089" s="46"/>
      <c r="Q1089" s="46"/>
      <c r="R1089" s="46"/>
      <c r="S1089" s="46"/>
      <c r="T1089" s="46"/>
      <c r="U1089" s="46"/>
      <c r="V1089" s="46"/>
      <c r="W1089" s="46"/>
      <c r="X1089" s="46"/>
    </row>
    <row r="1090" spans="1:24" x14ac:dyDescent="0.2">
      <c r="A1090" s="45"/>
      <c r="B1090" s="46"/>
      <c r="C1090" s="46"/>
      <c r="D1090" s="46"/>
      <c r="E1090" s="46"/>
      <c r="F1090" s="46"/>
      <c r="G1090" s="46"/>
      <c r="H1090" s="46"/>
      <c r="I1090" s="46"/>
      <c r="J1090" s="46"/>
      <c r="K1090" s="46"/>
      <c r="L1090" s="46"/>
      <c r="M1090" s="46"/>
      <c r="N1090" s="46"/>
      <c r="O1090" s="46"/>
      <c r="P1090" s="46"/>
      <c r="Q1090" s="46"/>
      <c r="R1090" s="46"/>
      <c r="S1090" s="46"/>
      <c r="T1090" s="46"/>
      <c r="U1090" s="46"/>
      <c r="V1090" s="46"/>
      <c r="W1090" s="46"/>
      <c r="X1090" s="46"/>
    </row>
    <row r="1091" spans="1:24" x14ac:dyDescent="0.2">
      <c r="A1091" s="45"/>
      <c r="B1091" s="46"/>
      <c r="C1091" s="46"/>
      <c r="D1091" s="46"/>
      <c r="E1091" s="46"/>
      <c r="F1091" s="46"/>
      <c r="G1091" s="46"/>
      <c r="H1091" s="46"/>
      <c r="I1091" s="46"/>
      <c r="J1091" s="46"/>
      <c r="K1091" s="46"/>
      <c r="L1091" s="46"/>
      <c r="M1091" s="46"/>
      <c r="N1091" s="46"/>
      <c r="O1091" s="46"/>
      <c r="P1091" s="46"/>
      <c r="Q1091" s="46"/>
      <c r="R1091" s="46"/>
      <c r="S1091" s="46"/>
      <c r="T1091" s="46"/>
      <c r="U1091" s="46"/>
      <c r="V1091" s="46"/>
      <c r="W1091" s="46"/>
      <c r="X1091" s="46"/>
    </row>
    <row r="1092" spans="1:24" x14ac:dyDescent="0.2">
      <c r="A1092" s="45"/>
      <c r="B1092" s="46"/>
      <c r="C1092" s="46"/>
      <c r="D1092" s="46"/>
      <c r="E1092" s="46"/>
      <c r="F1092" s="46"/>
      <c r="G1092" s="46"/>
      <c r="H1092" s="46"/>
      <c r="I1092" s="46"/>
      <c r="J1092" s="46"/>
      <c r="K1092" s="46"/>
      <c r="L1092" s="46"/>
      <c r="M1092" s="46"/>
      <c r="N1092" s="46"/>
      <c r="O1092" s="46"/>
      <c r="P1092" s="46"/>
      <c r="Q1092" s="46"/>
      <c r="R1092" s="46"/>
      <c r="S1092" s="46"/>
      <c r="T1092" s="46"/>
      <c r="U1092" s="46"/>
      <c r="V1092" s="46"/>
      <c r="W1092" s="46"/>
      <c r="X1092" s="46"/>
    </row>
    <row r="1093" spans="1:24" x14ac:dyDescent="0.2">
      <c r="A1093" s="45"/>
      <c r="B1093" s="46"/>
      <c r="C1093" s="46"/>
      <c r="D1093" s="46"/>
      <c r="E1093" s="46"/>
      <c r="F1093" s="46"/>
      <c r="G1093" s="46"/>
      <c r="H1093" s="46"/>
      <c r="I1093" s="46"/>
      <c r="J1093" s="46"/>
      <c r="K1093" s="46"/>
      <c r="L1093" s="46"/>
      <c r="M1093" s="46"/>
      <c r="N1093" s="46"/>
      <c r="O1093" s="46"/>
      <c r="P1093" s="46"/>
      <c r="Q1093" s="46"/>
      <c r="R1093" s="46"/>
      <c r="S1093" s="46"/>
      <c r="T1093" s="46"/>
      <c r="U1093" s="46"/>
      <c r="V1093" s="46"/>
      <c r="W1093" s="46"/>
      <c r="X1093" s="46"/>
    </row>
    <row r="1094" spans="1:24" x14ac:dyDescent="0.2">
      <c r="A1094" s="45"/>
      <c r="B1094" s="46"/>
      <c r="C1094" s="46"/>
      <c r="D1094" s="46"/>
      <c r="E1094" s="46"/>
      <c r="F1094" s="46"/>
      <c r="G1094" s="46"/>
      <c r="H1094" s="46"/>
      <c r="I1094" s="46"/>
      <c r="J1094" s="46"/>
      <c r="K1094" s="46"/>
      <c r="L1094" s="46"/>
      <c r="M1094" s="46"/>
      <c r="N1094" s="46"/>
      <c r="O1094" s="46"/>
      <c r="P1094" s="46"/>
      <c r="Q1094" s="46"/>
      <c r="R1094" s="46"/>
      <c r="S1094" s="46"/>
      <c r="T1094" s="46"/>
      <c r="U1094" s="46"/>
      <c r="V1094" s="46"/>
      <c r="W1094" s="46"/>
      <c r="X1094" s="46"/>
    </row>
    <row r="1095" spans="1:24" x14ac:dyDescent="0.2">
      <c r="A1095" s="45"/>
      <c r="B1095" s="46"/>
      <c r="C1095" s="46"/>
      <c r="D1095" s="46"/>
      <c r="E1095" s="46"/>
      <c r="F1095" s="46"/>
      <c r="G1095" s="46"/>
      <c r="H1095" s="46"/>
      <c r="I1095" s="46"/>
      <c r="J1095" s="46"/>
      <c r="K1095" s="46"/>
      <c r="L1095" s="46"/>
      <c r="M1095" s="46"/>
      <c r="N1095" s="46"/>
      <c r="O1095" s="46"/>
      <c r="P1095" s="46"/>
      <c r="Q1095" s="46"/>
      <c r="R1095" s="46"/>
      <c r="S1095" s="46"/>
      <c r="T1095" s="46"/>
      <c r="U1095" s="46"/>
      <c r="V1095" s="46"/>
      <c r="W1095" s="46"/>
      <c r="X1095" s="46"/>
    </row>
    <row r="1096" spans="1:24" x14ac:dyDescent="0.2">
      <c r="A1096" s="45"/>
      <c r="B1096" s="46"/>
      <c r="C1096" s="46"/>
      <c r="D1096" s="46"/>
      <c r="E1096" s="46"/>
      <c r="F1096" s="46"/>
      <c r="G1096" s="46"/>
      <c r="H1096" s="46"/>
      <c r="I1096" s="46"/>
      <c r="J1096" s="46"/>
      <c r="K1096" s="46"/>
      <c r="L1096" s="46"/>
      <c r="M1096" s="46"/>
      <c r="N1096" s="46"/>
      <c r="O1096" s="46"/>
      <c r="P1096" s="46"/>
      <c r="Q1096" s="46"/>
      <c r="R1096" s="46"/>
      <c r="S1096" s="46"/>
      <c r="T1096" s="46"/>
      <c r="U1096" s="46"/>
      <c r="V1096" s="46"/>
      <c r="W1096" s="46"/>
      <c r="X1096" s="46"/>
    </row>
    <row r="1097" spans="1:24" x14ac:dyDescent="0.2">
      <c r="A1097" s="45"/>
      <c r="B1097" s="46"/>
      <c r="C1097" s="46"/>
      <c r="D1097" s="46"/>
      <c r="E1097" s="46"/>
      <c r="F1097" s="46"/>
      <c r="G1097" s="46"/>
      <c r="H1097" s="46"/>
      <c r="I1097" s="46"/>
      <c r="J1097" s="46"/>
      <c r="K1097" s="46"/>
      <c r="L1097" s="46"/>
      <c r="M1097" s="46"/>
      <c r="N1097" s="46"/>
      <c r="O1097" s="46"/>
      <c r="P1097" s="46"/>
      <c r="Q1097" s="46"/>
      <c r="R1097" s="46"/>
      <c r="S1097" s="46"/>
      <c r="T1097" s="46"/>
      <c r="U1097" s="46"/>
      <c r="V1097" s="46"/>
      <c r="W1097" s="46"/>
      <c r="X1097" s="46"/>
    </row>
    <row r="1098" spans="1:24" x14ac:dyDescent="0.2">
      <c r="A1098" s="45"/>
      <c r="B1098" s="46"/>
      <c r="C1098" s="46"/>
      <c r="D1098" s="46"/>
      <c r="E1098" s="46"/>
      <c r="F1098" s="46"/>
      <c r="G1098" s="46"/>
      <c r="H1098" s="46"/>
      <c r="I1098" s="46"/>
      <c r="J1098" s="46"/>
      <c r="K1098" s="46"/>
      <c r="L1098" s="46"/>
      <c r="M1098" s="46"/>
      <c r="N1098" s="46"/>
      <c r="O1098" s="46"/>
      <c r="P1098" s="46"/>
      <c r="Q1098" s="46"/>
      <c r="R1098" s="46"/>
      <c r="S1098" s="46"/>
      <c r="T1098" s="46"/>
      <c r="U1098" s="46"/>
      <c r="V1098" s="46"/>
      <c r="W1098" s="46"/>
      <c r="X1098" s="46"/>
    </row>
    <row r="1099" spans="1:24" x14ac:dyDescent="0.2">
      <c r="A1099" s="45"/>
      <c r="B1099" s="46"/>
      <c r="C1099" s="46"/>
      <c r="D1099" s="46"/>
      <c r="E1099" s="46"/>
      <c r="F1099" s="46"/>
      <c r="G1099" s="46"/>
      <c r="H1099" s="46"/>
      <c r="I1099" s="46"/>
      <c r="J1099" s="46"/>
      <c r="K1099" s="46"/>
      <c r="L1099" s="46"/>
      <c r="M1099" s="46"/>
      <c r="N1099" s="46"/>
      <c r="O1099" s="46"/>
      <c r="P1099" s="46"/>
      <c r="Q1099" s="46"/>
      <c r="R1099" s="46"/>
      <c r="S1099" s="46"/>
      <c r="T1099" s="46"/>
      <c r="U1099" s="46"/>
      <c r="V1099" s="46"/>
      <c r="W1099" s="46"/>
      <c r="X1099" s="46"/>
    </row>
    <row r="1100" spans="1:24" x14ac:dyDescent="0.2">
      <c r="A1100" s="45"/>
      <c r="B1100" s="46"/>
      <c r="C1100" s="46"/>
      <c r="D1100" s="46"/>
      <c r="E1100" s="46"/>
      <c r="F1100" s="46"/>
      <c r="G1100" s="46"/>
      <c r="H1100" s="46"/>
      <c r="I1100" s="46"/>
      <c r="J1100" s="46"/>
      <c r="K1100" s="46"/>
      <c r="L1100" s="46"/>
      <c r="M1100" s="46"/>
      <c r="N1100" s="46"/>
      <c r="O1100" s="46"/>
      <c r="P1100" s="46"/>
      <c r="Q1100" s="46"/>
      <c r="R1100" s="46"/>
      <c r="S1100" s="46"/>
      <c r="T1100" s="46"/>
      <c r="U1100" s="46"/>
      <c r="V1100" s="46"/>
      <c r="W1100" s="46"/>
      <c r="X1100" s="46"/>
    </row>
    <row r="1101" spans="1:24" x14ac:dyDescent="0.2">
      <c r="A1101" s="45"/>
      <c r="B1101" s="46"/>
      <c r="C1101" s="46"/>
      <c r="D1101" s="46"/>
      <c r="E1101" s="46"/>
      <c r="F1101" s="46"/>
      <c r="G1101" s="46"/>
      <c r="H1101" s="46"/>
      <c r="I1101" s="46"/>
      <c r="J1101" s="46"/>
      <c r="K1101" s="46"/>
      <c r="L1101" s="46"/>
      <c r="M1101" s="46"/>
      <c r="N1101" s="46"/>
      <c r="O1101" s="46"/>
      <c r="P1101" s="46"/>
      <c r="Q1101" s="46"/>
      <c r="R1101" s="46"/>
      <c r="S1101" s="46"/>
      <c r="T1101" s="46"/>
      <c r="U1101" s="46"/>
      <c r="V1101" s="46"/>
      <c r="W1101" s="46"/>
      <c r="X1101" s="46"/>
    </row>
    <row r="1102" spans="1:24" x14ac:dyDescent="0.2">
      <c r="A1102" s="45"/>
      <c r="B1102" s="46"/>
      <c r="C1102" s="46"/>
      <c r="D1102" s="46"/>
      <c r="E1102" s="46"/>
      <c r="F1102" s="46"/>
      <c r="G1102" s="46"/>
      <c r="H1102" s="46"/>
      <c r="I1102" s="46"/>
      <c r="J1102" s="46"/>
      <c r="K1102" s="46"/>
      <c r="L1102" s="46"/>
      <c r="M1102" s="46"/>
      <c r="N1102" s="46"/>
      <c r="O1102" s="46"/>
      <c r="P1102" s="46"/>
      <c r="Q1102" s="46"/>
      <c r="R1102" s="46"/>
      <c r="S1102" s="46"/>
      <c r="T1102" s="46"/>
      <c r="U1102" s="46"/>
      <c r="V1102" s="46"/>
      <c r="W1102" s="46"/>
      <c r="X1102" s="46"/>
    </row>
    <row r="1103" spans="1:24" x14ac:dyDescent="0.2">
      <c r="A1103" s="45"/>
      <c r="B1103" s="46"/>
      <c r="C1103" s="46"/>
      <c r="D1103" s="46"/>
      <c r="E1103" s="46"/>
      <c r="F1103" s="46"/>
      <c r="G1103" s="46"/>
      <c r="H1103" s="46"/>
      <c r="I1103" s="46"/>
      <c r="J1103" s="46"/>
      <c r="K1103" s="46"/>
      <c r="L1103" s="46"/>
      <c r="M1103" s="46"/>
      <c r="N1103" s="46"/>
      <c r="O1103" s="46"/>
      <c r="P1103" s="46"/>
      <c r="Q1103" s="46"/>
      <c r="R1103" s="46"/>
      <c r="S1103" s="46"/>
      <c r="T1103" s="46"/>
      <c r="U1103" s="46"/>
      <c r="V1103" s="46"/>
      <c r="W1103" s="46"/>
      <c r="X1103" s="46"/>
    </row>
    <row r="1104" spans="1:24" x14ac:dyDescent="0.2">
      <c r="A1104" s="45"/>
      <c r="B1104" s="46"/>
      <c r="C1104" s="46"/>
      <c r="D1104" s="46"/>
      <c r="E1104" s="46"/>
      <c r="F1104" s="46"/>
      <c r="G1104" s="46"/>
      <c r="H1104" s="46"/>
      <c r="I1104" s="46"/>
      <c r="J1104" s="46"/>
      <c r="K1104" s="46"/>
      <c r="L1104" s="46"/>
      <c r="M1104" s="46"/>
      <c r="N1104" s="46"/>
      <c r="O1104" s="46"/>
      <c r="P1104" s="46"/>
      <c r="Q1104" s="46"/>
      <c r="R1104" s="46"/>
      <c r="S1104" s="46"/>
      <c r="T1104" s="46"/>
      <c r="U1104" s="46"/>
      <c r="V1104" s="46"/>
      <c r="W1104" s="46"/>
      <c r="X1104" s="46"/>
    </row>
    <row r="1105" spans="1:24" x14ac:dyDescent="0.2">
      <c r="A1105" s="45"/>
      <c r="B1105" s="46"/>
      <c r="C1105" s="46"/>
      <c r="D1105" s="46"/>
      <c r="E1105" s="46"/>
      <c r="F1105" s="46"/>
      <c r="G1105" s="46"/>
      <c r="H1105" s="46"/>
      <c r="I1105" s="46"/>
      <c r="J1105" s="46"/>
      <c r="K1105" s="46"/>
      <c r="L1105" s="46"/>
      <c r="M1105" s="46"/>
      <c r="N1105" s="46"/>
      <c r="O1105" s="46"/>
      <c r="P1105" s="46"/>
      <c r="Q1105" s="46"/>
      <c r="R1105" s="46"/>
      <c r="S1105" s="46"/>
      <c r="T1105" s="46"/>
      <c r="U1105" s="46"/>
      <c r="V1105" s="46"/>
      <c r="W1105" s="46"/>
      <c r="X1105" s="46"/>
    </row>
    <row r="1106" spans="1:24" x14ac:dyDescent="0.2">
      <c r="A1106" s="45"/>
      <c r="B1106" s="46"/>
      <c r="C1106" s="46"/>
      <c r="D1106" s="46"/>
      <c r="E1106" s="46"/>
      <c r="F1106" s="46"/>
      <c r="G1106" s="46"/>
      <c r="H1106" s="46"/>
      <c r="I1106" s="46"/>
      <c r="J1106" s="46"/>
      <c r="K1106" s="46"/>
      <c r="L1106" s="46"/>
      <c r="M1106" s="46"/>
      <c r="N1106" s="46"/>
      <c r="O1106" s="46"/>
      <c r="P1106" s="46"/>
      <c r="Q1106" s="46"/>
      <c r="R1106" s="46"/>
      <c r="S1106" s="46"/>
      <c r="T1106" s="46"/>
      <c r="U1106" s="46"/>
      <c r="V1106" s="46"/>
      <c r="W1106" s="46"/>
      <c r="X1106" s="46"/>
    </row>
    <row r="1107" spans="1:24" x14ac:dyDescent="0.2">
      <c r="A1107" s="45"/>
      <c r="B1107" s="46"/>
      <c r="C1107" s="46"/>
      <c r="D1107" s="46"/>
      <c r="E1107" s="46"/>
      <c r="F1107" s="46"/>
      <c r="G1107" s="46"/>
      <c r="H1107" s="46"/>
      <c r="I1107" s="46"/>
      <c r="J1107" s="46"/>
      <c r="K1107" s="46"/>
      <c r="L1107" s="46"/>
      <c r="M1107" s="46"/>
      <c r="N1107" s="46"/>
      <c r="O1107" s="46"/>
      <c r="P1107" s="46"/>
      <c r="Q1107" s="46"/>
      <c r="R1107" s="46"/>
      <c r="S1107" s="46"/>
      <c r="T1107" s="46"/>
      <c r="U1107" s="46"/>
      <c r="V1107" s="46"/>
      <c r="W1107" s="46"/>
      <c r="X1107" s="46"/>
    </row>
    <row r="1108" spans="1:24" x14ac:dyDescent="0.2">
      <c r="A1108" s="45"/>
      <c r="B1108" s="46"/>
      <c r="C1108" s="46"/>
      <c r="D1108" s="46"/>
      <c r="E1108" s="46"/>
      <c r="F1108" s="46"/>
      <c r="G1108" s="46"/>
      <c r="H1108" s="46"/>
      <c r="I1108" s="46"/>
      <c r="J1108" s="46"/>
      <c r="K1108" s="46"/>
      <c r="L1108" s="46"/>
      <c r="M1108" s="46"/>
      <c r="N1108" s="46"/>
      <c r="O1108" s="46"/>
      <c r="P1108" s="46"/>
      <c r="Q1108" s="46"/>
      <c r="R1108" s="46"/>
      <c r="S1108" s="46"/>
      <c r="T1108" s="46"/>
      <c r="U1108" s="46"/>
      <c r="V1108" s="46"/>
      <c r="W1108" s="46"/>
      <c r="X1108" s="46"/>
    </row>
    <row r="1109" spans="1:24" x14ac:dyDescent="0.2">
      <c r="A1109" s="45"/>
      <c r="B1109" s="46"/>
      <c r="C1109" s="46"/>
      <c r="D1109" s="46"/>
      <c r="E1109" s="46"/>
      <c r="F1109" s="46"/>
      <c r="G1109" s="46"/>
      <c r="H1109" s="46"/>
      <c r="I1109" s="46"/>
      <c r="J1109" s="46"/>
      <c r="K1109" s="46"/>
      <c r="L1109" s="46"/>
      <c r="M1109" s="46"/>
      <c r="N1109" s="46"/>
      <c r="O1109" s="46"/>
      <c r="P1109" s="46"/>
      <c r="Q1109" s="46"/>
      <c r="R1109" s="46"/>
      <c r="S1109" s="46"/>
      <c r="T1109" s="46"/>
      <c r="U1109" s="46"/>
      <c r="V1109" s="46"/>
      <c r="W1109" s="46"/>
      <c r="X1109" s="46"/>
    </row>
    <row r="1110" spans="1:24" x14ac:dyDescent="0.2">
      <c r="A1110" s="45"/>
      <c r="B1110" s="46"/>
      <c r="C1110" s="46"/>
      <c r="D1110" s="46"/>
      <c r="E1110" s="46"/>
      <c r="F1110" s="46"/>
      <c r="G1110" s="46"/>
      <c r="H1110" s="46"/>
      <c r="I1110" s="46"/>
      <c r="J1110" s="46"/>
      <c r="K1110" s="46"/>
      <c r="L1110" s="46"/>
      <c r="M1110" s="46"/>
      <c r="N1110" s="46"/>
      <c r="O1110" s="46"/>
      <c r="P1110" s="46"/>
      <c r="Q1110" s="46"/>
      <c r="R1110" s="46"/>
      <c r="S1110" s="46"/>
      <c r="T1110" s="46"/>
      <c r="U1110" s="46"/>
      <c r="V1110" s="46"/>
      <c r="W1110" s="46"/>
      <c r="X1110" s="46"/>
    </row>
    <row r="1111" spans="1:24" x14ac:dyDescent="0.2">
      <c r="A1111" s="45"/>
      <c r="B1111" s="46"/>
      <c r="C1111" s="46"/>
      <c r="D1111" s="46"/>
      <c r="E1111" s="46"/>
      <c r="F1111" s="46"/>
      <c r="G1111" s="46"/>
      <c r="H1111" s="46"/>
      <c r="I1111" s="46"/>
      <c r="J1111" s="46"/>
      <c r="K1111" s="46"/>
      <c r="L1111" s="46"/>
      <c r="M1111" s="46"/>
      <c r="N1111" s="46"/>
      <c r="O1111" s="46"/>
      <c r="P1111" s="46"/>
      <c r="Q1111" s="46"/>
      <c r="R1111" s="46"/>
      <c r="S1111" s="46"/>
      <c r="T1111" s="46"/>
      <c r="U1111" s="46"/>
      <c r="V1111" s="46"/>
      <c r="W1111" s="46"/>
      <c r="X1111" s="46"/>
    </row>
    <row r="1112" spans="1:24" x14ac:dyDescent="0.2">
      <c r="A1112" s="45"/>
      <c r="B1112" s="46"/>
      <c r="C1112" s="46"/>
      <c r="D1112" s="46"/>
      <c r="E1112" s="46"/>
      <c r="F1112" s="46"/>
      <c r="G1112" s="46"/>
      <c r="H1112" s="46"/>
      <c r="I1112" s="46"/>
      <c r="J1112" s="46"/>
      <c r="K1112" s="46"/>
      <c r="L1112" s="46"/>
      <c r="M1112" s="46"/>
      <c r="N1112" s="46"/>
      <c r="O1112" s="46"/>
      <c r="P1112" s="46"/>
      <c r="Q1112" s="46"/>
      <c r="R1112" s="46"/>
      <c r="S1112" s="46"/>
      <c r="T1112" s="46"/>
      <c r="U1112" s="46"/>
      <c r="V1112" s="46"/>
      <c r="W1112" s="46"/>
      <c r="X1112" s="46"/>
    </row>
    <row r="1113" spans="1:24" x14ac:dyDescent="0.2">
      <c r="A1113" s="45"/>
      <c r="B1113" s="46"/>
      <c r="C1113" s="46"/>
      <c r="D1113" s="46"/>
      <c r="E1113" s="46"/>
      <c r="F1113" s="46"/>
      <c r="G1113" s="46"/>
      <c r="H1113" s="46"/>
      <c r="I1113" s="46"/>
      <c r="J1113" s="46"/>
      <c r="K1113" s="46"/>
      <c r="L1113" s="46"/>
      <c r="M1113" s="46"/>
      <c r="N1113" s="46"/>
      <c r="O1113" s="46"/>
      <c r="P1113" s="46"/>
      <c r="Q1113" s="46"/>
      <c r="R1113" s="46"/>
      <c r="S1113" s="46"/>
      <c r="T1113" s="46"/>
      <c r="U1113" s="46"/>
      <c r="V1113" s="46"/>
      <c r="W1113" s="46"/>
      <c r="X1113" s="46"/>
    </row>
    <row r="1114" spans="1:24" x14ac:dyDescent="0.2">
      <c r="A1114" s="45"/>
      <c r="B1114" s="46"/>
      <c r="C1114" s="46"/>
      <c r="D1114" s="46"/>
      <c r="E1114" s="46"/>
      <c r="F1114" s="46"/>
      <c r="G1114" s="46"/>
      <c r="H1114" s="46"/>
      <c r="I1114" s="46"/>
      <c r="J1114" s="46"/>
      <c r="K1114" s="46"/>
      <c r="L1114" s="46"/>
      <c r="M1114" s="46"/>
      <c r="N1114" s="46"/>
      <c r="O1114" s="46"/>
      <c r="P1114" s="46"/>
      <c r="Q1114" s="46"/>
      <c r="R1114" s="46"/>
      <c r="S1114" s="46"/>
      <c r="T1114" s="46"/>
      <c r="U1114" s="46"/>
      <c r="V1114" s="46"/>
      <c r="W1114" s="46"/>
      <c r="X1114" s="46"/>
    </row>
    <row r="1115" spans="1:24" x14ac:dyDescent="0.2">
      <c r="A1115" s="45"/>
      <c r="B1115" s="46"/>
      <c r="C1115" s="46"/>
      <c r="D1115" s="46"/>
      <c r="E1115" s="46"/>
      <c r="F1115" s="46"/>
      <c r="G1115" s="46"/>
      <c r="H1115" s="46"/>
      <c r="I1115" s="46"/>
      <c r="J1115" s="46"/>
      <c r="K1115" s="46"/>
      <c r="L1115" s="46"/>
      <c r="M1115" s="46"/>
      <c r="N1115" s="46"/>
      <c r="O1115" s="46"/>
      <c r="P1115" s="46"/>
      <c r="Q1115" s="46"/>
      <c r="R1115" s="46"/>
      <c r="S1115" s="46"/>
      <c r="T1115" s="46"/>
      <c r="U1115" s="46"/>
      <c r="V1115" s="46"/>
      <c r="W1115" s="46"/>
      <c r="X1115" s="46"/>
    </row>
    <row r="1116" spans="1:24" x14ac:dyDescent="0.2">
      <c r="A1116" s="45"/>
      <c r="B1116" s="46"/>
      <c r="C1116" s="46"/>
      <c r="D1116" s="46"/>
      <c r="E1116" s="46"/>
      <c r="F1116" s="46"/>
      <c r="G1116" s="46"/>
      <c r="H1116" s="46"/>
      <c r="I1116" s="46"/>
      <c r="J1116" s="46"/>
      <c r="K1116" s="46"/>
      <c r="L1116" s="46"/>
      <c r="M1116" s="46"/>
      <c r="N1116" s="46"/>
      <c r="O1116" s="46"/>
      <c r="P1116" s="46"/>
      <c r="Q1116" s="46"/>
      <c r="R1116" s="46"/>
      <c r="S1116" s="46"/>
      <c r="T1116" s="46"/>
      <c r="U1116" s="46"/>
      <c r="V1116" s="46"/>
      <c r="W1116" s="46"/>
      <c r="X1116" s="46"/>
    </row>
    <row r="1117" spans="1:24" x14ac:dyDescent="0.2">
      <c r="A1117" s="45"/>
      <c r="B1117" s="46"/>
      <c r="C1117" s="46"/>
      <c r="D1117" s="46"/>
      <c r="E1117" s="46"/>
      <c r="F1117" s="46"/>
      <c r="G1117" s="46"/>
      <c r="H1117" s="46"/>
      <c r="I1117" s="46"/>
      <c r="J1117" s="46"/>
      <c r="K1117" s="46"/>
      <c r="L1117" s="46"/>
      <c r="M1117" s="46"/>
      <c r="N1117" s="46"/>
      <c r="O1117" s="46"/>
      <c r="P1117" s="46"/>
      <c r="Q1117" s="46"/>
      <c r="R1117" s="46"/>
      <c r="S1117" s="46"/>
      <c r="T1117" s="46"/>
      <c r="U1117" s="46"/>
      <c r="V1117" s="46"/>
      <c r="W1117" s="46"/>
      <c r="X1117" s="46"/>
    </row>
    <row r="1118" spans="1:24" x14ac:dyDescent="0.2">
      <c r="A1118" s="45"/>
      <c r="B1118" s="46"/>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46"/>
    </row>
    <row r="1119" spans="1:24" x14ac:dyDescent="0.2">
      <c r="A1119" s="45"/>
      <c r="B1119" s="46"/>
      <c r="C1119" s="46"/>
      <c r="D1119" s="46"/>
      <c r="E1119" s="46"/>
      <c r="F1119" s="46"/>
      <c r="G1119" s="46"/>
      <c r="H1119" s="46"/>
      <c r="I1119" s="46"/>
      <c r="J1119" s="46"/>
      <c r="K1119" s="46"/>
      <c r="L1119" s="46"/>
      <c r="M1119" s="46"/>
      <c r="N1119" s="46"/>
      <c r="O1119" s="46"/>
      <c r="P1119" s="46"/>
      <c r="Q1119" s="46"/>
      <c r="R1119" s="46"/>
      <c r="S1119" s="46"/>
      <c r="T1119" s="46"/>
      <c r="U1119" s="46"/>
      <c r="V1119" s="46"/>
      <c r="W1119" s="46"/>
      <c r="X1119" s="46"/>
    </row>
    <row r="1120" spans="1:24" x14ac:dyDescent="0.2">
      <c r="A1120" s="45"/>
      <c r="B1120" s="46"/>
      <c r="C1120" s="46"/>
      <c r="D1120" s="46"/>
      <c r="E1120" s="46"/>
      <c r="F1120" s="46"/>
      <c r="G1120" s="46"/>
      <c r="H1120" s="46"/>
      <c r="I1120" s="46"/>
      <c r="J1120" s="46"/>
      <c r="K1120" s="46"/>
      <c r="L1120" s="46"/>
      <c r="M1120" s="46"/>
      <c r="N1120" s="46"/>
      <c r="O1120" s="46"/>
      <c r="P1120" s="46"/>
      <c r="Q1120" s="46"/>
      <c r="R1120" s="46"/>
      <c r="S1120" s="46"/>
      <c r="T1120" s="46"/>
      <c r="U1120" s="46"/>
      <c r="V1120" s="46"/>
      <c r="W1120" s="46"/>
      <c r="X1120" s="46"/>
    </row>
    <row r="1121" spans="1:24" x14ac:dyDescent="0.2">
      <c r="A1121" s="45"/>
      <c r="B1121" s="46"/>
      <c r="C1121" s="46"/>
      <c r="D1121" s="46"/>
      <c r="E1121" s="46"/>
      <c r="F1121" s="46"/>
      <c r="G1121" s="46"/>
      <c r="H1121" s="46"/>
      <c r="I1121" s="46"/>
      <c r="J1121" s="46"/>
      <c r="K1121" s="46"/>
      <c r="L1121" s="46"/>
      <c r="M1121" s="46"/>
      <c r="N1121" s="46"/>
      <c r="O1121" s="46"/>
      <c r="P1121" s="46"/>
      <c r="Q1121" s="46"/>
      <c r="R1121" s="46"/>
      <c r="S1121" s="46"/>
      <c r="T1121" s="46"/>
      <c r="U1121" s="46"/>
      <c r="V1121" s="46"/>
      <c r="W1121" s="46"/>
      <c r="X1121" s="46"/>
    </row>
    <row r="1122" spans="1:24" x14ac:dyDescent="0.2">
      <c r="A1122" s="45"/>
      <c r="B1122" s="46"/>
      <c r="C1122" s="46"/>
      <c r="D1122" s="46"/>
      <c r="E1122" s="46"/>
      <c r="F1122" s="46"/>
      <c r="G1122" s="46"/>
      <c r="H1122" s="46"/>
      <c r="I1122" s="46"/>
      <c r="J1122" s="46"/>
      <c r="K1122" s="46"/>
      <c r="L1122" s="46"/>
      <c r="M1122" s="46"/>
      <c r="N1122" s="46"/>
      <c r="O1122" s="46"/>
      <c r="P1122" s="46"/>
      <c r="Q1122" s="46"/>
      <c r="R1122" s="46"/>
      <c r="S1122" s="46"/>
      <c r="T1122" s="46"/>
      <c r="U1122" s="46"/>
      <c r="V1122" s="46"/>
      <c r="W1122" s="46"/>
      <c r="X1122" s="46"/>
    </row>
    <row r="1123" spans="1:24" x14ac:dyDescent="0.2">
      <c r="A1123" s="45"/>
      <c r="B1123" s="46"/>
      <c r="C1123" s="46"/>
      <c r="D1123" s="46"/>
      <c r="E1123" s="46"/>
      <c r="F1123" s="46"/>
      <c r="G1123" s="46"/>
      <c r="H1123" s="46"/>
      <c r="I1123" s="46"/>
      <c r="J1123" s="46"/>
      <c r="K1123" s="46"/>
      <c r="L1123" s="46"/>
      <c r="M1123" s="46"/>
      <c r="N1123" s="46"/>
      <c r="O1123" s="46"/>
      <c r="P1123" s="46"/>
      <c r="Q1123" s="46"/>
      <c r="R1123" s="46"/>
      <c r="S1123" s="46"/>
      <c r="T1123" s="46"/>
      <c r="U1123" s="46"/>
      <c r="V1123" s="46"/>
      <c r="W1123" s="46"/>
      <c r="X1123" s="46"/>
    </row>
    <row r="1124" spans="1:24" x14ac:dyDescent="0.2">
      <c r="A1124" s="45"/>
      <c r="B1124" s="46"/>
      <c r="C1124" s="46"/>
      <c r="D1124" s="46"/>
      <c r="E1124" s="46"/>
      <c r="F1124" s="46"/>
      <c r="G1124" s="46"/>
      <c r="H1124" s="46"/>
      <c r="I1124" s="46"/>
      <c r="J1124" s="46"/>
      <c r="K1124" s="46"/>
      <c r="L1124" s="46"/>
      <c r="M1124" s="46"/>
      <c r="N1124" s="46"/>
      <c r="O1124" s="46"/>
      <c r="P1124" s="46"/>
      <c r="Q1124" s="46"/>
      <c r="R1124" s="46"/>
      <c r="S1124" s="46"/>
      <c r="T1124" s="46"/>
      <c r="U1124" s="46"/>
      <c r="V1124" s="46"/>
      <c r="W1124" s="46"/>
      <c r="X1124" s="46"/>
    </row>
    <row r="1125" spans="1:24" x14ac:dyDescent="0.2">
      <c r="A1125" s="45"/>
      <c r="B1125" s="46"/>
      <c r="C1125" s="46"/>
      <c r="D1125" s="46"/>
      <c r="E1125" s="46"/>
      <c r="F1125" s="46"/>
      <c r="G1125" s="46"/>
      <c r="H1125" s="46"/>
      <c r="I1125" s="46"/>
      <c r="J1125" s="46"/>
      <c r="K1125" s="46"/>
      <c r="L1125" s="46"/>
      <c r="M1125" s="46"/>
      <c r="N1125" s="46"/>
      <c r="O1125" s="46"/>
      <c r="P1125" s="46"/>
      <c r="Q1125" s="46"/>
      <c r="R1125" s="46"/>
      <c r="S1125" s="46"/>
      <c r="T1125" s="46"/>
      <c r="U1125" s="46"/>
      <c r="V1125" s="46"/>
      <c r="W1125" s="46"/>
      <c r="X1125" s="46"/>
    </row>
    <row r="1126" spans="1:24" x14ac:dyDescent="0.2">
      <c r="A1126" s="45"/>
      <c r="B1126" s="46"/>
      <c r="C1126" s="46"/>
      <c r="D1126" s="46"/>
      <c r="E1126" s="46"/>
      <c r="F1126" s="46"/>
      <c r="G1126" s="46"/>
      <c r="H1126" s="46"/>
      <c r="I1126" s="46"/>
      <c r="J1126" s="46"/>
      <c r="K1126" s="46"/>
      <c r="L1126" s="46"/>
      <c r="M1126" s="46"/>
      <c r="N1126" s="46"/>
      <c r="O1126" s="46"/>
      <c r="P1126" s="46"/>
      <c r="Q1126" s="46"/>
      <c r="R1126" s="46"/>
      <c r="S1126" s="46"/>
      <c r="T1126" s="46"/>
      <c r="U1126" s="46"/>
      <c r="V1126" s="46"/>
      <c r="W1126" s="46"/>
      <c r="X1126" s="46"/>
    </row>
    <row r="1127" spans="1:24" x14ac:dyDescent="0.2">
      <c r="A1127" s="45"/>
      <c r="B1127" s="46"/>
      <c r="C1127" s="46"/>
      <c r="D1127" s="46"/>
      <c r="E1127" s="46"/>
      <c r="F1127" s="46"/>
      <c r="G1127" s="46"/>
      <c r="H1127" s="46"/>
      <c r="I1127" s="46"/>
      <c r="J1127" s="46"/>
      <c r="K1127" s="46"/>
      <c r="L1127" s="46"/>
      <c r="M1127" s="46"/>
      <c r="N1127" s="46"/>
      <c r="O1127" s="46"/>
      <c r="P1127" s="46"/>
      <c r="Q1127" s="46"/>
      <c r="R1127" s="46"/>
      <c r="S1127" s="46"/>
      <c r="T1127" s="46"/>
      <c r="U1127" s="46"/>
      <c r="V1127" s="46"/>
      <c r="W1127" s="46"/>
      <c r="X1127" s="46"/>
    </row>
    <row r="1128" spans="1:24" x14ac:dyDescent="0.2">
      <c r="A1128" s="45"/>
      <c r="B1128" s="46"/>
      <c r="C1128" s="46"/>
      <c r="D1128" s="46"/>
      <c r="E1128" s="46"/>
      <c r="F1128" s="46"/>
      <c r="G1128" s="46"/>
      <c r="H1128" s="46"/>
      <c r="I1128" s="46"/>
      <c r="J1128" s="46"/>
      <c r="K1128" s="46"/>
      <c r="L1128" s="46"/>
      <c r="M1128" s="46"/>
      <c r="N1128" s="46"/>
      <c r="O1128" s="46"/>
      <c r="P1128" s="46"/>
      <c r="Q1128" s="46"/>
      <c r="R1128" s="46"/>
      <c r="S1128" s="46"/>
      <c r="T1128" s="46"/>
      <c r="U1128" s="46"/>
      <c r="V1128" s="46"/>
      <c r="W1128" s="46"/>
      <c r="X1128" s="46"/>
    </row>
    <row r="1129" spans="1:24" x14ac:dyDescent="0.2">
      <c r="A1129" s="45"/>
      <c r="B1129" s="46"/>
      <c r="C1129" s="46"/>
      <c r="D1129" s="46"/>
      <c r="E1129" s="46"/>
      <c r="F1129" s="46"/>
      <c r="G1129" s="46"/>
      <c r="H1129" s="46"/>
      <c r="I1129" s="46"/>
      <c r="J1129" s="46"/>
      <c r="K1129" s="46"/>
      <c r="L1129" s="46"/>
      <c r="M1129" s="46"/>
      <c r="N1129" s="46"/>
      <c r="O1129" s="46"/>
      <c r="P1129" s="46"/>
      <c r="Q1129" s="46"/>
      <c r="R1129" s="46"/>
      <c r="S1129" s="46"/>
      <c r="T1129" s="46"/>
      <c r="U1129" s="46"/>
      <c r="V1129" s="46"/>
      <c r="W1129" s="46"/>
      <c r="X1129" s="46"/>
    </row>
    <row r="1130" spans="1:24" x14ac:dyDescent="0.2">
      <c r="A1130" s="45"/>
      <c r="B1130" s="46"/>
      <c r="C1130" s="46"/>
      <c r="D1130" s="46"/>
      <c r="E1130" s="46"/>
      <c r="F1130" s="46"/>
      <c r="G1130" s="46"/>
      <c r="H1130" s="46"/>
      <c r="I1130" s="46"/>
      <c r="J1130" s="46"/>
      <c r="K1130" s="46"/>
      <c r="L1130" s="46"/>
      <c r="M1130" s="46"/>
      <c r="N1130" s="46"/>
      <c r="O1130" s="46"/>
      <c r="P1130" s="46"/>
      <c r="Q1130" s="46"/>
      <c r="R1130" s="46"/>
      <c r="S1130" s="46"/>
      <c r="T1130" s="46"/>
      <c r="U1130" s="46"/>
      <c r="V1130" s="46"/>
      <c r="W1130" s="46"/>
      <c r="X1130" s="46"/>
    </row>
    <row r="1131" spans="1:24" x14ac:dyDescent="0.2">
      <c r="A1131" s="45"/>
      <c r="B1131" s="46"/>
      <c r="C1131" s="46"/>
      <c r="D1131" s="46"/>
      <c r="E1131" s="46"/>
      <c r="F1131" s="46"/>
      <c r="G1131" s="46"/>
      <c r="H1131" s="46"/>
      <c r="I1131" s="46"/>
      <c r="J1131" s="46"/>
      <c r="K1131" s="46"/>
      <c r="L1131" s="46"/>
      <c r="M1131" s="46"/>
      <c r="N1131" s="46"/>
      <c r="O1131" s="46"/>
      <c r="P1131" s="46"/>
      <c r="Q1131" s="46"/>
      <c r="R1131" s="46"/>
      <c r="S1131" s="46"/>
      <c r="T1131" s="46"/>
      <c r="U1131" s="46"/>
      <c r="V1131" s="46"/>
      <c r="W1131" s="46"/>
      <c r="X1131" s="46"/>
    </row>
    <row r="1132" spans="1:24" x14ac:dyDescent="0.2">
      <c r="A1132" s="45"/>
      <c r="B1132" s="46"/>
      <c r="C1132" s="46"/>
      <c r="D1132" s="46"/>
      <c r="E1132" s="46"/>
      <c r="F1132" s="46"/>
      <c r="G1132" s="46"/>
      <c r="H1132" s="46"/>
      <c r="I1132" s="46"/>
      <c r="J1132" s="46"/>
      <c r="K1132" s="46"/>
      <c r="L1132" s="46"/>
      <c r="M1132" s="46"/>
      <c r="N1132" s="46"/>
      <c r="O1132" s="46"/>
      <c r="P1132" s="46"/>
      <c r="Q1132" s="46"/>
      <c r="R1132" s="46"/>
      <c r="S1132" s="46"/>
      <c r="T1132" s="46"/>
      <c r="U1132" s="46"/>
      <c r="V1132" s="46"/>
      <c r="W1132" s="46"/>
      <c r="X1132" s="46"/>
    </row>
    <row r="1133" spans="1:24" x14ac:dyDescent="0.2">
      <c r="A1133" s="45"/>
      <c r="B1133" s="46"/>
      <c r="C1133" s="46"/>
      <c r="D1133" s="46"/>
      <c r="E1133" s="46"/>
      <c r="F1133" s="46"/>
      <c r="G1133" s="46"/>
      <c r="H1133" s="46"/>
      <c r="I1133" s="46"/>
      <c r="J1133" s="46"/>
      <c r="K1133" s="46"/>
      <c r="L1133" s="46"/>
      <c r="M1133" s="46"/>
      <c r="N1133" s="46"/>
      <c r="O1133" s="46"/>
      <c r="P1133" s="46"/>
      <c r="Q1133" s="46"/>
      <c r="R1133" s="46"/>
      <c r="S1133" s="46"/>
      <c r="T1133" s="46"/>
      <c r="U1133" s="46"/>
      <c r="V1133" s="46"/>
      <c r="W1133" s="46"/>
      <c r="X1133" s="46"/>
    </row>
    <row r="1134" spans="1:24" x14ac:dyDescent="0.2">
      <c r="A1134" s="45"/>
      <c r="B1134" s="46"/>
      <c r="C1134" s="46"/>
      <c r="D1134" s="46"/>
      <c r="E1134" s="46"/>
      <c r="F1134" s="46"/>
      <c r="G1134" s="46"/>
      <c r="H1134" s="46"/>
      <c r="I1134" s="46"/>
      <c r="J1134" s="46"/>
      <c r="K1134" s="46"/>
      <c r="L1134" s="46"/>
      <c r="M1134" s="46"/>
      <c r="N1134" s="46"/>
      <c r="O1134" s="46"/>
      <c r="P1134" s="46"/>
      <c r="Q1134" s="46"/>
      <c r="R1134" s="46"/>
      <c r="S1134" s="46"/>
      <c r="T1134" s="46"/>
      <c r="U1134" s="46"/>
      <c r="V1134" s="46"/>
      <c r="W1134" s="46"/>
      <c r="X1134" s="46"/>
    </row>
    <row r="1135" spans="1:24" x14ac:dyDescent="0.2">
      <c r="A1135" s="45"/>
      <c r="B1135" s="46"/>
      <c r="C1135" s="46"/>
      <c r="D1135" s="46"/>
      <c r="E1135" s="46"/>
      <c r="F1135" s="46"/>
      <c r="G1135" s="46"/>
      <c r="H1135" s="46"/>
      <c r="I1135" s="46"/>
      <c r="J1135" s="46"/>
      <c r="K1135" s="46"/>
      <c r="L1135" s="46"/>
      <c r="M1135" s="46"/>
      <c r="N1135" s="46"/>
      <c r="O1135" s="46"/>
      <c r="P1135" s="46"/>
      <c r="Q1135" s="46"/>
      <c r="R1135" s="46"/>
      <c r="S1135" s="46"/>
      <c r="T1135" s="46"/>
      <c r="U1135" s="46"/>
      <c r="V1135" s="46"/>
      <c r="W1135" s="46"/>
      <c r="X1135" s="46"/>
    </row>
    <row r="1136" spans="1:24" x14ac:dyDescent="0.2">
      <c r="A1136" s="45"/>
      <c r="B1136" s="46"/>
      <c r="C1136" s="46"/>
      <c r="D1136" s="46"/>
      <c r="E1136" s="46"/>
      <c r="F1136" s="46"/>
      <c r="G1136" s="46"/>
      <c r="H1136" s="46"/>
      <c r="I1136" s="46"/>
      <c r="J1136" s="46"/>
      <c r="K1136" s="46"/>
      <c r="L1136" s="46"/>
      <c r="M1136" s="46"/>
      <c r="N1136" s="46"/>
      <c r="O1136" s="46"/>
      <c r="P1136" s="46"/>
      <c r="Q1136" s="46"/>
      <c r="R1136" s="46"/>
      <c r="S1136" s="46"/>
      <c r="T1136" s="46"/>
      <c r="U1136" s="46"/>
      <c r="V1136" s="46"/>
      <c r="W1136" s="46"/>
      <c r="X1136" s="46"/>
    </row>
    <row r="1137" spans="1:24" x14ac:dyDescent="0.2">
      <c r="A1137" s="45"/>
      <c r="B1137" s="46"/>
      <c r="C1137" s="46"/>
      <c r="D1137" s="46"/>
      <c r="E1137" s="46"/>
      <c r="F1137" s="46"/>
      <c r="G1137" s="46"/>
      <c r="H1137" s="46"/>
      <c r="I1137" s="46"/>
      <c r="J1137" s="46"/>
      <c r="K1137" s="46"/>
      <c r="L1137" s="46"/>
      <c r="M1137" s="46"/>
      <c r="N1137" s="46"/>
      <c r="O1137" s="46"/>
      <c r="P1137" s="46"/>
      <c r="Q1137" s="46"/>
      <c r="R1137" s="46"/>
      <c r="S1137" s="46"/>
      <c r="T1137" s="46"/>
      <c r="U1137" s="46"/>
      <c r="V1137" s="46"/>
      <c r="W1137" s="46"/>
      <c r="X1137" s="46"/>
    </row>
    <row r="1138" spans="1:24" x14ac:dyDescent="0.2">
      <c r="A1138" s="45"/>
      <c r="B1138" s="46"/>
      <c r="C1138" s="46"/>
      <c r="D1138" s="46"/>
      <c r="E1138" s="46"/>
      <c r="F1138" s="46"/>
      <c r="G1138" s="46"/>
      <c r="H1138" s="46"/>
      <c r="I1138" s="46"/>
      <c r="J1138" s="46"/>
      <c r="K1138" s="46"/>
      <c r="L1138" s="46"/>
      <c r="M1138" s="46"/>
      <c r="N1138" s="46"/>
      <c r="O1138" s="46"/>
      <c r="P1138" s="46"/>
      <c r="Q1138" s="46"/>
      <c r="R1138" s="46"/>
      <c r="S1138" s="46"/>
      <c r="T1138" s="46"/>
      <c r="U1138" s="46"/>
      <c r="V1138" s="46"/>
      <c r="W1138" s="46"/>
      <c r="X1138" s="46"/>
    </row>
    <row r="1139" spans="1:24" x14ac:dyDescent="0.2">
      <c r="A1139" s="45"/>
      <c r="B1139" s="46"/>
      <c r="C1139" s="46"/>
      <c r="D1139" s="46"/>
      <c r="E1139" s="46"/>
      <c r="F1139" s="46"/>
      <c r="G1139" s="46"/>
      <c r="H1139" s="46"/>
      <c r="I1139" s="46"/>
      <c r="J1139" s="46"/>
      <c r="K1139" s="46"/>
      <c r="L1139" s="46"/>
      <c r="M1139" s="46"/>
      <c r="N1139" s="46"/>
      <c r="O1139" s="46"/>
      <c r="P1139" s="46"/>
      <c r="Q1139" s="46"/>
      <c r="R1139" s="46"/>
      <c r="S1139" s="46"/>
      <c r="T1139" s="46"/>
      <c r="U1139" s="46"/>
      <c r="V1139" s="46"/>
      <c r="W1139" s="46"/>
      <c r="X1139" s="46"/>
    </row>
    <row r="1140" spans="1:24" x14ac:dyDescent="0.2">
      <c r="A1140" s="45"/>
      <c r="B1140" s="46"/>
      <c r="C1140" s="46"/>
      <c r="D1140" s="46"/>
      <c r="E1140" s="46"/>
      <c r="F1140" s="46"/>
      <c r="G1140" s="46"/>
      <c r="H1140" s="46"/>
      <c r="I1140" s="46"/>
      <c r="J1140" s="46"/>
      <c r="K1140" s="46"/>
      <c r="L1140" s="46"/>
      <c r="M1140" s="46"/>
      <c r="N1140" s="46"/>
      <c r="O1140" s="46"/>
      <c r="P1140" s="46"/>
      <c r="Q1140" s="46"/>
      <c r="R1140" s="46"/>
      <c r="S1140" s="46"/>
      <c r="T1140" s="46"/>
      <c r="U1140" s="46"/>
      <c r="V1140" s="46"/>
      <c r="W1140" s="46"/>
      <c r="X1140" s="46"/>
    </row>
    <row r="1141" spans="1:24" x14ac:dyDescent="0.2">
      <c r="A1141" s="45"/>
      <c r="B1141" s="46"/>
      <c r="C1141" s="46"/>
      <c r="D1141" s="46"/>
      <c r="E1141" s="46"/>
      <c r="F1141" s="46"/>
      <c r="G1141" s="46"/>
      <c r="H1141" s="46"/>
      <c r="I1141" s="46"/>
      <c r="J1141" s="46"/>
      <c r="K1141" s="46"/>
      <c r="L1141" s="46"/>
      <c r="M1141" s="46"/>
      <c r="N1141" s="46"/>
      <c r="O1141" s="46"/>
      <c r="P1141" s="46"/>
      <c r="Q1141" s="46"/>
      <c r="R1141" s="46"/>
      <c r="S1141" s="46"/>
      <c r="T1141" s="46"/>
      <c r="U1141" s="46"/>
      <c r="V1141" s="46"/>
      <c r="W1141" s="46"/>
      <c r="X1141" s="46"/>
    </row>
    <row r="1142" spans="1:24" x14ac:dyDescent="0.2">
      <c r="A1142" s="45"/>
      <c r="B1142" s="46"/>
      <c r="C1142" s="46"/>
      <c r="D1142" s="46"/>
      <c r="E1142" s="46"/>
      <c r="F1142" s="46"/>
      <c r="G1142" s="46"/>
      <c r="H1142" s="46"/>
      <c r="I1142" s="46"/>
      <c r="J1142" s="46"/>
      <c r="K1142" s="46"/>
      <c r="L1142" s="46"/>
      <c r="M1142" s="46"/>
      <c r="N1142" s="46"/>
      <c r="O1142" s="46"/>
      <c r="P1142" s="46"/>
      <c r="Q1142" s="46"/>
      <c r="R1142" s="46"/>
      <c r="S1142" s="46"/>
      <c r="T1142" s="46"/>
      <c r="U1142" s="46"/>
      <c r="V1142" s="46"/>
      <c r="W1142" s="46"/>
      <c r="X1142" s="46"/>
    </row>
    <row r="1143" spans="1:24" x14ac:dyDescent="0.2">
      <c r="A1143" s="45"/>
      <c r="B1143" s="46"/>
      <c r="C1143" s="46"/>
      <c r="D1143" s="46"/>
      <c r="E1143" s="46"/>
      <c r="F1143" s="46"/>
      <c r="G1143" s="46"/>
      <c r="H1143" s="46"/>
      <c r="I1143" s="46"/>
      <c r="J1143" s="46"/>
      <c r="K1143" s="46"/>
      <c r="L1143" s="46"/>
      <c r="M1143" s="46"/>
      <c r="N1143" s="46"/>
      <c r="O1143" s="46"/>
      <c r="P1143" s="46"/>
      <c r="Q1143" s="46"/>
      <c r="R1143" s="46"/>
      <c r="S1143" s="46"/>
      <c r="T1143" s="46"/>
      <c r="U1143" s="46"/>
      <c r="V1143" s="46"/>
      <c r="W1143" s="46"/>
      <c r="X1143" s="46"/>
    </row>
    <row r="1144" spans="1:24" x14ac:dyDescent="0.2">
      <c r="A1144" s="45"/>
      <c r="B1144" s="46"/>
      <c r="C1144" s="46"/>
      <c r="D1144" s="46"/>
      <c r="E1144" s="46"/>
      <c r="F1144" s="46"/>
      <c r="G1144" s="46"/>
      <c r="H1144" s="46"/>
      <c r="I1144" s="46"/>
      <c r="J1144" s="46"/>
      <c r="K1144" s="46"/>
      <c r="L1144" s="46"/>
      <c r="M1144" s="46"/>
      <c r="N1144" s="46"/>
      <c r="O1144" s="46"/>
      <c r="P1144" s="46"/>
      <c r="Q1144" s="46"/>
      <c r="R1144" s="46"/>
      <c r="S1144" s="46"/>
      <c r="T1144" s="46"/>
      <c r="U1144" s="46"/>
      <c r="V1144" s="46"/>
      <c r="W1144" s="46"/>
      <c r="X1144" s="46"/>
    </row>
    <row r="1145" spans="1:24" x14ac:dyDescent="0.2">
      <c r="A1145" s="45"/>
      <c r="B1145" s="46"/>
      <c r="C1145" s="46"/>
      <c r="D1145" s="46"/>
      <c r="E1145" s="46"/>
      <c r="F1145" s="46"/>
      <c r="G1145" s="46"/>
      <c r="H1145" s="46"/>
      <c r="I1145" s="46"/>
      <c r="J1145" s="46"/>
      <c r="K1145" s="46"/>
      <c r="L1145" s="46"/>
      <c r="M1145" s="46"/>
      <c r="N1145" s="46"/>
      <c r="O1145" s="46"/>
      <c r="P1145" s="46"/>
      <c r="Q1145" s="46"/>
      <c r="R1145" s="46"/>
      <c r="S1145" s="46"/>
      <c r="T1145" s="46"/>
      <c r="U1145" s="46"/>
      <c r="V1145" s="46"/>
      <c r="W1145" s="46"/>
      <c r="X1145" s="46"/>
    </row>
    <row r="1146" spans="1:24" x14ac:dyDescent="0.2">
      <c r="A1146" s="45"/>
      <c r="B1146" s="46"/>
      <c r="C1146" s="46"/>
      <c r="D1146" s="46"/>
      <c r="E1146" s="46"/>
      <c r="F1146" s="46"/>
      <c r="G1146" s="46"/>
      <c r="H1146" s="46"/>
      <c r="I1146" s="46"/>
      <c r="J1146" s="46"/>
      <c r="K1146" s="46"/>
      <c r="L1146" s="46"/>
      <c r="M1146" s="46"/>
      <c r="N1146" s="46"/>
      <c r="O1146" s="46"/>
      <c r="P1146" s="46"/>
      <c r="Q1146" s="46"/>
      <c r="R1146" s="46"/>
      <c r="S1146" s="46"/>
      <c r="T1146" s="46"/>
      <c r="U1146" s="46"/>
      <c r="V1146" s="46"/>
      <c r="W1146" s="46"/>
      <c r="X1146" s="46"/>
    </row>
    <row r="1147" spans="1:24" x14ac:dyDescent="0.2">
      <c r="A1147" s="45"/>
      <c r="B1147" s="46"/>
      <c r="C1147" s="46"/>
      <c r="D1147" s="46"/>
      <c r="E1147" s="46"/>
      <c r="F1147" s="46"/>
      <c r="G1147" s="46"/>
      <c r="H1147" s="46"/>
      <c r="I1147" s="46"/>
      <c r="J1147" s="46"/>
      <c r="K1147" s="46"/>
      <c r="L1147" s="46"/>
      <c r="M1147" s="46"/>
      <c r="N1147" s="46"/>
      <c r="O1147" s="46"/>
      <c r="P1147" s="46"/>
      <c r="Q1147" s="46"/>
      <c r="R1147" s="46"/>
      <c r="S1147" s="46"/>
      <c r="T1147" s="46"/>
      <c r="U1147" s="46"/>
      <c r="V1147" s="46"/>
      <c r="W1147" s="46"/>
      <c r="X1147" s="46"/>
    </row>
    <row r="1148" spans="1:24" x14ac:dyDescent="0.2">
      <c r="A1148" s="45"/>
      <c r="B1148" s="46"/>
      <c r="C1148" s="46"/>
      <c r="D1148" s="46"/>
      <c r="E1148" s="46"/>
      <c r="F1148" s="46"/>
      <c r="G1148" s="46"/>
      <c r="H1148" s="46"/>
      <c r="I1148" s="46"/>
      <c r="J1148" s="46"/>
      <c r="K1148" s="46"/>
      <c r="L1148" s="46"/>
      <c r="M1148" s="46"/>
      <c r="N1148" s="46"/>
      <c r="O1148" s="46"/>
      <c r="P1148" s="46"/>
      <c r="Q1148" s="46"/>
      <c r="R1148" s="46"/>
      <c r="S1148" s="46"/>
      <c r="T1148" s="46"/>
      <c r="U1148" s="46"/>
      <c r="V1148" s="46"/>
      <c r="W1148" s="46"/>
      <c r="X1148" s="46"/>
    </row>
    <row r="1149" spans="1:24" x14ac:dyDescent="0.2">
      <c r="A1149" s="45"/>
      <c r="B1149" s="46"/>
      <c r="C1149" s="46"/>
      <c r="D1149" s="46"/>
      <c r="E1149" s="46"/>
      <c r="F1149" s="46"/>
      <c r="G1149" s="46"/>
      <c r="H1149" s="46"/>
      <c r="I1149" s="46"/>
      <c r="J1149" s="46"/>
      <c r="K1149" s="46"/>
      <c r="L1149" s="46"/>
      <c r="M1149" s="46"/>
      <c r="N1149" s="46"/>
      <c r="O1149" s="46"/>
      <c r="P1149" s="46"/>
      <c r="Q1149" s="46"/>
      <c r="R1149" s="46"/>
      <c r="S1149" s="46"/>
      <c r="T1149" s="46"/>
      <c r="U1149" s="46"/>
      <c r="V1149" s="46"/>
      <c r="W1149" s="46"/>
      <c r="X1149" s="46"/>
    </row>
    <row r="1150" spans="1:24" x14ac:dyDescent="0.2">
      <c r="A1150" s="45"/>
      <c r="B1150" s="46"/>
      <c r="C1150" s="46"/>
      <c r="D1150" s="46"/>
      <c r="E1150" s="46"/>
      <c r="F1150" s="46"/>
      <c r="G1150" s="46"/>
      <c r="H1150" s="46"/>
      <c r="I1150" s="46"/>
      <c r="J1150" s="46"/>
      <c r="K1150" s="46"/>
      <c r="L1150" s="46"/>
      <c r="M1150" s="46"/>
      <c r="N1150" s="46"/>
      <c r="O1150" s="46"/>
      <c r="P1150" s="46"/>
      <c r="Q1150" s="46"/>
      <c r="R1150" s="46"/>
      <c r="S1150" s="46"/>
      <c r="T1150" s="46"/>
      <c r="U1150" s="46"/>
      <c r="V1150" s="46"/>
      <c r="W1150" s="46"/>
      <c r="X1150" s="46"/>
    </row>
    <row r="1151" spans="1:24" x14ac:dyDescent="0.2">
      <c r="A1151" s="45"/>
      <c r="B1151" s="46"/>
      <c r="C1151" s="46"/>
      <c r="D1151" s="46"/>
      <c r="E1151" s="46"/>
      <c r="F1151" s="46"/>
      <c r="G1151" s="46"/>
      <c r="H1151" s="46"/>
      <c r="I1151" s="46"/>
      <c r="J1151" s="46"/>
      <c r="K1151" s="46"/>
      <c r="L1151" s="46"/>
      <c r="M1151" s="46"/>
      <c r="N1151" s="46"/>
      <c r="O1151" s="46"/>
      <c r="P1151" s="46"/>
      <c r="Q1151" s="46"/>
      <c r="R1151" s="46"/>
      <c r="S1151" s="46"/>
      <c r="T1151" s="46"/>
      <c r="U1151" s="46"/>
      <c r="V1151" s="46"/>
      <c r="W1151" s="46"/>
      <c r="X1151" s="46"/>
    </row>
    <row r="1152" spans="1:24" x14ac:dyDescent="0.2">
      <c r="A1152" s="45"/>
      <c r="B1152" s="46"/>
      <c r="C1152" s="46"/>
      <c r="D1152" s="46"/>
      <c r="E1152" s="46"/>
      <c r="F1152" s="46"/>
      <c r="G1152" s="46"/>
      <c r="H1152" s="46"/>
      <c r="I1152" s="46"/>
      <c r="J1152" s="46"/>
      <c r="K1152" s="46"/>
      <c r="L1152" s="46"/>
      <c r="M1152" s="46"/>
      <c r="N1152" s="46"/>
      <c r="O1152" s="46"/>
      <c r="P1152" s="46"/>
      <c r="Q1152" s="46"/>
      <c r="R1152" s="46"/>
      <c r="S1152" s="46"/>
      <c r="T1152" s="46"/>
      <c r="U1152" s="46"/>
      <c r="V1152" s="46"/>
      <c r="W1152" s="46"/>
      <c r="X1152" s="46"/>
    </row>
    <row r="1153" spans="1:24" x14ac:dyDescent="0.2">
      <c r="A1153" s="45"/>
      <c r="B1153" s="46"/>
      <c r="C1153" s="46"/>
      <c r="D1153" s="46"/>
      <c r="E1153" s="46"/>
      <c r="F1153" s="46"/>
      <c r="G1153" s="46"/>
      <c r="H1153" s="46"/>
      <c r="I1153" s="46"/>
      <c r="J1153" s="46"/>
      <c r="K1153" s="46"/>
      <c r="L1153" s="46"/>
      <c r="M1153" s="46"/>
      <c r="N1153" s="46"/>
      <c r="O1153" s="46"/>
      <c r="P1153" s="46"/>
      <c r="Q1153" s="46"/>
      <c r="R1153" s="46"/>
      <c r="S1153" s="46"/>
      <c r="T1153" s="46"/>
      <c r="U1153" s="46"/>
      <c r="V1153" s="46"/>
      <c r="W1153" s="46"/>
      <c r="X1153" s="46"/>
    </row>
    <row r="1154" spans="1:24" x14ac:dyDescent="0.2">
      <c r="A1154" s="45"/>
      <c r="B1154" s="46"/>
      <c r="C1154" s="46"/>
      <c r="D1154" s="46"/>
      <c r="E1154" s="46"/>
      <c r="F1154" s="46"/>
      <c r="G1154" s="46"/>
      <c r="H1154" s="46"/>
      <c r="I1154" s="46"/>
      <c r="J1154" s="46"/>
      <c r="K1154" s="46"/>
      <c r="L1154" s="46"/>
      <c r="M1154" s="46"/>
      <c r="N1154" s="46"/>
      <c r="O1154" s="46"/>
      <c r="P1154" s="46"/>
      <c r="Q1154" s="46"/>
      <c r="R1154" s="46"/>
      <c r="S1154" s="46"/>
      <c r="T1154" s="46"/>
      <c r="U1154" s="46"/>
      <c r="V1154" s="46"/>
      <c r="W1154" s="46"/>
      <c r="X1154" s="46"/>
    </row>
    <row r="1155" spans="1:24" x14ac:dyDescent="0.2">
      <c r="A1155" s="45"/>
      <c r="B1155" s="46"/>
      <c r="C1155" s="46"/>
      <c r="D1155" s="46"/>
      <c r="E1155" s="46"/>
      <c r="F1155" s="46"/>
      <c r="G1155" s="46"/>
      <c r="H1155" s="46"/>
      <c r="I1155" s="46"/>
      <c r="J1155" s="46"/>
      <c r="K1155" s="46"/>
      <c r="L1155" s="46"/>
      <c r="M1155" s="46"/>
      <c r="N1155" s="46"/>
      <c r="O1155" s="46"/>
      <c r="P1155" s="46"/>
      <c r="Q1155" s="46"/>
      <c r="R1155" s="46"/>
      <c r="S1155" s="46"/>
      <c r="T1155" s="46"/>
      <c r="U1155" s="46"/>
      <c r="V1155" s="46"/>
      <c r="W1155" s="46"/>
      <c r="X1155" s="46"/>
    </row>
    <row r="1156" spans="1:24" x14ac:dyDescent="0.2">
      <c r="A1156" s="45"/>
      <c r="B1156" s="46"/>
      <c r="C1156" s="46"/>
      <c r="D1156" s="46"/>
      <c r="E1156" s="46"/>
      <c r="F1156" s="46"/>
      <c r="G1156" s="46"/>
      <c r="H1156" s="46"/>
      <c r="I1156" s="46"/>
      <c r="J1156" s="46"/>
      <c r="K1156" s="46"/>
      <c r="L1156" s="46"/>
      <c r="M1156" s="46"/>
      <c r="N1156" s="46"/>
      <c r="O1156" s="46"/>
      <c r="P1156" s="46"/>
      <c r="Q1156" s="46"/>
      <c r="R1156" s="46"/>
      <c r="S1156" s="46"/>
      <c r="T1156" s="46"/>
      <c r="U1156" s="46"/>
      <c r="V1156" s="46"/>
      <c r="W1156" s="46"/>
      <c r="X1156" s="46"/>
    </row>
    <row r="1157" spans="1:24" x14ac:dyDescent="0.2">
      <c r="A1157" s="45"/>
      <c r="B1157" s="46"/>
      <c r="C1157" s="46"/>
      <c r="D1157" s="46"/>
      <c r="E1157" s="46"/>
      <c r="F1157" s="46"/>
      <c r="G1157" s="46"/>
      <c r="H1157" s="46"/>
      <c r="I1157" s="46"/>
      <c r="J1157" s="46"/>
      <c r="K1157" s="46"/>
      <c r="L1157" s="46"/>
      <c r="M1157" s="46"/>
      <c r="N1157" s="46"/>
      <c r="O1157" s="46"/>
      <c r="P1157" s="46"/>
      <c r="Q1157" s="46"/>
      <c r="R1157" s="46"/>
      <c r="S1157" s="46"/>
      <c r="T1157" s="46"/>
      <c r="U1157" s="46"/>
      <c r="V1157" s="46"/>
      <c r="W1157" s="46"/>
      <c r="X1157" s="46"/>
    </row>
    <row r="1158" spans="1:24" x14ac:dyDescent="0.2">
      <c r="A1158" s="45"/>
      <c r="B1158" s="46"/>
      <c r="C1158" s="46"/>
      <c r="D1158" s="46"/>
      <c r="E1158" s="46"/>
      <c r="F1158" s="46"/>
      <c r="G1158" s="46"/>
      <c r="H1158" s="46"/>
      <c r="I1158" s="46"/>
      <c r="J1158" s="46"/>
      <c r="K1158" s="46"/>
      <c r="L1158" s="46"/>
      <c r="M1158" s="46"/>
      <c r="N1158" s="46"/>
      <c r="O1158" s="46"/>
      <c r="P1158" s="46"/>
      <c r="Q1158" s="46"/>
      <c r="R1158" s="46"/>
      <c r="S1158" s="46"/>
      <c r="T1158" s="46"/>
      <c r="U1158" s="46"/>
      <c r="V1158" s="46"/>
      <c r="W1158" s="46"/>
      <c r="X1158" s="46"/>
    </row>
    <row r="1159" spans="1:24" x14ac:dyDescent="0.2">
      <c r="A1159" s="45"/>
      <c r="B1159" s="46"/>
      <c r="C1159" s="46"/>
      <c r="D1159" s="46"/>
      <c r="E1159" s="46"/>
      <c r="F1159" s="46"/>
      <c r="G1159" s="46"/>
      <c r="H1159" s="46"/>
      <c r="I1159" s="46"/>
      <c r="J1159" s="46"/>
      <c r="K1159" s="46"/>
      <c r="L1159" s="46"/>
      <c r="M1159" s="46"/>
      <c r="N1159" s="46"/>
      <c r="O1159" s="46"/>
      <c r="P1159" s="46"/>
      <c r="Q1159" s="46"/>
      <c r="R1159" s="46"/>
      <c r="S1159" s="46"/>
      <c r="T1159" s="46"/>
      <c r="U1159" s="46"/>
      <c r="V1159" s="46"/>
      <c r="W1159" s="46"/>
      <c r="X1159" s="46"/>
    </row>
    <row r="1160" spans="1:24" x14ac:dyDescent="0.2">
      <c r="A1160" s="45"/>
      <c r="B1160" s="46"/>
      <c r="C1160" s="46"/>
      <c r="D1160" s="46"/>
      <c r="E1160" s="46"/>
      <c r="F1160" s="46"/>
      <c r="G1160" s="46"/>
      <c r="H1160" s="46"/>
      <c r="I1160" s="46"/>
      <c r="J1160" s="46"/>
      <c r="K1160" s="46"/>
      <c r="L1160" s="46"/>
      <c r="M1160" s="46"/>
      <c r="N1160" s="46"/>
      <c r="O1160" s="46"/>
      <c r="P1160" s="46"/>
      <c r="Q1160" s="46"/>
      <c r="R1160" s="46"/>
      <c r="S1160" s="46"/>
      <c r="T1160" s="46"/>
      <c r="U1160" s="46"/>
      <c r="V1160" s="46"/>
      <c r="W1160" s="46"/>
      <c r="X1160" s="46"/>
    </row>
    <row r="1161" spans="1:24" x14ac:dyDescent="0.2">
      <c r="A1161" s="45"/>
      <c r="B1161" s="46"/>
      <c r="C1161" s="46"/>
      <c r="D1161" s="46"/>
      <c r="E1161" s="46"/>
      <c r="F1161" s="46"/>
      <c r="G1161" s="46"/>
      <c r="H1161" s="46"/>
      <c r="I1161" s="46"/>
      <c r="J1161" s="46"/>
      <c r="K1161" s="46"/>
      <c r="L1161" s="46"/>
      <c r="M1161" s="46"/>
      <c r="N1161" s="46"/>
      <c r="O1161" s="46"/>
      <c r="P1161" s="46"/>
      <c r="Q1161" s="46"/>
      <c r="R1161" s="46"/>
      <c r="S1161" s="46"/>
      <c r="T1161" s="46"/>
      <c r="U1161" s="46"/>
      <c r="V1161" s="46"/>
      <c r="W1161" s="46"/>
      <c r="X1161" s="46"/>
    </row>
    <row r="1162" spans="1:24" x14ac:dyDescent="0.2">
      <c r="A1162" s="45"/>
      <c r="B1162" s="46"/>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row>
    <row r="1163" spans="1:24" x14ac:dyDescent="0.2">
      <c r="A1163" s="45"/>
      <c r="B1163" s="46"/>
      <c r="C1163" s="46"/>
      <c r="D1163" s="46"/>
      <c r="E1163" s="46"/>
      <c r="F1163" s="46"/>
      <c r="G1163" s="46"/>
      <c r="H1163" s="46"/>
      <c r="I1163" s="46"/>
      <c r="J1163" s="46"/>
      <c r="K1163" s="46"/>
      <c r="L1163" s="46"/>
      <c r="M1163" s="46"/>
      <c r="N1163" s="46"/>
      <c r="O1163" s="46"/>
      <c r="P1163" s="46"/>
      <c r="Q1163" s="46"/>
      <c r="R1163" s="46"/>
      <c r="S1163" s="46"/>
      <c r="T1163" s="46"/>
      <c r="U1163" s="46"/>
      <c r="V1163" s="46"/>
      <c r="W1163" s="46"/>
      <c r="X1163" s="46"/>
    </row>
    <row r="1164" spans="1:24" x14ac:dyDescent="0.2">
      <c r="A1164" s="45"/>
      <c r="B1164" s="46"/>
      <c r="C1164" s="46"/>
      <c r="D1164" s="46"/>
      <c r="E1164" s="46"/>
      <c r="F1164" s="46"/>
      <c r="G1164" s="46"/>
      <c r="H1164" s="46"/>
      <c r="I1164" s="46"/>
      <c r="J1164" s="46"/>
      <c r="K1164" s="46"/>
      <c r="L1164" s="46"/>
      <c r="M1164" s="46"/>
      <c r="N1164" s="46"/>
      <c r="O1164" s="46"/>
      <c r="P1164" s="46"/>
      <c r="Q1164" s="46"/>
      <c r="R1164" s="46"/>
      <c r="S1164" s="46"/>
      <c r="T1164" s="46"/>
      <c r="U1164" s="46"/>
      <c r="V1164" s="46"/>
      <c r="W1164" s="46"/>
      <c r="X1164" s="46"/>
    </row>
    <row r="1165" spans="1:24" x14ac:dyDescent="0.2">
      <c r="A1165" s="45"/>
      <c r="B1165" s="46"/>
      <c r="C1165" s="46"/>
      <c r="D1165" s="46"/>
      <c r="E1165" s="46"/>
      <c r="F1165" s="46"/>
      <c r="G1165" s="46"/>
      <c r="H1165" s="46"/>
      <c r="I1165" s="46"/>
      <c r="J1165" s="46"/>
      <c r="K1165" s="46"/>
      <c r="L1165" s="46"/>
      <c r="M1165" s="46"/>
      <c r="N1165" s="46"/>
      <c r="O1165" s="46"/>
      <c r="P1165" s="46"/>
      <c r="Q1165" s="46"/>
      <c r="R1165" s="46"/>
      <c r="S1165" s="46"/>
      <c r="T1165" s="46"/>
      <c r="U1165" s="46"/>
      <c r="V1165" s="46"/>
      <c r="W1165" s="46"/>
      <c r="X1165" s="46"/>
    </row>
    <row r="1166" spans="1:24" x14ac:dyDescent="0.2">
      <c r="A1166" s="45"/>
      <c r="B1166" s="46"/>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row>
    <row r="1167" spans="1:24" x14ac:dyDescent="0.2">
      <c r="A1167" s="45"/>
      <c r="B1167" s="46"/>
      <c r="C1167" s="46"/>
      <c r="D1167" s="46"/>
      <c r="E1167" s="46"/>
      <c r="F1167" s="46"/>
      <c r="G1167" s="46"/>
      <c r="H1167" s="46"/>
      <c r="I1167" s="46"/>
      <c r="J1167" s="46"/>
      <c r="K1167" s="46"/>
      <c r="L1167" s="46"/>
      <c r="M1167" s="46"/>
      <c r="N1167" s="46"/>
      <c r="O1167" s="46"/>
      <c r="P1167" s="46"/>
      <c r="Q1167" s="46"/>
      <c r="R1167" s="46"/>
      <c r="S1167" s="46"/>
      <c r="T1167" s="46"/>
      <c r="U1167" s="46"/>
      <c r="V1167" s="46"/>
      <c r="W1167" s="46"/>
      <c r="X1167" s="46"/>
    </row>
    <row r="1168" spans="1:24" x14ac:dyDescent="0.2">
      <c r="A1168" s="45"/>
      <c r="B1168" s="46"/>
      <c r="C1168" s="46"/>
      <c r="D1168" s="46"/>
      <c r="E1168" s="46"/>
      <c r="F1168" s="46"/>
      <c r="G1168" s="46"/>
      <c r="H1168" s="46"/>
      <c r="I1168" s="46"/>
      <c r="J1168" s="46"/>
      <c r="K1168" s="46"/>
      <c r="L1168" s="46"/>
      <c r="M1168" s="46"/>
      <c r="N1168" s="46"/>
      <c r="O1168" s="46"/>
      <c r="P1168" s="46"/>
      <c r="Q1168" s="46"/>
      <c r="R1168" s="46"/>
      <c r="S1168" s="46"/>
      <c r="T1168" s="46"/>
      <c r="U1168" s="46"/>
      <c r="V1168" s="46"/>
      <c r="W1168" s="46"/>
      <c r="X1168" s="46"/>
    </row>
    <row r="1169" spans="1:24" x14ac:dyDescent="0.2">
      <c r="A1169" s="45"/>
      <c r="B1169" s="46"/>
      <c r="C1169" s="46"/>
      <c r="D1169" s="46"/>
      <c r="E1169" s="46"/>
      <c r="F1169" s="46"/>
      <c r="G1169" s="46"/>
      <c r="H1169" s="46"/>
      <c r="I1169" s="46"/>
      <c r="J1169" s="46"/>
      <c r="K1169" s="46"/>
      <c r="L1169" s="46"/>
      <c r="M1169" s="46"/>
      <c r="N1169" s="46"/>
      <c r="O1169" s="46"/>
      <c r="P1169" s="46"/>
      <c r="Q1169" s="46"/>
      <c r="R1169" s="46"/>
      <c r="S1169" s="46"/>
      <c r="T1169" s="46"/>
      <c r="U1169" s="46"/>
      <c r="V1169" s="46"/>
      <c r="W1169" s="46"/>
      <c r="X1169" s="46"/>
    </row>
    <row r="1170" spans="1:24" x14ac:dyDescent="0.2">
      <c r="A1170" s="45"/>
      <c r="B1170" s="46"/>
      <c r="C1170" s="46"/>
      <c r="D1170" s="46"/>
      <c r="E1170" s="46"/>
      <c r="F1170" s="46"/>
      <c r="G1170" s="46"/>
      <c r="H1170" s="46"/>
      <c r="I1170" s="46"/>
      <c r="J1170" s="46"/>
      <c r="K1170" s="46"/>
      <c r="L1170" s="46"/>
      <c r="M1170" s="46"/>
      <c r="N1170" s="46"/>
      <c r="O1170" s="46"/>
      <c r="P1170" s="46"/>
      <c r="Q1170" s="46"/>
      <c r="R1170" s="46"/>
      <c r="S1170" s="46"/>
      <c r="T1170" s="46"/>
      <c r="U1170" s="46"/>
      <c r="V1170" s="46"/>
      <c r="W1170" s="46"/>
      <c r="X1170" s="46"/>
    </row>
    <row r="1171" spans="1:24" x14ac:dyDescent="0.2">
      <c r="A1171" s="45"/>
      <c r="B1171" s="46"/>
      <c r="C1171" s="46"/>
      <c r="D1171" s="46"/>
      <c r="E1171" s="46"/>
      <c r="F1171" s="46"/>
      <c r="G1171" s="46"/>
      <c r="H1171" s="46"/>
      <c r="I1171" s="46"/>
      <c r="J1171" s="46"/>
      <c r="K1171" s="46"/>
      <c r="L1171" s="46"/>
      <c r="M1171" s="46"/>
      <c r="N1171" s="46"/>
      <c r="O1171" s="46"/>
      <c r="P1171" s="46"/>
      <c r="Q1171" s="46"/>
      <c r="R1171" s="46"/>
      <c r="S1171" s="46"/>
      <c r="T1171" s="46"/>
      <c r="U1171" s="46"/>
      <c r="V1171" s="46"/>
      <c r="W1171" s="46"/>
      <c r="X1171" s="46"/>
    </row>
    <row r="1172" spans="1:24" x14ac:dyDescent="0.2">
      <c r="A1172" s="45"/>
      <c r="B1172" s="46"/>
      <c r="C1172" s="46"/>
      <c r="D1172" s="46"/>
      <c r="E1172" s="46"/>
      <c r="F1172" s="46"/>
      <c r="G1172" s="46"/>
      <c r="H1172" s="46"/>
      <c r="I1172" s="46"/>
      <c r="J1172" s="46"/>
      <c r="K1172" s="46"/>
      <c r="L1172" s="46"/>
      <c r="M1172" s="46"/>
      <c r="N1172" s="46"/>
      <c r="O1172" s="46"/>
      <c r="P1172" s="46"/>
      <c r="Q1172" s="46"/>
      <c r="R1172" s="46"/>
      <c r="S1172" s="46"/>
      <c r="T1172" s="46"/>
      <c r="U1172" s="46"/>
      <c r="V1172" s="46"/>
      <c r="W1172" s="46"/>
      <c r="X1172" s="46"/>
    </row>
    <row r="1173" spans="1:24" x14ac:dyDescent="0.2">
      <c r="A1173" s="45"/>
      <c r="B1173" s="46"/>
      <c r="C1173" s="46"/>
      <c r="D1173" s="46"/>
      <c r="E1173" s="46"/>
      <c r="F1173" s="46"/>
      <c r="G1173" s="46"/>
      <c r="H1173" s="46"/>
      <c r="I1173" s="46"/>
      <c r="J1173" s="46"/>
      <c r="K1173" s="46"/>
      <c r="L1173" s="46"/>
      <c r="M1173" s="46"/>
      <c r="N1173" s="46"/>
      <c r="O1173" s="46"/>
      <c r="P1173" s="46"/>
      <c r="Q1173" s="46"/>
      <c r="R1173" s="46"/>
      <c r="S1173" s="46"/>
      <c r="T1173" s="46"/>
      <c r="U1173" s="46"/>
      <c r="V1173" s="46"/>
      <c r="W1173" s="46"/>
      <c r="X1173" s="46"/>
    </row>
    <row r="1174" spans="1:24" x14ac:dyDescent="0.2">
      <c r="A1174" s="45"/>
      <c r="B1174" s="46"/>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46"/>
    </row>
    <row r="1175" spans="1:24" x14ac:dyDescent="0.2">
      <c r="A1175" s="45"/>
      <c r="B1175" s="46"/>
      <c r="C1175" s="46"/>
      <c r="D1175" s="46"/>
      <c r="E1175" s="46"/>
      <c r="F1175" s="46"/>
      <c r="G1175" s="46"/>
      <c r="H1175" s="46"/>
      <c r="I1175" s="46"/>
      <c r="J1175" s="46"/>
      <c r="K1175" s="46"/>
      <c r="L1175" s="46"/>
      <c r="M1175" s="46"/>
      <c r="N1175" s="46"/>
      <c r="O1175" s="46"/>
      <c r="P1175" s="46"/>
      <c r="Q1175" s="46"/>
      <c r="R1175" s="46"/>
      <c r="S1175" s="46"/>
      <c r="T1175" s="46"/>
      <c r="U1175" s="46"/>
      <c r="V1175" s="46"/>
      <c r="W1175" s="46"/>
      <c r="X1175" s="46"/>
    </row>
    <row r="1176" spans="1:24" x14ac:dyDescent="0.2">
      <c r="A1176" s="45"/>
      <c r="B1176" s="46"/>
      <c r="C1176" s="46"/>
      <c r="D1176" s="46"/>
      <c r="E1176" s="46"/>
      <c r="F1176" s="46"/>
      <c r="G1176" s="46"/>
      <c r="H1176" s="46"/>
      <c r="I1176" s="46"/>
      <c r="J1176" s="46"/>
      <c r="K1176" s="46"/>
      <c r="L1176" s="46"/>
      <c r="M1176" s="46"/>
      <c r="N1176" s="46"/>
      <c r="O1176" s="46"/>
      <c r="P1176" s="46"/>
      <c r="Q1176" s="46"/>
      <c r="R1176" s="46"/>
      <c r="S1176" s="46"/>
      <c r="T1176" s="46"/>
      <c r="U1176" s="46"/>
      <c r="V1176" s="46"/>
      <c r="W1176" s="46"/>
      <c r="X1176" s="46"/>
    </row>
    <row r="1177" spans="1:24" x14ac:dyDescent="0.2">
      <c r="A1177" s="45"/>
      <c r="B1177" s="46"/>
      <c r="C1177" s="46"/>
      <c r="D1177" s="46"/>
      <c r="E1177" s="46"/>
      <c r="F1177" s="46"/>
      <c r="G1177" s="46"/>
      <c r="H1177" s="46"/>
      <c r="I1177" s="46"/>
      <c r="J1177" s="46"/>
      <c r="K1177" s="46"/>
      <c r="L1177" s="46"/>
      <c r="M1177" s="46"/>
      <c r="N1177" s="46"/>
      <c r="O1177" s="46"/>
      <c r="P1177" s="46"/>
      <c r="Q1177" s="46"/>
      <c r="R1177" s="46"/>
      <c r="S1177" s="46"/>
      <c r="T1177" s="46"/>
      <c r="U1177" s="46"/>
      <c r="V1177" s="46"/>
      <c r="W1177" s="46"/>
      <c r="X1177" s="46"/>
    </row>
    <row r="1178" spans="1:24" x14ac:dyDescent="0.2">
      <c r="A1178" s="45"/>
      <c r="B1178" s="46"/>
      <c r="C1178" s="46"/>
      <c r="D1178" s="46"/>
      <c r="E1178" s="46"/>
      <c r="F1178" s="46"/>
      <c r="G1178" s="46"/>
      <c r="H1178" s="46"/>
      <c r="I1178" s="46"/>
      <c r="J1178" s="46"/>
      <c r="K1178" s="46"/>
      <c r="L1178" s="46"/>
      <c r="M1178" s="46"/>
      <c r="N1178" s="46"/>
      <c r="O1178" s="46"/>
      <c r="P1178" s="46"/>
      <c r="Q1178" s="46"/>
      <c r="R1178" s="46"/>
      <c r="S1178" s="46"/>
      <c r="T1178" s="46"/>
      <c r="U1178" s="46"/>
      <c r="V1178" s="46"/>
      <c r="W1178" s="46"/>
      <c r="X1178" s="46"/>
    </row>
    <row r="1179" spans="1:24" x14ac:dyDescent="0.2">
      <c r="A1179" s="45"/>
      <c r="B1179" s="46"/>
      <c r="C1179" s="46"/>
      <c r="D1179" s="46"/>
      <c r="E1179" s="46"/>
      <c r="F1179" s="46"/>
      <c r="G1179" s="46"/>
      <c r="H1179" s="46"/>
      <c r="I1179" s="46"/>
      <c r="J1179" s="46"/>
      <c r="K1179" s="46"/>
      <c r="L1179" s="46"/>
      <c r="M1179" s="46"/>
      <c r="N1179" s="46"/>
      <c r="O1179" s="46"/>
      <c r="P1179" s="46"/>
      <c r="Q1179" s="46"/>
      <c r="R1179" s="46"/>
      <c r="S1179" s="46"/>
      <c r="T1179" s="46"/>
      <c r="U1179" s="46"/>
      <c r="V1179" s="46"/>
      <c r="W1179" s="46"/>
      <c r="X1179" s="46"/>
    </row>
    <row r="1180" spans="1:24" x14ac:dyDescent="0.2">
      <c r="A1180" s="45"/>
      <c r="B1180" s="46"/>
      <c r="C1180" s="46"/>
      <c r="D1180" s="46"/>
      <c r="E1180" s="46"/>
      <c r="F1180" s="46"/>
      <c r="G1180" s="46"/>
      <c r="H1180" s="46"/>
      <c r="I1180" s="46"/>
      <c r="J1180" s="46"/>
      <c r="K1180" s="46"/>
      <c r="L1180" s="46"/>
      <c r="M1180" s="46"/>
      <c r="N1180" s="46"/>
      <c r="O1180" s="46"/>
      <c r="P1180" s="46"/>
      <c r="Q1180" s="46"/>
      <c r="R1180" s="46"/>
      <c r="S1180" s="46"/>
      <c r="T1180" s="46"/>
      <c r="U1180" s="46"/>
      <c r="V1180" s="46"/>
      <c r="W1180" s="46"/>
      <c r="X1180" s="46"/>
    </row>
    <row r="1181" spans="1:24" x14ac:dyDescent="0.2">
      <c r="A1181" s="45"/>
      <c r="B1181" s="46"/>
      <c r="C1181" s="46"/>
      <c r="D1181" s="46"/>
      <c r="E1181" s="46"/>
      <c r="F1181" s="46"/>
      <c r="G1181" s="46"/>
      <c r="H1181" s="46"/>
      <c r="I1181" s="46"/>
      <c r="J1181" s="46"/>
      <c r="K1181" s="46"/>
      <c r="L1181" s="46"/>
      <c r="M1181" s="46"/>
      <c r="N1181" s="46"/>
      <c r="O1181" s="46"/>
      <c r="P1181" s="46"/>
      <c r="Q1181" s="46"/>
      <c r="R1181" s="46"/>
      <c r="S1181" s="46"/>
      <c r="T1181" s="46"/>
      <c r="U1181" s="46"/>
      <c r="V1181" s="46"/>
      <c r="W1181" s="46"/>
      <c r="X1181" s="46"/>
    </row>
    <row r="1182" spans="1:24" x14ac:dyDescent="0.2">
      <c r="A1182" s="45"/>
      <c r="B1182" s="46"/>
      <c r="C1182" s="46"/>
      <c r="D1182" s="46"/>
      <c r="E1182" s="46"/>
      <c r="F1182" s="46"/>
      <c r="G1182" s="46"/>
      <c r="H1182" s="46"/>
      <c r="I1182" s="46"/>
      <c r="J1182" s="46"/>
      <c r="K1182" s="46"/>
      <c r="L1182" s="46"/>
      <c r="M1182" s="46"/>
      <c r="N1182" s="46"/>
      <c r="O1182" s="46"/>
      <c r="P1182" s="46"/>
      <c r="Q1182" s="46"/>
      <c r="R1182" s="46"/>
      <c r="S1182" s="46"/>
      <c r="T1182" s="46"/>
      <c r="U1182" s="46"/>
      <c r="V1182" s="46"/>
      <c r="W1182" s="46"/>
      <c r="X1182" s="46"/>
    </row>
    <row r="1183" spans="1:24" x14ac:dyDescent="0.2">
      <c r="A1183" s="45"/>
      <c r="B1183" s="46"/>
      <c r="C1183" s="46"/>
      <c r="D1183" s="46"/>
      <c r="E1183" s="46"/>
      <c r="F1183" s="46"/>
      <c r="G1183" s="46"/>
      <c r="H1183" s="46"/>
      <c r="I1183" s="46"/>
      <c r="J1183" s="46"/>
      <c r="K1183" s="46"/>
      <c r="L1183" s="46"/>
      <c r="M1183" s="46"/>
      <c r="N1183" s="46"/>
      <c r="O1183" s="46"/>
      <c r="P1183" s="46"/>
      <c r="Q1183" s="46"/>
      <c r="R1183" s="46"/>
      <c r="S1183" s="46"/>
      <c r="T1183" s="46"/>
      <c r="U1183" s="46"/>
      <c r="V1183" s="46"/>
      <c r="W1183" s="46"/>
      <c r="X1183" s="46"/>
    </row>
    <row r="1184" spans="1:24" x14ac:dyDescent="0.2">
      <c r="A1184" s="45"/>
      <c r="B1184" s="46"/>
      <c r="C1184" s="46"/>
      <c r="D1184" s="46"/>
      <c r="E1184" s="46"/>
      <c r="F1184" s="46"/>
      <c r="G1184" s="46"/>
      <c r="H1184" s="46"/>
      <c r="I1184" s="46"/>
      <c r="J1184" s="46"/>
      <c r="K1184" s="46"/>
      <c r="L1184" s="46"/>
      <c r="M1184" s="46"/>
      <c r="N1184" s="46"/>
      <c r="O1184" s="46"/>
      <c r="P1184" s="46"/>
      <c r="Q1184" s="46"/>
      <c r="R1184" s="46"/>
      <c r="S1184" s="46"/>
      <c r="T1184" s="46"/>
      <c r="U1184" s="46"/>
      <c r="V1184" s="46"/>
      <c r="W1184" s="46"/>
      <c r="X1184" s="46"/>
    </row>
    <row r="1185" spans="1:24" x14ac:dyDescent="0.2">
      <c r="A1185" s="45"/>
      <c r="B1185" s="46"/>
      <c r="C1185" s="46"/>
      <c r="D1185" s="46"/>
      <c r="E1185" s="46"/>
      <c r="F1185" s="46"/>
      <c r="G1185" s="46"/>
      <c r="H1185" s="46"/>
      <c r="I1185" s="46"/>
      <c r="J1185" s="46"/>
      <c r="K1185" s="46"/>
      <c r="L1185" s="46"/>
      <c r="M1185" s="46"/>
      <c r="N1185" s="46"/>
      <c r="O1185" s="46"/>
      <c r="P1185" s="46"/>
      <c r="Q1185" s="46"/>
      <c r="R1185" s="46"/>
      <c r="S1185" s="46"/>
      <c r="T1185" s="46"/>
      <c r="U1185" s="46"/>
      <c r="V1185" s="46"/>
      <c r="W1185" s="46"/>
      <c r="X1185" s="46"/>
    </row>
    <row r="1186" spans="1:24" x14ac:dyDescent="0.2">
      <c r="A1186" s="45"/>
      <c r="B1186" s="46"/>
      <c r="C1186" s="46"/>
      <c r="D1186" s="46"/>
      <c r="E1186" s="46"/>
      <c r="F1186" s="46"/>
      <c r="G1186" s="46"/>
      <c r="H1186" s="46"/>
      <c r="I1186" s="46"/>
      <c r="J1186" s="46"/>
      <c r="K1186" s="46"/>
      <c r="L1186" s="46"/>
      <c r="M1186" s="46"/>
      <c r="N1186" s="46"/>
      <c r="O1186" s="46"/>
      <c r="P1186" s="46"/>
      <c r="Q1186" s="46"/>
      <c r="R1186" s="46"/>
      <c r="S1186" s="46"/>
      <c r="T1186" s="46"/>
      <c r="U1186" s="46"/>
      <c r="V1186" s="46"/>
      <c r="W1186" s="46"/>
      <c r="X1186" s="46"/>
    </row>
    <row r="1187" spans="1:24" x14ac:dyDescent="0.2">
      <c r="A1187" s="45"/>
      <c r="B1187" s="46"/>
      <c r="C1187" s="46"/>
      <c r="D1187" s="46"/>
      <c r="E1187" s="46"/>
      <c r="F1187" s="46"/>
      <c r="G1187" s="46"/>
      <c r="H1187" s="46"/>
      <c r="I1187" s="46"/>
      <c r="J1187" s="46"/>
      <c r="K1187" s="46"/>
      <c r="L1187" s="46"/>
      <c r="M1187" s="46"/>
      <c r="N1187" s="46"/>
      <c r="O1187" s="46"/>
      <c r="P1187" s="46"/>
      <c r="Q1187" s="46"/>
      <c r="R1187" s="46"/>
      <c r="S1187" s="46"/>
      <c r="T1187" s="46"/>
      <c r="U1187" s="46"/>
      <c r="V1187" s="46"/>
      <c r="W1187" s="46"/>
      <c r="X1187" s="46"/>
    </row>
    <row r="1188" spans="1:24" x14ac:dyDescent="0.2">
      <c r="A1188" s="45"/>
      <c r="B1188" s="46"/>
      <c r="C1188" s="46"/>
      <c r="D1188" s="46"/>
      <c r="E1188" s="46"/>
      <c r="F1188" s="46"/>
      <c r="G1188" s="46"/>
      <c r="H1188" s="46"/>
      <c r="I1188" s="46"/>
      <c r="J1188" s="46"/>
      <c r="K1188" s="46"/>
      <c r="L1188" s="46"/>
      <c r="M1188" s="46"/>
      <c r="N1188" s="46"/>
      <c r="O1188" s="46"/>
      <c r="P1188" s="46"/>
      <c r="Q1188" s="46"/>
      <c r="R1188" s="46"/>
      <c r="S1188" s="46"/>
      <c r="T1188" s="46"/>
      <c r="U1188" s="46"/>
      <c r="V1188" s="46"/>
      <c r="W1188" s="46"/>
      <c r="X1188" s="46"/>
    </row>
    <row r="1189" spans="1:24" x14ac:dyDescent="0.2">
      <c r="A1189" s="45"/>
      <c r="B1189" s="46"/>
      <c r="C1189" s="46"/>
      <c r="D1189" s="46"/>
      <c r="E1189" s="46"/>
      <c r="F1189" s="46"/>
      <c r="G1189" s="46"/>
      <c r="H1189" s="46"/>
      <c r="I1189" s="46"/>
      <c r="J1189" s="46"/>
      <c r="K1189" s="46"/>
      <c r="L1189" s="46"/>
      <c r="M1189" s="46"/>
      <c r="N1189" s="46"/>
      <c r="O1189" s="46"/>
      <c r="P1189" s="46"/>
      <c r="Q1189" s="46"/>
      <c r="R1189" s="46"/>
      <c r="S1189" s="46"/>
      <c r="T1189" s="46"/>
      <c r="U1189" s="46"/>
      <c r="V1189" s="46"/>
      <c r="W1189" s="46"/>
      <c r="X1189" s="46"/>
    </row>
    <row r="1190" spans="1:24" x14ac:dyDescent="0.2">
      <c r="A1190" s="45"/>
      <c r="B1190" s="46"/>
      <c r="C1190" s="46"/>
      <c r="D1190" s="46"/>
      <c r="E1190" s="46"/>
      <c r="F1190" s="46"/>
      <c r="G1190" s="46"/>
      <c r="H1190" s="46"/>
      <c r="I1190" s="46"/>
      <c r="J1190" s="46"/>
      <c r="K1190" s="46"/>
      <c r="L1190" s="46"/>
      <c r="M1190" s="46"/>
      <c r="N1190" s="46"/>
      <c r="O1190" s="46"/>
      <c r="P1190" s="46"/>
      <c r="Q1190" s="46"/>
      <c r="R1190" s="46"/>
      <c r="S1190" s="46"/>
      <c r="T1190" s="46"/>
      <c r="U1190" s="46"/>
      <c r="V1190" s="46"/>
      <c r="W1190" s="46"/>
      <c r="X1190" s="46"/>
    </row>
    <row r="1191" spans="1:24" x14ac:dyDescent="0.2">
      <c r="A1191" s="45"/>
      <c r="B1191" s="46"/>
      <c r="C1191" s="46"/>
      <c r="D1191" s="46"/>
      <c r="E1191" s="46"/>
      <c r="F1191" s="46"/>
      <c r="G1191" s="46"/>
      <c r="H1191" s="46"/>
      <c r="I1191" s="46"/>
      <c r="J1191" s="46"/>
      <c r="K1191" s="46"/>
      <c r="L1191" s="46"/>
      <c r="M1191" s="46"/>
      <c r="N1191" s="46"/>
      <c r="O1191" s="46"/>
      <c r="P1191" s="46"/>
      <c r="Q1191" s="46"/>
      <c r="R1191" s="46"/>
      <c r="S1191" s="46"/>
      <c r="T1191" s="46"/>
      <c r="U1191" s="46"/>
      <c r="V1191" s="46"/>
      <c r="W1191" s="46"/>
      <c r="X1191" s="46"/>
    </row>
    <row r="1192" spans="1:24" x14ac:dyDescent="0.2">
      <c r="A1192" s="45"/>
      <c r="B1192" s="46"/>
      <c r="C1192" s="46"/>
      <c r="D1192" s="46"/>
      <c r="E1192" s="46"/>
      <c r="F1192" s="46"/>
      <c r="G1192" s="46"/>
      <c r="H1192" s="46"/>
      <c r="I1192" s="46"/>
      <c r="J1192" s="46"/>
      <c r="K1192" s="46"/>
      <c r="L1192" s="46"/>
      <c r="M1192" s="46"/>
      <c r="N1192" s="46"/>
      <c r="O1192" s="46"/>
      <c r="P1192" s="46"/>
      <c r="Q1192" s="46"/>
      <c r="R1192" s="46"/>
      <c r="S1192" s="46"/>
      <c r="T1192" s="46"/>
      <c r="U1192" s="46"/>
      <c r="V1192" s="46"/>
      <c r="W1192" s="46"/>
      <c r="X1192" s="46"/>
    </row>
    <row r="1193" spans="1:24" x14ac:dyDescent="0.2">
      <c r="A1193" s="45"/>
      <c r="B1193" s="46"/>
      <c r="C1193" s="46"/>
      <c r="D1193" s="46"/>
      <c r="E1193" s="46"/>
      <c r="F1193" s="46"/>
      <c r="G1193" s="46"/>
      <c r="H1193" s="46"/>
      <c r="I1193" s="46"/>
      <c r="J1193" s="46"/>
      <c r="K1193" s="46"/>
      <c r="L1193" s="46"/>
      <c r="M1193" s="46"/>
      <c r="N1193" s="46"/>
      <c r="O1193" s="46"/>
      <c r="P1193" s="46"/>
      <c r="Q1193" s="46"/>
      <c r="R1193" s="46"/>
      <c r="S1193" s="46"/>
      <c r="T1193" s="46"/>
      <c r="U1193" s="46"/>
      <c r="V1193" s="46"/>
      <c r="W1193" s="46"/>
      <c r="X1193" s="46"/>
    </row>
    <row r="1194" spans="1:24" x14ac:dyDescent="0.2">
      <c r="A1194" s="45"/>
      <c r="B1194" s="46"/>
      <c r="C1194" s="46"/>
      <c r="D1194" s="46"/>
      <c r="E1194" s="46"/>
      <c r="F1194" s="46"/>
      <c r="G1194" s="46"/>
      <c r="H1194" s="46"/>
      <c r="I1194" s="46"/>
      <c r="J1194" s="46"/>
      <c r="K1194" s="46"/>
      <c r="L1194" s="46"/>
      <c r="M1194" s="46"/>
      <c r="N1194" s="46"/>
      <c r="O1194" s="46"/>
      <c r="P1194" s="46"/>
      <c r="Q1194" s="46"/>
      <c r="R1194" s="46"/>
      <c r="S1194" s="46"/>
      <c r="T1194" s="46"/>
      <c r="U1194" s="46"/>
      <c r="V1194" s="46"/>
      <c r="W1194" s="46"/>
      <c r="X1194" s="46"/>
    </row>
    <row r="1195" spans="1:24" x14ac:dyDescent="0.2">
      <c r="A1195" s="45"/>
      <c r="B1195" s="46"/>
      <c r="C1195" s="46"/>
      <c r="D1195" s="46"/>
      <c r="E1195" s="46"/>
      <c r="F1195" s="46"/>
      <c r="G1195" s="46"/>
      <c r="H1195" s="46"/>
      <c r="I1195" s="46"/>
      <c r="J1195" s="46"/>
      <c r="K1195" s="46"/>
      <c r="L1195" s="46"/>
      <c r="M1195" s="46"/>
      <c r="N1195" s="46"/>
      <c r="O1195" s="46"/>
      <c r="P1195" s="46"/>
      <c r="Q1195" s="46"/>
      <c r="R1195" s="46"/>
      <c r="S1195" s="46"/>
      <c r="T1195" s="46"/>
      <c r="U1195" s="46"/>
      <c r="V1195" s="46"/>
      <c r="W1195" s="46"/>
      <c r="X1195" s="46"/>
    </row>
    <row r="1196" spans="1:24" x14ac:dyDescent="0.2">
      <c r="A1196" s="45"/>
      <c r="B1196" s="46"/>
      <c r="C1196" s="46"/>
      <c r="D1196" s="46"/>
      <c r="E1196" s="46"/>
      <c r="F1196" s="46"/>
      <c r="G1196" s="46"/>
      <c r="H1196" s="46"/>
      <c r="I1196" s="46"/>
      <c r="J1196" s="46"/>
      <c r="K1196" s="46"/>
      <c r="L1196" s="46"/>
      <c r="M1196" s="46"/>
      <c r="N1196" s="46"/>
      <c r="O1196" s="46"/>
      <c r="P1196" s="46"/>
      <c r="Q1196" s="46"/>
      <c r="R1196" s="46"/>
      <c r="S1196" s="46"/>
      <c r="T1196" s="46"/>
      <c r="U1196" s="46"/>
      <c r="V1196" s="46"/>
      <c r="W1196" s="46"/>
      <c r="X1196" s="46"/>
    </row>
    <row r="1197" spans="1:24" x14ac:dyDescent="0.2">
      <c r="A1197" s="45"/>
      <c r="B1197" s="46"/>
      <c r="C1197" s="46"/>
      <c r="D1197" s="46"/>
      <c r="E1197" s="46"/>
      <c r="F1197" s="46"/>
      <c r="G1197" s="46"/>
      <c r="H1197" s="46"/>
      <c r="I1197" s="46"/>
      <c r="J1197" s="46"/>
      <c r="K1197" s="46"/>
      <c r="L1197" s="46"/>
      <c r="M1197" s="46"/>
      <c r="N1197" s="46"/>
      <c r="O1197" s="46"/>
      <c r="P1197" s="46"/>
      <c r="Q1197" s="46"/>
      <c r="R1197" s="46"/>
      <c r="S1197" s="46"/>
      <c r="T1197" s="46"/>
      <c r="U1197" s="46"/>
      <c r="V1197" s="46"/>
      <c r="W1197" s="46"/>
      <c r="X1197" s="46"/>
    </row>
    <row r="1198" spans="1:24" x14ac:dyDescent="0.2">
      <c r="A1198" s="45"/>
      <c r="B1198" s="46"/>
      <c r="C1198" s="46"/>
      <c r="D1198" s="46"/>
      <c r="E1198" s="46"/>
      <c r="F1198" s="46"/>
      <c r="G1198" s="46"/>
      <c r="H1198" s="46"/>
      <c r="I1198" s="46"/>
      <c r="J1198" s="46"/>
      <c r="K1198" s="46"/>
      <c r="L1198" s="46"/>
      <c r="M1198" s="46"/>
      <c r="N1198" s="46"/>
      <c r="O1198" s="46"/>
      <c r="P1198" s="46"/>
      <c r="Q1198" s="46"/>
      <c r="R1198" s="46"/>
      <c r="S1198" s="46"/>
      <c r="T1198" s="46"/>
      <c r="U1198" s="46"/>
      <c r="V1198" s="46"/>
      <c r="W1198" s="46"/>
      <c r="X1198" s="46"/>
    </row>
    <row r="1199" spans="1:24" x14ac:dyDescent="0.2">
      <c r="A1199" s="45"/>
      <c r="B1199" s="46"/>
      <c r="C1199" s="46"/>
      <c r="D1199" s="46"/>
      <c r="E1199" s="46"/>
      <c r="F1199" s="46"/>
      <c r="G1199" s="46"/>
      <c r="H1199" s="46"/>
      <c r="I1199" s="46"/>
      <c r="J1199" s="46"/>
      <c r="K1199" s="46"/>
      <c r="L1199" s="46"/>
      <c r="M1199" s="46"/>
      <c r="N1199" s="46"/>
      <c r="O1199" s="46"/>
      <c r="P1199" s="46"/>
      <c r="Q1199" s="46"/>
      <c r="R1199" s="46"/>
      <c r="S1199" s="46"/>
      <c r="T1199" s="46"/>
      <c r="U1199" s="46"/>
      <c r="V1199" s="46"/>
      <c r="W1199" s="46"/>
      <c r="X1199" s="46"/>
    </row>
    <row r="1200" spans="1:24" x14ac:dyDescent="0.2">
      <c r="A1200" s="45"/>
      <c r="B1200" s="46"/>
      <c r="C1200" s="46"/>
      <c r="D1200" s="46"/>
      <c r="E1200" s="46"/>
      <c r="F1200" s="46"/>
      <c r="G1200" s="46"/>
      <c r="H1200" s="46"/>
      <c r="I1200" s="46"/>
      <c r="J1200" s="46"/>
      <c r="K1200" s="46"/>
      <c r="L1200" s="46"/>
      <c r="M1200" s="46"/>
      <c r="N1200" s="46"/>
      <c r="O1200" s="46"/>
      <c r="P1200" s="46"/>
      <c r="Q1200" s="46"/>
      <c r="R1200" s="46"/>
      <c r="S1200" s="46"/>
      <c r="T1200" s="46"/>
      <c r="U1200" s="46"/>
      <c r="V1200" s="46"/>
      <c r="W1200" s="46"/>
      <c r="X1200" s="46"/>
    </row>
    <row r="1201" spans="1:24" x14ac:dyDescent="0.2">
      <c r="A1201" s="45"/>
      <c r="B1201" s="46"/>
      <c r="C1201" s="46"/>
      <c r="D1201" s="46"/>
      <c r="E1201" s="46"/>
      <c r="F1201" s="46"/>
      <c r="G1201" s="46"/>
      <c r="H1201" s="46"/>
      <c r="I1201" s="46"/>
      <c r="J1201" s="46"/>
      <c r="K1201" s="46"/>
      <c r="L1201" s="46"/>
      <c r="M1201" s="46"/>
      <c r="N1201" s="46"/>
      <c r="O1201" s="46"/>
      <c r="P1201" s="46"/>
      <c r="Q1201" s="46"/>
      <c r="R1201" s="46"/>
      <c r="S1201" s="46"/>
      <c r="T1201" s="46"/>
      <c r="U1201" s="46"/>
      <c r="V1201" s="46"/>
      <c r="W1201" s="46"/>
      <c r="X1201" s="46"/>
    </row>
    <row r="1202" spans="1:24" x14ac:dyDescent="0.2">
      <c r="A1202" s="45"/>
      <c r="B1202" s="46"/>
      <c r="C1202" s="46"/>
      <c r="D1202" s="46"/>
      <c r="E1202" s="46"/>
      <c r="F1202" s="46"/>
      <c r="G1202" s="46"/>
      <c r="H1202" s="46"/>
      <c r="I1202" s="46"/>
      <c r="J1202" s="46"/>
      <c r="K1202" s="46"/>
      <c r="L1202" s="46"/>
      <c r="M1202" s="46"/>
      <c r="N1202" s="46"/>
      <c r="O1202" s="46"/>
      <c r="P1202" s="46"/>
      <c r="Q1202" s="46"/>
      <c r="R1202" s="46"/>
      <c r="S1202" s="46"/>
      <c r="T1202" s="46"/>
      <c r="U1202" s="46"/>
      <c r="V1202" s="46"/>
      <c r="W1202" s="46"/>
      <c r="X1202" s="46"/>
    </row>
    <row r="1203" spans="1:24" x14ac:dyDescent="0.2">
      <c r="A1203" s="45"/>
      <c r="B1203" s="46"/>
      <c r="C1203" s="46"/>
      <c r="D1203" s="46"/>
      <c r="E1203" s="46"/>
      <c r="F1203" s="46"/>
      <c r="G1203" s="46"/>
      <c r="H1203" s="46"/>
      <c r="I1203" s="46"/>
      <c r="J1203" s="46"/>
      <c r="K1203" s="46"/>
      <c r="L1203" s="46"/>
      <c r="M1203" s="46"/>
      <c r="N1203" s="46"/>
      <c r="O1203" s="46"/>
      <c r="P1203" s="46"/>
      <c r="Q1203" s="46"/>
      <c r="R1203" s="46"/>
      <c r="S1203" s="46"/>
      <c r="T1203" s="46"/>
      <c r="U1203" s="46"/>
      <c r="V1203" s="46"/>
      <c r="W1203" s="46"/>
      <c r="X1203" s="46"/>
    </row>
    <row r="1204" spans="1:24" x14ac:dyDescent="0.2">
      <c r="A1204" s="45"/>
      <c r="B1204" s="46"/>
      <c r="C1204" s="46"/>
      <c r="D1204" s="46"/>
      <c r="E1204" s="46"/>
      <c r="F1204" s="46"/>
      <c r="G1204" s="46"/>
      <c r="H1204" s="46"/>
      <c r="I1204" s="46"/>
      <c r="J1204" s="46"/>
      <c r="K1204" s="46"/>
      <c r="L1204" s="46"/>
      <c r="M1204" s="46"/>
      <c r="N1204" s="46"/>
      <c r="O1204" s="46"/>
      <c r="P1204" s="46"/>
      <c r="Q1204" s="46"/>
      <c r="R1204" s="46"/>
      <c r="S1204" s="46"/>
      <c r="T1204" s="46"/>
      <c r="U1204" s="46"/>
      <c r="V1204" s="46"/>
      <c r="W1204" s="46"/>
      <c r="X1204" s="46"/>
    </row>
    <row r="1205" spans="1:24" x14ac:dyDescent="0.2">
      <c r="A1205" s="45"/>
      <c r="B1205" s="46"/>
      <c r="C1205" s="46"/>
      <c r="D1205" s="46"/>
      <c r="E1205" s="46"/>
      <c r="F1205" s="46"/>
      <c r="G1205" s="46"/>
      <c r="H1205" s="46"/>
      <c r="I1205" s="46"/>
      <c r="J1205" s="46"/>
      <c r="K1205" s="46"/>
      <c r="L1205" s="46"/>
      <c r="M1205" s="46"/>
      <c r="N1205" s="46"/>
      <c r="O1205" s="46"/>
      <c r="P1205" s="46"/>
      <c r="Q1205" s="46"/>
      <c r="R1205" s="46"/>
      <c r="S1205" s="46"/>
      <c r="T1205" s="46"/>
      <c r="U1205" s="46"/>
      <c r="V1205" s="46"/>
      <c r="W1205" s="46"/>
      <c r="X1205" s="46"/>
    </row>
    <row r="1206" spans="1:24" x14ac:dyDescent="0.2">
      <c r="A1206" s="45"/>
      <c r="B1206" s="46"/>
      <c r="C1206" s="46"/>
      <c r="D1206" s="46"/>
      <c r="E1206" s="46"/>
      <c r="F1206" s="46"/>
      <c r="G1206" s="46"/>
      <c r="H1206" s="46"/>
      <c r="I1206" s="46"/>
      <c r="J1206" s="46"/>
      <c r="K1206" s="46"/>
      <c r="L1206" s="46"/>
      <c r="M1206" s="46"/>
      <c r="N1206" s="46"/>
      <c r="O1206" s="46"/>
      <c r="P1206" s="46"/>
      <c r="Q1206" s="46"/>
      <c r="R1206" s="46"/>
      <c r="S1206" s="46"/>
      <c r="T1206" s="46"/>
      <c r="U1206" s="46"/>
      <c r="V1206" s="46"/>
      <c r="W1206" s="46"/>
      <c r="X1206" s="46"/>
    </row>
    <row r="1207" spans="1:24" x14ac:dyDescent="0.2">
      <c r="A1207" s="45"/>
      <c r="B1207" s="46"/>
      <c r="C1207" s="46"/>
      <c r="D1207" s="46"/>
      <c r="E1207" s="46"/>
      <c r="F1207" s="46"/>
      <c r="G1207" s="46"/>
      <c r="H1207" s="46"/>
      <c r="I1207" s="46"/>
      <c r="J1207" s="46"/>
      <c r="K1207" s="46"/>
      <c r="L1207" s="46"/>
      <c r="M1207" s="46"/>
      <c r="N1207" s="46"/>
      <c r="O1207" s="46"/>
      <c r="P1207" s="46"/>
      <c r="Q1207" s="46"/>
      <c r="R1207" s="46"/>
      <c r="S1207" s="46"/>
      <c r="T1207" s="46"/>
      <c r="U1207" s="46"/>
      <c r="V1207" s="46"/>
      <c r="W1207" s="46"/>
      <c r="X1207" s="46"/>
    </row>
    <row r="1208" spans="1:24" x14ac:dyDescent="0.2">
      <c r="A1208" s="45"/>
      <c r="B1208" s="46"/>
      <c r="C1208" s="46"/>
      <c r="D1208" s="46"/>
      <c r="E1208" s="46"/>
      <c r="F1208" s="46"/>
      <c r="G1208" s="46"/>
      <c r="H1208" s="46"/>
      <c r="I1208" s="46"/>
      <c r="J1208" s="46"/>
      <c r="K1208" s="46"/>
      <c r="L1208" s="46"/>
      <c r="M1208" s="46"/>
      <c r="N1208" s="46"/>
      <c r="O1208" s="46"/>
      <c r="P1208" s="46"/>
      <c r="Q1208" s="46"/>
      <c r="R1208" s="46"/>
      <c r="S1208" s="46"/>
      <c r="T1208" s="46"/>
      <c r="U1208" s="46"/>
      <c r="V1208" s="46"/>
      <c r="W1208" s="46"/>
      <c r="X1208" s="46"/>
    </row>
    <row r="1209" spans="1:24" x14ac:dyDescent="0.2">
      <c r="A1209" s="45"/>
      <c r="B1209" s="46"/>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46"/>
    </row>
    <row r="1210" spans="1:24" x14ac:dyDescent="0.2">
      <c r="A1210" s="45"/>
      <c r="B1210" s="46"/>
      <c r="C1210" s="46"/>
      <c r="D1210" s="46"/>
      <c r="E1210" s="46"/>
      <c r="F1210" s="46"/>
      <c r="G1210" s="46"/>
      <c r="H1210" s="46"/>
      <c r="I1210" s="46"/>
      <c r="J1210" s="46"/>
      <c r="K1210" s="46"/>
      <c r="L1210" s="46"/>
      <c r="M1210" s="46"/>
      <c r="N1210" s="46"/>
      <c r="O1210" s="46"/>
      <c r="P1210" s="46"/>
      <c r="Q1210" s="46"/>
      <c r="R1210" s="46"/>
      <c r="S1210" s="46"/>
      <c r="T1210" s="46"/>
      <c r="U1210" s="46"/>
      <c r="V1210" s="46"/>
      <c r="W1210" s="46"/>
      <c r="X1210" s="46"/>
    </row>
    <row r="1211" spans="1:24" x14ac:dyDescent="0.2">
      <c r="A1211" s="45"/>
      <c r="B1211" s="46"/>
      <c r="C1211" s="46"/>
      <c r="D1211" s="46"/>
      <c r="E1211" s="46"/>
      <c r="F1211" s="46"/>
      <c r="G1211" s="46"/>
      <c r="H1211" s="46"/>
      <c r="I1211" s="46"/>
      <c r="J1211" s="46"/>
      <c r="K1211" s="46"/>
      <c r="L1211" s="46"/>
      <c r="M1211" s="46"/>
      <c r="N1211" s="46"/>
      <c r="O1211" s="46"/>
      <c r="P1211" s="46"/>
      <c r="Q1211" s="46"/>
      <c r="R1211" s="46"/>
      <c r="S1211" s="46"/>
      <c r="T1211" s="46"/>
      <c r="U1211" s="46"/>
      <c r="V1211" s="46"/>
      <c r="W1211" s="46"/>
      <c r="X1211" s="46"/>
    </row>
    <row r="1212" spans="1:24" x14ac:dyDescent="0.2">
      <c r="A1212" s="45"/>
      <c r="B1212" s="46"/>
      <c r="C1212" s="46"/>
      <c r="D1212" s="46"/>
      <c r="E1212" s="46"/>
      <c r="F1212" s="46"/>
      <c r="G1212" s="46"/>
      <c r="H1212" s="46"/>
      <c r="I1212" s="46"/>
      <c r="J1212" s="46"/>
      <c r="K1212" s="46"/>
      <c r="L1212" s="46"/>
      <c r="M1212" s="46"/>
      <c r="N1212" s="46"/>
      <c r="O1212" s="46"/>
      <c r="P1212" s="46"/>
      <c r="Q1212" s="46"/>
      <c r="R1212" s="46"/>
      <c r="S1212" s="46"/>
      <c r="T1212" s="46"/>
      <c r="U1212" s="46"/>
      <c r="V1212" s="46"/>
      <c r="W1212" s="46"/>
      <c r="X1212" s="46"/>
    </row>
    <row r="1213" spans="1:24" x14ac:dyDescent="0.2">
      <c r="A1213" s="45"/>
      <c r="B1213" s="46"/>
      <c r="C1213" s="46"/>
      <c r="D1213" s="46"/>
      <c r="E1213" s="46"/>
      <c r="F1213" s="46"/>
      <c r="G1213" s="46"/>
      <c r="H1213" s="46"/>
      <c r="I1213" s="46"/>
      <c r="J1213" s="46"/>
      <c r="K1213" s="46"/>
      <c r="L1213" s="46"/>
      <c r="M1213" s="46"/>
      <c r="N1213" s="46"/>
      <c r="O1213" s="46"/>
      <c r="P1213" s="46"/>
      <c r="Q1213" s="46"/>
      <c r="R1213" s="46"/>
      <c r="S1213" s="46"/>
      <c r="T1213" s="46"/>
      <c r="U1213" s="46"/>
      <c r="V1213" s="46"/>
      <c r="W1213" s="46"/>
      <c r="X1213" s="46"/>
    </row>
    <row r="1214" spans="1:24" x14ac:dyDescent="0.2">
      <c r="A1214" s="45"/>
      <c r="B1214" s="46"/>
      <c r="C1214" s="46"/>
      <c r="D1214" s="46"/>
      <c r="E1214" s="46"/>
      <c r="F1214" s="46"/>
      <c r="G1214" s="46"/>
      <c r="H1214" s="46"/>
      <c r="I1214" s="46"/>
      <c r="J1214" s="46"/>
      <c r="K1214" s="46"/>
      <c r="L1214" s="46"/>
      <c r="M1214" s="46"/>
      <c r="N1214" s="46"/>
      <c r="O1214" s="46"/>
      <c r="P1214" s="46"/>
      <c r="Q1214" s="46"/>
      <c r="R1214" s="46"/>
      <c r="S1214" s="46"/>
      <c r="T1214" s="46"/>
      <c r="U1214" s="46"/>
      <c r="V1214" s="46"/>
      <c r="W1214" s="46"/>
      <c r="X1214" s="46"/>
    </row>
    <row r="1215" spans="1:24" x14ac:dyDescent="0.2">
      <c r="A1215" s="45"/>
      <c r="B1215" s="46"/>
      <c r="C1215" s="46"/>
      <c r="D1215" s="46"/>
      <c r="E1215" s="46"/>
      <c r="F1215" s="46"/>
      <c r="G1215" s="46"/>
      <c r="H1215" s="46"/>
      <c r="I1215" s="46"/>
      <c r="J1215" s="46"/>
      <c r="K1215" s="46"/>
      <c r="L1215" s="46"/>
      <c r="M1215" s="46"/>
      <c r="N1215" s="46"/>
      <c r="O1215" s="46"/>
      <c r="P1215" s="46"/>
      <c r="Q1215" s="46"/>
      <c r="R1215" s="46"/>
      <c r="S1215" s="46"/>
      <c r="T1215" s="46"/>
      <c r="U1215" s="46"/>
      <c r="V1215" s="46"/>
      <c r="W1215" s="46"/>
      <c r="X1215" s="46"/>
    </row>
    <row r="1216" spans="1:24" x14ac:dyDescent="0.2">
      <c r="A1216" s="45"/>
      <c r="B1216" s="46"/>
      <c r="C1216" s="46"/>
      <c r="D1216" s="46"/>
      <c r="E1216" s="46"/>
      <c r="F1216" s="46"/>
      <c r="G1216" s="46"/>
      <c r="H1216" s="46"/>
      <c r="I1216" s="46"/>
      <c r="J1216" s="46"/>
      <c r="K1216" s="46"/>
      <c r="L1216" s="46"/>
      <c r="M1216" s="46"/>
      <c r="N1216" s="46"/>
      <c r="O1216" s="46"/>
      <c r="P1216" s="46"/>
      <c r="Q1216" s="46"/>
      <c r="R1216" s="46"/>
      <c r="S1216" s="46"/>
      <c r="T1216" s="46"/>
      <c r="U1216" s="46"/>
      <c r="V1216" s="46"/>
      <c r="W1216" s="46"/>
      <c r="X1216" s="46"/>
    </row>
    <row r="1217" spans="1:24" x14ac:dyDescent="0.2">
      <c r="A1217" s="45"/>
      <c r="B1217" s="46"/>
      <c r="C1217" s="46"/>
      <c r="D1217" s="46"/>
      <c r="E1217" s="46"/>
      <c r="F1217" s="46"/>
      <c r="G1217" s="46"/>
      <c r="H1217" s="46"/>
      <c r="I1217" s="46"/>
      <c r="J1217" s="46"/>
      <c r="K1217" s="46"/>
      <c r="L1217" s="46"/>
      <c r="M1217" s="46"/>
      <c r="N1217" s="46"/>
      <c r="O1217" s="46"/>
      <c r="P1217" s="46"/>
      <c r="Q1217" s="46"/>
      <c r="R1217" s="46"/>
      <c r="S1217" s="46"/>
      <c r="T1217" s="46"/>
      <c r="U1217" s="46"/>
      <c r="V1217" s="46"/>
      <c r="W1217" s="46"/>
      <c r="X1217" s="46"/>
    </row>
    <row r="1218" spans="1:24" x14ac:dyDescent="0.2">
      <c r="A1218" s="45"/>
      <c r="B1218" s="46"/>
      <c r="C1218" s="46"/>
      <c r="D1218" s="46"/>
      <c r="E1218" s="46"/>
      <c r="F1218" s="46"/>
      <c r="G1218" s="46"/>
      <c r="H1218" s="46"/>
      <c r="I1218" s="46"/>
      <c r="J1218" s="46"/>
      <c r="K1218" s="46"/>
      <c r="L1218" s="46"/>
      <c r="M1218" s="46"/>
      <c r="N1218" s="46"/>
      <c r="O1218" s="46"/>
      <c r="P1218" s="46"/>
      <c r="Q1218" s="46"/>
      <c r="R1218" s="46"/>
      <c r="S1218" s="46"/>
      <c r="T1218" s="46"/>
      <c r="U1218" s="46"/>
      <c r="V1218" s="46"/>
      <c r="W1218" s="46"/>
      <c r="X1218" s="46"/>
    </row>
    <row r="1219" spans="1:24" x14ac:dyDescent="0.2">
      <c r="A1219" s="45"/>
      <c r="B1219" s="46"/>
      <c r="C1219" s="46"/>
      <c r="D1219" s="46"/>
      <c r="E1219" s="46"/>
      <c r="F1219" s="46"/>
      <c r="G1219" s="46"/>
      <c r="H1219" s="46"/>
      <c r="I1219" s="46"/>
      <c r="J1219" s="46"/>
      <c r="K1219" s="46"/>
      <c r="L1219" s="46"/>
      <c r="M1219" s="46"/>
      <c r="N1219" s="46"/>
      <c r="O1219" s="46"/>
      <c r="P1219" s="46"/>
      <c r="Q1219" s="46"/>
      <c r="R1219" s="46"/>
      <c r="S1219" s="46"/>
      <c r="T1219" s="46"/>
      <c r="U1219" s="46"/>
      <c r="V1219" s="46"/>
      <c r="W1219" s="46"/>
      <c r="X1219" s="46"/>
    </row>
    <row r="1220" spans="1:24" x14ac:dyDescent="0.2">
      <c r="A1220" s="45"/>
      <c r="B1220" s="46"/>
      <c r="C1220" s="46"/>
      <c r="D1220" s="46"/>
      <c r="E1220" s="46"/>
      <c r="F1220" s="46"/>
      <c r="G1220" s="46"/>
      <c r="H1220" s="46"/>
      <c r="I1220" s="46"/>
      <c r="J1220" s="46"/>
      <c r="K1220" s="46"/>
      <c r="L1220" s="46"/>
      <c r="M1220" s="46"/>
      <c r="N1220" s="46"/>
      <c r="O1220" s="46"/>
      <c r="P1220" s="46"/>
      <c r="Q1220" s="46"/>
      <c r="R1220" s="46"/>
      <c r="S1220" s="46"/>
      <c r="T1220" s="46"/>
      <c r="U1220" s="46"/>
      <c r="V1220" s="46"/>
      <c r="W1220" s="46"/>
      <c r="X1220" s="46"/>
    </row>
    <row r="1221" spans="1:24" x14ac:dyDescent="0.2">
      <c r="A1221" s="45"/>
      <c r="B1221" s="46"/>
      <c r="C1221" s="46"/>
      <c r="D1221" s="46"/>
      <c r="E1221" s="46"/>
      <c r="F1221" s="46"/>
      <c r="G1221" s="46"/>
      <c r="H1221" s="46"/>
      <c r="I1221" s="46"/>
      <c r="J1221" s="46"/>
      <c r="K1221" s="46"/>
      <c r="L1221" s="46"/>
      <c r="M1221" s="46"/>
      <c r="N1221" s="46"/>
      <c r="O1221" s="46"/>
      <c r="P1221" s="46"/>
      <c r="Q1221" s="46"/>
      <c r="R1221" s="46"/>
      <c r="S1221" s="46"/>
      <c r="T1221" s="46"/>
      <c r="U1221" s="46"/>
      <c r="V1221" s="46"/>
      <c r="W1221" s="46"/>
      <c r="X1221" s="46"/>
    </row>
    <row r="1222" spans="1:24" x14ac:dyDescent="0.2">
      <c r="A1222" s="45"/>
      <c r="B1222" s="46"/>
      <c r="C1222" s="46"/>
      <c r="D1222" s="46"/>
      <c r="E1222" s="46"/>
      <c r="F1222" s="46"/>
      <c r="G1222" s="46"/>
      <c r="H1222" s="46"/>
      <c r="I1222" s="46"/>
      <c r="J1222" s="46"/>
      <c r="K1222" s="46"/>
      <c r="L1222" s="46"/>
      <c r="M1222" s="46"/>
      <c r="N1222" s="46"/>
      <c r="O1222" s="46"/>
      <c r="P1222" s="46"/>
      <c r="Q1222" s="46"/>
      <c r="R1222" s="46"/>
      <c r="S1222" s="46"/>
      <c r="T1222" s="46"/>
      <c r="U1222" s="46"/>
      <c r="V1222" s="46"/>
      <c r="W1222" s="46"/>
      <c r="X1222" s="46"/>
    </row>
    <row r="1223" spans="1:24" x14ac:dyDescent="0.2">
      <c r="A1223" s="45"/>
      <c r="B1223" s="46"/>
      <c r="C1223" s="46"/>
      <c r="D1223" s="46"/>
      <c r="E1223" s="46"/>
      <c r="F1223" s="46"/>
      <c r="G1223" s="46"/>
      <c r="H1223" s="46"/>
      <c r="I1223" s="46"/>
      <c r="J1223" s="46"/>
      <c r="K1223" s="46"/>
      <c r="L1223" s="46"/>
      <c r="M1223" s="46"/>
      <c r="N1223" s="46"/>
      <c r="O1223" s="46"/>
      <c r="P1223" s="46"/>
      <c r="Q1223" s="46"/>
      <c r="R1223" s="46"/>
      <c r="S1223" s="46"/>
      <c r="T1223" s="46"/>
      <c r="U1223" s="46"/>
      <c r="V1223" s="46"/>
      <c r="W1223" s="46"/>
      <c r="X1223" s="46"/>
    </row>
    <row r="1224" spans="1:24" x14ac:dyDescent="0.2">
      <c r="A1224" s="45"/>
      <c r="B1224" s="46"/>
      <c r="C1224" s="46"/>
      <c r="D1224" s="46"/>
      <c r="E1224" s="46"/>
      <c r="F1224" s="46"/>
      <c r="G1224" s="46"/>
      <c r="H1224" s="46"/>
      <c r="I1224" s="46"/>
      <c r="J1224" s="46"/>
      <c r="K1224" s="46"/>
      <c r="L1224" s="46"/>
      <c r="M1224" s="46"/>
      <c r="N1224" s="46"/>
      <c r="O1224" s="46"/>
      <c r="P1224" s="46"/>
      <c r="Q1224" s="46"/>
      <c r="R1224" s="46"/>
      <c r="S1224" s="46"/>
      <c r="T1224" s="46"/>
      <c r="U1224" s="46"/>
      <c r="V1224" s="46"/>
      <c r="W1224" s="46"/>
      <c r="X1224" s="46"/>
    </row>
    <row r="1225" spans="1:24" x14ac:dyDescent="0.2">
      <c r="A1225" s="45"/>
      <c r="B1225" s="46"/>
      <c r="C1225" s="46"/>
      <c r="D1225" s="46"/>
      <c r="E1225" s="46"/>
      <c r="F1225" s="46"/>
      <c r="G1225" s="46"/>
      <c r="H1225" s="46"/>
      <c r="I1225" s="46"/>
      <c r="J1225" s="46"/>
      <c r="K1225" s="46"/>
      <c r="L1225" s="46"/>
      <c r="M1225" s="46"/>
      <c r="N1225" s="46"/>
      <c r="O1225" s="46"/>
      <c r="P1225" s="46"/>
      <c r="Q1225" s="46"/>
      <c r="R1225" s="46"/>
      <c r="S1225" s="46"/>
      <c r="T1225" s="46"/>
      <c r="U1225" s="46"/>
      <c r="V1225" s="46"/>
      <c r="W1225" s="46"/>
      <c r="X1225" s="46"/>
    </row>
    <row r="1226" spans="1:24" x14ac:dyDescent="0.2">
      <c r="A1226" s="45"/>
      <c r="B1226" s="46"/>
      <c r="C1226" s="46"/>
      <c r="D1226" s="46"/>
      <c r="E1226" s="46"/>
      <c r="F1226" s="46"/>
      <c r="G1226" s="46"/>
      <c r="H1226" s="46"/>
      <c r="I1226" s="46"/>
      <c r="J1226" s="46"/>
      <c r="K1226" s="46"/>
      <c r="L1226" s="46"/>
      <c r="M1226" s="46"/>
      <c r="N1226" s="46"/>
      <c r="O1226" s="46"/>
      <c r="P1226" s="46"/>
      <c r="Q1226" s="46"/>
      <c r="R1226" s="46"/>
      <c r="S1226" s="46"/>
      <c r="T1226" s="46"/>
      <c r="U1226" s="46"/>
      <c r="V1226" s="46"/>
      <c r="W1226" s="46"/>
      <c r="X1226" s="46"/>
    </row>
    <row r="1227" spans="1:24" x14ac:dyDescent="0.2">
      <c r="A1227" s="45"/>
      <c r="B1227" s="46"/>
      <c r="C1227" s="46"/>
      <c r="D1227" s="46"/>
      <c r="E1227" s="46"/>
      <c r="F1227" s="46"/>
      <c r="G1227" s="46"/>
      <c r="H1227" s="46"/>
      <c r="I1227" s="46"/>
      <c r="J1227" s="46"/>
      <c r="K1227" s="46"/>
      <c r="L1227" s="46"/>
      <c r="M1227" s="46"/>
      <c r="N1227" s="46"/>
      <c r="O1227" s="46"/>
      <c r="P1227" s="46"/>
      <c r="Q1227" s="46"/>
      <c r="R1227" s="46"/>
      <c r="S1227" s="46"/>
      <c r="T1227" s="46"/>
      <c r="U1227" s="46"/>
      <c r="V1227" s="46"/>
      <c r="W1227" s="46"/>
      <c r="X1227" s="46"/>
    </row>
    <row r="1228" spans="1:24" x14ac:dyDescent="0.2">
      <c r="A1228" s="45"/>
      <c r="B1228" s="46"/>
      <c r="C1228" s="46"/>
      <c r="D1228" s="46"/>
      <c r="E1228" s="46"/>
      <c r="F1228" s="46"/>
      <c r="G1228" s="46"/>
      <c r="H1228" s="46"/>
      <c r="I1228" s="46"/>
      <c r="J1228" s="46"/>
      <c r="K1228" s="46"/>
      <c r="L1228" s="46"/>
      <c r="M1228" s="46"/>
      <c r="N1228" s="46"/>
      <c r="O1228" s="46"/>
      <c r="P1228" s="46"/>
      <c r="Q1228" s="46"/>
      <c r="R1228" s="46"/>
      <c r="S1228" s="46"/>
      <c r="T1228" s="46"/>
      <c r="U1228" s="46"/>
      <c r="V1228" s="46"/>
      <c r="W1228" s="46"/>
      <c r="X1228" s="46"/>
    </row>
    <row r="1229" spans="1:24" x14ac:dyDescent="0.2">
      <c r="A1229" s="45"/>
      <c r="B1229" s="46"/>
      <c r="C1229" s="46"/>
      <c r="D1229" s="46"/>
      <c r="E1229" s="46"/>
      <c r="F1229" s="46"/>
      <c r="G1229" s="46"/>
      <c r="H1229" s="46"/>
      <c r="I1229" s="46"/>
      <c r="J1229" s="46"/>
      <c r="K1229" s="46"/>
      <c r="L1229" s="46"/>
      <c r="M1229" s="46"/>
      <c r="N1229" s="46"/>
      <c r="O1229" s="46"/>
      <c r="P1229" s="46"/>
      <c r="Q1229" s="46"/>
      <c r="R1229" s="46"/>
      <c r="S1229" s="46"/>
      <c r="T1229" s="46"/>
      <c r="U1229" s="46"/>
      <c r="V1229" s="46"/>
      <c r="W1229" s="46"/>
      <c r="X1229" s="46"/>
    </row>
    <row r="1230" spans="1:24" x14ac:dyDescent="0.2">
      <c r="A1230" s="45"/>
      <c r="B1230" s="46"/>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46"/>
    </row>
    <row r="1231" spans="1:24" x14ac:dyDescent="0.2">
      <c r="A1231" s="45"/>
      <c r="B1231" s="46"/>
      <c r="C1231" s="46"/>
      <c r="D1231" s="46"/>
      <c r="E1231" s="46"/>
      <c r="F1231" s="46"/>
      <c r="G1231" s="46"/>
      <c r="H1231" s="46"/>
      <c r="I1231" s="46"/>
      <c r="J1231" s="46"/>
      <c r="K1231" s="46"/>
      <c r="L1231" s="46"/>
      <c r="M1231" s="46"/>
      <c r="N1231" s="46"/>
      <c r="O1231" s="46"/>
      <c r="P1231" s="46"/>
      <c r="Q1231" s="46"/>
      <c r="R1231" s="46"/>
      <c r="S1231" s="46"/>
      <c r="T1231" s="46"/>
      <c r="U1231" s="46"/>
      <c r="V1231" s="46"/>
      <c r="W1231" s="46"/>
      <c r="X1231" s="46"/>
    </row>
    <row r="1232" spans="1:24" x14ac:dyDescent="0.2">
      <c r="A1232" s="45"/>
      <c r="B1232" s="46"/>
      <c r="C1232" s="46"/>
      <c r="D1232" s="46"/>
      <c r="E1232" s="46"/>
      <c r="F1232" s="46"/>
      <c r="G1232" s="46"/>
      <c r="H1232" s="46"/>
      <c r="I1232" s="46"/>
      <c r="J1232" s="46"/>
      <c r="K1232" s="46"/>
      <c r="L1232" s="46"/>
      <c r="M1232" s="46"/>
      <c r="N1232" s="46"/>
      <c r="O1232" s="46"/>
      <c r="P1232" s="46"/>
      <c r="Q1232" s="46"/>
      <c r="R1232" s="46"/>
      <c r="S1232" s="46"/>
      <c r="T1232" s="46"/>
      <c r="U1232" s="46"/>
      <c r="V1232" s="46"/>
      <c r="W1232" s="46"/>
      <c r="X1232" s="46"/>
    </row>
    <row r="1233" spans="1:24" x14ac:dyDescent="0.2">
      <c r="A1233" s="45"/>
      <c r="B1233" s="46"/>
      <c r="C1233" s="46"/>
      <c r="D1233" s="46"/>
      <c r="E1233" s="46"/>
      <c r="F1233" s="46"/>
      <c r="G1233" s="46"/>
      <c r="H1233" s="46"/>
      <c r="I1233" s="46"/>
      <c r="J1233" s="46"/>
      <c r="K1233" s="46"/>
      <c r="L1233" s="46"/>
      <c r="M1233" s="46"/>
      <c r="N1233" s="46"/>
      <c r="O1233" s="46"/>
      <c r="P1233" s="46"/>
      <c r="Q1233" s="46"/>
      <c r="R1233" s="46"/>
      <c r="S1233" s="46"/>
      <c r="T1233" s="46"/>
      <c r="U1233" s="46"/>
      <c r="V1233" s="46"/>
      <c r="W1233" s="46"/>
      <c r="X1233" s="46"/>
    </row>
    <row r="1234" spans="1:24" x14ac:dyDescent="0.2">
      <c r="A1234" s="45"/>
      <c r="B1234" s="46"/>
      <c r="C1234" s="46"/>
      <c r="D1234" s="46"/>
      <c r="E1234" s="46"/>
      <c r="F1234" s="46"/>
      <c r="G1234" s="46"/>
      <c r="H1234" s="46"/>
      <c r="I1234" s="46"/>
      <c r="J1234" s="46"/>
      <c r="K1234" s="46"/>
      <c r="L1234" s="46"/>
      <c r="M1234" s="46"/>
      <c r="N1234" s="46"/>
      <c r="O1234" s="46"/>
      <c r="P1234" s="46"/>
      <c r="Q1234" s="46"/>
      <c r="R1234" s="46"/>
      <c r="S1234" s="46"/>
      <c r="T1234" s="46"/>
      <c r="U1234" s="46"/>
      <c r="V1234" s="46"/>
      <c r="W1234" s="46"/>
      <c r="X1234" s="46"/>
    </row>
    <row r="1235" spans="1:24" x14ac:dyDescent="0.2">
      <c r="A1235" s="45"/>
      <c r="B1235" s="46"/>
      <c r="C1235" s="46"/>
      <c r="D1235" s="46"/>
      <c r="E1235" s="46"/>
      <c r="F1235" s="46"/>
      <c r="G1235" s="46"/>
      <c r="H1235" s="46"/>
      <c r="I1235" s="46"/>
      <c r="J1235" s="46"/>
      <c r="K1235" s="46"/>
      <c r="L1235" s="46"/>
      <c r="M1235" s="46"/>
      <c r="N1235" s="46"/>
      <c r="O1235" s="46"/>
      <c r="P1235" s="46"/>
      <c r="Q1235" s="46"/>
      <c r="R1235" s="46"/>
      <c r="S1235" s="46"/>
      <c r="T1235" s="46"/>
      <c r="U1235" s="46"/>
      <c r="V1235" s="46"/>
      <c r="W1235" s="46"/>
      <c r="X1235" s="46"/>
    </row>
    <row r="1236" spans="1:24" x14ac:dyDescent="0.2">
      <c r="A1236" s="45"/>
      <c r="B1236" s="46"/>
      <c r="C1236" s="46"/>
      <c r="D1236" s="46"/>
      <c r="E1236" s="46"/>
      <c r="F1236" s="46"/>
      <c r="G1236" s="46"/>
      <c r="H1236" s="46"/>
      <c r="I1236" s="46"/>
      <c r="J1236" s="46"/>
      <c r="K1236" s="46"/>
      <c r="L1236" s="46"/>
      <c r="M1236" s="46"/>
      <c r="N1236" s="46"/>
      <c r="O1236" s="46"/>
      <c r="P1236" s="46"/>
      <c r="Q1236" s="46"/>
      <c r="R1236" s="46"/>
      <c r="S1236" s="46"/>
      <c r="T1236" s="46"/>
      <c r="U1236" s="46"/>
      <c r="V1236" s="46"/>
      <c r="W1236" s="46"/>
      <c r="X1236" s="46"/>
    </row>
    <row r="1237" spans="1:24" x14ac:dyDescent="0.2">
      <c r="A1237" s="45"/>
      <c r="B1237" s="46"/>
      <c r="C1237" s="46"/>
      <c r="D1237" s="46"/>
      <c r="E1237" s="46"/>
      <c r="F1237" s="46"/>
      <c r="G1237" s="46"/>
      <c r="H1237" s="46"/>
      <c r="I1237" s="46"/>
      <c r="J1237" s="46"/>
      <c r="K1237" s="46"/>
      <c r="L1237" s="46"/>
      <c r="M1237" s="46"/>
      <c r="N1237" s="46"/>
      <c r="O1237" s="46"/>
      <c r="P1237" s="46"/>
      <c r="Q1237" s="46"/>
      <c r="R1237" s="46"/>
      <c r="S1237" s="46"/>
      <c r="T1237" s="46"/>
      <c r="U1237" s="46"/>
      <c r="V1237" s="46"/>
      <c r="W1237" s="46"/>
      <c r="X1237" s="46"/>
    </row>
    <row r="1238" spans="1:24" x14ac:dyDescent="0.2">
      <c r="A1238" s="45"/>
      <c r="B1238" s="46"/>
      <c r="C1238" s="46"/>
      <c r="D1238" s="46"/>
      <c r="E1238" s="46"/>
      <c r="F1238" s="46"/>
      <c r="G1238" s="46"/>
      <c r="H1238" s="46"/>
      <c r="I1238" s="46"/>
      <c r="J1238" s="46"/>
      <c r="K1238" s="46"/>
      <c r="L1238" s="46"/>
      <c r="M1238" s="46"/>
      <c r="N1238" s="46"/>
      <c r="O1238" s="46"/>
      <c r="P1238" s="46"/>
      <c r="Q1238" s="46"/>
      <c r="R1238" s="46"/>
      <c r="S1238" s="46"/>
      <c r="T1238" s="46"/>
      <c r="U1238" s="46"/>
      <c r="V1238" s="46"/>
      <c r="W1238" s="46"/>
      <c r="X1238" s="46"/>
    </row>
    <row r="1239" spans="1:24" x14ac:dyDescent="0.2">
      <c r="A1239" s="45"/>
      <c r="B1239" s="46"/>
      <c r="C1239" s="46"/>
      <c r="D1239" s="46"/>
      <c r="E1239" s="46"/>
      <c r="F1239" s="46"/>
      <c r="G1239" s="46"/>
      <c r="H1239" s="46"/>
      <c r="I1239" s="46"/>
      <c r="J1239" s="46"/>
      <c r="K1239" s="46"/>
      <c r="L1239" s="46"/>
      <c r="M1239" s="46"/>
      <c r="N1239" s="46"/>
      <c r="O1239" s="46"/>
      <c r="P1239" s="46"/>
      <c r="Q1239" s="46"/>
      <c r="R1239" s="46"/>
      <c r="S1239" s="46"/>
      <c r="T1239" s="46"/>
      <c r="U1239" s="46"/>
      <c r="V1239" s="46"/>
      <c r="W1239" s="46"/>
      <c r="X1239" s="46"/>
    </row>
    <row r="1240" spans="1:24" x14ac:dyDescent="0.2">
      <c r="A1240" s="45"/>
      <c r="B1240" s="46"/>
      <c r="C1240" s="46"/>
      <c r="D1240" s="46"/>
      <c r="E1240" s="46"/>
      <c r="F1240" s="46"/>
      <c r="G1240" s="46"/>
      <c r="H1240" s="46"/>
      <c r="I1240" s="46"/>
      <c r="J1240" s="46"/>
      <c r="K1240" s="46"/>
      <c r="L1240" s="46"/>
      <c r="M1240" s="46"/>
      <c r="N1240" s="46"/>
      <c r="O1240" s="46"/>
      <c r="P1240" s="46"/>
      <c r="Q1240" s="46"/>
      <c r="R1240" s="46"/>
      <c r="S1240" s="46"/>
      <c r="T1240" s="46"/>
      <c r="U1240" s="46"/>
      <c r="V1240" s="46"/>
      <c r="W1240" s="46"/>
      <c r="X1240" s="46"/>
    </row>
    <row r="1241" spans="1:24" x14ac:dyDescent="0.2">
      <c r="A1241" s="45"/>
      <c r="B1241" s="46"/>
      <c r="C1241" s="46"/>
      <c r="D1241" s="46"/>
      <c r="E1241" s="46"/>
      <c r="F1241" s="46"/>
      <c r="G1241" s="46"/>
      <c r="H1241" s="46"/>
      <c r="I1241" s="46"/>
      <c r="J1241" s="46"/>
      <c r="K1241" s="46"/>
      <c r="L1241" s="46"/>
      <c r="M1241" s="46"/>
      <c r="N1241" s="46"/>
      <c r="O1241" s="46"/>
      <c r="P1241" s="46"/>
      <c r="Q1241" s="46"/>
      <c r="R1241" s="46"/>
      <c r="S1241" s="46"/>
      <c r="T1241" s="46"/>
      <c r="U1241" s="46"/>
      <c r="V1241" s="46"/>
      <c r="W1241" s="46"/>
      <c r="X1241" s="46"/>
    </row>
    <row r="1242" spans="1:24" x14ac:dyDescent="0.2">
      <c r="A1242" s="45"/>
      <c r="B1242" s="46"/>
      <c r="C1242" s="46"/>
      <c r="D1242" s="46"/>
      <c r="E1242" s="46"/>
      <c r="F1242" s="46"/>
      <c r="G1242" s="46"/>
      <c r="H1242" s="46"/>
      <c r="I1242" s="46"/>
      <c r="J1242" s="46"/>
      <c r="K1242" s="46"/>
      <c r="L1242" s="46"/>
      <c r="M1242" s="46"/>
      <c r="N1242" s="46"/>
      <c r="O1242" s="46"/>
      <c r="P1242" s="46"/>
      <c r="Q1242" s="46"/>
      <c r="R1242" s="46"/>
      <c r="S1242" s="46"/>
      <c r="T1242" s="46"/>
      <c r="U1242" s="46"/>
      <c r="V1242" s="46"/>
      <c r="W1242" s="46"/>
      <c r="X1242" s="46"/>
    </row>
    <row r="1243" spans="1:24" x14ac:dyDescent="0.2">
      <c r="A1243" s="45"/>
      <c r="B1243" s="46"/>
      <c r="C1243" s="46"/>
      <c r="D1243" s="46"/>
      <c r="E1243" s="46"/>
      <c r="F1243" s="46"/>
      <c r="G1243" s="46"/>
      <c r="H1243" s="46"/>
      <c r="I1243" s="46"/>
      <c r="J1243" s="46"/>
      <c r="K1243" s="46"/>
      <c r="L1243" s="46"/>
      <c r="M1243" s="46"/>
      <c r="N1243" s="46"/>
      <c r="O1243" s="46"/>
      <c r="P1243" s="46"/>
      <c r="Q1243" s="46"/>
      <c r="R1243" s="46"/>
      <c r="S1243" s="46"/>
      <c r="T1243" s="46"/>
      <c r="U1243" s="46"/>
      <c r="V1243" s="46"/>
      <c r="W1243" s="46"/>
      <c r="X1243" s="46"/>
    </row>
    <row r="1244" spans="1:24" x14ac:dyDescent="0.2">
      <c r="A1244" s="45"/>
      <c r="B1244" s="46"/>
      <c r="C1244" s="46"/>
      <c r="D1244" s="46"/>
      <c r="E1244" s="46"/>
      <c r="F1244" s="46"/>
      <c r="G1244" s="46"/>
      <c r="H1244" s="46"/>
      <c r="I1244" s="46"/>
      <c r="J1244" s="46"/>
      <c r="K1244" s="46"/>
      <c r="L1244" s="46"/>
      <c r="M1244" s="46"/>
      <c r="N1244" s="46"/>
      <c r="O1244" s="46"/>
      <c r="P1244" s="46"/>
      <c r="Q1244" s="46"/>
      <c r="R1244" s="46"/>
      <c r="S1244" s="46"/>
      <c r="T1244" s="46"/>
      <c r="U1244" s="46"/>
      <c r="V1244" s="46"/>
      <c r="W1244" s="46"/>
      <c r="X1244" s="46"/>
    </row>
    <row r="1245" spans="1:24" x14ac:dyDescent="0.2">
      <c r="A1245" s="45"/>
      <c r="B1245" s="46"/>
      <c r="C1245" s="46"/>
      <c r="D1245" s="46"/>
      <c r="E1245" s="46"/>
      <c r="F1245" s="46"/>
      <c r="G1245" s="46"/>
      <c r="H1245" s="46"/>
      <c r="I1245" s="46"/>
      <c r="J1245" s="46"/>
      <c r="K1245" s="46"/>
      <c r="L1245" s="46"/>
      <c r="M1245" s="46"/>
      <c r="N1245" s="46"/>
      <c r="O1245" s="46"/>
      <c r="P1245" s="46"/>
      <c r="Q1245" s="46"/>
      <c r="R1245" s="46"/>
      <c r="S1245" s="46"/>
      <c r="T1245" s="46"/>
      <c r="U1245" s="46"/>
      <c r="V1245" s="46"/>
      <c r="W1245" s="46"/>
      <c r="X1245" s="46"/>
    </row>
    <row r="1246" spans="1:24" x14ac:dyDescent="0.2">
      <c r="A1246" s="45"/>
      <c r="B1246" s="46"/>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row>
    <row r="1247" spans="1:24" x14ac:dyDescent="0.2">
      <c r="A1247" s="45"/>
      <c r="B1247" s="46"/>
      <c r="C1247" s="46"/>
      <c r="D1247" s="46"/>
      <c r="E1247" s="46"/>
      <c r="F1247" s="46"/>
      <c r="G1247" s="46"/>
      <c r="H1247" s="46"/>
      <c r="I1247" s="46"/>
      <c r="J1247" s="46"/>
      <c r="K1247" s="46"/>
      <c r="L1247" s="46"/>
      <c r="M1247" s="46"/>
      <c r="N1247" s="46"/>
      <c r="O1247" s="46"/>
      <c r="P1247" s="46"/>
      <c r="Q1247" s="46"/>
      <c r="R1247" s="46"/>
      <c r="S1247" s="46"/>
      <c r="T1247" s="46"/>
      <c r="U1247" s="46"/>
      <c r="V1247" s="46"/>
      <c r="W1247" s="46"/>
      <c r="X1247" s="46"/>
    </row>
    <row r="1248" spans="1:24" x14ac:dyDescent="0.2">
      <c r="A1248" s="45"/>
      <c r="B1248" s="46"/>
      <c r="C1248" s="46"/>
      <c r="D1248" s="46"/>
      <c r="E1248" s="46"/>
      <c r="F1248" s="46"/>
      <c r="G1248" s="46"/>
      <c r="H1248" s="46"/>
      <c r="I1248" s="46"/>
      <c r="J1248" s="46"/>
      <c r="K1248" s="46"/>
      <c r="L1248" s="46"/>
      <c r="M1248" s="46"/>
      <c r="N1248" s="46"/>
      <c r="O1248" s="46"/>
      <c r="P1248" s="46"/>
      <c r="Q1248" s="46"/>
      <c r="R1248" s="46"/>
      <c r="S1248" s="46"/>
      <c r="T1248" s="46"/>
      <c r="U1248" s="46"/>
      <c r="V1248" s="46"/>
      <c r="W1248" s="46"/>
      <c r="X1248" s="46"/>
    </row>
    <row r="1249" spans="1:24" x14ac:dyDescent="0.2">
      <c r="A1249" s="45"/>
      <c r="B1249" s="46"/>
      <c r="C1249" s="46"/>
      <c r="D1249" s="46"/>
      <c r="E1249" s="46"/>
      <c r="F1249" s="46"/>
      <c r="G1249" s="46"/>
      <c r="H1249" s="46"/>
      <c r="I1249" s="46"/>
      <c r="J1249" s="46"/>
      <c r="K1249" s="46"/>
      <c r="L1249" s="46"/>
      <c r="M1249" s="46"/>
      <c r="N1249" s="46"/>
      <c r="O1249" s="46"/>
      <c r="P1249" s="46"/>
      <c r="Q1249" s="46"/>
      <c r="R1249" s="46"/>
      <c r="S1249" s="46"/>
      <c r="T1249" s="46"/>
      <c r="U1249" s="46"/>
      <c r="V1249" s="46"/>
      <c r="W1249" s="46"/>
      <c r="X1249" s="46"/>
    </row>
    <row r="1250" spans="1:24" x14ac:dyDescent="0.2">
      <c r="A1250" s="45"/>
      <c r="B1250" s="46"/>
      <c r="C1250" s="46"/>
      <c r="D1250" s="46"/>
      <c r="E1250" s="46"/>
      <c r="F1250" s="46"/>
      <c r="G1250" s="46"/>
      <c r="H1250" s="46"/>
      <c r="I1250" s="46"/>
      <c r="J1250" s="46"/>
      <c r="K1250" s="46"/>
      <c r="L1250" s="46"/>
      <c r="M1250" s="46"/>
      <c r="N1250" s="46"/>
      <c r="O1250" s="46"/>
      <c r="P1250" s="46"/>
      <c r="Q1250" s="46"/>
      <c r="R1250" s="46"/>
      <c r="S1250" s="46"/>
      <c r="T1250" s="46"/>
      <c r="U1250" s="46"/>
      <c r="V1250" s="46"/>
      <c r="W1250" s="46"/>
      <c r="X1250" s="46"/>
    </row>
    <row r="1251" spans="1:24" x14ac:dyDescent="0.2">
      <c r="A1251" s="45"/>
      <c r="B1251" s="46"/>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46"/>
    </row>
    <row r="1252" spans="1:24" x14ac:dyDescent="0.2">
      <c r="A1252" s="45"/>
      <c r="B1252" s="46"/>
      <c r="C1252" s="46"/>
      <c r="D1252" s="46"/>
      <c r="E1252" s="46"/>
      <c r="F1252" s="46"/>
      <c r="G1252" s="46"/>
      <c r="H1252" s="46"/>
      <c r="I1252" s="46"/>
      <c r="J1252" s="46"/>
      <c r="K1252" s="46"/>
      <c r="L1252" s="46"/>
      <c r="M1252" s="46"/>
      <c r="N1252" s="46"/>
      <c r="O1252" s="46"/>
      <c r="P1252" s="46"/>
      <c r="Q1252" s="46"/>
      <c r="R1252" s="46"/>
      <c r="S1252" s="46"/>
      <c r="T1252" s="46"/>
      <c r="U1252" s="46"/>
      <c r="V1252" s="46"/>
      <c r="W1252" s="46"/>
      <c r="X1252" s="46"/>
    </row>
    <row r="1253" spans="1:24" x14ac:dyDescent="0.2">
      <c r="A1253" s="45"/>
      <c r="B1253" s="46"/>
      <c r="C1253" s="46"/>
      <c r="D1253" s="46"/>
      <c r="E1253" s="46"/>
      <c r="F1253" s="46"/>
      <c r="G1253" s="46"/>
      <c r="H1253" s="46"/>
      <c r="I1253" s="46"/>
      <c r="J1253" s="46"/>
      <c r="K1253" s="46"/>
      <c r="L1253" s="46"/>
      <c r="M1253" s="46"/>
      <c r="N1253" s="46"/>
      <c r="O1253" s="46"/>
      <c r="P1253" s="46"/>
      <c r="Q1253" s="46"/>
      <c r="R1253" s="46"/>
      <c r="S1253" s="46"/>
      <c r="T1253" s="46"/>
      <c r="U1253" s="46"/>
      <c r="V1253" s="46"/>
      <c r="W1253" s="46"/>
      <c r="X1253" s="46"/>
    </row>
    <row r="1254" spans="1:24" x14ac:dyDescent="0.2">
      <c r="A1254" s="45"/>
      <c r="B1254" s="46"/>
      <c r="C1254" s="46"/>
      <c r="D1254" s="46"/>
      <c r="E1254" s="46"/>
      <c r="F1254" s="46"/>
      <c r="G1254" s="46"/>
      <c r="H1254" s="46"/>
      <c r="I1254" s="46"/>
      <c r="J1254" s="46"/>
      <c r="K1254" s="46"/>
      <c r="L1254" s="46"/>
      <c r="M1254" s="46"/>
      <c r="N1254" s="46"/>
      <c r="O1254" s="46"/>
      <c r="P1254" s="46"/>
      <c r="Q1254" s="46"/>
      <c r="R1254" s="46"/>
      <c r="S1254" s="46"/>
      <c r="T1254" s="46"/>
      <c r="U1254" s="46"/>
      <c r="V1254" s="46"/>
      <c r="W1254" s="46"/>
      <c r="X1254" s="46"/>
    </row>
    <row r="1255" spans="1:24" x14ac:dyDescent="0.2">
      <c r="A1255" s="45"/>
      <c r="B1255" s="46"/>
      <c r="C1255" s="46"/>
      <c r="D1255" s="46"/>
      <c r="E1255" s="46"/>
      <c r="F1255" s="46"/>
      <c r="G1255" s="46"/>
      <c r="H1255" s="46"/>
      <c r="I1255" s="46"/>
      <c r="J1255" s="46"/>
      <c r="K1255" s="46"/>
      <c r="L1255" s="46"/>
      <c r="M1255" s="46"/>
      <c r="N1255" s="46"/>
      <c r="O1255" s="46"/>
      <c r="P1255" s="46"/>
      <c r="Q1255" s="46"/>
      <c r="R1255" s="46"/>
      <c r="S1255" s="46"/>
      <c r="T1255" s="46"/>
      <c r="U1255" s="46"/>
      <c r="V1255" s="46"/>
      <c r="W1255" s="46"/>
      <c r="X1255" s="46"/>
    </row>
    <row r="1256" spans="1:24" x14ac:dyDescent="0.2">
      <c r="A1256" s="45"/>
      <c r="B1256" s="46"/>
      <c r="C1256" s="46"/>
      <c r="D1256" s="46"/>
      <c r="E1256" s="46"/>
      <c r="F1256" s="46"/>
      <c r="G1256" s="46"/>
      <c r="H1256" s="46"/>
      <c r="I1256" s="46"/>
      <c r="J1256" s="46"/>
      <c r="K1256" s="46"/>
      <c r="L1256" s="46"/>
      <c r="M1256" s="46"/>
      <c r="N1256" s="46"/>
      <c r="O1256" s="46"/>
      <c r="P1256" s="46"/>
      <c r="Q1256" s="46"/>
      <c r="R1256" s="46"/>
      <c r="S1256" s="46"/>
      <c r="T1256" s="46"/>
      <c r="U1256" s="46"/>
      <c r="V1256" s="46"/>
      <c r="W1256" s="46"/>
      <c r="X1256" s="46"/>
    </row>
    <row r="1257" spans="1:24" x14ac:dyDescent="0.2">
      <c r="A1257" s="45"/>
      <c r="B1257" s="46"/>
      <c r="C1257" s="46"/>
      <c r="D1257" s="46"/>
      <c r="E1257" s="46"/>
      <c r="F1257" s="46"/>
      <c r="G1257" s="46"/>
      <c r="H1257" s="46"/>
      <c r="I1257" s="46"/>
      <c r="J1257" s="46"/>
      <c r="K1257" s="46"/>
      <c r="L1257" s="46"/>
      <c r="M1257" s="46"/>
      <c r="N1257" s="46"/>
      <c r="O1257" s="46"/>
      <c r="P1257" s="46"/>
      <c r="Q1257" s="46"/>
      <c r="R1257" s="46"/>
      <c r="S1257" s="46"/>
      <c r="T1257" s="46"/>
      <c r="U1257" s="46"/>
      <c r="V1257" s="46"/>
      <c r="W1257" s="46"/>
      <c r="X1257" s="46"/>
    </row>
    <row r="1258" spans="1:24" x14ac:dyDescent="0.2">
      <c r="A1258" s="45"/>
      <c r="B1258" s="46"/>
      <c r="C1258" s="46"/>
      <c r="D1258" s="46"/>
      <c r="E1258" s="46"/>
      <c r="F1258" s="46"/>
      <c r="G1258" s="46"/>
      <c r="H1258" s="46"/>
      <c r="I1258" s="46"/>
      <c r="J1258" s="46"/>
      <c r="K1258" s="46"/>
      <c r="L1258" s="46"/>
      <c r="M1258" s="46"/>
      <c r="N1258" s="46"/>
      <c r="O1258" s="46"/>
      <c r="P1258" s="46"/>
      <c r="Q1258" s="46"/>
      <c r="R1258" s="46"/>
      <c r="S1258" s="46"/>
      <c r="T1258" s="46"/>
      <c r="U1258" s="46"/>
      <c r="V1258" s="46"/>
      <c r="W1258" s="46"/>
      <c r="X1258" s="46"/>
    </row>
    <row r="1259" spans="1:24" x14ac:dyDescent="0.2">
      <c r="A1259" s="45"/>
      <c r="B1259" s="46"/>
      <c r="C1259" s="46"/>
      <c r="D1259" s="46"/>
      <c r="E1259" s="46"/>
      <c r="F1259" s="46"/>
      <c r="G1259" s="46"/>
      <c r="H1259" s="46"/>
      <c r="I1259" s="46"/>
      <c r="J1259" s="46"/>
      <c r="K1259" s="46"/>
      <c r="L1259" s="46"/>
      <c r="M1259" s="46"/>
      <c r="N1259" s="46"/>
      <c r="O1259" s="46"/>
      <c r="P1259" s="46"/>
      <c r="Q1259" s="46"/>
      <c r="R1259" s="46"/>
      <c r="S1259" s="46"/>
      <c r="T1259" s="46"/>
      <c r="U1259" s="46"/>
      <c r="V1259" s="46"/>
      <c r="W1259" s="46"/>
      <c r="X1259" s="46"/>
    </row>
    <row r="1260" spans="1:24" x14ac:dyDescent="0.2">
      <c r="A1260" s="45"/>
      <c r="B1260" s="46"/>
      <c r="C1260" s="46"/>
      <c r="D1260" s="46"/>
      <c r="E1260" s="46"/>
      <c r="F1260" s="46"/>
      <c r="G1260" s="46"/>
      <c r="H1260" s="46"/>
      <c r="I1260" s="46"/>
      <c r="J1260" s="46"/>
      <c r="K1260" s="46"/>
      <c r="L1260" s="46"/>
      <c r="M1260" s="46"/>
      <c r="N1260" s="46"/>
      <c r="O1260" s="46"/>
      <c r="P1260" s="46"/>
      <c r="Q1260" s="46"/>
      <c r="R1260" s="46"/>
      <c r="S1260" s="46"/>
      <c r="T1260" s="46"/>
      <c r="U1260" s="46"/>
      <c r="V1260" s="46"/>
      <c r="W1260" s="46"/>
      <c r="X1260" s="46"/>
    </row>
    <row r="1261" spans="1:24" x14ac:dyDescent="0.2">
      <c r="A1261" s="45"/>
      <c r="B1261" s="46"/>
      <c r="C1261" s="46"/>
      <c r="D1261" s="46"/>
      <c r="E1261" s="46"/>
      <c r="F1261" s="46"/>
      <c r="G1261" s="46"/>
      <c r="H1261" s="46"/>
      <c r="I1261" s="46"/>
      <c r="J1261" s="46"/>
      <c r="K1261" s="46"/>
      <c r="L1261" s="46"/>
      <c r="M1261" s="46"/>
      <c r="N1261" s="46"/>
      <c r="O1261" s="46"/>
      <c r="P1261" s="46"/>
      <c r="Q1261" s="46"/>
      <c r="R1261" s="46"/>
      <c r="S1261" s="46"/>
      <c r="T1261" s="46"/>
      <c r="U1261" s="46"/>
      <c r="V1261" s="46"/>
      <c r="W1261" s="46"/>
      <c r="X1261" s="46"/>
    </row>
    <row r="1262" spans="1:24" x14ac:dyDescent="0.2">
      <c r="A1262" s="45"/>
      <c r="B1262" s="46"/>
      <c r="C1262" s="46"/>
      <c r="D1262" s="46"/>
      <c r="E1262" s="46"/>
      <c r="F1262" s="46"/>
      <c r="G1262" s="46"/>
      <c r="H1262" s="46"/>
      <c r="I1262" s="46"/>
      <c r="J1262" s="46"/>
      <c r="K1262" s="46"/>
      <c r="L1262" s="46"/>
      <c r="M1262" s="46"/>
      <c r="N1262" s="46"/>
      <c r="O1262" s="46"/>
      <c r="P1262" s="46"/>
      <c r="Q1262" s="46"/>
      <c r="R1262" s="46"/>
      <c r="S1262" s="46"/>
      <c r="T1262" s="46"/>
      <c r="U1262" s="46"/>
      <c r="V1262" s="46"/>
      <c r="W1262" s="46"/>
      <c r="X1262" s="46"/>
    </row>
    <row r="1263" spans="1:24" x14ac:dyDescent="0.2">
      <c r="A1263" s="45"/>
      <c r="B1263" s="46"/>
      <c r="C1263" s="46"/>
      <c r="D1263" s="46"/>
      <c r="E1263" s="46"/>
      <c r="F1263" s="46"/>
      <c r="G1263" s="46"/>
      <c r="H1263" s="46"/>
      <c r="I1263" s="46"/>
      <c r="J1263" s="46"/>
      <c r="K1263" s="46"/>
      <c r="L1263" s="46"/>
      <c r="M1263" s="46"/>
      <c r="N1263" s="46"/>
      <c r="O1263" s="46"/>
      <c r="P1263" s="46"/>
      <c r="Q1263" s="46"/>
      <c r="R1263" s="46"/>
      <c r="S1263" s="46"/>
      <c r="T1263" s="46"/>
      <c r="U1263" s="46"/>
      <c r="V1263" s="46"/>
      <c r="W1263" s="46"/>
      <c r="X1263" s="46"/>
    </row>
    <row r="1264" spans="1:24" x14ac:dyDescent="0.2">
      <c r="A1264" s="45"/>
      <c r="B1264" s="46"/>
      <c r="C1264" s="46"/>
      <c r="D1264" s="46"/>
      <c r="E1264" s="46"/>
      <c r="F1264" s="46"/>
      <c r="G1264" s="46"/>
      <c r="H1264" s="46"/>
      <c r="I1264" s="46"/>
      <c r="J1264" s="46"/>
      <c r="K1264" s="46"/>
      <c r="L1264" s="46"/>
      <c r="M1264" s="46"/>
      <c r="N1264" s="46"/>
      <c r="O1264" s="46"/>
      <c r="P1264" s="46"/>
      <c r="Q1264" s="46"/>
      <c r="R1264" s="46"/>
      <c r="S1264" s="46"/>
      <c r="T1264" s="46"/>
      <c r="U1264" s="46"/>
      <c r="V1264" s="46"/>
      <c r="W1264" s="46"/>
      <c r="X1264" s="46"/>
    </row>
    <row r="1265" spans="1:24" x14ac:dyDescent="0.2">
      <c r="A1265" s="45"/>
      <c r="B1265" s="46"/>
      <c r="C1265" s="46"/>
      <c r="D1265" s="46"/>
      <c r="E1265" s="46"/>
      <c r="F1265" s="46"/>
      <c r="G1265" s="46"/>
      <c r="H1265" s="46"/>
      <c r="I1265" s="46"/>
      <c r="J1265" s="46"/>
      <c r="K1265" s="46"/>
      <c r="L1265" s="46"/>
      <c r="M1265" s="46"/>
      <c r="N1265" s="46"/>
      <c r="O1265" s="46"/>
      <c r="P1265" s="46"/>
      <c r="Q1265" s="46"/>
      <c r="R1265" s="46"/>
      <c r="S1265" s="46"/>
      <c r="T1265" s="46"/>
      <c r="U1265" s="46"/>
      <c r="V1265" s="46"/>
      <c r="W1265" s="46"/>
      <c r="X1265" s="46"/>
    </row>
    <row r="1266" spans="1:24" x14ac:dyDescent="0.2">
      <c r="A1266" s="45"/>
      <c r="B1266" s="46"/>
      <c r="C1266" s="46"/>
      <c r="D1266" s="46"/>
      <c r="E1266" s="46"/>
      <c r="F1266" s="46"/>
      <c r="G1266" s="46"/>
      <c r="H1266" s="46"/>
      <c r="I1266" s="46"/>
      <c r="J1266" s="46"/>
      <c r="K1266" s="46"/>
      <c r="L1266" s="46"/>
      <c r="M1266" s="46"/>
      <c r="N1266" s="46"/>
      <c r="O1266" s="46"/>
      <c r="P1266" s="46"/>
      <c r="Q1266" s="46"/>
      <c r="R1266" s="46"/>
      <c r="S1266" s="46"/>
      <c r="T1266" s="46"/>
      <c r="U1266" s="46"/>
      <c r="V1266" s="46"/>
      <c r="W1266" s="46"/>
      <c r="X1266" s="46"/>
    </row>
    <row r="1267" spans="1:24" x14ac:dyDescent="0.2">
      <c r="A1267" s="45"/>
      <c r="B1267" s="46"/>
      <c r="C1267" s="46"/>
      <c r="D1267" s="46"/>
      <c r="E1267" s="46"/>
      <c r="F1267" s="46"/>
      <c r="G1267" s="46"/>
      <c r="H1267" s="46"/>
      <c r="I1267" s="46"/>
      <c r="J1267" s="46"/>
      <c r="K1267" s="46"/>
      <c r="L1267" s="46"/>
      <c r="M1267" s="46"/>
      <c r="N1267" s="46"/>
      <c r="O1267" s="46"/>
      <c r="P1267" s="46"/>
      <c r="Q1267" s="46"/>
      <c r="R1267" s="46"/>
      <c r="S1267" s="46"/>
      <c r="T1267" s="46"/>
      <c r="U1267" s="46"/>
      <c r="V1267" s="46"/>
      <c r="W1267" s="46"/>
      <c r="X1267" s="46"/>
    </row>
    <row r="1268" spans="1:24" x14ac:dyDescent="0.2">
      <c r="A1268" s="45"/>
      <c r="B1268" s="46"/>
      <c r="C1268" s="46"/>
      <c r="D1268" s="46"/>
      <c r="E1268" s="46"/>
      <c r="F1268" s="46"/>
      <c r="G1268" s="46"/>
      <c r="H1268" s="46"/>
      <c r="I1268" s="46"/>
      <c r="J1268" s="46"/>
      <c r="K1268" s="46"/>
      <c r="L1268" s="46"/>
      <c r="M1268" s="46"/>
      <c r="N1268" s="46"/>
      <c r="O1268" s="46"/>
      <c r="P1268" s="46"/>
      <c r="Q1268" s="46"/>
      <c r="R1268" s="46"/>
      <c r="S1268" s="46"/>
      <c r="T1268" s="46"/>
      <c r="U1268" s="46"/>
      <c r="V1268" s="46"/>
      <c r="W1268" s="46"/>
      <c r="X1268" s="46"/>
    </row>
    <row r="1269" spans="1:24" x14ac:dyDescent="0.2">
      <c r="A1269" s="45"/>
      <c r="B1269" s="46"/>
      <c r="C1269" s="46"/>
      <c r="D1269" s="46"/>
      <c r="E1269" s="46"/>
      <c r="F1269" s="46"/>
      <c r="G1269" s="46"/>
      <c r="H1269" s="46"/>
      <c r="I1269" s="46"/>
      <c r="J1269" s="46"/>
      <c r="K1269" s="46"/>
      <c r="L1269" s="46"/>
      <c r="M1269" s="46"/>
      <c r="N1269" s="46"/>
      <c r="O1269" s="46"/>
      <c r="P1269" s="46"/>
      <c r="Q1269" s="46"/>
      <c r="R1269" s="46"/>
      <c r="S1269" s="46"/>
      <c r="T1269" s="46"/>
      <c r="U1269" s="46"/>
      <c r="V1269" s="46"/>
      <c r="W1269" s="46"/>
      <c r="X1269" s="46"/>
    </row>
    <row r="1270" spans="1:24" x14ac:dyDescent="0.2">
      <c r="A1270" s="45"/>
      <c r="B1270" s="46"/>
      <c r="C1270" s="46"/>
      <c r="D1270" s="46"/>
      <c r="E1270" s="46"/>
      <c r="F1270" s="46"/>
      <c r="G1270" s="46"/>
      <c r="H1270" s="46"/>
      <c r="I1270" s="46"/>
      <c r="J1270" s="46"/>
      <c r="K1270" s="46"/>
      <c r="L1270" s="46"/>
      <c r="M1270" s="46"/>
      <c r="N1270" s="46"/>
      <c r="O1270" s="46"/>
      <c r="P1270" s="46"/>
      <c r="Q1270" s="46"/>
      <c r="R1270" s="46"/>
      <c r="S1270" s="46"/>
      <c r="T1270" s="46"/>
      <c r="U1270" s="46"/>
      <c r="V1270" s="46"/>
      <c r="W1270" s="46"/>
      <c r="X1270" s="46"/>
    </row>
    <row r="1271" spans="1:24" x14ac:dyDescent="0.2">
      <c r="A1271" s="45"/>
      <c r="B1271" s="46"/>
      <c r="C1271" s="46"/>
      <c r="D1271" s="46"/>
      <c r="E1271" s="46"/>
      <c r="F1271" s="46"/>
      <c r="G1271" s="46"/>
      <c r="H1271" s="46"/>
      <c r="I1271" s="46"/>
      <c r="J1271" s="46"/>
      <c r="K1271" s="46"/>
      <c r="L1271" s="46"/>
      <c r="M1271" s="46"/>
      <c r="N1271" s="46"/>
      <c r="O1271" s="46"/>
      <c r="P1271" s="46"/>
      <c r="Q1271" s="46"/>
      <c r="R1271" s="46"/>
      <c r="S1271" s="46"/>
      <c r="T1271" s="46"/>
      <c r="U1271" s="46"/>
      <c r="V1271" s="46"/>
      <c r="W1271" s="46"/>
      <c r="X1271" s="46"/>
    </row>
    <row r="1272" spans="1:24" x14ac:dyDescent="0.2">
      <c r="A1272" s="45"/>
      <c r="B1272" s="46"/>
      <c r="C1272" s="46"/>
      <c r="D1272" s="46"/>
      <c r="E1272" s="46"/>
      <c r="F1272" s="46"/>
      <c r="G1272" s="46"/>
      <c r="H1272" s="46"/>
      <c r="I1272" s="46"/>
      <c r="J1272" s="46"/>
      <c r="K1272" s="46"/>
      <c r="L1272" s="46"/>
      <c r="M1272" s="46"/>
      <c r="N1272" s="46"/>
      <c r="O1272" s="46"/>
      <c r="P1272" s="46"/>
      <c r="Q1272" s="46"/>
      <c r="R1272" s="46"/>
      <c r="S1272" s="46"/>
      <c r="T1272" s="46"/>
      <c r="U1272" s="46"/>
      <c r="V1272" s="46"/>
      <c r="W1272" s="46"/>
      <c r="X1272" s="46"/>
    </row>
    <row r="1273" spans="1:24" x14ac:dyDescent="0.2">
      <c r="A1273" s="45"/>
      <c r="B1273" s="46"/>
      <c r="C1273" s="46"/>
      <c r="D1273" s="46"/>
      <c r="E1273" s="46"/>
      <c r="F1273" s="46"/>
      <c r="G1273" s="46"/>
      <c r="H1273" s="46"/>
      <c r="I1273" s="46"/>
      <c r="J1273" s="46"/>
      <c r="K1273" s="46"/>
      <c r="L1273" s="46"/>
      <c r="M1273" s="46"/>
      <c r="N1273" s="46"/>
      <c r="O1273" s="46"/>
      <c r="P1273" s="46"/>
      <c r="Q1273" s="46"/>
      <c r="R1273" s="46"/>
      <c r="S1273" s="46"/>
      <c r="T1273" s="46"/>
      <c r="U1273" s="46"/>
      <c r="V1273" s="46"/>
      <c r="W1273" s="46"/>
      <c r="X1273" s="46"/>
    </row>
    <row r="1274" spans="1:24" x14ac:dyDescent="0.2">
      <c r="A1274" s="45"/>
      <c r="B1274" s="46"/>
      <c r="C1274" s="46"/>
      <c r="D1274" s="46"/>
      <c r="E1274" s="46"/>
      <c r="F1274" s="46"/>
      <c r="G1274" s="46"/>
      <c r="H1274" s="46"/>
      <c r="I1274" s="46"/>
      <c r="J1274" s="46"/>
      <c r="K1274" s="46"/>
      <c r="L1274" s="46"/>
      <c r="M1274" s="46"/>
      <c r="N1274" s="46"/>
      <c r="O1274" s="46"/>
      <c r="P1274" s="46"/>
      <c r="Q1274" s="46"/>
      <c r="R1274" s="46"/>
      <c r="S1274" s="46"/>
      <c r="T1274" s="46"/>
      <c r="U1274" s="46"/>
      <c r="V1274" s="46"/>
      <c r="W1274" s="46"/>
      <c r="X1274" s="46"/>
    </row>
    <row r="1275" spans="1:24" x14ac:dyDescent="0.2">
      <c r="A1275" s="45"/>
      <c r="B1275" s="46"/>
      <c r="C1275" s="46"/>
      <c r="D1275" s="46"/>
      <c r="E1275" s="46"/>
      <c r="F1275" s="46"/>
      <c r="G1275" s="46"/>
      <c r="H1275" s="46"/>
      <c r="I1275" s="46"/>
      <c r="J1275" s="46"/>
      <c r="K1275" s="46"/>
      <c r="L1275" s="46"/>
      <c r="M1275" s="46"/>
      <c r="N1275" s="46"/>
      <c r="O1275" s="46"/>
      <c r="P1275" s="46"/>
      <c r="Q1275" s="46"/>
      <c r="R1275" s="46"/>
      <c r="S1275" s="46"/>
      <c r="T1275" s="46"/>
      <c r="U1275" s="46"/>
      <c r="V1275" s="46"/>
      <c r="W1275" s="46"/>
      <c r="X1275" s="46"/>
    </row>
    <row r="1276" spans="1:24" x14ac:dyDescent="0.2">
      <c r="A1276" s="45"/>
      <c r="B1276" s="46"/>
      <c r="C1276" s="46"/>
      <c r="D1276" s="46"/>
      <c r="E1276" s="46"/>
      <c r="F1276" s="46"/>
      <c r="G1276" s="46"/>
      <c r="H1276" s="46"/>
      <c r="I1276" s="46"/>
      <c r="J1276" s="46"/>
      <c r="K1276" s="46"/>
      <c r="L1276" s="46"/>
      <c r="M1276" s="46"/>
      <c r="N1276" s="46"/>
      <c r="O1276" s="46"/>
      <c r="P1276" s="46"/>
      <c r="Q1276" s="46"/>
      <c r="R1276" s="46"/>
      <c r="S1276" s="46"/>
      <c r="T1276" s="46"/>
      <c r="U1276" s="46"/>
      <c r="V1276" s="46"/>
      <c r="W1276" s="46"/>
      <c r="X1276" s="46"/>
    </row>
    <row r="1277" spans="1:24" x14ac:dyDescent="0.2">
      <c r="A1277" s="45"/>
      <c r="B1277" s="46"/>
      <c r="C1277" s="46"/>
      <c r="D1277" s="46"/>
      <c r="E1277" s="46"/>
      <c r="F1277" s="46"/>
      <c r="G1277" s="46"/>
      <c r="H1277" s="46"/>
      <c r="I1277" s="46"/>
      <c r="J1277" s="46"/>
      <c r="K1277" s="46"/>
      <c r="L1277" s="46"/>
      <c r="M1277" s="46"/>
      <c r="N1277" s="46"/>
      <c r="O1277" s="46"/>
      <c r="P1277" s="46"/>
      <c r="Q1277" s="46"/>
      <c r="R1277" s="46"/>
      <c r="S1277" s="46"/>
      <c r="T1277" s="46"/>
      <c r="U1277" s="46"/>
      <c r="V1277" s="46"/>
      <c r="W1277" s="46"/>
      <c r="X1277" s="46"/>
    </row>
    <row r="1278" spans="1:24" x14ac:dyDescent="0.2">
      <c r="A1278" s="45"/>
      <c r="B1278" s="46"/>
      <c r="C1278" s="46"/>
      <c r="D1278" s="46"/>
      <c r="E1278" s="46"/>
      <c r="F1278" s="46"/>
      <c r="G1278" s="46"/>
      <c r="H1278" s="46"/>
      <c r="I1278" s="46"/>
      <c r="J1278" s="46"/>
      <c r="K1278" s="46"/>
      <c r="L1278" s="46"/>
      <c r="M1278" s="46"/>
      <c r="N1278" s="46"/>
      <c r="O1278" s="46"/>
      <c r="P1278" s="46"/>
      <c r="Q1278" s="46"/>
      <c r="R1278" s="46"/>
      <c r="S1278" s="46"/>
      <c r="T1278" s="46"/>
      <c r="U1278" s="46"/>
      <c r="V1278" s="46"/>
      <c r="W1278" s="46"/>
      <c r="X1278" s="46"/>
    </row>
    <row r="1279" spans="1:24" x14ac:dyDescent="0.2">
      <c r="A1279" s="45"/>
      <c r="B1279" s="46"/>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46"/>
    </row>
    <row r="1280" spans="1:24" x14ac:dyDescent="0.2">
      <c r="A1280" s="45"/>
      <c r="B1280" s="46"/>
      <c r="C1280" s="46"/>
      <c r="D1280" s="46"/>
      <c r="E1280" s="46"/>
      <c r="F1280" s="46"/>
      <c r="G1280" s="46"/>
      <c r="H1280" s="46"/>
      <c r="I1280" s="46"/>
      <c r="J1280" s="46"/>
      <c r="K1280" s="46"/>
      <c r="L1280" s="46"/>
      <c r="M1280" s="46"/>
      <c r="N1280" s="46"/>
      <c r="O1280" s="46"/>
      <c r="P1280" s="46"/>
      <c r="Q1280" s="46"/>
      <c r="R1280" s="46"/>
      <c r="S1280" s="46"/>
      <c r="T1280" s="46"/>
      <c r="U1280" s="46"/>
      <c r="V1280" s="46"/>
      <c r="W1280" s="46"/>
      <c r="X1280" s="46"/>
    </row>
    <row r="1281" spans="1:24" x14ac:dyDescent="0.2">
      <c r="A1281" s="45"/>
      <c r="B1281" s="46"/>
      <c r="C1281" s="46"/>
      <c r="D1281" s="46"/>
      <c r="E1281" s="46"/>
      <c r="F1281" s="46"/>
      <c r="G1281" s="46"/>
      <c r="H1281" s="46"/>
      <c r="I1281" s="46"/>
      <c r="J1281" s="46"/>
      <c r="K1281" s="46"/>
      <c r="L1281" s="46"/>
      <c r="M1281" s="46"/>
      <c r="N1281" s="46"/>
      <c r="O1281" s="46"/>
      <c r="P1281" s="46"/>
      <c r="Q1281" s="46"/>
      <c r="R1281" s="46"/>
      <c r="S1281" s="46"/>
      <c r="T1281" s="46"/>
      <c r="U1281" s="46"/>
      <c r="V1281" s="46"/>
      <c r="W1281" s="46"/>
      <c r="X1281" s="46"/>
    </row>
    <row r="1282" spans="1:24" x14ac:dyDescent="0.2">
      <c r="A1282" s="45"/>
      <c r="B1282" s="46"/>
      <c r="C1282" s="46"/>
      <c r="D1282" s="46"/>
      <c r="E1282" s="46"/>
      <c r="F1282" s="46"/>
      <c r="G1282" s="46"/>
      <c r="H1282" s="46"/>
      <c r="I1282" s="46"/>
      <c r="J1282" s="46"/>
      <c r="K1282" s="46"/>
      <c r="L1282" s="46"/>
      <c r="M1282" s="46"/>
      <c r="N1282" s="46"/>
      <c r="O1282" s="46"/>
      <c r="P1282" s="46"/>
      <c r="Q1282" s="46"/>
      <c r="R1282" s="46"/>
      <c r="S1282" s="46"/>
      <c r="T1282" s="46"/>
      <c r="U1282" s="46"/>
      <c r="V1282" s="46"/>
      <c r="W1282" s="46"/>
      <c r="X1282" s="46"/>
    </row>
    <row r="1283" spans="1:24" x14ac:dyDescent="0.2">
      <c r="A1283" s="45"/>
      <c r="B1283" s="46"/>
      <c r="C1283" s="46"/>
      <c r="D1283" s="46"/>
      <c r="E1283" s="46"/>
      <c r="F1283" s="46"/>
      <c r="G1283" s="46"/>
      <c r="H1283" s="46"/>
      <c r="I1283" s="46"/>
      <c r="J1283" s="46"/>
      <c r="K1283" s="46"/>
      <c r="L1283" s="46"/>
      <c r="M1283" s="46"/>
      <c r="N1283" s="46"/>
      <c r="O1283" s="46"/>
      <c r="P1283" s="46"/>
      <c r="Q1283" s="46"/>
      <c r="R1283" s="46"/>
      <c r="S1283" s="46"/>
      <c r="T1283" s="46"/>
      <c r="U1283" s="46"/>
      <c r="V1283" s="46"/>
      <c r="W1283" s="46"/>
      <c r="X1283" s="46"/>
    </row>
    <row r="1284" spans="1:24" x14ac:dyDescent="0.2">
      <c r="A1284" s="45"/>
      <c r="B1284" s="46"/>
      <c r="C1284" s="46"/>
      <c r="D1284" s="46"/>
      <c r="E1284" s="46"/>
      <c r="F1284" s="46"/>
      <c r="G1284" s="46"/>
      <c r="H1284" s="46"/>
      <c r="I1284" s="46"/>
      <c r="J1284" s="46"/>
      <c r="K1284" s="46"/>
      <c r="L1284" s="46"/>
      <c r="M1284" s="46"/>
      <c r="N1284" s="46"/>
      <c r="O1284" s="46"/>
      <c r="P1284" s="46"/>
      <c r="Q1284" s="46"/>
      <c r="R1284" s="46"/>
      <c r="S1284" s="46"/>
      <c r="T1284" s="46"/>
      <c r="U1284" s="46"/>
      <c r="V1284" s="46"/>
      <c r="W1284" s="46"/>
      <c r="X1284" s="46"/>
    </row>
    <row r="1285" spans="1:24" x14ac:dyDescent="0.2">
      <c r="A1285" s="45"/>
      <c r="B1285" s="46"/>
      <c r="C1285" s="46"/>
      <c r="D1285" s="46"/>
      <c r="E1285" s="46"/>
      <c r="F1285" s="46"/>
      <c r="G1285" s="46"/>
      <c r="H1285" s="46"/>
      <c r="I1285" s="46"/>
      <c r="J1285" s="46"/>
      <c r="K1285" s="46"/>
      <c r="L1285" s="46"/>
      <c r="M1285" s="46"/>
      <c r="N1285" s="46"/>
      <c r="O1285" s="46"/>
      <c r="P1285" s="46"/>
      <c r="Q1285" s="46"/>
      <c r="R1285" s="46"/>
      <c r="S1285" s="46"/>
      <c r="T1285" s="46"/>
      <c r="U1285" s="46"/>
      <c r="V1285" s="46"/>
      <c r="W1285" s="46"/>
      <c r="X1285" s="46"/>
    </row>
    <row r="1286" spans="1:24" x14ac:dyDescent="0.2">
      <c r="A1286" s="45"/>
      <c r="B1286" s="46"/>
      <c r="C1286" s="46"/>
      <c r="D1286" s="46"/>
      <c r="E1286" s="46"/>
      <c r="F1286" s="46"/>
      <c r="G1286" s="46"/>
      <c r="H1286" s="46"/>
      <c r="I1286" s="46"/>
      <c r="J1286" s="46"/>
      <c r="K1286" s="46"/>
      <c r="L1286" s="46"/>
      <c r="M1286" s="46"/>
      <c r="N1286" s="46"/>
      <c r="O1286" s="46"/>
      <c r="P1286" s="46"/>
      <c r="Q1286" s="46"/>
      <c r="R1286" s="46"/>
      <c r="S1286" s="46"/>
      <c r="T1286" s="46"/>
      <c r="U1286" s="46"/>
      <c r="V1286" s="46"/>
      <c r="W1286" s="46"/>
      <c r="X1286" s="46"/>
    </row>
    <row r="1287" spans="1:24" x14ac:dyDescent="0.2">
      <c r="A1287" s="45"/>
      <c r="B1287" s="46"/>
      <c r="C1287" s="46"/>
      <c r="D1287" s="46"/>
      <c r="E1287" s="46"/>
      <c r="F1287" s="46"/>
      <c r="G1287" s="46"/>
      <c r="H1287" s="46"/>
      <c r="I1287" s="46"/>
      <c r="J1287" s="46"/>
      <c r="K1287" s="46"/>
      <c r="L1287" s="46"/>
      <c r="M1287" s="46"/>
      <c r="N1287" s="46"/>
      <c r="O1287" s="46"/>
      <c r="P1287" s="46"/>
      <c r="Q1287" s="46"/>
      <c r="R1287" s="46"/>
      <c r="S1287" s="46"/>
      <c r="T1287" s="46"/>
      <c r="U1287" s="46"/>
      <c r="V1287" s="46"/>
      <c r="W1287" s="46"/>
      <c r="X1287" s="46"/>
    </row>
    <row r="1288" spans="1:24" x14ac:dyDescent="0.2">
      <c r="A1288" s="45"/>
      <c r="B1288" s="46"/>
      <c r="C1288" s="46"/>
      <c r="D1288" s="46"/>
      <c r="E1288" s="46"/>
      <c r="F1288" s="46"/>
      <c r="G1288" s="46"/>
      <c r="H1288" s="46"/>
      <c r="I1288" s="46"/>
      <c r="J1288" s="46"/>
      <c r="K1288" s="46"/>
      <c r="L1288" s="46"/>
      <c r="M1288" s="46"/>
      <c r="N1288" s="46"/>
      <c r="O1288" s="46"/>
      <c r="P1288" s="46"/>
      <c r="Q1288" s="46"/>
      <c r="R1288" s="46"/>
      <c r="S1288" s="46"/>
      <c r="T1288" s="46"/>
      <c r="U1288" s="46"/>
      <c r="V1288" s="46"/>
      <c r="W1288" s="46"/>
      <c r="X1288" s="46"/>
    </row>
    <row r="1289" spans="1:24" x14ac:dyDescent="0.2">
      <c r="A1289" s="45"/>
      <c r="B1289" s="46"/>
      <c r="C1289" s="46"/>
      <c r="D1289" s="46"/>
      <c r="E1289" s="46"/>
      <c r="F1289" s="46"/>
      <c r="G1289" s="46"/>
      <c r="H1289" s="46"/>
      <c r="I1289" s="46"/>
      <c r="J1289" s="46"/>
      <c r="K1289" s="46"/>
      <c r="L1289" s="46"/>
      <c r="M1289" s="46"/>
      <c r="N1289" s="46"/>
      <c r="O1289" s="46"/>
      <c r="P1289" s="46"/>
      <c r="Q1289" s="46"/>
      <c r="R1289" s="46"/>
      <c r="S1289" s="46"/>
      <c r="T1289" s="46"/>
      <c r="U1289" s="46"/>
      <c r="V1289" s="46"/>
      <c r="W1289" s="46"/>
      <c r="X1289" s="46"/>
    </row>
    <row r="1290" spans="1:24" x14ac:dyDescent="0.2">
      <c r="A1290" s="45"/>
      <c r="B1290" s="46"/>
      <c r="C1290" s="46"/>
      <c r="D1290" s="46"/>
      <c r="E1290" s="46"/>
      <c r="F1290" s="46"/>
      <c r="G1290" s="46"/>
      <c r="H1290" s="46"/>
      <c r="I1290" s="46"/>
      <c r="J1290" s="46"/>
      <c r="K1290" s="46"/>
      <c r="L1290" s="46"/>
      <c r="M1290" s="46"/>
      <c r="N1290" s="46"/>
      <c r="O1290" s="46"/>
      <c r="P1290" s="46"/>
      <c r="Q1290" s="46"/>
      <c r="R1290" s="46"/>
      <c r="S1290" s="46"/>
      <c r="T1290" s="46"/>
      <c r="U1290" s="46"/>
      <c r="V1290" s="46"/>
      <c r="W1290" s="46"/>
      <c r="X1290" s="46"/>
    </row>
    <row r="1291" spans="1:24" x14ac:dyDescent="0.2">
      <c r="A1291" s="45"/>
      <c r="B1291" s="46"/>
      <c r="C1291" s="46"/>
      <c r="D1291" s="46"/>
      <c r="E1291" s="46"/>
      <c r="F1291" s="46"/>
      <c r="G1291" s="46"/>
      <c r="H1291" s="46"/>
      <c r="I1291" s="46"/>
      <c r="J1291" s="46"/>
      <c r="K1291" s="46"/>
      <c r="L1291" s="46"/>
      <c r="M1291" s="46"/>
      <c r="N1291" s="46"/>
      <c r="O1291" s="46"/>
      <c r="P1291" s="46"/>
      <c r="Q1291" s="46"/>
      <c r="R1291" s="46"/>
      <c r="S1291" s="46"/>
      <c r="T1291" s="46"/>
      <c r="U1291" s="46"/>
      <c r="V1291" s="46"/>
      <c r="W1291" s="46"/>
      <c r="X1291" s="46"/>
    </row>
    <row r="1292" spans="1:24" x14ac:dyDescent="0.2">
      <c r="A1292" s="45"/>
      <c r="B1292" s="46"/>
      <c r="C1292" s="46"/>
      <c r="D1292" s="46"/>
      <c r="E1292" s="46"/>
      <c r="F1292" s="46"/>
      <c r="G1292" s="46"/>
      <c r="H1292" s="46"/>
      <c r="I1292" s="46"/>
      <c r="J1292" s="46"/>
      <c r="K1292" s="46"/>
      <c r="L1292" s="46"/>
      <c r="M1292" s="46"/>
      <c r="N1292" s="46"/>
      <c r="O1292" s="46"/>
      <c r="P1292" s="46"/>
      <c r="Q1292" s="46"/>
      <c r="R1292" s="46"/>
      <c r="S1292" s="46"/>
      <c r="T1292" s="46"/>
      <c r="U1292" s="46"/>
      <c r="V1292" s="46"/>
      <c r="W1292" s="46"/>
      <c r="X1292" s="46"/>
    </row>
    <row r="1293" spans="1:24" x14ac:dyDescent="0.2">
      <c r="A1293" s="45"/>
      <c r="B1293" s="46"/>
      <c r="C1293" s="46"/>
      <c r="D1293" s="46"/>
      <c r="E1293" s="46"/>
      <c r="F1293" s="46"/>
      <c r="G1293" s="46"/>
      <c r="H1293" s="46"/>
      <c r="I1293" s="46"/>
      <c r="J1293" s="46"/>
      <c r="K1293" s="46"/>
      <c r="L1293" s="46"/>
      <c r="M1293" s="46"/>
      <c r="N1293" s="46"/>
      <c r="O1293" s="46"/>
      <c r="P1293" s="46"/>
      <c r="Q1293" s="46"/>
      <c r="R1293" s="46"/>
      <c r="S1293" s="46"/>
      <c r="T1293" s="46"/>
      <c r="U1293" s="46"/>
      <c r="V1293" s="46"/>
      <c r="W1293" s="46"/>
      <c r="X1293" s="46"/>
    </row>
    <row r="1294" spans="1:24" x14ac:dyDescent="0.2">
      <c r="A1294" s="45"/>
      <c r="B1294" s="46"/>
      <c r="C1294" s="46"/>
      <c r="D1294" s="46"/>
      <c r="E1294" s="46"/>
      <c r="F1294" s="46"/>
      <c r="G1294" s="46"/>
      <c r="H1294" s="46"/>
      <c r="I1294" s="46"/>
      <c r="J1294" s="46"/>
      <c r="K1294" s="46"/>
      <c r="L1294" s="46"/>
      <c r="M1294" s="46"/>
      <c r="N1294" s="46"/>
      <c r="O1294" s="46"/>
      <c r="P1294" s="46"/>
      <c r="Q1294" s="46"/>
      <c r="R1294" s="46"/>
      <c r="S1294" s="46"/>
      <c r="T1294" s="46"/>
      <c r="U1294" s="46"/>
      <c r="V1294" s="46"/>
      <c r="W1294" s="46"/>
      <c r="X1294" s="46"/>
    </row>
    <row r="1295" spans="1:24" x14ac:dyDescent="0.2">
      <c r="A1295" s="45"/>
      <c r="B1295" s="46"/>
      <c r="C1295" s="46"/>
      <c r="D1295" s="46"/>
      <c r="E1295" s="46"/>
      <c r="F1295" s="46"/>
      <c r="G1295" s="46"/>
      <c r="H1295" s="46"/>
      <c r="I1295" s="46"/>
      <c r="J1295" s="46"/>
      <c r="K1295" s="46"/>
      <c r="L1295" s="46"/>
      <c r="M1295" s="46"/>
      <c r="N1295" s="46"/>
      <c r="O1295" s="46"/>
      <c r="P1295" s="46"/>
      <c r="Q1295" s="46"/>
      <c r="R1295" s="46"/>
      <c r="S1295" s="46"/>
      <c r="T1295" s="46"/>
      <c r="U1295" s="46"/>
      <c r="V1295" s="46"/>
      <c r="W1295" s="46"/>
      <c r="X1295" s="46"/>
    </row>
    <row r="1296" spans="1:24" x14ac:dyDescent="0.2">
      <c r="A1296" s="45"/>
      <c r="B1296" s="46"/>
      <c r="C1296" s="46"/>
      <c r="D1296" s="46"/>
      <c r="E1296" s="46"/>
      <c r="F1296" s="46"/>
      <c r="G1296" s="46"/>
      <c r="H1296" s="46"/>
      <c r="I1296" s="46"/>
      <c r="J1296" s="46"/>
      <c r="K1296" s="46"/>
      <c r="L1296" s="46"/>
      <c r="M1296" s="46"/>
      <c r="N1296" s="46"/>
      <c r="O1296" s="46"/>
      <c r="P1296" s="46"/>
      <c r="Q1296" s="46"/>
      <c r="R1296" s="46"/>
      <c r="S1296" s="46"/>
      <c r="T1296" s="46"/>
      <c r="U1296" s="46"/>
      <c r="V1296" s="46"/>
      <c r="W1296" s="46"/>
      <c r="X1296" s="46"/>
    </row>
    <row r="1297" spans="1:24" x14ac:dyDescent="0.2">
      <c r="A1297" s="45"/>
      <c r="B1297" s="46"/>
      <c r="C1297" s="46"/>
      <c r="D1297" s="46"/>
      <c r="E1297" s="46"/>
      <c r="F1297" s="46"/>
      <c r="G1297" s="46"/>
      <c r="H1297" s="46"/>
      <c r="I1297" s="46"/>
      <c r="J1297" s="46"/>
      <c r="K1297" s="46"/>
      <c r="L1297" s="46"/>
      <c r="M1297" s="46"/>
      <c r="N1297" s="46"/>
      <c r="O1297" s="46"/>
      <c r="P1297" s="46"/>
      <c r="Q1297" s="46"/>
      <c r="R1297" s="46"/>
      <c r="S1297" s="46"/>
      <c r="T1297" s="46"/>
      <c r="U1297" s="46"/>
      <c r="V1297" s="46"/>
      <c r="W1297" s="46"/>
      <c r="X1297" s="46"/>
    </row>
    <row r="1298" spans="1:24" x14ac:dyDescent="0.2">
      <c r="A1298" s="45"/>
      <c r="B1298" s="46"/>
      <c r="C1298" s="46"/>
      <c r="D1298" s="46"/>
      <c r="E1298" s="46"/>
      <c r="F1298" s="46"/>
      <c r="G1298" s="46"/>
      <c r="H1298" s="46"/>
      <c r="I1298" s="46"/>
      <c r="J1298" s="46"/>
      <c r="K1298" s="46"/>
      <c r="L1298" s="46"/>
      <c r="M1298" s="46"/>
      <c r="N1298" s="46"/>
      <c r="O1298" s="46"/>
      <c r="P1298" s="46"/>
      <c r="Q1298" s="46"/>
      <c r="R1298" s="46"/>
      <c r="S1298" s="46"/>
      <c r="T1298" s="46"/>
      <c r="U1298" s="46"/>
      <c r="V1298" s="46"/>
      <c r="W1298" s="46"/>
      <c r="X1298" s="46"/>
    </row>
    <row r="1299" spans="1:24" x14ac:dyDescent="0.2">
      <c r="A1299" s="45"/>
      <c r="B1299" s="46"/>
      <c r="C1299" s="46"/>
      <c r="D1299" s="46"/>
      <c r="E1299" s="46"/>
      <c r="F1299" s="46"/>
      <c r="G1299" s="46"/>
      <c r="H1299" s="46"/>
      <c r="I1299" s="46"/>
      <c r="J1299" s="46"/>
      <c r="K1299" s="46"/>
      <c r="L1299" s="46"/>
      <c r="M1299" s="46"/>
      <c r="N1299" s="46"/>
      <c r="O1299" s="46"/>
      <c r="P1299" s="46"/>
      <c r="Q1299" s="46"/>
      <c r="R1299" s="46"/>
      <c r="S1299" s="46"/>
      <c r="T1299" s="46"/>
      <c r="U1299" s="46"/>
      <c r="V1299" s="46"/>
      <c r="W1299" s="46"/>
      <c r="X1299" s="46"/>
    </row>
    <row r="1300" spans="1:24" x14ac:dyDescent="0.2">
      <c r="A1300" s="45"/>
      <c r="B1300" s="46"/>
      <c r="C1300" s="46"/>
      <c r="D1300" s="46"/>
      <c r="E1300" s="46"/>
      <c r="F1300" s="46"/>
      <c r="G1300" s="46"/>
      <c r="H1300" s="46"/>
      <c r="I1300" s="46"/>
      <c r="J1300" s="46"/>
      <c r="K1300" s="46"/>
      <c r="L1300" s="46"/>
      <c r="M1300" s="46"/>
      <c r="N1300" s="46"/>
      <c r="O1300" s="46"/>
      <c r="P1300" s="46"/>
      <c r="Q1300" s="46"/>
      <c r="R1300" s="46"/>
      <c r="S1300" s="46"/>
      <c r="T1300" s="46"/>
      <c r="U1300" s="46"/>
      <c r="V1300" s="46"/>
      <c r="W1300" s="46"/>
      <c r="X1300" s="46"/>
    </row>
    <row r="1301" spans="1:24" x14ac:dyDescent="0.2">
      <c r="A1301" s="45"/>
      <c r="B1301" s="46"/>
      <c r="C1301" s="46"/>
      <c r="D1301" s="46"/>
      <c r="E1301" s="46"/>
      <c r="F1301" s="46"/>
      <c r="G1301" s="46"/>
      <c r="H1301" s="46"/>
      <c r="I1301" s="46"/>
      <c r="J1301" s="46"/>
      <c r="K1301" s="46"/>
      <c r="L1301" s="46"/>
      <c r="M1301" s="46"/>
      <c r="N1301" s="46"/>
      <c r="O1301" s="46"/>
      <c r="P1301" s="46"/>
      <c r="Q1301" s="46"/>
      <c r="R1301" s="46"/>
      <c r="S1301" s="46"/>
      <c r="T1301" s="46"/>
      <c r="U1301" s="46"/>
      <c r="V1301" s="46"/>
      <c r="W1301" s="46"/>
      <c r="X1301" s="46"/>
    </row>
    <row r="1302" spans="1:24" x14ac:dyDescent="0.2">
      <c r="A1302" s="45"/>
      <c r="B1302" s="46"/>
      <c r="C1302" s="46"/>
      <c r="D1302" s="46"/>
      <c r="E1302" s="46"/>
      <c r="F1302" s="46"/>
      <c r="G1302" s="46"/>
      <c r="H1302" s="46"/>
      <c r="I1302" s="46"/>
      <c r="J1302" s="46"/>
      <c r="K1302" s="46"/>
      <c r="L1302" s="46"/>
      <c r="M1302" s="46"/>
      <c r="N1302" s="46"/>
      <c r="O1302" s="46"/>
      <c r="P1302" s="46"/>
      <c r="Q1302" s="46"/>
      <c r="R1302" s="46"/>
      <c r="S1302" s="46"/>
      <c r="T1302" s="46"/>
      <c r="U1302" s="46"/>
      <c r="V1302" s="46"/>
      <c r="W1302" s="46"/>
      <c r="X1302" s="46"/>
    </row>
    <row r="1303" spans="1:24" x14ac:dyDescent="0.2">
      <c r="A1303" s="45"/>
      <c r="B1303" s="46"/>
      <c r="C1303" s="46"/>
      <c r="D1303" s="46"/>
      <c r="E1303" s="46"/>
      <c r="F1303" s="46"/>
      <c r="G1303" s="46"/>
      <c r="H1303" s="46"/>
      <c r="I1303" s="46"/>
      <c r="J1303" s="46"/>
      <c r="K1303" s="46"/>
      <c r="L1303" s="46"/>
      <c r="M1303" s="46"/>
      <c r="N1303" s="46"/>
      <c r="O1303" s="46"/>
      <c r="P1303" s="46"/>
      <c r="Q1303" s="46"/>
      <c r="R1303" s="46"/>
      <c r="S1303" s="46"/>
      <c r="T1303" s="46"/>
      <c r="U1303" s="46"/>
      <c r="V1303" s="46"/>
      <c r="W1303" s="46"/>
      <c r="X1303" s="46"/>
    </row>
    <row r="1304" spans="1:24" x14ac:dyDescent="0.2">
      <c r="A1304" s="45"/>
      <c r="B1304" s="46"/>
      <c r="C1304" s="46"/>
      <c r="D1304" s="46"/>
      <c r="E1304" s="46"/>
      <c r="F1304" s="46"/>
      <c r="G1304" s="46"/>
      <c r="H1304" s="46"/>
      <c r="I1304" s="46"/>
      <c r="J1304" s="46"/>
      <c r="K1304" s="46"/>
      <c r="L1304" s="46"/>
      <c r="M1304" s="46"/>
      <c r="N1304" s="46"/>
      <c r="O1304" s="46"/>
      <c r="P1304" s="46"/>
      <c r="Q1304" s="46"/>
      <c r="R1304" s="46"/>
      <c r="S1304" s="46"/>
      <c r="T1304" s="46"/>
      <c r="U1304" s="46"/>
      <c r="V1304" s="46"/>
      <c r="W1304" s="46"/>
      <c r="X1304" s="46"/>
    </row>
    <row r="1305" spans="1:24" x14ac:dyDescent="0.2">
      <c r="A1305" s="45"/>
      <c r="B1305" s="46"/>
      <c r="C1305" s="46"/>
      <c r="D1305" s="46"/>
      <c r="E1305" s="46"/>
      <c r="F1305" s="46"/>
      <c r="G1305" s="46"/>
      <c r="H1305" s="46"/>
      <c r="I1305" s="46"/>
      <c r="J1305" s="46"/>
      <c r="K1305" s="46"/>
      <c r="L1305" s="46"/>
      <c r="M1305" s="46"/>
      <c r="N1305" s="46"/>
      <c r="O1305" s="46"/>
      <c r="P1305" s="46"/>
      <c r="Q1305" s="46"/>
      <c r="R1305" s="46"/>
      <c r="S1305" s="46"/>
      <c r="T1305" s="46"/>
      <c r="U1305" s="46"/>
      <c r="V1305" s="46"/>
      <c r="W1305" s="46"/>
      <c r="X1305" s="46"/>
    </row>
    <row r="1306" spans="1:24" x14ac:dyDescent="0.2">
      <c r="A1306" s="45"/>
      <c r="B1306" s="46"/>
      <c r="C1306" s="46"/>
      <c r="D1306" s="46"/>
      <c r="E1306" s="46"/>
      <c r="F1306" s="46"/>
      <c r="G1306" s="46"/>
      <c r="H1306" s="46"/>
      <c r="I1306" s="46"/>
      <c r="J1306" s="46"/>
      <c r="K1306" s="46"/>
      <c r="L1306" s="46"/>
      <c r="M1306" s="46"/>
      <c r="N1306" s="46"/>
      <c r="O1306" s="46"/>
      <c r="P1306" s="46"/>
      <c r="Q1306" s="46"/>
      <c r="R1306" s="46"/>
      <c r="S1306" s="46"/>
      <c r="T1306" s="46"/>
      <c r="U1306" s="46"/>
      <c r="V1306" s="46"/>
      <c r="W1306" s="46"/>
      <c r="X1306" s="46"/>
    </row>
    <row r="1307" spans="1:24" x14ac:dyDescent="0.2">
      <c r="A1307" s="45"/>
      <c r="B1307" s="46"/>
      <c r="C1307" s="46"/>
      <c r="D1307" s="46"/>
      <c r="E1307" s="46"/>
      <c r="F1307" s="46"/>
      <c r="G1307" s="46"/>
      <c r="H1307" s="46"/>
      <c r="I1307" s="46"/>
      <c r="J1307" s="46"/>
      <c r="K1307" s="46"/>
      <c r="L1307" s="46"/>
      <c r="M1307" s="46"/>
      <c r="N1307" s="46"/>
      <c r="O1307" s="46"/>
      <c r="P1307" s="46"/>
      <c r="Q1307" s="46"/>
      <c r="R1307" s="46"/>
      <c r="S1307" s="46"/>
      <c r="T1307" s="46"/>
      <c r="U1307" s="46"/>
      <c r="V1307" s="46"/>
      <c r="W1307" s="46"/>
      <c r="X1307" s="46"/>
    </row>
    <row r="1308" spans="1:24" x14ac:dyDescent="0.2">
      <c r="A1308" s="45"/>
      <c r="B1308" s="46"/>
      <c r="C1308" s="46"/>
      <c r="D1308" s="46"/>
      <c r="E1308" s="46"/>
      <c r="F1308" s="46"/>
      <c r="G1308" s="46"/>
      <c r="H1308" s="46"/>
      <c r="I1308" s="46"/>
      <c r="J1308" s="46"/>
      <c r="K1308" s="46"/>
      <c r="L1308" s="46"/>
      <c r="M1308" s="46"/>
      <c r="N1308" s="46"/>
      <c r="O1308" s="46"/>
      <c r="P1308" s="46"/>
      <c r="Q1308" s="46"/>
      <c r="R1308" s="46"/>
      <c r="S1308" s="46"/>
      <c r="T1308" s="46"/>
      <c r="U1308" s="46"/>
      <c r="V1308" s="46"/>
      <c r="W1308" s="46"/>
      <c r="X1308" s="46"/>
    </row>
    <row r="1309" spans="1:24" x14ac:dyDescent="0.2">
      <c r="A1309" s="45"/>
      <c r="B1309" s="46"/>
      <c r="C1309" s="46"/>
      <c r="D1309" s="46"/>
      <c r="E1309" s="46"/>
      <c r="F1309" s="46"/>
      <c r="G1309" s="46"/>
      <c r="H1309" s="46"/>
      <c r="I1309" s="46"/>
      <c r="J1309" s="46"/>
      <c r="K1309" s="46"/>
      <c r="L1309" s="46"/>
      <c r="M1309" s="46"/>
      <c r="N1309" s="46"/>
      <c r="O1309" s="46"/>
      <c r="P1309" s="46"/>
      <c r="Q1309" s="46"/>
      <c r="R1309" s="46"/>
      <c r="S1309" s="46"/>
      <c r="T1309" s="46"/>
      <c r="U1309" s="46"/>
      <c r="V1309" s="46"/>
      <c r="W1309" s="46"/>
      <c r="X1309" s="46"/>
    </row>
    <row r="1310" spans="1:24" x14ac:dyDescent="0.2">
      <c r="A1310" s="45"/>
      <c r="B1310" s="46"/>
      <c r="C1310" s="46"/>
      <c r="D1310" s="46"/>
      <c r="E1310" s="46"/>
      <c r="F1310" s="46"/>
      <c r="G1310" s="46"/>
      <c r="H1310" s="46"/>
      <c r="I1310" s="46"/>
      <c r="J1310" s="46"/>
      <c r="K1310" s="46"/>
      <c r="L1310" s="46"/>
      <c r="M1310" s="46"/>
      <c r="N1310" s="46"/>
      <c r="O1310" s="46"/>
      <c r="P1310" s="46"/>
      <c r="Q1310" s="46"/>
      <c r="R1310" s="46"/>
      <c r="S1310" s="46"/>
      <c r="T1310" s="46"/>
      <c r="U1310" s="46"/>
      <c r="V1310" s="46"/>
      <c r="W1310" s="46"/>
      <c r="X1310" s="46"/>
    </row>
    <row r="1311" spans="1:24" x14ac:dyDescent="0.2">
      <c r="A1311" s="45"/>
      <c r="B1311" s="46"/>
      <c r="C1311" s="46"/>
      <c r="D1311" s="46"/>
      <c r="E1311" s="46"/>
      <c r="F1311" s="46"/>
      <c r="G1311" s="46"/>
      <c r="H1311" s="46"/>
      <c r="I1311" s="46"/>
      <c r="J1311" s="46"/>
      <c r="K1311" s="46"/>
      <c r="L1311" s="46"/>
      <c r="M1311" s="46"/>
      <c r="N1311" s="46"/>
      <c r="O1311" s="46"/>
      <c r="P1311" s="46"/>
      <c r="Q1311" s="46"/>
      <c r="R1311" s="46"/>
      <c r="S1311" s="46"/>
      <c r="T1311" s="46"/>
      <c r="U1311" s="46"/>
      <c r="V1311" s="46"/>
      <c r="W1311" s="46"/>
      <c r="X1311" s="46"/>
    </row>
    <row r="1312" spans="1:24" x14ac:dyDescent="0.2">
      <c r="A1312" s="45"/>
      <c r="B1312" s="46"/>
      <c r="C1312" s="46"/>
      <c r="D1312" s="46"/>
      <c r="E1312" s="46"/>
      <c r="F1312" s="46"/>
      <c r="G1312" s="46"/>
      <c r="H1312" s="46"/>
      <c r="I1312" s="46"/>
      <c r="J1312" s="46"/>
      <c r="K1312" s="46"/>
      <c r="L1312" s="46"/>
      <c r="M1312" s="46"/>
      <c r="N1312" s="46"/>
      <c r="O1312" s="46"/>
      <c r="P1312" s="46"/>
      <c r="Q1312" s="46"/>
      <c r="R1312" s="46"/>
      <c r="S1312" s="46"/>
      <c r="T1312" s="46"/>
      <c r="U1312" s="46"/>
      <c r="V1312" s="46"/>
      <c r="W1312" s="46"/>
      <c r="X1312" s="46"/>
    </row>
    <row r="1313" spans="1:24" x14ac:dyDescent="0.2">
      <c r="A1313" s="45"/>
      <c r="B1313" s="46"/>
      <c r="C1313" s="46"/>
      <c r="D1313" s="46"/>
      <c r="E1313" s="46"/>
      <c r="F1313" s="46"/>
      <c r="G1313" s="46"/>
      <c r="H1313" s="46"/>
      <c r="I1313" s="46"/>
      <c r="J1313" s="46"/>
      <c r="K1313" s="46"/>
      <c r="L1313" s="46"/>
      <c r="M1313" s="46"/>
      <c r="N1313" s="46"/>
      <c r="O1313" s="46"/>
      <c r="P1313" s="46"/>
      <c r="Q1313" s="46"/>
      <c r="R1313" s="46"/>
      <c r="S1313" s="46"/>
      <c r="T1313" s="46"/>
      <c r="U1313" s="46"/>
      <c r="V1313" s="46"/>
      <c r="W1313" s="46"/>
      <c r="X1313" s="46"/>
    </row>
    <row r="1314" spans="1:24" x14ac:dyDescent="0.2">
      <c r="A1314" s="45"/>
      <c r="B1314" s="46"/>
      <c r="C1314" s="46"/>
      <c r="D1314" s="46"/>
      <c r="E1314" s="46"/>
      <c r="F1314" s="46"/>
      <c r="G1314" s="46"/>
      <c r="H1314" s="46"/>
      <c r="I1314" s="46"/>
      <c r="J1314" s="46"/>
      <c r="K1314" s="46"/>
      <c r="L1314" s="46"/>
      <c r="M1314" s="46"/>
      <c r="N1314" s="46"/>
      <c r="O1314" s="46"/>
      <c r="P1314" s="46"/>
      <c r="Q1314" s="46"/>
      <c r="R1314" s="46"/>
      <c r="S1314" s="46"/>
      <c r="T1314" s="46"/>
      <c r="U1314" s="46"/>
      <c r="V1314" s="46"/>
      <c r="W1314" s="46"/>
      <c r="X1314" s="46"/>
    </row>
    <row r="1315" spans="1:24" x14ac:dyDescent="0.2">
      <c r="A1315" s="45"/>
      <c r="B1315" s="46"/>
      <c r="C1315" s="46"/>
      <c r="D1315" s="46"/>
      <c r="E1315" s="46"/>
      <c r="F1315" s="46"/>
      <c r="G1315" s="46"/>
      <c r="H1315" s="46"/>
      <c r="I1315" s="46"/>
      <c r="J1315" s="46"/>
      <c r="K1315" s="46"/>
      <c r="L1315" s="46"/>
      <c r="M1315" s="46"/>
      <c r="N1315" s="46"/>
      <c r="O1315" s="46"/>
      <c r="P1315" s="46"/>
      <c r="Q1315" s="46"/>
      <c r="R1315" s="46"/>
      <c r="S1315" s="46"/>
      <c r="T1315" s="46"/>
      <c r="U1315" s="46"/>
      <c r="V1315" s="46"/>
      <c r="W1315" s="46"/>
      <c r="X1315" s="46"/>
    </row>
    <row r="1316" spans="1:24" x14ac:dyDescent="0.2">
      <c r="A1316" s="45"/>
      <c r="B1316" s="46"/>
      <c r="C1316" s="46"/>
      <c r="D1316" s="46"/>
      <c r="E1316" s="46"/>
      <c r="F1316" s="46"/>
      <c r="G1316" s="46"/>
      <c r="H1316" s="46"/>
      <c r="I1316" s="46"/>
      <c r="J1316" s="46"/>
      <c r="K1316" s="46"/>
      <c r="L1316" s="46"/>
      <c r="M1316" s="46"/>
      <c r="N1316" s="46"/>
      <c r="O1316" s="46"/>
      <c r="P1316" s="46"/>
      <c r="Q1316" s="46"/>
      <c r="R1316" s="46"/>
      <c r="S1316" s="46"/>
      <c r="T1316" s="46"/>
      <c r="U1316" s="46"/>
      <c r="V1316" s="46"/>
      <c r="W1316" s="46"/>
      <c r="X1316" s="46"/>
    </row>
    <row r="1317" spans="1:24" x14ac:dyDescent="0.2">
      <c r="A1317" s="45"/>
      <c r="B1317" s="46"/>
      <c r="C1317" s="46"/>
      <c r="D1317" s="46"/>
      <c r="E1317" s="46"/>
      <c r="F1317" s="46"/>
      <c r="G1317" s="46"/>
      <c r="H1317" s="46"/>
      <c r="I1317" s="46"/>
      <c r="J1317" s="46"/>
      <c r="K1317" s="46"/>
      <c r="L1317" s="46"/>
      <c r="M1317" s="46"/>
      <c r="N1317" s="46"/>
      <c r="O1317" s="46"/>
      <c r="P1317" s="46"/>
      <c r="Q1317" s="46"/>
      <c r="R1317" s="46"/>
      <c r="S1317" s="46"/>
      <c r="T1317" s="46"/>
      <c r="U1317" s="46"/>
      <c r="V1317" s="46"/>
      <c r="W1317" s="46"/>
      <c r="X1317" s="46"/>
    </row>
    <row r="1318" spans="1:24" x14ac:dyDescent="0.2">
      <c r="A1318" s="45"/>
      <c r="B1318" s="46"/>
      <c r="C1318" s="46"/>
      <c r="D1318" s="46"/>
      <c r="E1318" s="46"/>
      <c r="F1318" s="46"/>
      <c r="G1318" s="46"/>
      <c r="H1318" s="46"/>
      <c r="I1318" s="46"/>
      <c r="J1318" s="46"/>
      <c r="K1318" s="46"/>
      <c r="L1318" s="46"/>
      <c r="M1318" s="46"/>
      <c r="N1318" s="46"/>
      <c r="O1318" s="46"/>
      <c r="P1318" s="46"/>
      <c r="Q1318" s="46"/>
      <c r="R1318" s="46"/>
      <c r="S1318" s="46"/>
      <c r="T1318" s="46"/>
      <c r="U1318" s="46"/>
      <c r="V1318" s="46"/>
      <c r="W1318" s="46"/>
      <c r="X1318" s="46"/>
    </row>
    <row r="1319" spans="1:24" x14ac:dyDescent="0.2">
      <c r="A1319" s="45"/>
      <c r="B1319" s="46"/>
      <c r="C1319" s="46"/>
      <c r="D1319" s="46"/>
      <c r="E1319" s="46"/>
      <c r="F1319" s="46"/>
      <c r="G1319" s="46"/>
      <c r="H1319" s="46"/>
      <c r="I1319" s="46"/>
      <c r="J1319" s="46"/>
      <c r="K1319" s="46"/>
      <c r="L1319" s="46"/>
      <c r="M1319" s="46"/>
      <c r="N1319" s="46"/>
      <c r="O1319" s="46"/>
      <c r="P1319" s="46"/>
      <c r="Q1319" s="46"/>
      <c r="R1319" s="46"/>
      <c r="S1319" s="46"/>
      <c r="T1319" s="46"/>
      <c r="U1319" s="46"/>
      <c r="V1319" s="46"/>
      <c r="W1319" s="46"/>
      <c r="X1319" s="46"/>
    </row>
    <row r="1320" spans="1:24" x14ac:dyDescent="0.2">
      <c r="A1320" s="45"/>
      <c r="B1320" s="46"/>
      <c r="C1320" s="46"/>
      <c r="D1320" s="46"/>
      <c r="E1320" s="46"/>
      <c r="F1320" s="46"/>
      <c r="G1320" s="46"/>
      <c r="H1320" s="46"/>
      <c r="I1320" s="46"/>
      <c r="J1320" s="46"/>
      <c r="K1320" s="46"/>
      <c r="L1320" s="46"/>
      <c r="M1320" s="46"/>
      <c r="N1320" s="46"/>
      <c r="O1320" s="46"/>
      <c r="P1320" s="46"/>
      <c r="Q1320" s="46"/>
      <c r="R1320" s="46"/>
      <c r="S1320" s="46"/>
      <c r="T1320" s="46"/>
      <c r="U1320" s="46"/>
      <c r="V1320" s="46"/>
      <c r="W1320" s="46"/>
      <c r="X1320" s="46"/>
    </row>
    <row r="1321" spans="1:24" x14ac:dyDescent="0.2">
      <c r="A1321" s="45"/>
      <c r="B1321" s="46"/>
      <c r="C1321" s="46"/>
      <c r="D1321" s="46"/>
      <c r="E1321" s="46"/>
      <c r="F1321" s="46"/>
      <c r="G1321" s="46"/>
      <c r="H1321" s="46"/>
      <c r="I1321" s="46"/>
      <c r="J1321" s="46"/>
      <c r="K1321" s="46"/>
      <c r="L1321" s="46"/>
      <c r="M1321" s="46"/>
      <c r="N1321" s="46"/>
      <c r="O1321" s="46"/>
      <c r="P1321" s="46"/>
      <c r="Q1321" s="46"/>
      <c r="R1321" s="46"/>
      <c r="S1321" s="46"/>
      <c r="T1321" s="46"/>
      <c r="U1321" s="46"/>
      <c r="V1321" s="46"/>
      <c r="W1321" s="46"/>
      <c r="X1321" s="46"/>
    </row>
    <row r="1322" spans="1:24" x14ac:dyDescent="0.2">
      <c r="A1322" s="45"/>
      <c r="B1322" s="46"/>
      <c r="C1322" s="46"/>
      <c r="D1322" s="46"/>
      <c r="E1322" s="46"/>
      <c r="F1322" s="46"/>
      <c r="G1322" s="46"/>
      <c r="H1322" s="46"/>
      <c r="I1322" s="46"/>
      <c r="J1322" s="46"/>
      <c r="K1322" s="46"/>
      <c r="L1322" s="46"/>
      <c r="M1322" s="46"/>
      <c r="N1322" s="46"/>
      <c r="O1322" s="46"/>
      <c r="P1322" s="46"/>
      <c r="Q1322" s="46"/>
      <c r="R1322" s="46"/>
      <c r="S1322" s="46"/>
      <c r="T1322" s="46"/>
      <c r="U1322" s="46"/>
      <c r="V1322" s="46"/>
      <c r="W1322" s="46"/>
      <c r="X1322" s="46"/>
    </row>
    <row r="1323" spans="1:24" x14ac:dyDescent="0.2">
      <c r="A1323" s="45"/>
      <c r="B1323" s="46"/>
      <c r="C1323" s="46"/>
      <c r="D1323" s="46"/>
      <c r="E1323" s="46"/>
      <c r="F1323" s="46"/>
      <c r="G1323" s="46"/>
      <c r="H1323" s="46"/>
      <c r="I1323" s="46"/>
      <c r="J1323" s="46"/>
      <c r="K1323" s="46"/>
      <c r="L1323" s="46"/>
      <c r="M1323" s="46"/>
      <c r="N1323" s="46"/>
      <c r="O1323" s="46"/>
      <c r="P1323" s="46"/>
      <c r="Q1323" s="46"/>
      <c r="R1323" s="46"/>
      <c r="S1323" s="46"/>
      <c r="T1323" s="46"/>
      <c r="U1323" s="46"/>
      <c r="V1323" s="46"/>
      <c r="W1323" s="46"/>
      <c r="X1323" s="46"/>
    </row>
    <row r="1324" spans="1:24" x14ac:dyDescent="0.2">
      <c r="A1324" s="45"/>
      <c r="B1324" s="46"/>
      <c r="C1324" s="46"/>
      <c r="D1324" s="46"/>
      <c r="E1324" s="46"/>
      <c r="F1324" s="46"/>
      <c r="G1324" s="46"/>
      <c r="H1324" s="46"/>
      <c r="I1324" s="46"/>
      <c r="J1324" s="46"/>
      <c r="K1324" s="46"/>
      <c r="L1324" s="46"/>
      <c r="M1324" s="46"/>
      <c r="N1324" s="46"/>
      <c r="O1324" s="46"/>
      <c r="P1324" s="46"/>
      <c r="Q1324" s="46"/>
      <c r="R1324" s="46"/>
      <c r="S1324" s="46"/>
      <c r="T1324" s="46"/>
      <c r="U1324" s="46"/>
      <c r="V1324" s="46"/>
      <c r="W1324" s="46"/>
      <c r="X1324" s="46"/>
    </row>
    <row r="1325" spans="1:24" x14ac:dyDescent="0.2">
      <c r="A1325" s="45"/>
      <c r="B1325" s="46"/>
      <c r="C1325" s="46"/>
      <c r="D1325" s="46"/>
      <c r="E1325" s="46"/>
      <c r="F1325" s="46"/>
      <c r="G1325" s="46"/>
      <c r="H1325" s="46"/>
      <c r="I1325" s="46"/>
      <c r="J1325" s="46"/>
      <c r="K1325" s="46"/>
      <c r="L1325" s="46"/>
      <c r="M1325" s="46"/>
      <c r="N1325" s="46"/>
      <c r="O1325" s="46"/>
      <c r="P1325" s="46"/>
      <c r="Q1325" s="46"/>
      <c r="R1325" s="46"/>
      <c r="S1325" s="46"/>
      <c r="T1325" s="46"/>
      <c r="U1325" s="46"/>
      <c r="V1325" s="46"/>
      <c r="W1325" s="46"/>
      <c r="X1325" s="46"/>
    </row>
    <row r="1326" spans="1:24" x14ac:dyDescent="0.2">
      <c r="A1326" s="45"/>
      <c r="B1326" s="46"/>
      <c r="C1326" s="46"/>
      <c r="D1326" s="46"/>
      <c r="E1326" s="46"/>
      <c r="F1326" s="46"/>
      <c r="G1326" s="46"/>
      <c r="H1326" s="46"/>
      <c r="I1326" s="46"/>
      <c r="J1326" s="46"/>
      <c r="K1326" s="46"/>
      <c r="L1326" s="46"/>
      <c r="M1326" s="46"/>
      <c r="N1326" s="46"/>
      <c r="O1326" s="46"/>
      <c r="P1326" s="46"/>
      <c r="Q1326" s="46"/>
      <c r="R1326" s="46"/>
      <c r="S1326" s="46"/>
      <c r="T1326" s="46"/>
      <c r="U1326" s="46"/>
      <c r="V1326" s="46"/>
      <c r="W1326" s="46"/>
      <c r="X1326" s="46"/>
    </row>
    <row r="1327" spans="1:24" x14ac:dyDescent="0.2">
      <c r="A1327" s="45"/>
      <c r="B1327" s="46"/>
      <c r="C1327" s="46"/>
      <c r="D1327" s="46"/>
      <c r="E1327" s="46"/>
      <c r="F1327" s="46"/>
      <c r="G1327" s="46"/>
      <c r="H1327" s="46"/>
      <c r="I1327" s="46"/>
      <c r="J1327" s="46"/>
      <c r="K1327" s="46"/>
      <c r="L1327" s="46"/>
      <c r="M1327" s="46"/>
      <c r="N1327" s="46"/>
      <c r="O1327" s="46"/>
      <c r="P1327" s="46"/>
      <c r="Q1327" s="46"/>
      <c r="R1327" s="46"/>
      <c r="S1327" s="46"/>
      <c r="T1327" s="46"/>
      <c r="U1327" s="46"/>
      <c r="V1327" s="46"/>
      <c r="W1327" s="46"/>
      <c r="X1327" s="46"/>
    </row>
    <row r="1328" spans="1:24" x14ac:dyDescent="0.2">
      <c r="A1328" s="45"/>
      <c r="B1328" s="46"/>
      <c r="C1328" s="46"/>
      <c r="D1328" s="46"/>
      <c r="E1328" s="46"/>
      <c r="F1328" s="46"/>
      <c r="G1328" s="46"/>
      <c r="H1328" s="46"/>
      <c r="I1328" s="46"/>
      <c r="J1328" s="46"/>
      <c r="K1328" s="46"/>
      <c r="L1328" s="46"/>
      <c r="M1328" s="46"/>
      <c r="N1328" s="46"/>
      <c r="O1328" s="46"/>
      <c r="P1328" s="46"/>
      <c r="Q1328" s="46"/>
      <c r="R1328" s="46"/>
      <c r="S1328" s="46"/>
      <c r="T1328" s="46"/>
      <c r="U1328" s="46"/>
      <c r="V1328" s="46"/>
      <c r="W1328" s="46"/>
      <c r="X1328" s="46"/>
    </row>
    <row r="1329" spans="1:24" x14ac:dyDescent="0.2">
      <c r="A1329" s="45"/>
      <c r="B1329" s="46"/>
      <c r="C1329" s="46"/>
      <c r="D1329" s="46"/>
      <c r="E1329" s="46"/>
      <c r="F1329" s="46"/>
      <c r="G1329" s="46"/>
      <c r="H1329" s="46"/>
      <c r="I1329" s="46"/>
      <c r="J1329" s="46"/>
      <c r="K1329" s="46"/>
      <c r="L1329" s="46"/>
      <c r="M1329" s="46"/>
      <c r="N1329" s="46"/>
      <c r="O1329" s="46"/>
      <c r="P1329" s="46"/>
      <c r="Q1329" s="46"/>
      <c r="R1329" s="46"/>
      <c r="S1329" s="46"/>
      <c r="T1329" s="46"/>
      <c r="U1329" s="46"/>
      <c r="V1329" s="46"/>
      <c r="W1329" s="46"/>
      <c r="X1329" s="46"/>
    </row>
    <row r="1330" spans="1:24" x14ac:dyDescent="0.2">
      <c r="A1330" s="45"/>
      <c r="B1330" s="46"/>
      <c r="C1330" s="46"/>
      <c r="D1330" s="46"/>
      <c r="E1330" s="46"/>
      <c r="F1330" s="46"/>
      <c r="G1330" s="46"/>
      <c r="H1330" s="46"/>
      <c r="I1330" s="46"/>
      <c r="J1330" s="46"/>
      <c r="K1330" s="46"/>
      <c r="L1330" s="46"/>
      <c r="M1330" s="46"/>
      <c r="N1330" s="46"/>
      <c r="O1330" s="46"/>
      <c r="P1330" s="46"/>
      <c r="Q1330" s="46"/>
      <c r="R1330" s="46"/>
      <c r="S1330" s="46"/>
      <c r="T1330" s="46"/>
      <c r="U1330" s="46"/>
      <c r="V1330" s="46"/>
      <c r="W1330" s="46"/>
      <c r="X1330" s="46"/>
    </row>
    <row r="1331" spans="1:24" x14ac:dyDescent="0.2">
      <c r="A1331" s="45"/>
      <c r="B1331" s="46"/>
      <c r="C1331" s="46"/>
      <c r="D1331" s="46"/>
      <c r="E1331" s="46"/>
      <c r="F1331" s="46"/>
      <c r="G1331" s="46"/>
      <c r="H1331" s="46"/>
      <c r="I1331" s="46"/>
      <c r="J1331" s="46"/>
      <c r="K1331" s="46"/>
      <c r="L1331" s="46"/>
      <c r="M1331" s="46"/>
      <c r="N1331" s="46"/>
      <c r="O1331" s="46"/>
      <c r="P1331" s="46"/>
      <c r="Q1331" s="46"/>
      <c r="R1331" s="46"/>
      <c r="S1331" s="46"/>
      <c r="T1331" s="46"/>
      <c r="U1331" s="46"/>
      <c r="V1331" s="46"/>
      <c r="W1331" s="46"/>
      <c r="X1331" s="46"/>
    </row>
    <row r="1332" spans="1:24" x14ac:dyDescent="0.2">
      <c r="A1332" s="45"/>
      <c r="B1332" s="46"/>
      <c r="C1332" s="46"/>
      <c r="D1332" s="46"/>
      <c r="E1332" s="46"/>
      <c r="F1332" s="46"/>
      <c r="G1332" s="46"/>
      <c r="H1332" s="46"/>
      <c r="I1332" s="46"/>
      <c r="J1332" s="46"/>
      <c r="K1332" s="46"/>
      <c r="L1332" s="46"/>
      <c r="M1332" s="46"/>
      <c r="N1332" s="46"/>
      <c r="O1332" s="46"/>
      <c r="P1332" s="46"/>
      <c r="Q1332" s="46"/>
      <c r="R1332" s="46"/>
      <c r="S1332" s="46"/>
      <c r="T1332" s="46"/>
      <c r="U1332" s="46"/>
      <c r="V1332" s="46"/>
      <c r="W1332" s="46"/>
      <c r="X1332" s="46"/>
    </row>
    <row r="1333" spans="1:24" x14ac:dyDescent="0.2">
      <c r="A1333" s="45"/>
      <c r="B1333" s="46"/>
      <c r="C1333" s="46"/>
      <c r="D1333" s="46"/>
      <c r="E1333" s="46"/>
      <c r="F1333" s="46"/>
      <c r="G1333" s="46"/>
      <c r="H1333" s="46"/>
      <c r="I1333" s="46"/>
      <c r="J1333" s="46"/>
      <c r="K1333" s="46"/>
      <c r="L1333" s="46"/>
      <c r="M1333" s="46"/>
      <c r="N1333" s="46"/>
      <c r="O1333" s="46"/>
      <c r="P1333" s="46"/>
      <c r="Q1333" s="46"/>
      <c r="R1333" s="46"/>
      <c r="S1333" s="46"/>
      <c r="T1333" s="46"/>
      <c r="U1333" s="46"/>
      <c r="V1333" s="46"/>
      <c r="W1333" s="46"/>
      <c r="X1333" s="46"/>
    </row>
    <row r="1334" spans="1:24" x14ac:dyDescent="0.2">
      <c r="A1334" s="45"/>
      <c r="B1334" s="46"/>
      <c r="C1334" s="46"/>
      <c r="D1334" s="46"/>
      <c r="E1334" s="46"/>
      <c r="F1334" s="46"/>
      <c r="G1334" s="46"/>
      <c r="H1334" s="46"/>
      <c r="I1334" s="46"/>
      <c r="J1334" s="46"/>
      <c r="K1334" s="46"/>
      <c r="L1334" s="46"/>
      <c r="M1334" s="46"/>
      <c r="N1334" s="46"/>
      <c r="O1334" s="46"/>
      <c r="P1334" s="46"/>
      <c r="Q1334" s="46"/>
      <c r="R1334" s="46"/>
      <c r="S1334" s="46"/>
      <c r="T1334" s="46"/>
      <c r="U1334" s="46"/>
      <c r="V1334" s="46"/>
      <c r="W1334" s="46"/>
      <c r="X1334" s="46"/>
    </row>
    <row r="1335" spans="1:24" x14ac:dyDescent="0.2">
      <c r="A1335" s="45"/>
      <c r="B1335" s="46"/>
      <c r="C1335" s="46"/>
      <c r="D1335" s="46"/>
      <c r="E1335" s="46"/>
      <c r="F1335" s="46"/>
      <c r="G1335" s="46"/>
      <c r="H1335" s="46"/>
      <c r="I1335" s="46"/>
      <c r="J1335" s="46"/>
      <c r="K1335" s="46"/>
      <c r="L1335" s="46"/>
      <c r="M1335" s="46"/>
      <c r="N1335" s="46"/>
      <c r="O1335" s="46"/>
      <c r="P1335" s="46"/>
      <c r="Q1335" s="46"/>
      <c r="R1335" s="46"/>
      <c r="S1335" s="46"/>
      <c r="T1335" s="46"/>
      <c r="U1335" s="46"/>
      <c r="V1335" s="46"/>
      <c r="W1335" s="46"/>
      <c r="X1335" s="46"/>
    </row>
    <row r="1336" spans="1:24" x14ac:dyDescent="0.2">
      <c r="A1336" s="45"/>
      <c r="B1336" s="46"/>
      <c r="C1336" s="46"/>
      <c r="D1336" s="46"/>
      <c r="E1336" s="46"/>
      <c r="F1336" s="46"/>
      <c r="G1336" s="46"/>
      <c r="H1336" s="46"/>
      <c r="I1336" s="46"/>
      <c r="J1336" s="46"/>
      <c r="K1336" s="46"/>
      <c r="L1336" s="46"/>
      <c r="M1336" s="46"/>
      <c r="N1336" s="46"/>
      <c r="O1336" s="46"/>
      <c r="P1336" s="46"/>
      <c r="Q1336" s="46"/>
      <c r="R1336" s="46"/>
      <c r="S1336" s="46"/>
      <c r="T1336" s="46"/>
      <c r="U1336" s="46"/>
      <c r="V1336" s="46"/>
      <c r="W1336" s="46"/>
      <c r="X1336" s="46"/>
    </row>
    <row r="1337" spans="1:24" x14ac:dyDescent="0.2">
      <c r="A1337" s="45"/>
      <c r="B1337" s="46"/>
      <c r="C1337" s="46"/>
      <c r="D1337" s="46"/>
      <c r="E1337" s="46"/>
      <c r="F1337" s="46"/>
      <c r="G1337" s="46"/>
      <c r="H1337" s="46"/>
      <c r="I1337" s="46"/>
      <c r="J1337" s="46"/>
      <c r="K1337" s="46"/>
      <c r="L1337" s="46"/>
      <c r="M1337" s="46"/>
      <c r="N1337" s="46"/>
      <c r="O1337" s="46"/>
      <c r="P1337" s="46"/>
      <c r="Q1337" s="46"/>
      <c r="R1337" s="46"/>
      <c r="S1337" s="46"/>
      <c r="T1337" s="46"/>
      <c r="U1337" s="46"/>
      <c r="V1337" s="46"/>
      <c r="W1337" s="46"/>
      <c r="X1337" s="46"/>
    </row>
    <row r="1338" spans="1:24" x14ac:dyDescent="0.2">
      <c r="A1338" s="45"/>
      <c r="B1338" s="46"/>
      <c r="C1338" s="46"/>
      <c r="D1338" s="46"/>
      <c r="E1338" s="46"/>
      <c r="F1338" s="46"/>
      <c r="G1338" s="46"/>
      <c r="H1338" s="46"/>
      <c r="I1338" s="46"/>
      <c r="J1338" s="46"/>
      <c r="K1338" s="46"/>
      <c r="L1338" s="46"/>
      <c r="M1338" s="46"/>
      <c r="N1338" s="46"/>
      <c r="O1338" s="46"/>
      <c r="P1338" s="46"/>
      <c r="Q1338" s="46"/>
      <c r="R1338" s="46"/>
      <c r="S1338" s="46"/>
      <c r="T1338" s="46"/>
      <c r="U1338" s="46"/>
      <c r="V1338" s="46"/>
      <c r="W1338" s="46"/>
      <c r="X1338" s="46"/>
    </row>
    <row r="1339" spans="1:24" x14ac:dyDescent="0.2">
      <c r="A1339" s="45"/>
      <c r="B1339" s="46"/>
      <c r="C1339" s="46"/>
      <c r="D1339" s="46"/>
      <c r="E1339" s="46"/>
      <c r="F1339" s="46"/>
      <c r="G1339" s="46"/>
      <c r="H1339" s="46"/>
      <c r="I1339" s="46"/>
      <c r="J1339" s="46"/>
      <c r="K1339" s="46"/>
      <c r="L1339" s="46"/>
      <c r="M1339" s="46"/>
      <c r="N1339" s="46"/>
      <c r="O1339" s="46"/>
      <c r="P1339" s="46"/>
      <c r="Q1339" s="46"/>
      <c r="R1339" s="46"/>
      <c r="S1339" s="46"/>
      <c r="T1339" s="46"/>
      <c r="U1339" s="46"/>
      <c r="V1339" s="46"/>
      <c r="W1339" s="46"/>
      <c r="X1339" s="46"/>
    </row>
    <row r="1340" spans="1:24" x14ac:dyDescent="0.2">
      <c r="A1340" s="45"/>
      <c r="B1340" s="46"/>
      <c r="C1340" s="46"/>
      <c r="D1340" s="46"/>
      <c r="E1340" s="46"/>
      <c r="F1340" s="46"/>
      <c r="G1340" s="46"/>
      <c r="H1340" s="46"/>
      <c r="I1340" s="46"/>
      <c r="J1340" s="46"/>
      <c r="K1340" s="46"/>
      <c r="L1340" s="46"/>
      <c r="M1340" s="46"/>
      <c r="N1340" s="46"/>
      <c r="O1340" s="46"/>
      <c r="P1340" s="46"/>
      <c r="Q1340" s="46"/>
      <c r="R1340" s="46"/>
      <c r="S1340" s="46"/>
      <c r="T1340" s="46"/>
      <c r="U1340" s="46"/>
      <c r="V1340" s="46"/>
      <c r="W1340" s="46"/>
      <c r="X1340" s="46"/>
    </row>
    <row r="1341" spans="1:24" x14ac:dyDescent="0.2">
      <c r="A1341" s="45"/>
      <c r="B1341" s="46"/>
      <c r="C1341" s="46"/>
      <c r="D1341" s="46"/>
      <c r="E1341" s="46"/>
      <c r="F1341" s="46"/>
      <c r="G1341" s="46"/>
      <c r="H1341" s="46"/>
      <c r="I1341" s="46"/>
      <c r="J1341" s="46"/>
      <c r="K1341" s="46"/>
      <c r="L1341" s="46"/>
      <c r="M1341" s="46"/>
      <c r="N1341" s="46"/>
      <c r="O1341" s="46"/>
      <c r="P1341" s="46"/>
      <c r="Q1341" s="46"/>
      <c r="R1341" s="46"/>
      <c r="S1341" s="46"/>
      <c r="T1341" s="46"/>
      <c r="U1341" s="46"/>
      <c r="V1341" s="46"/>
      <c r="W1341" s="46"/>
      <c r="X1341" s="46"/>
    </row>
    <row r="1342" spans="1:24" x14ac:dyDescent="0.2">
      <c r="A1342" s="45"/>
      <c r="B1342" s="46"/>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46"/>
    </row>
    <row r="1343" spans="1:24" x14ac:dyDescent="0.2">
      <c r="A1343" s="45"/>
      <c r="B1343" s="46"/>
      <c r="C1343" s="46"/>
      <c r="D1343" s="46"/>
      <c r="E1343" s="46"/>
      <c r="F1343" s="46"/>
      <c r="G1343" s="46"/>
      <c r="H1343" s="46"/>
      <c r="I1343" s="46"/>
      <c r="J1343" s="46"/>
      <c r="K1343" s="46"/>
      <c r="L1343" s="46"/>
      <c r="M1343" s="46"/>
      <c r="N1343" s="46"/>
      <c r="O1343" s="46"/>
      <c r="P1343" s="46"/>
      <c r="Q1343" s="46"/>
      <c r="R1343" s="46"/>
      <c r="S1343" s="46"/>
      <c r="T1343" s="46"/>
      <c r="U1343" s="46"/>
      <c r="V1343" s="46"/>
      <c r="W1343" s="46"/>
      <c r="X1343" s="46"/>
    </row>
    <row r="1344" spans="1:24" x14ac:dyDescent="0.2">
      <c r="A1344" s="45"/>
      <c r="B1344" s="46"/>
      <c r="C1344" s="46"/>
      <c r="D1344" s="46"/>
      <c r="E1344" s="46"/>
      <c r="F1344" s="46"/>
      <c r="G1344" s="46"/>
      <c r="H1344" s="46"/>
      <c r="I1344" s="46"/>
      <c r="J1344" s="46"/>
      <c r="K1344" s="46"/>
      <c r="L1344" s="46"/>
      <c r="M1344" s="46"/>
      <c r="N1344" s="46"/>
      <c r="O1344" s="46"/>
      <c r="P1344" s="46"/>
      <c r="Q1344" s="46"/>
      <c r="R1344" s="46"/>
      <c r="S1344" s="46"/>
      <c r="T1344" s="46"/>
      <c r="U1344" s="46"/>
      <c r="V1344" s="46"/>
      <c r="W1344" s="46"/>
      <c r="X1344" s="46"/>
    </row>
    <row r="1345" spans="1:24" x14ac:dyDescent="0.2">
      <c r="A1345" s="45"/>
      <c r="B1345" s="46"/>
      <c r="C1345" s="46"/>
      <c r="D1345" s="46"/>
      <c r="E1345" s="46"/>
      <c r="F1345" s="46"/>
      <c r="G1345" s="46"/>
      <c r="H1345" s="46"/>
      <c r="I1345" s="46"/>
      <c r="J1345" s="46"/>
      <c r="K1345" s="46"/>
      <c r="L1345" s="46"/>
      <c r="M1345" s="46"/>
      <c r="N1345" s="46"/>
      <c r="O1345" s="46"/>
      <c r="P1345" s="46"/>
      <c r="Q1345" s="46"/>
      <c r="R1345" s="46"/>
      <c r="S1345" s="46"/>
      <c r="T1345" s="46"/>
      <c r="U1345" s="46"/>
      <c r="V1345" s="46"/>
      <c r="W1345" s="46"/>
      <c r="X1345" s="46"/>
    </row>
    <row r="1346" spans="1:24" x14ac:dyDescent="0.2">
      <c r="A1346" s="45"/>
      <c r="B1346" s="46"/>
      <c r="C1346" s="46"/>
      <c r="D1346" s="46"/>
      <c r="E1346" s="46"/>
      <c r="F1346" s="46"/>
      <c r="G1346" s="46"/>
      <c r="H1346" s="46"/>
      <c r="I1346" s="46"/>
      <c r="J1346" s="46"/>
      <c r="K1346" s="46"/>
      <c r="L1346" s="46"/>
      <c r="M1346" s="46"/>
      <c r="N1346" s="46"/>
      <c r="O1346" s="46"/>
      <c r="P1346" s="46"/>
      <c r="Q1346" s="46"/>
      <c r="R1346" s="46"/>
      <c r="S1346" s="46"/>
      <c r="T1346" s="46"/>
      <c r="U1346" s="46"/>
      <c r="V1346" s="46"/>
      <c r="W1346" s="46"/>
      <c r="X1346" s="46"/>
    </row>
    <row r="1347" spans="1:24" x14ac:dyDescent="0.2">
      <c r="A1347" s="45"/>
      <c r="B1347" s="46"/>
      <c r="C1347" s="46"/>
      <c r="D1347" s="46"/>
      <c r="E1347" s="46"/>
      <c r="F1347" s="46"/>
      <c r="G1347" s="46"/>
      <c r="H1347" s="46"/>
      <c r="I1347" s="46"/>
      <c r="J1347" s="46"/>
      <c r="K1347" s="46"/>
      <c r="L1347" s="46"/>
      <c r="M1347" s="46"/>
      <c r="N1347" s="46"/>
      <c r="O1347" s="46"/>
      <c r="P1347" s="46"/>
      <c r="Q1347" s="46"/>
      <c r="R1347" s="46"/>
      <c r="S1347" s="46"/>
      <c r="T1347" s="46"/>
      <c r="U1347" s="46"/>
      <c r="V1347" s="46"/>
      <c r="W1347" s="46"/>
      <c r="X1347" s="46"/>
    </row>
    <row r="1348" spans="1:24" x14ac:dyDescent="0.2">
      <c r="A1348" s="45"/>
      <c r="B1348" s="46"/>
      <c r="C1348" s="46"/>
      <c r="D1348" s="46"/>
      <c r="E1348" s="46"/>
      <c r="F1348" s="46"/>
      <c r="G1348" s="46"/>
      <c r="H1348" s="46"/>
      <c r="I1348" s="46"/>
      <c r="J1348" s="46"/>
      <c r="K1348" s="46"/>
      <c r="L1348" s="46"/>
      <c r="M1348" s="46"/>
      <c r="N1348" s="46"/>
      <c r="O1348" s="46"/>
      <c r="P1348" s="46"/>
      <c r="Q1348" s="46"/>
      <c r="R1348" s="46"/>
      <c r="S1348" s="46"/>
      <c r="T1348" s="46"/>
      <c r="U1348" s="46"/>
      <c r="V1348" s="46"/>
      <c r="W1348" s="46"/>
      <c r="X1348" s="46"/>
    </row>
    <row r="1349" spans="1:24" x14ac:dyDescent="0.2">
      <c r="A1349" s="45"/>
      <c r="B1349" s="46"/>
      <c r="C1349" s="46"/>
      <c r="D1349" s="46"/>
      <c r="E1349" s="46"/>
      <c r="F1349" s="46"/>
      <c r="G1349" s="46"/>
      <c r="H1349" s="46"/>
      <c r="I1349" s="46"/>
      <c r="J1349" s="46"/>
      <c r="K1349" s="46"/>
      <c r="L1349" s="46"/>
      <c r="M1349" s="46"/>
      <c r="N1349" s="46"/>
      <c r="O1349" s="46"/>
      <c r="P1349" s="46"/>
      <c r="Q1349" s="46"/>
      <c r="R1349" s="46"/>
      <c r="S1349" s="46"/>
      <c r="T1349" s="46"/>
      <c r="U1349" s="46"/>
      <c r="V1349" s="46"/>
      <c r="W1349" s="46"/>
      <c r="X1349" s="46"/>
    </row>
    <row r="1350" spans="1:24" x14ac:dyDescent="0.2">
      <c r="A1350" s="45"/>
      <c r="B1350" s="46"/>
      <c r="C1350" s="46"/>
      <c r="D1350" s="46"/>
      <c r="E1350" s="46"/>
      <c r="F1350" s="46"/>
      <c r="G1350" s="46"/>
      <c r="H1350" s="46"/>
      <c r="I1350" s="46"/>
      <c r="J1350" s="46"/>
      <c r="K1350" s="46"/>
      <c r="L1350" s="46"/>
      <c r="M1350" s="46"/>
      <c r="N1350" s="46"/>
      <c r="O1350" s="46"/>
      <c r="P1350" s="46"/>
      <c r="Q1350" s="46"/>
      <c r="R1350" s="46"/>
      <c r="S1350" s="46"/>
      <c r="T1350" s="46"/>
      <c r="U1350" s="46"/>
      <c r="V1350" s="46"/>
      <c r="W1350" s="46"/>
      <c r="X1350" s="46"/>
    </row>
    <row r="1351" spans="1:24" x14ac:dyDescent="0.2">
      <c r="A1351" s="45"/>
      <c r="B1351" s="46"/>
      <c r="C1351" s="46"/>
      <c r="D1351" s="46"/>
      <c r="E1351" s="46"/>
      <c r="F1351" s="46"/>
      <c r="G1351" s="46"/>
      <c r="H1351" s="46"/>
      <c r="I1351" s="46"/>
      <c r="J1351" s="46"/>
      <c r="K1351" s="46"/>
      <c r="L1351" s="46"/>
      <c r="M1351" s="46"/>
      <c r="N1351" s="46"/>
      <c r="O1351" s="46"/>
      <c r="P1351" s="46"/>
      <c r="Q1351" s="46"/>
      <c r="R1351" s="46"/>
      <c r="S1351" s="46"/>
      <c r="T1351" s="46"/>
      <c r="U1351" s="46"/>
      <c r="V1351" s="46"/>
      <c r="W1351" s="46"/>
      <c r="X1351" s="46"/>
    </row>
    <row r="1352" spans="1:24" x14ac:dyDescent="0.2">
      <c r="A1352" s="45"/>
      <c r="B1352" s="46"/>
      <c r="C1352" s="46"/>
      <c r="D1352" s="46"/>
      <c r="E1352" s="46"/>
      <c r="F1352" s="46"/>
      <c r="G1352" s="46"/>
      <c r="H1352" s="46"/>
      <c r="I1352" s="46"/>
      <c r="J1352" s="46"/>
      <c r="K1352" s="46"/>
      <c r="L1352" s="46"/>
      <c r="M1352" s="46"/>
      <c r="N1352" s="46"/>
      <c r="O1352" s="46"/>
      <c r="P1352" s="46"/>
      <c r="Q1352" s="46"/>
      <c r="R1352" s="46"/>
      <c r="S1352" s="46"/>
      <c r="T1352" s="46"/>
      <c r="U1352" s="46"/>
      <c r="V1352" s="46"/>
      <c r="W1352" s="46"/>
      <c r="X1352" s="46"/>
    </row>
    <row r="1353" spans="1:24" x14ac:dyDescent="0.2">
      <c r="A1353" s="45"/>
      <c r="B1353" s="46"/>
      <c r="C1353" s="46"/>
      <c r="D1353" s="46"/>
      <c r="E1353" s="46"/>
      <c r="F1353" s="46"/>
      <c r="G1353" s="46"/>
      <c r="H1353" s="46"/>
      <c r="I1353" s="46"/>
      <c r="J1353" s="46"/>
      <c r="K1353" s="46"/>
      <c r="L1353" s="46"/>
      <c r="M1353" s="46"/>
      <c r="N1353" s="46"/>
      <c r="O1353" s="46"/>
      <c r="P1353" s="46"/>
      <c r="Q1353" s="46"/>
      <c r="R1353" s="46"/>
      <c r="S1353" s="46"/>
      <c r="T1353" s="46"/>
      <c r="U1353" s="46"/>
      <c r="V1353" s="46"/>
      <c r="W1353" s="46"/>
      <c r="X1353" s="46"/>
    </row>
    <row r="1354" spans="1:24" x14ac:dyDescent="0.2">
      <c r="A1354" s="45"/>
      <c r="B1354" s="46"/>
      <c r="C1354" s="46"/>
      <c r="D1354" s="46"/>
      <c r="E1354" s="46"/>
      <c r="F1354" s="46"/>
      <c r="G1354" s="46"/>
      <c r="H1354" s="46"/>
      <c r="I1354" s="46"/>
      <c r="J1354" s="46"/>
      <c r="K1354" s="46"/>
      <c r="L1354" s="46"/>
      <c r="M1354" s="46"/>
      <c r="N1354" s="46"/>
      <c r="O1354" s="46"/>
      <c r="P1354" s="46"/>
      <c r="Q1354" s="46"/>
      <c r="R1354" s="46"/>
      <c r="S1354" s="46"/>
      <c r="T1354" s="46"/>
      <c r="U1354" s="46"/>
      <c r="V1354" s="46"/>
      <c r="W1354" s="46"/>
      <c r="X1354" s="46"/>
    </row>
    <row r="1355" spans="1:24" x14ac:dyDescent="0.2">
      <c r="A1355" s="45"/>
      <c r="B1355" s="46"/>
      <c r="C1355" s="46"/>
      <c r="D1355" s="46"/>
      <c r="E1355" s="46"/>
      <c r="F1355" s="46"/>
      <c r="G1355" s="46"/>
      <c r="H1355" s="46"/>
      <c r="I1355" s="46"/>
      <c r="J1355" s="46"/>
      <c r="K1355" s="46"/>
      <c r="L1355" s="46"/>
      <c r="M1355" s="46"/>
      <c r="N1355" s="46"/>
      <c r="O1355" s="46"/>
      <c r="P1355" s="46"/>
      <c r="Q1355" s="46"/>
      <c r="R1355" s="46"/>
      <c r="S1355" s="46"/>
      <c r="T1355" s="46"/>
      <c r="U1355" s="46"/>
      <c r="V1355" s="46"/>
      <c r="W1355" s="46"/>
      <c r="X1355" s="46"/>
    </row>
    <row r="1356" spans="1:24" x14ac:dyDescent="0.2">
      <c r="A1356" s="45"/>
      <c r="B1356" s="46"/>
      <c r="C1356" s="46"/>
      <c r="D1356" s="46"/>
      <c r="E1356" s="46"/>
      <c r="F1356" s="46"/>
      <c r="G1356" s="46"/>
      <c r="H1356" s="46"/>
      <c r="I1356" s="46"/>
      <c r="J1356" s="46"/>
      <c r="K1356" s="46"/>
      <c r="L1356" s="46"/>
      <c r="M1356" s="46"/>
      <c r="N1356" s="46"/>
      <c r="O1356" s="46"/>
      <c r="P1356" s="46"/>
      <c r="Q1356" s="46"/>
      <c r="R1356" s="46"/>
      <c r="S1356" s="46"/>
      <c r="T1356" s="46"/>
      <c r="U1356" s="46"/>
      <c r="V1356" s="46"/>
      <c r="W1356" s="46"/>
      <c r="X1356" s="46"/>
    </row>
    <row r="1357" spans="1:24" x14ac:dyDescent="0.2">
      <c r="A1357" s="45"/>
      <c r="B1357" s="46"/>
      <c r="C1357" s="46"/>
      <c r="D1357" s="46"/>
      <c r="E1357" s="46"/>
      <c r="F1357" s="46"/>
      <c r="G1357" s="46"/>
      <c r="H1357" s="46"/>
      <c r="I1357" s="46"/>
      <c r="J1357" s="46"/>
      <c r="K1357" s="46"/>
      <c r="L1357" s="46"/>
      <c r="M1357" s="46"/>
      <c r="N1357" s="46"/>
      <c r="O1357" s="46"/>
      <c r="P1357" s="46"/>
      <c r="Q1357" s="46"/>
      <c r="R1357" s="46"/>
      <c r="S1357" s="46"/>
      <c r="T1357" s="46"/>
      <c r="U1357" s="46"/>
      <c r="V1357" s="46"/>
      <c r="W1357" s="46"/>
      <c r="X1357" s="46"/>
    </row>
    <row r="1358" spans="1:24" x14ac:dyDescent="0.2">
      <c r="A1358" s="45"/>
      <c r="B1358" s="46"/>
      <c r="C1358" s="46"/>
      <c r="D1358" s="46"/>
      <c r="E1358" s="46"/>
      <c r="F1358" s="46"/>
      <c r="G1358" s="46"/>
      <c r="H1358" s="46"/>
      <c r="I1358" s="46"/>
      <c r="J1358" s="46"/>
      <c r="K1358" s="46"/>
      <c r="L1358" s="46"/>
      <c r="M1358" s="46"/>
      <c r="N1358" s="46"/>
      <c r="O1358" s="46"/>
      <c r="P1358" s="46"/>
      <c r="Q1358" s="46"/>
      <c r="R1358" s="46"/>
      <c r="S1358" s="46"/>
      <c r="T1358" s="46"/>
      <c r="U1358" s="46"/>
      <c r="V1358" s="46"/>
      <c r="W1358" s="46"/>
      <c r="X1358" s="46"/>
    </row>
    <row r="1359" spans="1:24" x14ac:dyDescent="0.2">
      <c r="A1359" s="45"/>
      <c r="B1359" s="46"/>
      <c r="C1359" s="46"/>
      <c r="D1359" s="46"/>
      <c r="E1359" s="46"/>
      <c r="F1359" s="46"/>
      <c r="G1359" s="46"/>
      <c r="H1359" s="46"/>
      <c r="I1359" s="46"/>
      <c r="J1359" s="46"/>
      <c r="K1359" s="46"/>
      <c r="L1359" s="46"/>
      <c r="M1359" s="46"/>
      <c r="N1359" s="46"/>
      <c r="O1359" s="46"/>
      <c r="P1359" s="46"/>
      <c r="Q1359" s="46"/>
      <c r="R1359" s="46"/>
      <c r="S1359" s="46"/>
      <c r="T1359" s="46"/>
      <c r="U1359" s="46"/>
      <c r="V1359" s="46"/>
      <c r="W1359" s="46"/>
      <c r="X1359" s="46"/>
    </row>
    <row r="1360" spans="1:24" x14ac:dyDescent="0.2">
      <c r="A1360" s="45"/>
      <c r="B1360" s="46"/>
      <c r="C1360" s="46"/>
      <c r="D1360" s="46"/>
      <c r="E1360" s="46"/>
      <c r="F1360" s="46"/>
      <c r="G1360" s="46"/>
      <c r="H1360" s="46"/>
      <c r="I1360" s="46"/>
      <c r="J1360" s="46"/>
      <c r="K1360" s="46"/>
      <c r="L1360" s="46"/>
      <c r="M1360" s="46"/>
      <c r="N1360" s="46"/>
      <c r="O1360" s="46"/>
      <c r="P1360" s="46"/>
      <c r="Q1360" s="46"/>
      <c r="R1360" s="46"/>
      <c r="S1360" s="46"/>
      <c r="T1360" s="46"/>
      <c r="U1360" s="46"/>
      <c r="V1360" s="46"/>
      <c r="W1360" s="46"/>
      <c r="X1360" s="46"/>
    </row>
    <row r="1361" spans="1:24" x14ac:dyDescent="0.2">
      <c r="A1361" s="45"/>
      <c r="B1361" s="46"/>
      <c r="C1361" s="46"/>
      <c r="D1361" s="46"/>
      <c r="E1361" s="46"/>
      <c r="F1361" s="46"/>
      <c r="G1361" s="46"/>
      <c r="H1361" s="46"/>
      <c r="I1361" s="46"/>
      <c r="J1361" s="46"/>
      <c r="K1361" s="46"/>
      <c r="L1361" s="46"/>
      <c r="M1361" s="46"/>
      <c r="N1361" s="46"/>
      <c r="O1361" s="46"/>
      <c r="P1361" s="46"/>
      <c r="Q1361" s="46"/>
      <c r="R1361" s="46"/>
      <c r="S1361" s="46"/>
      <c r="T1361" s="46"/>
      <c r="U1361" s="46"/>
      <c r="V1361" s="46"/>
      <c r="W1361" s="46"/>
      <c r="X1361" s="46"/>
    </row>
    <row r="1362" spans="1:24" x14ac:dyDescent="0.2">
      <c r="A1362" s="45"/>
      <c r="B1362" s="46"/>
      <c r="C1362" s="46"/>
      <c r="D1362" s="46"/>
      <c r="E1362" s="46"/>
      <c r="F1362" s="46"/>
      <c r="G1362" s="46"/>
      <c r="H1362" s="46"/>
      <c r="I1362" s="46"/>
      <c r="J1362" s="46"/>
      <c r="K1362" s="46"/>
      <c r="L1362" s="46"/>
      <c r="M1362" s="46"/>
      <c r="N1362" s="46"/>
      <c r="O1362" s="46"/>
      <c r="P1362" s="46"/>
      <c r="Q1362" s="46"/>
      <c r="R1362" s="46"/>
      <c r="S1362" s="46"/>
      <c r="T1362" s="46"/>
      <c r="U1362" s="46"/>
      <c r="V1362" s="46"/>
      <c r="W1362" s="46"/>
      <c r="X1362" s="46"/>
    </row>
    <row r="1363" spans="1:24" x14ac:dyDescent="0.2">
      <c r="A1363" s="45"/>
      <c r="B1363" s="46"/>
      <c r="C1363" s="46"/>
      <c r="D1363" s="46"/>
      <c r="E1363" s="46"/>
      <c r="F1363" s="46"/>
      <c r="G1363" s="46"/>
      <c r="H1363" s="46"/>
      <c r="I1363" s="46"/>
      <c r="J1363" s="46"/>
      <c r="K1363" s="46"/>
      <c r="L1363" s="46"/>
      <c r="M1363" s="46"/>
      <c r="N1363" s="46"/>
      <c r="O1363" s="46"/>
      <c r="P1363" s="46"/>
      <c r="Q1363" s="46"/>
      <c r="R1363" s="46"/>
      <c r="S1363" s="46"/>
      <c r="T1363" s="46"/>
      <c r="U1363" s="46"/>
      <c r="V1363" s="46"/>
      <c r="W1363" s="46"/>
      <c r="X1363" s="46"/>
    </row>
    <row r="1364" spans="1:24" x14ac:dyDescent="0.2">
      <c r="A1364" s="45"/>
      <c r="B1364" s="46"/>
      <c r="C1364" s="46"/>
      <c r="D1364" s="46"/>
      <c r="E1364" s="46"/>
      <c r="F1364" s="46"/>
      <c r="G1364" s="46"/>
      <c r="H1364" s="46"/>
      <c r="I1364" s="46"/>
      <c r="J1364" s="46"/>
      <c r="K1364" s="46"/>
      <c r="L1364" s="46"/>
      <c r="M1364" s="46"/>
      <c r="N1364" s="46"/>
      <c r="O1364" s="46"/>
      <c r="P1364" s="46"/>
      <c r="Q1364" s="46"/>
      <c r="R1364" s="46"/>
      <c r="S1364" s="46"/>
      <c r="T1364" s="46"/>
      <c r="U1364" s="46"/>
      <c r="V1364" s="46"/>
      <c r="W1364" s="46"/>
      <c r="X1364" s="46"/>
    </row>
    <row r="1365" spans="1:24" x14ac:dyDescent="0.2">
      <c r="A1365" s="45"/>
      <c r="B1365" s="46"/>
      <c r="C1365" s="46"/>
      <c r="D1365" s="46"/>
      <c r="E1365" s="46"/>
      <c r="F1365" s="46"/>
      <c r="G1365" s="46"/>
      <c r="H1365" s="46"/>
      <c r="I1365" s="46"/>
      <c r="J1365" s="46"/>
      <c r="K1365" s="46"/>
      <c r="L1365" s="46"/>
      <c r="M1365" s="46"/>
      <c r="N1365" s="46"/>
      <c r="O1365" s="46"/>
      <c r="P1365" s="46"/>
      <c r="Q1365" s="46"/>
      <c r="R1365" s="46"/>
      <c r="S1365" s="46"/>
      <c r="T1365" s="46"/>
      <c r="U1365" s="46"/>
      <c r="V1365" s="46"/>
      <c r="W1365" s="46"/>
      <c r="X1365" s="46"/>
    </row>
    <row r="1366" spans="1:24" x14ac:dyDescent="0.2">
      <c r="A1366" s="45"/>
      <c r="B1366" s="46"/>
      <c r="C1366" s="46"/>
      <c r="D1366" s="46"/>
      <c r="E1366" s="46"/>
      <c r="F1366" s="46"/>
      <c r="G1366" s="46"/>
      <c r="H1366" s="46"/>
      <c r="I1366" s="46"/>
      <c r="J1366" s="46"/>
      <c r="K1366" s="46"/>
      <c r="L1366" s="46"/>
      <c r="M1366" s="46"/>
      <c r="N1366" s="46"/>
      <c r="O1366" s="46"/>
      <c r="P1366" s="46"/>
      <c r="Q1366" s="46"/>
      <c r="R1366" s="46"/>
      <c r="S1366" s="46"/>
      <c r="T1366" s="46"/>
      <c r="U1366" s="46"/>
      <c r="V1366" s="46"/>
      <c r="W1366" s="46"/>
      <c r="X1366" s="46"/>
    </row>
    <row r="1367" spans="1:24" x14ac:dyDescent="0.2">
      <c r="A1367" s="45"/>
      <c r="B1367" s="46"/>
      <c r="C1367" s="46"/>
      <c r="D1367" s="46"/>
      <c r="E1367" s="46"/>
      <c r="F1367" s="46"/>
      <c r="G1367" s="46"/>
      <c r="H1367" s="46"/>
      <c r="I1367" s="46"/>
      <c r="J1367" s="46"/>
      <c r="K1367" s="46"/>
      <c r="L1367" s="46"/>
      <c r="M1367" s="46"/>
      <c r="N1367" s="46"/>
      <c r="O1367" s="46"/>
      <c r="P1367" s="46"/>
      <c r="Q1367" s="46"/>
      <c r="R1367" s="46"/>
      <c r="S1367" s="46"/>
      <c r="T1367" s="46"/>
      <c r="U1367" s="46"/>
      <c r="V1367" s="46"/>
      <c r="W1367" s="46"/>
      <c r="X1367" s="46"/>
    </row>
    <row r="1368" spans="1:24" x14ac:dyDescent="0.2">
      <c r="A1368" s="45"/>
      <c r="B1368" s="46"/>
      <c r="C1368" s="46"/>
      <c r="D1368" s="46"/>
      <c r="E1368" s="46"/>
      <c r="F1368" s="46"/>
      <c r="G1368" s="46"/>
      <c r="H1368" s="46"/>
      <c r="I1368" s="46"/>
      <c r="J1368" s="46"/>
      <c r="K1368" s="46"/>
      <c r="L1368" s="46"/>
      <c r="M1368" s="46"/>
      <c r="N1368" s="46"/>
      <c r="O1368" s="46"/>
      <c r="P1368" s="46"/>
      <c r="Q1368" s="46"/>
      <c r="R1368" s="46"/>
      <c r="S1368" s="46"/>
      <c r="T1368" s="46"/>
      <c r="U1368" s="46"/>
      <c r="V1368" s="46"/>
      <c r="W1368" s="46"/>
      <c r="X1368" s="46"/>
    </row>
    <row r="1369" spans="1:24" x14ac:dyDescent="0.2">
      <c r="A1369" s="45"/>
      <c r="B1369" s="46"/>
      <c r="C1369" s="46"/>
      <c r="D1369" s="46"/>
      <c r="E1369" s="46"/>
      <c r="F1369" s="46"/>
      <c r="G1369" s="46"/>
      <c r="H1369" s="46"/>
      <c r="I1369" s="46"/>
      <c r="J1369" s="46"/>
      <c r="K1369" s="46"/>
      <c r="L1369" s="46"/>
      <c r="M1369" s="46"/>
      <c r="N1369" s="46"/>
      <c r="O1369" s="46"/>
      <c r="P1369" s="46"/>
      <c r="Q1369" s="46"/>
      <c r="R1369" s="46"/>
      <c r="S1369" s="46"/>
      <c r="T1369" s="46"/>
      <c r="U1369" s="46"/>
      <c r="V1369" s="46"/>
      <c r="W1369" s="46"/>
      <c r="X1369" s="46"/>
    </row>
    <row r="1370" spans="1:24" x14ac:dyDescent="0.2">
      <c r="A1370" s="45"/>
      <c r="B1370" s="46"/>
      <c r="C1370" s="46"/>
      <c r="D1370" s="46"/>
      <c r="E1370" s="46"/>
      <c r="F1370" s="46"/>
      <c r="G1370" s="46"/>
      <c r="H1370" s="46"/>
      <c r="I1370" s="46"/>
      <c r="J1370" s="46"/>
      <c r="K1370" s="46"/>
      <c r="L1370" s="46"/>
      <c r="M1370" s="46"/>
      <c r="N1370" s="46"/>
      <c r="O1370" s="46"/>
      <c r="P1370" s="46"/>
      <c r="Q1370" s="46"/>
      <c r="R1370" s="46"/>
      <c r="S1370" s="46"/>
      <c r="T1370" s="46"/>
      <c r="U1370" s="46"/>
      <c r="V1370" s="46"/>
      <c r="W1370" s="46"/>
      <c r="X1370" s="46"/>
    </row>
    <row r="1371" spans="1:24" x14ac:dyDescent="0.2">
      <c r="A1371" s="45"/>
      <c r="B1371" s="46"/>
      <c r="C1371" s="46"/>
      <c r="D1371" s="46"/>
      <c r="E1371" s="46"/>
      <c r="F1371" s="46"/>
      <c r="G1371" s="46"/>
      <c r="H1371" s="46"/>
      <c r="I1371" s="46"/>
      <c r="J1371" s="46"/>
      <c r="K1371" s="46"/>
      <c r="L1371" s="46"/>
      <c r="M1371" s="46"/>
      <c r="N1371" s="46"/>
      <c r="O1371" s="46"/>
      <c r="P1371" s="46"/>
      <c r="Q1371" s="46"/>
      <c r="R1371" s="46"/>
      <c r="S1371" s="46"/>
      <c r="T1371" s="46"/>
      <c r="U1371" s="46"/>
      <c r="V1371" s="46"/>
      <c r="W1371" s="46"/>
      <c r="X1371" s="46"/>
    </row>
    <row r="1372" spans="1:24" x14ac:dyDescent="0.2">
      <c r="A1372" s="45"/>
      <c r="B1372" s="46"/>
      <c r="C1372" s="46"/>
      <c r="D1372" s="46"/>
      <c r="E1372" s="46"/>
      <c r="F1372" s="46"/>
      <c r="G1372" s="46"/>
      <c r="H1372" s="46"/>
      <c r="I1372" s="46"/>
      <c r="J1372" s="46"/>
      <c r="K1372" s="46"/>
      <c r="L1372" s="46"/>
      <c r="M1372" s="46"/>
      <c r="N1372" s="46"/>
      <c r="O1372" s="46"/>
      <c r="P1372" s="46"/>
      <c r="Q1372" s="46"/>
      <c r="R1372" s="46"/>
      <c r="S1372" s="46"/>
      <c r="T1372" s="46"/>
      <c r="U1372" s="46"/>
      <c r="V1372" s="46"/>
      <c r="W1372" s="46"/>
      <c r="X1372" s="46"/>
    </row>
    <row r="1373" spans="1:24" x14ac:dyDescent="0.2">
      <c r="A1373" s="45"/>
      <c r="B1373" s="46"/>
      <c r="C1373" s="46"/>
      <c r="D1373" s="46"/>
      <c r="E1373" s="46"/>
      <c r="F1373" s="46"/>
      <c r="G1373" s="46"/>
      <c r="H1373" s="46"/>
      <c r="I1373" s="46"/>
      <c r="J1373" s="46"/>
      <c r="K1373" s="46"/>
      <c r="L1373" s="46"/>
      <c r="M1373" s="46"/>
      <c r="N1373" s="46"/>
      <c r="O1373" s="46"/>
      <c r="P1373" s="46"/>
      <c r="Q1373" s="46"/>
      <c r="R1373" s="46"/>
      <c r="S1373" s="46"/>
      <c r="T1373" s="46"/>
      <c r="U1373" s="46"/>
      <c r="V1373" s="46"/>
      <c r="W1373" s="46"/>
      <c r="X1373" s="46"/>
    </row>
    <row r="1374" spans="1:24" x14ac:dyDescent="0.2">
      <c r="A1374" s="45"/>
      <c r="B1374" s="46"/>
      <c r="C1374" s="46"/>
      <c r="D1374" s="46"/>
      <c r="E1374" s="46"/>
      <c r="F1374" s="46"/>
      <c r="G1374" s="46"/>
      <c r="H1374" s="46"/>
      <c r="I1374" s="46"/>
      <c r="J1374" s="46"/>
      <c r="K1374" s="46"/>
      <c r="L1374" s="46"/>
      <c r="M1374" s="46"/>
      <c r="N1374" s="46"/>
      <c r="O1374" s="46"/>
      <c r="P1374" s="46"/>
      <c r="Q1374" s="46"/>
      <c r="R1374" s="46"/>
      <c r="S1374" s="46"/>
      <c r="T1374" s="46"/>
      <c r="U1374" s="46"/>
      <c r="V1374" s="46"/>
      <c r="W1374" s="46"/>
      <c r="X1374" s="46"/>
    </row>
    <row r="1375" spans="1:24" x14ac:dyDescent="0.2">
      <c r="A1375" s="45"/>
      <c r="B1375" s="46"/>
      <c r="C1375" s="46"/>
      <c r="D1375" s="46"/>
      <c r="E1375" s="46"/>
      <c r="F1375" s="46"/>
      <c r="G1375" s="46"/>
      <c r="H1375" s="46"/>
      <c r="I1375" s="46"/>
      <c r="J1375" s="46"/>
      <c r="K1375" s="46"/>
      <c r="L1375" s="46"/>
      <c r="M1375" s="46"/>
      <c r="N1375" s="46"/>
      <c r="O1375" s="46"/>
      <c r="P1375" s="46"/>
      <c r="Q1375" s="46"/>
      <c r="R1375" s="46"/>
      <c r="S1375" s="46"/>
      <c r="T1375" s="46"/>
      <c r="U1375" s="46"/>
      <c r="V1375" s="46"/>
      <c r="W1375" s="46"/>
      <c r="X1375" s="46"/>
    </row>
    <row r="1376" spans="1:24" x14ac:dyDescent="0.2">
      <c r="A1376" s="45"/>
      <c r="B1376" s="46"/>
      <c r="C1376" s="46"/>
      <c r="D1376" s="46"/>
      <c r="E1376" s="46"/>
      <c r="F1376" s="46"/>
      <c r="G1376" s="46"/>
      <c r="H1376" s="46"/>
      <c r="I1376" s="46"/>
      <c r="J1376" s="46"/>
      <c r="K1376" s="46"/>
      <c r="L1376" s="46"/>
      <c r="M1376" s="46"/>
      <c r="N1376" s="46"/>
      <c r="O1376" s="46"/>
      <c r="P1376" s="46"/>
      <c r="Q1376" s="46"/>
      <c r="R1376" s="46"/>
      <c r="S1376" s="46"/>
      <c r="T1376" s="46"/>
      <c r="U1376" s="46"/>
      <c r="V1376" s="46"/>
      <c r="W1376" s="46"/>
      <c r="X1376" s="46"/>
    </row>
    <row r="1377" spans="1:24" x14ac:dyDescent="0.2">
      <c r="A1377" s="45"/>
      <c r="B1377" s="46"/>
      <c r="C1377" s="46"/>
      <c r="D1377" s="46"/>
      <c r="E1377" s="46"/>
      <c r="F1377" s="46"/>
      <c r="G1377" s="46"/>
      <c r="H1377" s="46"/>
      <c r="I1377" s="46"/>
      <c r="J1377" s="46"/>
      <c r="K1377" s="46"/>
      <c r="L1377" s="46"/>
      <c r="M1377" s="46"/>
      <c r="N1377" s="46"/>
      <c r="O1377" s="46"/>
      <c r="P1377" s="46"/>
      <c r="Q1377" s="46"/>
      <c r="R1377" s="46"/>
      <c r="S1377" s="46"/>
      <c r="T1377" s="46"/>
      <c r="U1377" s="46"/>
      <c r="V1377" s="46"/>
      <c r="W1377" s="46"/>
      <c r="X1377" s="46"/>
    </row>
    <row r="1378" spans="1:24" x14ac:dyDescent="0.2">
      <c r="A1378" s="45"/>
      <c r="B1378" s="46"/>
      <c r="C1378" s="46"/>
      <c r="D1378" s="46"/>
      <c r="E1378" s="46"/>
      <c r="F1378" s="46"/>
      <c r="G1378" s="46"/>
      <c r="H1378" s="46"/>
      <c r="I1378" s="46"/>
      <c r="J1378" s="46"/>
      <c r="K1378" s="46"/>
      <c r="L1378" s="46"/>
      <c r="M1378" s="46"/>
      <c r="N1378" s="46"/>
      <c r="O1378" s="46"/>
      <c r="P1378" s="46"/>
      <c r="Q1378" s="46"/>
      <c r="R1378" s="46"/>
      <c r="S1378" s="46"/>
      <c r="T1378" s="46"/>
      <c r="U1378" s="46"/>
      <c r="V1378" s="46"/>
      <c r="W1378" s="46"/>
      <c r="X1378" s="46"/>
    </row>
    <row r="1379" spans="1:24" x14ac:dyDescent="0.2">
      <c r="A1379" s="45"/>
      <c r="B1379" s="46"/>
      <c r="C1379" s="46"/>
      <c r="D1379" s="46"/>
      <c r="E1379" s="46"/>
      <c r="F1379" s="46"/>
      <c r="G1379" s="46"/>
      <c r="H1379" s="46"/>
      <c r="I1379" s="46"/>
      <c r="J1379" s="46"/>
      <c r="K1379" s="46"/>
      <c r="L1379" s="46"/>
      <c r="M1379" s="46"/>
      <c r="N1379" s="46"/>
      <c r="O1379" s="46"/>
      <c r="P1379" s="46"/>
      <c r="Q1379" s="46"/>
      <c r="R1379" s="46"/>
      <c r="S1379" s="46"/>
      <c r="T1379" s="46"/>
      <c r="U1379" s="46"/>
      <c r="V1379" s="46"/>
      <c r="W1379" s="46"/>
      <c r="X1379" s="46"/>
    </row>
    <row r="1380" spans="1:24" x14ac:dyDescent="0.2">
      <c r="A1380" s="45"/>
      <c r="B1380" s="46"/>
      <c r="C1380" s="46"/>
      <c r="D1380" s="46"/>
      <c r="E1380" s="46"/>
      <c r="F1380" s="46"/>
      <c r="G1380" s="46"/>
      <c r="H1380" s="46"/>
      <c r="I1380" s="46"/>
      <c r="J1380" s="46"/>
      <c r="K1380" s="46"/>
      <c r="L1380" s="46"/>
      <c r="M1380" s="46"/>
      <c r="N1380" s="46"/>
      <c r="O1380" s="46"/>
      <c r="P1380" s="46"/>
      <c r="Q1380" s="46"/>
      <c r="R1380" s="46"/>
      <c r="S1380" s="46"/>
      <c r="T1380" s="46"/>
      <c r="U1380" s="46"/>
      <c r="V1380" s="46"/>
      <c r="W1380" s="46"/>
      <c r="X1380" s="46"/>
    </row>
    <row r="1381" spans="1:24" x14ac:dyDescent="0.2">
      <c r="A1381" s="45"/>
      <c r="B1381" s="46"/>
      <c r="C1381" s="46"/>
      <c r="D1381" s="46"/>
      <c r="E1381" s="46"/>
      <c r="F1381" s="46"/>
      <c r="G1381" s="46"/>
      <c r="H1381" s="46"/>
      <c r="I1381" s="46"/>
      <c r="J1381" s="46"/>
      <c r="K1381" s="46"/>
      <c r="L1381" s="46"/>
      <c r="M1381" s="46"/>
      <c r="N1381" s="46"/>
      <c r="O1381" s="46"/>
      <c r="P1381" s="46"/>
      <c r="Q1381" s="46"/>
      <c r="R1381" s="46"/>
      <c r="S1381" s="46"/>
      <c r="T1381" s="46"/>
      <c r="U1381" s="46"/>
      <c r="V1381" s="46"/>
      <c r="W1381" s="46"/>
      <c r="X1381" s="46"/>
    </row>
    <row r="1382" spans="1:24" x14ac:dyDescent="0.2">
      <c r="A1382" s="45"/>
      <c r="B1382" s="46"/>
      <c r="C1382" s="46"/>
      <c r="D1382" s="46"/>
      <c r="E1382" s="46"/>
      <c r="F1382" s="46"/>
      <c r="G1382" s="46"/>
      <c r="H1382" s="46"/>
      <c r="I1382" s="46"/>
      <c r="J1382" s="46"/>
      <c r="K1382" s="46"/>
      <c r="L1382" s="46"/>
      <c r="M1382" s="46"/>
      <c r="N1382" s="46"/>
      <c r="O1382" s="46"/>
      <c r="P1382" s="46"/>
      <c r="Q1382" s="46"/>
      <c r="R1382" s="46"/>
      <c r="S1382" s="46"/>
      <c r="T1382" s="46"/>
      <c r="U1382" s="46"/>
      <c r="V1382" s="46"/>
      <c r="W1382" s="46"/>
      <c r="X1382" s="46"/>
    </row>
    <row r="1383" spans="1:24" x14ac:dyDescent="0.2">
      <c r="A1383" s="45"/>
      <c r="B1383" s="46"/>
      <c r="C1383" s="46"/>
      <c r="D1383" s="46"/>
      <c r="E1383" s="46"/>
      <c r="F1383" s="46"/>
      <c r="G1383" s="46"/>
      <c r="H1383" s="46"/>
      <c r="I1383" s="46"/>
      <c r="J1383" s="46"/>
      <c r="K1383" s="46"/>
      <c r="L1383" s="46"/>
      <c r="M1383" s="46"/>
      <c r="N1383" s="46"/>
      <c r="O1383" s="46"/>
      <c r="P1383" s="46"/>
      <c r="Q1383" s="46"/>
      <c r="R1383" s="46"/>
      <c r="S1383" s="46"/>
      <c r="T1383" s="46"/>
      <c r="U1383" s="46"/>
      <c r="V1383" s="46"/>
      <c r="W1383" s="46"/>
      <c r="X1383" s="46"/>
    </row>
    <row r="1384" spans="1:24" x14ac:dyDescent="0.2">
      <c r="A1384" s="45"/>
      <c r="B1384" s="46"/>
      <c r="C1384" s="46"/>
      <c r="D1384" s="46"/>
      <c r="E1384" s="46"/>
      <c r="F1384" s="46"/>
      <c r="G1384" s="46"/>
      <c r="H1384" s="46"/>
      <c r="I1384" s="46"/>
      <c r="J1384" s="46"/>
      <c r="K1384" s="46"/>
      <c r="L1384" s="46"/>
      <c r="M1384" s="46"/>
      <c r="N1384" s="46"/>
      <c r="O1384" s="46"/>
      <c r="P1384" s="46"/>
      <c r="Q1384" s="46"/>
      <c r="R1384" s="46"/>
      <c r="S1384" s="46"/>
      <c r="T1384" s="46"/>
      <c r="U1384" s="46"/>
      <c r="V1384" s="46"/>
      <c r="W1384" s="46"/>
      <c r="X1384" s="46"/>
    </row>
    <row r="1385" spans="1:24" x14ac:dyDescent="0.2">
      <c r="A1385" s="45"/>
      <c r="B1385" s="46"/>
      <c r="C1385" s="46"/>
      <c r="D1385" s="46"/>
      <c r="E1385" s="46"/>
      <c r="F1385" s="46"/>
      <c r="G1385" s="46"/>
      <c r="H1385" s="46"/>
      <c r="I1385" s="46"/>
      <c r="J1385" s="46"/>
      <c r="K1385" s="46"/>
      <c r="L1385" s="46"/>
      <c r="M1385" s="46"/>
      <c r="N1385" s="46"/>
      <c r="O1385" s="46"/>
      <c r="P1385" s="46"/>
      <c r="Q1385" s="46"/>
      <c r="R1385" s="46"/>
      <c r="S1385" s="46"/>
      <c r="T1385" s="46"/>
      <c r="U1385" s="46"/>
      <c r="V1385" s="46"/>
      <c r="W1385" s="46"/>
      <c r="X1385" s="46"/>
    </row>
    <row r="1386" spans="1:24" x14ac:dyDescent="0.2">
      <c r="A1386" s="45"/>
      <c r="B1386" s="46"/>
      <c r="C1386" s="46"/>
      <c r="D1386" s="46"/>
      <c r="E1386" s="46"/>
      <c r="F1386" s="46"/>
      <c r="G1386" s="46"/>
      <c r="H1386" s="46"/>
      <c r="I1386" s="46"/>
      <c r="J1386" s="46"/>
      <c r="K1386" s="46"/>
      <c r="L1386" s="46"/>
      <c r="M1386" s="46"/>
      <c r="N1386" s="46"/>
      <c r="O1386" s="46"/>
      <c r="P1386" s="46"/>
      <c r="Q1386" s="46"/>
      <c r="R1386" s="46"/>
      <c r="S1386" s="46"/>
      <c r="T1386" s="46"/>
      <c r="U1386" s="46"/>
      <c r="V1386" s="46"/>
      <c r="W1386" s="46"/>
      <c r="X1386" s="46"/>
    </row>
    <row r="1387" spans="1:24" x14ac:dyDescent="0.2">
      <c r="A1387" s="45"/>
      <c r="B1387" s="46"/>
      <c r="C1387" s="46"/>
      <c r="D1387" s="46"/>
      <c r="E1387" s="46"/>
      <c r="F1387" s="46"/>
      <c r="G1387" s="46"/>
      <c r="H1387" s="46"/>
      <c r="I1387" s="46"/>
      <c r="J1387" s="46"/>
      <c r="K1387" s="46"/>
      <c r="L1387" s="46"/>
      <c r="M1387" s="46"/>
      <c r="N1387" s="46"/>
      <c r="O1387" s="46"/>
      <c r="P1387" s="46"/>
      <c r="Q1387" s="46"/>
      <c r="R1387" s="46"/>
      <c r="S1387" s="46"/>
      <c r="T1387" s="46"/>
      <c r="U1387" s="46"/>
      <c r="V1387" s="46"/>
      <c r="W1387" s="46"/>
      <c r="X1387" s="46"/>
    </row>
    <row r="1388" spans="1:24" x14ac:dyDescent="0.2">
      <c r="A1388" s="45"/>
      <c r="B1388" s="46"/>
      <c r="C1388" s="46"/>
      <c r="D1388" s="46"/>
      <c r="E1388" s="46"/>
      <c r="F1388" s="46"/>
      <c r="G1388" s="46"/>
      <c r="H1388" s="46"/>
      <c r="I1388" s="46"/>
      <c r="J1388" s="46"/>
      <c r="K1388" s="46"/>
      <c r="L1388" s="46"/>
      <c r="M1388" s="46"/>
      <c r="N1388" s="46"/>
      <c r="O1388" s="46"/>
      <c r="P1388" s="46"/>
      <c r="Q1388" s="46"/>
      <c r="R1388" s="46"/>
      <c r="S1388" s="46"/>
      <c r="T1388" s="46"/>
      <c r="U1388" s="46"/>
      <c r="V1388" s="46"/>
      <c r="W1388" s="46"/>
      <c r="X1388" s="46"/>
    </row>
    <row r="1389" spans="1:24" x14ac:dyDescent="0.2">
      <c r="A1389" s="45"/>
      <c r="B1389" s="46"/>
      <c r="C1389" s="46"/>
      <c r="D1389" s="46"/>
      <c r="E1389" s="46"/>
      <c r="F1389" s="46"/>
      <c r="G1389" s="46"/>
      <c r="H1389" s="46"/>
      <c r="I1389" s="46"/>
      <c r="J1389" s="46"/>
      <c r="K1389" s="46"/>
      <c r="L1389" s="46"/>
      <c r="M1389" s="46"/>
      <c r="N1389" s="46"/>
      <c r="O1389" s="46"/>
      <c r="P1389" s="46"/>
      <c r="Q1389" s="46"/>
      <c r="R1389" s="46"/>
      <c r="S1389" s="46"/>
      <c r="T1389" s="46"/>
      <c r="U1389" s="46"/>
      <c r="V1389" s="46"/>
      <c r="W1389" s="46"/>
      <c r="X1389" s="46"/>
    </row>
    <row r="1390" spans="1:24" x14ac:dyDescent="0.2">
      <c r="A1390" s="45"/>
      <c r="B1390" s="46"/>
      <c r="C1390" s="46"/>
      <c r="D1390" s="46"/>
      <c r="E1390" s="46"/>
      <c r="F1390" s="46"/>
      <c r="G1390" s="46"/>
      <c r="H1390" s="46"/>
      <c r="I1390" s="46"/>
      <c r="J1390" s="46"/>
      <c r="K1390" s="46"/>
      <c r="L1390" s="46"/>
      <c r="M1390" s="46"/>
      <c r="N1390" s="46"/>
      <c r="O1390" s="46"/>
      <c r="P1390" s="46"/>
      <c r="Q1390" s="46"/>
      <c r="R1390" s="46"/>
      <c r="S1390" s="46"/>
      <c r="T1390" s="46"/>
      <c r="U1390" s="46"/>
      <c r="V1390" s="46"/>
      <c r="W1390" s="46"/>
      <c r="X1390" s="46"/>
    </row>
    <row r="1391" spans="1:24" x14ac:dyDescent="0.2">
      <c r="A1391" s="45"/>
      <c r="B1391" s="46"/>
      <c r="C1391" s="46"/>
      <c r="D1391" s="46"/>
      <c r="E1391" s="46"/>
      <c r="F1391" s="46"/>
      <c r="G1391" s="46"/>
      <c r="H1391" s="46"/>
      <c r="I1391" s="46"/>
      <c r="J1391" s="46"/>
      <c r="K1391" s="46"/>
      <c r="L1391" s="46"/>
      <c r="M1391" s="46"/>
      <c r="N1391" s="46"/>
      <c r="O1391" s="46"/>
      <c r="P1391" s="46"/>
      <c r="Q1391" s="46"/>
      <c r="R1391" s="46"/>
      <c r="S1391" s="46"/>
      <c r="T1391" s="46"/>
      <c r="U1391" s="46"/>
      <c r="V1391" s="46"/>
      <c r="W1391" s="46"/>
      <c r="X1391" s="46"/>
    </row>
    <row r="1392" spans="1:24" x14ac:dyDescent="0.2">
      <c r="A1392" s="45"/>
      <c r="B1392" s="46"/>
      <c r="C1392" s="46"/>
      <c r="D1392" s="46"/>
      <c r="E1392" s="46"/>
      <c r="F1392" s="46"/>
      <c r="G1392" s="46"/>
      <c r="H1392" s="46"/>
      <c r="I1392" s="46"/>
      <c r="J1392" s="46"/>
      <c r="K1392" s="46"/>
      <c r="L1392" s="46"/>
      <c r="M1392" s="46"/>
      <c r="N1392" s="46"/>
      <c r="O1392" s="46"/>
      <c r="P1392" s="46"/>
      <c r="Q1392" s="46"/>
      <c r="R1392" s="46"/>
      <c r="S1392" s="46"/>
      <c r="T1392" s="46"/>
      <c r="U1392" s="46"/>
      <c r="V1392" s="46"/>
      <c r="W1392" s="46"/>
      <c r="X1392" s="46"/>
    </row>
    <row r="1393" spans="1:24" x14ac:dyDescent="0.2">
      <c r="A1393" s="45"/>
      <c r="B1393" s="46"/>
      <c r="C1393" s="46"/>
      <c r="D1393" s="46"/>
      <c r="E1393" s="46"/>
      <c r="F1393" s="46"/>
      <c r="G1393" s="46"/>
      <c r="H1393" s="46"/>
      <c r="I1393" s="46"/>
      <c r="J1393" s="46"/>
      <c r="K1393" s="46"/>
      <c r="L1393" s="46"/>
      <c r="M1393" s="46"/>
      <c r="N1393" s="46"/>
      <c r="O1393" s="46"/>
      <c r="P1393" s="46"/>
      <c r="Q1393" s="46"/>
      <c r="R1393" s="46"/>
      <c r="S1393" s="46"/>
      <c r="T1393" s="46"/>
      <c r="U1393" s="46"/>
      <c r="V1393" s="46"/>
      <c r="W1393" s="46"/>
      <c r="X1393" s="46"/>
    </row>
    <row r="1394" spans="1:24" x14ac:dyDescent="0.2">
      <c r="A1394" s="45"/>
      <c r="B1394" s="46"/>
      <c r="C1394" s="46"/>
      <c r="D1394" s="46"/>
      <c r="E1394" s="46"/>
      <c r="F1394" s="46"/>
      <c r="G1394" s="46"/>
      <c r="H1394" s="46"/>
      <c r="I1394" s="46"/>
      <c r="J1394" s="46"/>
      <c r="K1394" s="46"/>
      <c r="L1394" s="46"/>
      <c r="M1394" s="46"/>
      <c r="N1394" s="46"/>
      <c r="O1394" s="46"/>
      <c r="P1394" s="46"/>
      <c r="Q1394" s="46"/>
      <c r="R1394" s="46"/>
      <c r="S1394" s="46"/>
      <c r="T1394" s="46"/>
      <c r="U1394" s="46"/>
      <c r="V1394" s="46"/>
      <c r="W1394" s="46"/>
      <c r="X1394" s="46"/>
    </row>
    <row r="1395" spans="1:24" x14ac:dyDescent="0.2">
      <c r="A1395" s="45"/>
      <c r="B1395" s="46"/>
      <c r="C1395" s="46"/>
      <c r="D1395" s="46"/>
      <c r="E1395" s="46"/>
      <c r="F1395" s="46"/>
      <c r="G1395" s="46"/>
      <c r="H1395" s="46"/>
      <c r="I1395" s="46"/>
      <c r="J1395" s="46"/>
      <c r="K1395" s="46"/>
      <c r="L1395" s="46"/>
      <c r="M1395" s="46"/>
      <c r="N1395" s="46"/>
      <c r="O1395" s="46"/>
      <c r="P1395" s="46"/>
      <c r="Q1395" s="46"/>
      <c r="R1395" s="46"/>
      <c r="S1395" s="46"/>
      <c r="T1395" s="46"/>
      <c r="U1395" s="46"/>
      <c r="V1395" s="46"/>
      <c r="W1395" s="46"/>
      <c r="X1395" s="46"/>
    </row>
    <row r="1396" spans="1:24" x14ac:dyDescent="0.2">
      <c r="A1396" s="45"/>
      <c r="B1396" s="46"/>
      <c r="C1396" s="46"/>
      <c r="D1396" s="46"/>
      <c r="E1396" s="46"/>
      <c r="F1396" s="46"/>
      <c r="G1396" s="46"/>
      <c r="H1396" s="46"/>
      <c r="I1396" s="46"/>
      <c r="J1396" s="46"/>
      <c r="K1396" s="46"/>
      <c r="L1396" s="46"/>
      <c r="M1396" s="46"/>
      <c r="N1396" s="46"/>
      <c r="O1396" s="46"/>
      <c r="P1396" s="46"/>
      <c r="Q1396" s="46"/>
      <c r="R1396" s="46"/>
      <c r="S1396" s="46"/>
      <c r="T1396" s="46"/>
      <c r="U1396" s="46"/>
      <c r="V1396" s="46"/>
      <c r="W1396" s="46"/>
      <c r="X1396" s="46"/>
    </row>
    <row r="1397" spans="1:24" x14ac:dyDescent="0.2">
      <c r="A1397" s="45"/>
      <c r="B1397" s="46"/>
      <c r="C1397" s="46"/>
      <c r="D1397" s="46"/>
      <c r="E1397" s="46"/>
      <c r="F1397" s="46"/>
      <c r="G1397" s="46"/>
      <c r="H1397" s="46"/>
      <c r="I1397" s="46"/>
      <c r="J1397" s="46"/>
      <c r="K1397" s="46"/>
      <c r="L1397" s="46"/>
      <c r="M1397" s="46"/>
      <c r="N1397" s="46"/>
      <c r="O1397" s="46"/>
      <c r="P1397" s="46"/>
      <c r="Q1397" s="46"/>
      <c r="R1397" s="46"/>
      <c r="S1397" s="46"/>
      <c r="T1397" s="46"/>
      <c r="U1397" s="46"/>
      <c r="V1397" s="46"/>
      <c r="W1397" s="46"/>
      <c r="X1397" s="46"/>
    </row>
    <row r="1398" spans="1:24" x14ac:dyDescent="0.2">
      <c r="A1398" s="45"/>
      <c r="B1398" s="46"/>
      <c r="C1398" s="46"/>
      <c r="D1398" s="46"/>
      <c r="E1398" s="46"/>
      <c r="F1398" s="46"/>
      <c r="G1398" s="46"/>
      <c r="H1398" s="46"/>
      <c r="I1398" s="46"/>
      <c r="J1398" s="46"/>
      <c r="K1398" s="46"/>
      <c r="L1398" s="46"/>
      <c r="M1398" s="46"/>
      <c r="N1398" s="46"/>
      <c r="O1398" s="46"/>
      <c r="P1398" s="46"/>
      <c r="Q1398" s="46"/>
      <c r="R1398" s="46"/>
      <c r="S1398" s="46"/>
      <c r="T1398" s="46"/>
      <c r="U1398" s="46"/>
      <c r="V1398" s="46"/>
      <c r="W1398" s="46"/>
      <c r="X1398" s="46"/>
    </row>
    <row r="1399" spans="1:24" x14ac:dyDescent="0.2">
      <c r="A1399" s="45"/>
      <c r="B1399" s="46"/>
      <c r="C1399" s="46"/>
      <c r="D1399" s="46"/>
      <c r="E1399" s="46"/>
      <c r="F1399" s="46"/>
      <c r="G1399" s="46"/>
      <c r="H1399" s="46"/>
      <c r="I1399" s="46"/>
      <c r="J1399" s="46"/>
      <c r="K1399" s="46"/>
      <c r="L1399" s="46"/>
      <c r="M1399" s="46"/>
      <c r="N1399" s="46"/>
      <c r="O1399" s="46"/>
      <c r="P1399" s="46"/>
      <c r="Q1399" s="46"/>
      <c r="R1399" s="46"/>
      <c r="S1399" s="46"/>
      <c r="T1399" s="46"/>
      <c r="U1399" s="46"/>
      <c r="V1399" s="46"/>
      <c r="W1399" s="46"/>
      <c r="X1399" s="46"/>
    </row>
    <row r="1400" spans="1:24" x14ac:dyDescent="0.2">
      <c r="A1400" s="45"/>
      <c r="B1400" s="46"/>
      <c r="C1400" s="46"/>
      <c r="D1400" s="46"/>
      <c r="E1400" s="46"/>
      <c r="F1400" s="46"/>
      <c r="G1400" s="46"/>
      <c r="H1400" s="46"/>
      <c r="I1400" s="46"/>
      <c r="J1400" s="46"/>
      <c r="K1400" s="46"/>
      <c r="L1400" s="46"/>
      <c r="M1400" s="46"/>
      <c r="N1400" s="46"/>
      <c r="O1400" s="46"/>
      <c r="P1400" s="46"/>
      <c r="Q1400" s="46"/>
      <c r="R1400" s="46"/>
      <c r="S1400" s="46"/>
      <c r="T1400" s="46"/>
      <c r="U1400" s="46"/>
      <c r="V1400" s="46"/>
      <c r="W1400" s="46"/>
      <c r="X1400" s="46"/>
    </row>
    <row r="1401" spans="1:24" x14ac:dyDescent="0.2">
      <c r="A1401" s="45"/>
      <c r="B1401" s="46"/>
      <c r="C1401" s="46"/>
      <c r="D1401" s="46"/>
      <c r="E1401" s="46"/>
      <c r="F1401" s="46"/>
      <c r="G1401" s="46"/>
      <c r="H1401" s="46"/>
      <c r="I1401" s="46"/>
      <c r="J1401" s="46"/>
      <c r="K1401" s="46"/>
      <c r="L1401" s="46"/>
      <c r="M1401" s="46"/>
      <c r="N1401" s="46"/>
      <c r="O1401" s="46"/>
      <c r="P1401" s="46"/>
      <c r="Q1401" s="46"/>
      <c r="R1401" s="46"/>
      <c r="S1401" s="46"/>
      <c r="T1401" s="46"/>
      <c r="U1401" s="46"/>
      <c r="V1401" s="46"/>
      <c r="W1401" s="46"/>
      <c r="X1401" s="46"/>
    </row>
    <row r="1402" spans="1:24" x14ac:dyDescent="0.2">
      <c r="A1402" s="45"/>
      <c r="B1402" s="46"/>
      <c r="C1402" s="46"/>
      <c r="D1402" s="46"/>
      <c r="E1402" s="46"/>
      <c r="F1402" s="46"/>
      <c r="G1402" s="46"/>
      <c r="H1402" s="46"/>
      <c r="I1402" s="46"/>
      <c r="J1402" s="46"/>
      <c r="K1402" s="46"/>
      <c r="L1402" s="46"/>
      <c r="M1402" s="46"/>
      <c r="N1402" s="46"/>
      <c r="O1402" s="46"/>
      <c r="P1402" s="46"/>
      <c r="Q1402" s="46"/>
      <c r="R1402" s="46"/>
      <c r="S1402" s="46"/>
      <c r="T1402" s="46"/>
      <c r="U1402" s="46"/>
      <c r="V1402" s="46"/>
      <c r="W1402" s="46"/>
      <c r="X1402" s="46"/>
    </row>
    <row r="1403" spans="1:24" x14ac:dyDescent="0.2">
      <c r="A1403" s="45"/>
      <c r="B1403" s="46"/>
      <c r="C1403" s="46"/>
      <c r="D1403" s="46"/>
      <c r="E1403" s="46"/>
      <c r="F1403" s="46"/>
      <c r="G1403" s="46"/>
      <c r="H1403" s="46"/>
      <c r="I1403" s="46"/>
      <c r="J1403" s="46"/>
      <c r="K1403" s="46"/>
      <c r="L1403" s="46"/>
      <c r="M1403" s="46"/>
      <c r="N1403" s="46"/>
      <c r="O1403" s="46"/>
      <c r="P1403" s="46"/>
      <c r="Q1403" s="46"/>
      <c r="R1403" s="46"/>
      <c r="S1403" s="46"/>
      <c r="T1403" s="46"/>
      <c r="U1403" s="46"/>
      <c r="V1403" s="46"/>
      <c r="W1403" s="46"/>
      <c r="X1403" s="46"/>
    </row>
    <row r="1404" spans="1:24" x14ac:dyDescent="0.2">
      <c r="A1404" s="45"/>
      <c r="B1404" s="46"/>
      <c r="C1404" s="46"/>
      <c r="D1404" s="46"/>
      <c r="E1404" s="46"/>
      <c r="F1404" s="46"/>
      <c r="G1404" s="46"/>
      <c r="H1404" s="46"/>
      <c r="I1404" s="46"/>
      <c r="J1404" s="46"/>
      <c r="K1404" s="46"/>
      <c r="L1404" s="46"/>
      <c r="M1404" s="46"/>
      <c r="N1404" s="46"/>
      <c r="O1404" s="46"/>
      <c r="P1404" s="46"/>
      <c r="Q1404" s="46"/>
      <c r="R1404" s="46"/>
      <c r="S1404" s="46"/>
      <c r="T1404" s="46"/>
      <c r="U1404" s="46"/>
      <c r="V1404" s="46"/>
      <c r="W1404" s="46"/>
      <c r="X1404" s="46"/>
    </row>
    <row r="1405" spans="1:24" x14ac:dyDescent="0.2">
      <c r="A1405" s="45"/>
      <c r="B1405" s="46"/>
      <c r="C1405" s="46"/>
      <c r="D1405" s="46"/>
      <c r="E1405" s="46"/>
      <c r="F1405" s="46"/>
      <c r="G1405" s="46"/>
      <c r="H1405" s="46"/>
      <c r="I1405" s="46"/>
      <c r="J1405" s="46"/>
      <c r="K1405" s="46"/>
      <c r="L1405" s="46"/>
      <c r="M1405" s="46"/>
      <c r="N1405" s="46"/>
      <c r="O1405" s="46"/>
      <c r="P1405" s="46"/>
      <c r="Q1405" s="46"/>
      <c r="R1405" s="46"/>
      <c r="S1405" s="46"/>
      <c r="T1405" s="46"/>
      <c r="U1405" s="46"/>
      <c r="V1405" s="46"/>
      <c r="W1405" s="46"/>
      <c r="X1405" s="46"/>
    </row>
    <row r="1406" spans="1:24" x14ac:dyDescent="0.2">
      <c r="A1406" s="45"/>
      <c r="B1406" s="46"/>
      <c r="C1406" s="46"/>
      <c r="D1406" s="46"/>
      <c r="E1406" s="46"/>
      <c r="F1406" s="46"/>
      <c r="G1406" s="46"/>
      <c r="H1406" s="46"/>
      <c r="I1406" s="46"/>
      <c r="J1406" s="46"/>
      <c r="K1406" s="46"/>
      <c r="L1406" s="46"/>
      <c r="M1406" s="46"/>
      <c r="N1406" s="46"/>
      <c r="O1406" s="46"/>
      <c r="P1406" s="46"/>
      <c r="Q1406" s="46"/>
      <c r="R1406" s="46"/>
      <c r="S1406" s="46"/>
      <c r="T1406" s="46"/>
      <c r="U1406" s="46"/>
      <c r="V1406" s="46"/>
      <c r="W1406" s="46"/>
      <c r="X1406" s="46"/>
    </row>
    <row r="1407" spans="1:24" x14ac:dyDescent="0.2">
      <c r="A1407" s="45"/>
      <c r="B1407" s="46"/>
      <c r="C1407" s="46"/>
      <c r="D1407" s="46"/>
      <c r="E1407" s="46"/>
      <c r="F1407" s="46"/>
      <c r="G1407" s="46"/>
      <c r="H1407" s="46"/>
      <c r="I1407" s="46"/>
      <c r="J1407" s="46"/>
      <c r="K1407" s="46"/>
      <c r="L1407" s="46"/>
      <c r="M1407" s="46"/>
      <c r="N1407" s="46"/>
      <c r="O1407" s="46"/>
      <c r="P1407" s="46"/>
      <c r="Q1407" s="46"/>
      <c r="R1407" s="46"/>
      <c r="S1407" s="46"/>
      <c r="T1407" s="46"/>
      <c r="U1407" s="46"/>
      <c r="V1407" s="46"/>
      <c r="W1407" s="46"/>
      <c r="X1407" s="46"/>
    </row>
    <row r="1408" spans="1:24" x14ac:dyDescent="0.2">
      <c r="A1408" s="45"/>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row>
    <row r="1409" spans="1:24" x14ac:dyDescent="0.2">
      <c r="A1409" s="45"/>
      <c r="B1409" s="46"/>
      <c r="C1409" s="46"/>
      <c r="D1409" s="46"/>
      <c r="E1409" s="46"/>
      <c r="F1409" s="46"/>
      <c r="G1409" s="46"/>
      <c r="H1409" s="46"/>
      <c r="I1409" s="46"/>
      <c r="J1409" s="46"/>
      <c r="K1409" s="46"/>
      <c r="L1409" s="46"/>
      <c r="M1409" s="46"/>
      <c r="N1409" s="46"/>
      <c r="O1409" s="46"/>
      <c r="P1409" s="46"/>
      <c r="Q1409" s="46"/>
      <c r="R1409" s="46"/>
      <c r="S1409" s="46"/>
      <c r="T1409" s="46"/>
      <c r="U1409" s="46"/>
      <c r="V1409" s="46"/>
      <c r="W1409" s="46"/>
      <c r="X1409" s="46"/>
    </row>
    <row r="1410" spans="1:24" x14ac:dyDescent="0.2">
      <c r="A1410" s="45"/>
      <c r="B1410" s="46"/>
      <c r="C1410" s="46"/>
      <c r="D1410" s="46"/>
      <c r="E1410" s="46"/>
      <c r="F1410" s="46"/>
      <c r="G1410" s="46"/>
      <c r="H1410" s="46"/>
      <c r="I1410" s="46"/>
      <c r="J1410" s="46"/>
      <c r="K1410" s="46"/>
      <c r="L1410" s="46"/>
      <c r="M1410" s="46"/>
      <c r="N1410" s="46"/>
      <c r="O1410" s="46"/>
      <c r="P1410" s="46"/>
      <c r="Q1410" s="46"/>
      <c r="R1410" s="46"/>
      <c r="S1410" s="46"/>
      <c r="T1410" s="46"/>
      <c r="U1410" s="46"/>
      <c r="V1410" s="46"/>
      <c r="W1410" s="46"/>
      <c r="X1410" s="46"/>
    </row>
    <row r="1411" spans="1:24" x14ac:dyDescent="0.2">
      <c r="A1411" s="45"/>
      <c r="B1411" s="46"/>
      <c r="C1411" s="46"/>
      <c r="D1411" s="46"/>
      <c r="E1411" s="46"/>
      <c r="F1411" s="46"/>
      <c r="G1411" s="46"/>
      <c r="H1411" s="46"/>
      <c r="I1411" s="46"/>
      <c r="J1411" s="46"/>
      <c r="K1411" s="46"/>
      <c r="L1411" s="46"/>
      <c r="M1411" s="46"/>
      <c r="N1411" s="46"/>
      <c r="O1411" s="46"/>
      <c r="P1411" s="46"/>
      <c r="Q1411" s="46"/>
      <c r="R1411" s="46"/>
      <c r="S1411" s="46"/>
      <c r="T1411" s="46"/>
      <c r="U1411" s="46"/>
      <c r="V1411" s="46"/>
      <c r="W1411" s="46"/>
      <c r="X1411" s="46"/>
    </row>
    <row r="1412" spans="1:24" x14ac:dyDescent="0.2">
      <c r="A1412" s="45"/>
      <c r="B1412" s="46"/>
      <c r="C1412" s="46"/>
      <c r="D1412" s="46"/>
      <c r="E1412" s="46"/>
      <c r="F1412" s="46"/>
      <c r="G1412" s="46"/>
      <c r="H1412" s="46"/>
      <c r="I1412" s="46"/>
      <c r="J1412" s="46"/>
      <c r="K1412" s="46"/>
      <c r="L1412" s="46"/>
      <c r="M1412" s="46"/>
      <c r="N1412" s="46"/>
      <c r="O1412" s="46"/>
      <c r="P1412" s="46"/>
      <c r="Q1412" s="46"/>
      <c r="R1412" s="46"/>
      <c r="S1412" s="46"/>
      <c r="T1412" s="46"/>
      <c r="U1412" s="46"/>
      <c r="V1412" s="46"/>
      <c r="W1412" s="46"/>
      <c r="X1412" s="46"/>
    </row>
    <row r="1413" spans="1:24" x14ac:dyDescent="0.2">
      <c r="A1413" s="45"/>
      <c r="B1413" s="46"/>
      <c r="C1413" s="46"/>
      <c r="D1413" s="46"/>
      <c r="E1413" s="46"/>
      <c r="F1413" s="46"/>
      <c r="G1413" s="46"/>
      <c r="H1413" s="46"/>
      <c r="I1413" s="46"/>
      <c r="J1413" s="46"/>
      <c r="K1413" s="46"/>
      <c r="L1413" s="46"/>
      <c r="M1413" s="46"/>
      <c r="N1413" s="46"/>
      <c r="O1413" s="46"/>
      <c r="P1413" s="46"/>
      <c r="Q1413" s="46"/>
      <c r="R1413" s="46"/>
      <c r="S1413" s="46"/>
      <c r="T1413" s="46"/>
      <c r="U1413" s="46"/>
      <c r="V1413" s="46"/>
      <c r="W1413" s="46"/>
      <c r="X1413" s="46"/>
    </row>
    <row r="1414" spans="1:24" x14ac:dyDescent="0.2">
      <c r="A1414" s="45"/>
      <c r="B1414" s="46"/>
      <c r="C1414" s="46"/>
      <c r="D1414" s="46"/>
      <c r="E1414" s="46"/>
      <c r="F1414" s="46"/>
      <c r="G1414" s="46"/>
      <c r="H1414" s="46"/>
      <c r="I1414" s="46"/>
      <c r="J1414" s="46"/>
      <c r="K1414" s="46"/>
      <c r="L1414" s="46"/>
      <c r="M1414" s="46"/>
      <c r="N1414" s="46"/>
      <c r="O1414" s="46"/>
      <c r="P1414" s="46"/>
      <c r="Q1414" s="46"/>
      <c r="R1414" s="46"/>
      <c r="S1414" s="46"/>
      <c r="T1414" s="46"/>
      <c r="U1414" s="46"/>
      <c r="V1414" s="46"/>
      <c r="W1414" s="46"/>
      <c r="X1414" s="46"/>
    </row>
    <row r="1415" spans="1:24" x14ac:dyDescent="0.2">
      <c r="A1415" s="45"/>
      <c r="B1415" s="46"/>
      <c r="C1415" s="46"/>
      <c r="D1415" s="46"/>
      <c r="E1415" s="46"/>
      <c r="F1415" s="46"/>
      <c r="G1415" s="46"/>
      <c r="H1415" s="46"/>
      <c r="I1415" s="46"/>
      <c r="J1415" s="46"/>
      <c r="K1415" s="46"/>
      <c r="L1415" s="46"/>
      <c r="M1415" s="46"/>
      <c r="N1415" s="46"/>
      <c r="O1415" s="46"/>
      <c r="P1415" s="46"/>
      <c r="Q1415" s="46"/>
      <c r="R1415" s="46"/>
      <c r="S1415" s="46"/>
      <c r="T1415" s="46"/>
      <c r="U1415" s="46"/>
      <c r="V1415" s="46"/>
      <c r="W1415" s="46"/>
      <c r="X1415" s="46"/>
    </row>
    <row r="1416" spans="1:24" x14ac:dyDescent="0.2">
      <c r="A1416" s="45"/>
      <c r="B1416" s="46"/>
      <c r="C1416" s="46"/>
      <c r="D1416" s="46"/>
      <c r="E1416" s="46"/>
      <c r="F1416" s="46"/>
      <c r="G1416" s="46"/>
      <c r="H1416" s="46"/>
      <c r="I1416" s="46"/>
      <c r="J1416" s="46"/>
      <c r="K1416" s="46"/>
      <c r="L1416" s="46"/>
      <c r="M1416" s="46"/>
      <c r="N1416" s="46"/>
      <c r="O1416" s="46"/>
      <c r="P1416" s="46"/>
      <c r="Q1416" s="46"/>
      <c r="R1416" s="46"/>
      <c r="S1416" s="46"/>
      <c r="T1416" s="46"/>
      <c r="U1416" s="46"/>
      <c r="V1416" s="46"/>
      <c r="W1416" s="46"/>
      <c r="X1416" s="46"/>
    </row>
    <row r="1417" spans="1:24" x14ac:dyDescent="0.2">
      <c r="A1417" s="45"/>
      <c r="B1417" s="46"/>
      <c r="C1417" s="46"/>
      <c r="D1417" s="46"/>
      <c r="E1417" s="46"/>
      <c r="F1417" s="46"/>
      <c r="G1417" s="46"/>
      <c r="H1417" s="46"/>
      <c r="I1417" s="46"/>
      <c r="J1417" s="46"/>
      <c r="K1417" s="46"/>
      <c r="L1417" s="46"/>
      <c r="M1417" s="46"/>
      <c r="N1417" s="46"/>
      <c r="O1417" s="46"/>
      <c r="P1417" s="46"/>
      <c r="Q1417" s="46"/>
      <c r="R1417" s="46"/>
      <c r="S1417" s="46"/>
      <c r="T1417" s="46"/>
      <c r="U1417" s="46"/>
      <c r="V1417" s="46"/>
      <c r="W1417" s="46"/>
      <c r="X1417" s="46"/>
    </row>
    <row r="1418" spans="1:24" x14ac:dyDescent="0.2">
      <c r="A1418" s="45"/>
      <c r="B1418" s="46"/>
      <c r="C1418" s="46"/>
      <c r="D1418" s="46"/>
      <c r="E1418" s="46"/>
      <c r="F1418" s="46"/>
      <c r="G1418" s="46"/>
      <c r="H1418" s="46"/>
      <c r="I1418" s="46"/>
      <c r="J1418" s="46"/>
      <c r="K1418" s="46"/>
      <c r="L1418" s="46"/>
      <c r="M1418" s="46"/>
      <c r="N1418" s="46"/>
      <c r="O1418" s="46"/>
      <c r="P1418" s="46"/>
      <c r="Q1418" s="46"/>
      <c r="R1418" s="46"/>
      <c r="S1418" s="46"/>
      <c r="T1418" s="46"/>
      <c r="U1418" s="46"/>
      <c r="V1418" s="46"/>
      <c r="W1418" s="46"/>
      <c r="X1418" s="46"/>
    </row>
    <row r="1419" spans="1:24" x14ac:dyDescent="0.2">
      <c r="A1419" s="45"/>
      <c r="B1419" s="46"/>
      <c r="C1419" s="46"/>
      <c r="D1419" s="46"/>
      <c r="E1419" s="46"/>
      <c r="F1419" s="46"/>
      <c r="G1419" s="46"/>
      <c r="H1419" s="46"/>
      <c r="I1419" s="46"/>
      <c r="J1419" s="46"/>
      <c r="K1419" s="46"/>
      <c r="L1419" s="46"/>
      <c r="M1419" s="46"/>
      <c r="N1419" s="46"/>
      <c r="O1419" s="46"/>
      <c r="P1419" s="46"/>
      <c r="Q1419" s="46"/>
      <c r="R1419" s="46"/>
      <c r="S1419" s="46"/>
      <c r="T1419" s="46"/>
      <c r="U1419" s="46"/>
      <c r="V1419" s="46"/>
      <c r="W1419" s="46"/>
      <c r="X1419" s="46"/>
    </row>
    <row r="1420" spans="1:24" x14ac:dyDescent="0.2">
      <c r="A1420" s="45"/>
      <c r="B1420" s="46"/>
      <c r="C1420" s="46"/>
      <c r="D1420" s="46"/>
      <c r="E1420" s="46"/>
      <c r="F1420" s="46"/>
      <c r="G1420" s="46"/>
      <c r="H1420" s="46"/>
      <c r="I1420" s="46"/>
      <c r="J1420" s="46"/>
      <c r="K1420" s="46"/>
      <c r="L1420" s="46"/>
      <c r="M1420" s="46"/>
      <c r="N1420" s="46"/>
      <c r="O1420" s="46"/>
      <c r="P1420" s="46"/>
      <c r="Q1420" s="46"/>
      <c r="R1420" s="46"/>
      <c r="S1420" s="46"/>
      <c r="T1420" s="46"/>
      <c r="U1420" s="46"/>
      <c r="V1420" s="46"/>
      <c r="W1420" s="46"/>
      <c r="X1420" s="46"/>
    </row>
    <row r="1421" spans="1:24" x14ac:dyDescent="0.2">
      <c r="A1421" s="45"/>
      <c r="B1421" s="46"/>
      <c r="C1421" s="46"/>
      <c r="D1421" s="46"/>
      <c r="E1421" s="46"/>
      <c r="F1421" s="46"/>
      <c r="G1421" s="46"/>
      <c r="H1421" s="46"/>
      <c r="I1421" s="46"/>
      <c r="J1421" s="46"/>
      <c r="K1421" s="46"/>
      <c r="L1421" s="46"/>
      <c r="M1421" s="46"/>
      <c r="N1421" s="46"/>
      <c r="O1421" s="46"/>
      <c r="P1421" s="46"/>
      <c r="Q1421" s="46"/>
      <c r="R1421" s="46"/>
      <c r="S1421" s="46"/>
      <c r="T1421" s="46"/>
      <c r="U1421" s="46"/>
      <c r="V1421" s="46"/>
      <c r="W1421" s="46"/>
      <c r="X1421" s="46"/>
    </row>
    <row r="1422" spans="1:24" x14ac:dyDescent="0.2">
      <c r="A1422" s="45"/>
      <c r="B1422" s="46"/>
      <c r="C1422" s="46"/>
      <c r="D1422" s="46"/>
      <c r="E1422" s="46"/>
      <c r="F1422" s="46"/>
      <c r="G1422" s="46"/>
      <c r="H1422" s="46"/>
      <c r="I1422" s="46"/>
      <c r="J1422" s="46"/>
      <c r="K1422" s="46"/>
      <c r="L1422" s="46"/>
      <c r="M1422" s="46"/>
      <c r="N1422" s="46"/>
      <c r="O1422" s="46"/>
      <c r="P1422" s="46"/>
      <c r="Q1422" s="46"/>
      <c r="R1422" s="46"/>
      <c r="S1422" s="46"/>
      <c r="T1422" s="46"/>
      <c r="U1422" s="46"/>
      <c r="V1422" s="46"/>
      <c r="W1422" s="46"/>
      <c r="X1422" s="46"/>
    </row>
    <row r="1423" spans="1:24" x14ac:dyDescent="0.2">
      <c r="A1423" s="45"/>
      <c r="B1423" s="46"/>
      <c r="C1423" s="46"/>
      <c r="D1423" s="46"/>
      <c r="E1423" s="46"/>
      <c r="F1423" s="46"/>
      <c r="G1423" s="46"/>
      <c r="H1423" s="46"/>
      <c r="I1423" s="46"/>
      <c r="J1423" s="46"/>
      <c r="K1423" s="46"/>
      <c r="L1423" s="46"/>
      <c r="M1423" s="46"/>
      <c r="N1423" s="46"/>
      <c r="O1423" s="46"/>
      <c r="P1423" s="46"/>
      <c r="Q1423" s="46"/>
      <c r="R1423" s="46"/>
      <c r="S1423" s="46"/>
      <c r="T1423" s="46"/>
      <c r="U1423" s="46"/>
      <c r="V1423" s="46"/>
      <c r="W1423" s="46"/>
      <c r="X1423" s="46"/>
    </row>
    <row r="1424" spans="1:24" x14ac:dyDescent="0.2">
      <c r="A1424" s="45"/>
      <c r="B1424" s="46"/>
      <c r="C1424" s="46"/>
      <c r="D1424" s="46"/>
      <c r="E1424" s="46"/>
      <c r="F1424" s="46"/>
      <c r="G1424" s="46"/>
      <c r="H1424" s="46"/>
      <c r="I1424" s="46"/>
      <c r="J1424" s="46"/>
      <c r="K1424" s="46"/>
      <c r="L1424" s="46"/>
      <c r="M1424" s="46"/>
      <c r="N1424" s="46"/>
      <c r="O1424" s="46"/>
      <c r="P1424" s="46"/>
      <c r="Q1424" s="46"/>
      <c r="R1424" s="46"/>
      <c r="S1424" s="46"/>
      <c r="T1424" s="46"/>
      <c r="U1424" s="46"/>
      <c r="V1424" s="46"/>
      <c r="W1424" s="46"/>
      <c r="X1424" s="46"/>
    </row>
    <row r="1425" spans="1:24" x14ac:dyDescent="0.2">
      <c r="A1425" s="45"/>
      <c r="B1425" s="46"/>
      <c r="C1425" s="46"/>
      <c r="D1425" s="46"/>
      <c r="E1425" s="46"/>
      <c r="F1425" s="46"/>
      <c r="G1425" s="46"/>
      <c r="H1425" s="46"/>
      <c r="I1425" s="46"/>
      <c r="J1425" s="46"/>
      <c r="K1425" s="46"/>
      <c r="L1425" s="46"/>
      <c r="M1425" s="46"/>
      <c r="N1425" s="46"/>
      <c r="O1425" s="46"/>
      <c r="P1425" s="46"/>
      <c r="Q1425" s="46"/>
      <c r="R1425" s="46"/>
      <c r="S1425" s="46"/>
      <c r="T1425" s="46"/>
      <c r="U1425" s="46"/>
      <c r="V1425" s="46"/>
      <c r="W1425" s="46"/>
      <c r="X1425" s="46"/>
    </row>
    <row r="1426" spans="1:24" x14ac:dyDescent="0.2">
      <c r="A1426" s="45"/>
      <c r="B1426" s="46"/>
      <c r="C1426" s="46"/>
      <c r="D1426" s="46"/>
      <c r="E1426" s="46"/>
      <c r="F1426" s="46"/>
      <c r="G1426" s="46"/>
      <c r="H1426" s="46"/>
      <c r="I1426" s="46"/>
      <c r="J1426" s="46"/>
      <c r="K1426" s="46"/>
      <c r="L1426" s="46"/>
      <c r="M1426" s="46"/>
      <c r="N1426" s="46"/>
      <c r="O1426" s="46"/>
      <c r="P1426" s="46"/>
      <c r="Q1426" s="46"/>
      <c r="R1426" s="46"/>
      <c r="S1426" s="46"/>
      <c r="T1426" s="46"/>
      <c r="U1426" s="46"/>
      <c r="V1426" s="46"/>
      <c r="W1426" s="46"/>
      <c r="X1426" s="46"/>
    </row>
    <row r="1427" spans="1:24" x14ac:dyDescent="0.2">
      <c r="A1427" s="45"/>
      <c r="B1427" s="46"/>
      <c r="C1427" s="46"/>
      <c r="D1427" s="46"/>
      <c r="E1427" s="46"/>
      <c r="F1427" s="46"/>
      <c r="G1427" s="46"/>
      <c r="H1427" s="46"/>
      <c r="I1427" s="46"/>
      <c r="J1427" s="46"/>
      <c r="K1427" s="46"/>
      <c r="L1427" s="46"/>
      <c r="M1427" s="46"/>
      <c r="N1427" s="46"/>
      <c r="O1427" s="46"/>
      <c r="P1427" s="46"/>
      <c r="Q1427" s="46"/>
      <c r="R1427" s="46"/>
      <c r="S1427" s="46"/>
      <c r="T1427" s="46"/>
      <c r="U1427" s="46"/>
      <c r="V1427" s="46"/>
      <c r="W1427" s="46"/>
      <c r="X1427" s="46"/>
    </row>
    <row r="1428" spans="1:24" x14ac:dyDescent="0.2">
      <c r="A1428" s="45"/>
      <c r="B1428" s="46"/>
      <c r="C1428" s="46"/>
      <c r="D1428" s="46"/>
      <c r="E1428" s="46"/>
      <c r="F1428" s="46"/>
      <c r="G1428" s="46"/>
      <c r="H1428" s="46"/>
      <c r="I1428" s="46"/>
      <c r="J1428" s="46"/>
      <c r="K1428" s="46"/>
      <c r="L1428" s="46"/>
      <c r="M1428" s="46"/>
      <c r="N1428" s="46"/>
      <c r="O1428" s="46"/>
      <c r="P1428" s="46"/>
      <c r="Q1428" s="46"/>
      <c r="R1428" s="46"/>
      <c r="S1428" s="46"/>
      <c r="T1428" s="46"/>
      <c r="U1428" s="46"/>
      <c r="V1428" s="46"/>
      <c r="W1428" s="46"/>
      <c r="X1428" s="46"/>
    </row>
    <row r="1429" spans="1:24" x14ac:dyDescent="0.2">
      <c r="A1429" s="45"/>
      <c r="B1429" s="46"/>
      <c r="C1429" s="46"/>
      <c r="D1429" s="46"/>
      <c r="E1429" s="46"/>
      <c r="F1429" s="46"/>
      <c r="G1429" s="46"/>
      <c r="H1429" s="46"/>
      <c r="I1429" s="46"/>
      <c r="J1429" s="46"/>
      <c r="K1429" s="46"/>
      <c r="L1429" s="46"/>
      <c r="M1429" s="46"/>
      <c r="N1429" s="46"/>
      <c r="O1429" s="46"/>
      <c r="P1429" s="46"/>
      <c r="Q1429" s="46"/>
      <c r="R1429" s="46"/>
      <c r="S1429" s="46"/>
      <c r="T1429" s="46"/>
      <c r="U1429" s="46"/>
      <c r="V1429" s="46"/>
      <c r="W1429" s="46"/>
      <c r="X1429" s="46"/>
    </row>
    <row r="1430" spans="1:24" x14ac:dyDescent="0.2">
      <c r="A1430" s="45"/>
      <c r="B1430" s="46"/>
      <c r="C1430" s="46"/>
      <c r="D1430" s="46"/>
      <c r="E1430" s="46"/>
      <c r="F1430" s="46"/>
      <c r="G1430" s="46"/>
      <c r="H1430" s="46"/>
      <c r="I1430" s="46"/>
      <c r="J1430" s="46"/>
      <c r="K1430" s="46"/>
      <c r="L1430" s="46"/>
      <c r="M1430" s="46"/>
      <c r="N1430" s="46"/>
      <c r="O1430" s="46"/>
      <c r="P1430" s="46"/>
      <c r="Q1430" s="46"/>
      <c r="R1430" s="46"/>
      <c r="S1430" s="46"/>
      <c r="T1430" s="46"/>
      <c r="U1430" s="46"/>
      <c r="V1430" s="46"/>
      <c r="W1430" s="46"/>
      <c r="X1430" s="46"/>
    </row>
    <row r="1431" spans="1:24" x14ac:dyDescent="0.2">
      <c r="A1431" s="45"/>
      <c r="B1431" s="46"/>
      <c r="C1431" s="46"/>
      <c r="D1431" s="46"/>
      <c r="E1431" s="46"/>
      <c r="F1431" s="46"/>
      <c r="G1431" s="46"/>
      <c r="H1431" s="46"/>
      <c r="I1431" s="46"/>
      <c r="J1431" s="46"/>
      <c r="K1431" s="46"/>
      <c r="L1431" s="46"/>
      <c r="M1431" s="46"/>
      <c r="N1431" s="46"/>
      <c r="O1431" s="46"/>
      <c r="P1431" s="46"/>
      <c r="Q1431" s="46"/>
      <c r="R1431" s="46"/>
      <c r="S1431" s="46"/>
      <c r="T1431" s="46"/>
      <c r="U1431" s="46"/>
      <c r="V1431" s="46"/>
      <c r="W1431" s="46"/>
      <c r="X1431" s="46"/>
    </row>
    <row r="1432" spans="1:24" x14ac:dyDescent="0.2">
      <c r="A1432" s="45"/>
      <c r="B1432" s="46"/>
      <c r="C1432" s="46"/>
      <c r="D1432" s="46"/>
      <c r="E1432" s="46"/>
      <c r="F1432" s="46"/>
      <c r="G1432" s="46"/>
      <c r="H1432" s="46"/>
      <c r="I1432" s="46"/>
      <c r="J1432" s="46"/>
      <c r="K1432" s="46"/>
      <c r="L1432" s="46"/>
      <c r="M1432" s="46"/>
      <c r="N1432" s="46"/>
      <c r="O1432" s="46"/>
      <c r="P1432" s="46"/>
      <c r="Q1432" s="46"/>
      <c r="R1432" s="46"/>
      <c r="S1432" s="46"/>
      <c r="T1432" s="46"/>
      <c r="U1432" s="46"/>
      <c r="V1432" s="46"/>
      <c r="W1432" s="46"/>
      <c r="X1432" s="46"/>
    </row>
    <row r="1433" spans="1:24" x14ac:dyDescent="0.2">
      <c r="A1433" s="45"/>
      <c r="B1433" s="46"/>
      <c r="C1433" s="46"/>
      <c r="D1433" s="46"/>
      <c r="E1433" s="46"/>
      <c r="F1433" s="46"/>
      <c r="G1433" s="46"/>
      <c r="H1433" s="46"/>
      <c r="I1433" s="46"/>
      <c r="J1433" s="46"/>
      <c r="K1433" s="46"/>
      <c r="L1433" s="46"/>
      <c r="M1433" s="46"/>
      <c r="N1433" s="46"/>
      <c r="O1433" s="46"/>
      <c r="P1433" s="46"/>
      <c r="Q1433" s="46"/>
      <c r="R1433" s="46"/>
      <c r="S1433" s="46"/>
      <c r="T1433" s="46"/>
      <c r="U1433" s="46"/>
      <c r="V1433" s="46"/>
      <c r="W1433" s="46"/>
      <c r="X1433" s="46"/>
    </row>
    <row r="1434" spans="1:24" x14ac:dyDescent="0.2">
      <c r="A1434" s="45"/>
      <c r="B1434" s="46"/>
      <c r="C1434" s="46"/>
      <c r="D1434" s="46"/>
      <c r="E1434" s="46"/>
      <c r="F1434" s="46"/>
      <c r="G1434" s="46"/>
      <c r="H1434" s="46"/>
      <c r="I1434" s="46"/>
      <c r="J1434" s="46"/>
      <c r="K1434" s="46"/>
      <c r="L1434" s="46"/>
      <c r="M1434" s="46"/>
      <c r="N1434" s="46"/>
      <c r="O1434" s="46"/>
      <c r="P1434" s="46"/>
      <c r="Q1434" s="46"/>
      <c r="R1434" s="46"/>
      <c r="S1434" s="46"/>
      <c r="T1434" s="46"/>
      <c r="U1434" s="46"/>
      <c r="V1434" s="46"/>
      <c r="W1434" s="46"/>
      <c r="X1434" s="46"/>
    </row>
    <row r="1435" spans="1:24" x14ac:dyDescent="0.2">
      <c r="A1435" s="45"/>
      <c r="B1435" s="46"/>
      <c r="C1435" s="46"/>
      <c r="D1435" s="46"/>
      <c r="E1435" s="46"/>
      <c r="F1435" s="46"/>
      <c r="G1435" s="46"/>
      <c r="H1435" s="46"/>
      <c r="I1435" s="46"/>
      <c r="J1435" s="46"/>
      <c r="K1435" s="46"/>
      <c r="L1435" s="46"/>
      <c r="M1435" s="46"/>
      <c r="N1435" s="46"/>
      <c r="O1435" s="46"/>
      <c r="P1435" s="46"/>
      <c r="Q1435" s="46"/>
      <c r="R1435" s="46"/>
      <c r="S1435" s="46"/>
      <c r="T1435" s="46"/>
      <c r="U1435" s="46"/>
      <c r="V1435" s="46"/>
      <c r="W1435" s="46"/>
      <c r="X1435" s="46"/>
    </row>
    <row r="1436" spans="1:24" x14ac:dyDescent="0.2">
      <c r="A1436" s="45"/>
      <c r="B1436" s="46"/>
      <c r="C1436" s="46"/>
      <c r="D1436" s="46"/>
      <c r="E1436" s="46"/>
      <c r="F1436" s="46"/>
      <c r="G1436" s="46"/>
      <c r="H1436" s="46"/>
      <c r="I1436" s="46"/>
      <c r="J1436" s="46"/>
      <c r="K1436" s="46"/>
      <c r="L1436" s="46"/>
      <c r="M1436" s="46"/>
      <c r="N1436" s="46"/>
      <c r="O1436" s="46"/>
      <c r="P1436" s="46"/>
      <c r="Q1436" s="46"/>
      <c r="R1436" s="46"/>
      <c r="S1436" s="46"/>
      <c r="T1436" s="46"/>
      <c r="U1436" s="46"/>
      <c r="V1436" s="46"/>
      <c r="W1436" s="46"/>
      <c r="X1436" s="46"/>
    </row>
    <row r="1437" spans="1:24" x14ac:dyDescent="0.2">
      <c r="A1437" s="45"/>
      <c r="B1437" s="46"/>
      <c r="C1437" s="46"/>
      <c r="D1437" s="46"/>
      <c r="E1437" s="46"/>
      <c r="F1437" s="46"/>
      <c r="G1437" s="46"/>
      <c r="H1437" s="46"/>
      <c r="I1437" s="46"/>
      <c r="J1437" s="46"/>
      <c r="K1437" s="46"/>
      <c r="L1437" s="46"/>
      <c r="M1437" s="46"/>
      <c r="N1437" s="46"/>
      <c r="O1437" s="46"/>
      <c r="P1437" s="46"/>
      <c r="Q1437" s="46"/>
      <c r="R1437" s="46"/>
      <c r="S1437" s="46"/>
      <c r="T1437" s="46"/>
      <c r="U1437" s="46"/>
      <c r="V1437" s="46"/>
      <c r="W1437" s="46"/>
      <c r="X1437" s="46"/>
    </row>
    <row r="1438" spans="1:24" x14ac:dyDescent="0.2">
      <c r="A1438" s="45"/>
      <c r="B1438" s="46"/>
      <c r="C1438" s="46"/>
      <c r="D1438" s="46"/>
      <c r="E1438" s="46"/>
      <c r="F1438" s="46"/>
      <c r="G1438" s="46"/>
      <c r="H1438" s="46"/>
      <c r="I1438" s="46"/>
      <c r="J1438" s="46"/>
      <c r="K1438" s="46"/>
      <c r="L1438" s="46"/>
      <c r="M1438" s="46"/>
      <c r="N1438" s="46"/>
      <c r="O1438" s="46"/>
      <c r="P1438" s="46"/>
      <c r="Q1438" s="46"/>
      <c r="R1438" s="46"/>
      <c r="S1438" s="46"/>
      <c r="T1438" s="46"/>
      <c r="U1438" s="46"/>
      <c r="V1438" s="46"/>
      <c r="W1438" s="46"/>
      <c r="X1438" s="46"/>
    </row>
    <row r="1439" spans="1:24" x14ac:dyDescent="0.2">
      <c r="A1439" s="45"/>
      <c r="B1439" s="46"/>
      <c r="C1439" s="46"/>
      <c r="D1439" s="46"/>
      <c r="E1439" s="46"/>
      <c r="F1439" s="46"/>
      <c r="G1439" s="46"/>
      <c r="H1439" s="46"/>
      <c r="I1439" s="46"/>
      <c r="J1439" s="46"/>
      <c r="K1439" s="46"/>
      <c r="L1439" s="46"/>
      <c r="M1439" s="46"/>
      <c r="N1439" s="46"/>
      <c r="O1439" s="46"/>
      <c r="P1439" s="46"/>
      <c r="Q1439" s="46"/>
      <c r="R1439" s="46"/>
      <c r="S1439" s="46"/>
      <c r="T1439" s="46"/>
      <c r="U1439" s="46"/>
      <c r="V1439" s="46"/>
      <c r="W1439" s="46"/>
      <c r="X1439" s="46"/>
    </row>
    <row r="1440" spans="1:24" x14ac:dyDescent="0.2">
      <c r="A1440" s="45"/>
      <c r="B1440" s="46"/>
      <c r="C1440" s="46"/>
      <c r="D1440" s="46"/>
      <c r="E1440" s="46"/>
      <c r="F1440" s="46"/>
      <c r="G1440" s="46"/>
      <c r="H1440" s="46"/>
      <c r="I1440" s="46"/>
      <c r="J1440" s="46"/>
      <c r="K1440" s="46"/>
      <c r="L1440" s="46"/>
      <c r="M1440" s="46"/>
      <c r="N1440" s="46"/>
      <c r="O1440" s="46"/>
      <c r="P1440" s="46"/>
      <c r="Q1440" s="46"/>
      <c r="R1440" s="46"/>
      <c r="S1440" s="46"/>
      <c r="T1440" s="46"/>
      <c r="U1440" s="46"/>
      <c r="V1440" s="46"/>
      <c r="W1440" s="46"/>
      <c r="X1440" s="46"/>
    </row>
    <row r="1441" spans="1:24" x14ac:dyDescent="0.2">
      <c r="A1441" s="45"/>
      <c r="B1441" s="46"/>
      <c r="C1441" s="46"/>
      <c r="D1441" s="46"/>
      <c r="E1441" s="46"/>
      <c r="F1441" s="46"/>
      <c r="G1441" s="46"/>
      <c r="H1441" s="46"/>
      <c r="I1441" s="46"/>
      <c r="J1441" s="46"/>
      <c r="K1441" s="46"/>
      <c r="L1441" s="46"/>
      <c r="M1441" s="46"/>
      <c r="N1441" s="46"/>
      <c r="O1441" s="46"/>
      <c r="P1441" s="46"/>
      <c r="Q1441" s="46"/>
      <c r="R1441" s="46"/>
      <c r="S1441" s="46"/>
      <c r="T1441" s="46"/>
      <c r="U1441" s="46"/>
      <c r="V1441" s="46"/>
      <c r="W1441" s="46"/>
      <c r="X1441" s="46"/>
    </row>
    <row r="1442" spans="1:24" x14ac:dyDescent="0.2">
      <c r="A1442" s="45"/>
      <c r="B1442" s="46"/>
      <c r="C1442" s="46"/>
      <c r="D1442" s="46"/>
      <c r="E1442" s="46"/>
      <c r="F1442" s="46"/>
      <c r="G1442" s="46"/>
      <c r="H1442" s="46"/>
      <c r="I1442" s="46"/>
      <c r="J1442" s="46"/>
      <c r="K1442" s="46"/>
      <c r="L1442" s="46"/>
      <c r="M1442" s="46"/>
      <c r="N1442" s="46"/>
      <c r="O1442" s="46"/>
      <c r="P1442" s="46"/>
      <c r="Q1442" s="46"/>
      <c r="R1442" s="46"/>
      <c r="S1442" s="46"/>
      <c r="T1442" s="46"/>
      <c r="U1442" s="46"/>
      <c r="V1442" s="46"/>
      <c r="W1442" s="46"/>
      <c r="X1442" s="46"/>
    </row>
    <row r="1443" spans="1:24" x14ac:dyDescent="0.2">
      <c r="A1443" s="45"/>
      <c r="B1443" s="46"/>
      <c r="C1443" s="46"/>
      <c r="D1443" s="46"/>
      <c r="E1443" s="46"/>
      <c r="F1443" s="46"/>
      <c r="G1443" s="46"/>
      <c r="H1443" s="46"/>
      <c r="I1443" s="46"/>
      <c r="J1443" s="46"/>
      <c r="K1443" s="46"/>
      <c r="L1443" s="46"/>
      <c r="M1443" s="46"/>
      <c r="N1443" s="46"/>
      <c r="O1443" s="46"/>
      <c r="P1443" s="46"/>
      <c r="Q1443" s="46"/>
      <c r="R1443" s="46"/>
      <c r="S1443" s="46"/>
      <c r="T1443" s="46"/>
      <c r="U1443" s="46"/>
      <c r="V1443" s="46"/>
      <c r="W1443" s="46"/>
      <c r="X1443" s="46"/>
    </row>
    <row r="1444" spans="1:24" x14ac:dyDescent="0.2">
      <c r="A1444" s="45"/>
      <c r="B1444" s="46"/>
      <c r="C1444" s="46"/>
      <c r="D1444" s="46"/>
      <c r="E1444" s="46"/>
      <c r="F1444" s="46"/>
      <c r="G1444" s="46"/>
      <c r="H1444" s="46"/>
      <c r="I1444" s="46"/>
      <c r="J1444" s="46"/>
      <c r="K1444" s="46"/>
      <c r="L1444" s="46"/>
      <c r="M1444" s="46"/>
      <c r="N1444" s="46"/>
      <c r="O1444" s="46"/>
      <c r="P1444" s="46"/>
      <c r="Q1444" s="46"/>
      <c r="R1444" s="46"/>
      <c r="S1444" s="46"/>
      <c r="T1444" s="46"/>
      <c r="U1444" s="46"/>
      <c r="V1444" s="46"/>
      <c r="W1444" s="46"/>
      <c r="X1444" s="46"/>
    </row>
    <row r="1445" spans="1:24" x14ac:dyDescent="0.2">
      <c r="A1445" s="45"/>
      <c r="B1445" s="46"/>
      <c r="C1445" s="46"/>
      <c r="D1445" s="46"/>
      <c r="E1445" s="46"/>
      <c r="F1445" s="46"/>
      <c r="G1445" s="46"/>
      <c r="H1445" s="46"/>
      <c r="I1445" s="46"/>
      <c r="J1445" s="46"/>
      <c r="K1445" s="46"/>
      <c r="L1445" s="46"/>
      <c r="M1445" s="46"/>
      <c r="N1445" s="46"/>
      <c r="O1445" s="46"/>
      <c r="P1445" s="46"/>
      <c r="Q1445" s="46"/>
      <c r="R1445" s="46"/>
      <c r="S1445" s="46"/>
      <c r="T1445" s="46"/>
      <c r="U1445" s="46"/>
      <c r="V1445" s="46"/>
      <c r="W1445" s="46"/>
      <c r="X1445" s="46"/>
    </row>
    <row r="1446" spans="1:24" x14ac:dyDescent="0.2">
      <c r="A1446" s="45"/>
      <c r="B1446" s="46"/>
      <c r="C1446" s="46"/>
      <c r="D1446" s="46"/>
      <c r="E1446" s="46"/>
      <c r="F1446" s="46"/>
      <c r="G1446" s="46"/>
      <c r="H1446" s="46"/>
      <c r="I1446" s="46"/>
      <c r="J1446" s="46"/>
      <c r="K1446" s="46"/>
      <c r="L1446" s="46"/>
      <c r="M1446" s="46"/>
      <c r="N1446" s="46"/>
      <c r="O1446" s="46"/>
      <c r="P1446" s="46"/>
      <c r="Q1446" s="46"/>
      <c r="R1446" s="46"/>
      <c r="S1446" s="46"/>
      <c r="T1446" s="46"/>
      <c r="U1446" s="46"/>
      <c r="V1446" s="46"/>
      <c r="W1446" s="46"/>
      <c r="X1446" s="46"/>
    </row>
    <row r="1447" spans="1:24" x14ac:dyDescent="0.2">
      <c r="A1447" s="45"/>
      <c r="B1447" s="46"/>
      <c r="C1447" s="46"/>
      <c r="D1447" s="46"/>
      <c r="E1447" s="46"/>
      <c r="F1447" s="46"/>
      <c r="G1447" s="46"/>
      <c r="H1447" s="46"/>
      <c r="I1447" s="46"/>
      <c r="J1447" s="46"/>
      <c r="K1447" s="46"/>
      <c r="L1447" s="46"/>
      <c r="M1447" s="46"/>
      <c r="N1447" s="46"/>
      <c r="O1447" s="46"/>
      <c r="P1447" s="46"/>
      <c r="Q1447" s="46"/>
      <c r="R1447" s="46"/>
      <c r="S1447" s="46"/>
      <c r="T1447" s="46"/>
      <c r="U1447" s="46"/>
      <c r="V1447" s="46"/>
      <c r="W1447" s="46"/>
      <c r="X1447" s="46"/>
    </row>
    <row r="1448" spans="1:24" x14ac:dyDescent="0.2">
      <c r="A1448" s="45"/>
      <c r="B1448" s="46"/>
      <c r="C1448" s="46"/>
      <c r="D1448" s="46"/>
      <c r="E1448" s="46"/>
      <c r="F1448" s="46"/>
      <c r="G1448" s="46"/>
      <c r="H1448" s="46"/>
      <c r="I1448" s="46"/>
      <c r="J1448" s="46"/>
      <c r="K1448" s="46"/>
      <c r="L1448" s="46"/>
      <c r="M1448" s="46"/>
      <c r="N1448" s="46"/>
      <c r="O1448" s="46"/>
      <c r="P1448" s="46"/>
      <c r="Q1448" s="46"/>
      <c r="R1448" s="46"/>
      <c r="S1448" s="46"/>
      <c r="T1448" s="46"/>
      <c r="U1448" s="46"/>
      <c r="V1448" s="46"/>
      <c r="W1448" s="46"/>
      <c r="X1448" s="46"/>
    </row>
    <row r="1449" spans="1:24" x14ac:dyDescent="0.2">
      <c r="A1449" s="45"/>
      <c r="B1449" s="46"/>
      <c r="C1449" s="46"/>
      <c r="D1449" s="46"/>
      <c r="E1449" s="46"/>
      <c r="F1449" s="46"/>
      <c r="G1449" s="46"/>
      <c r="H1449" s="46"/>
      <c r="I1449" s="46"/>
      <c r="J1449" s="46"/>
      <c r="K1449" s="46"/>
      <c r="L1449" s="46"/>
      <c r="M1449" s="46"/>
      <c r="N1449" s="46"/>
      <c r="O1449" s="46"/>
      <c r="P1449" s="46"/>
      <c r="Q1449" s="46"/>
      <c r="R1449" s="46"/>
      <c r="S1449" s="46"/>
      <c r="T1449" s="46"/>
      <c r="U1449" s="46"/>
      <c r="V1449" s="46"/>
      <c r="W1449" s="46"/>
      <c r="X1449" s="46"/>
    </row>
    <row r="1450" spans="1:24" x14ac:dyDescent="0.2">
      <c r="A1450" s="45"/>
      <c r="B1450" s="46"/>
      <c r="C1450" s="46"/>
      <c r="D1450" s="46"/>
      <c r="E1450" s="46"/>
      <c r="F1450" s="46"/>
      <c r="G1450" s="46"/>
      <c r="H1450" s="46"/>
      <c r="I1450" s="46"/>
      <c r="J1450" s="46"/>
      <c r="K1450" s="46"/>
      <c r="L1450" s="46"/>
      <c r="M1450" s="46"/>
      <c r="N1450" s="46"/>
      <c r="O1450" s="46"/>
      <c r="P1450" s="46"/>
      <c r="Q1450" s="46"/>
      <c r="R1450" s="46"/>
      <c r="S1450" s="46"/>
      <c r="T1450" s="46"/>
      <c r="U1450" s="46"/>
      <c r="V1450" s="46"/>
      <c r="W1450" s="46"/>
      <c r="X1450" s="46"/>
    </row>
    <row r="1451" spans="1:24" x14ac:dyDescent="0.2">
      <c r="A1451" s="45"/>
      <c r="B1451" s="46"/>
      <c r="C1451" s="46"/>
      <c r="D1451" s="46"/>
      <c r="E1451" s="46"/>
      <c r="F1451" s="46"/>
      <c r="G1451" s="46"/>
      <c r="H1451" s="46"/>
      <c r="I1451" s="46"/>
      <c r="J1451" s="46"/>
      <c r="K1451" s="46"/>
      <c r="L1451" s="46"/>
      <c r="M1451" s="46"/>
      <c r="N1451" s="46"/>
      <c r="O1451" s="46"/>
      <c r="P1451" s="46"/>
      <c r="Q1451" s="46"/>
      <c r="R1451" s="46"/>
      <c r="S1451" s="46"/>
      <c r="T1451" s="46"/>
      <c r="U1451" s="46"/>
      <c r="V1451" s="46"/>
      <c r="W1451" s="46"/>
      <c r="X1451" s="46"/>
    </row>
    <row r="1452" spans="1:24" x14ac:dyDescent="0.2">
      <c r="A1452" s="45"/>
      <c r="B1452" s="46"/>
      <c r="C1452" s="46"/>
      <c r="D1452" s="46"/>
      <c r="E1452" s="46"/>
      <c r="F1452" s="46"/>
      <c r="G1452" s="46"/>
      <c r="H1452" s="46"/>
      <c r="I1452" s="46"/>
      <c r="J1452" s="46"/>
      <c r="K1452" s="46"/>
      <c r="L1452" s="46"/>
      <c r="M1452" s="46"/>
      <c r="N1452" s="46"/>
      <c r="O1452" s="46"/>
      <c r="P1452" s="46"/>
      <c r="Q1452" s="46"/>
      <c r="R1452" s="46"/>
      <c r="S1452" s="46"/>
      <c r="T1452" s="46"/>
      <c r="U1452" s="46"/>
      <c r="V1452" s="46"/>
      <c r="W1452" s="46"/>
      <c r="X1452" s="46"/>
    </row>
    <row r="1453" spans="1:24" x14ac:dyDescent="0.2">
      <c r="A1453" s="45"/>
      <c r="B1453" s="46"/>
      <c r="C1453" s="46"/>
      <c r="D1453" s="46"/>
      <c r="E1453" s="46"/>
      <c r="F1453" s="46"/>
      <c r="G1453" s="46"/>
      <c r="H1453" s="46"/>
      <c r="I1453" s="46"/>
      <c r="J1453" s="46"/>
      <c r="K1453" s="46"/>
      <c r="L1453" s="46"/>
      <c r="M1453" s="46"/>
      <c r="N1453" s="46"/>
      <c r="O1453" s="46"/>
      <c r="P1453" s="46"/>
      <c r="Q1453" s="46"/>
      <c r="R1453" s="46"/>
      <c r="S1453" s="46"/>
      <c r="T1453" s="46"/>
      <c r="U1453" s="46"/>
      <c r="V1453" s="46"/>
      <c r="W1453" s="46"/>
      <c r="X1453" s="46"/>
    </row>
    <row r="1454" spans="1:24" x14ac:dyDescent="0.2">
      <c r="A1454" s="45"/>
      <c r="B1454" s="46"/>
      <c r="C1454" s="46"/>
      <c r="D1454" s="46"/>
      <c r="E1454" s="46"/>
      <c r="F1454" s="46"/>
      <c r="G1454" s="46"/>
      <c r="H1454" s="46"/>
      <c r="I1454" s="46"/>
      <c r="J1454" s="46"/>
      <c r="K1454" s="46"/>
      <c r="L1454" s="46"/>
      <c r="M1454" s="46"/>
      <c r="N1454" s="46"/>
      <c r="O1454" s="46"/>
      <c r="P1454" s="46"/>
      <c r="Q1454" s="46"/>
      <c r="R1454" s="46"/>
      <c r="S1454" s="46"/>
      <c r="T1454" s="46"/>
      <c r="U1454" s="46"/>
      <c r="V1454" s="46"/>
      <c r="W1454" s="46"/>
      <c r="X1454" s="46"/>
    </row>
    <row r="1455" spans="1:24" x14ac:dyDescent="0.2">
      <c r="A1455" s="45"/>
      <c r="B1455" s="46"/>
      <c r="C1455" s="46"/>
      <c r="D1455" s="46"/>
      <c r="E1455" s="46"/>
      <c r="F1455" s="46"/>
      <c r="G1455" s="46"/>
      <c r="H1455" s="46"/>
      <c r="I1455" s="46"/>
      <c r="J1455" s="46"/>
      <c r="K1455" s="46"/>
      <c r="L1455" s="46"/>
      <c r="M1455" s="46"/>
      <c r="N1455" s="46"/>
      <c r="O1455" s="46"/>
      <c r="P1455" s="46"/>
      <c r="Q1455" s="46"/>
      <c r="R1455" s="46"/>
      <c r="S1455" s="46"/>
      <c r="T1455" s="46"/>
      <c r="U1455" s="46"/>
      <c r="V1455" s="46"/>
      <c r="W1455" s="46"/>
      <c r="X1455" s="46"/>
    </row>
    <row r="1456" spans="1:24" x14ac:dyDescent="0.2">
      <c r="A1456" s="45"/>
      <c r="B1456" s="46"/>
      <c r="C1456" s="46"/>
      <c r="D1456" s="46"/>
      <c r="E1456" s="46"/>
      <c r="F1456" s="46"/>
      <c r="G1456" s="46"/>
      <c r="H1456" s="46"/>
      <c r="I1456" s="46"/>
      <c r="J1456" s="46"/>
      <c r="K1456" s="46"/>
      <c r="L1456" s="46"/>
      <c r="M1456" s="46"/>
      <c r="N1456" s="46"/>
      <c r="O1456" s="46"/>
      <c r="P1456" s="46"/>
      <c r="Q1456" s="46"/>
      <c r="R1456" s="46"/>
      <c r="S1456" s="46"/>
      <c r="T1456" s="46"/>
      <c r="U1456" s="46"/>
      <c r="V1456" s="46"/>
      <c r="W1456" s="46"/>
      <c r="X1456" s="46"/>
    </row>
    <row r="1457" spans="1:24" x14ac:dyDescent="0.2">
      <c r="A1457" s="45"/>
      <c r="B1457" s="46"/>
      <c r="C1457" s="46"/>
      <c r="D1457" s="46"/>
      <c r="E1457" s="46"/>
      <c r="F1457" s="46"/>
      <c r="G1457" s="46"/>
      <c r="H1457" s="46"/>
      <c r="I1457" s="46"/>
      <c r="J1457" s="46"/>
      <c r="K1457" s="46"/>
      <c r="L1457" s="46"/>
      <c r="M1457" s="46"/>
      <c r="N1457" s="46"/>
      <c r="O1457" s="46"/>
      <c r="P1457" s="46"/>
      <c r="Q1457" s="46"/>
      <c r="R1457" s="46"/>
      <c r="S1457" s="46"/>
      <c r="T1457" s="46"/>
      <c r="U1457" s="46"/>
      <c r="V1457" s="46"/>
      <c r="W1457" s="46"/>
      <c r="X1457" s="46"/>
    </row>
    <row r="1458" spans="1:24" x14ac:dyDescent="0.2">
      <c r="A1458" s="45"/>
      <c r="B1458" s="46"/>
      <c r="C1458" s="46"/>
      <c r="D1458" s="46"/>
      <c r="E1458" s="46"/>
      <c r="F1458" s="46"/>
      <c r="G1458" s="46"/>
      <c r="H1458" s="46"/>
      <c r="I1458" s="46"/>
      <c r="J1458" s="46"/>
      <c r="K1458" s="46"/>
      <c r="L1458" s="46"/>
      <c r="M1458" s="46"/>
      <c r="N1458" s="46"/>
      <c r="O1458" s="46"/>
      <c r="P1458" s="46"/>
      <c r="Q1458" s="46"/>
      <c r="R1458" s="46"/>
      <c r="S1458" s="46"/>
      <c r="T1458" s="46"/>
      <c r="U1458" s="46"/>
      <c r="V1458" s="46"/>
      <c r="W1458" s="46"/>
      <c r="X1458" s="46"/>
    </row>
    <row r="1459" spans="1:24" x14ac:dyDescent="0.2">
      <c r="A1459" s="45"/>
      <c r="B1459" s="46"/>
      <c r="C1459" s="46"/>
      <c r="D1459" s="46"/>
      <c r="E1459" s="46"/>
      <c r="F1459" s="46"/>
      <c r="G1459" s="46"/>
      <c r="H1459" s="46"/>
      <c r="I1459" s="46"/>
      <c r="J1459" s="46"/>
      <c r="K1459" s="46"/>
      <c r="L1459" s="46"/>
      <c r="M1459" s="46"/>
      <c r="N1459" s="46"/>
      <c r="O1459" s="46"/>
      <c r="P1459" s="46"/>
      <c r="Q1459" s="46"/>
      <c r="R1459" s="46"/>
      <c r="S1459" s="46"/>
      <c r="T1459" s="46"/>
      <c r="U1459" s="46"/>
      <c r="V1459" s="46"/>
      <c r="W1459" s="46"/>
      <c r="X1459" s="46"/>
    </row>
    <row r="1460" spans="1:24" x14ac:dyDescent="0.2">
      <c r="A1460" s="45"/>
      <c r="B1460" s="46"/>
      <c r="C1460" s="46"/>
      <c r="D1460" s="46"/>
      <c r="E1460" s="46"/>
      <c r="F1460" s="46"/>
      <c r="G1460" s="46"/>
      <c r="H1460" s="46"/>
      <c r="I1460" s="46"/>
      <c r="J1460" s="46"/>
      <c r="K1460" s="46"/>
      <c r="L1460" s="46"/>
      <c r="M1460" s="46"/>
      <c r="N1460" s="46"/>
      <c r="O1460" s="46"/>
      <c r="P1460" s="46"/>
      <c r="Q1460" s="46"/>
      <c r="R1460" s="46"/>
      <c r="S1460" s="46"/>
      <c r="T1460" s="46"/>
      <c r="U1460" s="46"/>
      <c r="V1460" s="46"/>
      <c r="W1460" s="46"/>
      <c r="X1460" s="46"/>
    </row>
    <row r="1461" spans="1:24" x14ac:dyDescent="0.2">
      <c r="A1461" s="45"/>
      <c r="B1461" s="46"/>
      <c r="C1461" s="46"/>
      <c r="D1461" s="46"/>
      <c r="E1461" s="46"/>
      <c r="F1461" s="46"/>
      <c r="G1461" s="46"/>
      <c r="H1461" s="46"/>
      <c r="I1461" s="46"/>
      <c r="J1461" s="46"/>
      <c r="K1461" s="46"/>
      <c r="L1461" s="46"/>
      <c r="M1461" s="46"/>
      <c r="N1461" s="46"/>
      <c r="O1461" s="46"/>
      <c r="P1461" s="46"/>
      <c r="Q1461" s="46"/>
      <c r="R1461" s="46"/>
      <c r="S1461" s="46"/>
      <c r="T1461" s="46"/>
      <c r="U1461" s="46"/>
      <c r="V1461" s="46"/>
      <c r="W1461" s="46"/>
      <c r="X1461" s="46"/>
    </row>
    <row r="1462" spans="1:24" x14ac:dyDescent="0.2">
      <c r="A1462" s="45"/>
      <c r="B1462" s="46"/>
      <c r="C1462" s="46"/>
      <c r="D1462" s="46"/>
      <c r="E1462" s="46"/>
      <c r="F1462" s="46"/>
      <c r="G1462" s="46"/>
      <c r="H1462" s="46"/>
      <c r="I1462" s="46"/>
      <c r="J1462" s="46"/>
      <c r="K1462" s="46"/>
      <c r="L1462" s="46"/>
      <c r="M1462" s="46"/>
      <c r="N1462" s="46"/>
      <c r="O1462" s="46"/>
      <c r="P1462" s="46"/>
      <c r="Q1462" s="46"/>
      <c r="R1462" s="46"/>
      <c r="S1462" s="46"/>
      <c r="T1462" s="46"/>
      <c r="U1462" s="46"/>
      <c r="V1462" s="46"/>
      <c r="W1462" s="46"/>
      <c r="X1462" s="46"/>
    </row>
    <row r="1463" spans="1:24" x14ac:dyDescent="0.2">
      <c r="A1463" s="45"/>
      <c r="B1463" s="46"/>
      <c r="C1463" s="46"/>
      <c r="D1463" s="46"/>
      <c r="E1463" s="46"/>
      <c r="F1463" s="46"/>
      <c r="G1463" s="46"/>
      <c r="H1463" s="46"/>
      <c r="I1463" s="46"/>
      <c r="J1463" s="46"/>
      <c r="K1463" s="46"/>
      <c r="L1463" s="46"/>
      <c r="M1463" s="46"/>
      <c r="N1463" s="46"/>
      <c r="O1463" s="46"/>
      <c r="P1463" s="46"/>
      <c r="Q1463" s="46"/>
      <c r="R1463" s="46"/>
      <c r="S1463" s="46"/>
      <c r="T1463" s="46"/>
      <c r="U1463" s="46"/>
      <c r="V1463" s="46"/>
      <c r="W1463" s="46"/>
      <c r="X1463" s="46"/>
    </row>
    <row r="1464" spans="1:24" x14ac:dyDescent="0.2">
      <c r="A1464" s="45"/>
      <c r="B1464" s="46"/>
      <c r="C1464" s="46"/>
      <c r="D1464" s="46"/>
      <c r="E1464" s="46"/>
      <c r="F1464" s="46"/>
      <c r="G1464" s="46"/>
      <c r="H1464" s="46"/>
      <c r="I1464" s="46"/>
      <c r="J1464" s="46"/>
      <c r="K1464" s="46"/>
      <c r="L1464" s="46"/>
      <c r="M1464" s="46"/>
      <c r="N1464" s="46"/>
      <c r="O1464" s="46"/>
      <c r="P1464" s="46"/>
      <c r="Q1464" s="46"/>
      <c r="R1464" s="46"/>
      <c r="S1464" s="46"/>
      <c r="T1464" s="46"/>
      <c r="U1464" s="46"/>
      <c r="V1464" s="46"/>
      <c r="W1464" s="46"/>
      <c r="X1464" s="46"/>
    </row>
    <row r="1465" spans="1:24" x14ac:dyDescent="0.2">
      <c r="A1465" s="45"/>
      <c r="B1465" s="46"/>
      <c r="C1465" s="46"/>
      <c r="D1465" s="46"/>
      <c r="E1465" s="46"/>
      <c r="F1465" s="46"/>
      <c r="G1465" s="46"/>
      <c r="H1465" s="46"/>
      <c r="I1465" s="46"/>
      <c r="J1465" s="46"/>
      <c r="K1465" s="46"/>
      <c r="L1465" s="46"/>
      <c r="M1465" s="46"/>
      <c r="N1465" s="46"/>
      <c r="O1465" s="46"/>
      <c r="P1465" s="46"/>
      <c r="Q1465" s="46"/>
      <c r="R1465" s="46"/>
      <c r="S1465" s="46"/>
      <c r="T1465" s="46"/>
      <c r="U1465" s="46"/>
      <c r="V1465" s="46"/>
      <c r="W1465" s="46"/>
      <c r="X1465" s="46"/>
    </row>
    <row r="1466" spans="1:24" x14ac:dyDescent="0.2">
      <c r="A1466" s="45"/>
      <c r="B1466" s="46"/>
      <c r="C1466" s="46"/>
      <c r="D1466" s="46"/>
      <c r="E1466" s="46"/>
      <c r="F1466" s="46"/>
      <c r="G1466" s="46"/>
      <c r="H1466" s="46"/>
      <c r="I1466" s="46"/>
      <c r="J1466" s="46"/>
      <c r="K1466" s="46"/>
      <c r="L1466" s="46"/>
      <c r="M1466" s="46"/>
      <c r="N1466" s="46"/>
      <c r="O1466" s="46"/>
      <c r="P1466" s="46"/>
      <c r="Q1466" s="46"/>
      <c r="R1466" s="46"/>
      <c r="S1466" s="46"/>
      <c r="T1466" s="46"/>
      <c r="U1466" s="46"/>
      <c r="V1466" s="46"/>
      <c r="W1466" s="46"/>
      <c r="X1466" s="46"/>
    </row>
    <row r="1467" spans="1:24" x14ac:dyDescent="0.2">
      <c r="A1467" s="45"/>
      <c r="B1467" s="46"/>
      <c r="C1467" s="46"/>
      <c r="D1467" s="46"/>
      <c r="E1467" s="46"/>
      <c r="F1467" s="46"/>
      <c r="G1467" s="46"/>
      <c r="H1467" s="46"/>
      <c r="I1467" s="46"/>
      <c r="J1467" s="46"/>
      <c r="K1467" s="46"/>
      <c r="L1467" s="46"/>
      <c r="M1467" s="46"/>
      <c r="N1467" s="46"/>
      <c r="O1467" s="46"/>
      <c r="P1467" s="46"/>
      <c r="Q1467" s="46"/>
      <c r="R1467" s="46"/>
      <c r="S1467" s="46"/>
      <c r="T1467" s="46"/>
      <c r="U1467" s="46"/>
      <c r="V1467" s="46"/>
      <c r="W1467" s="46"/>
      <c r="X1467" s="46"/>
    </row>
    <row r="1468" spans="1:24" x14ac:dyDescent="0.2">
      <c r="A1468" s="45"/>
      <c r="B1468" s="46"/>
      <c r="C1468" s="46"/>
      <c r="D1468" s="46"/>
      <c r="E1468" s="46"/>
      <c r="F1468" s="46"/>
      <c r="G1468" s="46"/>
      <c r="H1468" s="46"/>
      <c r="I1468" s="46"/>
      <c r="J1468" s="46"/>
      <c r="K1468" s="46"/>
      <c r="L1468" s="46"/>
      <c r="M1468" s="46"/>
      <c r="N1468" s="46"/>
      <c r="O1468" s="46"/>
      <c r="P1468" s="46"/>
      <c r="Q1468" s="46"/>
      <c r="R1468" s="46"/>
      <c r="S1468" s="46"/>
      <c r="T1468" s="46"/>
      <c r="U1468" s="46"/>
      <c r="V1468" s="46"/>
      <c r="W1468" s="46"/>
      <c r="X1468" s="46"/>
    </row>
    <row r="1469" spans="1:24" x14ac:dyDescent="0.2">
      <c r="A1469" s="45"/>
      <c r="B1469" s="46"/>
      <c r="C1469" s="46"/>
      <c r="D1469" s="46"/>
      <c r="E1469" s="46"/>
      <c r="F1469" s="46"/>
      <c r="G1469" s="46"/>
      <c r="H1469" s="46"/>
      <c r="I1469" s="46"/>
      <c r="J1469" s="46"/>
      <c r="K1469" s="46"/>
      <c r="L1469" s="46"/>
      <c r="M1469" s="46"/>
      <c r="N1469" s="46"/>
      <c r="O1469" s="46"/>
      <c r="P1469" s="46"/>
      <c r="Q1469" s="46"/>
      <c r="R1469" s="46"/>
      <c r="S1469" s="46"/>
      <c r="T1469" s="46"/>
      <c r="U1469" s="46"/>
      <c r="V1469" s="46"/>
      <c r="W1469" s="46"/>
      <c r="X1469" s="46"/>
    </row>
    <row r="1470" spans="1:24" x14ac:dyDescent="0.2">
      <c r="A1470" s="45"/>
      <c r="B1470" s="46"/>
      <c r="C1470" s="46"/>
      <c r="D1470" s="46"/>
      <c r="E1470" s="46"/>
      <c r="F1470" s="46"/>
      <c r="G1470" s="46"/>
      <c r="H1470" s="46"/>
      <c r="I1470" s="46"/>
      <c r="J1470" s="46"/>
      <c r="K1470" s="46"/>
      <c r="L1470" s="46"/>
      <c r="M1470" s="46"/>
      <c r="N1470" s="46"/>
      <c r="O1470" s="46"/>
      <c r="P1470" s="46"/>
      <c r="Q1470" s="46"/>
      <c r="R1470" s="46"/>
      <c r="S1470" s="46"/>
      <c r="T1470" s="46"/>
      <c r="U1470" s="46"/>
      <c r="V1470" s="46"/>
      <c r="W1470" s="46"/>
      <c r="X1470" s="46"/>
    </row>
    <row r="1471" spans="1:24" x14ac:dyDescent="0.2">
      <c r="A1471" s="45"/>
      <c r="B1471" s="46"/>
      <c r="C1471" s="46"/>
      <c r="D1471" s="46"/>
      <c r="E1471" s="46"/>
      <c r="F1471" s="46"/>
      <c r="G1471" s="46"/>
      <c r="H1471" s="46"/>
      <c r="I1471" s="46"/>
      <c r="J1471" s="46"/>
      <c r="K1471" s="46"/>
      <c r="L1471" s="46"/>
      <c r="M1471" s="46"/>
      <c r="N1471" s="46"/>
      <c r="O1471" s="46"/>
      <c r="P1471" s="46"/>
      <c r="Q1471" s="46"/>
      <c r="R1471" s="46"/>
      <c r="S1471" s="46"/>
      <c r="T1471" s="46"/>
      <c r="U1471" s="46"/>
      <c r="V1471" s="46"/>
      <c r="W1471" s="46"/>
      <c r="X1471" s="46"/>
    </row>
    <row r="1472" spans="1:24" x14ac:dyDescent="0.2">
      <c r="A1472" s="45"/>
      <c r="B1472" s="46"/>
      <c r="C1472" s="46"/>
      <c r="D1472" s="46"/>
      <c r="E1472" s="46"/>
      <c r="F1472" s="46"/>
      <c r="G1472" s="46"/>
      <c r="H1472" s="46"/>
      <c r="I1472" s="46"/>
      <c r="J1472" s="46"/>
      <c r="K1472" s="46"/>
      <c r="L1472" s="46"/>
      <c r="M1472" s="46"/>
      <c r="N1472" s="46"/>
      <c r="O1472" s="46"/>
      <c r="P1472" s="46"/>
      <c r="Q1472" s="46"/>
      <c r="R1472" s="46"/>
      <c r="S1472" s="46"/>
      <c r="T1472" s="46"/>
      <c r="U1472" s="46"/>
      <c r="V1472" s="46"/>
      <c r="W1472" s="46"/>
      <c r="X1472" s="46"/>
    </row>
    <row r="1473" spans="1:24" x14ac:dyDescent="0.2">
      <c r="A1473" s="45"/>
      <c r="B1473" s="46"/>
      <c r="C1473" s="46"/>
      <c r="D1473" s="46"/>
      <c r="E1473" s="46"/>
      <c r="F1473" s="46"/>
      <c r="G1473" s="46"/>
      <c r="H1473" s="46"/>
      <c r="I1473" s="46"/>
      <c r="J1473" s="46"/>
      <c r="K1473" s="46"/>
      <c r="L1473" s="46"/>
      <c r="M1473" s="46"/>
      <c r="N1473" s="46"/>
      <c r="O1473" s="46"/>
      <c r="P1473" s="46"/>
      <c r="Q1473" s="46"/>
      <c r="R1473" s="46"/>
      <c r="S1473" s="46"/>
      <c r="T1473" s="46"/>
      <c r="U1473" s="46"/>
      <c r="V1473" s="46"/>
      <c r="W1473" s="46"/>
      <c r="X1473" s="46"/>
    </row>
    <row r="1474" spans="1:24" x14ac:dyDescent="0.2">
      <c r="A1474" s="45"/>
      <c r="B1474" s="46"/>
      <c r="C1474" s="46"/>
      <c r="D1474" s="46"/>
      <c r="E1474" s="46"/>
      <c r="F1474" s="46"/>
      <c r="G1474" s="46"/>
      <c r="H1474" s="46"/>
      <c r="I1474" s="46"/>
      <c r="J1474" s="46"/>
      <c r="K1474" s="46"/>
      <c r="L1474" s="46"/>
      <c r="M1474" s="46"/>
      <c r="N1474" s="46"/>
      <c r="O1474" s="46"/>
      <c r="P1474" s="46"/>
      <c r="Q1474" s="46"/>
      <c r="R1474" s="46"/>
      <c r="S1474" s="46"/>
      <c r="T1474" s="46"/>
      <c r="U1474" s="46"/>
      <c r="V1474" s="46"/>
      <c r="W1474" s="46"/>
      <c r="X1474" s="46"/>
    </row>
    <row r="1475" spans="1:24" x14ac:dyDescent="0.2">
      <c r="A1475" s="45"/>
      <c r="B1475" s="46"/>
      <c r="C1475" s="46"/>
      <c r="D1475" s="46"/>
      <c r="E1475" s="46"/>
      <c r="F1475" s="46"/>
      <c r="G1475" s="46"/>
      <c r="H1475" s="46"/>
      <c r="I1475" s="46"/>
      <c r="J1475" s="46"/>
      <c r="K1475" s="46"/>
      <c r="L1475" s="46"/>
      <c r="M1475" s="46"/>
      <c r="N1475" s="46"/>
      <c r="O1475" s="46"/>
      <c r="P1475" s="46"/>
      <c r="Q1475" s="46"/>
      <c r="R1475" s="46"/>
      <c r="S1475" s="46"/>
      <c r="T1475" s="46"/>
      <c r="U1475" s="46"/>
      <c r="V1475" s="46"/>
      <c r="W1475" s="46"/>
      <c r="X1475" s="46"/>
    </row>
    <row r="1476" spans="1:24" x14ac:dyDescent="0.2">
      <c r="A1476" s="45"/>
      <c r="B1476" s="46"/>
      <c r="C1476" s="46"/>
      <c r="D1476" s="46"/>
      <c r="E1476" s="46"/>
      <c r="F1476" s="46"/>
      <c r="G1476" s="46"/>
      <c r="H1476" s="46"/>
      <c r="I1476" s="46"/>
      <c r="J1476" s="46"/>
      <c r="K1476" s="46"/>
      <c r="L1476" s="46"/>
      <c r="M1476" s="46"/>
      <c r="N1476" s="46"/>
      <c r="O1476" s="46"/>
      <c r="P1476" s="46"/>
      <c r="Q1476" s="46"/>
      <c r="R1476" s="46"/>
      <c r="S1476" s="46"/>
      <c r="T1476" s="46"/>
      <c r="U1476" s="46"/>
      <c r="V1476" s="46"/>
      <c r="W1476" s="46"/>
      <c r="X1476" s="46"/>
    </row>
    <row r="1477" spans="1:24" x14ac:dyDescent="0.2">
      <c r="A1477" s="45"/>
      <c r="B1477" s="46"/>
      <c r="C1477" s="46"/>
      <c r="D1477" s="46"/>
      <c r="E1477" s="46"/>
      <c r="F1477" s="46"/>
      <c r="G1477" s="46"/>
      <c r="H1477" s="46"/>
      <c r="I1477" s="46"/>
      <c r="J1477" s="46"/>
      <c r="K1477" s="46"/>
      <c r="L1477" s="46"/>
      <c r="M1477" s="46"/>
      <c r="N1477" s="46"/>
      <c r="O1477" s="46"/>
      <c r="P1477" s="46"/>
      <c r="Q1477" s="46"/>
      <c r="R1477" s="46"/>
      <c r="S1477" s="46"/>
      <c r="T1477" s="46"/>
      <c r="U1477" s="46"/>
      <c r="V1477" s="46"/>
      <c r="W1477" s="46"/>
      <c r="X1477" s="46"/>
    </row>
    <row r="1478" spans="1:24" x14ac:dyDescent="0.2">
      <c r="A1478" s="45"/>
      <c r="B1478" s="46"/>
      <c r="C1478" s="46"/>
      <c r="D1478" s="46"/>
      <c r="E1478" s="46"/>
      <c r="F1478" s="46"/>
      <c r="G1478" s="46"/>
      <c r="H1478" s="46"/>
      <c r="I1478" s="46"/>
      <c r="J1478" s="46"/>
      <c r="K1478" s="46"/>
      <c r="L1478" s="46"/>
      <c r="M1478" s="46"/>
      <c r="N1478" s="46"/>
      <c r="O1478" s="46"/>
      <c r="P1478" s="46"/>
      <c r="Q1478" s="46"/>
      <c r="R1478" s="46"/>
      <c r="S1478" s="46"/>
      <c r="T1478" s="46"/>
      <c r="U1478" s="46"/>
      <c r="V1478" s="46"/>
      <c r="W1478" s="46"/>
      <c r="X1478" s="46"/>
    </row>
    <row r="1479" spans="1:24" x14ac:dyDescent="0.2">
      <c r="A1479" s="45"/>
      <c r="B1479" s="46"/>
      <c r="C1479" s="46"/>
      <c r="D1479" s="46"/>
      <c r="E1479" s="46"/>
      <c r="F1479" s="46"/>
      <c r="G1479" s="46"/>
      <c r="H1479" s="46"/>
      <c r="I1479" s="46"/>
      <c r="J1479" s="46"/>
      <c r="K1479" s="46"/>
      <c r="L1479" s="46"/>
      <c r="M1479" s="46"/>
      <c r="N1479" s="46"/>
      <c r="O1479" s="46"/>
      <c r="P1479" s="46"/>
      <c r="Q1479" s="46"/>
      <c r="R1479" s="46"/>
      <c r="S1479" s="46"/>
      <c r="T1479" s="46"/>
      <c r="U1479" s="46"/>
      <c r="V1479" s="46"/>
      <c r="W1479" s="46"/>
      <c r="X1479" s="46"/>
    </row>
    <row r="1480" spans="1:24" x14ac:dyDescent="0.2">
      <c r="A1480" s="45"/>
      <c r="B1480" s="46"/>
      <c r="C1480" s="46"/>
      <c r="D1480" s="46"/>
      <c r="E1480" s="46"/>
      <c r="F1480" s="46"/>
      <c r="G1480" s="46"/>
      <c r="H1480" s="46"/>
      <c r="I1480" s="46"/>
      <c r="J1480" s="46"/>
      <c r="K1480" s="46"/>
      <c r="L1480" s="46"/>
      <c r="M1480" s="46"/>
      <c r="N1480" s="46"/>
      <c r="O1480" s="46"/>
      <c r="P1480" s="46"/>
      <c r="Q1480" s="46"/>
      <c r="R1480" s="46"/>
      <c r="S1480" s="46"/>
      <c r="T1480" s="46"/>
      <c r="U1480" s="46"/>
      <c r="V1480" s="46"/>
      <c r="W1480" s="46"/>
      <c r="X1480" s="46"/>
    </row>
    <row r="1481" spans="1:24" x14ac:dyDescent="0.2">
      <c r="A1481" s="45"/>
      <c r="B1481" s="46"/>
      <c r="C1481" s="46"/>
      <c r="D1481" s="46"/>
      <c r="E1481" s="46"/>
      <c r="F1481" s="46"/>
      <c r="G1481" s="46"/>
      <c r="H1481" s="46"/>
      <c r="I1481" s="46"/>
      <c r="J1481" s="46"/>
      <c r="K1481" s="46"/>
      <c r="L1481" s="46"/>
      <c r="M1481" s="46"/>
      <c r="N1481" s="46"/>
      <c r="O1481" s="46"/>
      <c r="P1481" s="46"/>
      <c r="Q1481" s="46"/>
      <c r="R1481" s="46"/>
      <c r="S1481" s="46"/>
      <c r="T1481" s="46"/>
      <c r="U1481" s="46"/>
      <c r="V1481" s="46"/>
      <c r="W1481" s="46"/>
      <c r="X1481" s="46"/>
    </row>
    <row r="1482" spans="1:24" x14ac:dyDescent="0.2">
      <c r="A1482" s="45"/>
      <c r="B1482" s="46"/>
      <c r="C1482" s="46"/>
      <c r="D1482" s="46"/>
      <c r="E1482" s="46"/>
      <c r="F1482" s="46"/>
      <c r="G1482" s="46"/>
      <c r="H1482" s="46"/>
      <c r="I1482" s="46"/>
      <c r="J1482" s="46"/>
      <c r="K1482" s="46"/>
      <c r="L1482" s="46"/>
      <c r="M1482" s="46"/>
      <c r="N1482" s="46"/>
      <c r="O1482" s="46"/>
      <c r="P1482" s="46"/>
      <c r="Q1482" s="46"/>
      <c r="R1482" s="46"/>
      <c r="S1482" s="46"/>
      <c r="T1482" s="46"/>
      <c r="U1482" s="46"/>
      <c r="V1482" s="46"/>
      <c r="W1482" s="46"/>
      <c r="X1482" s="46"/>
    </row>
    <row r="1483" spans="1:24" x14ac:dyDescent="0.2">
      <c r="A1483" s="45"/>
      <c r="B1483" s="46"/>
      <c r="C1483" s="46"/>
      <c r="D1483" s="46"/>
      <c r="E1483" s="46"/>
      <c r="F1483" s="46"/>
      <c r="G1483" s="46"/>
      <c r="H1483" s="46"/>
      <c r="I1483" s="46"/>
      <c r="J1483" s="46"/>
      <c r="K1483" s="46"/>
      <c r="L1483" s="46"/>
      <c r="M1483" s="46"/>
      <c r="N1483" s="46"/>
      <c r="O1483" s="46"/>
      <c r="P1483" s="46"/>
      <c r="Q1483" s="46"/>
      <c r="R1483" s="46"/>
      <c r="S1483" s="46"/>
      <c r="T1483" s="46"/>
      <c r="U1483" s="46"/>
      <c r="V1483" s="46"/>
      <c r="W1483" s="46"/>
      <c r="X1483" s="46"/>
    </row>
    <row r="1484" spans="1:24" x14ac:dyDescent="0.2">
      <c r="A1484" s="45"/>
      <c r="B1484" s="46"/>
      <c r="C1484" s="46"/>
      <c r="D1484" s="46"/>
      <c r="E1484" s="46"/>
      <c r="F1484" s="46"/>
      <c r="G1484" s="46"/>
      <c r="H1484" s="46"/>
      <c r="I1484" s="46"/>
      <c r="J1484" s="46"/>
      <c r="K1484" s="46"/>
      <c r="L1484" s="46"/>
      <c r="M1484" s="46"/>
      <c r="N1484" s="46"/>
      <c r="O1484" s="46"/>
      <c r="P1484" s="46"/>
      <c r="Q1484" s="46"/>
      <c r="R1484" s="46"/>
      <c r="S1484" s="46"/>
      <c r="T1484" s="46"/>
      <c r="U1484" s="46"/>
      <c r="V1484" s="46"/>
      <c r="W1484" s="46"/>
      <c r="X1484" s="46"/>
    </row>
    <row r="1485" spans="1:24" x14ac:dyDescent="0.2">
      <c r="A1485" s="45"/>
      <c r="B1485" s="46"/>
      <c r="C1485" s="46"/>
      <c r="D1485" s="46"/>
      <c r="E1485" s="46"/>
      <c r="F1485" s="46"/>
      <c r="G1485" s="46"/>
      <c r="H1485" s="46"/>
      <c r="I1485" s="46"/>
      <c r="J1485" s="46"/>
      <c r="K1485" s="46"/>
      <c r="L1485" s="46"/>
      <c r="M1485" s="46"/>
      <c r="N1485" s="46"/>
      <c r="O1485" s="46"/>
      <c r="P1485" s="46"/>
      <c r="Q1485" s="46"/>
      <c r="R1485" s="46"/>
      <c r="S1485" s="46"/>
      <c r="T1485" s="46"/>
      <c r="U1485" s="46"/>
      <c r="V1485" s="46"/>
      <c r="W1485" s="46"/>
      <c r="X1485" s="46"/>
    </row>
    <row r="1486" spans="1:24" x14ac:dyDescent="0.2">
      <c r="A1486" s="45"/>
      <c r="B1486" s="46"/>
      <c r="C1486" s="46"/>
      <c r="D1486" s="46"/>
      <c r="E1486" s="46"/>
      <c r="F1486" s="46"/>
      <c r="G1486" s="46"/>
      <c r="H1486" s="46"/>
      <c r="I1486" s="46"/>
      <c r="J1486" s="46"/>
      <c r="K1486" s="46"/>
      <c r="L1486" s="46"/>
      <c r="M1486" s="46"/>
      <c r="N1486" s="46"/>
      <c r="O1486" s="46"/>
      <c r="P1486" s="46"/>
      <c r="Q1486" s="46"/>
      <c r="R1486" s="46"/>
      <c r="S1486" s="46"/>
      <c r="T1486" s="46"/>
      <c r="U1486" s="46"/>
      <c r="V1486" s="46"/>
      <c r="W1486" s="46"/>
      <c r="X1486" s="46"/>
    </row>
    <row r="1487" spans="1:24" x14ac:dyDescent="0.2">
      <c r="A1487" s="45"/>
      <c r="B1487" s="46"/>
      <c r="C1487" s="46"/>
      <c r="D1487" s="46"/>
      <c r="E1487" s="46"/>
      <c r="F1487" s="46"/>
      <c r="G1487" s="46"/>
      <c r="H1487" s="46"/>
      <c r="I1487" s="46"/>
      <c r="J1487" s="46"/>
      <c r="K1487" s="46"/>
      <c r="L1487" s="46"/>
      <c r="M1487" s="46"/>
      <c r="N1487" s="46"/>
      <c r="O1487" s="46"/>
      <c r="P1487" s="46"/>
      <c r="Q1487" s="46"/>
      <c r="R1487" s="46"/>
      <c r="S1487" s="46"/>
      <c r="T1487" s="46"/>
      <c r="U1487" s="46"/>
      <c r="V1487" s="46"/>
      <c r="W1487" s="46"/>
      <c r="X1487" s="46"/>
    </row>
    <row r="1488" spans="1:24" x14ac:dyDescent="0.2">
      <c r="A1488" s="45"/>
      <c r="B1488" s="46"/>
      <c r="C1488" s="46"/>
      <c r="D1488" s="46"/>
      <c r="E1488" s="46"/>
      <c r="F1488" s="46"/>
      <c r="G1488" s="46"/>
      <c r="H1488" s="46"/>
      <c r="I1488" s="46"/>
      <c r="J1488" s="46"/>
      <c r="K1488" s="46"/>
      <c r="L1488" s="46"/>
      <c r="M1488" s="46"/>
      <c r="N1488" s="46"/>
      <c r="O1488" s="46"/>
      <c r="P1488" s="46"/>
      <c r="Q1488" s="46"/>
      <c r="R1488" s="46"/>
      <c r="S1488" s="46"/>
      <c r="T1488" s="46"/>
      <c r="U1488" s="46"/>
      <c r="V1488" s="46"/>
      <c r="W1488" s="46"/>
      <c r="X1488" s="46"/>
    </row>
    <row r="1489" spans="1:24" x14ac:dyDescent="0.2">
      <c r="A1489" s="45"/>
      <c r="B1489" s="46"/>
      <c r="C1489" s="46"/>
      <c r="D1489" s="46"/>
      <c r="E1489" s="46"/>
      <c r="F1489" s="46"/>
      <c r="G1489" s="46"/>
      <c r="H1489" s="46"/>
      <c r="I1489" s="46"/>
      <c r="J1489" s="46"/>
      <c r="K1489" s="46"/>
      <c r="L1489" s="46"/>
      <c r="M1489" s="46"/>
      <c r="N1489" s="46"/>
      <c r="O1489" s="46"/>
      <c r="P1489" s="46"/>
      <c r="Q1489" s="46"/>
      <c r="R1489" s="46"/>
      <c r="S1489" s="46"/>
      <c r="T1489" s="46"/>
      <c r="U1489" s="46"/>
      <c r="V1489" s="46"/>
      <c r="W1489" s="46"/>
      <c r="X1489" s="46"/>
    </row>
    <row r="1490" spans="1:24" x14ac:dyDescent="0.2">
      <c r="A1490" s="45"/>
      <c r="B1490" s="46"/>
      <c r="C1490" s="46"/>
      <c r="D1490" s="46"/>
      <c r="E1490" s="46"/>
      <c r="F1490" s="46"/>
      <c r="G1490" s="46"/>
      <c r="H1490" s="46"/>
      <c r="I1490" s="46"/>
      <c r="J1490" s="46"/>
      <c r="K1490" s="46"/>
      <c r="L1490" s="46"/>
      <c r="M1490" s="46"/>
      <c r="N1490" s="46"/>
      <c r="O1490" s="46"/>
      <c r="P1490" s="46"/>
      <c r="Q1490" s="46"/>
      <c r="R1490" s="46"/>
      <c r="S1490" s="46"/>
      <c r="T1490" s="46"/>
      <c r="U1490" s="46"/>
      <c r="V1490" s="46"/>
      <c r="W1490" s="46"/>
      <c r="X1490" s="46"/>
    </row>
    <row r="1491" spans="1:24" x14ac:dyDescent="0.2">
      <c r="A1491" s="45"/>
      <c r="B1491" s="46"/>
      <c r="C1491" s="46"/>
      <c r="D1491" s="46"/>
      <c r="E1491" s="46"/>
      <c r="F1491" s="46"/>
      <c r="G1491" s="46"/>
      <c r="H1491" s="46"/>
      <c r="I1491" s="46"/>
      <c r="J1491" s="46"/>
      <c r="K1491" s="46"/>
      <c r="L1491" s="46"/>
      <c r="M1491" s="46"/>
      <c r="N1491" s="46"/>
      <c r="O1491" s="46"/>
      <c r="P1491" s="46"/>
      <c r="Q1491" s="46"/>
      <c r="R1491" s="46"/>
      <c r="S1491" s="46"/>
      <c r="T1491" s="46"/>
      <c r="U1491" s="46"/>
      <c r="V1491" s="46"/>
      <c r="W1491" s="46"/>
      <c r="X1491" s="46"/>
    </row>
    <row r="1492" spans="1:24" x14ac:dyDescent="0.2">
      <c r="A1492" s="45"/>
      <c r="B1492" s="46"/>
      <c r="C1492" s="46"/>
      <c r="D1492" s="46"/>
      <c r="E1492" s="46"/>
      <c r="F1492" s="46"/>
      <c r="G1492" s="46"/>
      <c r="H1492" s="46"/>
      <c r="I1492" s="46"/>
      <c r="J1492" s="46"/>
      <c r="K1492" s="46"/>
      <c r="L1492" s="46"/>
      <c r="M1492" s="46"/>
      <c r="N1492" s="46"/>
      <c r="O1492" s="46"/>
      <c r="P1492" s="46"/>
      <c r="Q1492" s="46"/>
      <c r="R1492" s="46"/>
      <c r="S1492" s="46"/>
      <c r="T1492" s="46"/>
      <c r="U1492" s="46"/>
      <c r="V1492" s="46"/>
      <c r="W1492" s="46"/>
      <c r="X1492" s="46"/>
    </row>
    <row r="1493" spans="1:24" x14ac:dyDescent="0.2">
      <c r="A1493" s="45"/>
      <c r="B1493" s="46"/>
      <c r="C1493" s="46"/>
      <c r="D1493" s="46"/>
      <c r="E1493" s="46"/>
      <c r="F1493" s="46"/>
      <c r="G1493" s="46"/>
      <c r="H1493" s="46"/>
      <c r="I1493" s="46"/>
      <c r="J1493" s="46"/>
      <c r="K1493" s="46"/>
      <c r="L1493" s="46"/>
      <c r="M1493" s="46"/>
      <c r="N1493" s="46"/>
      <c r="O1493" s="46"/>
      <c r="P1493" s="46"/>
      <c r="Q1493" s="46"/>
      <c r="R1493" s="46"/>
      <c r="S1493" s="46"/>
      <c r="T1493" s="46"/>
      <c r="U1493" s="46"/>
      <c r="V1493" s="46"/>
      <c r="W1493" s="46"/>
      <c r="X1493" s="46"/>
    </row>
    <row r="1494" spans="1:24" x14ac:dyDescent="0.2">
      <c r="A1494" s="45"/>
      <c r="B1494" s="46"/>
      <c r="C1494" s="46"/>
      <c r="D1494" s="46"/>
      <c r="E1494" s="46"/>
      <c r="F1494" s="46"/>
      <c r="G1494" s="46"/>
      <c r="H1494" s="46"/>
      <c r="I1494" s="46"/>
      <c r="J1494" s="46"/>
      <c r="K1494" s="46"/>
      <c r="L1494" s="46"/>
      <c r="M1494" s="46"/>
      <c r="N1494" s="46"/>
      <c r="O1494" s="46"/>
      <c r="P1494" s="46"/>
      <c r="Q1494" s="46"/>
      <c r="R1494" s="46"/>
      <c r="S1494" s="46"/>
      <c r="T1494" s="46"/>
      <c r="U1494" s="46"/>
      <c r="V1494" s="46"/>
      <c r="W1494" s="46"/>
      <c r="X1494" s="46"/>
    </row>
    <row r="1495" spans="1:24" x14ac:dyDescent="0.2">
      <c r="A1495" s="45"/>
      <c r="B1495" s="46"/>
      <c r="C1495" s="46"/>
      <c r="D1495" s="46"/>
      <c r="E1495" s="46"/>
      <c r="F1495" s="46"/>
      <c r="G1495" s="46"/>
      <c r="H1495" s="46"/>
      <c r="I1495" s="46"/>
      <c r="J1495" s="46"/>
      <c r="K1495" s="46"/>
      <c r="L1495" s="46"/>
      <c r="M1495" s="46"/>
      <c r="N1495" s="46"/>
      <c r="O1495" s="46"/>
      <c r="P1495" s="46"/>
      <c r="Q1495" s="46"/>
      <c r="R1495" s="46"/>
      <c r="S1495" s="46"/>
      <c r="T1495" s="46"/>
      <c r="U1495" s="46"/>
      <c r="V1495" s="46"/>
      <c r="W1495" s="46"/>
      <c r="X1495" s="46"/>
    </row>
    <row r="1496" spans="1:24" x14ac:dyDescent="0.2">
      <c r="A1496" s="45"/>
      <c r="B1496" s="46"/>
      <c r="C1496" s="46"/>
      <c r="D1496" s="46"/>
      <c r="E1496" s="46"/>
      <c r="F1496" s="46"/>
      <c r="G1496" s="46"/>
      <c r="H1496" s="46"/>
      <c r="I1496" s="46"/>
      <c r="J1496" s="46"/>
      <c r="K1496" s="46"/>
      <c r="L1496" s="46"/>
      <c r="M1496" s="46"/>
      <c r="N1496" s="46"/>
      <c r="O1496" s="46"/>
      <c r="P1496" s="46"/>
      <c r="Q1496" s="46"/>
      <c r="R1496" s="46"/>
      <c r="S1496" s="46"/>
      <c r="T1496" s="46"/>
      <c r="U1496" s="46"/>
      <c r="V1496" s="46"/>
      <c r="W1496" s="46"/>
      <c r="X1496" s="46"/>
    </row>
    <row r="1497" spans="1:24" x14ac:dyDescent="0.2">
      <c r="A1497" s="45"/>
      <c r="B1497" s="46"/>
      <c r="C1497" s="46"/>
      <c r="D1497" s="46"/>
      <c r="E1497" s="46"/>
      <c r="F1497" s="46"/>
      <c r="G1497" s="46"/>
      <c r="H1497" s="46"/>
      <c r="I1497" s="46"/>
      <c r="J1497" s="46"/>
      <c r="K1497" s="46"/>
      <c r="L1497" s="46"/>
      <c r="M1497" s="46"/>
      <c r="N1497" s="46"/>
      <c r="O1497" s="46"/>
      <c r="P1497" s="46"/>
      <c r="Q1497" s="46"/>
      <c r="R1497" s="46"/>
      <c r="S1497" s="46"/>
      <c r="T1497" s="46"/>
      <c r="U1497" s="46"/>
      <c r="V1497" s="46"/>
      <c r="W1497" s="46"/>
      <c r="X1497" s="46"/>
    </row>
    <row r="1498" spans="1:24" x14ac:dyDescent="0.2">
      <c r="A1498" s="45"/>
      <c r="B1498" s="46"/>
      <c r="C1498" s="46"/>
      <c r="D1498" s="46"/>
      <c r="E1498" s="46"/>
      <c r="F1498" s="46"/>
      <c r="G1498" s="46"/>
      <c r="H1498" s="46"/>
      <c r="I1498" s="46"/>
      <c r="J1498" s="46"/>
      <c r="K1498" s="46"/>
      <c r="L1498" s="46"/>
      <c r="M1498" s="46"/>
      <c r="N1498" s="46"/>
      <c r="O1498" s="46"/>
      <c r="P1498" s="46"/>
      <c r="Q1498" s="46"/>
      <c r="R1498" s="46"/>
      <c r="S1498" s="46"/>
      <c r="T1498" s="46"/>
      <c r="U1498" s="46"/>
      <c r="V1498" s="46"/>
      <c r="W1498" s="46"/>
      <c r="X1498" s="46"/>
    </row>
    <row r="1499" spans="1:24" x14ac:dyDescent="0.2">
      <c r="A1499" s="45"/>
      <c r="B1499" s="46"/>
      <c r="C1499" s="46"/>
      <c r="D1499" s="46"/>
      <c r="E1499" s="46"/>
      <c r="F1499" s="46"/>
      <c r="G1499" s="46"/>
      <c r="H1499" s="46"/>
      <c r="I1499" s="46"/>
      <c r="J1499" s="46"/>
      <c r="K1499" s="46"/>
      <c r="L1499" s="46"/>
      <c r="M1499" s="46"/>
      <c r="N1499" s="46"/>
      <c r="O1499" s="46"/>
      <c r="P1499" s="46"/>
      <c r="Q1499" s="46"/>
      <c r="R1499" s="46"/>
      <c r="S1499" s="46"/>
      <c r="T1499" s="46"/>
      <c r="U1499" s="46"/>
      <c r="V1499" s="46"/>
      <c r="W1499" s="46"/>
      <c r="X1499" s="46"/>
    </row>
    <row r="1500" spans="1:24" x14ac:dyDescent="0.2">
      <c r="A1500" s="45"/>
      <c r="B1500" s="46"/>
      <c r="C1500" s="46"/>
      <c r="D1500" s="46"/>
      <c r="E1500" s="46"/>
      <c r="F1500" s="46"/>
      <c r="G1500" s="46"/>
      <c r="H1500" s="46"/>
      <c r="I1500" s="46"/>
      <c r="J1500" s="46"/>
      <c r="K1500" s="46"/>
      <c r="L1500" s="46"/>
      <c r="M1500" s="46"/>
      <c r="N1500" s="46"/>
      <c r="O1500" s="46"/>
      <c r="P1500" s="46"/>
      <c r="Q1500" s="46"/>
      <c r="R1500" s="46"/>
      <c r="S1500" s="46"/>
      <c r="T1500" s="46"/>
      <c r="U1500" s="46"/>
      <c r="V1500" s="46"/>
      <c r="W1500" s="46"/>
      <c r="X1500" s="46"/>
    </row>
    <row r="1501" spans="1:24" x14ac:dyDescent="0.2">
      <c r="A1501" s="45"/>
      <c r="B1501" s="46"/>
      <c r="C1501" s="46"/>
      <c r="D1501" s="46"/>
      <c r="E1501" s="46"/>
      <c r="F1501" s="46"/>
      <c r="G1501" s="46"/>
      <c r="H1501" s="46"/>
      <c r="I1501" s="46"/>
      <c r="J1501" s="46"/>
      <c r="K1501" s="46"/>
      <c r="L1501" s="46"/>
      <c r="M1501" s="46"/>
      <c r="N1501" s="46"/>
      <c r="O1501" s="46"/>
      <c r="P1501" s="46"/>
      <c r="Q1501" s="46"/>
      <c r="R1501" s="46"/>
      <c r="S1501" s="46"/>
      <c r="T1501" s="46"/>
      <c r="U1501" s="46"/>
      <c r="V1501" s="46"/>
      <c r="W1501" s="46"/>
      <c r="X1501" s="46"/>
    </row>
    <row r="1502" spans="1:24" x14ac:dyDescent="0.2">
      <c r="A1502" s="45"/>
      <c r="B1502" s="46"/>
      <c r="C1502" s="46"/>
      <c r="D1502" s="46"/>
      <c r="E1502" s="46"/>
      <c r="F1502" s="46"/>
      <c r="G1502" s="46"/>
      <c r="H1502" s="46"/>
      <c r="I1502" s="46"/>
      <c r="J1502" s="46"/>
      <c r="K1502" s="46"/>
      <c r="L1502" s="46"/>
      <c r="M1502" s="46"/>
      <c r="N1502" s="46"/>
      <c r="O1502" s="46"/>
      <c r="P1502" s="46"/>
      <c r="Q1502" s="46"/>
      <c r="R1502" s="46"/>
      <c r="S1502" s="46"/>
      <c r="T1502" s="46"/>
      <c r="U1502" s="46"/>
      <c r="V1502" s="46"/>
      <c r="W1502" s="46"/>
      <c r="X1502" s="46"/>
    </row>
    <row r="1503" spans="1:24" x14ac:dyDescent="0.2">
      <c r="A1503" s="45"/>
      <c r="B1503" s="46"/>
      <c r="C1503" s="46"/>
      <c r="D1503" s="46"/>
      <c r="E1503" s="46"/>
      <c r="F1503" s="46"/>
      <c r="G1503" s="46"/>
      <c r="H1503" s="46"/>
      <c r="I1503" s="46"/>
      <c r="J1503" s="46"/>
      <c r="K1503" s="46"/>
      <c r="L1503" s="46"/>
      <c r="M1503" s="46"/>
      <c r="N1503" s="46"/>
      <c r="O1503" s="46"/>
      <c r="P1503" s="46"/>
      <c r="Q1503" s="46"/>
      <c r="R1503" s="46"/>
      <c r="S1503" s="46"/>
      <c r="T1503" s="46"/>
      <c r="U1503" s="46"/>
      <c r="V1503" s="46"/>
      <c r="W1503" s="46"/>
      <c r="X1503" s="46"/>
    </row>
    <row r="1504" spans="1:24" x14ac:dyDescent="0.2">
      <c r="A1504" s="45"/>
      <c r="B1504" s="46"/>
      <c r="C1504" s="46"/>
      <c r="D1504" s="46"/>
      <c r="E1504" s="46"/>
      <c r="F1504" s="46"/>
      <c r="G1504" s="46"/>
      <c r="H1504" s="46"/>
      <c r="I1504" s="46"/>
      <c r="J1504" s="46"/>
      <c r="K1504" s="46"/>
      <c r="L1504" s="46"/>
      <c r="M1504" s="46"/>
      <c r="N1504" s="46"/>
      <c r="O1504" s="46"/>
      <c r="P1504" s="46"/>
      <c r="Q1504" s="46"/>
      <c r="R1504" s="46"/>
      <c r="S1504" s="46"/>
      <c r="T1504" s="46"/>
      <c r="U1504" s="46"/>
      <c r="V1504" s="46"/>
      <c r="W1504" s="46"/>
      <c r="X1504" s="46"/>
    </row>
    <row r="1505" spans="1:24" x14ac:dyDescent="0.2">
      <c r="A1505" s="45"/>
      <c r="B1505" s="46"/>
      <c r="C1505" s="46"/>
      <c r="D1505" s="46"/>
      <c r="E1505" s="46"/>
      <c r="F1505" s="46"/>
      <c r="G1505" s="46"/>
      <c r="H1505" s="46"/>
      <c r="I1505" s="46"/>
      <c r="J1505" s="46"/>
      <c r="K1505" s="46"/>
      <c r="L1505" s="46"/>
      <c r="M1505" s="46"/>
      <c r="N1505" s="46"/>
      <c r="O1505" s="46"/>
      <c r="P1505" s="46"/>
      <c r="Q1505" s="46"/>
      <c r="R1505" s="46"/>
      <c r="S1505" s="46"/>
      <c r="T1505" s="46"/>
      <c r="U1505" s="46"/>
      <c r="V1505" s="46"/>
      <c r="W1505" s="46"/>
      <c r="X1505" s="46"/>
    </row>
    <row r="1506" spans="1:24" x14ac:dyDescent="0.2">
      <c r="A1506" s="45"/>
      <c r="B1506" s="46"/>
      <c r="C1506" s="46"/>
      <c r="D1506" s="46"/>
      <c r="E1506" s="46"/>
      <c r="F1506" s="46"/>
      <c r="G1506" s="46"/>
      <c r="H1506" s="46"/>
      <c r="I1506" s="46"/>
      <c r="J1506" s="46"/>
      <c r="K1506" s="46"/>
      <c r="L1506" s="46"/>
      <c r="M1506" s="46"/>
      <c r="N1506" s="46"/>
      <c r="O1506" s="46"/>
      <c r="P1506" s="46"/>
      <c r="Q1506" s="46"/>
      <c r="R1506" s="46"/>
      <c r="S1506" s="46"/>
      <c r="T1506" s="46"/>
      <c r="U1506" s="46"/>
      <c r="V1506" s="46"/>
      <c r="W1506" s="46"/>
      <c r="X1506" s="46"/>
    </row>
    <row r="1507" spans="1:24" x14ac:dyDescent="0.2">
      <c r="A1507" s="45"/>
      <c r="B1507" s="46"/>
      <c r="C1507" s="46"/>
      <c r="D1507" s="46"/>
      <c r="E1507" s="46"/>
      <c r="F1507" s="46"/>
      <c r="G1507" s="46"/>
      <c r="H1507" s="46"/>
      <c r="I1507" s="46"/>
      <c r="J1507" s="46"/>
      <c r="K1507" s="46"/>
      <c r="L1507" s="46"/>
      <c r="M1507" s="46"/>
      <c r="N1507" s="46"/>
      <c r="O1507" s="46"/>
      <c r="P1507" s="46"/>
      <c r="Q1507" s="46"/>
      <c r="R1507" s="46"/>
      <c r="S1507" s="46"/>
      <c r="T1507" s="46"/>
      <c r="U1507" s="46"/>
      <c r="V1507" s="46"/>
      <c r="W1507" s="46"/>
      <c r="X1507" s="46"/>
    </row>
    <row r="1508" spans="1:24" x14ac:dyDescent="0.2">
      <c r="A1508" s="45"/>
      <c r="B1508" s="46"/>
      <c r="C1508" s="46"/>
      <c r="D1508" s="46"/>
      <c r="E1508" s="46"/>
      <c r="F1508" s="46"/>
      <c r="G1508" s="46"/>
      <c r="H1508" s="46"/>
      <c r="I1508" s="46"/>
      <c r="J1508" s="46"/>
      <c r="K1508" s="46"/>
      <c r="L1508" s="46"/>
      <c r="M1508" s="46"/>
      <c r="N1508" s="46"/>
      <c r="O1508" s="46"/>
      <c r="P1508" s="46"/>
      <c r="Q1508" s="46"/>
      <c r="R1508" s="46"/>
      <c r="S1508" s="46"/>
      <c r="T1508" s="46"/>
      <c r="U1508" s="46"/>
      <c r="V1508" s="46"/>
      <c r="W1508" s="46"/>
      <c r="X1508" s="46"/>
    </row>
    <row r="1509" spans="1:24" x14ac:dyDescent="0.2">
      <c r="A1509" s="45"/>
      <c r="B1509" s="46"/>
      <c r="C1509" s="46"/>
      <c r="D1509" s="46"/>
      <c r="E1509" s="46"/>
      <c r="F1509" s="46"/>
      <c r="G1509" s="46"/>
      <c r="H1509" s="46"/>
      <c r="I1509" s="46"/>
      <c r="J1509" s="46"/>
      <c r="K1509" s="46"/>
      <c r="L1509" s="46"/>
      <c r="M1509" s="46"/>
      <c r="N1509" s="46"/>
      <c r="O1509" s="46"/>
      <c r="P1509" s="46"/>
      <c r="Q1509" s="46"/>
      <c r="R1509" s="46"/>
      <c r="S1509" s="46"/>
      <c r="T1509" s="46"/>
      <c r="U1509" s="46"/>
      <c r="V1509" s="46"/>
      <c r="W1509" s="46"/>
      <c r="X1509" s="46"/>
    </row>
    <row r="1510" spans="1:24" x14ac:dyDescent="0.2">
      <c r="A1510" s="45"/>
      <c r="B1510" s="46"/>
      <c r="C1510" s="46"/>
      <c r="D1510" s="46"/>
      <c r="E1510" s="46"/>
      <c r="F1510" s="46"/>
      <c r="G1510" s="46"/>
      <c r="H1510" s="46"/>
      <c r="I1510" s="46"/>
      <c r="J1510" s="46"/>
      <c r="K1510" s="46"/>
      <c r="L1510" s="46"/>
      <c r="M1510" s="46"/>
      <c r="N1510" s="46"/>
      <c r="O1510" s="46"/>
      <c r="P1510" s="46"/>
      <c r="Q1510" s="46"/>
      <c r="R1510" s="46"/>
      <c r="S1510" s="46"/>
      <c r="T1510" s="46"/>
      <c r="U1510" s="46"/>
      <c r="V1510" s="46"/>
      <c r="W1510" s="46"/>
      <c r="X1510" s="46"/>
    </row>
    <row r="1511" spans="1:24" x14ac:dyDescent="0.2">
      <c r="A1511" s="45"/>
      <c r="B1511" s="46"/>
      <c r="C1511" s="46"/>
      <c r="D1511" s="46"/>
      <c r="E1511" s="46"/>
      <c r="F1511" s="46"/>
      <c r="G1511" s="46"/>
      <c r="H1511" s="46"/>
      <c r="I1511" s="46"/>
      <c r="J1511" s="46"/>
      <c r="K1511" s="46"/>
      <c r="L1511" s="46"/>
      <c r="M1511" s="46"/>
      <c r="N1511" s="46"/>
      <c r="O1511" s="46"/>
      <c r="P1511" s="46"/>
      <c r="Q1511" s="46"/>
      <c r="R1511" s="46"/>
      <c r="S1511" s="46"/>
      <c r="T1511" s="46"/>
      <c r="U1511" s="46"/>
      <c r="V1511" s="46"/>
      <c r="W1511" s="46"/>
      <c r="X1511" s="46"/>
    </row>
    <row r="1512" spans="1:24" x14ac:dyDescent="0.2">
      <c r="A1512" s="45"/>
      <c r="B1512" s="46"/>
      <c r="C1512" s="46"/>
      <c r="D1512" s="46"/>
      <c r="E1512" s="46"/>
      <c r="F1512" s="46"/>
      <c r="G1512" s="46"/>
      <c r="H1512" s="46"/>
      <c r="I1512" s="46"/>
      <c r="J1512" s="46"/>
      <c r="K1512" s="46"/>
      <c r="L1512" s="46"/>
      <c r="M1512" s="46"/>
      <c r="N1512" s="46"/>
      <c r="O1512" s="46"/>
      <c r="P1512" s="46"/>
      <c r="Q1512" s="46"/>
      <c r="R1512" s="46"/>
      <c r="S1512" s="46"/>
      <c r="T1512" s="46"/>
      <c r="U1512" s="46"/>
      <c r="V1512" s="46"/>
      <c r="W1512" s="46"/>
      <c r="X1512" s="46"/>
    </row>
    <row r="1513" spans="1:24" x14ac:dyDescent="0.2">
      <c r="A1513" s="45"/>
      <c r="B1513" s="46"/>
      <c r="C1513" s="46"/>
      <c r="D1513" s="46"/>
      <c r="E1513" s="46"/>
      <c r="F1513" s="46"/>
      <c r="G1513" s="46"/>
      <c r="H1513" s="46"/>
      <c r="I1513" s="46"/>
      <c r="J1513" s="46"/>
      <c r="K1513" s="46"/>
      <c r="L1513" s="46"/>
      <c r="M1513" s="46"/>
      <c r="N1513" s="46"/>
      <c r="O1513" s="46"/>
      <c r="P1513" s="46"/>
      <c r="Q1513" s="46"/>
      <c r="R1513" s="46"/>
      <c r="S1513" s="46"/>
      <c r="T1513" s="46"/>
      <c r="U1513" s="46"/>
      <c r="V1513" s="46"/>
      <c r="W1513" s="46"/>
      <c r="X1513" s="46"/>
    </row>
    <row r="1514" spans="1:24" x14ac:dyDescent="0.2">
      <c r="A1514" s="45"/>
      <c r="B1514" s="46"/>
      <c r="C1514" s="46"/>
      <c r="D1514" s="46"/>
      <c r="E1514" s="46"/>
      <c r="F1514" s="46"/>
      <c r="G1514" s="46"/>
      <c r="H1514" s="46"/>
      <c r="I1514" s="46"/>
      <c r="J1514" s="46"/>
      <c r="K1514" s="46"/>
      <c r="L1514" s="46"/>
      <c r="M1514" s="46"/>
      <c r="N1514" s="46"/>
      <c r="O1514" s="46"/>
      <c r="P1514" s="46"/>
      <c r="Q1514" s="46"/>
      <c r="R1514" s="46"/>
      <c r="S1514" s="46"/>
      <c r="T1514" s="46"/>
      <c r="U1514" s="46"/>
      <c r="V1514" s="46"/>
      <c r="W1514" s="46"/>
      <c r="X1514" s="46"/>
    </row>
    <row r="1515" spans="1:24" x14ac:dyDescent="0.2">
      <c r="A1515" s="45"/>
      <c r="B1515" s="46"/>
      <c r="C1515" s="46"/>
      <c r="D1515" s="46"/>
      <c r="E1515" s="46"/>
      <c r="F1515" s="46"/>
      <c r="G1515" s="46"/>
      <c r="H1515" s="46"/>
      <c r="I1515" s="46"/>
      <c r="J1515" s="46"/>
      <c r="K1515" s="46"/>
      <c r="L1515" s="46"/>
      <c r="M1515" s="46"/>
      <c r="N1515" s="46"/>
      <c r="O1515" s="46"/>
      <c r="P1515" s="46"/>
      <c r="Q1515" s="46"/>
      <c r="R1515" s="46"/>
      <c r="S1515" s="46"/>
      <c r="T1515" s="46"/>
      <c r="U1515" s="46"/>
      <c r="V1515" s="46"/>
      <c r="W1515" s="46"/>
      <c r="X1515" s="46"/>
    </row>
    <row r="1516" spans="1:24" x14ac:dyDescent="0.2">
      <c r="A1516" s="45"/>
      <c r="B1516" s="46"/>
      <c r="C1516" s="46"/>
      <c r="D1516" s="46"/>
      <c r="E1516" s="46"/>
      <c r="F1516" s="46"/>
      <c r="G1516" s="46"/>
      <c r="H1516" s="46"/>
      <c r="I1516" s="46"/>
      <c r="J1516" s="46"/>
      <c r="K1516" s="46"/>
      <c r="L1516" s="46"/>
      <c r="M1516" s="46"/>
      <c r="N1516" s="46"/>
      <c r="O1516" s="46"/>
      <c r="P1516" s="46"/>
      <c r="Q1516" s="46"/>
      <c r="R1516" s="46"/>
      <c r="S1516" s="46"/>
      <c r="T1516" s="46"/>
      <c r="U1516" s="46"/>
      <c r="V1516" s="46"/>
      <c r="W1516" s="46"/>
      <c r="X1516" s="46"/>
    </row>
    <row r="1517" spans="1:24" x14ac:dyDescent="0.2">
      <c r="A1517" s="45"/>
      <c r="B1517" s="46"/>
      <c r="C1517" s="46"/>
      <c r="D1517" s="46"/>
      <c r="E1517" s="46"/>
      <c r="F1517" s="46"/>
      <c r="G1517" s="46"/>
      <c r="H1517" s="46"/>
      <c r="I1517" s="46"/>
      <c r="J1517" s="46"/>
      <c r="K1517" s="46"/>
      <c r="L1517" s="46"/>
      <c r="M1517" s="46"/>
      <c r="N1517" s="46"/>
      <c r="O1517" s="46"/>
      <c r="P1517" s="46"/>
      <c r="Q1517" s="46"/>
      <c r="R1517" s="46"/>
      <c r="S1517" s="46"/>
      <c r="T1517" s="46"/>
      <c r="U1517" s="46"/>
      <c r="V1517" s="46"/>
      <c r="W1517" s="46"/>
      <c r="X1517" s="46"/>
    </row>
    <row r="1518" spans="1:24" x14ac:dyDescent="0.2">
      <c r="A1518" s="45"/>
      <c r="B1518" s="46"/>
      <c r="C1518" s="46"/>
      <c r="D1518" s="46"/>
      <c r="E1518" s="46"/>
      <c r="F1518" s="46"/>
      <c r="G1518" s="46"/>
      <c r="H1518" s="46"/>
      <c r="I1518" s="46"/>
      <c r="J1518" s="46"/>
      <c r="K1518" s="46"/>
      <c r="L1518" s="46"/>
      <c r="M1518" s="46"/>
      <c r="N1518" s="46"/>
      <c r="O1518" s="46"/>
      <c r="P1518" s="46"/>
      <c r="Q1518" s="46"/>
      <c r="R1518" s="46"/>
      <c r="S1518" s="46"/>
      <c r="T1518" s="46"/>
      <c r="U1518" s="46"/>
      <c r="V1518" s="46"/>
      <c r="W1518" s="46"/>
      <c r="X1518" s="46"/>
    </row>
    <row r="1519" spans="1:24" x14ac:dyDescent="0.2">
      <c r="A1519" s="45"/>
      <c r="B1519" s="46"/>
      <c r="C1519" s="46"/>
      <c r="D1519" s="46"/>
      <c r="E1519" s="46"/>
      <c r="F1519" s="46"/>
      <c r="G1519" s="46"/>
      <c r="H1519" s="46"/>
      <c r="I1519" s="46"/>
      <c r="J1519" s="46"/>
      <c r="K1519" s="46"/>
      <c r="L1519" s="46"/>
      <c r="M1519" s="46"/>
      <c r="N1519" s="46"/>
      <c r="O1519" s="46"/>
      <c r="P1519" s="46"/>
      <c r="Q1519" s="46"/>
      <c r="R1519" s="46"/>
      <c r="S1519" s="46"/>
      <c r="T1519" s="46"/>
      <c r="U1519" s="46"/>
      <c r="V1519" s="46"/>
      <c r="W1519" s="46"/>
      <c r="X1519" s="46"/>
    </row>
    <row r="1520" spans="1:24" x14ac:dyDescent="0.2">
      <c r="A1520" s="45"/>
      <c r="B1520" s="46"/>
      <c r="C1520" s="46"/>
      <c r="D1520" s="46"/>
      <c r="E1520" s="46"/>
      <c r="F1520" s="46"/>
      <c r="G1520" s="46"/>
      <c r="H1520" s="46"/>
      <c r="I1520" s="46"/>
      <c r="J1520" s="46"/>
      <c r="K1520" s="46"/>
      <c r="L1520" s="46"/>
      <c r="M1520" s="46"/>
      <c r="N1520" s="46"/>
      <c r="O1520" s="46"/>
      <c r="P1520" s="46"/>
      <c r="Q1520" s="46"/>
      <c r="R1520" s="46"/>
      <c r="S1520" s="46"/>
      <c r="T1520" s="46"/>
      <c r="U1520" s="46"/>
      <c r="V1520" s="46"/>
      <c r="W1520" s="46"/>
      <c r="X1520" s="46"/>
    </row>
    <row r="1521" spans="1:24" x14ac:dyDescent="0.2">
      <c r="A1521" s="45"/>
      <c r="B1521" s="46"/>
      <c r="C1521" s="46"/>
      <c r="D1521" s="46"/>
      <c r="E1521" s="46"/>
      <c r="F1521" s="46"/>
      <c r="G1521" s="46"/>
      <c r="H1521" s="46"/>
      <c r="I1521" s="46"/>
      <c r="J1521" s="46"/>
      <c r="K1521" s="46"/>
      <c r="L1521" s="46"/>
      <c r="M1521" s="46"/>
      <c r="N1521" s="46"/>
      <c r="O1521" s="46"/>
      <c r="P1521" s="46"/>
      <c r="Q1521" s="46"/>
      <c r="R1521" s="46"/>
      <c r="S1521" s="46"/>
      <c r="T1521" s="46"/>
      <c r="U1521" s="46"/>
      <c r="V1521" s="46"/>
      <c r="W1521" s="46"/>
      <c r="X1521" s="46"/>
    </row>
    <row r="1522" spans="1:24" x14ac:dyDescent="0.2">
      <c r="A1522" s="45"/>
      <c r="B1522" s="46"/>
      <c r="C1522" s="46"/>
      <c r="D1522" s="46"/>
      <c r="E1522" s="46"/>
      <c r="F1522" s="46"/>
      <c r="G1522" s="46"/>
      <c r="H1522" s="46"/>
      <c r="I1522" s="46"/>
      <c r="J1522" s="46"/>
      <c r="K1522" s="46"/>
      <c r="L1522" s="46"/>
      <c r="M1522" s="46"/>
      <c r="N1522" s="46"/>
      <c r="O1522" s="46"/>
      <c r="P1522" s="46"/>
      <c r="Q1522" s="46"/>
      <c r="R1522" s="46"/>
      <c r="S1522" s="46"/>
      <c r="T1522" s="46"/>
      <c r="U1522" s="46"/>
      <c r="V1522" s="46"/>
      <c r="W1522" s="46"/>
      <c r="X1522" s="46"/>
    </row>
    <row r="1523" spans="1:24" x14ac:dyDescent="0.2">
      <c r="A1523" s="45"/>
      <c r="B1523" s="46"/>
      <c r="C1523" s="46"/>
      <c r="D1523" s="46"/>
      <c r="E1523" s="46"/>
      <c r="F1523" s="46"/>
      <c r="G1523" s="46"/>
      <c r="H1523" s="46"/>
      <c r="I1523" s="46"/>
      <c r="J1523" s="46"/>
      <c r="K1523" s="46"/>
      <c r="L1523" s="46"/>
      <c r="M1523" s="46"/>
      <c r="N1523" s="46"/>
      <c r="O1523" s="46"/>
      <c r="P1523" s="46"/>
      <c r="Q1523" s="46"/>
      <c r="R1523" s="46"/>
      <c r="S1523" s="46"/>
      <c r="T1523" s="46"/>
      <c r="U1523" s="46"/>
      <c r="V1523" s="46"/>
      <c r="W1523" s="46"/>
      <c r="X1523" s="46"/>
    </row>
    <row r="1524" spans="1:24" x14ac:dyDescent="0.2">
      <c r="A1524" s="45"/>
      <c r="B1524" s="46"/>
      <c r="C1524" s="46"/>
      <c r="D1524" s="46"/>
      <c r="E1524" s="46"/>
      <c r="F1524" s="46"/>
      <c r="G1524" s="46"/>
      <c r="H1524" s="46"/>
      <c r="I1524" s="46"/>
      <c r="J1524" s="46"/>
      <c r="K1524" s="46"/>
      <c r="L1524" s="46"/>
      <c r="M1524" s="46"/>
      <c r="N1524" s="46"/>
      <c r="O1524" s="46"/>
      <c r="P1524" s="46"/>
      <c r="Q1524" s="46"/>
      <c r="R1524" s="46"/>
      <c r="S1524" s="46"/>
      <c r="T1524" s="46"/>
      <c r="U1524" s="46"/>
      <c r="V1524" s="46"/>
      <c r="W1524" s="46"/>
      <c r="X1524" s="46"/>
    </row>
    <row r="1525" spans="1:24" x14ac:dyDescent="0.2">
      <c r="A1525" s="45"/>
      <c r="B1525" s="46"/>
      <c r="C1525" s="46"/>
      <c r="D1525" s="46"/>
      <c r="E1525" s="46"/>
      <c r="F1525" s="46"/>
      <c r="G1525" s="46"/>
      <c r="H1525" s="46"/>
      <c r="I1525" s="46"/>
      <c r="J1525" s="46"/>
      <c r="K1525" s="46"/>
      <c r="L1525" s="46"/>
      <c r="M1525" s="46"/>
      <c r="N1525" s="46"/>
      <c r="O1525" s="46"/>
      <c r="P1525" s="46"/>
      <c r="Q1525" s="46"/>
      <c r="R1525" s="46"/>
      <c r="S1525" s="46"/>
      <c r="T1525" s="46"/>
      <c r="U1525" s="46"/>
      <c r="V1525" s="46"/>
      <c r="W1525" s="46"/>
      <c r="X1525" s="46"/>
    </row>
    <row r="1526" spans="1:24" x14ac:dyDescent="0.2">
      <c r="A1526" s="45"/>
      <c r="B1526" s="46"/>
      <c r="C1526" s="46"/>
      <c r="D1526" s="46"/>
      <c r="E1526" s="46"/>
      <c r="F1526" s="46"/>
      <c r="G1526" s="46"/>
      <c r="H1526" s="46"/>
      <c r="I1526" s="46"/>
      <c r="J1526" s="46"/>
      <c r="K1526" s="46"/>
      <c r="L1526" s="46"/>
      <c r="M1526" s="46"/>
      <c r="N1526" s="46"/>
      <c r="O1526" s="46"/>
      <c r="P1526" s="46"/>
      <c r="Q1526" s="46"/>
      <c r="R1526" s="46"/>
      <c r="S1526" s="46"/>
      <c r="T1526" s="46"/>
      <c r="U1526" s="46"/>
      <c r="V1526" s="46"/>
      <c r="W1526" s="46"/>
      <c r="X1526" s="46"/>
    </row>
    <row r="1527" spans="1:24" x14ac:dyDescent="0.2">
      <c r="A1527" s="45"/>
      <c r="B1527" s="46"/>
      <c r="C1527" s="46"/>
      <c r="D1527" s="46"/>
      <c r="E1527" s="46"/>
      <c r="F1527" s="46"/>
      <c r="G1527" s="46"/>
      <c r="H1527" s="46"/>
      <c r="I1527" s="46"/>
      <c r="J1527" s="46"/>
      <c r="K1527" s="46"/>
      <c r="L1527" s="46"/>
      <c r="M1527" s="46"/>
      <c r="N1527" s="46"/>
      <c r="O1527" s="46"/>
      <c r="P1527" s="46"/>
      <c r="Q1527" s="46"/>
      <c r="R1527" s="46"/>
      <c r="S1527" s="46"/>
      <c r="T1527" s="46"/>
      <c r="U1527" s="46"/>
      <c r="V1527" s="46"/>
      <c r="W1527" s="46"/>
      <c r="X1527" s="46"/>
    </row>
    <row r="1528" spans="1:24" x14ac:dyDescent="0.2">
      <c r="A1528" s="45"/>
      <c r="B1528" s="46"/>
      <c r="C1528" s="46"/>
      <c r="D1528" s="46"/>
      <c r="E1528" s="46"/>
      <c r="F1528" s="46"/>
      <c r="G1528" s="46"/>
      <c r="H1528" s="46"/>
      <c r="I1528" s="46"/>
      <c r="J1528" s="46"/>
      <c r="K1528" s="46"/>
      <c r="L1528" s="46"/>
      <c r="M1528" s="46"/>
      <c r="N1528" s="46"/>
      <c r="O1528" s="46"/>
      <c r="P1528" s="46"/>
      <c r="Q1528" s="46"/>
      <c r="R1528" s="46"/>
      <c r="S1528" s="46"/>
      <c r="T1528" s="46"/>
      <c r="U1528" s="46"/>
      <c r="V1528" s="46"/>
      <c r="W1528" s="46"/>
      <c r="X1528" s="46"/>
    </row>
    <row r="1529" spans="1:24" x14ac:dyDescent="0.2">
      <c r="A1529" s="45"/>
      <c r="B1529" s="46"/>
      <c r="C1529" s="46"/>
      <c r="D1529" s="46"/>
      <c r="E1529" s="46"/>
      <c r="F1529" s="46"/>
      <c r="G1529" s="46"/>
      <c r="H1529" s="46"/>
      <c r="I1529" s="46"/>
      <c r="J1529" s="46"/>
      <c r="K1529" s="46"/>
      <c r="L1529" s="46"/>
      <c r="M1529" s="46"/>
      <c r="N1529" s="46"/>
      <c r="O1529" s="46"/>
      <c r="P1529" s="46"/>
      <c r="Q1529" s="46"/>
      <c r="R1529" s="46"/>
      <c r="S1529" s="46"/>
      <c r="T1529" s="46"/>
      <c r="U1529" s="46"/>
      <c r="V1529" s="46"/>
      <c r="W1529" s="46"/>
      <c r="X1529" s="46"/>
    </row>
    <row r="1530" spans="1:24" x14ac:dyDescent="0.2">
      <c r="A1530" s="45"/>
      <c r="B1530" s="46"/>
      <c r="C1530" s="46"/>
      <c r="D1530" s="46"/>
      <c r="E1530" s="46"/>
      <c r="F1530" s="46"/>
      <c r="G1530" s="46"/>
      <c r="H1530" s="46"/>
      <c r="I1530" s="46"/>
      <c r="J1530" s="46"/>
      <c r="K1530" s="46"/>
      <c r="L1530" s="46"/>
      <c r="M1530" s="46"/>
      <c r="N1530" s="46"/>
      <c r="O1530" s="46"/>
      <c r="P1530" s="46"/>
      <c r="Q1530" s="46"/>
      <c r="R1530" s="46"/>
      <c r="S1530" s="46"/>
      <c r="T1530" s="46"/>
      <c r="U1530" s="46"/>
      <c r="V1530" s="46"/>
      <c r="W1530" s="46"/>
      <c r="X1530" s="46"/>
    </row>
    <row r="1531" spans="1:24" x14ac:dyDescent="0.2">
      <c r="A1531" s="45"/>
      <c r="B1531" s="46"/>
      <c r="C1531" s="46"/>
      <c r="D1531" s="46"/>
      <c r="E1531" s="46"/>
      <c r="F1531" s="46"/>
      <c r="G1531" s="46"/>
      <c r="H1531" s="46"/>
      <c r="I1531" s="46"/>
      <c r="J1531" s="46"/>
      <c r="K1531" s="46"/>
      <c r="L1531" s="46"/>
      <c r="M1531" s="46"/>
      <c r="N1531" s="46"/>
      <c r="O1531" s="46"/>
      <c r="P1531" s="46"/>
      <c r="Q1531" s="46"/>
      <c r="R1531" s="46"/>
      <c r="S1531" s="46"/>
      <c r="T1531" s="46"/>
      <c r="U1531" s="46"/>
      <c r="V1531" s="46"/>
      <c r="W1531" s="46"/>
      <c r="X1531" s="46"/>
    </row>
    <row r="1532" spans="1:24" x14ac:dyDescent="0.2">
      <c r="A1532" s="45"/>
      <c r="B1532" s="46"/>
      <c r="C1532" s="46"/>
      <c r="D1532" s="46"/>
      <c r="E1532" s="46"/>
      <c r="F1532" s="46"/>
      <c r="G1532" s="46"/>
      <c r="H1532" s="46"/>
      <c r="I1532" s="46"/>
      <c r="J1532" s="46"/>
      <c r="K1532" s="46"/>
      <c r="L1532" s="46"/>
      <c r="M1532" s="46"/>
      <c r="N1532" s="46"/>
      <c r="O1532" s="46"/>
      <c r="P1532" s="46"/>
      <c r="Q1532" s="46"/>
      <c r="R1532" s="46"/>
      <c r="S1532" s="46"/>
      <c r="T1532" s="46"/>
      <c r="U1532" s="46"/>
      <c r="V1532" s="46"/>
      <c r="W1532" s="46"/>
      <c r="X1532" s="46"/>
    </row>
    <row r="1533" spans="1:24" x14ac:dyDescent="0.2">
      <c r="A1533" s="45"/>
      <c r="B1533" s="46"/>
      <c r="C1533" s="46"/>
      <c r="D1533" s="46"/>
      <c r="E1533" s="46"/>
      <c r="F1533" s="46"/>
      <c r="G1533" s="46"/>
      <c r="H1533" s="46"/>
      <c r="I1533" s="46"/>
      <c r="J1533" s="46"/>
      <c r="K1533" s="46"/>
      <c r="L1533" s="46"/>
      <c r="M1533" s="46"/>
      <c r="N1533" s="46"/>
      <c r="O1533" s="46"/>
      <c r="P1533" s="46"/>
      <c r="Q1533" s="46"/>
      <c r="R1533" s="46"/>
      <c r="S1533" s="46"/>
      <c r="T1533" s="46"/>
      <c r="U1533" s="46"/>
      <c r="V1533" s="46"/>
      <c r="W1533" s="46"/>
      <c r="X1533" s="46"/>
    </row>
    <row r="1534" spans="1:24" x14ac:dyDescent="0.2">
      <c r="A1534" s="45"/>
      <c r="B1534" s="46"/>
      <c r="C1534" s="46"/>
      <c r="D1534" s="46"/>
      <c r="E1534" s="46"/>
      <c r="F1534" s="46"/>
      <c r="G1534" s="46"/>
      <c r="H1534" s="46"/>
      <c r="I1534" s="46"/>
      <c r="J1534" s="46"/>
      <c r="K1534" s="46"/>
      <c r="L1534" s="46"/>
      <c r="M1534" s="46"/>
      <c r="N1534" s="46"/>
      <c r="O1534" s="46"/>
      <c r="P1534" s="46"/>
      <c r="Q1534" s="46"/>
      <c r="R1534" s="46"/>
      <c r="S1534" s="46"/>
      <c r="T1534" s="46"/>
      <c r="U1534" s="46"/>
      <c r="V1534" s="46"/>
      <c r="W1534" s="46"/>
      <c r="X1534" s="46"/>
    </row>
    <row r="1535" spans="1:24" x14ac:dyDescent="0.2">
      <c r="A1535" s="45"/>
      <c r="B1535" s="46"/>
      <c r="C1535" s="46"/>
      <c r="D1535" s="46"/>
      <c r="E1535" s="46"/>
      <c r="F1535" s="46"/>
      <c r="G1535" s="46"/>
      <c r="H1535" s="46"/>
      <c r="I1535" s="46"/>
      <c r="J1535" s="46"/>
      <c r="K1535" s="46"/>
      <c r="L1535" s="46"/>
      <c r="M1535" s="46"/>
      <c r="N1535" s="46"/>
      <c r="O1535" s="46"/>
      <c r="P1535" s="46"/>
      <c r="Q1535" s="46"/>
      <c r="R1535" s="46"/>
      <c r="S1535" s="46"/>
      <c r="T1535" s="46"/>
      <c r="U1535" s="46"/>
      <c r="V1535" s="46"/>
      <c r="W1535" s="46"/>
      <c r="X1535" s="46"/>
    </row>
    <row r="1536" spans="1:24" x14ac:dyDescent="0.2">
      <c r="A1536" s="45"/>
      <c r="B1536" s="46"/>
      <c r="C1536" s="46"/>
      <c r="D1536" s="46"/>
      <c r="E1536" s="46"/>
      <c r="F1536" s="46"/>
      <c r="G1536" s="46"/>
      <c r="H1536" s="46"/>
      <c r="I1536" s="46"/>
      <c r="J1536" s="46"/>
      <c r="K1536" s="46"/>
      <c r="L1536" s="46"/>
      <c r="M1536" s="46"/>
      <c r="N1536" s="46"/>
      <c r="O1536" s="46"/>
      <c r="P1536" s="46"/>
      <c r="Q1536" s="46"/>
      <c r="R1536" s="46"/>
      <c r="S1536" s="46"/>
      <c r="T1536" s="46"/>
      <c r="U1536" s="46"/>
      <c r="V1536" s="46"/>
      <c r="W1536" s="46"/>
      <c r="X1536" s="46"/>
    </row>
    <row r="1537" spans="1:24" x14ac:dyDescent="0.2">
      <c r="A1537" s="45"/>
      <c r="B1537" s="46"/>
      <c r="C1537" s="46"/>
      <c r="D1537" s="46"/>
      <c r="E1537" s="46"/>
      <c r="F1537" s="46"/>
      <c r="G1537" s="46"/>
      <c r="H1537" s="46"/>
      <c r="I1537" s="46"/>
      <c r="J1537" s="46"/>
      <c r="K1537" s="46"/>
      <c r="L1537" s="46"/>
      <c r="M1537" s="46"/>
      <c r="N1537" s="46"/>
      <c r="O1537" s="46"/>
      <c r="P1537" s="46"/>
      <c r="Q1537" s="46"/>
      <c r="R1537" s="46"/>
      <c r="S1537" s="46"/>
      <c r="T1537" s="46"/>
      <c r="U1537" s="46"/>
      <c r="V1537" s="46"/>
      <c r="W1537" s="46"/>
      <c r="X1537" s="46"/>
    </row>
    <row r="1538" spans="1:24" x14ac:dyDescent="0.2">
      <c r="A1538" s="45"/>
      <c r="B1538" s="46"/>
      <c r="C1538" s="46"/>
      <c r="D1538" s="46"/>
      <c r="E1538" s="46"/>
      <c r="F1538" s="46"/>
      <c r="G1538" s="46"/>
      <c r="H1538" s="46"/>
      <c r="I1538" s="46"/>
      <c r="J1538" s="46"/>
      <c r="K1538" s="46"/>
      <c r="L1538" s="46"/>
      <c r="M1538" s="46"/>
      <c r="N1538" s="46"/>
      <c r="O1538" s="46"/>
      <c r="P1538" s="46"/>
      <c r="Q1538" s="46"/>
      <c r="R1538" s="46"/>
      <c r="S1538" s="46"/>
      <c r="T1538" s="46"/>
      <c r="U1538" s="46"/>
      <c r="V1538" s="46"/>
      <c r="W1538" s="46"/>
      <c r="X1538" s="46"/>
    </row>
    <row r="1539" spans="1:24" x14ac:dyDescent="0.2">
      <c r="A1539" s="45"/>
      <c r="B1539" s="46"/>
      <c r="C1539" s="46"/>
      <c r="D1539" s="46"/>
      <c r="E1539" s="46"/>
      <c r="F1539" s="46"/>
      <c r="G1539" s="46"/>
      <c r="H1539" s="46"/>
      <c r="I1539" s="46"/>
      <c r="J1539" s="46"/>
      <c r="K1539" s="46"/>
      <c r="L1539" s="46"/>
      <c r="M1539" s="46"/>
      <c r="N1539" s="46"/>
      <c r="O1539" s="46"/>
      <c r="P1539" s="46"/>
      <c r="Q1539" s="46"/>
      <c r="R1539" s="46"/>
      <c r="S1539" s="46"/>
      <c r="T1539" s="46"/>
      <c r="U1539" s="46"/>
      <c r="V1539" s="46"/>
      <c r="W1539" s="46"/>
      <c r="X1539" s="46"/>
    </row>
    <row r="1540" spans="1:24" x14ac:dyDescent="0.2">
      <c r="A1540" s="45"/>
      <c r="B1540" s="46"/>
      <c r="C1540" s="46"/>
      <c r="D1540" s="46"/>
      <c r="E1540" s="46"/>
      <c r="F1540" s="46"/>
      <c r="G1540" s="46"/>
      <c r="H1540" s="46"/>
      <c r="I1540" s="46"/>
      <c r="J1540" s="46"/>
      <c r="K1540" s="46"/>
      <c r="L1540" s="46"/>
      <c r="M1540" s="46"/>
      <c r="N1540" s="46"/>
      <c r="O1540" s="46"/>
      <c r="P1540" s="46"/>
      <c r="Q1540" s="46"/>
      <c r="R1540" s="46"/>
      <c r="S1540" s="46"/>
      <c r="T1540" s="46"/>
      <c r="U1540" s="46"/>
      <c r="V1540" s="46"/>
      <c r="W1540" s="46"/>
      <c r="X1540" s="46"/>
    </row>
    <row r="1541" spans="1:24" x14ac:dyDescent="0.2">
      <c r="A1541" s="45"/>
      <c r="B1541" s="46"/>
      <c r="C1541" s="46"/>
      <c r="D1541" s="46"/>
      <c r="E1541" s="46"/>
      <c r="F1541" s="46"/>
      <c r="G1541" s="46"/>
      <c r="H1541" s="46"/>
      <c r="I1541" s="46"/>
      <c r="J1541" s="46"/>
      <c r="K1541" s="46"/>
      <c r="L1541" s="46"/>
      <c r="M1541" s="46"/>
      <c r="N1541" s="46"/>
      <c r="O1541" s="46"/>
      <c r="P1541" s="46"/>
      <c r="Q1541" s="46"/>
      <c r="R1541" s="46"/>
      <c r="S1541" s="46"/>
      <c r="T1541" s="46"/>
      <c r="U1541" s="46"/>
      <c r="V1541" s="46"/>
      <c r="W1541" s="46"/>
      <c r="X1541" s="46"/>
    </row>
    <row r="1542" spans="1:24" x14ac:dyDescent="0.2">
      <c r="A1542" s="45"/>
      <c r="B1542" s="46"/>
      <c r="C1542" s="46"/>
      <c r="D1542" s="46"/>
      <c r="E1542" s="46"/>
      <c r="F1542" s="46"/>
      <c r="G1542" s="46"/>
      <c r="H1542" s="46"/>
      <c r="I1542" s="46"/>
      <c r="J1542" s="46"/>
      <c r="K1542" s="46"/>
      <c r="L1542" s="46"/>
      <c r="M1542" s="46"/>
      <c r="N1542" s="46"/>
      <c r="O1542" s="46"/>
      <c r="P1542" s="46"/>
      <c r="Q1542" s="46"/>
      <c r="R1542" s="46"/>
      <c r="S1542" s="46"/>
      <c r="T1542" s="46"/>
      <c r="U1542" s="46"/>
      <c r="V1542" s="46"/>
      <c r="W1542" s="46"/>
      <c r="X1542" s="46"/>
    </row>
    <row r="1543" spans="1:24" x14ac:dyDescent="0.2">
      <c r="A1543" s="45"/>
      <c r="B1543" s="46"/>
      <c r="C1543" s="46"/>
      <c r="D1543" s="46"/>
      <c r="E1543" s="46"/>
      <c r="F1543" s="46"/>
      <c r="G1543" s="46"/>
      <c r="H1543" s="46"/>
      <c r="I1543" s="46"/>
      <c r="J1543" s="46"/>
      <c r="K1543" s="46"/>
      <c r="L1543" s="46"/>
      <c r="M1543" s="46"/>
      <c r="N1543" s="46"/>
      <c r="O1543" s="46"/>
      <c r="P1543" s="46"/>
      <c r="Q1543" s="46"/>
      <c r="R1543" s="46"/>
      <c r="S1543" s="46"/>
      <c r="T1543" s="46"/>
      <c r="U1543" s="46"/>
      <c r="V1543" s="46"/>
      <c r="W1543" s="46"/>
      <c r="X1543" s="46"/>
    </row>
    <row r="1544" spans="1:24" x14ac:dyDescent="0.2">
      <c r="A1544" s="45"/>
      <c r="B1544" s="46"/>
      <c r="C1544" s="46"/>
      <c r="D1544" s="46"/>
      <c r="E1544" s="46"/>
      <c r="F1544" s="46"/>
      <c r="G1544" s="46"/>
      <c r="H1544" s="46"/>
      <c r="I1544" s="46"/>
      <c r="J1544" s="46"/>
      <c r="K1544" s="46"/>
      <c r="L1544" s="46"/>
      <c r="M1544" s="46"/>
      <c r="N1544" s="46"/>
      <c r="O1544" s="46"/>
      <c r="P1544" s="46"/>
      <c r="Q1544" s="46"/>
      <c r="R1544" s="46"/>
      <c r="S1544" s="46"/>
      <c r="T1544" s="46"/>
      <c r="U1544" s="46"/>
      <c r="V1544" s="46"/>
      <c r="W1544" s="46"/>
      <c r="X1544" s="46"/>
    </row>
    <row r="1545" spans="1:24" x14ac:dyDescent="0.2">
      <c r="A1545" s="45"/>
      <c r="B1545" s="46"/>
      <c r="C1545" s="46"/>
      <c r="D1545" s="46"/>
      <c r="E1545" s="46"/>
      <c r="F1545" s="46"/>
      <c r="G1545" s="46"/>
      <c r="H1545" s="46"/>
      <c r="I1545" s="46"/>
      <c r="J1545" s="46"/>
      <c r="K1545" s="46"/>
      <c r="L1545" s="46"/>
      <c r="M1545" s="46"/>
      <c r="N1545" s="46"/>
      <c r="O1545" s="46"/>
      <c r="P1545" s="46"/>
      <c r="Q1545" s="46"/>
      <c r="R1545" s="46"/>
      <c r="S1545" s="46"/>
      <c r="T1545" s="46"/>
      <c r="U1545" s="46"/>
      <c r="V1545" s="46"/>
      <c r="W1545" s="46"/>
      <c r="X1545" s="46"/>
    </row>
    <row r="1546" spans="1:24" x14ac:dyDescent="0.2">
      <c r="A1546" s="45"/>
      <c r="B1546" s="46"/>
      <c r="C1546" s="46"/>
      <c r="D1546" s="46"/>
      <c r="E1546" s="46"/>
      <c r="F1546" s="46"/>
      <c r="G1546" s="46"/>
      <c r="H1546" s="46"/>
      <c r="I1546" s="46"/>
      <c r="J1546" s="46"/>
      <c r="K1546" s="46"/>
      <c r="L1546" s="46"/>
      <c r="M1546" s="46"/>
      <c r="N1546" s="46"/>
      <c r="O1546" s="46"/>
      <c r="P1546" s="46"/>
      <c r="Q1546" s="46"/>
      <c r="R1546" s="46"/>
      <c r="S1546" s="46"/>
      <c r="T1546" s="46"/>
      <c r="U1546" s="46"/>
      <c r="V1546" s="46"/>
      <c r="W1546" s="46"/>
      <c r="X1546" s="46"/>
    </row>
    <row r="1547" spans="1:24" x14ac:dyDescent="0.2">
      <c r="A1547" s="45"/>
      <c r="B1547" s="46"/>
      <c r="C1547" s="46"/>
      <c r="D1547" s="46"/>
      <c r="E1547" s="46"/>
      <c r="F1547" s="46"/>
      <c r="G1547" s="46"/>
      <c r="H1547" s="46"/>
      <c r="I1547" s="46"/>
      <c r="J1547" s="46"/>
      <c r="K1547" s="46"/>
      <c r="L1547" s="46"/>
      <c r="M1547" s="46"/>
      <c r="N1547" s="46"/>
      <c r="O1547" s="46"/>
      <c r="P1547" s="46"/>
      <c r="Q1547" s="46"/>
      <c r="R1547" s="46"/>
      <c r="S1547" s="46"/>
      <c r="T1547" s="46"/>
      <c r="U1547" s="46"/>
      <c r="V1547" s="46"/>
      <c r="W1547" s="46"/>
      <c r="X1547" s="46"/>
    </row>
    <row r="1548" spans="1:24" x14ac:dyDescent="0.2">
      <c r="A1548" s="45"/>
      <c r="B1548" s="46"/>
      <c r="C1548" s="46"/>
      <c r="D1548" s="46"/>
      <c r="E1548" s="46"/>
      <c r="F1548" s="46"/>
      <c r="G1548" s="46"/>
      <c r="H1548" s="46"/>
      <c r="I1548" s="46"/>
      <c r="J1548" s="46"/>
      <c r="K1548" s="46"/>
      <c r="L1548" s="46"/>
      <c r="M1548" s="46"/>
      <c r="N1548" s="46"/>
      <c r="O1548" s="46"/>
      <c r="P1548" s="46"/>
      <c r="Q1548" s="46"/>
      <c r="R1548" s="46"/>
      <c r="S1548" s="46"/>
      <c r="T1548" s="46"/>
      <c r="U1548" s="46"/>
      <c r="V1548" s="46"/>
      <c r="W1548" s="46"/>
      <c r="X1548" s="46"/>
    </row>
    <row r="1549" spans="1:24" x14ac:dyDescent="0.2">
      <c r="A1549" s="45"/>
      <c r="B1549" s="46"/>
      <c r="C1549" s="46"/>
      <c r="D1549" s="46"/>
      <c r="E1549" s="46"/>
      <c r="F1549" s="46"/>
      <c r="G1549" s="46"/>
      <c r="H1549" s="46"/>
      <c r="I1549" s="46"/>
      <c r="J1549" s="46"/>
      <c r="K1549" s="46"/>
      <c r="L1549" s="46"/>
      <c r="M1549" s="46"/>
      <c r="N1549" s="46"/>
      <c r="O1549" s="46"/>
      <c r="P1549" s="46"/>
      <c r="Q1549" s="46"/>
      <c r="R1549" s="46"/>
      <c r="S1549" s="46"/>
      <c r="T1549" s="46"/>
      <c r="U1549" s="46"/>
      <c r="V1549" s="46"/>
      <c r="W1549" s="46"/>
      <c r="X1549" s="46"/>
    </row>
    <row r="1550" spans="1:24" x14ac:dyDescent="0.2">
      <c r="A1550" s="45"/>
      <c r="B1550" s="46"/>
      <c r="C1550" s="46"/>
      <c r="D1550" s="46"/>
      <c r="E1550" s="46"/>
      <c r="F1550" s="46"/>
      <c r="G1550" s="46"/>
      <c r="H1550" s="46"/>
      <c r="I1550" s="46"/>
      <c r="J1550" s="46"/>
      <c r="K1550" s="46"/>
      <c r="L1550" s="46"/>
      <c r="M1550" s="46"/>
      <c r="N1550" s="46"/>
      <c r="O1550" s="46"/>
      <c r="P1550" s="46"/>
      <c r="Q1550" s="46"/>
      <c r="R1550" s="46"/>
      <c r="S1550" s="46"/>
      <c r="T1550" s="46"/>
      <c r="U1550" s="46"/>
      <c r="V1550" s="46"/>
      <c r="W1550" s="46"/>
      <c r="X1550" s="46"/>
    </row>
    <row r="1551" spans="1:24" x14ac:dyDescent="0.2">
      <c r="A1551" s="45"/>
      <c r="B1551" s="46"/>
      <c r="C1551" s="46"/>
      <c r="D1551" s="46"/>
      <c r="E1551" s="46"/>
      <c r="F1551" s="46"/>
      <c r="G1551" s="46"/>
      <c r="H1551" s="46"/>
      <c r="I1551" s="46"/>
      <c r="J1551" s="46"/>
      <c r="K1551" s="46"/>
      <c r="L1551" s="46"/>
      <c r="M1551" s="46"/>
      <c r="N1551" s="46"/>
      <c r="O1551" s="46"/>
      <c r="P1551" s="46"/>
      <c r="Q1551" s="46"/>
      <c r="R1551" s="46"/>
      <c r="S1551" s="46"/>
      <c r="T1551" s="46"/>
      <c r="U1551" s="46"/>
      <c r="V1551" s="46"/>
      <c r="W1551" s="46"/>
      <c r="X1551" s="46"/>
    </row>
    <row r="1552" spans="1:24" x14ac:dyDescent="0.2">
      <c r="A1552" s="45"/>
      <c r="B1552" s="46"/>
      <c r="C1552" s="46"/>
      <c r="D1552" s="46"/>
      <c r="E1552" s="46"/>
      <c r="F1552" s="46"/>
      <c r="G1552" s="46"/>
      <c r="H1552" s="46"/>
      <c r="I1552" s="46"/>
      <c r="J1552" s="46"/>
      <c r="K1552" s="46"/>
      <c r="L1552" s="46"/>
      <c r="M1552" s="46"/>
      <c r="N1552" s="46"/>
      <c r="O1552" s="46"/>
      <c r="P1552" s="46"/>
      <c r="Q1552" s="46"/>
      <c r="R1552" s="46"/>
      <c r="S1552" s="46"/>
      <c r="T1552" s="46"/>
      <c r="U1552" s="46"/>
      <c r="V1552" s="46"/>
      <c r="W1552" s="46"/>
      <c r="X1552" s="46"/>
    </row>
    <row r="1553" spans="1:24" x14ac:dyDescent="0.2">
      <c r="A1553" s="45"/>
      <c r="B1553" s="46"/>
      <c r="C1553" s="46"/>
      <c r="D1553" s="46"/>
      <c r="E1553" s="46"/>
      <c r="F1553" s="46"/>
      <c r="G1553" s="46"/>
      <c r="H1553" s="46"/>
      <c r="I1553" s="46"/>
      <c r="J1553" s="46"/>
      <c r="K1553" s="46"/>
      <c r="L1553" s="46"/>
      <c r="M1553" s="46"/>
      <c r="N1553" s="46"/>
      <c r="O1553" s="46"/>
      <c r="P1553" s="46"/>
      <c r="Q1553" s="46"/>
      <c r="R1553" s="46"/>
      <c r="S1553" s="46"/>
      <c r="T1553" s="46"/>
      <c r="U1553" s="46"/>
      <c r="V1553" s="46"/>
      <c r="W1553" s="46"/>
      <c r="X1553" s="46"/>
    </row>
    <row r="1554" spans="1:24" x14ac:dyDescent="0.2">
      <c r="A1554" s="45"/>
      <c r="B1554" s="46"/>
      <c r="C1554" s="46"/>
      <c r="D1554" s="46"/>
      <c r="E1554" s="46"/>
      <c r="F1554" s="46"/>
      <c r="G1554" s="46"/>
      <c r="H1554" s="46"/>
      <c r="I1554" s="46"/>
      <c r="J1554" s="46"/>
      <c r="K1554" s="46"/>
      <c r="L1554" s="46"/>
      <c r="M1554" s="46"/>
      <c r="N1554" s="46"/>
      <c r="O1554" s="46"/>
      <c r="P1554" s="46"/>
      <c r="Q1554" s="46"/>
      <c r="R1554" s="46"/>
      <c r="S1554" s="46"/>
      <c r="T1554" s="46"/>
      <c r="U1554" s="46"/>
      <c r="V1554" s="46"/>
      <c r="W1554" s="46"/>
      <c r="X1554" s="46"/>
    </row>
    <row r="1555" spans="1:24" x14ac:dyDescent="0.2">
      <c r="A1555" s="45"/>
      <c r="B1555" s="46"/>
      <c r="C1555" s="46"/>
      <c r="D1555" s="46"/>
      <c r="E1555" s="46"/>
      <c r="F1555" s="46"/>
      <c r="G1555" s="46"/>
      <c r="H1555" s="46"/>
      <c r="I1555" s="46"/>
      <c r="J1555" s="46"/>
      <c r="K1555" s="46"/>
      <c r="L1555" s="46"/>
      <c r="M1555" s="46"/>
      <c r="N1555" s="46"/>
      <c r="O1555" s="46"/>
      <c r="P1555" s="46"/>
      <c r="Q1555" s="46"/>
      <c r="R1555" s="46"/>
      <c r="S1555" s="46"/>
      <c r="T1555" s="46"/>
      <c r="U1555" s="46"/>
      <c r="V1555" s="46"/>
      <c r="W1555" s="46"/>
      <c r="X1555" s="46"/>
    </row>
    <row r="1556" spans="1:24" x14ac:dyDescent="0.2">
      <c r="A1556" s="45"/>
      <c r="B1556" s="46"/>
      <c r="C1556" s="46"/>
      <c r="D1556" s="46"/>
      <c r="E1556" s="46"/>
      <c r="F1556" s="46"/>
      <c r="G1556" s="46"/>
      <c r="H1556" s="46"/>
      <c r="I1556" s="46"/>
      <c r="J1556" s="46"/>
      <c r="K1556" s="46"/>
      <c r="L1556" s="46"/>
      <c r="M1556" s="46"/>
      <c r="N1556" s="46"/>
      <c r="O1556" s="46"/>
      <c r="P1556" s="46"/>
      <c r="Q1556" s="46"/>
      <c r="R1556" s="46"/>
      <c r="S1556" s="46"/>
      <c r="T1556" s="46"/>
      <c r="U1556" s="46"/>
      <c r="V1556" s="46"/>
      <c r="W1556" s="46"/>
      <c r="X1556" s="46"/>
    </row>
    <row r="1557" spans="1:24" x14ac:dyDescent="0.2">
      <c r="A1557" s="45"/>
      <c r="B1557" s="46"/>
      <c r="C1557" s="46"/>
      <c r="D1557" s="46"/>
      <c r="E1557" s="46"/>
      <c r="F1557" s="46"/>
      <c r="G1557" s="46"/>
      <c r="H1557" s="46"/>
      <c r="I1557" s="46"/>
      <c r="J1557" s="46"/>
      <c r="K1557" s="46"/>
      <c r="L1557" s="46"/>
      <c r="M1557" s="46"/>
      <c r="N1557" s="46"/>
      <c r="O1557" s="46"/>
      <c r="P1557" s="46"/>
      <c r="Q1557" s="46"/>
      <c r="R1557" s="46"/>
      <c r="S1557" s="46"/>
      <c r="T1557" s="46"/>
      <c r="U1557" s="46"/>
      <c r="V1557" s="46"/>
      <c r="W1557" s="46"/>
      <c r="X1557" s="46"/>
    </row>
    <row r="1558" spans="1:24" x14ac:dyDescent="0.2">
      <c r="A1558" s="45"/>
      <c r="B1558" s="46"/>
      <c r="C1558" s="46"/>
      <c r="D1558" s="46"/>
      <c r="E1558" s="46"/>
      <c r="F1558" s="46"/>
      <c r="G1558" s="46"/>
      <c r="H1558" s="46"/>
      <c r="I1558" s="46"/>
      <c r="J1558" s="46"/>
      <c r="K1558" s="46"/>
      <c r="L1558" s="46"/>
      <c r="M1558" s="46"/>
      <c r="N1558" s="46"/>
      <c r="O1558" s="46"/>
      <c r="P1558" s="46"/>
      <c r="Q1558" s="46"/>
      <c r="R1558" s="46"/>
      <c r="S1558" s="46"/>
      <c r="T1558" s="46"/>
      <c r="U1558" s="46"/>
      <c r="V1558" s="46"/>
      <c r="W1558" s="46"/>
      <c r="X1558" s="46"/>
    </row>
    <row r="1559" spans="1:24" x14ac:dyDescent="0.2">
      <c r="A1559" s="45"/>
      <c r="B1559" s="46"/>
      <c r="C1559" s="46"/>
      <c r="D1559" s="46"/>
      <c r="E1559" s="46"/>
      <c r="F1559" s="46"/>
      <c r="G1559" s="46"/>
      <c r="H1559" s="46"/>
      <c r="I1559" s="46"/>
      <c r="J1559" s="46"/>
      <c r="K1559" s="46"/>
      <c r="L1559" s="46"/>
      <c r="M1559" s="46"/>
      <c r="N1559" s="46"/>
      <c r="O1559" s="46"/>
      <c r="P1559" s="46"/>
      <c r="Q1559" s="46"/>
      <c r="R1559" s="46"/>
      <c r="S1559" s="46"/>
      <c r="T1559" s="46"/>
      <c r="U1559" s="46"/>
      <c r="V1559" s="46"/>
      <c r="W1559" s="46"/>
      <c r="X1559" s="46"/>
    </row>
    <row r="1560" spans="1:24" x14ac:dyDescent="0.2">
      <c r="A1560" s="45"/>
      <c r="B1560" s="46"/>
      <c r="C1560" s="46"/>
      <c r="D1560" s="46"/>
      <c r="E1560" s="46"/>
      <c r="F1560" s="46"/>
      <c r="G1560" s="46"/>
      <c r="H1560" s="46"/>
      <c r="I1560" s="46"/>
      <c r="J1560" s="46"/>
      <c r="K1560" s="46"/>
      <c r="L1560" s="46"/>
      <c r="M1560" s="46"/>
      <c r="N1560" s="46"/>
      <c r="O1560" s="46"/>
      <c r="P1560" s="46"/>
      <c r="Q1560" s="46"/>
      <c r="R1560" s="46"/>
      <c r="S1560" s="46"/>
      <c r="T1560" s="46"/>
      <c r="U1560" s="46"/>
      <c r="V1560" s="46"/>
      <c r="W1560" s="46"/>
      <c r="X1560" s="46"/>
    </row>
    <row r="1561" spans="1:24" x14ac:dyDescent="0.2">
      <c r="A1561" s="45"/>
      <c r="B1561" s="46"/>
      <c r="C1561" s="46"/>
      <c r="D1561" s="46"/>
      <c r="E1561" s="46"/>
      <c r="F1561" s="46"/>
      <c r="G1561" s="46"/>
      <c r="H1561" s="46"/>
      <c r="I1561" s="46"/>
      <c r="J1561" s="46"/>
      <c r="K1561" s="46"/>
      <c r="L1561" s="46"/>
      <c r="M1561" s="46"/>
      <c r="N1561" s="46"/>
      <c r="O1561" s="46"/>
      <c r="P1561" s="46"/>
      <c r="Q1561" s="46"/>
      <c r="R1561" s="46"/>
      <c r="S1561" s="46"/>
      <c r="T1561" s="46"/>
      <c r="U1561" s="46"/>
      <c r="V1561" s="46"/>
      <c r="W1561" s="46"/>
      <c r="X1561" s="46"/>
    </row>
    <row r="1562" spans="1:24" x14ac:dyDescent="0.2">
      <c r="A1562" s="45"/>
      <c r="B1562" s="46"/>
      <c r="C1562" s="46"/>
      <c r="D1562" s="46"/>
      <c r="E1562" s="46"/>
      <c r="F1562" s="46"/>
      <c r="G1562" s="46"/>
      <c r="H1562" s="46"/>
      <c r="I1562" s="46"/>
      <c r="J1562" s="46"/>
      <c r="K1562" s="46"/>
      <c r="L1562" s="46"/>
      <c r="M1562" s="46"/>
      <c r="N1562" s="46"/>
      <c r="O1562" s="46"/>
      <c r="P1562" s="46"/>
      <c r="Q1562" s="46"/>
      <c r="R1562" s="46"/>
      <c r="S1562" s="46"/>
      <c r="T1562" s="46"/>
      <c r="U1562" s="46"/>
      <c r="V1562" s="46"/>
      <c r="W1562" s="46"/>
      <c r="X1562" s="46"/>
    </row>
    <row r="1563" spans="1:24" x14ac:dyDescent="0.2">
      <c r="A1563" s="45"/>
      <c r="B1563" s="46"/>
      <c r="C1563" s="46"/>
      <c r="D1563" s="46"/>
      <c r="E1563" s="46"/>
      <c r="F1563" s="46"/>
      <c r="G1563" s="46"/>
      <c r="H1563" s="46"/>
      <c r="I1563" s="46"/>
      <c r="J1563" s="46"/>
      <c r="K1563" s="46"/>
      <c r="L1563" s="46"/>
      <c r="M1563" s="46"/>
      <c r="N1563" s="46"/>
      <c r="O1563" s="46"/>
      <c r="P1563" s="46"/>
      <c r="Q1563" s="46"/>
      <c r="R1563" s="46"/>
      <c r="S1563" s="46"/>
      <c r="T1563" s="46"/>
      <c r="U1563" s="46"/>
      <c r="V1563" s="46"/>
      <c r="W1563" s="46"/>
      <c r="X1563" s="46"/>
    </row>
    <row r="1564" spans="1:24" x14ac:dyDescent="0.2">
      <c r="A1564" s="45"/>
      <c r="B1564" s="46"/>
      <c r="C1564" s="46"/>
      <c r="D1564" s="46"/>
      <c r="E1564" s="46"/>
      <c r="F1564" s="46"/>
      <c r="G1564" s="46"/>
      <c r="H1564" s="46"/>
      <c r="I1564" s="46"/>
      <c r="J1564" s="46"/>
      <c r="K1564" s="46"/>
      <c r="L1564" s="46"/>
      <c r="M1564" s="46"/>
      <c r="N1564" s="46"/>
      <c r="O1564" s="46"/>
      <c r="P1564" s="46"/>
      <c r="Q1564" s="46"/>
      <c r="R1564" s="46"/>
      <c r="S1564" s="46"/>
      <c r="T1564" s="46"/>
      <c r="U1564" s="46"/>
      <c r="V1564" s="46"/>
      <c r="W1564" s="46"/>
      <c r="X1564" s="46"/>
    </row>
    <row r="1565" spans="1:24" x14ac:dyDescent="0.2">
      <c r="A1565" s="45"/>
      <c r="B1565" s="46"/>
      <c r="C1565" s="46"/>
      <c r="D1565" s="46"/>
      <c r="E1565" s="46"/>
      <c r="F1565" s="46"/>
      <c r="G1565" s="46"/>
      <c r="H1565" s="46"/>
      <c r="I1565" s="46"/>
      <c r="J1565" s="46"/>
      <c r="K1565" s="46"/>
      <c r="L1565" s="46"/>
      <c r="M1565" s="46"/>
      <c r="N1565" s="46"/>
      <c r="O1565" s="46"/>
      <c r="P1565" s="46"/>
      <c r="Q1565" s="46"/>
      <c r="R1565" s="46"/>
      <c r="S1565" s="46"/>
      <c r="T1565" s="46"/>
      <c r="U1565" s="46"/>
      <c r="V1565" s="46"/>
      <c r="W1565" s="46"/>
      <c r="X1565" s="46"/>
    </row>
    <row r="1566" spans="1:24" x14ac:dyDescent="0.2">
      <c r="A1566" s="45"/>
      <c r="B1566" s="46"/>
      <c r="C1566" s="46"/>
      <c r="D1566" s="46"/>
      <c r="E1566" s="46"/>
      <c r="F1566" s="46"/>
      <c r="G1566" s="46"/>
      <c r="H1566" s="46"/>
      <c r="I1566" s="46"/>
      <c r="J1566" s="46"/>
      <c r="K1566" s="46"/>
      <c r="L1566" s="46"/>
      <c r="M1566" s="46"/>
      <c r="N1566" s="46"/>
      <c r="O1566" s="46"/>
      <c r="P1566" s="46"/>
      <c r="Q1566" s="46"/>
      <c r="R1566" s="46"/>
      <c r="S1566" s="46"/>
      <c r="T1566" s="46"/>
      <c r="U1566" s="46"/>
      <c r="V1566" s="46"/>
      <c r="W1566" s="46"/>
      <c r="X1566" s="46"/>
    </row>
    <row r="1567" spans="1:24" x14ac:dyDescent="0.2">
      <c r="A1567" s="45"/>
      <c r="B1567" s="46"/>
      <c r="C1567" s="46"/>
      <c r="D1567" s="46"/>
      <c r="E1567" s="46"/>
      <c r="F1567" s="46"/>
      <c r="G1567" s="46"/>
      <c r="H1567" s="46"/>
      <c r="I1567" s="46"/>
      <c r="J1567" s="46"/>
      <c r="K1567" s="46"/>
      <c r="L1567" s="46"/>
      <c r="M1567" s="46"/>
      <c r="N1567" s="46"/>
      <c r="O1567" s="46"/>
      <c r="P1567" s="46"/>
      <c r="Q1567" s="46"/>
      <c r="R1567" s="46"/>
      <c r="S1567" s="46"/>
      <c r="T1567" s="46"/>
      <c r="U1567" s="46"/>
      <c r="V1567" s="46"/>
      <c r="W1567" s="46"/>
      <c r="X1567" s="46"/>
    </row>
    <row r="1568" spans="1:24" x14ac:dyDescent="0.2">
      <c r="A1568" s="45"/>
      <c r="B1568" s="46"/>
      <c r="C1568" s="46"/>
      <c r="D1568" s="46"/>
      <c r="E1568" s="46"/>
      <c r="F1568" s="46"/>
      <c r="G1568" s="46"/>
      <c r="H1568" s="46"/>
      <c r="I1568" s="46"/>
      <c r="J1568" s="46"/>
      <c r="K1568" s="46"/>
      <c r="L1568" s="46"/>
      <c r="M1568" s="46"/>
      <c r="N1568" s="46"/>
      <c r="O1568" s="46"/>
      <c r="P1568" s="46"/>
      <c r="Q1568" s="46"/>
      <c r="R1568" s="46"/>
      <c r="S1568" s="46"/>
      <c r="T1568" s="46"/>
      <c r="U1568" s="46"/>
      <c r="V1568" s="46"/>
      <c r="W1568" s="46"/>
      <c r="X1568" s="46"/>
    </row>
    <row r="1569" spans="1:24" x14ac:dyDescent="0.2">
      <c r="A1569" s="45"/>
      <c r="B1569" s="46"/>
      <c r="C1569" s="46"/>
      <c r="D1569" s="46"/>
      <c r="E1569" s="46"/>
      <c r="F1569" s="46"/>
      <c r="G1569" s="46"/>
      <c r="H1569" s="46"/>
      <c r="I1569" s="46"/>
      <c r="J1569" s="46"/>
      <c r="K1569" s="46"/>
      <c r="L1569" s="46"/>
      <c r="M1569" s="46"/>
      <c r="N1569" s="46"/>
      <c r="O1569" s="46"/>
      <c r="P1569" s="46"/>
      <c r="Q1569" s="46"/>
      <c r="R1569" s="46"/>
      <c r="S1569" s="46"/>
      <c r="T1569" s="46"/>
      <c r="U1569" s="46"/>
      <c r="V1569" s="46"/>
      <c r="W1569" s="46"/>
      <c r="X1569" s="46"/>
    </row>
    <row r="1570" spans="1:24" x14ac:dyDescent="0.2">
      <c r="A1570" s="45"/>
      <c r="B1570" s="46"/>
      <c r="C1570" s="46"/>
      <c r="D1570" s="46"/>
      <c r="E1570" s="46"/>
      <c r="F1570" s="46"/>
      <c r="G1570" s="46"/>
      <c r="H1570" s="46"/>
      <c r="I1570" s="46"/>
      <c r="J1570" s="46"/>
      <c r="K1570" s="46"/>
      <c r="L1570" s="46"/>
      <c r="M1570" s="46"/>
      <c r="N1570" s="46"/>
      <c r="O1570" s="46"/>
      <c r="P1570" s="46"/>
      <c r="Q1570" s="46"/>
      <c r="R1570" s="46"/>
      <c r="S1570" s="46"/>
      <c r="T1570" s="46"/>
      <c r="U1570" s="46"/>
      <c r="V1570" s="46"/>
      <c r="W1570" s="46"/>
      <c r="X1570" s="46"/>
    </row>
    <row r="1571" spans="1:24" x14ac:dyDescent="0.2">
      <c r="A1571" s="45"/>
      <c r="B1571" s="46"/>
      <c r="C1571" s="46"/>
      <c r="D1571" s="46"/>
      <c r="E1571" s="46"/>
      <c r="F1571" s="46"/>
      <c r="G1571" s="46"/>
      <c r="H1571" s="46"/>
      <c r="I1571" s="46"/>
      <c r="J1571" s="46"/>
      <c r="K1571" s="46"/>
      <c r="L1571" s="46"/>
      <c r="M1571" s="46"/>
      <c r="N1571" s="46"/>
      <c r="O1571" s="46"/>
      <c r="P1571" s="46"/>
      <c r="Q1571" s="46"/>
      <c r="R1571" s="46"/>
      <c r="S1571" s="46"/>
      <c r="T1571" s="46"/>
      <c r="U1571" s="46"/>
      <c r="V1571" s="46"/>
      <c r="W1571" s="46"/>
      <c r="X1571" s="46"/>
    </row>
    <row r="1572" spans="1:24" x14ac:dyDescent="0.2">
      <c r="A1572" s="45"/>
      <c r="B1572" s="46"/>
      <c r="C1572" s="46"/>
      <c r="D1572" s="46"/>
      <c r="E1572" s="46"/>
      <c r="F1572" s="46"/>
      <c r="G1572" s="46"/>
      <c r="H1572" s="46"/>
      <c r="I1572" s="46"/>
      <c r="J1572" s="46"/>
      <c r="K1572" s="46"/>
      <c r="L1572" s="46"/>
      <c r="M1572" s="46"/>
      <c r="N1572" s="46"/>
      <c r="O1572" s="46"/>
      <c r="P1572" s="46"/>
      <c r="Q1572" s="46"/>
      <c r="R1572" s="46"/>
      <c r="S1572" s="46"/>
      <c r="T1572" s="46"/>
      <c r="U1572" s="46"/>
      <c r="V1572" s="46"/>
      <c r="W1572" s="46"/>
      <c r="X1572" s="46"/>
    </row>
    <row r="1573" spans="1:24" x14ac:dyDescent="0.2">
      <c r="A1573" s="45"/>
      <c r="B1573" s="46"/>
      <c r="C1573" s="46"/>
      <c r="D1573" s="46"/>
      <c r="E1573" s="46"/>
      <c r="F1573" s="46"/>
      <c r="G1573" s="46"/>
      <c r="H1573" s="46"/>
      <c r="I1573" s="46"/>
      <c r="J1573" s="46"/>
      <c r="K1573" s="46"/>
      <c r="L1573" s="46"/>
      <c r="M1573" s="46"/>
      <c r="N1573" s="46"/>
      <c r="O1573" s="46"/>
      <c r="P1573" s="46"/>
      <c r="Q1573" s="46"/>
      <c r="R1573" s="46"/>
      <c r="S1573" s="46"/>
      <c r="T1573" s="46"/>
      <c r="U1573" s="46"/>
      <c r="V1573" s="46"/>
      <c r="W1573" s="46"/>
      <c r="X1573" s="46"/>
    </row>
    <row r="1574" spans="1:24" x14ac:dyDescent="0.2">
      <c r="A1574" s="45"/>
      <c r="B1574" s="46"/>
      <c r="C1574" s="46"/>
      <c r="D1574" s="46"/>
      <c r="E1574" s="46"/>
      <c r="F1574" s="46"/>
      <c r="G1574" s="46"/>
      <c r="H1574" s="46"/>
      <c r="I1574" s="46"/>
      <c r="J1574" s="46"/>
      <c r="K1574" s="46"/>
      <c r="L1574" s="46"/>
      <c r="M1574" s="46"/>
      <c r="N1574" s="46"/>
      <c r="O1574" s="46"/>
      <c r="P1574" s="46"/>
      <c r="Q1574" s="46"/>
      <c r="R1574" s="46"/>
      <c r="S1574" s="46"/>
      <c r="T1574" s="46"/>
      <c r="U1574" s="46"/>
      <c r="V1574" s="46"/>
      <c r="W1574" s="46"/>
      <c r="X1574" s="46"/>
    </row>
    <row r="1575" spans="1:24" x14ac:dyDescent="0.2">
      <c r="A1575" s="45"/>
      <c r="B1575" s="46"/>
      <c r="C1575" s="46"/>
      <c r="D1575" s="46"/>
      <c r="E1575" s="46"/>
      <c r="F1575" s="46"/>
      <c r="G1575" s="46"/>
      <c r="H1575" s="46"/>
      <c r="I1575" s="46"/>
      <c r="J1575" s="46"/>
      <c r="K1575" s="46"/>
      <c r="L1575" s="46"/>
      <c r="M1575" s="46"/>
      <c r="N1575" s="46"/>
      <c r="O1575" s="46"/>
      <c r="P1575" s="46"/>
      <c r="Q1575" s="46"/>
      <c r="R1575" s="46"/>
      <c r="S1575" s="46"/>
      <c r="T1575" s="46"/>
      <c r="U1575" s="46"/>
      <c r="V1575" s="46"/>
      <c r="W1575" s="46"/>
      <c r="X1575" s="46"/>
    </row>
    <row r="1576" spans="1:24" x14ac:dyDescent="0.2">
      <c r="A1576" s="45"/>
      <c r="B1576" s="46"/>
      <c r="C1576" s="46"/>
      <c r="D1576" s="46"/>
      <c r="E1576" s="46"/>
      <c r="F1576" s="46"/>
      <c r="G1576" s="46"/>
      <c r="H1576" s="46"/>
      <c r="I1576" s="46"/>
      <c r="J1576" s="46"/>
      <c r="K1576" s="46"/>
      <c r="L1576" s="46"/>
      <c r="M1576" s="46"/>
      <c r="N1576" s="46"/>
      <c r="O1576" s="46"/>
      <c r="P1576" s="46"/>
      <c r="Q1576" s="46"/>
      <c r="R1576" s="46"/>
      <c r="S1576" s="46"/>
      <c r="T1576" s="46"/>
      <c r="U1576" s="46"/>
      <c r="V1576" s="46"/>
      <c r="W1576" s="46"/>
      <c r="X1576" s="46"/>
    </row>
    <row r="1577" spans="1:24" x14ac:dyDescent="0.2">
      <c r="A1577" s="45"/>
      <c r="B1577" s="46"/>
      <c r="C1577" s="46"/>
      <c r="D1577" s="46"/>
      <c r="E1577" s="46"/>
      <c r="F1577" s="46"/>
      <c r="G1577" s="46"/>
      <c r="H1577" s="46"/>
      <c r="I1577" s="46"/>
      <c r="J1577" s="46"/>
      <c r="K1577" s="46"/>
      <c r="L1577" s="46"/>
      <c r="M1577" s="46"/>
      <c r="N1577" s="46"/>
      <c r="O1577" s="46"/>
      <c r="P1577" s="46"/>
      <c r="Q1577" s="46"/>
      <c r="R1577" s="46"/>
      <c r="S1577" s="46"/>
      <c r="T1577" s="46"/>
      <c r="U1577" s="46"/>
      <c r="V1577" s="46"/>
      <c r="W1577" s="46"/>
      <c r="X1577" s="46"/>
    </row>
    <row r="1578" spans="1:24" x14ac:dyDescent="0.2">
      <c r="A1578" s="45"/>
      <c r="B1578" s="46"/>
      <c r="C1578" s="46"/>
      <c r="D1578" s="46"/>
      <c r="E1578" s="46"/>
      <c r="F1578" s="46"/>
      <c r="G1578" s="46"/>
      <c r="H1578" s="46"/>
      <c r="I1578" s="46"/>
      <c r="J1578" s="46"/>
      <c r="K1578" s="46"/>
      <c r="L1578" s="46"/>
      <c r="M1578" s="46"/>
      <c r="N1578" s="46"/>
      <c r="O1578" s="46"/>
      <c r="P1578" s="46"/>
      <c r="Q1578" s="46"/>
      <c r="R1578" s="46"/>
      <c r="S1578" s="46"/>
      <c r="T1578" s="46"/>
      <c r="U1578" s="46"/>
      <c r="V1578" s="46"/>
      <c r="W1578" s="46"/>
      <c r="X1578" s="46"/>
    </row>
    <row r="1579" spans="1:24" x14ac:dyDescent="0.2">
      <c r="A1579" s="45"/>
      <c r="B1579" s="46"/>
      <c r="C1579" s="46"/>
      <c r="D1579" s="46"/>
      <c r="E1579" s="46"/>
      <c r="F1579" s="46"/>
      <c r="G1579" s="46"/>
      <c r="H1579" s="46"/>
      <c r="I1579" s="46"/>
      <c r="J1579" s="46"/>
      <c r="K1579" s="46"/>
      <c r="L1579" s="46"/>
      <c r="M1579" s="46"/>
      <c r="N1579" s="46"/>
      <c r="O1579" s="46"/>
      <c r="P1579" s="46"/>
      <c r="Q1579" s="46"/>
      <c r="R1579" s="46"/>
      <c r="S1579" s="46"/>
      <c r="T1579" s="46"/>
      <c r="U1579" s="46"/>
      <c r="V1579" s="46"/>
      <c r="W1579" s="46"/>
      <c r="X1579" s="46"/>
    </row>
    <row r="1580" spans="1:24" x14ac:dyDescent="0.2">
      <c r="A1580" s="45"/>
      <c r="B1580" s="46"/>
      <c r="C1580" s="46"/>
      <c r="D1580" s="46"/>
      <c r="E1580" s="46"/>
      <c r="F1580" s="46"/>
      <c r="G1580" s="46"/>
      <c r="H1580" s="46"/>
      <c r="I1580" s="46"/>
      <c r="J1580" s="46"/>
      <c r="K1580" s="46"/>
      <c r="L1580" s="46"/>
      <c r="M1580" s="46"/>
      <c r="N1580" s="46"/>
      <c r="O1580" s="46"/>
      <c r="P1580" s="46"/>
      <c r="Q1580" s="46"/>
      <c r="R1580" s="46"/>
      <c r="S1580" s="46"/>
      <c r="T1580" s="46"/>
      <c r="U1580" s="46"/>
      <c r="V1580" s="46"/>
      <c r="W1580" s="46"/>
      <c r="X1580" s="46"/>
    </row>
    <row r="1581" spans="1:24" x14ac:dyDescent="0.2">
      <c r="A1581" s="45"/>
      <c r="B1581" s="46"/>
      <c r="C1581" s="46"/>
      <c r="D1581" s="46"/>
      <c r="E1581" s="46"/>
      <c r="F1581" s="46"/>
      <c r="G1581" s="46"/>
      <c r="H1581" s="46"/>
      <c r="I1581" s="46"/>
      <c r="J1581" s="46"/>
      <c r="K1581" s="46"/>
      <c r="L1581" s="46"/>
      <c r="M1581" s="46"/>
      <c r="N1581" s="46"/>
      <c r="O1581" s="46"/>
      <c r="P1581" s="46"/>
      <c r="Q1581" s="46"/>
      <c r="R1581" s="46"/>
      <c r="S1581" s="46"/>
      <c r="T1581" s="46"/>
      <c r="U1581" s="46"/>
      <c r="V1581" s="46"/>
      <c r="W1581" s="46"/>
      <c r="X1581" s="46"/>
    </row>
    <row r="1582" spans="1:24" x14ac:dyDescent="0.2">
      <c r="A1582" s="45"/>
      <c r="B1582" s="46"/>
      <c r="C1582" s="46"/>
      <c r="D1582" s="46"/>
      <c r="E1582" s="46"/>
      <c r="F1582" s="46"/>
      <c r="G1582" s="46"/>
      <c r="H1582" s="46"/>
      <c r="I1582" s="46"/>
      <c r="J1582" s="46"/>
      <c r="K1582" s="46"/>
      <c r="L1582" s="46"/>
      <c r="M1582" s="46"/>
      <c r="N1582" s="46"/>
      <c r="O1582" s="46"/>
      <c r="P1582" s="46"/>
      <c r="Q1582" s="46"/>
      <c r="R1582" s="46"/>
      <c r="S1582" s="46"/>
      <c r="T1582" s="46"/>
      <c r="U1582" s="46"/>
      <c r="V1582" s="46"/>
      <c r="W1582" s="46"/>
      <c r="X1582" s="46"/>
    </row>
    <row r="1583" spans="1:24" x14ac:dyDescent="0.2">
      <c r="A1583" s="45"/>
      <c r="B1583" s="46"/>
      <c r="C1583" s="46"/>
      <c r="D1583" s="46"/>
      <c r="E1583" s="46"/>
      <c r="F1583" s="46"/>
      <c r="G1583" s="46"/>
      <c r="H1583" s="46"/>
      <c r="I1583" s="46"/>
      <c r="J1583" s="46"/>
      <c r="K1583" s="46"/>
      <c r="L1583" s="46"/>
      <c r="M1583" s="46"/>
      <c r="N1583" s="46"/>
      <c r="O1583" s="46"/>
      <c r="P1583" s="46"/>
      <c r="Q1583" s="46"/>
      <c r="R1583" s="46"/>
      <c r="S1583" s="46"/>
      <c r="T1583" s="46"/>
      <c r="U1583" s="46"/>
      <c r="V1583" s="46"/>
      <c r="W1583" s="46"/>
      <c r="X1583" s="46"/>
    </row>
    <row r="1584" spans="1:24" x14ac:dyDescent="0.2">
      <c r="A1584" s="45"/>
      <c r="B1584" s="46"/>
      <c r="C1584" s="46"/>
      <c r="D1584" s="46"/>
      <c r="E1584" s="46"/>
      <c r="F1584" s="46"/>
      <c r="G1584" s="46"/>
      <c r="H1584" s="46"/>
      <c r="I1584" s="46"/>
      <c r="J1584" s="46"/>
      <c r="K1584" s="46"/>
      <c r="L1584" s="46"/>
      <c r="M1584" s="46"/>
      <c r="N1584" s="46"/>
      <c r="O1584" s="46"/>
      <c r="P1584" s="46"/>
      <c r="Q1584" s="46"/>
      <c r="R1584" s="46"/>
      <c r="S1584" s="46"/>
      <c r="T1584" s="46"/>
      <c r="U1584" s="46"/>
      <c r="V1584" s="46"/>
      <c r="W1584" s="46"/>
      <c r="X1584" s="46"/>
    </row>
    <row r="1585" spans="1:24" x14ac:dyDescent="0.2">
      <c r="A1585" s="45"/>
      <c r="B1585" s="46"/>
      <c r="C1585" s="46"/>
      <c r="D1585" s="46"/>
      <c r="E1585" s="46"/>
      <c r="F1585" s="46"/>
      <c r="G1585" s="46"/>
      <c r="H1585" s="46"/>
      <c r="I1585" s="46"/>
      <c r="J1585" s="46"/>
      <c r="K1585" s="46"/>
      <c r="L1585" s="46"/>
      <c r="M1585" s="46"/>
      <c r="N1585" s="46"/>
      <c r="O1585" s="46"/>
      <c r="P1585" s="46"/>
      <c r="Q1585" s="46"/>
      <c r="R1585" s="46"/>
      <c r="S1585" s="46"/>
      <c r="T1585" s="46"/>
      <c r="U1585" s="46"/>
      <c r="V1585" s="46"/>
      <c r="W1585" s="46"/>
      <c r="X1585" s="46"/>
    </row>
    <row r="1586" spans="1:24" x14ac:dyDescent="0.2">
      <c r="A1586" s="45"/>
      <c r="B1586" s="46"/>
      <c r="C1586" s="46"/>
      <c r="D1586" s="46"/>
      <c r="E1586" s="46"/>
      <c r="F1586" s="46"/>
      <c r="G1586" s="46"/>
      <c r="H1586" s="46"/>
      <c r="I1586" s="46"/>
      <c r="J1586" s="46"/>
      <c r="K1586" s="46"/>
      <c r="L1586" s="46"/>
      <c r="M1586" s="46"/>
      <c r="N1586" s="46"/>
      <c r="O1586" s="46"/>
      <c r="P1586" s="46"/>
      <c r="Q1586" s="46"/>
      <c r="R1586" s="46"/>
      <c r="S1586" s="46"/>
      <c r="T1586" s="46"/>
      <c r="U1586" s="46"/>
      <c r="V1586" s="46"/>
      <c r="W1586" s="46"/>
      <c r="X1586" s="46"/>
    </row>
    <row r="1587" spans="1:24" x14ac:dyDescent="0.2">
      <c r="A1587" s="45"/>
      <c r="B1587" s="46"/>
      <c r="C1587" s="46"/>
      <c r="D1587" s="46"/>
      <c r="E1587" s="46"/>
      <c r="F1587" s="46"/>
      <c r="G1587" s="46"/>
      <c r="H1587" s="46"/>
      <c r="I1587" s="46"/>
      <c r="J1587" s="46"/>
      <c r="K1587" s="46"/>
      <c r="L1587" s="46"/>
      <c r="M1587" s="46"/>
      <c r="N1587" s="46"/>
      <c r="O1587" s="46"/>
      <c r="P1587" s="46"/>
      <c r="Q1587" s="46"/>
      <c r="R1587" s="46"/>
      <c r="S1587" s="46"/>
      <c r="T1587" s="46"/>
      <c r="U1587" s="46"/>
      <c r="V1587" s="46"/>
      <c r="W1587" s="46"/>
      <c r="X1587" s="46"/>
    </row>
    <row r="1588" spans="1:24" x14ac:dyDescent="0.2">
      <c r="A1588" s="45"/>
      <c r="B1588" s="46"/>
      <c r="C1588" s="46"/>
      <c r="D1588" s="46"/>
      <c r="E1588" s="46"/>
      <c r="F1588" s="46"/>
      <c r="G1588" s="46"/>
      <c r="H1588" s="46"/>
      <c r="I1588" s="46"/>
      <c r="J1588" s="46"/>
      <c r="K1588" s="46"/>
      <c r="L1588" s="46"/>
      <c r="M1588" s="46"/>
      <c r="N1588" s="46"/>
      <c r="O1588" s="46"/>
      <c r="P1588" s="46"/>
      <c r="Q1588" s="46"/>
      <c r="R1588" s="46"/>
      <c r="S1588" s="46"/>
      <c r="T1588" s="46"/>
      <c r="U1588" s="46"/>
      <c r="V1588" s="46"/>
      <c r="W1588" s="46"/>
      <c r="X1588" s="46"/>
    </row>
    <row r="1589" spans="1:24" x14ac:dyDescent="0.2">
      <c r="A1589" s="45"/>
      <c r="B1589" s="46"/>
      <c r="C1589" s="46"/>
      <c r="D1589" s="46"/>
      <c r="E1589" s="46"/>
      <c r="F1589" s="46"/>
      <c r="G1589" s="46"/>
      <c r="H1589" s="46"/>
      <c r="I1589" s="46"/>
      <c r="J1589" s="46"/>
      <c r="K1589" s="46"/>
      <c r="L1589" s="46"/>
      <c r="M1589" s="46"/>
      <c r="N1589" s="46"/>
      <c r="O1589" s="46"/>
      <c r="P1589" s="46"/>
      <c r="Q1589" s="46"/>
      <c r="R1589" s="46"/>
      <c r="S1589" s="46"/>
      <c r="T1589" s="46"/>
      <c r="U1589" s="46"/>
      <c r="V1589" s="46"/>
      <c r="W1589" s="46"/>
      <c r="X1589" s="46"/>
    </row>
    <row r="1590" spans="1:24" x14ac:dyDescent="0.2">
      <c r="A1590" s="45"/>
      <c r="B1590" s="46"/>
      <c r="C1590" s="46"/>
      <c r="D1590" s="46"/>
      <c r="E1590" s="46"/>
      <c r="F1590" s="46"/>
      <c r="G1590" s="46"/>
      <c r="H1590" s="46"/>
      <c r="I1590" s="46"/>
      <c r="J1590" s="46"/>
      <c r="K1590" s="46"/>
      <c r="L1590" s="46"/>
      <c r="M1590" s="46"/>
      <c r="N1590" s="46"/>
      <c r="O1590" s="46"/>
      <c r="P1590" s="46"/>
      <c r="Q1590" s="46"/>
      <c r="R1590" s="46"/>
      <c r="S1590" s="46"/>
      <c r="T1590" s="46"/>
      <c r="U1590" s="46"/>
      <c r="V1590" s="46"/>
      <c r="W1590" s="46"/>
      <c r="X1590" s="46"/>
    </row>
    <row r="1591" spans="1:24" x14ac:dyDescent="0.2">
      <c r="A1591" s="45"/>
      <c r="B1591" s="46"/>
      <c r="C1591" s="46"/>
      <c r="D1591" s="46"/>
      <c r="E1591" s="46"/>
      <c r="F1591" s="46"/>
      <c r="G1591" s="46"/>
      <c r="H1591" s="46"/>
      <c r="I1591" s="46"/>
      <c r="J1591" s="46"/>
      <c r="K1591" s="46"/>
      <c r="L1591" s="46"/>
      <c r="M1591" s="46"/>
      <c r="N1591" s="46"/>
      <c r="O1591" s="46"/>
      <c r="P1591" s="46"/>
      <c r="Q1591" s="46"/>
      <c r="R1591" s="46"/>
      <c r="S1591" s="46"/>
      <c r="T1591" s="46"/>
      <c r="U1591" s="46"/>
      <c r="V1591" s="46"/>
      <c r="W1591" s="46"/>
      <c r="X1591" s="46"/>
    </row>
    <row r="1592" spans="1:24" x14ac:dyDescent="0.2">
      <c r="A1592" s="45"/>
      <c r="B1592" s="46"/>
      <c r="C1592" s="46"/>
      <c r="D1592" s="46"/>
      <c r="E1592" s="46"/>
      <c r="F1592" s="46"/>
      <c r="G1592" s="46"/>
      <c r="H1592" s="46"/>
      <c r="I1592" s="46"/>
      <c r="J1592" s="46"/>
      <c r="K1592" s="46"/>
      <c r="L1592" s="46"/>
      <c r="M1592" s="46"/>
      <c r="N1592" s="46"/>
      <c r="O1592" s="46"/>
      <c r="P1592" s="46"/>
      <c r="Q1592" s="46"/>
      <c r="R1592" s="46"/>
      <c r="S1592" s="46"/>
      <c r="T1592" s="46"/>
      <c r="U1592" s="46"/>
      <c r="V1592" s="46"/>
      <c r="W1592" s="46"/>
      <c r="X1592" s="46"/>
    </row>
    <row r="1593" spans="1:24" x14ac:dyDescent="0.2">
      <c r="A1593" s="45"/>
      <c r="B1593" s="46"/>
      <c r="C1593" s="46"/>
      <c r="D1593" s="46"/>
      <c r="E1593" s="46"/>
      <c r="F1593" s="46"/>
      <c r="G1593" s="46"/>
      <c r="H1593" s="46"/>
      <c r="I1593" s="46"/>
      <c r="J1593" s="46"/>
      <c r="K1593" s="46"/>
      <c r="L1593" s="46"/>
      <c r="M1593" s="46"/>
      <c r="N1593" s="46"/>
      <c r="O1593" s="46"/>
      <c r="P1593" s="46"/>
      <c r="Q1593" s="46"/>
      <c r="R1593" s="46"/>
      <c r="S1593" s="46"/>
      <c r="T1593" s="46"/>
      <c r="U1593" s="46"/>
      <c r="V1593" s="46"/>
      <c r="W1593" s="46"/>
      <c r="X1593" s="46"/>
    </row>
    <row r="1594" spans="1:24" x14ac:dyDescent="0.2">
      <c r="A1594" s="45"/>
      <c r="B1594" s="46"/>
      <c r="C1594" s="46"/>
      <c r="D1594" s="46"/>
      <c r="E1594" s="46"/>
      <c r="F1594" s="46"/>
      <c r="G1594" s="46"/>
      <c r="H1594" s="46"/>
      <c r="I1594" s="46"/>
      <c r="J1594" s="46"/>
      <c r="K1594" s="46"/>
      <c r="L1594" s="46"/>
      <c r="M1594" s="46"/>
      <c r="N1594" s="46"/>
      <c r="O1594" s="46"/>
      <c r="P1594" s="46"/>
      <c r="Q1594" s="46"/>
      <c r="R1594" s="46"/>
      <c r="S1594" s="46"/>
      <c r="T1594" s="46"/>
      <c r="U1594" s="46"/>
      <c r="V1594" s="46"/>
      <c r="W1594" s="46"/>
      <c r="X1594" s="46"/>
    </row>
    <row r="1595" spans="1:24" x14ac:dyDescent="0.2">
      <c r="A1595" s="45"/>
      <c r="B1595" s="46"/>
      <c r="C1595" s="46"/>
      <c r="D1595" s="46"/>
      <c r="E1595" s="46"/>
      <c r="F1595" s="46"/>
      <c r="G1595" s="46"/>
      <c r="H1595" s="46"/>
      <c r="I1595" s="46"/>
      <c r="J1595" s="46"/>
      <c r="K1595" s="46"/>
      <c r="L1595" s="46"/>
      <c r="M1595" s="46"/>
      <c r="N1595" s="46"/>
      <c r="O1595" s="46"/>
      <c r="P1595" s="46"/>
      <c r="Q1595" s="46"/>
      <c r="R1595" s="46"/>
      <c r="S1595" s="46"/>
      <c r="T1595" s="46"/>
      <c r="U1595" s="46"/>
      <c r="V1595" s="46"/>
      <c r="W1595" s="46"/>
      <c r="X1595" s="46"/>
    </row>
    <row r="1596" spans="1:24" x14ac:dyDescent="0.2">
      <c r="A1596" s="45"/>
      <c r="B1596" s="46"/>
      <c r="C1596" s="46"/>
      <c r="D1596" s="46"/>
      <c r="E1596" s="46"/>
      <c r="F1596" s="46"/>
      <c r="G1596" s="46"/>
      <c r="H1596" s="46"/>
      <c r="I1596" s="46"/>
      <c r="J1596" s="46"/>
      <c r="K1596" s="46"/>
      <c r="L1596" s="46"/>
      <c r="M1596" s="46"/>
      <c r="N1596" s="46"/>
      <c r="O1596" s="46"/>
      <c r="P1596" s="46"/>
      <c r="Q1596" s="46"/>
      <c r="R1596" s="46"/>
      <c r="S1596" s="46"/>
      <c r="T1596" s="46"/>
      <c r="U1596" s="46"/>
      <c r="V1596" s="46"/>
      <c r="W1596" s="46"/>
      <c r="X1596" s="46"/>
    </row>
    <row r="1597" spans="1:24" x14ac:dyDescent="0.2">
      <c r="A1597" s="45"/>
      <c r="B1597" s="46"/>
      <c r="C1597" s="46"/>
      <c r="D1597" s="46"/>
      <c r="E1597" s="46"/>
      <c r="F1597" s="46"/>
      <c r="G1597" s="46"/>
      <c r="H1597" s="46"/>
      <c r="I1597" s="46"/>
      <c r="J1597" s="46"/>
      <c r="K1597" s="46"/>
      <c r="L1597" s="46"/>
      <c r="M1597" s="46"/>
      <c r="N1597" s="46"/>
      <c r="O1597" s="46"/>
      <c r="P1597" s="46"/>
      <c r="Q1597" s="46"/>
      <c r="R1597" s="46"/>
      <c r="S1597" s="46"/>
      <c r="T1597" s="46"/>
      <c r="U1597" s="46"/>
      <c r="V1597" s="46"/>
      <c r="W1597" s="46"/>
      <c r="X1597" s="46"/>
    </row>
    <row r="1598" spans="1:24" x14ac:dyDescent="0.2">
      <c r="A1598" s="45"/>
      <c r="B1598" s="46"/>
      <c r="C1598" s="46"/>
      <c r="D1598" s="46"/>
      <c r="E1598" s="46"/>
      <c r="F1598" s="46"/>
      <c r="G1598" s="46"/>
      <c r="H1598" s="46"/>
      <c r="I1598" s="46"/>
      <c r="J1598" s="46"/>
      <c r="K1598" s="46"/>
      <c r="L1598" s="46"/>
      <c r="M1598" s="46"/>
      <c r="N1598" s="46"/>
      <c r="O1598" s="46"/>
      <c r="P1598" s="46"/>
      <c r="Q1598" s="46"/>
      <c r="R1598" s="46"/>
      <c r="S1598" s="46"/>
      <c r="T1598" s="46"/>
      <c r="U1598" s="46"/>
      <c r="V1598" s="46"/>
      <c r="W1598" s="46"/>
      <c r="X1598" s="46"/>
    </row>
    <row r="1599" spans="1:24" x14ac:dyDescent="0.2">
      <c r="A1599" s="45"/>
      <c r="B1599" s="46"/>
      <c r="C1599" s="46"/>
      <c r="D1599" s="46"/>
      <c r="E1599" s="46"/>
      <c r="F1599" s="46"/>
      <c r="G1599" s="46"/>
      <c r="H1599" s="46"/>
      <c r="I1599" s="46"/>
      <c r="J1599" s="46"/>
      <c r="K1599" s="46"/>
      <c r="L1599" s="46"/>
      <c r="M1599" s="46"/>
      <c r="N1599" s="46"/>
      <c r="O1599" s="46"/>
      <c r="P1599" s="46"/>
      <c r="Q1599" s="46"/>
      <c r="R1599" s="46"/>
      <c r="S1599" s="46"/>
      <c r="T1599" s="46"/>
      <c r="U1599" s="46"/>
      <c r="V1599" s="46"/>
      <c r="W1599" s="46"/>
      <c r="X1599" s="46"/>
    </row>
    <row r="1600" spans="1:24" x14ac:dyDescent="0.2">
      <c r="A1600" s="45"/>
      <c r="B1600" s="46"/>
      <c r="C1600" s="46"/>
      <c r="D1600" s="46"/>
      <c r="E1600" s="46"/>
      <c r="F1600" s="46"/>
      <c r="G1600" s="46"/>
      <c r="H1600" s="46"/>
      <c r="I1600" s="46"/>
      <c r="J1600" s="46"/>
      <c r="K1600" s="46"/>
      <c r="L1600" s="46"/>
      <c r="M1600" s="46"/>
      <c r="N1600" s="46"/>
      <c r="O1600" s="46"/>
      <c r="P1600" s="46"/>
      <c r="Q1600" s="46"/>
      <c r="R1600" s="46"/>
      <c r="S1600" s="46"/>
      <c r="T1600" s="46"/>
      <c r="U1600" s="46"/>
      <c r="V1600" s="46"/>
      <c r="W1600" s="46"/>
      <c r="X1600" s="46"/>
    </row>
    <row r="1601" spans="1:24" x14ac:dyDescent="0.2">
      <c r="A1601" s="45"/>
      <c r="B1601" s="46"/>
      <c r="C1601" s="46"/>
      <c r="D1601" s="46"/>
      <c r="E1601" s="46"/>
      <c r="F1601" s="46"/>
      <c r="G1601" s="46"/>
      <c r="H1601" s="46"/>
      <c r="I1601" s="46"/>
      <c r="J1601" s="46"/>
      <c r="K1601" s="46"/>
      <c r="L1601" s="46"/>
      <c r="M1601" s="46"/>
      <c r="N1601" s="46"/>
      <c r="O1601" s="46"/>
      <c r="P1601" s="46"/>
      <c r="Q1601" s="46"/>
      <c r="R1601" s="46"/>
      <c r="S1601" s="46"/>
      <c r="T1601" s="46"/>
      <c r="U1601" s="46"/>
      <c r="V1601" s="46"/>
      <c r="W1601" s="46"/>
      <c r="X1601" s="46"/>
    </row>
    <row r="1602" spans="1:24" x14ac:dyDescent="0.2">
      <c r="A1602" s="45"/>
      <c r="B1602" s="46"/>
      <c r="C1602" s="46"/>
      <c r="D1602" s="46"/>
      <c r="E1602" s="46"/>
      <c r="F1602" s="46"/>
      <c r="G1602" s="46"/>
      <c r="H1602" s="46"/>
      <c r="I1602" s="46"/>
      <c r="J1602" s="46"/>
      <c r="K1602" s="46"/>
      <c r="L1602" s="46"/>
      <c r="M1602" s="46"/>
      <c r="N1602" s="46"/>
      <c r="O1602" s="46"/>
      <c r="P1602" s="46"/>
      <c r="Q1602" s="46"/>
      <c r="R1602" s="46"/>
      <c r="S1602" s="46"/>
      <c r="T1602" s="46"/>
      <c r="U1602" s="46"/>
      <c r="V1602" s="46"/>
      <c r="W1602" s="46"/>
      <c r="X1602" s="46"/>
    </row>
    <row r="1603" spans="1:24" x14ac:dyDescent="0.2">
      <c r="A1603" s="45"/>
      <c r="B1603" s="46"/>
      <c r="C1603" s="46"/>
      <c r="D1603" s="46"/>
      <c r="E1603" s="46"/>
      <c r="F1603" s="46"/>
      <c r="G1603" s="46"/>
      <c r="H1603" s="46"/>
      <c r="I1603" s="46"/>
      <c r="J1603" s="46"/>
      <c r="K1603" s="46"/>
      <c r="L1603" s="46"/>
      <c r="M1603" s="46"/>
      <c r="N1603" s="46"/>
      <c r="O1603" s="46"/>
      <c r="P1603" s="46"/>
      <c r="Q1603" s="46"/>
      <c r="R1603" s="46"/>
      <c r="S1603" s="46"/>
      <c r="T1603" s="46"/>
      <c r="U1603" s="46"/>
      <c r="V1603" s="46"/>
      <c r="W1603" s="46"/>
      <c r="X1603" s="46"/>
    </row>
    <row r="1604" spans="1:24" x14ac:dyDescent="0.2">
      <c r="A1604" s="45"/>
      <c r="B1604" s="46"/>
      <c r="C1604" s="46"/>
      <c r="D1604" s="46"/>
      <c r="E1604" s="46"/>
      <c r="F1604" s="46"/>
      <c r="G1604" s="46"/>
      <c r="H1604" s="46"/>
      <c r="I1604" s="46"/>
      <c r="J1604" s="46"/>
      <c r="K1604" s="46"/>
      <c r="L1604" s="46"/>
      <c r="M1604" s="46"/>
      <c r="N1604" s="46"/>
      <c r="O1604" s="46"/>
      <c r="P1604" s="46"/>
      <c r="Q1604" s="46"/>
      <c r="R1604" s="46"/>
      <c r="S1604" s="46"/>
      <c r="T1604" s="46"/>
      <c r="U1604" s="46"/>
      <c r="V1604" s="46"/>
      <c r="W1604" s="46"/>
      <c r="X1604" s="46"/>
    </row>
    <row r="1605" spans="1:24" x14ac:dyDescent="0.2">
      <c r="A1605" s="45"/>
      <c r="B1605" s="46"/>
      <c r="C1605" s="46"/>
      <c r="D1605" s="46"/>
      <c r="E1605" s="46"/>
      <c r="F1605" s="46"/>
      <c r="G1605" s="46"/>
      <c r="H1605" s="46"/>
      <c r="I1605" s="46"/>
      <c r="J1605" s="46"/>
      <c r="K1605" s="46"/>
      <c r="L1605" s="46"/>
      <c r="M1605" s="46"/>
      <c r="N1605" s="46"/>
      <c r="O1605" s="46"/>
      <c r="P1605" s="46"/>
      <c r="Q1605" s="46"/>
      <c r="R1605" s="46"/>
      <c r="S1605" s="46"/>
      <c r="T1605" s="46"/>
      <c r="U1605" s="46"/>
      <c r="V1605" s="46"/>
      <c r="W1605" s="46"/>
      <c r="X1605" s="46"/>
    </row>
    <row r="1606" spans="1:24" x14ac:dyDescent="0.2">
      <c r="A1606" s="45"/>
      <c r="B1606" s="46"/>
      <c r="C1606" s="46"/>
      <c r="D1606" s="46"/>
      <c r="E1606" s="46"/>
      <c r="F1606" s="46"/>
      <c r="G1606" s="46"/>
      <c r="H1606" s="46"/>
      <c r="I1606" s="46"/>
      <c r="J1606" s="46"/>
      <c r="K1606" s="46"/>
      <c r="L1606" s="46"/>
      <c r="M1606" s="46"/>
      <c r="N1606" s="46"/>
      <c r="O1606" s="46"/>
      <c r="P1606" s="46"/>
      <c r="Q1606" s="46"/>
      <c r="R1606" s="46"/>
      <c r="S1606" s="46"/>
      <c r="T1606" s="46"/>
      <c r="U1606" s="46"/>
      <c r="V1606" s="46"/>
      <c r="W1606" s="46"/>
      <c r="X1606" s="46"/>
    </row>
    <row r="1607" spans="1:24" x14ac:dyDescent="0.2">
      <c r="A1607" s="45"/>
      <c r="B1607" s="46"/>
      <c r="C1607" s="46"/>
      <c r="D1607" s="46"/>
      <c r="E1607" s="46"/>
      <c r="F1607" s="46"/>
      <c r="G1607" s="46"/>
      <c r="H1607" s="46"/>
      <c r="I1607" s="46"/>
      <c r="J1607" s="46"/>
      <c r="K1607" s="46"/>
      <c r="L1607" s="46"/>
      <c r="M1607" s="46"/>
      <c r="N1607" s="46"/>
      <c r="O1607" s="46"/>
      <c r="P1607" s="46"/>
      <c r="Q1607" s="46"/>
      <c r="R1607" s="46"/>
      <c r="S1607" s="46"/>
      <c r="T1607" s="46"/>
      <c r="U1607" s="46"/>
      <c r="V1607" s="46"/>
      <c r="W1607" s="46"/>
      <c r="X1607" s="46"/>
    </row>
    <row r="1608" spans="1:24" x14ac:dyDescent="0.2">
      <c r="A1608" s="45"/>
      <c r="B1608" s="46"/>
      <c r="C1608" s="46"/>
      <c r="D1608" s="46"/>
      <c r="E1608" s="46"/>
      <c r="F1608" s="46"/>
      <c r="G1608" s="46"/>
      <c r="H1608" s="46"/>
      <c r="I1608" s="46"/>
      <c r="J1608" s="46"/>
      <c r="K1608" s="46"/>
      <c r="L1608" s="46"/>
      <c r="M1608" s="46"/>
      <c r="N1608" s="46"/>
      <c r="O1608" s="46"/>
      <c r="P1608" s="46"/>
      <c r="Q1608" s="46"/>
      <c r="R1608" s="46"/>
      <c r="S1608" s="46"/>
      <c r="T1608" s="46"/>
      <c r="U1608" s="46"/>
      <c r="V1608" s="46"/>
      <c r="W1608" s="46"/>
      <c r="X1608" s="46"/>
    </row>
    <row r="1609" spans="1:24" x14ac:dyDescent="0.2">
      <c r="A1609" s="45"/>
      <c r="B1609" s="46"/>
      <c r="C1609" s="46"/>
      <c r="D1609" s="46"/>
      <c r="E1609" s="46"/>
      <c r="F1609" s="46"/>
      <c r="G1609" s="46"/>
      <c r="H1609" s="46"/>
      <c r="I1609" s="46"/>
      <c r="J1609" s="46"/>
      <c r="K1609" s="46"/>
      <c r="L1609" s="46"/>
      <c r="M1609" s="46"/>
      <c r="N1609" s="46"/>
      <c r="O1609" s="46"/>
      <c r="P1609" s="46"/>
      <c r="Q1609" s="46"/>
      <c r="R1609" s="46"/>
      <c r="S1609" s="46"/>
      <c r="T1609" s="46"/>
      <c r="U1609" s="46"/>
      <c r="V1609" s="46"/>
      <c r="W1609" s="46"/>
      <c r="X1609" s="46"/>
    </row>
    <row r="1610" spans="1:24" x14ac:dyDescent="0.2">
      <c r="A1610" s="45"/>
      <c r="B1610" s="46"/>
      <c r="C1610" s="46"/>
      <c r="D1610" s="46"/>
      <c r="E1610" s="46"/>
      <c r="F1610" s="46"/>
      <c r="G1610" s="46"/>
      <c r="H1610" s="46"/>
      <c r="I1610" s="46"/>
      <c r="J1610" s="46"/>
      <c r="K1610" s="46"/>
      <c r="L1610" s="46"/>
      <c r="M1610" s="46"/>
      <c r="N1610" s="46"/>
      <c r="O1610" s="46"/>
      <c r="P1610" s="46"/>
      <c r="Q1610" s="46"/>
      <c r="R1610" s="46"/>
      <c r="S1610" s="46"/>
      <c r="T1610" s="46"/>
      <c r="U1610" s="46"/>
      <c r="V1610" s="46"/>
      <c r="W1610" s="46"/>
      <c r="X1610" s="46"/>
    </row>
    <row r="1611" spans="1:24" x14ac:dyDescent="0.2">
      <c r="A1611" s="45"/>
      <c r="B1611" s="46"/>
      <c r="C1611" s="46"/>
      <c r="D1611" s="46"/>
      <c r="E1611" s="46"/>
      <c r="F1611" s="46"/>
      <c r="G1611" s="46"/>
      <c r="H1611" s="46"/>
      <c r="I1611" s="46"/>
      <c r="J1611" s="46"/>
      <c r="K1611" s="46"/>
      <c r="L1611" s="46"/>
      <c r="M1611" s="46"/>
      <c r="N1611" s="46"/>
      <c r="O1611" s="46"/>
      <c r="P1611" s="46"/>
      <c r="Q1611" s="46"/>
      <c r="R1611" s="46"/>
      <c r="S1611" s="46"/>
      <c r="T1611" s="46"/>
      <c r="U1611" s="46"/>
      <c r="V1611" s="46"/>
      <c r="W1611" s="46"/>
      <c r="X1611" s="46"/>
    </row>
    <row r="1612" spans="1:24" x14ac:dyDescent="0.2">
      <c r="A1612" s="45"/>
      <c r="B1612" s="46"/>
      <c r="C1612" s="46"/>
      <c r="D1612" s="46"/>
      <c r="E1612" s="46"/>
      <c r="F1612" s="46"/>
      <c r="G1612" s="46"/>
      <c r="H1612" s="46"/>
      <c r="I1612" s="46"/>
      <c r="J1612" s="46"/>
      <c r="K1612" s="46"/>
      <c r="L1612" s="46"/>
      <c r="M1612" s="46"/>
      <c r="N1612" s="46"/>
      <c r="O1612" s="46"/>
      <c r="P1612" s="46"/>
      <c r="Q1612" s="46"/>
      <c r="R1612" s="46"/>
      <c r="S1612" s="46"/>
      <c r="T1612" s="46"/>
      <c r="U1612" s="46"/>
      <c r="V1612" s="46"/>
      <c r="W1612" s="46"/>
      <c r="X1612" s="46"/>
    </row>
    <row r="1613" spans="1:24" x14ac:dyDescent="0.2">
      <c r="A1613" s="45"/>
      <c r="B1613" s="46"/>
      <c r="C1613" s="46"/>
      <c r="D1613" s="46"/>
      <c r="E1613" s="46"/>
      <c r="F1613" s="46"/>
      <c r="G1613" s="46"/>
      <c r="H1613" s="46"/>
      <c r="I1613" s="46"/>
      <c r="J1613" s="46"/>
      <c r="K1613" s="46"/>
      <c r="L1613" s="46"/>
      <c r="M1613" s="46"/>
      <c r="N1613" s="46"/>
      <c r="O1613" s="46"/>
      <c r="P1613" s="46"/>
      <c r="Q1613" s="46"/>
      <c r="R1613" s="46"/>
      <c r="S1613" s="46"/>
      <c r="T1613" s="46"/>
      <c r="U1613" s="46"/>
      <c r="V1613" s="46"/>
      <c r="W1613" s="46"/>
      <c r="X1613" s="46"/>
    </row>
    <row r="1614" spans="1:24" x14ac:dyDescent="0.2">
      <c r="A1614" s="45"/>
      <c r="B1614" s="46"/>
      <c r="C1614" s="46"/>
      <c r="D1614" s="46"/>
      <c r="E1614" s="46"/>
      <c r="F1614" s="46"/>
      <c r="G1614" s="46"/>
      <c r="H1614" s="46"/>
      <c r="I1614" s="46"/>
      <c r="J1614" s="46"/>
      <c r="K1614" s="46"/>
      <c r="L1614" s="46"/>
      <c r="M1614" s="46"/>
      <c r="N1614" s="46"/>
      <c r="O1614" s="46"/>
      <c r="P1614" s="46"/>
      <c r="Q1614" s="46"/>
      <c r="R1614" s="46"/>
      <c r="S1614" s="46"/>
      <c r="T1614" s="46"/>
      <c r="U1614" s="46"/>
      <c r="V1614" s="46"/>
      <c r="W1614" s="46"/>
      <c r="X1614" s="46"/>
    </row>
    <row r="1615" spans="1:24" x14ac:dyDescent="0.2">
      <c r="A1615" s="45"/>
      <c r="B1615" s="46"/>
      <c r="C1615" s="46"/>
      <c r="D1615" s="46"/>
      <c r="E1615" s="46"/>
      <c r="F1615" s="46"/>
      <c r="G1615" s="46"/>
      <c r="H1615" s="46"/>
      <c r="I1615" s="46"/>
      <c r="J1615" s="46"/>
      <c r="K1615" s="46"/>
      <c r="L1615" s="46"/>
      <c r="M1615" s="46"/>
      <c r="N1615" s="46"/>
      <c r="O1615" s="46"/>
      <c r="P1615" s="46"/>
      <c r="Q1615" s="46"/>
      <c r="R1615" s="46"/>
      <c r="S1615" s="46"/>
      <c r="T1615" s="46"/>
      <c r="U1615" s="46"/>
      <c r="V1615" s="46"/>
      <c r="W1615" s="46"/>
      <c r="X1615" s="46"/>
    </row>
    <row r="1616" spans="1:24" x14ac:dyDescent="0.2">
      <c r="A1616" s="45"/>
      <c r="B1616" s="46"/>
      <c r="C1616" s="46"/>
      <c r="D1616" s="46"/>
      <c r="E1616" s="46"/>
      <c r="F1616" s="46"/>
      <c r="G1616" s="46"/>
      <c r="H1616" s="46"/>
      <c r="I1616" s="46"/>
      <c r="J1616" s="46"/>
      <c r="K1616" s="46"/>
      <c r="L1616" s="46"/>
      <c r="M1616" s="46"/>
      <c r="N1616" s="46"/>
      <c r="O1616" s="46"/>
      <c r="P1616" s="46"/>
      <c r="Q1616" s="46"/>
      <c r="R1616" s="46"/>
      <c r="S1616" s="46"/>
      <c r="T1616" s="46"/>
      <c r="U1616" s="46"/>
      <c r="V1616" s="46"/>
      <c r="W1616" s="46"/>
      <c r="X1616" s="46"/>
    </row>
    <row r="1617" spans="1:24" x14ac:dyDescent="0.2">
      <c r="A1617" s="45"/>
      <c r="B1617" s="46"/>
      <c r="C1617" s="46"/>
      <c r="D1617" s="46"/>
      <c r="E1617" s="46"/>
      <c r="F1617" s="46"/>
      <c r="G1617" s="46"/>
      <c r="H1617" s="46"/>
      <c r="I1617" s="46"/>
      <c r="J1617" s="46"/>
      <c r="K1617" s="46"/>
      <c r="L1617" s="46"/>
      <c r="M1617" s="46"/>
      <c r="N1617" s="46"/>
      <c r="O1617" s="46"/>
      <c r="P1617" s="46"/>
      <c r="Q1617" s="46"/>
      <c r="R1617" s="46"/>
      <c r="S1617" s="46"/>
      <c r="T1617" s="46"/>
      <c r="U1617" s="46"/>
      <c r="V1617" s="46"/>
      <c r="W1617" s="46"/>
      <c r="X1617" s="46"/>
    </row>
    <row r="1618" spans="1:24" x14ac:dyDescent="0.2">
      <c r="A1618" s="45"/>
      <c r="B1618" s="46"/>
      <c r="C1618" s="46"/>
      <c r="D1618" s="46"/>
      <c r="E1618" s="46"/>
      <c r="F1618" s="46"/>
      <c r="G1618" s="46"/>
      <c r="H1618" s="46"/>
      <c r="I1618" s="46"/>
      <c r="J1618" s="46"/>
      <c r="K1618" s="46"/>
      <c r="L1618" s="46"/>
      <c r="M1618" s="46"/>
      <c r="N1618" s="46"/>
      <c r="O1618" s="46"/>
      <c r="P1618" s="46"/>
      <c r="Q1618" s="46"/>
      <c r="R1618" s="46"/>
      <c r="S1618" s="46"/>
      <c r="T1618" s="46"/>
      <c r="U1618" s="46"/>
      <c r="V1618" s="46"/>
      <c r="W1618" s="46"/>
      <c r="X1618" s="46"/>
    </row>
    <row r="1619" spans="1:24" x14ac:dyDescent="0.2">
      <c r="A1619" s="45"/>
      <c r="B1619" s="46"/>
      <c r="C1619" s="46"/>
      <c r="D1619" s="46"/>
      <c r="E1619" s="46"/>
      <c r="F1619" s="46"/>
      <c r="G1619" s="46"/>
      <c r="H1619" s="46"/>
      <c r="I1619" s="46"/>
      <c r="J1619" s="46"/>
      <c r="K1619" s="46"/>
      <c r="L1619" s="46"/>
      <c r="M1619" s="46"/>
      <c r="N1619" s="46"/>
      <c r="O1619" s="46"/>
      <c r="P1619" s="46"/>
      <c r="Q1619" s="46"/>
      <c r="R1619" s="46"/>
      <c r="S1619" s="46"/>
      <c r="T1619" s="46"/>
      <c r="U1619" s="46"/>
      <c r="V1619" s="46"/>
      <c r="W1619" s="46"/>
      <c r="X1619" s="46"/>
    </row>
    <row r="1620" spans="1:24" x14ac:dyDescent="0.2">
      <c r="A1620" s="45"/>
      <c r="B1620" s="46"/>
      <c r="C1620" s="46"/>
      <c r="D1620" s="46"/>
      <c r="E1620" s="46"/>
      <c r="F1620" s="46"/>
      <c r="G1620" s="46"/>
      <c r="H1620" s="46"/>
      <c r="I1620" s="46"/>
      <c r="J1620" s="46"/>
      <c r="K1620" s="46"/>
      <c r="L1620" s="46"/>
      <c r="M1620" s="46"/>
      <c r="N1620" s="46"/>
      <c r="O1620" s="46"/>
      <c r="P1620" s="46"/>
      <c r="Q1620" s="46"/>
      <c r="R1620" s="46"/>
      <c r="S1620" s="46"/>
      <c r="T1620" s="46"/>
      <c r="U1620" s="46"/>
      <c r="V1620" s="46"/>
      <c r="W1620" s="46"/>
      <c r="X1620" s="46"/>
    </row>
    <row r="1621" spans="1:24" x14ac:dyDescent="0.2">
      <c r="A1621" s="45"/>
      <c r="B1621" s="46"/>
      <c r="C1621" s="46"/>
      <c r="D1621" s="46"/>
      <c r="E1621" s="46"/>
      <c r="F1621" s="46"/>
      <c r="G1621" s="46"/>
      <c r="H1621" s="46"/>
      <c r="I1621" s="46"/>
      <c r="J1621" s="46"/>
      <c r="K1621" s="46"/>
      <c r="L1621" s="46"/>
      <c r="M1621" s="46"/>
      <c r="N1621" s="46"/>
      <c r="O1621" s="46"/>
      <c r="P1621" s="46"/>
      <c r="Q1621" s="46"/>
      <c r="R1621" s="46"/>
      <c r="S1621" s="46"/>
      <c r="T1621" s="46"/>
      <c r="U1621" s="46"/>
      <c r="V1621" s="46"/>
      <c r="W1621" s="46"/>
      <c r="X1621" s="46"/>
    </row>
    <row r="1622" spans="1:24" x14ac:dyDescent="0.2">
      <c r="A1622" s="45"/>
      <c r="B1622" s="46"/>
      <c r="C1622" s="46"/>
      <c r="D1622" s="46"/>
      <c r="E1622" s="46"/>
      <c r="F1622" s="46"/>
      <c r="G1622" s="46"/>
      <c r="H1622" s="46"/>
      <c r="I1622" s="46"/>
      <c r="J1622" s="46"/>
      <c r="K1622" s="46"/>
      <c r="L1622" s="46"/>
      <c r="M1622" s="46"/>
      <c r="N1622" s="46"/>
      <c r="O1622" s="46"/>
      <c r="P1622" s="46"/>
      <c r="Q1622" s="46"/>
      <c r="R1622" s="46"/>
      <c r="S1622" s="46"/>
      <c r="T1622" s="46"/>
      <c r="U1622" s="46"/>
      <c r="V1622" s="46"/>
      <c r="W1622" s="46"/>
      <c r="X1622" s="46"/>
    </row>
    <row r="1623" spans="1:24" x14ac:dyDescent="0.2">
      <c r="A1623" s="45"/>
      <c r="B1623" s="46"/>
      <c r="C1623" s="46"/>
      <c r="D1623" s="46"/>
      <c r="E1623" s="46"/>
      <c r="F1623" s="46"/>
      <c r="G1623" s="46"/>
      <c r="H1623" s="46"/>
      <c r="I1623" s="46"/>
      <c r="J1623" s="46"/>
      <c r="K1623" s="46"/>
      <c r="L1623" s="46"/>
      <c r="M1623" s="46"/>
      <c r="N1623" s="46"/>
      <c r="O1623" s="46"/>
      <c r="P1623" s="46"/>
      <c r="Q1623" s="46"/>
      <c r="R1623" s="46"/>
      <c r="S1623" s="46"/>
      <c r="T1623" s="46"/>
      <c r="U1623" s="46"/>
      <c r="V1623" s="46"/>
      <c r="W1623" s="46"/>
      <c r="X1623" s="46"/>
    </row>
    <row r="1624" spans="1:24" x14ac:dyDescent="0.2">
      <c r="A1624" s="45"/>
      <c r="B1624" s="46"/>
      <c r="C1624" s="46"/>
      <c r="D1624" s="46"/>
      <c r="E1624" s="46"/>
      <c r="F1624" s="46"/>
      <c r="G1624" s="46"/>
      <c r="H1624" s="46"/>
      <c r="I1624" s="46"/>
      <c r="J1624" s="46"/>
      <c r="K1624" s="46"/>
      <c r="L1624" s="46"/>
      <c r="M1624" s="46"/>
      <c r="N1624" s="46"/>
      <c r="O1624" s="46"/>
      <c r="P1624" s="46"/>
      <c r="Q1624" s="46"/>
      <c r="R1624" s="46"/>
      <c r="S1624" s="46"/>
      <c r="T1624" s="46"/>
      <c r="U1624" s="46"/>
      <c r="V1624" s="46"/>
      <c r="W1624" s="46"/>
      <c r="X1624" s="46"/>
    </row>
    <row r="1625" spans="1:24" x14ac:dyDescent="0.2">
      <c r="A1625" s="45"/>
      <c r="B1625" s="46"/>
      <c r="C1625" s="46"/>
      <c r="D1625" s="46"/>
      <c r="E1625" s="46"/>
      <c r="F1625" s="46"/>
      <c r="G1625" s="46"/>
      <c r="H1625" s="46"/>
      <c r="I1625" s="46"/>
      <c r="J1625" s="46"/>
      <c r="K1625" s="46"/>
      <c r="L1625" s="46"/>
      <c r="M1625" s="46"/>
      <c r="N1625" s="46"/>
      <c r="O1625" s="46"/>
      <c r="P1625" s="46"/>
      <c r="Q1625" s="46"/>
      <c r="R1625" s="46"/>
      <c r="S1625" s="46"/>
      <c r="T1625" s="46"/>
      <c r="U1625" s="46"/>
      <c r="V1625" s="46"/>
      <c r="W1625" s="46"/>
      <c r="X1625" s="46"/>
    </row>
    <row r="1626" spans="1:24" x14ac:dyDescent="0.2">
      <c r="A1626" s="45"/>
      <c r="B1626" s="46"/>
      <c r="C1626" s="46"/>
      <c r="D1626" s="46"/>
      <c r="E1626" s="46"/>
      <c r="F1626" s="46"/>
      <c r="G1626" s="46"/>
      <c r="H1626" s="46"/>
      <c r="I1626" s="46"/>
      <c r="J1626" s="46"/>
      <c r="K1626" s="46"/>
      <c r="L1626" s="46"/>
      <c r="M1626" s="46"/>
      <c r="N1626" s="46"/>
      <c r="O1626" s="46"/>
      <c r="P1626" s="46"/>
      <c r="Q1626" s="46"/>
      <c r="R1626" s="46"/>
      <c r="S1626" s="46"/>
      <c r="T1626" s="46"/>
      <c r="U1626" s="46"/>
      <c r="V1626" s="46"/>
      <c r="W1626" s="46"/>
      <c r="X1626" s="46"/>
    </row>
    <row r="1627" spans="1:24" x14ac:dyDescent="0.2">
      <c r="A1627" s="45"/>
      <c r="B1627" s="46"/>
      <c r="C1627" s="46"/>
      <c r="D1627" s="46"/>
      <c r="E1627" s="46"/>
      <c r="F1627" s="46"/>
      <c r="G1627" s="46"/>
      <c r="H1627" s="46"/>
      <c r="I1627" s="46"/>
      <c r="J1627" s="46"/>
      <c r="K1627" s="46"/>
      <c r="L1627" s="46"/>
      <c r="M1627" s="46"/>
      <c r="N1627" s="46"/>
      <c r="O1627" s="46"/>
      <c r="P1627" s="46"/>
      <c r="Q1627" s="46"/>
      <c r="R1627" s="46"/>
      <c r="S1627" s="46"/>
      <c r="T1627" s="46"/>
      <c r="U1627" s="46"/>
      <c r="V1627" s="46"/>
      <c r="W1627" s="46"/>
      <c r="X1627" s="46"/>
    </row>
    <row r="1628" spans="1:24" x14ac:dyDescent="0.2">
      <c r="A1628" s="45"/>
      <c r="B1628" s="46"/>
      <c r="C1628" s="46"/>
      <c r="D1628" s="46"/>
      <c r="E1628" s="46"/>
      <c r="F1628" s="46"/>
      <c r="G1628" s="46"/>
      <c r="H1628" s="46"/>
      <c r="I1628" s="46"/>
      <c r="J1628" s="46"/>
      <c r="K1628" s="46"/>
      <c r="L1628" s="46"/>
      <c r="M1628" s="46"/>
      <c r="N1628" s="46"/>
      <c r="O1628" s="46"/>
      <c r="P1628" s="46"/>
      <c r="Q1628" s="46"/>
      <c r="R1628" s="46"/>
      <c r="S1628" s="46"/>
      <c r="T1628" s="46"/>
      <c r="U1628" s="46"/>
      <c r="V1628" s="46"/>
      <c r="W1628" s="46"/>
      <c r="X1628" s="46"/>
    </row>
    <row r="1629" spans="1:24" x14ac:dyDescent="0.2">
      <c r="A1629" s="45"/>
      <c r="B1629" s="46"/>
      <c r="C1629" s="46"/>
      <c r="D1629" s="46"/>
      <c r="E1629" s="46"/>
      <c r="F1629" s="46"/>
      <c r="G1629" s="46"/>
      <c r="H1629" s="46"/>
      <c r="I1629" s="46"/>
      <c r="J1629" s="46"/>
      <c r="K1629" s="46"/>
      <c r="L1629" s="46"/>
      <c r="M1629" s="46"/>
      <c r="N1629" s="46"/>
      <c r="O1629" s="46"/>
      <c r="P1629" s="46"/>
      <c r="Q1629" s="46"/>
      <c r="R1629" s="46"/>
      <c r="S1629" s="46"/>
      <c r="T1629" s="46"/>
      <c r="U1629" s="46"/>
      <c r="V1629" s="46"/>
      <c r="W1629" s="46"/>
      <c r="X1629" s="46"/>
    </row>
    <row r="1630" spans="1:24" x14ac:dyDescent="0.2">
      <c r="A1630" s="45"/>
      <c r="B1630" s="46"/>
      <c r="C1630" s="46"/>
      <c r="D1630" s="46"/>
      <c r="E1630" s="46"/>
      <c r="F1630" s="46"/>
      <c r="G1630" s="46"/>
      <c r="H1630" s="46"/>
      <c r="I1630" s="46"/>
      <c r="J1630" s="46"/>
      <c r="K1630" s="46"/>
      <c r="L1630" s="46"/>
      <c r="M1630" s="46"/>
      <c r="N1630" s="46"/>
      <c r="O1630" s="46"/>
      <c r="P1630" s="46"/>
      <c r="Q1630" s="46"/>
      <c r="R1630" s="46"/>
      <c r="S1630" s="46"/>
      <c r="T1630" s="46"/>
      <c r="U1630" s="46"/>
      <c r="V1630" s="46"/>
      <c r="W1630" s="46"/>
      <c r="X1630" s="46"/>
    </row>
    <row r="1631" spans="1:24" x14ac:dyDescent="0.2">
      <c r="A1631" s="45"/>
      <c r="B1631" s="46"/>
      <c r="C1631" s="46"/>
      <c r="D1631" s="46"/>
      <c r="E1631" s="46"/>
      <c r="F1631" s="46"/>
      <c r="G1631" s="46"/>
      <c r="H1631" s="46"/>
      <c r="I1631" s="46"/>
      <c r="J1631" s="46"/>
      <c r="K1631" s="46"/>
      <c r="L1631" s="46"/>
      <c r="M1631" s="46"/>
      <c r="N1631" s="46"/>
      <c r="O1631" s="46"/>
      <c r="P1631" s="46"/>
      <c r="Q1631" s="46"/>
      <c r="R1631" s="46"/>
      <c r="S1631" s="46"/>
      <c r="T1631" s="46"/>
      <c r="U1631" s="46"/>
      <c r="V1631" s="46"/>
      <c r="W1631" s="46"/>
      <c r="X1631" s="46"/>
    </row>
    <row r="1632" spans="1:24" x14ac:dyDescent="0.2">
      <c r="A1632" s="45"/>
      <c r="B1632" s="46"/>
      <c r="C1632" s="46"/>
      <c r="D1632" s="46"/>
      <c r="E1632" s="46"/>
      <c r="F1632" s="46"/>
      <c r="G1632" s="46"/>
      <c r="H1632" s="46"/>
      <c r="I1632" s="46"/>
      <c r="J1632" s="46"/>
      <c r="K1632" s="46"/>
      <c r="L1632" s="46"/>
      <c r="M1632" s="46"/>
      <c r="N1632" s="46"/>
      <c r="O1632" s="46"/>
      <c r="P1632" s="46"/>
      <c r="Q1632" s="46"/>
      <c r="R1632" s="46"/>
      <c r="S1632" s="46"/>
      <c r="T1632" s="46"/>
      <c r="U1632" s="46"/>
      <c r="V1632" s="46"/>
      <c r="W1632" s="46"/>
      <c r="X1632" s="46"/>
    </row>
    <row r="1633" spans="1:24" x14ac:dyDescent="0.2">
      <c r="A1633" s="45"/>
      <c r="B1633" s="46"/>
      <c r="C1633" s="46"/>
      <c r="D1633" s="46"/>
      <c r="E1633" s="46"/>
      <c r="F1633" s="46"/>
      <c r="G1633" s="46"/>
      <c r="H1633" s="46"/>
      <c r="I1633" s="46"/>
      <c r="J1633" s="46"/>
      <c r="K1633" s="46"/>
      <c r="L1633" s="46"/>
      <c r="M1633" s="46"/>
      <c r="N1633" s="46"/>
      <c r="O1633" s="46"/>
      <c r="P1633" s="46"/>
      <c r="Q1633" s="46"/>
      <c r="R1633" s="46"/>
      <c r="S1633" s="46"/>
      <c r="T1633" s="46"/>
      <c r="U1633" s="46"/>
      <c r="V1633" s="46"/>
      <c r="W1633" s="46"/>
      <c r="X1633" s="46"/>
    </row>
    <row r="1634" spans="1:24" x14ac:dyDescent="0.2">
      <c r="A1634" s="45"/>
      <c r="B1634" s="46"/>
      <c r="C1634" s="46"/>
      <c r="D1634" s="46"/>
      <c r="E1634" s="46"/>
      <c r="F1634" s="46"/>
      <c r="G1634" s="46"/>
      <c r="H1634" s="46"/>
      <c r="I1634" s="46"/>
      <c r="J1634" s="46"/>
      <c r="K1634" s="46"/>
      <c r="L1634" s="46"/>
      <c r="M1634" s="46"/>
      <c r="N1634" s="46"/>
      <c r="O1634" s="46"/>
      <c r="P1634" s="46"/>
      <c r="Q1634" s="46"/>
      <c r="R1634" s="46"/>
      <c r="S1634" s="46"/>
      <c r="T1634" s="46"/>
      <c r="U1634" s="46"/>
      <c r="V1634" s="46"/>
      <c r="W1634" s="46"/>
      <c r="X1634" s="46"/>
    </row>
    <row r="1635" spans="1:24" x14ac:dyDescent="0.2">
      <c r="A1635" s="45"/>
      <c r="B1635" s="46"/>
      <c r="C1635" s="46"/>
      <c r="D1635" s="46"/>
      <c r="E1635" s="46"/>
      <c r="F1635" s="46"/>
      <c r="G1635" s="46"/>
      <c r="H1635" s="46"/>
      <c r="I1635" s="46"/>
      <c r="J1635" s="46"/>
      <c r="K1635" s="46"/>
      <c r="L1635" s="46"/>
      <c r="M1635" s="46"/>
      <c r="N1635" s="46"/>
      <c r="O1635" s="46"/>
      <c r="P1635" s="46"/>
      <c r="Q1635" s="46"/>
      <c r="R1635" s="46"/>
      <c r="S1635" s="46"/>
      <c r="T1635" s="46"/>
      <c r="U1635" s="46"/>
      <c r="V1635" s="46"/>
      <c r="W1635" s="46"/>
      <c r="X1635" s="46"/>
    </row>
    <row r="1636" spans="1:24" x14ac:dyDescent="0.2">
      <c r="A1636" s="45"/>
      <c r="B1636" s="46"/>
      <c r="C1636" s="46"/>
      <c r="D1636" s="46"/>
      <c r="E1636" s="46"/>
      <c r="F1636" s="46"/>
      <c r="G1636" s="46"/>
      <c r="H1636" s="46"/>
      <c r="I1636" s="46"/>
      <c r="J1636" s="46"/>
      <c r="K1636" s="46"/>
      <c r="L1636" s="46"/>
      <c r="M1636" s="46"/>
      <c r="N1636" s="46"/>
      <c r="O1636" s="46"/>
      <c r="P1636" s="46"/>
      <c r="Q1636" s="46"/>
      <c r="R1636" s="46"/>
      <c r="S1636" s="46"/>
      <c r="T1636" s="46"/>
      <c r="U1636" s="46"/>
      <c r="V1636" s="46"/>
      <c r="W1636" s="46"/>
      <c r="X1636" s="46"/>
    </row>
    <row r="1637" spans="1:24" x14ac:dyDescent="0.2">
      <c r="A1637" s="45"/>
      <c r="B1637" s="46"/>
      <c r="C1637" s="46"/>
      <c r="D1637" s="46"/>
      <c r="E1637" s="46"/>
      <c r="F1637" s="46"/>
      <c r="G1637" s="46"/>
      <c r="H1637" s="46"/>
      <c r="I1637" s="46"/>
      <c r="J1637" s="46"/>
      <c r="K1637" s="46"/>
      <c r="L1637" s="46"/>
      <c r="M1637" s="46"/>
      <c r="N1637" s="46"/>
      <c r="O1637" s="46"/>
      <c r="P1637" s="46"/>
      <c r="Q1637" s="46"/>
      <c r="R1637" s="46"/>
      <c r="S1637" s="46"/>
      <c r="T1637" s="46"/>
      <c r="U1637" s="46"/>
      <c r="V1637" s="46"/>
      <c r="W1637" s="46"/>
      <c r="X1637" s="46"/>
    </row>
    <row r="1638" spans="1:24" x14ac:dyDescent="0.2">
      <c r="A1638" s="45"/>
      <c r="B1638" s="46"/>
      <c r="C1638" s="46"/>
      <c r="D1638" s="46"/>
      <c r="E1638" s="46"/>
      <c r="F1638" s="46"/>
      <c r="G1638" s="46"/>
      <c r="H1638" s="46"/>
      <c r="I1638" s="46"/>
      <c r="J1638" s="46"/>
      <c r="K1638" s="46"/>
      <c r="L1638" s="46"/>
      <c r="M1638" s="46"/>
      <c r="N1638" s="46"/>
      <c r="O1638" s="46"/>
      <c r="P1638" s="46"/>
      <c r="Q1638" s="46"/>
      <c r="R1638" s="46"/>
      <c r="S1638" s="46"/>
      <c r="T1638" s="46"/>
      <c r="U1638" s="46"/>
      <c r="V1638" s="46"/>
      <c r="W1638" s="46"/>
      <c r="X1638" s="46"/>
    </row>
    <row r="1639" spans="1:24" x14ac:dyDescent="0.2">
      <c r="A1639" s="45"/>
      <c r="B1639" s="46"/>
      <c r="C1639" s="46"/>
      <c r="D1639" s="46"/>
      <c r="E1639" s="46"/>
      <c r="F1639" s="46"/>
      <c r="G1639" s="46"/>
      <c r="H1639" s="46"/>
      <c r="I1639" s="46"/>
      <c r="J1639" s="46"/>
      <c r="K1639" s="46"/>
      <c r="L1639" s="46"/>
      <c r="M1639" s="46"/>
      <c r="N1639" s="46"/>
      <c r="O1639" s="46"/>
      <c r="P1639" s="46"/>
      <c r="Q1639" s="46"/>
      <c r="R1639" s="46"/>
      <c r="S1639" s="46"/>
      <c r="T1639" s="46"/>
      <c r="U1639" s="46"/>
      <c r="V1639" s="46"/>
      <c r="W1639" s="46"/>
      <c r="X1639" s="46"/>
    </row>
    <row r="1640" spans="1:24" x14ac:dyDescent="0.2">
      <c r="A1640" s="45"/>
      <c r="B1640" s="46"/>
      <c r="C1640" s="46"/>
      <c r="D1640" s="46"/>
      <c r="E1640" s="46"/>
      <c r="F1640" s="46"/>
      <c r="G1640" s="46"/>
      <c r="H1640" s="46"/>
      <c r="I1640" s="46"/>
      <c r="J1640" s="46"/>
      <c r="K1640" s="46"/>
      <c r="L1640" s="46"/>
      <c r="M1640" s="46"/>
      <c r="N1640" s="46"/>
      <c r="O1640" s="46"/>
      <c r="P1640" s="46"/>
      <c r="Q1640" s="46"/>
      <c r="R1640" s="46"/>
      <c r="S1640" s="46"/>
      <c r="T1640" s="46"/>
      <c r="U1640" s="46"/>
      <c r="V1640" s="46"/>
      <c r="W1640" s="46"/>
      <c r="X1640" s="46"/>
    </row>
    <row r="1641" spans="1:24" x14ac:dyDescent="0.2">
      <c r="A1641" s="45"/>
      <c r="B1641" s="46"/>
      <c r="C1641" s="46"/>
      <c r="D1641" s="46"/>
      <c r="E1641" s="46"/>
      <c r="F1641" s="46"/>
      <c r="G1641" s="46"/>
      <c r="H1641" s="46"/>
      <c r="I1641" s="46"/>
      <c r="J1641" s="46"/>
      <c r="K1641" s="46"/>
      <c r="L1641" s="46"/>
      <c r="M1641" s="46"/>
      <c r="N1641" s="46"/>
      <c r="O1641" s="46"/>
      <c r="P1641" s="46"/>
      <c r="Q1641" s="46"/>
      <c r="R1641" s="46"/>
      <c r="S1641" s="46"/>
      <c r="T1641" s="46"/>
      <c r="U1641" s="46"/>
      <c r="V1641" s="46"/>
      <c r="W1641" s="46"/>
      <c r="X1641" s="46"/>
    </row>
    <row r="1642" spans="1:24" x14ac:dyDescent="0.2">
      <c r="A1642" s="45"/>
      <c r="B1642" s="46"/>
      <c r="C1642" s="46"/>
      <c r="D1642" s="46"/>
      <c r="E1642" s="46"/>
      <c r="F1642" s="46"/>
      <c r="G1642" s="46"/>
      <c r="H1642" s="46"/>
      <c r="I1642" s="46"/>
      <c r="J1642" s="46"/>
      <c r="K1642" s="46"/>
      <c r="L1642" s="46"/>
      <c r="M1642" s="46"/>
      <c r="N1642" s="46"/>
      <c r="O1642" s="46"/>
      <c r="P1642" s="46"/>
      <c r="Q1642" s="46"/>
      <c r="R1642" s="46"/>
      <c r="S1642" s="46"/>
      <c r="T1642" s="46"/>
      <c r="U1642" s="46"/>
      <c r="V1642" s="46"/>
      <c r="W1642" s="46"/>
      <c r="X1642" s="46"/>
    </row>
    <row r="1643" spans="1:24" x14ac:dyDescent="0.2">
      <c r="A1643" s="45"/>
      <c r="B1643" s="46"/>
      <c r="C1643" s="46"/>
      <c r="D1643" s="46"/>
      <c r="E1643" s="46"/>
      <c r="F1643" s="46"/>
      <c r="G1643" s="46"/>
      <c r="H1643" s="46"/>
      <c r="I1643" s="46"/>
      <c r="J1643" s="46"/>
      <c r="K1643" s="46"/>
      <c r="L1643" s="46"/>
      <c r="M1643" s="46"/>
      <c r="N1643" s="46"/>
      <c r="O1643" s="46"/>
      <c r="P1643" s="46"/>
      <c r="Q1643" s="46"/>
      <c r="R1643" s="46"/>
      <c r="S1643" s="46"/>
      <c r="T1643" s="46"/>
      <c r="U1643" s="46"/>
      <c r="V1643" s="46"/>
      <c r="W1643" s="46"/>
      <c r="X1643" s="46"/>
    </row>
    <row r="1644" spans="1:24" x14ac:dyDescent="0.2">
      <c r="A1644" s="45"/>
      <c r="B1644" s="46"/>
      <c r="C1644" s="46"/>
      <c r="D1644" s="46"/>
      <c r="E1644" s="46"/>
      <c r="F1644" s="46"/>
      <c r="G1644" s="46"/>
      <c r="H1644" s="46"/>
      <c r="I1644" s="46"/>
      <c r="J1644" s="46"/>
      <c r="K1644" s="46"/>
      <c r="L1644" s="46"/>
      <c r="M1644" s="46"/>
      <c r="N1644" s="46"/>
      <c r="O1644" s="46"/>
      <c r="P1644" s="46"/>
      <c r="Q1644" s="46"/>
      <c r="R1644" s="46"/>
      <c r="S1644" s="46"/>
      <c r="T1644" s="46"/>
      <c r="U1644" s="46"/>
      <c r="V1644" s="46"/>
      <c r="W1644" s="46"/>
      <c r="X1644" s="46"/>
    </row>
    <row r="1645" spans="1:24" x14ac:dyDescent="0.2">
      <c r="A1645" s="45"/>
      <c r="B1645" s="46"/>
      <c r="C1645" s="46"/>
      <c r="D1645" s="46"/>
      <c r="E1645" s="46"/>
      <c r="F1645" s="46"/>
      <c r="G1645" s="46"/>
      <c r="H1645" s="46"/>
      <c r="I1645" s="46"/>
      <c r="J1645" s="46"/>
      <c r="K1645" s="46"/>
      <c r="L1645" s="46"/>
      <c r="M1645" s="46"/>
      <c r="N1645" s="46"/>
      <c r="O1645" s="46"/>
      <c r="P1645" s="46"/>
      <c r="Q1645" s="46"/>
      <c r="R1645" s="46"/>
      <c r="S1645" s="46"/>
      <c r="T1645" s="46"/>
      <c r="U1645" s="46"/>
      <c r="V1645" s="46"/>
      <c r="W1645" s="46"/>
      <c r="X1645" s="46"/>
    </row>
    <row r="1646" spans="1:24" x14ac:dyDescent="0.2">
      <c r="A1646" s="45"/>
      <c r="B1646" s="46"/>
      <c r="C1646" s="46"/>
      <c r="D1646" s="46"/>
      <c r="E1646" s="46"/>
      <c r="F1646" s="46"/>
      <c r="G1646" s="46"/>
      <c r="H1646" s="46"/>
      <c r="I1646" s="46"/>
      <c r="J1646" s="46"/>
      <c r="K1646" s="46"/>
      <c r="L1646" s="46"/>
      <c r="M1646" s="46"/>
      <c r="N1646" s="46"/>
      <c r="O1646" s="46"/>
      <c r="P1646" s="46"/>
      <c r="Q1646" s="46"/>
      <c r="R1646" s="46"/>
      <c r="S1646" s="46"/>
      <c r="T1646" s="46"/>
      <c r="U1646" s="46"/>
      <c r="V1646" s="46"/>
      <c r="W1646" s="46"/>
      <c r="X1646" s="46"/>
    </row>
    <row r="1647" spans="1:24" x14ac:dyDescent="0.2">
      <c r="A1647" s="45"/>
      <c r="B1647" s="46"/>
      <c r="C1647" s="46"/>
      <c r="D1647" s="46"/>
      <c r="E1647" s="46"/>
      <c r="F1647" s="46"/>
      <c r="G1647" s="46"/>
      <c r="H1647" s="46"/>
      <c r="I1647" s="46"/>
      <c r="J1647" s="46"/>
      <c r="K1647" s="46"/>
      <c r="L1647" s="46"/>
      <c r="M1647" s="46"/>
      <c r="N1647" s="46"/>
      <c r="O1647" s="46"/>
      <c r="P1647" s="46"/>
      <c r="Q1647" s="46"/>
      <c r="R1647" s="46"/>
      <c r="S1647" s="46"/>
      <c r="T1647" s="46"/>
      <c r="U1647" s="46"/>
      <c r="V1647" s="46"/>
      <c r="W1647" s="46"/>
      <c r="X1647" s="46"/>
    </row>
    <row r="1648" spans="1:24" x14ac:dyDescent="0.2">
      <c r="A1648" s="45"/>
      <c r="B1648" s="46"/>
      <c r="C1648" s="46"/>
      <c r="D1648" s="46"/>
      <c r="E1648" s="46"/>
      <c r="F1648" s="46"/>
      <c r="G1648" s="46"/>
      <c r="H1648" s="46"/>
      <c r="I1648" s="46"/>
      <c r="J1648" s="46"/>
      <c r="K1648" s="46"/>
      <c r="L1648" s="46"/>
      <c r="M1648" s="46"/>
      <c r="N1648" s="46"/>
      <c r="O1648" s="46"/>
      <c r="P1648" s="46"/>
      <c r="Q1648" s="46"/>
      <c r="R1648" s="46"/>
      <c r="S1648" s="46"/>
      <c r="T1648" s="46"/>
      <c r="U1648" s="46"/>
      <c r="V1648" s="46"/>
      <c r="W1648" s="46"/>
      <c r="X1648" s="46"/>
    </row>
    <row r="1649" spans="1:24" x14ac:dyDescent="0.2">
      <c r="A1649" s="45"/>
      <c r="B1649" s="46"/>
      <c r="C1649" s="46"/>
      <c r="D1649" s="46"/>
      <c r="E1649" s="46"/>
      <c r="F1649" s="46"/>
      <c r="G1649" s="46"/>
      <c r="H1649" s="46"/>
      <c r="I1649" s="46"/>
      <c r="J1649" s="46"/>
      <c r="K1649" s="46"/>
      <c r="L1649" s="46"/>
      <c r="M1649" s="46"/>
      <c r="N1649" s="46"/>
      <c r="O1649" s="46"/>
      <c r="P1649" s="46"/>
      <c r="Q1649" s="46"/>
      <c r="R1649" s="46"/>
      <c r="S1649" s="46"/>
      <c r="T1649" s="46"/>
      <c r="U1649" s="46"/>
      <c r="V1649" s="46"/>
      <c r="W1649" s="46"/>
      <c r="X1649" s="46"/>
    </row>
    <row r="1650" spans="1:24" x14ac:dyDescent="0.2">
      <c r="A1650" s="45"/>
      <c r="B1650" s="46"/>
      <c r="C1650" s="46"/>
      <c r="D1650" s="46"/>
      <c r="E1650" s="46"/>
      <c r="F1650" s="46"/>
      <c r="G1650" s="46"/>
      <c r="H1650" s="46"/>
      <c r="I1650" s="46"/>
      <c r="J1650" s="46"/>
      <c r="K1650" s="46"/>
      <c r="L1650" s="46"/>
      <c r="M1650" s="46"/>
      <c r="N1650" s="46"/>
      <c r="O1650" s="46"/>
      <c r="P1650" s="46"/>
      <c r="Q1650" s="46"/>
      <c r="R1650" s="46"/>
      <c r="S1650" s="46"/>
      <c r="T1650" s="46"/>
      <c r="U1650" s="46"/>
      <c r="V1650" s="46"/>
      <c r="W1650" s="46"/>
      <c r="X1650" s="46"/>
    </row>
    <row r="1651" spans="1:24" x14ac:dyDescent="0.2">
      <c r="A1651" s="45"/>
      <c r="B1651" s="46"/>
      <c r="C1651" s="46"/>
      <c r="D1651" s="46"/>
      <c r="E1651" s="46"/>
      <c r="F1651" s="46"/>
      <c r="G1651" s="46"/>
      <c r="H1651" s="46"/>
      <c r="I1651" s="46"/>
      <c r="J1651" s="46"/>
      <c r="K1651" s="46"/>
      <c r="L1651" s="46"/>
      <c r="M1651" s="46"/>
      <c r="N1651" s="46"/>
      <c r="O1651" s="46"/>
      <c r="P1651" s="46"/>
      <c r="Q1651" s="46"/>
      <c r="R1651" s="46"/>
      <c r="S1651" s="46"/>
      <c r="T1651" s="46"/>
      <c r="U1651" s="46"/>
      <c r="V1651" s="46"/>
      <c r="W1651" s="46"/>
      <c r="X1651" s="46"/>
    </row>
    <row r="1652" spans="1:24" x14ac:dyDescent="0.2">
      <c r="A1652" s="45"/>
      <c r="B1652" s="46"/>
      <c r="C1652" s="46"/>
      <c r="D1652" s="46"/>
      <c r="E1652" s="46"/>
      <c r="F1652" s="46"/>
      <c r="G1652" s="46"/>
      <c r="H1652" s="46"/>
      <c r="I1652" s="46"/>
      <c r="J1652" s="46"/>
      <c r="K1652" s="46"/>
      <c r="L1652" s="46"/>
      <c r="M1652" s="46"/>
      <c r="N1652" s="46"/>
      <c r="O1652" s="46"/>
      <c r="P1652" s="46"/>
      <c r="Q1652" s="46"/>
      <c r="R1652" s="46"/>
      <c r="S1652" s="46"/>
      <c r="T1652" s="46"/>
      <c r="U1652" s="46"/>
      <c r="V1652" s="46"/>
      <c r="W1652" s="46"/>
      <c r="X1652" s="46"/>
    </row>
    <row r="1653" spans="1:24" x14ac:dyDescent="0.2">
      <c r="A1653" s="45"/>
      <c r="B1653" s="46"/>
      <c r="C1653" s="46"/>
      <c r="D1653" s="46"/>
      <c r="E1653" s="46"/>
      <c r="F1653" s="46"/>
      <c r="G1653" s="46"/>
      <c r="H1653" s="46"/>
      <c r="I1653" s="46"/>
      <c r="J1653" s="46"/>
      <c r="K1653" s="46"/>
      <c r="L1653" s="46"/>
      <c r="M1653" s="46"/>
      <c r="N1653" s="46"/>
      <c r="O1653" s="46"/>
      <c r="P1653" s="46"/>
      <c r="Q1653" s="46"/>
      <c r="R1653" s="46"/>
      <c r="S1653" s="46"/>
      <c r="T1653" s="46"/>
      <c r="U1653" s="46"/>
      <c r="V1653" s="46"/>
      <c r="W1653" s="46"/>
      <c r="X1653" s="46"/>
    </row>
    <row r="1654" spans="1:24" x14ac:dyDescent="0.2">
      <c r="A1654" s="45"/>
      <c r="B1654" s="46"/>
      <c r="C1654" s="46"/>
      <c r="D1654" s="46"/>
      <c r="E1654" s="46"/>
      <c r="F1654" s="46"/>
      <c r="G1654" s="46"/>
      <c r="H1654" s="46"/>
      <c r="I1654" s="46"/>
      <c r="J1654" s="46"/>
      <c r="K1654" s="46"/>
      <c r="L1654" s="46"/>
      <c r="M1654" s="46"/>
      <c r="N1654" s="46"/>
      <c r="O1654" s="46"/>
      <c r="P1654" s="46"/>
      <c r="Q1654" s="46"/>
      <c r="R1654" s="46"/>
      <c r="S1654" s="46"/>
      <c r="T1654" s="46"/>
      <c r="U1654" s="46"/>
      <c r="V1654" s="46"/>
      <c r="W1654" s="46"/>
      <c r="X1654" s="46"/>
    </row>
    <row r="1655" spans="1:24" x14ac:dyDescent="0.2">
      <c r="A1655" s="45"/>
      <c r="B1655" s="46"/>
      <c r="C1655" s="46"/>
      <c r="D1655" s="46"/>
      <c r="E1655" s="46"/>
      <c r="F1655" s="46"/>
      <c r="G1655" s="46"/>
      <c r="H1655" s="46"/>
      <c r="I1655" s="46"/>
      <c r="J1655" s="46"/>
      <c r="K1655" s="46"/>
      <c r="L1655" s="46"/>
      <c r="M1655" s="46"/>
      <c r="N1655" s="46"/>
      <c r="O1655" s="46"/>
      <c r="P1655" s="46"/>
      <c r="Q1655" s="46"/>
      <c r="R1655" s="46"/>
      <c r="S1655" s="46"/>
      <c r="T1655" s="46"/>
      <c r="U1655" s="46"/>
      <c r="V1655" s="46"/>
      <c r="W1655" s="46"/>
      <c r="X1655" s="46"/>
    </row>
    <row r="1656" spans="1:24" x14ac:dyDescent="0.2">
      <c r="A1656" s="45"/>
      <c r="B1656" s="46"/>
      <c r="C1656" s="46"/>
      <c r="D1656" s="46"/>
      <c r="E1656" s="46"/>
      <c r="F1656" s="46"/>
      <c r="G1656" s="46"/>
      <c r="H1656" s="46"/>
      <c r="I1656" s="46"/>
      <c r="J1656" s="46"/>
      <c r="K1656" s="46"/>
      <c r="L1656" s="46"/>
      <c r="M1656" s="46"/>
      <c r="N1656" s="46"/>
      <c r="O1656" s="46"/>
      <c r="P1656" s="46"/>
      <c r="Q1656" s="46"/>
      <c r="R1656" s="46"/>
      <c r="S1656" s="46"/>
      <c r="T1656" s="46"/>
      <c r="U1656" s="46"/>
      <c r="V1656" s="46"/>
      <c r="W1656" s="46"/>
      <c r="X1656" s="46"/>
    </row>
    <row r="1657" spans="1:24" x14ac:dyDescent="0.2">
      <c r="A1657" s="45"/>
      <c r="B1657" s="46"/>
      <c r="C1657" s="46"/>
      <c r="D1657" s="46"/>
      <c r="E1657" s="46"/>
      <c r="F1657" s="46"/>
      <c r="G1657" s="46"/>
      <c r="H1657" s="46"/>
      <c r="I1657" s="46"/>
      <c r="J1657" s="46"/>
      <c r="K1657" s="46"/>
      <c r="L1657" s="46"/>
      <c r="M1657" s="46"/>
      <c r="N1657" s="46"/>
      <c r="O1657" s="46"/>
      <c r="P1657" s="46"/>
      <c r="Q1657" s="46"/>
      <c r="R1657" s="46"/>
      <c r="S1657" s="46"/>
      <c r="T1657" s="46"/>
      <c r="U1657" s="46"/>
      <c r="V1657" s="46"/>
      <c r="W1657" s="46"/>
      <c r="X1657" s="46"/>
    </row>
    <row r="1658" spans="1:24" x14ac:dyDescent="0.2">
      <c r="A1658" s="45"/>
      <c r="B1658" s="46"/>
      <c r="C1658" s="46"/>
      <c r="D1658" s="46"/>
      <c r="E1658" s="46"/>
      <c r="F1658" s="46"/>
      <c r="G1658" s="46"/>
      <c r="H1658" s="46"/>
      <c r="I1658" s="46"/>
      <c r="J1658" s="46"/>
      <c r="K1658" s="46"/>
      <c r="L1658" s="46"/>
      <c r="M1658" s="46"/>
      <c r="N1658" s="46"/>
      <c r="O1658" s="46"/>
      <c r="P1658" s="46"/>
      <c r="Q1658" s="46"/>
      <c r="R1658" s="46"/>
      <c r="S1658" s="46"/>
      <c r="T1658" s="46"/>
      <c r="U1658" s="46"/>
      <c r="V1658" s="46"/>
      <c r="W1658" s="46"/>
      <c r="X1658" s="46"/>
    </row>
    <row r="1659" spans="1:24" x14ac:dyDescent="0.2">
      <c r="A1659" s="45"/>
      <c r="B1659" s="46"/>
      <c r="C1659" s="46"/>
      <c r="D1659" s="46"/>
      <c r="E1659" s="46"/>
      <c r="F1659" s="46"/>
      <c r="G1659" s="46"/>
      <c r="H1659" s="46"/>
      <c r="I1659" s="46"/>
      <c r="J1659" s="46"/>
      <c r="K1659" s="46"/>
      <c r="L1659" s="46"/>
      <c r="M1659" s="46"/>
      <c r="N1659" s="46"/>
      <c r="O1659" s="46"/>
      <c r="P1659" s="46"/>
      <c r="Q1659" s="46"/>
      <c r="R1659" s="46"/>
      <c r="S1659" s="46"/>
      <c r="T1659" s="46"/>
      <c r="U1659" s="46"/>
      <c r="V1659" s="46"/>
      <c r="W1659" s="46"/>
      <c r="X1659" s="46"/>
    </row>
    <row r="1660" spans="1:24" x14ac:dyDescent="0.2">
      <c r="A1660" s="45"/>
      <c r="B1660" s="46"/>
      <c r="C1660" s="46"/>
      <c r="D1660" s="46"/>
      <c r="E1660" s="46"/>
      <c r="F1660" s="46"/>
      <c r="G1660" s="46"/>
      <c r="H1660" s="46"/>
      <c r="I1660" s="46"/>
      <c r="J1660" s="46"/>
      <c r="K1660" s="46"/>
      <c r="L1660" s="46"/>
      <c r="M1660" s="46"/>
      <c r="N1660" s="46"/>
      <c r="O1660" s="46"/>
      <c r="P1660" s="46"/>
      <c r="Q1660" s="46"/>
      <c r="R1660" s="46"/>
      <c r="S1660" s="46"/>
      <c r="T1660" s="46"/>
      <c r="U1660" s="46"/>
      <c r="V1660" s="46"/>
      <c r="W1660" s="46"/>
      <c r="X1660" s="46"/>
    </row>
    <row r="1661" spans="1:24" x14ac:dyDescent="0.2">
      <c r="A1661" s="45"/>
      <c r="B1661" s="46"/>
      <c r="C1661" s="46"/>
      <c r="D1661" s="46"/>
      <c r="E1661" s="46"/>
      <c r="F1661" s="46"/>
      <c r="G1661" s="46"/>
      <c r="H1661" s="46"/>
      <c r="I1661" s="46"/>
      <c r="J1661" s="46"/>
      <c r="K1661" s="46"/>
      <c r="L1661" s="46"/>
      <c r="M1661" s="46"/>
      <c r="N1661" s="46"/>
      <c r="O1661" s="46"/>
      <c r="P1661" s="46"/>
      <c r="Q1661" s="46"/>
      <c r="R1661" s="46"/>
      <c r="S1661" s="46"/>
      <c r="T1661" s="46"/>
      <c r="U1661" s="46"/>
      <c r="V1661" s="46"/>
      <c r="W1661" s="46"/>
      <c r="X1661" s="46"/>
    </row>
    <row r="1662" spans="1:24" x14ac:dyDescent="0.2">
      <c r="A1662" s="45"/>
      <c r="B1662" s="46"/>
      <c r="C1662" s="46"/>
      <c r="D1662" s="46"/>
      <c r="E1662" s="46"/>
      <c r="F1662" s="46"/>
      <c r="G1662" s="46"/>
      <c r="H1662" s="46"/>
      <c r="I1662" s="46"/>
      <c r="J1662" s="46"/>
      <c r="K1662" s="46"/>
      <c r="L1662" s="46"/>
      <c r="M1662" s="46"/>
      <c r="N1662" s="46"/>
      <c r="O1662" s="46"/>
      <c r="P1662" s="46"/>
      <c r="Q1662" s="46"/>
      <c r="R1662" s="46"/>
      <c r="S1662" s="46"/>
      <c r="T1662" s="46"/>
      <c r="U1662" s="46"/>
      <c r="V1662" s="46"/>
      <c r="W1662" s="46"/>
      <c r="X1662" s="46"/>
    </row>
    <row r="1663" spans="1:24" x14ac:dyDescent="0.2">
      <c r="A1663" s="45"/>
      <c r="B1663" s="46"/>
      <c r="C1663" s="46"/>
      <c r="D1663" s="46"/>
      <c r="E1663" s="46"/>
      <c r="F1663" s="46"/>
      <c r="G1663" s="46"/>
      <c r="H1663" s="46"/>
      <c r="I1663" s="46"/>
      <c r="J1663" s="46"/>
      <c r="K1663" s="46"/>
      <c r="L1663" s="46"/>
      <c r="M1663" s="46"/>
      <c r="N1663" s="46"/>
      <c r="O1663" s="46"/>
      <c r="P1663" s="46"/>
      <c r="Q1663" s="46"/>
      <c r="R1663" s="46"/>
      <c r="S1663" s="46"/>
      <c r="T1663" s="46"/>
      <c r="U1663" s="46"/>
      <c r="V1663" s="46"/>
      <c r="W1663" s="46"/>
      <c r="X1663" s="46"/>
    </row>
    <row r="1664" spans="1:24" x14ac:dyDescent="0.2">
      <c r="A1664" s="45"/>
      <c r="B1664" s="46"/>
      <c r="C1664" s="46"/>
      <c r="D1664" s="46"/>
      <c r="E1664" s="46"/>
      <c r="F1664" s="46"/>
      <c r="G1664" s="46"/>
      <c r="H1664" s="46"/>
      <c r="I1664" s="46"/>
      <c r="J1664" s="46"/>
      <c r="K1664" s="46"/>
      <c r="L1664" s="46"/>
      <c r="M1664" s="46"/>
      <c r="N1664" s="46"/>
      <c r="O1664" s="46"/>
      <c r="P1664" s="46"/>
      <c r="Q1664" s="46"/>
      <c r="R1664" s="46"/>
      <c r="S1664" s="46"/>
      <c r="T1664" s="46"/>
      <c r="U1664" s="46"/>
      <c r="V1664" s="46"/>
      <c r="W1664" s="46"/>
      <c r="X1664" s="46"/>
    </row>
    <row r="1665" spans="1:24" x14ac:dyDescent="0.2">
      <c r="A1665" s="45"/>
      <c r="B1665" s="46"/>
      <c r="C1665" s="46"/>
      <c r="D1665" s="46"/>
      <c r="E1665" s="46"/>
      <c r="F1665" s="46"/>
      <c r="G1665" s="46"/>
      <c r="H1665" s="46"/>
      <c r="I1665" s="46"/>
      <c r="J1665" s="46"/>
      <c r="K1665" s="46"/>
      <c r="L1665" s="46"/>
      <c r="M1665" s="46"/>
      <c r="N1665" s="46"/>
      <c r="O1665" s="46"/>
      <c r="P1665" s="46"/>
      <c r="Q1665" s="46"/>
      <c r="R1665" s="46"/>
      <c r="S1665" s="46"/>
      <c r="T1665" s="46"/>
      <c r="U1665" s="46"/>
      <c r="V1665" s="46"/>
      <c r="W1665" s="46"/>
      <c r="X1665" s="46"/>
    </row>
    <row r="1666" spans="1:24" x14ac:dyDescent="0.2">
      <c r="A1666" s="45"/>
      <c r="B1666" s="46"/>
      <c r="C1666" s="46"/>
      <c r="D1666" s="46"/>
      <c r="E1666" s="46"/>
      <c r="F1666" s="46"/>
      <c r="G1666" s="46"/>
      <c r="H1666" s="46"/>
      <c r="I1666" s="46"/>
      <c r="J1666" s="46"/>
      <c r="K1666" s="46"/>
      <c r="L1666" s="46"/>
      <c r="M1666" s="46"/>
      <c r="N1666" s="46"/>
      <c r="O1666" s="46"/>
      <c r="P1666" s="46"/>
      <c r="Q1666" s="46"/>
      <c r="R1666" s="46"/>
      <c r="S1666" s="46"/>
      <c r="T1666" s="46"/>
      <c r="U1666" s="46"/>
      <c r="V1666" s="46"/>
      <c r="W1666" s="46"/>
      <c r="X1666" s="46"/>
    </row>
    <row r="1667" spans="1:24" x14ac:dyDescent="0.2">
      <c r="A1667" s="45"/>
      <c r="B1667" s="46"/>
      <c r="C1667" s="46"/>
      <c r="D1667" s="46"/>
      <c r="E1667" s="46"/>
      <c r="F1667" s="46"/>
      <c r="G1667" s="46"/>
      <c r="H1667" s="46"/>
      <c r="I1667" s="46"/>
      <c r="J1667" s="46"/>
      <c r="K1667" s="46"/>
      <c r="L1667" s="46"/>
      <c r="M1667" s="46"/>
      <c r="N1667" s="46"/>
      <c r="O1667" s="46"/>
      <c r="P1667" s="46"/>
      <c r="Q1667" s="46"/>
      <c r="R1667" s="46"/>
      <c r="S1667" s="46"/>
      <c r="T1667" s="46"/>
      <c r="U1667" s="46"/>
      <c r="V1667" s="46"/>
      <c r="W1667" s="46"/>
      <c r="X1667" s="46"/>
    </row>
    <row r="1668" spans="1:24" x14ac:dyDescent="0.2">
      <c r="A1668" s="45"/>
      <c r="B1668" s="46"/>
      <c r="C1668" s="46"/>
      <c r="D1668" s="46"/>
      <c r="E1668" s="46"/>
      <c r="F1668" s="46"/>
      <c r="G1668" s="46"/>
      <c r="H1668" s="46"/>
      <c r="I1668" s="46"/>
      <c r="J1668" s="46"/>
      <c r="K1668" s="46"/>
      <c r="L1668" s="46"/>
      <c r="M1668" s="46"/>
      <c r="N1668" s="46"/>
      <c r="O1668" s="46"/>
      <c r="P1668" s="46"/>
      <c r="Q1668" s="46"/>
      <c r="R1668" s="46"/>
      <c r="S1668" s="46"/>
      <c r="T1668" s="46"/>
      <c r="U1668" s="46"/>
      <c r="V1668" s="46"/>
      <c r="W1668" s="46"/>
      <c r="X1668" s="46"/>
    </row>
    <row r="1669" spans="1:24" x14ac:dyDescent="0.2">
      <c r="A1669" s="45"/>
      <c r="B1669" s="46"/>
      <c r="C1669" s="46"/>
      <c r="D1669" s="46"/>
      <c r="E1669" s="46"/>
      <c r="F1669" s="46"/>
      <c r="G1669" s="46"/>
      <c r="H1669" s="46"/>
      <c r="I1669" s="46"/>
      <c r="J1669" s="46"/>
      <c r="K1669" s="46"/>
      <c r="L1669" s="46"/>
      <c r="M1669" s="46"/>
      <c r="N1669" s="46"/>
      <c r="O1669" s="46"/>
      <c r="P1669" s="46"/>
      <c r="Q1669" s="46"/>
      <c r="R1669" s="46"/>
      <c r="S1669" s="46"/>
      <c r="T1669" s="46"/>
      <c r="U1669" s="46"/>
      <c r="V1669" s="46"/>
      <c r="W1669" s="46"/>
      <c r="X1669" s="46"/>
    </row>
    <row r="1670" spans="1:24" x14ac:dyDescent="0.2">
      <c r="A1670" s="45"/>
      <c r="B1670" s="46"/>
      <c r="C1670" s="46"/>
      <c r="D1670" s="46"/>
      <c r="E1670" s="46"/>
      <c r="F1670" s="46"/>
      <c r="G1670" s="46"/>
      <c r="H1670" s="46"/>
      <c r="I1670" s="46"/>
      <c r="J1670" s="46"/>
      <c r="K1670" s="46"/>
      <c r="L1670" s="46"/>
      <c r="M1670" s="46"/>
      <c r="N1670" s="46"/>
      <c r="O1670" s="46"/>
      <c r="P1670" s="46"/>
      <c r="Q1670" s="46"/>
      <c r="R1670" s="46"/>
      <c r="S1670" s="46"/>
      <c r="T1670" s="46"/>
      <c r="U1670" s="46"/>
      <c r="V1670" s="46"/>
      <c r="W1670" s="46"/>
      <c r="X1670" s="46"/>
    </row>
    <row r="1671" spans="1:24" x14ac:dyDescent="0.2">
      <c r="A1671" s="45"/>
      <c r="B1671" s="46"/>
      <c r="C1671" s="46"/>
      <c r="D1671" s="46"/>
      <c r="E1671" s="46"/>
      <c r="F1671" s="46"/>
      <c r="G1671" s="46"/>
      <c r="H1671" s="46"/>
      <c r="I1671" s="46"/>
      <c r="J1671" s="46"/>
      <c r="K1671" s="46"/>
      <c r="L1671" s="46"/>
      <c r="M1671" s="46"/>
      <c r="N1671" s="46"/>
      <c r="O1671" s="46"/>
      <c r="P1671" s="46"/>
      <c r="Q1671" s="46"/>
      <c r="R1671" s="46"/>
      <c r="S1671" s="46"/>
      <c r="T1671" s="46"/>
      <c r="U1671" s="46"/>
      <c r="V1671" s="46"/>
      <c r="W1671" s="46"/>
      <c r="X1671" s="46"/>
    </row>
    <row r="1672" spans="1:24" x14ac:dyDescent="0.2">
      <c r="A1672" s="45"/>
      <c r="B1672" s="46"/>
      <c r="C1672" s="46"/>
      <c r="D1672" s="46"/>
      <c r="E1672" s="46"/>
      <c r="F1672" s="46"/>
      <c r="G1672" s="46"/>
      <c r="H1672" s="46"/>
      <c r="I1672" s="46"/>
      <c r="J1672" s="46"/>
      <c r="K1672" s="46"/>
      <c r="L1672" s="46"/>
      <c r="M1672" s="46"/>
      <c r="N1672" s="46"/>
      <c r="O1672" s="46"/>
      <c r="P1672" s="46"/>
      <c r="Q1672" s="46"/>
      <c r="R1672" s="46"/>
      <c r="S1672" s="46"/>
      <c r="T1672" s="46"/>
      <c r="U1672" s="46"/>
      <c r="V1672" s="46"/>
      <c r="W1672" s="46"/>
      <c r="X1672" s="46"/>
    </row>
    <row r="1673" spans="1:24" x14ac:dyDescent="0.2">
      <c r="A1673" s="45"/>
      <c r="B1673" s="46"/>
      <c r="C1673" s="46"/>
      <c r="D1673" s="46"/>
      <c r="E1673" s="46"/>
      <c r="F1673" s="46"/>
      <c r="G1673" s="46"/>
      <c r="H1673" s="46"/>
      <c r="I1673" s="46"/>
      <c r="J1673" s="46"/>
      <c r="K1673" s="46"/>
      <c r="L1673" s="46"/>
      <c r="M1673" s="46"/>
      <c r="N1673" s="46"/>
      <c r="O1673" s="46"/>
      <c r="P1673" s="46"/>
      <c r="Q1673" s="46"/>
      <c r="R1673" s="46"/>
      <c r="S1673" s="46"/>
      <c r="T1673" s="46"/>
      <c r="U1673" s="46"/>
      <c r="V1673" s="46"/>
      <c r="W1673" s="46"/>
      <c r="X1673" s="46"/>
    </row>
    <row r="1674" spans="1:24" x14ac:dyDescent="0.2">
      <c r="A1674" s="45"/>
      <c r="B1674" s="46"/>
      <c r="C1674" s="46"/>
      <c r="D1674" s="46"/>
      <c r="E1674" s="46"/>
      <c r="F1674" s="46"/>
      <c r="G1674" s="46"/>
      <c r="H1674" s="46"/>
      <c r="I1674" s="46"/>
      <c r="J1674" s="46"/>
      <c r="K1674" s="46"/>
      <c r="L1674" s="46"/>
      <c r="M1674" s="46"/>
      <c r="N1674" s="46"/>
      <c r="O1674" s="46"/>
      <c r="P1674" s="46"/>
      <c r="Q1674" s="46"/>
      <c r="R1674" s="46"/>
      <c r="S1674" s="46"/>
      <c r="T1674" s="46"/>
      <c r="U1674" s="46"/>
      <c r="V1674" s="46"/>
      <c r="W1674" s="46"/>
      <c r="X1674" s="46"/>
    </row>
    <row r="1675" spans="1:24" x14ac:dyDescent="0.2">
      <c r="A1675" s="45"/>
      <c r="B1675" s="46"/>
      <c r="C1675" s="46"/>
      <c r="D1675" s="46"/>
      <c r="E1675" s="46"/>
      <c r="F1675" s="46"/>
      <c r="G1675" s="46"/>
      <c r="H1675" s="46"/>
      <c r="I1675" s="46"/>
      <c r="J1675" s="46"/>
      <c r="K1675" s="46"/>
      <c r="L1675" s="46"/>
      <c r="M1675" s="46"/>
      <c r="N1675" s="46"/>
      <c r="O1675" s="46"/>
      <c r="P1675" s="46"/>
      <c r="Q1675" s="46"/>
      <c r="R1675" s="46"/>
      <c r="S1675" s="46"/>
      <c r="T1675" s="46"/>
      <c r="U1675" s="46"/>
      <c r="V1675" s="46"/>
      <c r="W1675" s="46"/>
      <c r="X1675" s="46"/>
    </row>
    <row r="1676" spans="1:24" x14ac:dyDescent="0.2">
      <c r="A1676" s="45"/>
      <c r="B1676" s="46"/>
      <c r="C1676" s="46"/>
      <c r="D1676" s="46"/>
      <c r="E1676" s="46"/>
      <c r="F1676" s="46"/>
      <c r="G1676" s="46"/>
      <c r="H1676" s="46"/>
      <c r="I1676" s="46"/>
      <c r="J1676" s="46"/>
      <c r="K1676" s="46"/>
      <c r="L1676" s="46"/>
      <c r="M1676" s="46"/>
      <c r="N1676" s="46"/>
      <c r="O1676" s="46"/>
      <c r="P1676" s="46"/>
      <c r="Q1676" s="46"/>
      <c r="R1676" s="46"/>
      <c r="S1676" s="46"/>
      <c r="T1676" s="46"/>
      <c r="U1676" s="46"/>
      <c r="V1676" s="46"/>
      <c r="W1676" s="46"/>
      <c r="X1676" s="46"/>
    </row>
    <row r="1677" spans="1:24" x14ac:dyDescent="0.2">
      <c r="A1677" s="45"/>
      <c r="B1677" s="46"/>
      <c r="C1677" s="46"/>
      <c r="D1677" s="46"/>
      <c r="E1677" s="46"/>
      <c r="F1677" s="46"/>
      <c r="G1677" s="46"/>
      <c r="H1677" s="46"/>
      <c r="I1677" s="46"/>
      <c r="J1677" s="46"/>
      <c r="K1677" s="46"/>
      <c r="L1677" s="46"/>
      <c r="M1677" s="46"/>
      <c r="N1677" s="46"/>
      <c r="O1677" s="46"/>
      <c r="P1677" s="46"/>
      <c r="Q1677" s="46"/>
      <c r="R1677" s="46"/>
      <c r="S1677" s="46"/>
      <c r="T1677" s="46"/>
      <c r="U1677" s="46"/>
      <c r="V1677" s="46"/>
      <c r="W1677" s="46"/>
      <c r="X1677" s="46"/>
    </row>
    <row r="1678" spans="1:24" x14ac:dyDescent="0.2">
      <c r="A1678" s="45"/>
      <c r="B1678" s="46"/>
      <c r="C1678" s="46"/>
      <c r="D1678" s="46"/>
      <c r="E1678" s="46"/>
      <c r="F1678" s="46"/>
      <c r="G1678" s="46"/>
      <c r="H1678" s="46"/>
      <c r="I1678" s="46"/>
      <c r="J1678" s="46"/>
      <c r="K1678" s="46"/>
      <c r="L1678" s="46"/>
      <c r="M1678" s="46"/>
      <c r="N1678" s="46"/>
      <c r="O1678" s="46"/>
      <c r="P1678" s="46"/>
      <c r="Q1678" s="46"/>
      <c r="R1678" s="46"/>
      <c r="S1678" s="46"/>
      <c r="T1678" s="46"/>
      <c r="U1678" s="46"/>
      <c r="V1678" s="46"/>
      <c r="W1678" s="46"/>
      <c r="X1678" s="46"/>
    </row>
    <row r="1679" spans="1:24" x14ac:dyDescent="0.2">
      <c r="A1679" s="45"/>
      <c r="B1679" s="46"/>
      <c r="C1679" s="46"/>
      <c r="D1679" s="46"/>
      <c r="E1679" s="46"/>
      <c r="F1679" s="46"/>
      <c r="G1679" s="46"/>
      <c r="H1679" s="46"/>
      <c r="I1679" s="46"/>
      <c r="J1679" s="46"/>
      <c r="K1679" s="46"/>
      <c r="L1679" s="46"/>
      <c r="M1679" s="46"/>
      <c r="N1679" s="46"/>
      <c r="O1679" s="46"/>
      <c r="P1679" s="46"/>
      <c r="Q1679" s="46"/>
      <c r="R1679" s="46"/>
      <c r="S1679" s="46"/>
      <c r="T1679" s="46"/>
      <c r="U1679" s="46"/>
      <c r="V1679" s="46"/>
      <c r="W1679" s="46"/>
      <c r="X1679" s="46"/>
    </row>
    <row r="1680" spans="1:24" x14ac:dyDescent="0.2">
      <c r="A1680" s="45"/>
      <c r="B1680" s="46"/>
      <c r="C1680" s="46"/>
      <c r="D1680" s="46"/>
      <c r="E1680" s="46"/>
      <c r="F1680" s="46"/>
      <c r="G1680" s="46"/>
      <c r="H1680" s="46"/>
      <c r="I1680" s="46"/>
      <c r="J1680" s="46"/>
      <c r="K1680" s="46"/>
      <c r="L1680" s="46"/>
      <c r="M1680" s="46"/>
      <c r="N1680" s="46"/>
      <c r="O1680" s="46"/>
      <c r="P1680" s="46"/>
      <c r="Q1680" s="46"/>
      <c r="R1680" s="46"/>
      <c r="S1680" s="46"/>
      <c r="T1680" s="46"/>
      <c r="U1680" s="46"/>
      <c r="V1680" s="46"/>
      <c r="W1680" s="46"/>
      <c r="X1680" s="46"/>
    </row>
    <row r="1681" spans="1:24" x14ac:dyDescent="0.2">
      <c r="A1681" s="45"/>
      <c r="B1681" s="46"/>
      <c r="C1681" s="46"/>
      <c r="D1681" s="46"/>
      <c r="E1681" s="46"/>
      <c r="F1681" s="46"/>
      <c r="G1681" s="46"/>
      <c r="H1681" s="46"/>
      <c r="I1681" s="46"/>
      <c r="J1681" s="46"/>
      <c r="K1681" s="46"/>
      <c r="L1681" s="46"/>
      <c r="M1681" s="46"/>
      <c r="N1681" s="46"/>
      <c r="O1681" s="46"/>
      <c r="P1681" s="46"/>
      <c r="Q1681" s="46"/>
      <c r="R1681" s="46"/>
      <c r="S1681" s="46"/>
      <c r="T1681" s="46"/>
      <c r="U1681" s="46"/>
      <c r="V1681" s="46"/>
      <c r="W1681" s="46"/>
      <c r="X1681" s="46"/>
    </row>
    <row r="1682" spans="1:24" x14ac:dyDescent="0.2">
      <c r="A1682" s="45"/>
      <c r="B1682" s="46"/>
      <c r="C1682" s="46"/>
      <c r="D1682" s="46"/>
      <c r="E1682" s="46"/>
      <c r="F1682" s="46"/>
      <c r="G1682" s="46"/>
      <c r="H1682" s="46"/>
      <c r="I1682" s="46"/>
      <c r="J1682" s="46"/>
      <c r="K1682" s="46"/>
      <c r="L1682" s="46"/>
      <c r="M1682" s="46"/>
      <c r="N1682" s="46"/>
      <c r="O1682" s="46"/>
      <c r="P1682" s="46"/>
      <c r="Q1682" s="46"/>
      <c r="R1682" s="46"/>
      <c r="S1682" s="46"/>
      <c r="T1682" s="46"/>
      <c r="U1682" s="46"/>
      <c r="V1682" s="46"/>
      <c r="W1682" s="46"/>
      <c r="X1682" s="46"/>
    </row>
    <row r="1683" spans="1:24" x14ac:dyDescent="0.2">
      <c r="A1683" s="45"/>
      <c r="B1683" s="46"/>
      <c r="C1683" s="46"/>
      <c r="D1683" s="46"/>
      <c r="E1683" s="46"/>
      <c r="F1683" s="46"/>
      <c r="G1683" s="46"/>
      <c r="H1683" s="46"/>
      <c r="I1683" s="46"/>
      <c r="J1683" s="46"/>
      <c r="K1683" s="46"/>
      <c r="L1683" s="46"/>
      <c r="M1683" s="46"/>
      <c r="N1683" s="46"/>
      <c r="O1683" s="46"/>
      <c r="P1683" s="46"/>
      <c r="Q1683" s="46"/>
      <c r="R1683" s="46"/>
      <c r="S1683" s="46"/>
      <c r="T1683" s="46"/>
      <c r="U1683" s="46"/>
      <c r="V1683" s="46"/>
      <c r="W1683" s="46"/>
      <c r="X1683" s="46"/>
    </row>
    <row r="1684" spans="1:24" x14ac:dyDescent="0.2">
      <c r="A1684" s="45"/>
      <c r="B1684" s="46"/>
      <c r="C1684" s="46"/>
      <c r="D1684" s="46"/>
      <c r="E1684" s="46"/>
      <c r="F1684" s="46"/>
      <c r="G1684" s="46"/>
      <c r="H1684" s="46"/>
      <c r="I1684" s="46"/>
      <c r="J1684" s="46"/>
      <c r="K1684" s="46"/>
      <c r="L1684" s="46"/>
      <c r="M1684" s="46"/>
      <c r="N1684" s="46"/>
      <c r="O1684" s="46"/>
      <c r="P1684" s="46"/>
      <c r="Q1684" s="46"/>
      <c r="R1684" s="46"/>
      <c r="S1684" s="46"/>
      <c r="T1684" s="46"/>
      <c r="U1684" s="46"/>
      <c r="V1684" s="46"/>
      <c r="W1684" s="46"/>
      <c r="X1684" s="46"/>
    </row>
    <row r="1685" spans="1:24" x14ac:dyDescent="0.2">
      <c r="A1685" s="45"/>
      <c r="B1685" s="46"/>
      <c r="C1685" s="46"/>
      <c r="D1685" s="46"/>
      <c r="E1685" s="46"/>
      <c r="F1685" s="46"/>
      <c r="G1685" s="46"/>
      <c r="H1685" s="46"/>
      <c r="I1685" s="46"/>
      <c r="J1685" s="46"/>
      <c r="K1685" s="46"/>
      <c r="L1685" s="46"/>
      <c r="M1685" s="46"/>
      <c r="N1685" s="46"/>
      <c r="O1685" s="46"/>
      <c r="P1685" s="46"/>
      <c r="Q1685" s="46"/>
      <c r="R1685" s="46"/>
      <c r="S1685" s="46"/>
      <c r="T1685" s="46"/>
      <c r="U1685" s="46"/>
      <c r="V1685" s="46"/>
      <c r="W1685" s="46"/>
      <c r="X1685" s="46"/>
    </row>
    <row r="1686" spans="1:24" x14ac:dyDescent="0.2">
      <c r="A1686" s="45"/>
      <c r="B1686" s="46"/>
      <c r="C1686" s="46"/>
      <c r="D1686" s="46"/>
      <c r="E1686" s="46"/>
      <c r="F1686" s="46"/>
      <c r="G1686" s="46"/>
      <c r="H1686" s="46"/>
      <c r="I1686" s="46"/>
      <c r="J1686" s="46"/>
      <c r="K1686" s="46"/>
      <c r="L1686" s="46"/>
      <c r="M1686" s="46"/>
      <c r="N1686" s="46"/>
      <c r="O1686" s="46"/>
      <c r="P1686" s="46"/>
      <c r="Q1686" s="46"/>
      <c r="R1686" s="46"/>
      <c r="S1686" s="46"/>
      <c r="T1686" s="46"/>
      <c r="U1686" s="46"/>
      <c r="V1686" s="46"/>
      <c r="W1686" s="46"/>
      <c r="X1686" s="46"/>
    </row>
    <row r="1687" spans="1:24" x14ac:dyDescent="0.2">
      <c r="A1687" s="45"/>
      <c r="B1687" s="46"/>
      <c r="C1687" s="46"/>
      <c r="D1687" s="46"/>
      <c r="E1687" s="46"/>
      <c r="F1687" s="46"/>
      <c r="G1687" s="46"/>
      <c r="H1687" s="46"/>
      <c r="I1687" s="46"/>
      <c r="J1687" s="46"/>
      <c r="K1687" s="46"/>
      <c r="L1687" s="46"/>
      <c r="M1687" s="46"/>
      <c r="N1687" s="46"/>
      <c r="O1687" s="46"/>
      <c r="P1687" s="46"/>
      <c r="Q1687" s="46"/>
      <c r="R1687" s="46"/>
      <c r="S1687" s="46"/>
      <c r="T1687" s="46"/>
      <c r="U1687" s="46"/>
      <c r="V1687" s="46"/>
      <c r="W1687" s="46"/>
      <c r="X1687" s="46"/>
    </row>
    <row r="1688" spans="1:24" x14ac:dyDescent="0.2">
      <c r="A1688" s="45"/>
      <c r="B1688" s="46"/>
      <c r="C1688" s="46"/>
      <c r="D1688" s="46"/>
      <c r="E1688" s="46"/>
      <c r="F1688" s="46"/>
      <c r="G1688" s="46"/>
      <c r="H1688" s="46"/>
      <c r="I1688" s="46"/>
      <c r="J1688" s="46"/>
      <c r="K1688" s="46"/>
      <c r="L1688" s="46"/>
      <c r="M1688" s="46"/>
      <c r="N1688" s="46"/>
      <c r="O1688" s="46"/>
      <c r="P1688" s="46"/>
      <c r="Q1688" s="46"/>
      <c r="R1688" s="46"/>
      <c r="S1688" s="46"/>
      <c r="T1688" s="46"/>
      <c r="U1688" s="46"/>
      <c r="V1688" s="46"/>
      <c r="W1688" s="46"/>
      <c r="X1688" s="46"/>
    </row>
    <row r="1689" spans="1:24" x14ac:dyDescent="0.2">
      <c r="A1689" s="45"/>
      <c r="B1689" s="46"/>
      <c r="C1689" s="46"/>
      <c r="D1689" s="46"/>
      <c r="E1689" s="46"/>
      <c r="F1689" s="46"/>
      <c r="G1689" s="46"/>
      <c r="H1689" s="46"/>
      <c r="I1689" s="46"/>
      <c r="J1689" s="46"/>
      <c r="K1689" s="46"/>
      <c r="L1689" s="46"/>
      <c r="M1689" s="46"/>
      <c r="N1689" s="46"/>
      <c r="O1689" s="46"/>
      <c r="P1689" s="46"/>
      <c r="Q1689" s="46"/>
      <c r="R1689" s="46"/>
      <c r="S1689" s="46"/>
      <c r="T1689" s="46"/>
      <c r="U1689" s="46"/>
      <c r="V1689" s="46"/>
      <c r="W1689" s="46"/>
      <c r="X1689" s="46"/>
    </row>
    <row r="1690" spans="1:24" x14ac:dyDescent="0.2">
      <c r="A1690" s="45"/>
      <c r="B1690" s="46"/>
      <c r="C1690" s="46"/>
      <c r="D1690" s="46"/>
      <c r="E1690" s="46"/>
      <c r="F1690" s="46"/>
      <c r="G1690" s="46"/>
      <c r="H1690" s="46"/>
      <c r="I1690" s="46"/>
      <c r="J1690" s="46"/>
      <c r="K1690" s="46"/>
      <c r="L1690" s="46"/>
      <c r="M1690" s="46"/>
      <c r="N1690" s="46"/>
      <c r="O1690" s="46"/>
      <c r="P1690" s="46"/>
      <c r="Q1690" s="46"/>
      <c r="R1690" s="46"/>
      <c r="S1690" s="46"/>
      <c r="T1690" s="46"/>
      <c r="U1690" s="46"/>
      <c r="V1690" s="46"/>
      <c r="W1690" s="46"/>
      <c r="X1690" s="46"/>
    </row>
    <row r="1691" spans="1:24" x14ac:dyDescent="0.2">
      <c r="A1691" s="45"/>
      <c r="B1691" s="46"/>
      <c r="C1691" s="46"/>
      <c r="D1691" s="46"/>
      <c r="E1691" s="46"/>
      <c r="F1691" s="46"/>
      <c r="G1691" s="46"/>
      <c r="H1691" s="46"/>
      <c r="I1691" s="46"/>
      <c r="J1691" s="46"/>
      <c r="K1691" s="46"/>
      <c r="L1691" s="46"/>
      <c r="M1691" s="46"/>
      <c r="N1691" s="46"/>
      <c r="O1691" s="46"/>
      <c r="P1691" s="46"/>
      <c r="Q1691" s="46"/>
      <c r="R1691" s="46"/>
      <c r="S1691" s="46"/>
      <c r="T1691" s="46"/>
      <c r="U1691" s="46"/>
      <c r="V1691" s="46"/>
      <c r="W1691" s="46"/>
      <c r="X1691" s="46"/>
    </row>
    <row r="1692" spans="1:24" x14ac:dyDescent="0.2">
      <c r="A1692" s="45"/>
      <c r="B1692" s="46"/>
      <c r="C1692" s="46"/>
      <c r="D1692" s="46"/>
      <c r="E1692" s="46"/>
      <c r="F1692" s="46"/>
      <c r="G1692" s="46"/>
      <c r="H1692" s="46"/>
      <c r="I1692" s="46"/>
      <c r="J1692" s="46"/>
      <c r="K1692" s="46"/>
      <c r="L1692" s="46"/>
      <c r="M1692" s="46"/>
      <c r="N1692" s="46"/>
      <c r="O1692" s="46"/>
      <c r="P1692" s="46"/>
      <c r="Q1692" s="46"/>
      <c r="R1692" s="46"/>
      <c r="S1692" s="46"/>
      <c r="T1692" s="46"/>
      <c r="U1692" s="46"/>
      <c r="V1692" s="46"/>
      <c r="W1692" s="46"/>
      <c r="X1692" s="46"/>
    </row>
    <row r="1693" spans="1:24" x14ac:dyDescent="0.2">
      <c r="A1693" s="45"/>
      <c r="B1693" s="46"/>
      <c r="C1693" s="46"/>
      <c r="D1693" s="46"/>
      <c r="E1693" s="46"/>
      <c r="F1693" s="46"/>
      <c r="G1693" s="46"/>
      <c r="H1693" s="46"/>
      <c r="I1693" s="46"/>
      <c r="J1693" s="46"/>
      <c r="K1693" s="46"/>
      <c r="L1693" s="46"/>
      <c r="M1693" s="46"/>
      <c r="N1693" s="46"/>
      <c r="O1693" s="46"/>
      <c r="P1693" s="46"/>
      <c r="Q1693" s="46"/>
      <c r="R1693" s="46"/>
      <c r="S1693" s="46"/>
      <c r="T1693" s="46"/>
      <c r="U1693" s="46"/>
      <c r="V1693" s="46"/>
      <c r="W1693" s="46"/>
      <c r="X1693" s="46"/>
    </row>
    <row r="1694" spans="1:24" x14ac:dyDescent="0.2">
      <c r="A1694" s="45"/>
      <c r="B1694" s="46"/>
      <c r="C1694" s="46"/>
      <c r="D1694" s="46"/>
      <c r="E1694" s="46"/>
      <c r="F1694" s="46"/>
      <c r="G1694" s="46"/>
      <c r="H1694" s="46"/>
      <c r="I1694" s="46"/>
      <c r="J1694" s="46"/>
      <c r="K1694" s="46"/>
      <c r="L1694" s="46"/>
      <c r="M1694" s="46"/>
      <c r="N1694" s="46"/>
      <c r="O1694" s="46"/>
      <c r="P1694" s="46"/>
      <c r="Q1694" s="46"/>
      <c r="R1694" s="46"/>
      <c r="S1694" s="46"/>
      <c r="T1694" s="46"/>
      <c r="U1694" s="46"/>
      <c r="V1694" s="46"/>
      <c r="W1694" s="46"/>
      <c r="X1694" s="46"/>
    </row>
    <row r="1695" spans="1:24" x14ac:dyDescent="0.2">
      <c r="A1695" s="45"/>
      <c r="B1695" s="46"/>
      <c r="C1695" s="46"/>
      <c r="D1695" s="46"/>
      <c r="E1695" s="46"/>
      <c r="F1695" s="46"/>
      <c r="G1695" s="46"/>
      <c r="H1695" s="46"/>
      <c r="I1695" s="46"/>
      <c r="J1695" s="46"/>
      <c r="K1695" s="46"/>
      <c r="L1695" s="46"/>
      <c r="M1695" s="46"/>
      <c r="N1695" s="46"/>
      <c r="O1695" s="46"/>
      <c r="P1695" s="46"/>
      <c r="Q1695" s="46"/>
      <c r="R1695" s="46"/>
      <c r="S1695" s="46"/>
      <c r="T1695" s="46"/>
      <c r="U1695" s="46"/>
      <c r="V1695" s="46"/>
      <c r="W1695" s="46"/>
      <c r="X1695" s="46"/>
    </row>
    <row r="1696" spans="1:24" x14ac:dyDescent="0.2">
      <c r="A1696" s="45"/>
      <c r="B1696" s="46"/>
      <c r="C1696" s="46"/>
      <c r="D1696" s="46"/>
      <c r="E1696" s="46"/>
      <c r="F1696" s="46"/>
      <c r="G1696" s="46"/>
      <c r="H1696" s="46"/>
      <c r="I1696" s="46"/>
      <c r="J1696" s="46"/>
      <c r="K1696" s="46"/>
      <c r="L1696" s="46"/>
      <c r="M1696" s="46"/>
      <c r="N1696" s="46"/>
      <c r="O1696" s="46"/>
      <c r="P1696" s="46"/>
      <c r="Q1696" s="46"/>
      <c r="R1696" s="46"/>
      <c r="S1696" s="46"/>
      <c r="T1696" s="46"/>
      <c r="U1696" s="46"/>
      <c r="V1696" s="46"/>
      <c r="W1696" s="46"/>
      <c r="X1696" s="46"/>
    </row>
    <row r="1697" spans="1:24" x14ac:dyDescent="0.2">
      <c r="A1697" s="45"/>
      <c r="B1697" s="46"/>
      <c r="C1697" s="46"/>
      <c r="D1697" s="46"/>
      <c r="E1697" s="46"/>
      <c r="F1697" s="46"/>
      <c r="G1697" s="46"/>
      <c r="H1697" s="46"/>
      <c r="I1697" s="46"/>
      <c r="J1697" s="46"/>
      <c r="K1697" s="46"/>
      <c r="L1697" s="46"/>
      <c r="M1697" s="46"/>
      <c r="N1697" s="46"/>
      <c r="O1697" s="46"/>
      <c r="P1697" s="46"/>
      <c r="Q1697" s="46"/>
      <c r="R1697" s="46"/>
      <c r="S1697" s="46"/>
      <c r="T1697" s="46"/>
      <c r="U1697" s="46"/>
      <c r="V1697" s="46"/>
      <c r="W1697" s="46"/>
      <c r="X1697" s="46"/>
    </row>
    <row r="1698" spans="1:24" x14ac:dyDescent="0.2">
      <c r="A1698" s="45"/>
      <c r="B1698" s="46"/>
      <c r="C1698" s="46"/>
      <c r="D1698" s="46"/>
      <c r="E1698" s="46"/>
      <c r="F1698" s="46"/>
      <c r="G1698" s="46"/>
      <c r="H1698" s="46"/>
      <c r="I1698" s="46"/>
      <c r="J1698" s="46"/>
      <c r="K1698" s="46"/>
      <c r="L1698" s="46"/>
      <c r="M1698" s="46"/>
      <c r="N1698" s="46"/>
      <c r="O1698" s="46"/>
      <c r="P1698" s="46"/>
      <c r="Q1698" s="46"/>
      <c r="R1698" s="46"/>
      <c r="S1698" s="46"/>
      <c r="T1698" s="46"/>
      <c r="U1698" s="46"/>
      <c r="V1698" s="46"/>
      <c r="W1698" s="46"/>
      <c r="X1698" s="46"/>
    </row>
    <row r="1699" spans="1:24" x14ac:dyDescent="0.2">
      <c r="A1699" s="45"/>
      <c r="B1699" s="46"/>
      <c r="C1699" s="46"/>
      <c r="D1699" s="46"/>
      <c r="E1699" s="46"/>
      <c r="F1699" s="46"/>
      <c r="G1699" s="46"/>
      <c r="H1699" s="46"/>
      <c r="I1699" s="46"/>
      <c r="J1699" s="46"/>
      <c r="K1699" s="46"/>
      <c r="L1699" s="46"/>
      <c r="M1699" s="46"/>
      <c r="N1699" s="46"/>
      <c r="O1699" s="46"/>
      <c r="P1699" s="46"/>
      <c r="Q1699" s="46"/>
      <c r="R1699" s="46"/>
      <c r="S1699" s="46"/>
      <c r="T1699" s="46"/>
      <c r="U1699" s="46"/>
      <c r="V1699" s="46"/>
      <c r="W1699" s="46"/>
      <c r="X1699" s="46"/>
    </row>
    <row r="1700" spans="1:24" x14ac:dyDescent="0.2">
      <c r="A1700" s="45"/>
      <c r="B1700" s="46"/>
      <c r="C1700" s="46"/>
      <c r="D1700" s="46"/>
      <c r="E1700" s="46"/>
      <c r="F1700" s="46"/>
      <c r="G1700" s="46"/>
      <c r="H1700" s="46"/>
      <c r="I1700" s="46"/>
      <c r="J1700" s="46"/>
      <c r="K1700" s="46"/>
      <c r="L1700" s="46"/>
      <c r="M1700" s="46"/>
      <c r="N1700" s="46"/>
      <c r="O1700" s="46"/>
      <c r="P1700" s="46"/>
      <c r="Q1700" s="46"/>
      <c r="R1700" s="46"/>
      <c r="S1700" s="46"/>
      <c r="T1700" s="46"/>
      <c r="U1700" s="46"/>
      <c r="V1700" s="46"/>
      <c r="W1700" s="46"/>
      <c r="X1700" s="46"/>
    </row>
    <row r="1701" spans="1:24" x14ac:dyDescent="0.2">
      <c r="A1701" s="45"/>
      <c r="B1701" s="46"/>
      <c r="C1701" s="46"/>
      <c r="D1701" s="46"/>
      <c r="E1701" s="46"/>
      <c r="F1701" s="46"/>
      <c r="G1701" s="46"/>
      <c r="H1701" s="46"/>
      <c r="I1701" s="46"/>
      <c r="J1701" s="46"/>
      <c r="K1701" s="46"/>
      <c r="L1701" s="46"/>
      <c r="M1701" s="46"/>
      <c r="N1701" s="46"/>
      <c r="O1701" s="46"/>
      <c r="P1701" s="46"/>
      <c r="Q1701" s="46"/>
      <c r="R1701" s="46"/>
      <c r="S1701" s="46"/>
      <c r="T1701" s="46"/>
      <c r="U1701" s="46"/>
      <c r="V1701" s="46"/>
      <c r="W1701" s="46"/>
      <c r="X1701" s="46"/>
    </row>
    <row r="1702" spans="1:24" x14ac:dyDescent="0.2">
      <c r="A1702" s="45"/>
      <c r="B1702" s="46"/>
      <c r="C1702" s="46"/>
      <c r="D1702" s="46"/>
      <c r="E1702" s="46"/>
      <c r="F1702" s="46"/>
      <c r="G1702" s="46"/>
      <c r="H1702" s="46"/>
      <c r="I1702" s="46"/>
      <c r="J1702" s="46"/>
      <c r="K1702" s="46"/>
      <c r="L1702" s="46"/>
      <c r="M1702" s="46"/>
      <c r="N1702" s="46"/>
      <c r="O1702" s="46"/>
      <c r="P1702" s="46"/>
      <c r="Q1702" s="46"/>
      <c r="R1702" s="46"/>
      <c r="S1702" s="46"/>
      <c r="T1702" s="46"/>
      <c r="U1702" s="46"/>
      <c r="V1702" s="46"/>
      <c r="W1702" s="46"/>
      <c r="X1702" s="46"/>
    </row>
    <row r="1703" spans="1:24" x14ac:dyDescent="0.2">
      <c r="A1703" s="45"/>
      <c r="B1703" s="46"/>
      <c r="C1703" s="46"/>
      <c r="D1703" s="46"/>
      <c r="E1703" s="46"/>
      <c r="F1703" s="46"/>
      <c r="G1703" s="46"/>
      <c r="H1703" s="46"/>
      <c r="I1703" s="46"/>
      <c r="J1703" s="46"/>
      <c r="K1703" s="46"/>
      <c r="L1703" s="46"/>
      <c r="M1703" s="46"/>
      <c r="N1703" s="46"/>
      <c r="O1703" s="46"/>
      <c r="P1703" s="46"/>
      <c r="Q1703" s="46"/>
      <c r="R1703" s="46"/>
      <c r="S1703" s="46"/>
      <c r="T1703" s="46"/>
      <c r="U1703" s="46"/>
      <c r="V1703" s="46"/>
      <c r="W1703" s="46"/>
      <c r="X1703" s="46"/>
    </row>
    <row r="1704" spans="1:24" x14ac:dyDescent="0.2">
      <c r="A1704" s="45"/>
      <c r="B1704" s="46"/>
      <c r="C1704" s="46"/>
      <c r="D1704" s="46"/>
      <c r="E1704" s="46"/>
      <c r="F1704" s="46"/>
      <c r="G1704" s="46"/>
      <c r="H1704" s="46"/>
      <c r="I1704" s="46"/>
      <c r="J1704" s="46"/>
      <c r="K1704" s="46"/>
      <c r="L1704" s="46"/>
      <c r="M1704" s="46"/>
      <c r="N1704" s="46"/>
      <c r="O1704" s="46"/>
      <c r="P1704" s="46"/>
      <c r="Q1704" s="46"/>
      <c r="R1704" s="46"/>
      <c r="S1704" s="46"/>
      <c r="T1704" s="46"/>
      <c r="U1704" s="46"/>
      <c r="V1704" s="46"/>
      <c r="W1704" s="46"/>
      <c r="X1704" s="46"/>
    </row>
    <row r="1705" spans="1:24" x14ac:dyDescent="0.2">
      <c r="A1705" s="45"/>
      <c r="B1705" s="46"/>
      <c r="C1705" s="46"/>
      <c r="D1705" s="46"/>
      <c r="E1705" s="46"/>
      <c r="F1705" s="46"/>
      <c r="G1705" s="46"/>
      <c r="H1705" s="46"/>
      <c r="I1705" s="46"/>
      <c r="J1705" s="46"/>
      <c r="K1705" s="46"/>
      <c r="L1705" s="46"/>
      <c r="M1705" s="46"/>
      <c r="N1705" s="46"/>
      <c r="O1705" s="46"/>
      <c r="P1705" s="46"/>
      <c r="Q1705" s="46"/>
      <c r="R1705" s="46"/>
      <c r="S1705" s="46"/>
      <c r="T1705" s="46"/>
      <c r="U1705" s="46"/>
      <c r="V1705" s="46"/>
      <c r="W1705" s="46"/>
      <c r="X1705" s="46"/>
    </row>
    <row r="1706" spans="1:24" x14ac:dyDescent="0.2">
      <c r="A1706" s="45"/>
      <c r="B1706" s="46"/>
      <c r="C1706" s="46"/>
      <c r="D1706" s="46"/>
      <c r="E1706" s="46"/>
      <c r="F1706" s="46"/>
      <c r="G1706" s="46"/>
      <c r="H1706" s="46"/>
      <c r="I1706" s="46"/>
      <c r="J1706" s="46"/>
      <c r="K1706" s="46"/>
      <c r="L1706" s="46"/>
      <c r="M1706" s="46"/>
      <c r="N1706" s="46"/>
      <c r="O1706" s="46"/>
      <c r="P1706" s="46"/>
      <c r="Q1706" s="46"/>
      <c r="R1706" s="46"/>
      <c r="S1706" s="46"/>
      <c r="T1706" s="46"/>
      <c r="U1706" s="46"/>
      <c r="V1706" s="46"/>
      <c r="W1706" s="46"/>
      <c r="X1706" s="46"/>
    </row>
    <row r="1707" spans="1:24" x14ac:dyDescent="0.2">
      <c r="A1707" s="45"/>
      <c r="B1707" s="46"/>
      <c r="C1707" s="46"/>
      <c r="D1707" s="46"/>
      <c r="E1707" s="46"/>
      <c r="F1707" s="46"/>
      <c r="G1707" s="46"/>
      <c r="H1707" s="46"/>
      <c r="I1707" s="46"/>
      <c r="J1707" s="46"/>
      <c r="K1707" s="46"/>
      <c r="L1707" s="46"/>
      <c r="M1707" s="46"/>
      <c r="N1707" s="46"/>
      <c r="O1707" s="46"/>
      <c r="P1707" s="46"/>
      <c r="Q1707" s="46"/>
      <c r="R1707" s="46"/>
      <c r="S1707" s="46"/>
      <c r="T1707" s="46"/>
      <c r="U1707" s="46"/>
      <c r="V1707" s="46"/>
      <c r="W1707" s="46"/>
      <c r="X1707" s="46"/>
    </row>
    <row r="1708" spans="1:24" x14ac:dyDescent="0.2">
      <c r="A1708" s="45"/>
      <c r="B1708" s="46"/>
      <c r="C1708" s="46"/>
      <c r="D1708" s="46"/>
      <c r="E1708" s="46"/>
      <c r="F1708" s="46"/>
      <c r="G1708" s="46"/>
      <c r="H1708" s="46"/>
      <c r="I1708" s="46"/>
      <c r="J1708" s="46"/>
      <c r="K1708" s="46"/>
      <c r="L1708" s="46"/>
      <c r="M1708" s="46"/>
      <c r="N1708" s="46"/>
      <c r="O1708" s="46"/>
      <c r="P1708" s="46"/>
      <c r="Q1708" s="46"/>
      <c r="R1708" s="46"/>
      <c r="S1708" s="46"/>
      <c r="T1708" s="46"/>
      <c r="U1708" s="46"/>
      <c r="V1708" s="46"/>
      <c r="W1708" s="46"/>
      <c r="X1708" s="46"/>
    </row>
    <row r="1709" spans="1:24" x14ac:dyDescent="0.2">
      <c r="A1709" s="45"/>
      <c r="B1709" s="46"/>
      <c r="C1709" s="46"/>
      <c r="D1709" s="46"/>
      <c r="E1709" s="46"/>
      <c r="F1709" s="46"/>
      <c r="G1709" s="46"/>
      <c r="H1709" s="46"/>
      <c r="I1709" s="46"/>
      <c r="J1709" s="46"/>
      <c r="K1709" s="46"/>
      <c r="L1709" s="46"/>
      <c r="M1709" s="46"/>
      <c r="N1709" s="46"/>
      <c r="O1709" s="46"/>
      <c r="P1709" s="46"/>
      <c r="Q1709" s="46"/>
      <c r="R1709" s="46"/>
      <c r="S1709" s="46"/>
      <c r="T1709" s="46"/>
      <c r="U1709" s="46"/>
      <c r="V1709" s="46"/>
      <c r="W1709" s="46"/>
      <c r="X1709" s="46"/>
    </row>
    <row r="1710" spans="1:24" x14ac:dyDescent="0.2">
      <c r="A1710" s="45"/>
      <c r="B1710" s="46"/>
      <c r="C1710" s="46"/>
      <c r="D1710" s="46"/>
      <c r="E1710" s="46"/>
      <c r="F1710" s="46"/>
      <c r="G1710" s="46"/>
      <c r="H1710" s="46"/>
      <c r="I1710" s="46"/>
      <c r="J1710" s="46"/>
      <c r="K1710" s="46"/>
      <c r="L1710" s="46"/>
      <c r="M1710" s="46"/>
      <c r="N1710" s="46"/>
      <c r="O1710" s="46"/>
      <c r="P1710" s="46"/>
      <c r="Q1710" s="46"/>
      <c r="R1710" s="46"/>
      <c r="S1710" s="46"/>
      <c r="T1710" s="46"/>
      <c r="U1710" s="46"/>
      <c r="V1710" s="46"/>
      <c r="W1710" s="46"/>
      <c r="X1710" s="46"/>
    </row>
    <row r="1711" spans="1:24" x14ac:dyDescent="0.2">
      <c r="A1711" s="45"/>
      <c r="B1711" s="46"/>
      <c r="C1711" s="46"/>
      <c r="D1711" s="46"/>
      <c r="E1711" s="46"/>
      <c r="F1711" s="46"/>
      <c r="G1711" s="46"/>
      <c r="H1711" s="46"/>
      <c r="I1711" s="46"/>
      <c r="J1711" s="46"/>
      <c r="K1711" s="46"/>
      <c r="L1711" s="46"/>
      <c r="M1711" s="46"/>
      <c r="N1711" s="46"/>
      <c r="O1711" s="46"/>
      <c r="P1711" s="46"/>
      <c r="Q1711" s="46"/>
      <c r="R1711" s="46"/>
      <c r="S1711" s="46"/>
      <c r="T1711" s="46"/>
      <c r="U1711" s="46"/>
      <c r="V1711" s="46"/>
      <c r="W1711" s="46"/>
      <c r="X1711" s="46"/>
    </row>
    <row r="1712" spans="1:24" x14ac:dyDescent="0.2">
      <c r="A1712" s="45"/>
      <c r="B1712" s="46"/>
      <c r="C1712" s="46"/>
      <c r="D1712" s="46"/>
      <c r="E1712" s="46"/>
      <c r="F1712" s="46"/>
      <c r="G1712" s="46"/>
      <c r="H1712" s="46"/>
      <c r="I1712" s="46"/>
      <c r="J1712" s="46"/>
      <c r="K1712" s="46"/>
      <c r="L1712" s="46"/>
      <c r="M1712" s="46"/>
      <c r="N1712" s="46"/>
      <c r="O1712" s="46"/>
      <c r="P1712" s="46"/>
      <c r="Q1712" s="46"/>
      <c r="R1712" s="46"/>
      <c r="S1712" s="46"/>
      <c r="T1712" s="46"/>
      <c r="U1712" s="46"/>
      <c r="V1712" s="46"/>
      <c r="W1712" s="46"/>
      <c r="X1712" s="46"/>
    </row>
    <row r="1713" spans="1:24" x14ac:dyDescent="0.2">
      <c r="A1713" s="45"/>
      <c r="B1713" s="46"/>
      <c r="C1713" s="46"/>
      <c r="D1713" s="46"/>
      <c r="E1713" s="46"/>
      <c r="F1713" s="46"/>
      <c r="G1713" s="46"/>
      <c r="H1713" s="46"/>
      <c r="I1713" s="46"/>
      <c r="J1713" s="46"/>
      <c r="K1713" s="46"/>
      <c r="L1713" s="46"/>
      <c r="M1713" s="46"/>
      <c r="N1713" s="46"/>
      <c r="O1713" s="46"/>
      <c r="P1713" s="46"/>
      <c r="Q1713" s="46"/>
      <c r="R1713" s="46"/>
      <c r="S1713" s="46"/>
      <c r="T1713" s="46"/>
      <c r="U1713" s="46"/>
      <c r="V1713" s="46"/>
      <c r="W1713" s="46"/>
      <c r="X1713" s="46"/>
    </row>
    <row r="1714" spans="1:24" x14ac:dyDescent="0.2">
      <c r="A1714" s="45"/>
      <c r="B1714" s="46"/>
      <c r="C1714" s="46"/>
      <c r="D1714" s="46"/>
      <c r="E1714" s="46"/>
      <c r="F1714" s="46"/>
      <c r="G1714" s="46"/>
      <c r="H1714" s="46"/>
      <c r="I1714" s="46"/>
      <c r="J1714" s="46"/>
      <c r="K1714" s="46"/>
      <c r="L1714" s="46"/>
      <c r="M1714" s="46"/>
      <c r="N1714" s="46"/>
      <c r="O1714" s="46"/>
      <c r="P1714" s="46"/>
      <c r="Q1714" s="46"/>
      <c r="R1714" s="46"/>
      <c r="S1714" s="46"/>
      <c r="T1714" s="46"/>
      <c r="U1714" s="46"/>
      <c r="V1714" s="46"/>
      <c r="W1714" s="46"/>
      <c r="X1714" s="46"/>
    </row>
    <row r="1715" spans="1:24" x14ac:dyDescent="0.2">
      <c r="A1715" s="45"/>
      <c r="B1715" s="46"/>
      <c r="C1715" s="46"/>
      <c r="D1715" s="46"/>
      <c r="E1715" s="46"/>
      <c r="F1715" s="46"/>
      <c r="G1715" s="46"/>
      <c r="H1715" s="46"/>
      <c r="I1715" s="46"/>
      <c r="J1715" s="46"/>
      <c r="K1715" s="46"/>
      <c r="L1715" s="46"/>
      <c r="M1715" s="46"/>
      <c r="N1715" s="46"/>
      <c r="O1715" s="46"/>
      <c r="P1715" s="46"/>
      <c r="Q1715" s="46"/>
      <c r="R1715" s="46"/>
      <c r="S1715" s="46"/>
      <c r="T1715" s="46"/>
      <c r="U1715" s="46"/>
      <c r="V1715" s="46"/>
      <c r="W1715" s="46"/>
      <c r="X1715" s="46"/>
    </row>
    <row r="1716" spans="1:24" x14ac:dyDescent="0.2">
      <c r="A1716" s="45"/>
      <c r="B1716" s="46"/>
      <c r="C1716" s="46"/>
      <c r="D1716" s="46"/>
      <c r="E1716" s="46"/>
      <c r="F1716" s="46"/>
      <c r="G1716" s="46"/>
      <c r="H1716" s="46"/>
      <c r="I1716" s="46"/>
      <c r="J1716" s="46"/>
      <c r="K1716" s="46"/>
      <c r="L1716" s="46"/>
      <c r="M1716" s="46"/>
      <c r="N1716" s="46"/>
      <c r="O1716" s="46"/>
      <c r="P1716" s="46"/>
      <c r="Q1716" s="46"/>
      <c r="R1716" s="46"/>
      <c r="S1716" s="46"/>
      <c r="T1716" s="46"/>
      <c r="U1716" s="46"/>
      <c r="V1716" s="46"/>
      <c r="W1716" s="46"/>
      <c r="X1716" s="46"/>
    </row>
    <row r="1717" spans="1:24" x14ac:dyDescent="0.2">
      <c r="A1717" s="45"/>
      <c r="B1717" s="46"/>
      <c r="C1717" s="46"/>
      <c r="D1717" s="46"/>
      <c r="E1717" s="46"/>
      <c r="F1717" s="46"/>
      <c r="G1717" s="46"/>
      <c r="H1717" s="46"/>
      <c r="I1717" s="46"/>
      <c r="J1717" s="46"/>
      <c r="K1717" s="46"/>
      <c r="L1717" s="46"/>
      <c r="M1717" s="46"/>
      <c r="N1717" s="46"/>
      <c r="O1717" s="46"/>
      <c r="P1717" s="46"/>
      <c r="Q1717" s="46"/>
      <c r="R1717" s="46"/>
      <c r="S1717" s="46"/>
      <c r="T1717" s="46"/>
      <c r="U1717" s="46"/>
      <c r="V1717" s="46"/>
      <c r="W1717" s="46"/>
      <c r="X1717" s="46"/>
    </row>
    <row r="1718" spans="1:24" x14ac:dyDescent="0.2">
      <c r="A1718" s="45"/>
      <c r="B1718" s="46"/>
      <c r="C1718" s="46"/>
      <c r="D1718" s="46"/>
      <c r="E1718" s="46"/>
      <c r="F1718" s="46"/>
      <c r="G1718" s="46"/>
      <c r="H1718" s="46"/>
      <c r="I1718" s="46"/>
      <c r="J1718" s="46"/>
      <c r="K1718" s="46"/>
      <c r="L1718" s="46"/>
      <c r="M1718" s="46"/>
      <c r="N1718" s="46"/>
      <c r="O1718" s="46"/>
      <c r="P1718" s="46"/>
      <c r="Q1718" s="46"/>
      <c r="R1718" s="46"/>
      <c r="S1718" s="46"/>
      <c r="T1718" s="46"/>
      <c r="U1718" s="46"/>
      <c r="V1718" s="46"/>
      <c r="W1718" s="46"/>
      <c r="X1718" s="46"/>
    </row>
    <row r="1719" spans="1:24" x14ac:dyDescent="0.2">
      <c r="A1719" s="45"/>
      <c r="B1719" s="46"/>
      <c r="C1719" s="46"/>
      <c r="D1719" s="46"/>
      <c r="E1719" s="46"/>
      <c r="F1719" s="46"/>
      <c r="G1719" s="46"/>
      <c r="H1719" s="46"/>
      <c r="I1719" s="46"/>
      <c r="J1719" s="46"/>
      <c r="K1719" s="46"/>
      <c r="L1719" s="46"/>
      <c r="M1719" s="46"/>
      <c r="N1719" s="46"/>
      <c r="O1719" s="46"/>
      <c r="P1719" s="46"/>
      <c r="Q1719" s="46"/>
      <c r="R1719" s="46"/>
      <c r="S1719" s="46"/>
      <c r="T1719" s="46"/>
      <c r="U1719" s="46"/>
      <c r="V1719" s="46"/>
      <c r="W1719" s="46"/>
      <c r="X1719" s="46"/>
    </row>
    <row r="1720" spans="1:24" x14ac:dyDescent="0.2">
      <c r="A1720" s="45"/>
      <c r="B1720" s="46"/>
      <c r="C1720" s="46"/>
      <c r="D1720" s="46"/>
      <c r="E1720" s="46"/>
      <c r="F1720" s="46"/>
      <c r="G1720" s="46"/>
      <c r="H1720" s="46"/>
      <c r="I1720" s="46"/>
      <c r="J1720" s="46"/>
      <c r="K1720" s="46"/>
      <c r="L1720" s="46"/>
      <c r="M1720" s="46"/>
      <c r="N1720" s="46"/>
      <c r="O1720" s="46"/>
      <c r="P1720" s="46"/>
      <c r="Q1720" s="46"/>
      <c r="R1720" s="46"/>
      <c r="S1720" s="46"/>
      <c r="T1720" s="46"/>
      <c r="U1720" s="46"/>
      <c r="V1720" s="46"/>
      <c r="W1720" s="46"/>
      <c r="X1720" s="46"/>
    </row>
    <row r="1721" spans="1:24" x14ac:dyDescent="0.2">
      <c r="A1721" s="45"/>
      <c r="B1721" s="46"/>
      <c r="C1721" s="46"/>
      <c r="D1721" s="46"/>
      <c r="E1721" s="46"/>
      <c r="F1721" s="46"/>
      <c r="G1721" s="46"/>
      <c r="H1721" s="46"/>
      <c r="I1721" s="46"/>
      <c r="J1721" s="46"/>
      <c r="K1721" s="46"/>
      <c r="L1721" s="46"/>
      <c r="M1721" s="46"/>
      <c r="N1721" s="46"/>
      <c r="O1721" s="46"/>
      <c r="P1721" s="46"/>
      <c r="Q1721" s="46"/>
      <c r="R1721" s="46"/>
      <c r="S1721" s="46"/>
      <c r="T1721" s="46"/>
      <c r="U1721" s="46"/>
      <c r="V1721" s="46"/>
      <c r="W1721" s="46"/>
      <c r="X1721" s="46"/>
    </row>
    <row r="1722" spans="1:24" x14ac:dyDescent="0.2">
      <c r="A1722" s="45"/>
      <c r="B1722" s="46"/>
      <c r="C1722" s="46"/>
      <c r="D1722" s="46"/>
      <c r="E1722" s="46"/>
      <c r="F1722" s="46"/>
      <c r="G1722" s="46"/>
      <c r="H1722" s="46"/>
      <c r="I1722" s="46"/>
      <c r="J1722" s="46"/>
      <c r="K1722" s="46"/>
      <c r="L1722" s="46"/>
      <c r="M1722" s="46"/>
      <c r="N1722" s="46"/>
      <c r="O1722" s="46"/>
      <c r="P1722" s="46"/>
      <c r="Q1722" s="46"/>
      <c r="R1722" s="46"/>
      <c r="S1722" s="46"/>
      <c r="T1722" s="46"/>
      <c r="U1722" s="46"/>
      <c r="V1722" s="46"/>
      <c r="W1722" s="46"/>
      <c r="X1722" s="46"/>
    </row>
    <row r="1723" spans="1:24" x14ac:dyDescent="0.2">
      <c r="A1723" s="45"/>
      <c r="B1723" s="46"/>
      <c r="C1723" s="46"/>
      <c r="D1723" s="46"/>
      <c r="E1723" s="46"/>
      <c r="F1723" s="46"/>
      <c r="G1723" s="46"/>
      <c r="H1723" s="46"/>
      <c r="I1723" s="46"/>
      <c r="J1723" s="46"/>
      <c r="K1723" s="46"/>
      <c r="L1723" s="46"/>
      <c r="M1723" s="46"/>
      <c r="N1723" s="46"/>
      <c r="O1723" s="46"/>
      <c r="P1723" s="46"/>
      <c r="Q1723" s="46"/>
      <c r="R1723" s="46"/>
      <c r="S1723" s="46"/>
      <c r="T1723" s="46"/>
      <c r="U1723" s="46"/>
      <c r="V1723" s="46"/>
      <c r="W1723" s="46"/>
      <c r="X1723" s="46"/>
    </row>
    <row r="1724" spans="1:24" x14ac:dyDescent="0.2">
      <c r="A1724" s="45"/>
      <c r="B1724" s="46"/>
      <c r="C1724" s="46"/>
      <c r="D1724" s="46"/>
      <c r="E1724" s="46"/>
      <c r="F1724" s="46"/>
      <c r="G1724" s="46"/>
      <c r="H1724" s="46"/>
      <c r="I1724" s="46"/>
      <c r="J1724" s="46"/>
      <c r="K1724" s="46"/>
      <c r="L1724" s="46"/>
      <c r="M1724" s="46"/>
      <c r="N1724" s="46"/>
      <c r="O1724" s="46"/>
      <c r="P1724" s="46"/>
      <c r="Q1724" s="46"/>
      <c r="R1724" s="46"/>
      <c r="S1724" s="46"/>
      <c r="T1724" s="46"/>
      <c r="U1724" s="46"/>
      <c r="V1724" s="46"/>
      <c r="W1724" s="46"/>
      <c r="X1724" s="46"/>
    </row>
    <row r="1725" spans="1:24" x14ac:dyDescent="0.2">
      <c r="A1725" s="45"/>
      <c r="B1725" s="46"/>
      <c r="C1725" s="46"/>
      <c r="D1725" s="46"/>
      <c r="E1725" s="46"/>
      <c r="F1725" s="46"/>
      <c r="G1725" s="46"/>
      <c r="H1725" s="46"/>
      <c r="I1725" s="46"/>
      <c r="J1725" s="46"/>
      <c r="K1725" s="46"/>
      <c r="L1725" s="46"/>
      <c r="M1725" s="46"/>
      <c r="N1725" s="46"/>
      <c r="O1725" s="46"/>
      <c r="P1725" s="46"/>
      <c r="Q1725" s="46"/>
      <c r="R1725" s="46"/>
      <c r="S1725" s="46"/>
      <c r="T1725" s="46"/>
      <c r="U1725" s="46"/>
      <c r="V1725" s="46"/>
      <c r="W1725" s="46"/>
      <c r="X1725" s="46"/>
    </row>
    <row r="1726" spans="1:24" x14ac:dyDescent="0.2">
      <c r="A1726" s="45"/>
      <c r="B1726" s="46"/>
      <c r="C1726" s="46"/>
      <c r="D1726" s="46"/>
      <c r="E1726" s="46"/>
      <c r="F1726" s="46"/>
      <c r="G1726" s="46"/>
      <c r="H1726" s="46"/>
      <c r="I1726" s="46"/>
      <c r="J1726" s="46"/>
      <c r="K1726" s="46"/>
      <c r="L1726" s="46"/>
      <c r="M1726" s="46"/>
      <c r="N1726" s="46"/>
      <c r="O1726" s="46"/>
      <c r="P1726" s="46"/>
      <c r="Q1726" s="46"/>
      <c r="R1726" s="46"/>
      <c r="S1726" s="46"/>
      <c r="T1726" s="46"/>
      <c r="U1726" s="46"/>
      <c r="V1726" s="46"/>
      <c r="W1726" s="46"/>
      <c r="X1726" s="46"/>
    </row>
    <row r="1727" spans="1:24" x14ac:dyDescent="0.2">
      <c r="A1727" s="45"/>
      <c r="B1727" s="46"/>
      <c r="C1727" s="46"/>
      <c r="D1727" s="46"/>
      <c r="E1727" s="46"/>
      <c r="F1727" s="46"/>
      <c r="G1727" s="46"/>
      <c r="H1727" s="46"/>
      <c r="I1727" s="46"/>
      <c r="J1727" s="46"/>
      <c r="K1727" s="46"/>
      <c r="L1727" s="46"/>
      <c r="M1727" s="46"/>
      <c r="N1727" s="46"/>
      <c r="O1727" s="46"/>
      <c r="P1727" s="46"/>
      <c r="Q1727" s="46"/>
      <c r="R1727" s="46"/>
      <c r="S1727" s="46"/>
      <c r="T1727" s="46"/>
      <c r="U1727" s="46"/>
      <c r="V1727" s="46"/>
      <c r="W1727" s="46"/>
      <c r="X1727" s="46"/>
    </row>
    <row r="1728" spans="1:24" x14ac:dyDescent="0.2">
      <c r="A1728" s="45"/>
      <c r="B1728" s="46"/>
      <c r="C1728" s="46"/>
      <c r="D1728" s="46"/>
      <c r="E1728" s="46"/>
      <c r="F1728" s="46"/>
      <c r="G1728" s="46"/>
      <c r="H1728" s="46"/>
      <c r="I1728" s="46"/>
      <c r="J1728" s="46"/>
      <c r="K1728" s="46"/>
      <c r="L1728" s="46"/>
      <c r="M1728" s="46"/>
      <c r="N1728" s="46"/>
      <c r="O1728" s="46"/>
      <c r="P1728" s="46"/>
      <c r="Q1728" s="46"/>
      <c r="R1728" s="46"/>
      <c r="S1728" s="46"/>
      <c r="T1728" s="46"/>
      <c r="U1728" s="46"/>
      <c r="V1728" s="46"/>
      <c r="W1728" s="46"/>
      <c r="X1728" s="46"/>
    </row>
    <row r="1729" spans="1:24" x14ac:dyDescent="0.2">
      <c r="A1729" s="45"/>
      <c r="B1729" s="46"/>
      <c r="C1729" s="46"/>
      <c r="D1729" s="46"/>
      <c r="E1729" s="46"/>
      <c r="F1729" s="46"/>
      <c r="G1729" s="46"/>
      <c r="H1729" s="46"/>
      <c r="I1729" s="46"/>
      <c r="J1729" s="46"/>
      <c r="K1729" s="46"/>
      <c r="L1729" s="46"/>
      <c r="M1729" s="46"/>
      <c r="N1729" s="46"/>
      <c r="O1729" s="46"/>
      <c r="P1729" s="46"/>
      <c r="Q1729" s="46"/>
      <c r="R1729" s="46"/>
      <c r="S1729" s="46"/>
      <c r="T1729" s="46"/>
      <c r="U1729" s="46"/>
      <c r="V1729" s="46"/>
      <c r="W1729" s="46"/>
      <c r="X1729" s="46"/>
    </row>
    <row r="1730" spans="1:24" x14ac:dyDescent="0.2">
      <c r="A1730" s="45"/>
      <c r="B1730" s="46"/>
      <c r="C1730" s="46"/>
      <c r="D1730" s="46"/>
      <c r="E1730" s="46"/>
      <c r="F1730" s="46"/>
      <c r="G1730" s="46"/>
      <c r="H1730" s="46"/>
      <c r="I1730" s="46"/>
      <c r="J1730" s="46"/>
      <c r="K1730" s="46"/>
      <c r="L1730" s="46"/>
      <c r="M1730" s="46"/>
      <c r="N1730" s="46"/>
      <c r="O1730" s="46"/>
      <c r="P1730" s="46"/>
      <c r="Q1730" s="46"/>
      <c r="R1730" s="46"/>
      <c r="S1730" s="46"/>
      <c r="T1730" s="46"/>
      <c r="U1730" s="46"/>
      <c r="V1730" s="46"/>
      <c r="W1730" s="46"/>
      <c r="X1730" s="46"/>
    </row>
    <row r="1731" spans="1:24" x14ac:dyDescent="0.2">
      <c r="A1731" s="45"/>
      <c r="B1731" s="46"/>
      <c r="C1731" s="46"/>
      <c r="D1731" s="46"/>
      <c r="E1731" s="46"/>
      <c r="F1731" s="46"/>
      <c r="G1731" s="46"/>
      <c r="H1731" s="46"/>
      <c r="I1731" s="46"/>
      <c r="J1731" s="46"/>
      <c r="K1731" s="46"/>
      <c r="L1731" s="46"/>
      <c r="M1731" s="46"/>
      <c r="N1731" s="46"/>
      <c r="O1731" s="46"/>
      <c r="P1731" s="46"/>
      <c r="Q1731" s="46"/>
      <c r="R1731" s="46"/>
      <c r="S1731" s="46"/>
      <c r="T1731" s="46"/>
      <c r="U1731" s="46"/>
      <c r="V1731" s="46"/>
      <c r="W1731" s="46"/>
      <c r="X1731" s="46"/>
    </row>
    <row r="1732" spans="1:24" x14ac:dyDescent="0.2">
      <c r="A1732" s="45"/>
      <c r="B1732" s="46"/>
      <c r="C1732" s="46"/>
      <c r="D1732" s="46"/>
      <c r="E1732" s="46"/>
      <c r="F1732" s="46"/>
      <c r="G1732" s="46"/>
      <c r="H1732" s="46"/>
      <c r="I1732" s="46"/>
      <c r="J1732" s="46"/>
      <c r="K1732" s="46"/>
      <c r="L1732" s="46"/>
      <c r="M1732" s="46"/>
      <c r="N1732" s="46"/>
      <c r="O1732" s="46"/>
      <c r="P1732" s="46"/>
      <c r="Q1732" s="46"/>
      <c r="R1732" s="46"/>
      <c r="S1732" s="46"/>
      <c r="T1732" s="46"/>
      <c r="U1732" s="46"/>
      <c r="V1732" s="46"/>
      <c r="W1732" s="46"/>
      <c r="X1732" s="46"/>
    </row>
    <row r="1733" spans="1:24" x14ac:dyDescent="0.2">
      <c r="A1733" s="45"/>
      <c r="B1733" s="46"/>
      <c r="C1733" s="46"/>
      <c r="D1733" s="46"/>
      <c r="E1733" s="46"/>
      <c r="F1733" s="46"/>
      <c r="G1733" s="46"/>
      <c r="H1733" s="46"/>
      <c r="I1733" s="46"/>
      <c r="J1733" s="46"/>
      <c r="K1733" s="46"/>
      <c r="L1733" s="46"/>
      <c r="M1733" s="46"/>
      <c r="N1733" s="46"/>
      <c r="O1733" s="46"/>
      <c r="P1733" s="46"/>
      <c r="Q1733" s="46"/>
      <c r="R1733" s="46"/>
      <c r="S1733" s="46"/>
      <c r="T1733" s="46"/>
      <c r="U1733" s="46"/>
      <c r="V1733" s="46"/>
      <c r="W1733" s="46"/>
      <c r="X1733" s="46"/>
    </row>
    <row r="1734" spans="1:24" x14ac:dyDescent="0.2">
      <c r="A1734" s="45"/>
      <c r="B1734" s="46"/>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46"/>
    </row>
    <row r="1735" spans="1:24" x14ac:dyDescent="0.2">
      <c r="A1735" s="45"/>
      <c r="B1735" s="46"/>
      <c r="C1735" s="46"/>
      <c r="D1735" s="46"/>
      <c r="E1735" s="46"/>
      <c r="F1735" s="46"/>
      <c r="G1735" s="46"/>
      <c r="H1735" s="46"/>
      <c r="I1735" s="46"/>
      <c r="J1735" s="46"/>
      <c r="K1735" s="46"/>
      <c r="L1735" s="46"/>
      <c r="M1735" s="46"/>
      <c r="N1735" s="46"/>
      <c r="O1735" s="46"/>
      <c r="P1735" s="46"/>
      <c r="Q1735" s="46"/>
      <c r="R1735" s="46"/>
      <c r="S1735" s="46"/>
      <c r="T1735" s="46"/>
      <c r="U1735" s="46"/>
      <c r="V1735" s="46"/>
      <c r="W1735" s="46"/>
      <c r="X1735" s="46"/>
    </row>
    <row r="1736" spans="1:24" x14ac:dyDescent="0.2">
      <c r="A1736" s="45"/>
      <c r="B1736" s="46"/>
      <c r="C1736" s="46"/>
      <c r="D1736" s="46"/>
      <c r="E1736" s="46"/>
      <c r="F1736" s="46"/>
      <c r="G1736" s="46"/>
      <c r="H1736" s="46"/>
      <c r="I1736" s="46"/>
      <c r="J1736" s="46"/>
      <c r="K1736" s="46"/>
      <c r="L1736" s="46"/>
      <c r="M1736" s="46"/>
      <c r="N1736" s="46"/>
      <c r="O1736" s="46"/>
      <c r="P1736" s="46"/>
      <c r="Q1736" s="46"/>
      <c r="R1736" s="46"/>
      <c r="S1736" s="46"/>
      <c r="T1736" s="46"/>
      <c r="U1736" s="46"/>
      <c r="V1736" s="46"/>
      <c r="W1736" s="46"/>
      <c r="X1736" s="46"/>
    </row>
    <row r="1737" spans="1:24" x14ac:dyDescent="0.2">
      <c r="A1737" s="45"/>
      <c r="B1737" s="46"/>
      <c r="C1737" s="46"/>
      <c r="D1737" s="46"/>
      <c r="E1737" s="46"/>
      <c r="F1737" s="46"/>
      <c r="G1737" s="46"/>
      <c r="H1737" s="46"/>
      <c r="I1737" s="46"/>
      <c r="J1737" s="46"/>
      <c r="K1737" s="46"/>
      <c r="L1737" s="46"/>
      <c r="M1737" s="46"/>
      <c r="N1737" s="46"/>
      <c r="O1737" s="46"/>
      <c r="P1737" s="46"/>
      <c r="Q1737" s="46"/>
      <c r="R1737" s="46"/>
      <c r="S1737" s="46"/>
      <c r="T1737" s="46"/>
      <c r="U1737" s="46"/>
      <c r="V1737" s="46"/>
      <c r="W1737" s="46"/>
      <c r="X1737" s="46"/>
    </row>
    <row r="1738" spans="1:24" x14ac:dyDescent="0.2">
      <c r="A1738" s="45"/>
      <c r="B1738" s="46"/>
      <c r="C1738" s="46"/>
      <c r="D1738" s="46"/>
      <c r="E1738" s="46"/>
      <c r="F1738" s="46"/>
      <c r="G1738" s="46"/>
      <c r="H1738" s="46"/>
      <c r="I1738" s="46"/>
      <c r="J1738" s="46"/>
      <c r="K1738" s="46"/>
      <c r="L1738" s="46"/>
      <c r="M1738" s="46"/>
      <c r="N1738" s="46"/>
      <c r="O1738" s="46"/>
      <c r="P1738" s="46"/>
      <c r="Q1738" s="46"/>
      <c r="R1738" s="46"/>
      <c r="S1738" s="46"/>
      <c r="T1738" s="46"/>
      <c r="U1738" s="46"/>
      <c r="V1738" s="46"/>
      <c r="W1738" s="46"/>
      <c r="X1738" s="46"/>
    </row>
    <row r="1739" spans="1:24" x14ac:dyDescent="0.2">
      <c r="A1739" s="45"/>
      <c r="B1739" s="46"/>
      <c r="C1739" s="46"/>
      <c r="D1739" s="46"/>
      <c r="E1739" s="46"/>
      <c r="F1739" s="46"/>
      <c r="G1739" s="46"/>
      <c r="H1739" s="46"/>
      <c r="I1739" s="46"/>
      <c r="J1739" s="46"/>
      <c r="K1739" s="46"/>
      <c r="L1739" s="46"/>
      <c r="M1739" s="46"/>
      <c r="N1739" s="46"/>
      <c r="O1739" s="46"/>
      <c r="P1739" s="46"/>
      <c r="Q1739" s="46"/>
      <c r="R1739" s="46"/>
      <c r="S1739" s="46"/>
      <c r="T1739" s="46"/>
      <c r="U1739" s="46"/>
      <c r="V1739" s="46"/>
      <c r="W1739" s="46"/>
      <c r="X1739" s="46"/>
    </row>
    <row r="1740" spans="1:24" x14ac:dyDescent="0.2">
      <c r="A1740" s="45"/>
      <c r="B1740" s="46"/>
      <c r="C1740" s="46"/>
      <c r="D1740" s="46"/>
      <c r="E1740" s="46"/>
      <c r="F1740" s="46"/>
      <c r="G1740" s="46"/>
      <c r="H1740" s="46"/>
      <c r="I1740" s="46"/>
      <c r="J1740" s="46"/>
      <c r="K1740" s="46"/>
      <c r="L1740" s="46"/>
      <c r="M1740" s="46"/>
      <c r="N1740" s="46"/>
      <c r="O1740" s="46"/>
      <c r="P1740" s="46"/>
      <c r="Q1740" s="46"/>
      <c r="R1740" s="46"/>
      <c r="S1740" s="46"/>
      <c r="T1740" s="46"/>
      <c r="U1740" s="46"/>
      <c r="V1740" s="46"/>
      <c r="W1740" s="46"/>
      <c r="X1740" s="46"/>
    </row>
    <row r="1741" spans="1:24" x14ac:dyDescent="0.2">
      <c r="A1741" s="45"/>
      <c r="B1741" s="46"/>
      <c r="C1741" s="46"/>
      <c r="D1741" s="46"/>
      <c r="E1741" s="46"/>
      <c r="F1741" s="46"/>
      <c r="G1741" s="46"/>
      <c r="H1741" s="46"/>
      <c r="I1741" s="46"/>
      <c r="J1741" s="46"/>
      <c r="K1741" s="46"/>
      <c r="L1741" s="46"/>
      <c r="M1741" s="46"/>
      <c r="N1741" s="46"/>
      <c r="O1741" s="46"/>
      <c r="P1741" s="46"/>
      <c r="Q1741" s="46"/>
      <c r="R1741" s="46"/>
      <c r="S1741" s="46"/>
      <c r="T1741" s="46"/>
      <c r="U1741" s="46"/>
      <c r="V1741" s="46"/>
      <c r="W1741" s="46"/>
      <c r="X1741" s="46"/>
    </row>
    <row r="1742" spans="1:24" x14ac:dyDescent="0.2">
      <c r="A1742" s="45"/>
      <c r="B1742" s="46"/>
      <c r="C1742" s="46"/>
      <c r="D1742" s="46"/>
      <c r="E1742" s="46"/>
      <c r="F1742" s="46"/>
      <c r="G1742" s="46"/>
      <c r="H1742" s="46"/>
      <c r="I1742" s="46"/>
      <c r="J1742" s="46"/>
      <c r="K1742" s="46"/>
      <c r="L1742" s="46"/>
      <c r="M1742" s="46"/>
      <c r="N1742" s="46"/>
      <c r="O1742" s="46"/>
      <c r="P1742" s="46"/>
      <c r="Q1742" s="46"/>
      <c r="R1742" s="46"/>
      <c r="S1742" s="46"/>
      <c r="T1742" s="46"/>
      <c r="U1742" s="46"/>
      <c r="V1742" s="46"/>
      <c r="W1742" s="46"/>
      <c r="X1742" s="46"/>
    </row>
    <row r="1743" spans="1:24" x14ac:dyDescent="0.2">
      <c r="A1743" s="45"/>
      <c r="B1743" s="46"/>
      <c r="C1743" s="46"/>
      <c r="D1743" s="46"/>
      <c r="E1743" s="46"/>
      <c r="F1743" s="46"/>
      <c r="G1743" s="46"/>
      <c r="H1743" s="46"/>
      <c r="I1743" s="46"/>
      <c r="J1743" s="46"/>
      <c r="K1743" s="46"/>
      <c r="L1743" s="46"/>
      <c r="M1743" s="46"/>
      <c r="N1743" s="46"/>
      <c r="O1743" s="46"/>
      <c r="P1743" s="46"/>
      <c r="Q1743" s="46"/>
      <c r="R1743" s="46"/>
      <c r="S1743" s="46"/>
      <c r="T1743" s="46"/>
      <c r="U1743" s="46"/>
      <c r="V1743" s="46"/>
      <c r="W1743" s="46"/>
      <c r="X1743" s="46"/>
    </row>
    <row r="1744" spans="1:24" x14ac:dyDescent="0.2">
      <c r="A1744" s="45"/>
      <c r="B1744" s="46"/>
      <c r="C1744" s="46"/>
      <c r="D1744" s="46"/>
      <c r="E1744" s="46"/>
      <c r="F1744" s="46"/>
      <c r="G1744" s="46"/>
      <c r="H1744" s="46"/>
      <c r="I1744" s="46"/>
      <c r="J1744" s="46"/>
      <c r="K1744" s="46"/>
      <c r="L1744" s="46"/>
      <c r="M1744" s="46"/>
      <c r="N1744" s="46"/>
      <c r="O1744" s="46"/>
      <c r="P1744" s="46"/>
      <c r="Q1744" s="46"/>
      <c r="R1744" s="46"/>
      <c r="S1744" s="46"/>
      <c r="T1744" s="46"/>
      <c r="U1744" s="46"/>
      <c r="V1744" s="46"/>
      <c r="W1744" s="46"/>
      <c r="X1744" s="46"/>
    </row>
    <row r="1745" spans="1:24" x14ac:dyDescent="0.2">
      <c r="A1745" s="45"/>
      <c r="B1745" s="46"/>
      <c r="C1745" s="46"/>
      <c r="D1745" s="46"/>
      <c r="E1745" s="46"/>
      <c r="F1745" s="46"/>
      <c r="G1745" s="46"/>
      <c r="H1745" s="46"/>
      <c r="I1745" s="46"/>
      <c r="J1745" s="46"/>
      <c r="K1745" s="46"/>
      <c r="L1745" s="46"/>
      <c r="M1745" s="46"/>
      <c r="N1745" s="46"/>
      <c r="O1745" s="46"/>
      <c r="P1745" s="46"/>
      <c r="Q1745" s="46"/>
      <c r="R1745" s="46"/>
      <c r="S1745" s="46"/>
      <c r="T1745" s="46"/>
      <c r="U1745" s="46"/>
      <c r="V1745" s="46"/>
      <c r="W1745" s="46"/>
      <c r="X1745" s="46"/>
    </row>
    <row r="1746" spans="1:24" x14ac:dyDescent="0.2">
      <c r="A1746" s="45"/>
      <c r="B1746" s="46"/>
      <c r="C1746" s="46"/>
      <c r="D1746" s="46"/>
      <c r="E1746" s="46"/>
      <c r="F1746" s="46"/>
      <c r="G1746" s="46"/>
      <c r="H1746" s="46"/>
      <c r="I1746" s="46"/>
      <c r="J1746" s="46"/>
      <c r="K1746" s="46"/>
      <c r="L1746" s="46"/>
      <c r="M1746" s="46"/>
      <c r="N1746" s="46"/>
      <c r="O1746" s="46"/>
      <c r="P1746" s="46"/>
      <c r="Q1746" s="46"/>
      <c r="R1746" s="46"/>
      <c r="S1746" s="46"/>
      <c r="T1746" s="46"/>
      <c r="U1746" s="46"/>
      <c r="V1746" s="46"/>
      <c r="W1746" s="46"/>
      <c r="X1746" s="46"/>
    </row>
    <row r="1747" spans="1:24" x14ac:dyDescent="0.2">
      <c r="A1747" s="45"/>
      <c r="B1747" s="46"/>
      <c r="C1747" s="46"/>
      <c r="D1747" s="46"/>
      <c r="E1747" s="46"/>
      <c r="F1747" s="46"/>
      <c r="G1747" s="46"/>
      <c r="H1747" s="46"/>
      <c r="I1747" s="46"/>
      <c r="J1747" s="46"/>
      <c r="K1747" s="46"/>
      <c r="L1747" s="46"/>
      <c r="M1747" s="46"/>
      <c r="N1747" s="46"/>
      <c r="O1747" s="46"/>
      <c r="P1747" s="46"/>
      <c r="Q1747" s="46"/>
      <c r="R1747" s="46"/>
      <c r="S1747" s="46"/>
      <c r="T1747" s="46"/>
      <c r="U1747" s="46"/>
      <c r="V1747" s="46"/>
      <c r="W1747" s="46"/>
      <c r="X1747" s="46"/>
    </row>
    <row r="1748" spans="1:24" x14ac:dyDescent="0.2">
      <c r="A1748" s="45"/>
      <c r="B1748" s="46"/>
      <c r="C1748" s="46"/>
      <c r="D1748" s="46"/>
      <c r="E1748" s="46"/>
      <c r="F1748" s="46"/>
      <c r="G1748" s="46"/>
      <c r="H1748" s="46"/>
      <c r="I1748" s="46"/>
      <c r="J1748" s="46"/>
      <c r="K1748" s="46"/>
      <c r="L1748" s="46"/>
      <c r="M1748" s="46"/>
      <c r="N1748" s="46"/>
      <c r="O1748" s="46"/>
      <c r="P1748" s="46"/>
      <c r="Q1748" s="46"/>
      <c r="R1748" s="46"/>
      <c r="S1748" s="46"/>
      <c r="T1748" s="46"/>
      <c r="U1748" s="46"/>
      <c r="V1748" s="46"/>
      <c r="W1748" s="46"/>
      <c r="X1748" s="46"/>
    </row>
    <row r="1749" spans="1:24" x14ac:dyDescent="0.2">
      <c r="A1749" s="45"/>
      <c r="B1749" s="46"/>
      <c r="C1749" s="46"/>
      <c r="D1749" s="46"/>
      <c r="E1749" s="46"/>
      <c r="F1749" s="46"/>
      <c r="G1749" s="46"/>
      <c r="H1749" s="46"/>
      <c r="I1749" s="46"/>
      <c r="J1749" s="46"/>
      <c r="K1749" s="46"/>
      <c r="L1749" s="46"/>
      <c r="M1749" s="46"/>
      <c r="N1749" s="46"/>
      <c r="O1749" s="46"/>
      <c r="P1749" s="46"/>
      <c r="Q1749" s="46"/>
      <c r="R1749" s="46"/>
      <c r="S1749" s="46"/>
      <c r="T1749" s="46"/>
      <c r="U1749" s="46"/>
      <c r="V1749" s="46"/>
      <c r="W1749" s="46"/>
      <c r="X1749" s="46"/>
    </row>
    <row r="1750" spans="1:24" x14ac:dyDescent="0.2">
      <c r="A1750" s="45"/>
      <c r="B1750" s="46"/>
      <c r="C1750" s="46"/>
      <c r="D1750" s="46"/>
      <c r="E1750" s="46"/>
      <c r="F1750" s="46"/>
      <c r="G1750" s="46"/>
      <c r="H1750" s="46"/>
      <c r="I1750" s="46"/>
      <c r="J1750" s="46"/>
      <c r="K1750" s="46"/>
      <c r="L1750" s="46"/>
      <c r="M1750" s="46"/>
      <c r="N1750" s="46"/>
      <c r="O1750" s="46"/>
      <c r="P1750" s="46"/>
      <c r="Q1750" s="46"/>
      <c r="R1750" s="46"/>
      <c r="S1750" s="46"/>
      <c r="T1750" s="46"/>
      <c r="U1750" s="46"/>
      <c r="V1750" s="46"/>
      <c r="W1750" s="46"/>
      <c r="X1750" s="46"/>
    </row>
    <row r="1751" spans="1:24" x14ac:dyDescent="0.2">
      <c r="A1751" s="45"/>
      <c r="B1751" s="46"/>
      <c r="C1751" s="46"/>
      <c r="D1751" s="46"/>
      <c r="E1751" s="46"/>
      <c r="F1751" s="46"/>
      <c r="G1751" s="46"/>
      <c r="H1751" s="46"/>
      <c r="I1751" s="46"/>
      <c r="J1751" s="46"/>
      <c r="K1751" s="46"/>
      <c r="L1751" s="46"/>
      <c r="M1751" s="46"/>
      <c r="N1751" s="46"/>
      <c r="O1751" s="46"/>
      <c r="P1751" s="46"/>
      <c r="Q1751" s="46"/>
      <c r="R1751" s="46"/>
      <c r="S1751" s="46"/>
      <c r="T1751" s="46"/>
      <c r="U1751" s="46"/>
      <c r="V1751" s="46"/>
      <c r="W1751" s="46"/>
      <c r="X1751" s="46"/>
    </row>
    <row r="1752" spans="1:24" x14ac:dyDescent="0.2">
      <c r="A1752" s="45"/>
      <c r="B1752" s="46"/>
      <c r="C1752" s="46"/>
      <c r="D1752" s="46"/>
      <c r="E1752" s="46"/>
      <c r="F1752" s="46"/>
      <c r="G1752" s="46"/>
      <c r="H1752" s="46"/>
      <c r="I1752" s="46"/>
      <c r="J1752" s="46"/>
      <c r="K1752" s="46"/>
      <c r="L1752" s="46"/>
      <c r="M1752" s="46"/>
      <c r="N1752" s="46"/>
      <c r="O1752" s="46"/>
      <c r="P1752" s="46"/>
      <c r="Q1752" s="46"/>
      <c r="R1752" s="46"/>
      <c r="S1752" s="46"/>
      <c r="T1752" s="46"/>
      <c r="U1752" s="46"/>
      <c r="V1752" s="46"/>
      <c r="W1752" s="46"/>
      <c r="X1752" s="46"/>
    </row>
    <row r="1753" spans="1:24" x14ac:dyDescent="0.2">
      <c r="A1753" s="45"/>
      <c r="B1753" s="46"/>
      <c r="C1753" s="46"/>
      <c r="D1753" s="46"/>
      <c r="E1753" s="46"/>
      <c r="F1753" s="46"/>
      <c r="G1753" s="46"/>
      <c r="H1753" s="46"/>
      <c r="I1753" s="46"/>
      <c r="J1753" s="46"/>
      <c r="K1753" s="46"/>
      <c r="L1753" s="46"/>
      <c r="M1753" s="46"/>
      <c r="N1753" s="46"/>
      <c r="O1753" s="46"/>
      <c r="P1753" s="46"/>
      <c r="Q1753" s="46"/>
      <c r="R1753" s="46"/>
      <c r="S1753" s="46"/>
      <c r="T1753" s="46"/>
      <c r="U1753" s="46"/>
      <c r="V1753" s="46"/>
      <c r="W1753" s="46"/>
      <c r="X1753" s="46"/>
    </row>
    <row r="1754" spans="1:24" x14ac:dyDescent="0.2">
      <c r="A1754" s="45"/>
      <c r="B1754" s="46"/>
      <c r="C1754" s="46"/>
      <c r="D1754" s="46"/>
      <c r="E1754" s="46"/>
      <c r="F1754" s="46"/>
      <c r="G1754" s="46"/>
      <c r="H1754" s="46"/>
      <c r="I1754" s="46"/>
      <c r="J1754" s="46"/>
      <c r="K1754" s="46"/>
      <c r="L1754" s="46"/>
      <c r="M1754" s="46"/>
      <c r="N1754" s="46"/>
      <c r="O1754" s="46"/>
      <c r="P1754" s="46"/>
      <c r="Q1754" s="46"/>
      <c r="R1754" s="46"/>
      <c r="S1754" s="46"/>
      <c r="T1754" s="46"/>
      <c r="U1754" s="46"/>
      <c r="V1754" s="46"/>
      <c r="W1754" s="46"/>
      <c r="X1754" s="46"/>
    </row>
    <row r="1755" spans="1:24" x14ac:dyDescent="0.2">
      <c r="A1755" s="45"/>
      <c r="B1755" s="46"/>
      <c r="C1755" s="46"/>
      <c r="D1755" s="46"/>
      <c r="E1755" s="46"/>
      <c r="F1755" s="46"/>
      <c r="G1755" s="46"/>
      <c r="H1755" s="46"/>
      <c r="I1755" s="46"/>
      <c r="J1755" s="46"/>
      <c r="K1755" s="46"/>
      <c r="L1755" s="46"/>
      <c r="M1755" s="46"/>
      <c r="N1755" s="46"/>
      <c r="O1755" s="46"/>
      <c r="P1755" s="46"/>
      <c r="Q1755" s="46"/>
      <c r="R1755" s="46"/>
      <c r="S1755" s="46"/>
      <c r="T1755" s="46"/>
      <c r="U1755" s="46"/>
      <c r="V1755" s="46"/>
      <c r="W1755" s="46"/>
      <c r="X1755" s="46"/>
    </row>
    <row r="1756" spans="1:24" x14ac:dyDescent="0.2">
      <c r="A1756" s="45"/>
      <c r="B1756" s="46"/>
      <c r="C1756" s="46"/>
      <c r="D1756" s="46"/>
      <c r="E1756" s="46"/>
      <c r="F1756" s="46"/>
      <c r="G1756" s="46"/>
      <c r="H1756" s="46"/>
      <c r="I1756" s="46"/>
      <c r="J1756" s="46"/>
      <c r="K1756" s="46"/>
      <c r="L1756" s="46"/>
      <c r="M1756" s="46"/>
      <c r="N1756" s="46"/>
      <c r="O1756" s="46"/>
      <c r="P1756" s="46"/>
      <c r="Q1756" s="46"/>
      <c r="R1756" s="46"/>
      <c r="S1756" s="46"/>
      <c r="T1756" s="46"/>
      <c r="U1756" s="46"/>
      <c r="V1756" s="46"/>
      <c r="W1756" s="46"/>
      <c r="X1756" s="46"/>
    </row>
    <row r="1757" spans="1:24" x14ac:dyDescent="0.2">
      <c r="A1757" s="45"/>
      <c r="B1757" s="46"/>
      <c r="C1757" s="46"/>
      <c r="D1757" s="46"/>
      <c r="E1757" s="46"/>
      <c r="F1757" s="46"/>
      <c r="G1757" s="46"/>
      <c r="H1757" s="46"/>
      <c r="I1757" s="46"/>
      <c r="J1757" s="46"/>
      <c r="K1757" s="46"/>
      <c r="L1757" s="46"/>
      <c r="M1757" s="46"/>
      <c r="N1757" s="46"/>
      <c r="O1757" s="46"/>
      <c r="P1757" s="46"/>
      <c r="Q1757" s="46"/>
      <c r="R1757" s="46"/>
      <c r="S1757" s="46"/>
      <c r="T1757" s="46"/>
      <c r="U1757" s="46"/>
      <c r="V1757" s="46"/>
      <c r="W1757" s="46"/>
      <c r="X1757" s="46"/>
    </row>
    <row r="1758" spans="1:24" x14ac:dyDescent="0.2">
      <c r="A1758" s="45"/>
      <c r="B1758" s="46"/>
      <c r="C1758" s="46"/>
      <c r="D1758" s="46"/>
      <c r="E1758" s="46"/>
      <c r="F1758" s="46"/>
      <c r="G1758" s="46"/>
      <c r="H1758" s="46"/>
      <c r="I1758" s="46"/>
      <c r="J1758" s="46"/>
      <c r="K1758" s="46"/>
      <c r="L1758" s="46"/>
      <c r="M1758" s="46"/>
      <c r="N1758" s="46"/>
      <c r="O1758" s="46"/>
      <c r="P1758" s="46"/>
      <c r="Q1758" s="46"/>
      <c r="R1758" s="46"/>
      <c r="S1758" s="46"/>
      <c r="T1758" s="46"/>
      <c r="U1758" s="46"/>
      <c r="V1758" s="46"/>
      <c r="W1758" s="46"/>
      <c r="X1758" s="46"/>
    </row>
    <row r="1759" spans="1:24" x14ac:dyDescent="0.2">
      <c r="A1759" s="45"/>
      <c r="B1759" s="46"/>
      <c r="C1759" s="46"/>
      <c r="D1759" s="46"/>
      <c r="E1759" s="46"/>
      <c r="F1759" s="46"/>
      <c r="G1759" s="46"/>
      <c r="H1759" s="46"/>
      <c r="I1759" s="46"/>
      <c r="J1759" s="46"/>
      <c r="K1759" s="46"/>
      <c r="L1759" s="46"/>
      <c r="M1759" s="46"/>
      <c r="N1759" s="46"/>
      <c r="O1759" s="46"/>
      <c r="P1759" s="46"/>
      <c r="Q1759" s="46"/>
      <c r="R1759" s="46"/>
      <c r="S1759" s="46"/>
      <c r="T1759" s="46"/>
      <c r="U1759" s="46"/>
      <c r="V1759" s="46"/>
      <c r="W1759" s="46"/>
      <c r="X1759" s="46"/>
    </row>
    <row r="1760" spans="1:24" x14ac:dyDescent="0.2">
      <c r="A1760" s="45"/>
      <c r="B1760" s="46"/>
      <c r="C1760" s="46"/>
      <c r="D1760" s="46"/>
      <c r="E1760" s="46"/>
      <c r="F1760" s="46"/>
      <c r="G1760" s="46"/>
      <c r="H1760" s="46"/>
      <c r="I1760" s="46"/>
      <c r="J1760" s="46"/>
      <c r="K1760" s="46"/>
      <c r="L1760" s="46"/>
      <c r="M1760" s="46"/>
      <c r="N1760" s="46"/>
      <c r="O1760" s="46"/>
      <c r="P1760" s="46"/>
      <c r="Q1760" s="46"/>
      <c r="R1760" s="46"/>
      <c r="S1760" s="46"/>
      <c r="T1760" s="46"/>
      <c r="U1760" s="46"/>
      <c r="V1760" s="46"/>
      <c r="W1760" s="46"/>
      <c r="X1760" s="46"/>
    </row>
    <row r="1761" spans="1:24" x14ac:dyDescent="0.2">
      <c r="A1761" s="45"/>
      <c r="B1761" s="46"/>
      <c r="C1761" s="46"/>
      <c r="D1761" s="46"/>
      <c r="E1761" s="46"/>
      <c r="F1761" s="46"/>
      <c r="G1761" s="46"/>
      <c r="H1761" s="46"/>
      <c r="I1761" s="46"/>
      <c r="J1761" s="46"/>
      <c r="K1761" s="46"/>
      <c r="L1761" s="46"/>
      <c r="M1761" s="46"/>
      <c r="N1761" s="46"/>
      <c r="O1761" s="46"/>
      <c r="P1761" s="46"/>
      <c r="Q1761" s="46"/>
      <c r="R1761" s="46"/>
      <c r="S1761" s="46"/>
      <c r="T1761" s="46"/>
      <c r="U1761" s="46"/>
      <c r="V1761" s="46"/>
      <c r="W1761" s="46"/>
      <c r="X1761" s="46"/>
    </row>
    <row r="1762" spans="1:24" x14ac:dyDescent="0.2">
      <c r="A1762" s="45"/>
      <c r="B1762" s="46"/>
      <c r="C1762" s="46"/>
      <c r="D1762" s="46"/>
      <c r="E1762" s="46"/>
      <c r="F1762" s="46"/>
      <c r="G1762" s="46"/>
      <c r="H1762" s="46"/>
      <c r="I1762" s="46"/>
      <c r="J1762" s="46"/>
      <c r="K1762" s="46"/>
      <c r="L1762" s="46"/>
      <c r="M1762" s="46"/>
      <c r="N1762" s="46"/>
      <c r="O1762" s="46"/>
      <c r="P1762" s="46"/>
      <c r="Q1762" s="46"/>
      <c r="R1762" s="46"/>
      <c r="S1762" s="46"/>
      <c r="T1762" s="46"/>
      <c r="U1762" s="46"/>
      <c r="V1762" s="46"/>
      <c r="W1762" s="46"/>
      <c r="X1762" s="46"/>
    </row>
    <row r="1763" spans="1:24" x14ac:dyDescent="0.2">
      <c r="A1763" s="45"/>
      <c r="B1763" s="46"/>
      <c r="C1763" s="46"/>
      <c r="D1763" s="46"/>
      <c r="E1763" s="46"/>
      <c r="F1763" s="46"/>
      <c r="G1763" s="46"/>
      <c r="H1763" s="46"/>
      <c r="I1763" s="46"/>
      <c r="J1763" s="46"/>
      <c r="K1763" s="46"/>
      <c r="L1763" s="46"/>
      <c r="M1763" s="46"/>
      <c r="N1763" s="46"/>
      <c r="O1763" s="46"/>
      <c r="P1763" s="46"/>
      <c r="Q1763" s="46"/>
      <c r="R1763" s="46"/>
      <c r="S1763" s="46"/>
      <c r="T1763" s="46"/>
      <c r="U1763" s="46"/>
      <c r="V1763" s="46"/>
      <c r="W1763" s="46"/>
      <c r="X1763" s="46"/>
    </row>
    <row r="1764" spans="1:24" x14ac:dyDescent="0.2">
      <c r="A1764" s="45"/>
      <c r="B1764" s="46"/>
      <c r="C1764" s="46"/>
      <c r="D1764" s="46"/>
      <c r="E1764" s="46"/>
      <c r="F1764" s="46"/>
      <c r="G1764" s="46"/>
      <c r="H1764" s="46"/>
      <c r="I1764" s="46"/>
      <c r="J1764" s="46"/>
      <c r="K1764" s="46"/>
      <c r="L1764" s="46"/>
      <c r="M1764" s="46"/>
      <c r="N1764" s="46"/>
      <c r="O1764" s="46"/>
      <c r="P1764" s="46"/>
      <c r="Q1764" s="46"/>
      <c r="R1764" s="46"/>
      <c r="S1764" s="46"/>
      <c r="T1764" s="46"/>
      <c r="U1764" s="46"/>
      <c r="V1764" s="46"/>
      <c r="W1764" s="46"/>
      <c r="X1764" s="46"/>
    </row>
    <row r="1765" spans="1:24" x14ac:dyDescent="0.2">
      <c r="A1765" s="45"/>
      <c r="B1765" s="46"/>
      <c r="C1765" s="46"/>
      <c r="D1765" s="46"/>
      <c r="E1765" s="46"/>
      <c r="F1765" s="46"/>
      <c r="G1765" s="46"/>
      <c r="H1765" s="46"/>
      <c r="I1765" s="46"/>
      <c r="J1765" s="46"/>
      <c r="K1765" s="46"/>
      <c r="L1765" s="46"/>
      <c r="M1765" s="46"/>
      <c r="N1765" s="46"/>
      <c r="O1765" s="46"/>
      <c r="P1765" s="46"/>
      <c r="Q1765" s="46"/>
      <c r="R1765" s="46"/>
      <c r="S1765" s="46"/>
      <c r="T1765" s="46"/>
      <c r="U1765" s="46"/>
      <c r="V1765" s="46"/>
      <c r="W1765" s="46"/>
      <c r="X1765" s="46"/>
    </row>
    <row r="1766" spans="1:24" x14ac:dyDescent="0.2">
      <c r="A1766" s="45"/>
      <c r="B1766" s="46"/>
      <c r="C1766" s="46"/>
      <c r="D1766" s="46"/>
      <c r="E1766" s="46"/>
      <c r="F1766" s="46"/>
      <c r="G1766" s="46"/>
      <c r="H1766" s="46"/>
      <c r="I1766" s="46"/>
      <c r="J1766" s="46"/>
      <c r="K1766" s="46"/>
      <c r="L1766" s="46"/>
      <c r="M1766" s="46"/>
      <c r="N1766" s="46"/>
      <c r="O1766" s="46"/>
      <c r="P1766" s="46"/>
      <c r="Q1766" s="46"/>
      <c r="R1766" s="46"/>
      <c r="S1766" s="46"/>
      <c r="T1766" s="46"/>
      <c r="U1766" s="46"/>
      <c r="V1766" s="46"/>
      <c r="W1766" s="46"/>
      <c r="X1766" s="46"/>
    </row>
    <row r="1767" spans="1:24" x14ac:dyDescent="0.2">
      <c r="A1767" s="45"/>
      <c r="B1767" s="46"/>
      <c r="C1767" s="46"/>
      <c r="D1767" s="46"/>
      <c r="E1767" s="46"/>
      <c r="F1767" s="46"/>
      <c r="G1767" s="46"/>
      <c r="H1767" s="46"/>
      <c r="I1767" s="46"/>
      <c r="J1767" s="46"/>
      <c r="K1767" s="46"/>
      <c r="L1767" s="46"/>
      <c r="M1767" s="46"/>
      <c r="N1767" s="46"/>
      <c r="O1767" s="46"/>
      <c r="P1767" s="46"/>
      <c r="Q1767" s="46"/>
      <c r="R1767" s="46"/>
      <c r="S1767" s="46"/>
      <c r="T1767" s="46"/>
      <c r="U1767" s="46"/>
      <c r="V1767" s="46"/>
      <c r="W1767" s="46"/>
      <c r="X1767" s="46"/>
    </row>
    <row r="1768" spans="1:24" x14ac:dyDescent="0.2">
      <c r="A1768" s="45"/>
      <c r="B1768" s="46"/>
      <c r="C1768" s="46"/>
      <c r="D1768" s="46"/>
      <c r="E1768" s="46"/>
      <c r="F1768" s="46"/>
      <c r="G1768" s="46"/>
      <c r="H1768" s="46"/>
      <c r="I1768" s="46"/>
      <c r="J1768" s="46"/>
      <c r="K1768" s="46"/>
      <c r="L1768" s="46"/>
      <c r="M1768" s="46"/>
      <c r="N1768" s="46"/>
      <c r="O1768" s="46"/>
      <c r="P1768" s="46"/>
      <c r="Q1768" s="46"/>
      <c r="R1768" s="46"/>
      <c r="S1768" s="46"/>
      <c r="T1768" s="46"/>
      <c r="U1768" s="46"/>
      <c r="V1768" s="46"/>
      <c r="W1768" s="46"/>
      <c r="X1768" s="46"/>
    </row>
    <row r="1769" spans="1:24" x14ac:dyDescent="0.2">
      <c r="A1769" s="45"/>
      <c r="B1769" s="46"/>
      <c r="C1769" s="46"/>
      <c r="D1769" s="46"/>
      <c r="E1769" s="46"/>
      <c r="F1769" s="46"/>
      <c r="G1769" s="46"/>
      <c r="H1769" s="46"/>
      <c r="I1769" s="46"/>
      <c r="J1769" s="46"/>
      <c r="K1769" s="46"/>
      <c r="L1769" s="46"/>
      <c r="M1769" s="46"/>
      <c r="N1769" s="46"/>
      <c r="O1769" s="46"/>
      <c r="P1769" s="46"/>
      <c r="Q1769" s="46"/>
      <c r="R1769" s="46"/>
      <c r="S1769" s="46"/>
      <c r="T1769" s="46"/>
      <c r="U1769" s="46"/>
      <c r="V1769" s="46"/>
      <c r="W1769" s="46"/>
      <c r="X1769" s="46"/>
    </row>
    <row r="1770" spans="1:24" x14ac:dyDescent="0.2">
      <c r="A1770" s="45"/>
      <c r="B1770" s="46"/>
      <c r="C1770" s="46"/>
      <c r="D1770" s="46"/>
      <c r="E1770" s="46"/>
      <c r="F1770" s="46"/>
      <c r="G1770" s="46"/>
      <c r="H1770" s="46"/>
      <c r="I1770" s="46"/>
      <c r="J1770" s="46"/>
      <c r="K1770" s="46"/>
      <c r="L1770" s="46"/>
      <c r="M1770" s="46"/>
      <c r="N1770" s="46"/>
      <c r="O1770" s="46"/>
      <c r="P1770" s="46"/>
      <c r="Q1770" s="46"/>
      <c r="R1770" s="46"/>
      <c r="S1770" s="46"/>
      <c r="T1770" s="46"/>
      <c r="U1770" s="46"/>
      <c r="V1770" s="46"/>
      <c r="W1770" s="46"/>
      <c r="X1770" s="46"/>
    </row>
    <row r="1771" spans="1:24" x14ac:dyDescent="0.2">
      <c r="A1771" s="45"/>
      <c r="B1771" s="46"/>
      <c r="C1771" s="46"/>
      <c r="D1771" s="46"/>
      <c r="E1771" s="46"/>
      <c r="F1771" s="46"/>
      <c r="G1771" s="46"/>
      <c r="H1771" s="46"/>
      <c r="I1771" s="46"/>
      <c r="J1771" s="46"/>
      <c r="K1771" s="46"/>
      <c r="L1771" s="46"/>
      <c r="M1771" s="46"/>
      <c r="N1771" s="46"/>
      <c r="O1771" s="46"/>
      <c r="P1771" s="46"/>
      <c r="Q1771" s="46"/>
      <c r="R1771" s="46"/>
      <c r="S1771" s="46"/>
      <c r="T1771" s="46"/>
      <c r="U1771" s="46"/>
      <c r="V1771" s="46"/>
      <c r="W1771" s="46"/>
      <c r="X1771" s="46"/>
    </row>
    <row r="1772" spans="1:24" x14ac:dyDescent="0.2">
      <c r="A1772" s="45"/>
      <c r="B1772" s="46"/>
      <c r="C1772" s="46"/>
      <c r="D1772" s="46"/>
      <c r="E1772" s="46"/>
      <c r="F1772" s="46"/>
      <c r="G1772" s="46"/>
      <c r="H1772" s="46"/>
      <c r="I1772" s="46"/>
      <c r="J1772" s="46"/>
      <c r="K1772" s="46"/>
      <c r="L1772" s="46"/>
      <c r="M1772" s="46"/>
      <c r="N1772" s="46"/>
      <c r="O1772" s="46"/>
      <c r="P1772" s="46"/>
      <c r="Q1772" s="46"/>
      <c r="R1772" s="46"/>
      <c r="S1772" s="46"/>
      <c r="T1772" s="46"/>
      <c r="U1772" s="46"/>
      <c r="V1772" s="46"/>
      <c r="W1772" s="46"/>
      <c r="X1772" s="46"/>
    </row>
    <row r="1773" spans="1:24" x14ac:dyDescent="0.2">
      <c r="A1773" s="45"/>
      <c r="B1773" s="46"/>
      <c r="C1773" s="46"/>
      <c r="D1773" s="46"/>
      <c r="E1773" s="46"/>
      <c r="F1773" s="46"/>
      <c r="G1773" s="46"/>
      <c r="H1773" s="46"/>
      <c r="I1773" s="46"/>
      <c r="J1773" s="46"/>
      <c r="K1773" s="46"/>
      <c r="L1773" s="46"/>
      <c r="M1773" s="46"/>
      <c r="N1773" s="46"/>
      <c r="O1773" s="46"/>
      <c r="P1773" s="46"/>
      <c r="Q1773" s="46"/>
      <c r="R1773" s="46"/>
      <c r="S1773" s="46"/>
      <c r="T1773" s="46"/>
      <c r="U1773" s="46"/>
      <c r="V1773" s="46"/>
      <c r="W1773" s="46"/>
      <c r="X1773" s="46"/>
    </row>
    <row r="1774" spans="1:24" x14ac:dyDescent="0.2">
      <c r="A1774" s="45"/>
      <c r="B1774" s="46"/>
      <c r="C1774" s="46"/>
      <c r="D1774" s="46"/>
      <c r="E1774" s="46"/>
      <c r="F1774" s="46"/>
      <c r="G1774" s="46"/>
      <c r="H1774" s="46"/>
      <c r="I1774" s="46"/>
      <c r="J1774" s="46"/>
      <c r="K1774" s="46"/>
      <c r="L1774" s="46"/>
      <c r="M1774" s="46"/>
      <c r="N1774" s="46"/>
      <c r="O1774" s="46"/>
      <c r="P1774" s="46"/>
      <c r="Q1774" s="46"/>
      <c r="R1774" s="46"/>
      <c r="S1774" s="46"/>
      <c r="T1774" s="46"/>
      <c r="U1774" s="46"/>
      <c r="V1774" s="46"/>
      <c r="W1774" s="46"/>
      <c r="X1774" s="46"/>
    </row>
    <row r="1775" spans="1:24" x14ac:dyDescent="0.2">
      <c r="A1775" s="45"/>
      <c r="B1775" s="46"/>
      <c r="C1775" s="46"/>
      <c r="D1775" s="46"/>
      <c r="E1775" s="46"/>
      <c r="F1775" s="46"/>
      <c r="G1775" s="46"/>
      <c r="H1775" s="46"/>
      <c r="I1775" s="46"/>
      <c r="J1775" s="46"/>
      <c r="K1775" s="46"/>
      <c r="L1775" s="46"/>
      <c r="M1775" s="46"/>
      <c r="N1775" s="46"/>
      <c r="O1775" s="46"/>
      <c r="P1775" s="46"/>
      <c r="Q1775" s="46"/>
      <c r="R1775" s="46"/>
      <c r="S1775" s="46"/>
      <c r="T1775" s="46"/>
      <c r="U1775" s="46"/>
      <c r="V1775" s="46"/>
      <c r="W1775" s="46"/>
      <c r="X1775" s="46"/>
    </row>
    <row r="1776" spans="1:24" x14ac:dyDescent="0.2">
      <c r="A1776" s="45"/>
      <c r="B1776" s="46"/>
      <c r="C1776" s="46"/>
      <c r="D1776" s="46"/>
      <c r="E1776" s="46"/>
      <c r="F1776" s="46"/>
      <c r="G1776" s="46"/>
      <c r="H1776" s="46"/>
      <c r="I1776" s="46"/>
      <c r="J1776" s="46"/>
      <c r="K1776" s="46"/>
      <c r="L1776" s="46"/>
      <c r="M1776" s="46"/>
      <c r="N1776" s="46"/>
      <c r="O1776" s="46"/>
      <c r="P1776" s="46"/>
      <c r="Q1776" s="46"/>
      <c r="R1776" s="46"/>
      <c r="S1776" s="46"/>
      <c r="T1776" s="46"/>
      <c r="U1776" s="46"/>
      <c r="V1776" s="46"/>
      <c r="W1776" s="46"/>
      <c r="X1776" s="46"/>
    </row>
    <row r="1777" spans="1:24" x14ac:dyDescent="0.2">
      <c r="A1777" s="45"/>
      <c r="B1777" s="46"/>
      <c r="C1777" s="46"/>
      <c r="D1777" s="46"/>
      <c r="E1777" s="46"/>
      <c r="F1777" s="46"/>
      <c r="G1777" s="46"/>
      <c r="H1777" s="46"/>
      <c r="I1777" s="46"/>
      <c r="J1777" s="46"/>
      <c r="K1777" s="46"/>
      <c r="L1777" s="46"/>
      <c r="M1777" s="46"/>
      <c r="N1777" s="46"/>
      <c r="O1777" s="46"/>
      <c r="P1777" s="46"/>
      <c r="Q1777" s="46"/>
      <c r="R1777" s="46"/>
      <c r="S1777" s="46"/>
      <c r="T1777" s="46"/>
      <c r="U1777" s="46"/>
      <c r="V1777" s="46"/>
      <c r="W1777" s="46"/>
      <c r="X1777" s="46"/>
    </row>
    <row r="1778" spans="1:24" x14ac:dyDescent="0.2">
      <c r="A1778" s="45"/>
      <c r="B1778" s="46"/>
      <c r="C1778" s="46"/>
      <c r="D1778" s="46"/>
      <c r="E1778" s="46"/>
      <c r="F1778" s="46"/>
      <c r="G1778" s="46"/>
      <c r="H1778" s="46"/>
      <c r="I1778" s="46"/>
      <c r="J1778" s="46"/>
      <c r="K1778" s="46"/>
      <c r="L1778" s="46"/>
      <c r="M1778" s="46"/>
      <c r="N1778" s="46"/>
      <c r="O1778" s="46"/>
      <c r="P1778" s="46"/>
      <c r="Q1778" s="46"/>
      <c r="R1778" s="46"/>
      <c r="S1778" s="46"/>
      <c r="T1778" s="46"/>
      <c r="U1778" s="46"/>
      <c r="V1778" s="46"/>
      <c r="W1778" s="46"/>
      <c r="X1778" s="46"/>
    </row>
    <row r="1779" spans="1:24" x14ac:dyDescent="0.2">
      <c r="A1779" s="45"/>
      <c r="B1779" s="46"/>
      <c r="C1779" s="46"/>
      <c r="D1779" s="46"/>
      <c r="E1779" s="46"/>
      <c r="F1779" s="46"/>
      <c r="G1779" s="46"/>
      <c r="H1779" s="46"/>
      <c r="I1779" s="46"/>
      <c r="J1779" s="46"/>
      <c r="K1779" s="46"/>
      <c r="L1779" s="46"/>
      <c r="M1779" s="46"/>
      <c r="N1779" s="46"/>
      <c r="O1779" s="46"/>
      <c r="P1779" s="46"/>
      <c r="Q1779" s="46"/>
      <c r="R1779" s="46"/>
      <c r="S1779" s="46"/>
      <c r="T1779" s="46"/>
      <c r="U1779" s="46"/>
      <c r="V1779" s="46"/>
      <c r="W1779" s="46"/>
      <c r="X1779" s="46"/>
    </row>
    <row r="1780" spans="1:24" x14ac:dyDescent="0.2">
      <c r="A1780" s="45"/>
      <c r="B1780" s="46"/>
      <c r="C1780" s="46"/>
      <c r="D1780" s="46"/>
      <c r="E1780" s="46"/>
      <c r="F1780" s="46"/>
      <c r="G1780" s="46"/>
      <c r="H1780" s="46"/>
      <c r="I1780" s="46"/>
      <c r="J1780" s="46"/>
      <c r="K1780" s="46"/>
      <c r="L1780" s="46"/>
      <c r="M1780" s="46"/>
      <c r="N1780" s="46"/>
      <c r="O1780" s="46"/>
      <c r="P1780" s="46"/>
      <c r="Q1780" s="46"/>
      <c r="R1780" s="46"/>
      <c r="S1780" s="46"/>
      <c r="T1780" s="46"/>
      <c r="U1780" s="46"/>
      <c r="V1780" s="46"/>
      <c r="W1780" s="46"/>
      <c r="X1780" s="46"/>
    </row>
    <row r="1781" spans="1:24" x14ac:dyDescent="0.2">
      <c r="A1781" s="45"/>
      <c r="B1781" s="46"/>
      <c r="C1781" s="46"/>
      <c r="D1781" s="46"/>
      <c r="E1781" s="46"/>
      <c r="F1781" s="46"/>
      <c r="G1781" s="46"/>
      <c r="H1781" s="46"/>
      <c r="I1781" s="46"/>
      <c r="J1781" s="46"/>
      <c r="K1781" s="46"/>
      <c r="L1781" s="46"/>
      <c r="M1781" s="46"/>
      <c r="N1781" s="46"/>
      <c r="O1781" s="46"/>
      <c r="P1781" s="46"/>
      <c r="Q1781" s="46"/>
      <c r="R1781" s="46"/>
      <c r="S1781" s="46"/>
      <c r="T1781" s="46"/>
      <c r="U1781" s="46"/>
      <c r="V1781" s="46"/>
      <c r="W1781" s="46"/>
      <c r="X1781" s="46"/>
    </row>
    <row r="1782" spans="1:24" x14ac:dyDescent="0.2">
      <c r="A1782" s="45"/>
      <c r="B1782" s="46"/>
      <c r="C1782" s="46"/>
      <c r="D1782" s="46"/>
      <c r="E1782" s="46"/>
      <c r="F1782" s="46"/>
      <c r="G1782" s="46"/>
      <c r="H1782" s="46"/>
      <c r="I1782" s="46"/>
      <c r="J1782" s="46"/>
      <c r="K1782" s="46"/>
      <c r="L1782" s="46"/>
      <c r="M1782" s="46"/>
      <c r="N1782" s="46"/>
      <c r="O1782" s="46"/>
      <c r="P1782" s="46"/>
      <c r="Q1782" s="46"/>
      <c r="R1782" s="46"/>
      <c r="S1782" s="46"/>
      <c r="T1782" s="46"/>
      <c r="U1782" s="46"/>
      <c r="V1782" s="46"/>
      <c r="W1782" s="46"/>
      <c r="X1782" s="46"/>
    </row>
    <row r="1783" spans="1:24" x14ac:dyDescent="0.2">
      <c r="A1783" s="45"/>
      <c r="B1783" s="46"/>
      <c r="C1783" s="46"/>
      <c r="D1783" s="46"/>
      <c r="E1783" s="46"/>
      <c r="F1783" s="46"/>
      <c r="G1783" s="46"/>
      <c r="H1783" s="46"/>
      <c r="I1783" s="46"/>
      <c r="J1783" s="46"/>
      <c r="K1783" s="46"/>
      <c r="L1783" s="46"/>
      <c r="M1783" s="46"/>
      <c r="N1783" s="46"/>
      <c r="O1783" s="46"/>
      <c r="P1783" s="46"/>
      <c r="Q1783" s="46"/>
      <c r="R1783" s="46"/>
      <c r="S1783" s="46"/>
      <c r="T1783" s="46"/>
      <c r="U1783" s="46"/>
      <c r="V1783" s="46"/>
      <c r="W1783" s="46"/>
      <c r="X1783" s="46"/>
    </row>
    <row r="1784" spans="1:24" x14ac:dyDescent="0.2">
      <c r="A1784" s="45"/>
      <c r="B1784" s="46"/>
      <c r="C1784" s="46"/>
      <c r="D1784" s="46"/>
      <c r="E1784" s="46"/>
      <c r="F1784" s="46"/>
      <c r="G1784" s="46"/>
      <c r="H1784" s="46"/>
      <c r="I1784" s="46"/>
      <c r="J1784" s="46"/>
      <c r="K1784" s="46"/>
      <c r="L1784" s="46"/>
      <c r="M1784" s="46"/>
      <c r="N1784" s="46"/>
      <c r="O1784" s="46"/>
      <c r="P1784" s="46"/>
      <c r="Q1784" s="46"/>
      <c r="R1784" s="46"/>
      <c r="S1784" s="46"/>
      <c r="T1784" s="46"/>
      <c r="U1784" s="46"/>
      <c r="V1784" s="46"/>
      <c r="W1784" s="46"/>
      <c r="X1784" s="46"/>
    </row>
    <row r="1785" spans="1:24" x14ac:dyDescent="0.2">
      <c r="A1785" s="45"/>
      <c r="B1785" s="46"/>
      <c r="C1785" s="46"/>
      <c r="D1785" s="46"/>
      <c r="E1785" s="46"/>
      <c r="F1785" s="46"/>
      <c r="G1785" s="46"/>
      <c r="H1785" s="46"/>
      <c r="I1785" s="46"/>
      <c r="J1785" s="46"/>
      <c r="K1785" s="46"/>
      <c r="L1785" s="46"/>
      <c r="M1785" s="46"/>
      <c r="N1785" s="46"/>
      <c r="O1785" s="46"/>
      <c r="P1785" s="46"/>
      <c r="Q1785" s="46"/>
      <c r="R1785" s="46"/>
      <c r="S1785" s="46"/>
      <c r="T1785" s="46"/>
      <c r="U1785" s="46"/>
      <c r="V1785" s="46"/>
      <c r="W1785" s="46"/>
      <c r="X1785" s="46"/>
    </row>
    <row r="1786" spans="1:24" x14ac:dyDescent="0.2">
      <c r="A1786" s="45"/>
      <c r="B1786" s="46"/>
      <c r="C1786" s="46"/>
      <c r="D1786" s="46"/>
      <c r="E1786" s="46"/>
      <c r="F1786" s="46"/>
      <c r="G1786" s="46"/>
      <c r="H1786" s="46"/>
      <c r="I1786" s="46"/>
      <c r="J1786" s="46"/>
      <c r="K1786" s="46"/>
      <c r="L1786" s="46"/>
      <c r="M1786" s="46"/>
      <c r="N1786" s="46"/>
      <c r="O1786" s="46"/>
      <c r="P1786" s="46"/>
      <c r="Q1786" s="46"/>
      <c r="R1786" s="46"/>
      <c r="S1786" s="46"/>
      <c r="T1786" s="46"/>
      <c r="U1786" s="46"/>
      <c r="V1786" s="46"/>
      <c r="W1786" s="46"/>
      <c r="X1786" s="46"/>
    </row>
    <row r="1787" spans="1:24" x14ac:dyDescent="0.2">
      <c r="A1787" s="45"/>
      <c r="B1787" s="46"/>
      <c r="C1787" s="46"/>
      <c r="D1787" s="46"/>
      <c r="E1787" s="46"/>
      <c r="F1787" s="46"/>
      <c r="G1787" s="46"/>
      <c r="H1787" s="46"/>
      <c r="I1787" s="46"/>
      <c r="J1787" s="46"/>
      <c r="K1787" s="46"/>
      <c r="L1787" s="46"/>
      <c r="M1787" s="46"/>
      <c r="N1787" s="46"/>
      <c r="O1787" s="46"/>
      <c r="P1787" s="46"/>
      <c r="Q1787" s="46"/>
      <c r="R1787" s="46"/>
      <c r="S1787" s="46"/>
      <c r="T1787" s="46"/>
      <c r="U1787" s="46"/>
      <c r="V1787" s="46"/>
      <c r="W1787" s="46"/>
      <c r="X1787" s="46"/>
    </row>
    <row r="1788" spans="1:24" x14ac:dyDescent="0.2">
      <c r="A1788" s="45"/>
      <c r="B1788" s="46"/>
      <c r="C1788" s="46"/>
      <c r="D1788" s="46"/>
      <c r="E1788" s="46"/>
      <c r="F1788" s="46"/>
      <c r="G1788" s="46"/>
      <c r="H1788" s="46"/>
      <c r="I1788" s="46"/>
      <c r="J1788" s="46"/>
      <c r="K1788" s="46"/>
      <c r="L1788" s="46"/>
      <c r="M1788" s="46"/>
      <c r="N1788" s="46"/>
      <c r="O1788" s="46"/>
      <c r="P1788" s="46"/>
      <c r="Q1788" s="46"/>
      <c r="R1788" s="46"/>
      <c r="S1788" s="46"/>
      <c r="T1788" s="46"/>
      <c r="U1788" s="46"/>
      <c r="V1788" s="46"/>
      <c r="W1788" s="46"/>
      <c r="X1788" s="46"/>
    </row>
    <row r="1789" spans="1:24" x14ac:dyDescent="0.2">
      <c r="A1789" s="45"/>
      <c r="B1789" s="46"/>
      <c r="C1789" s="46"/>
      <c r="D1789" s="46"/>
      <c r="E1789" s="46"/>
      <c r="F1789" s="46"/>
      <c r="G1789" s="46"/>
      <c r="H1789" s="46"/>
      <c r="I1789" s="46"/>
      <c r="J1789" s="46"/>
      <c r="K1789" s="46"/>
      <c r="L1789" s="46"/>
      <c r="M1789" s="46"/>
      <c r="N1789" s="46"/>
      <c r="O1789" s="46"/>
      <c r="P1789" s="46"/>
      <c r="Q1789" s="46"/>
      <c r="R1789" s="46"/>
      <c r="S1789" s="46"/>
      <c r="T1789" s="46"/>
      <c r="U1789" s="46"/>
      <c r="V1789" s="46"/>
      <c r="W1789" s="46"/>
      <c r="X1789" s="46"/>
    </row>
    <row r="1790" spans="1:24" x14ac:dyDescent="0.2">
      <c r="A1790" s="45"/>
      <c r="B1790" s="46"/>
      <c r="C1790" s="46"/>
      <c r="D1790" s="46"/>
      <c r="E1790" s="46"/>
      <c r="F1790" s="46"/>
      <c r="G1790" s="46"/>
      <c r="H1790" s="46"/>
      <c r="I1790" s="46"/>
      <c r="J1790" s="46"/>
      <c r="K1790" s="46"/>
      <c r="L1790" s="46"/>
      <c r="M1790" s="46"/>
      <c r="N1790" s="46"/>
      <c r="O1790" s="46"/>
      <c r="P1790" s="46"/>
      <c r="Q1790" s="46"/>
      <c r="R1790" s="46"/>
      <c r="S1790" s="46"/>
      <c r="T1790" s="46"/>
      <c r="U1790" s="46"/>
      <c r="V1790" s="46"/>
      <c r="W1790" s="46"/>
      <c r="X1790" s="46"/>
    </row>
    <row r="1791" spans="1:24" x14ac:dyDescent="0.2">
      <c r="A1791" s="45"/>
      <c r="B1791" s="46"/>
      <c r="C1791" s="46"/>
      <c r="D1791" s="46"/>
      <c r="E1791" s="46"/>
      <c r="F1791" s="46"/>
      <c r="G1791" s="46"/>
      <c r="H1791" s="46"/>
      <c r="I1791" s="46"/>
      <c r="J1791" s="46"/>
      <c r="K1791" s="46"/>
      <c r="L1791" s="46"/>
      <c r="M1791" s="46"/>
      <c r="N1791" s="46"/>
      <c r="O1791" s="46"/>
      <c r="P1791" s="46"/>
      <c r="Q1791" s="46"/>
      <c r="R1791" s="46"/>
      <c r="S1791" s="46"/>
      <c r="T1791" s="46"/>
      <c r="U1791" s="46"/>
      <c r="V1791" s="46"/>
      <c r="W1791" s="46"/>
      <c r="X1791" s="46"/>
    </row>
    <row r="1792" spans="1:24" x14ac:dyDescent="0.2">
      <c r="A1792" s="45"/>
      <c r="B1792" s="46"/>
      <c r="C1792" s="46"/>
      <c r="D1792" s="46"/>
      <c r="E1792" s="46"/>
      <c r="F1792" s="46"/>
      <c r="G1792" s="46"/>
      <c r="H1792" s="46"/>
      <c r="I1792" s="46"/>
      <c r="J1792" s="46"/>
      <c r="K1792" s="46"/>
      <c r="L1792" s="46"/>
      <c r="M1792" s="46"/>
      <c r="N1792" s="46"/>
      <c r="O1792" s="46"/>
      <c r="P1792" s="46"/>
      <c r="Q1792" s="46"/>
      <c r="R1792" s="46"/>
      <c r="S1792" s="46"/>
      <c r="T1792" s="46"/>
      <c r="U1792" s="46"/>
      <c r="V1792" s="46"/>
      <c r="W1792" s="46"/>
      <c r="X1792" s="46"/>
    </row>
    <row r="1793" spans="1:24" x14ac:dyDescent="0.2">
      <c r="A1793" s="45"/>
      <c r="B1793" s="46"/>
      <c r="C1793" s="46"/>
      <c r="D1793" s="46"/>
      <c r="E1793" s="46"/>
      <c r="F1793" s="46"/>
      <c r="G1793" s="46"/>
      <c r="H1793" s="46"/>
      <c r="I1793" s="46"/>
      <c r="J1793" s="46"/>
      <c r="K1793" s="46"/>
      <c r="L1793" s="46"/>
      <c r="M1793" s="46"/>
      <c r="N1793" s="46"/>
      <c r="O1793" s="46"/>
      <c r="P1793" s="46"/>
      <c r="Q1793" s="46"/>
      <c r="R1793" s="46"/>
      <c r="S1793" s="46"/>
      <c r="T1793" s="46"/>
      <c r="U1793" s="46"/>
      <c r="V1793" s="46"/>
      <c r="W1793" s="46"/>
      <c r="X1793" s="46"/>
    </row>
    <row r="1794" spans="1:24" x14ac:dyDescent="0.2">
      <c r="A1794" s="45"/>
      <c r="B1794" s="46"/>
      <c r="C1794" s="46"/>
      <c r="D1794" s="46"/>
      <c r="E1794" s="46"/>
      <c r="F1794" s="46"/>
      <c r="G1794" s="46"/>
      <c r="H1794" s="46"/>
      <c r="I1794" s="46"/>
      <c r="J1794" s="46"/>
      <c r="K1794" s="46"/>
      <c r="L1794" s="46"/>
      <c r="M1794" s="46"/>
      <c r="N1794" s="46"/>
      <c r="O1794" s="46"/>
      <c r="P1794" s="46"/>
      <c r="Q1794" s="46"/>
      <c r="R1794" s="46"/>
      <c r="S1794" s="46"/>
      <c r="T1794" s="46"/>
      <c r="U1794" s="46"/>
      <c r="V1794" s="46"/>
      <c r="W1794" s="46"/>
      <c r="X1794" s="46"/>
    </row>
    <row r="1795" spans="1:24" x14ac:dyDescent="0.2">
      <c r="A1795" s="45"/>
      <c r="B1795" s="46"/>
      <c r="C1795" s="46"/>
      <c r="D1795" s="46"/>
      <c r="E1795" s="46"/>
      <c r="F1795" s="46"/>
      <c r="G1795" s="46"/>
      <c r="H1795" s="46"/>
      <c r="I1795" s="46"/>
      <c r="J1795" s="46"/>
      <c r="K1795" s="46"/>
      <c r="L1795" s="46"/>
      <c r="M1795" s="46"/>
      <c r="N1795" s="46"/>
      <c r="O1795" s="46"/>
      <c r="P1795" s="46"/>
      <c r="Q1795" s="46"/>
      <c r="R1795" s="46"/>
      <c r="S1795" s="46"/>
      <c r="T1795" s="46"/>
      <c r="U1795" s="46"/>
      <c r="V1795" s="46"/>
      <c r="W1795" s="46"/>
      <c r="X1795" s="46"/>
    </row>
    <row r="1796" spans="1:24" x14ac:dyDescent="0.2">
      <c r="A1796" s="45"/>
      <c r="B1796" s="46"/>
      <c r="C1796" s="46"/>
      <c r="D1796" s="46"/>
      <c r="E1796" s="46"/>
      <c r="F1796" s="46"/>
      <c r="G1796" s="46"/>
      <c r="H1796" s="46"/>
      <c r="I1796" s="46"/>
      <c r="J1796" s="46"/>
      <c r="K1796" s="46"/>
      <c r="L1796" s="46"/>
      <c r="M1796" s="46"/>
      <c r="N1796" s="46"/>
      <c r="O1796" s="46"/>
      <c r="P1796" s="46"/>
      <c r="Q1796" s="46"/>
      <c r="R1796" s="46"/>
      <c r="S1796" s="46"/>
      <c r="T1796" s="46"/>
      <c r="U1796" s="46"/>
      <c r="V1796" s="46"/>
      <c r="W1796" s="46"/>
      <c r="X1796" s="46"/>
    </row>
    <row r="1797" spans="1:24" x14ac:dyDescent="0.2">
      <c r="A1797" s="45"/>
      <c r="B1797" s="46"/>
      <c r="C1797" s="46"/>
      <c r="D1797" s="46"/>
      <c r="E1797" s="46"/>
      <c r="F1797" s="46"/>
      <c r="G1797" s="46"/>
      <c r="H1797" s="46"/>
      <c r="I1797" s="46"/>
      <c r="J1797" s="46"/>
      <c r="K1797" s="46"/>
      <c r="L1797" s="46"/>
      <c r="M1797" s="46"/>
      <c r="N1797" s="46"/>
      <c r="O1797" s="46"/>
      <c r="P1797" s="46"/>
      <c r="Q1797" s="46"/>
      <c r="R1797" s="46"/>
      <c r="S1797" s="46"/>
      <c r="T1797" s="46"/>
      <c r="U1797" s="46"/>
      <c r="V1797" s="46"/>
      <c r="W1797" s="46"/>
      <c r="X1797" s="46"/>
    </row>
    <row r="1798" spans="1:24" x14ac:dyDescent="0.2">
      <c r="A1798" s="45"/>
      <c r="B1798" s="46"/>
      <c r="C1798" s="46"/>
      <c r="D1798" s="46"/>
      <c r="E1798" s="46"/>
      <c r="F1798" s="46"/>
      <c r="G1798" s="46"/>
      <c r="H1798" s="46"/>
      <c r="I1798" s="46"/>
      <c r="J1798" s="46"/>
      <c r="K1798" s="46"/>
      <c r="L1798" s="46"/>
      <c r="M1798" s="46"/>
      <c r="N1798" s="46"/>
      <c r="O1798" s="46"/>
      <c r="P1798" s="46"/>
      <c r="Q1798" s="46"/>
      <c r="R1798" s="46"/>
      <c r="S1798" s="46"/>
      <c r="T1798" s="46"/>
      <c r="U1798" s="46"/>
      <c r="V1798" s="46"/>
      <c r="W1798" s="46"/>
      <c r="X1798" s="46"/>
    </row>
    <row r="1799" spans="1:24" x14ac:dyDescent="0.2">
      <c r="A1799" s="45"/>
      <c r="B1799" s="46"/>
      <c r="C1799" s="46"/>
      <c r="D1799" s="46"/>
      <c r="E1799" s="46"/>
      <c r="F1799" s="46"/>
      <c r="G1799" s="46"/>
      <c r="H1799" s="46"/>
      <c r="I1799" s="46"/>
      <c r="J1799" s="46"/>
      <c r="K1799" s="46"/>
      <c r="L1799" s="46"/>
      <c r="M1799" s="46"/>
      <c r="N1799" s="46"/>
      <c r="O1799" s="46"/>
      <c r="P1799" s="46"/>
      <c r="Q1799" s="46"/>
      <c r="R1799" s="46"/>
      <c r="S1799" s="46"/>
      <c r="T1799" s="46"/>
      <c r="U1799" s="46"/>
      <c r="V1799" s="46"/>
      <c r="W1799" s="46"/>
      <c r="X1799" s="46"/>
    </row>
    <row r="1800" spans="1:24" x14ac:dyDescent="0.2">
      <c r="A1800" s="45"/>
      <c r="B1800" s="46"/>
      <c r="C1800" s="46"/>
      <c r="D1800" s="46"/>
      <c r="E1800" s="46"/>
      <c r="F1800" s="46"/>
      <c r="G1800" s="46"/>
      <c r="H1800" s="46"/>
      <c r="I1800" s="46"/>
      <c r="J1800" s="46"/>
      <c r="K1800" s="46"/>
      <c r="L1800" s="46"/>
      <c r="M1800" s="46"/>
      <c r="N1800" s="46"/>
      <c r="O1800" s="46"/>
      <c r="P1800" s="46"/>
      <c r="Q1800" s="46"/>
      <c r="R1800" s="46"/>
      <c r="S1800" s="46"/>
      <c r="T1800" s="46"/>
      <c r="U1800" s="46"/>
      <c r="V1800" s="46"/>
      <c r="W1800" s="46"/>
      <c r="X1800" s="46"/>
    </row>
    <row r="1801" spans="1:24" x14ac:dyDescent="0.2">
      <c r="A1801" s="45"/>
      <c r="B1801" s="46"/>
      <c r="C1801" s="46"/>
      <c r="D1801" s="46"/>
      <c r="E1801" s="46"/>
      <c r="F1801" s="46"/>
      <c r="G1801" s="46"/>
      <c r="H1801" s="46"/>
      <c r="I1801" s="46"/>
      <c r="J1801" s="46"/>
      <c r="K1801" s="46"/>
      <c r="L1801" s="46"/>
      <c r="M1801" s="46"/>
      <c r="N1801" s="46"/>
      <c r="O1801" s="46"/>
      <c r="P1801" s="46"/>
      <c r="Q1801" s="46"/>
      <c r="R1801" s="46"/>
      <c r="S1801" s="46"/>
      <c r="T1801" s="46"/>
      <c r="U1801" s="46"/>
      <c r="V1801" s="46"/>
      <c r="W1801" s="46"/>
      <c r="X1801" s="46"/>
    </row>
    <row r="1802" spans="1:24" x14ac:dyDescent="0.2">
      <c r="A1802" s="45"/>
      <c r="B1802" s="46"/>
      <c r="C1802" s="46"/>
      <c r="D1802" s="46"/>
      <c r="E1802" s="46"/>
      <c r="F1802" s="46"/>
      <c r="G1802" s="46"/>
      <c r="H1802" s="46"/>
      <c r="I1802" s="46"/>
      <c r="J1802" s="46"/>
      <c r="K1802" s="46"/>
      <c r="L1802" s="46"/>
      <c r="M1802" s="46"/>
      <c r="N1802" s="46"/>
      <c r="O1802" s="46"/>
      <c r="P1802" s="46"/>
      <c r="Q1802" s="46"/>
      <c r="R1802" s="46"/>
      <c r="S1802" s="46"/>
      <c r="T1802" s="46"/>
      <c r="U1802" s="46"/>
      <c r="V1802" s="46"/>
      <c r="W1802" s="46"/>
      <c r="X1802" s="46"/>
    </row>
    <row r="1803" spans="1:24" x14ac:dyDescent="0.2">
      <c r="A1803" s="45"/>
      <c r="B1803" s="46"/>
      <c r="C1803" s="46"/>
      <c r="D1803" s="46"/>
      <c r="E1803" s="46"/>
      <c r="F1803" s="46"/>
      <c r="G1803" s="46"/>
      <c r="H1803" s="46"/>
      <c r="I1803" s="46"/>
      <c r="J1803" s="46"/>
      <c r="K1803" s="46"/>
      <c r="L1803" s="46"/>
      <c r="M1803" s="46"/>
      <c r="N1803" s="46"/>
      <c r="O1803" s="46"/>
      <c r="P1803" s="46"/>
      <c r="Q1803" s="46"/>
      <c r="R1803" s="46"/>
      <c r="S1803" s="46"/>
      <c r="T1803" s="46"/>
      <c r="U1803" s="46"/>
      <c r="V1803" s="46"/>
      <c r="W1803" s="46"/>
      <c r="X1803" s="46"/>
    </row>
    <row r="1804" spans="1:24" x14ac:dyDescent="0.2">
      <c r="A1804" s="45"/>
      <c r="B1804" s="46"/>
      <c r="C1804" s="46"/>
      <c r="D1804" s="46"/>
      <c r="E1804" s="46"/>
      <c r="F1804" s="46"/>
      <c r="G1804" s="46"/>
      <c r="H1804" s="46"/>
      <c r="I1804" s="46"/>
      <c r="J1804" s="46"/>
      <c r="K1804" s="46"/>
      <c r="L1804" s="46"/>
      <c r="M1804" s="46"/>
      <c r="N1804" s="46"/>
      <c r="O1804" s="46"/>
      <c r="P1804" s="46"/>
      <c r="Q1804" s="46"/>
      <c r="R1804" s="46"/>
      <c r="S1804" s="46"/>
      <c r="T1804" s="46"/>
      <c r="U1804" s="46"/>
      <c r="V1804" s="46"/>
      <c r="W1804" s="46"/>
      <c r="X1804" s="46"/>
    </row>
    <row r="1805" spans="1:24" x14ac:dyDescent="0.2">
      <c r="A1805" s="45"/>
      <c r="B1805" s="46"/>
      <c r="C1805" s="46"/>
      <c r="D1805" s="46"/>
      <c r="E1805" s="46"/>
      <c r="F1805" s="46"/>
      <c r="G1805" s="46"/>
      <c r="H1805" s="46"/>
      <c r="I1805" s="46"/>
      <c r="J1805" s="46"/>
      <c r="K1805" s="46"/>
      <c r="L1805" s="46"/>
      <c r="M1805" s="46"/>
      <c r="N1805" s="46"/>
      <c r="O1805" s="46"/>
      <c r="P1805" s="46"/>
      <c r="Q1805" s="46"/>
      <c r="R1805" s="46"/>
      <c r="S1805" s="46"/>
      <c r="T1805" s="46"/>
      <c r="U1805" s="46"/>
      <c r="V1805" s="46"/>
      <c r="W1805" s="46"/>
      <c r="X1805" s="46"/>
    </row>
    <row r="1806" spans="1:24" x14ac:dyDescent="0.2">
      <c r="A1806" s="45"/>
      <c r="B1806" s="46"/>
      <c r="C1806" s="46"/>
      <c r="D1806" s="46"/>
      <c r="E1806" s="46"/>
      <c r="F1806" s="46"/>
      <c r="G1806" s="46"/>
      <c r="H1806" s="46"/>
      <c r="I1806" s="46"/>
      <c r="J1806" s="46"/>
      <c r="K1806" s="46"/>
      <c r="L1806" s="46"/>
      <c r="M1806" s="46"/>
      <c r="N1806" s="46"/>
      <c r="O1806" s="46"/>
      <c r="P1806" s="46"/>
      <c r="Q1806" s="46"/>
      <c r="R1806" s="46"/>
      <c r="S1806" s="46"/>
      <c r="T1806" s="46"/>
      <c r="U1806" s="46"/>
      <c r="V1806" s="46"/>
      <c r="W1806" s="46"/>
      <c r="X1806" s="46"/>
    </row>
    <row r="1807" spans="1:24" x14ac:dyDescent="0.2">
      <c r="A1807" s="45"/>
      <c r="B1807" s="46"/>
      <c r="C1807" s="46"/>
      <c r="D1807" s="46"/>
      <c r="E1807" s="46"/>
      <c r="F1807" s="46"/>
      <c r="G1807" s="46"/>
      <c r="H1807" s="46"/>
      <c r="I1807" s="46"/>
      <c r="J1807" s="46"/>
      <c r="K1807" s="46"/>
      <c r="L1807" s="46"/>
      <c r="M1807" s="46"/>
      <c r="N1807" s="46"/>
      <c r="O1807" s="46"/>
      <c r="P1807" s="46"/>
      <c r="Q1807" s="46"/>
      <c r="R1807" s="46"/>
      <c r="S1807" s="46"/>
      <c r="T1807" s="46"/>
      <c r="U1807" s="46"/>
      <c r="V1807" s="46"/>
      <c r="W1807" s="46"/>
      <c r="X1807" s="46"/>
    </row>
    <row r="1808" spans="1:24" x14ac:dyDescent="0.2">
      <c r="A1808" s="45"/>
      <c r="B1808" s="46"/>
      <c r="C1808" s="46"/>
      <c r="D1808" s="46"/>
      <c r="E1808" s="46"/>
      <c r="F1808" s="46"/>
      <c r="G1808" s="46"/>
      <c r="H1808" s="46"/>
      <c r="I1808" s="46"/>
      <c r="J1808" s="46"/>
      <c r="K1808" s="46"/>
      <c r="L1808" s="46"/>
      <c r="M1808" s="46"/>
      <c r="N1808" s="46"/>
      <c r="O1808" s="46"/>
      <c r="P1808" s="46"/>
      <c r="Q1808" s="46"/>
      <c r="R1808" s="46"/>
      <c r="S1808" s="46"/>
      <c r="T1808" s="46"/>
      <c r="U1808" s="46"/>
      <c r="V1808" s="46"/>
      <c r="W1808" s="46"/>
      <c r="X1808" s="46"/>
    </row>
    <row r="1809" spans="1:24" x14ac:dyDescent="0.2">
      <c r="A1809" s="45"/>
      <c r="B1809" s="46"/>
      <c r="C1809" s="46"/>
      <c r="D1809" s="46"/>
      <c r="E1809" s="46"/>
      <c r="F1809" s="46"/>
      <c r="G1809" s="46"/>
      <c r="H1809" s="46"/>
      <c r="I1809" s="46"/>
      <c r="J1809" s="46"/>
      <c r="K1809" s="46"/>
      <c r="L1809" s="46"/>
      <c r="M1809" s="46"/>
      <c r="N1809" s="46"/>
      <c r="O1809" s="46"/>
      <c r="P1809" s="46"/>
      <c r="Q1809" s="46"/>
      <c r="R1809" s="46"/>
      <c r="S1809" s="46"/>
      <c r="T1809" s="46"/>
      <c r="U1809" s="46"/>
      <c r="V1809" s="46"/>
      <c r="W1809" s="46"/>
      <c r="X1809" s="46"/>
    </row>
    <row r="1810" spans="1:24" x14ac:dyDescent="0.2">
      <c r="A1810" s="45"/>
      <c r="B1810" s="46"/>
      <c r="C1810" s="46"/>
      <c r="D1810" s="46"/>
      <c r="E1810" s="46"/>
      <c r="F1810" s="46"/>
      <c r="G1810" s="46"/>
      <c r="H1810" s="46"/>
      <c r="I1810" s="46"/>
      <c r="J1810" s="46"/>
      <c r="K1810" s="46"/>
      <c r="L1810" s="46"/>
      <c r="M1810" s="46"/>
      <c r="N1810" s="46"/>
      <c r="O1810" s="46"/>
      <c r="P1810" s="46"/>
      <c r="Q1810" s="46"/>
      <c r="R1810" s="46"/>
      <c r="S1810" s="46"/>
      <c r="T1810" s="46"/>
      <c r="U1810" s="46"/>
      <c r="V1810" s="46"/>
      <c r="W1810" s="46"/>
      <c r="X1810" s="46"/>
    </row>
    <row r="1811" spans="1:24" x14ac:dyDescent="0.2">
      <c r="A1811" s="45"/>
      <c r="B1811" s="46"/>
      <c r="C1811" s="46"/>
      <c r="D1811" s="46"/>
      <c r="E1811" s="46"/>
      <c r="F1811" s="46"/>
      <c r="G1811" s="46"/>
      <c r="H1811" s="46"/>
      <c r="I1811" s="46"/>
      <c r="J1811" s="46"/>
      <c r="K1811" s="46"/>
      <c r="L1811" s="46"/>
      <c r="M1811" s="46"/>
      <c r="N1811" s="46"/>
      <c r="O1811" s="46"/>
      <c r="P1811" s="46"/>
      <c r="Q1811" s="46"/>
      <c r="R1811" s="46"/>
      <c r="S1811" s="46"/>
      <c r="T1811" s="46"/>
      <c r="U1811" s="46"/>
      <c r="V1811" s="46"/>
      <c r="W1811" s="46"/>
      <c r="X1811" s="46"/>
    </row>
    <row r="1812" spans="1:24" x14ac:dyDescent="0.2">
      <c r="A1812" s="45"/>
      <c r="B1812" s="46"/>
      <c r="C1812" s="46"/>
      <c r="D1812" s="46"/>
      <c r="E1812" s="46"/>
      <c r="F1812" s="46"/>
      <c r="G1812" s="46"/>
      <c r="H1812" s="46"/>
      <c r="I1812" s="46"/>
      <c r="J1812" s="46"/>
      <c r="K1812" s="46"/>
      <c r="L1812" s="46"/>
      <c r="M1812" s="46"/>
      <c r="N1812" s="46"/>
      <c r="O1812" s="46"/>
      <c r="P1812" s="46"/>
      <c r="Q1812" s="46"/>
      <c r="R1812" s="46"/>
      <c r="S1812" s="46"/>
      <c r="T1812" s="46"/>
      <c r="U1812" s="46"/>
      <c r="V1812" s="46"/>
      <c r="W1812" s="46"/>
      <c r="X1812" s="46"/>
    </row>
    <row r="1813" spans="1:24" x14ac:dyDescent="0.2">
      <c r="A1813" s="45"/>
      <c r="B1813" s="46"/>
      <c r="C1813" s="46"/>
      <c r="D1813" s="46"/>
      <c r="E1813" s="46"/>
      <c r="F1813" s="46"/>
      <c r="G1813" s="46"/>
      <c r="H1813" s="46"/>
      <c r="I1813" s="46"/>
      <c r="J1813" s="46"/>
      <c r="K1813" s="46"/>
      <c r="L1813" s="46"/>
      <c r="M1813" s="46"/>
      <c r="N1813" s="46"/>
      <c r="O1813" s="46"/>
      <c r="P1813" s="46"/>
      <c r="Q1813" s="46"/>
      <c r="R1813" s="46"/>
      <c r="S1813" s="46"/>
      <c r="T1813" s="46"/>
      <c r="U1813" s="46"/>
      <c r="V1813" s="46"/>
      <c r="W1813" s="46"/>
      <c r="X1813" s="46"/>
    </row>
    <row r="1814" spans="1:24" x14ac:dyDescent="0.2">
      <c r="A1814" s="45"/>
      <c r="B1814" s="46"/>
      <c r="C1814" s="46"/>
      <c r="D1814" s="46"/>
      <c r="E1814" s="46"/>
      <c r="F1814" s="46"/>
      <c r="G1814" s="46"/>
      <c r="H1814" s="46"/>
      <c r="I1814" s="46"/>
      <c r="J1814" s="46"/>
      <c r="K1814" s="46"/>
      <c r="L1814" s="46"/>
      <c r="M1814" s="46"/>
      <c r="N1814" s="46"/>
      <c r="O1814" s="46"/>
      <c r="P1814" s="46"/>
      <c r="Q1814" s="46"/>
      <c r="R1814" s="46"/>
      <c r="S1814" s="46"/>
      <c r="T1814" s="46"/>
      <c r="U1814" s="46"/>
      <c r="V1814" s="46"/>
      <c r="W1814" s="46"/>
      <c r="X1814" s="46"/>
    </row>
    <row r="1815" spans="1:24" x14ac:dyDescent="0.2">
      <c r="A1815" s="45"/>
      <c r="B1815" s="46"/>
      <c r="C1815" s="46"/>
      <c r="D1815" s="46"/>
      <c r="E1815" s="46"/>
      <c r="F1815" s="46"/>
      <c r="G1815" s="46"/>
      <c r="H1815" s="46"/>
      <c r="I1815" s="46"/>
      <c r="J1815" s="46"/>
      <c r="K1815" s="46"/>
      <c r="L1815" s="46"/>
      <c r="M1815" s="46"/>
      <c r="N1815" s="46"/>
      <c r="O1815" s="46"/>
      <c r="P1815" s="46"/>
      <c r="Q1815" s="46"/>
      <c r="R1815" s="46"/>
      <c r="S1815" s="46"/>
      <c r="T1815" s="46"/>
      <c r="U1815" s="46"/>
      <c r="V1815" s="46"/>
      <c r="W1815" s="46"/>
      <c r="X1815" s="46"/>
    </row>
    <row r="1816" spans="1:24" x14ac:dyDescent="0.2">
      <c r="A1816" s="45"/>
      <c r="B1816" s="46"/>
      <c r="C1816" s="46"/>
      <c r="D1816" s="46"/>
      <c r="E1816" s="46"/>
      <c r="F1816" s="46"/>
      <c r="G1816" s="46"/>
      <c r="H1816" s="46"/>
      <c r="I1816" s="46"/>
      <c r="J1816" s="46"/>
      <c r="K1816" s="46"/>
      <c r="L1816" s="46"/>
      <c r="M1816" s="46"/>
      <c r="N1816" s="46"/>
      <c r="O1816" s="46"/>
      <c r="P1816" s="46"/>
      <c r="Q1816" s="46"/>
      <c r="R1816" s="46"/>
      <c r="S1816" s="46"/>
      <c r="T1816" s="46"/>
      <c r="U1816" s="46"/>
      <c r="V1816" s="46"/>
      <c r="W1816" s="46"/>
      <c r="X1816" s="46"/>
    </row>
    <row r="1817" spans="1:24" x14ac:dyDescent="0.2">
      <c r="A1817" s="45"/>
      <c r="B1817" s="46"/>
      <c r="C1817" s="46"/>
      <c r="D1817" s="46"/>
      <c r="E1817" s="46"/>
      <c r="F1817" s="46"/>
      <c r="G1817" s="46"/>
      <c r="H1817" s="46"/>
      <c r="I1817" s="46"/>
      <c r="J1817" s="46"/>
      <c r="K1817" s="46"/>
      <c r="L1817" s="46"/>
      <c r="M1817" s="46"/>
      <c r="N1817" s="46"/>
      <c r="O1817" s="46"/>
      <c r="P1817" s="46"/>
      <c r="Q1817" s="46"/>
      <c r="R1817" s="46"/>
      <c r="S1817" s="46"/>
      <c r="T1817" s="46"/>
      <c r="U1817" s="46"/>
      <c r="V1817" s="46"/>
      <c r="W1817" s="46"/>
      <c r="X1817" s="46"/>
    </row>
    <row r="1818" spans="1:24" x14ac:dyDescent="0.2">
      <c r="A1818" s="45"/>
      <c r="B1818" s="46"/>
      <c r="C1818" s="46"/>
      <c r="D1818" s="46"/>
      <c r="E1818" s="46"/>
      <c r="F1818" s="46"/>
      <c r="G1818" s="46"/>
      <c r="H1818" s="46"/>
      <c r="I1818" s="46"/>
      <c r="J1818" s="46"/>
      <c r="K1818" s="46"/>
      <c r="L1818" s="46"/>
      <c r="M1818" s="46"/>
      <c r="N1818" s="46"/>
      <c r="O1818" s="46"/>
      <c r="P1818" s="46"/>
      <c r="Q1818" s="46"/>
      <c r="R1818" s="46"/>
      <c r="S1818" s="46"/>
      <c r="T1818" s="46"/>
      <c r="U1818" s="46"/>
      <c r="V1818" s="46"/>
      <c r="W1818" s="46"/>
      <c r="X1818" s="46"/>
    </row>
    <row r="1819" spans="1:24" x14ac:dyDescent="0.2">
      <c r="A1819" s="45"/>
      <c r="B1819" s="46"/>
      <c r="C1819" s="46"/>
      <c r="D1819" s="46"/>
      <c r="E1819" s="46"/>
      <c r="F1819" s="46"/>
      <c r="G1819" s="46"/>
      <c r="H1819" s="46"/>
      <c r="I1819" s="46"/>
      <c r="J1819" s="46"/>
      <c r="K1819" s="46"/>
      <c r="L1819" s="46"/>
      <c r="M1819" s="46"/>
      <c r="N1819" s="46"/>
      <c r="O1819" s="46"/>
      <c r="P1819" s="46"/>
      <c r="Q1819" s="46"/>
      <c r="R1819" s="46"/>
      <c r="S1819" s="46"/>
      <c r="T1819" s="46"/>
      <c r="U1819" s="46"/>
      <c r="V1819" s="46"/>
      <c r="W1819" s="46"/>
      <c r="X1819" s="46"/>
    </row>
    <row r="1820" spans="1:24" x14ac:dyDescent="0.2">
      <c r="A1820" s="45"/>
      <c r="B1820" s="46"/>
      <c r="C1820" s="46"/>
      <c r="D1820" s="46"/>
      <c r="E1820" s="46"/>
      <c r="F1820" s="46"/>
      <c r="G1820" s="46"/>
      <c r="H1820" s="46"/>
      <c r="I1820" s="46"/>
      <c r="J1820" s="46"/>
      <c r="K1820" s="46"/>
      <c r="L1820" s="46"/>
      <c r="M1820" s="46"/>
      <c r="N1820" s="46"/>
      <c r="O1820" s="46"/>
      <c r="P1820" s="46"/>
      <c r="Q1820" s="46"/>
      <c r="R1820" s="46"/>
      <c r="S1820" s="46"/>
      <c r="T1820" s="46"/>
      <c r="U1820" s="46"/>
      <c r="V1820" s="46"/>
      <c r="W1820" s="46"/>
      <c r="X1820" s="46"/>
    </row>
    <row r="1821" spans="1:24" x14ac:dyDescent="0.2">
      <c r="A1821" s="45"/>
      <c r="B1821" s="46"/>
      <c r="C1821" s="46"/>
      <c r="D1821" s="46"/>
      <c r="E1821" s="46"/>
      <c r="F1821" s="46"/>
      <c r="G1821" s="46"/>
      <c r="H1821" s="46"/>
      <c r="I1821" s="46"/>
      <c r="J1821" s="46"/>
      <c r="K1821" s="46"/>
      <c r="L1821" s="46"/>
      <c r="M1821" s="46"/>
      <c r="N1821" s="46"/>
      <c r="O1821" s="46"/>
      <c r="P1821" s="46"/>
      <c r="Q1821" s="46"/>
      <c r="R1821" s="46"/>
      <c r="S1821" s="46"/>
      <c r="T1821" s="46"/>
      <c r="U1821" s="46"/>
      <c r="V1821" s="46"/>
      <c r="W1821" s="46"/>
      <c r="X1821" s="46"/>
    </row>
    <row r="1822" spans="1:24" x14ac:dyDescent="0.2">
      <c r="A1822" s="45"/>
      <c r="B1822" s="46"/>
      <c r="C1822" s="46"/>
      <c r="D1822" s="46"/>
      <c r="E1822" s="46"/>
      <c r="F1822" s="46"/>
      <c r="G1822" s="46"/>
      <c r="H1822" s="46"/>
      <c r="I1822" s="46"/>
      <c r="J1822" s="46"/>
      <c r="K1822" s="46"/>
      <c r="L1822" s="46"/>
      <c r="M1822" s="46"/>
      <c r="N1822" s="46"/>
      <c r="O1822" s="46"/>
      <c r="P1822" s="46"/>
      <c r="Q1822" s="46"/>
      <c r="R1822" s="46"/>
      <c r="S1822" s="46"/>
      <c r="T1822" s="46"/>
      <c r="U1822" s="46"/>
      <c r="V1822" s="46"/>
      <c r="W1822" s="46"/>
      <c r="X1822" s="46"/>
    </row>
    <row r="1823" spans="1:24" x14ac:dyDescent="0.2">
      <c r="A1823" s="45"/>
      <c r="B1823" s="46"/>
      <c r="C1823" s="46"/>
      <c r="D1823" s="46"/>
      <c r="E1823" s="46"/>
      <c r="F1823" s="46"/>
      <c r="G1823" s="46"/>
      <c r="H1823" s="46"/>
      <c r="I1823" s="46"/>
      <c r="J1823" s="46"/>
      <c r="K1823" s="46"/>
      <c r="L1823" s="46"/>
      <c r="M1823" s="46"/>
      <c r="N1823" s="46"/>
      <c r="O1823" s="46"/>
      <c r="P1823" s="46"/>
      <c r="Q1823" s="46"/>
      <c r="R1823" s="46"/>
      <c r="S1823" s="46"/>
      <c r="T1823" s="46"/>
      <c r="U1823" s="46"/>
      <c r="V1823" s="46"/>
      <c r="W1823" s="46"/>
      <c r="X1823" s="46"/>
    </row>
    <row r="1824" spans="1:24" x14ac:dyDescent="0.2">
      <c r="A1824" s="45"/>
      <c r="B1824" s="46"/>
      <c r="C1824" s="46"/>
      <c r="D1824" s="46"/>
      <c r="E1824" s="46"/>
      <c r="F1824" s="46"/>
      <c r="G1824" s="46"/>
      <c r="H1824" s="46"/>
      <c r="I1824" s="46"/>
      <c r="J1824" s="46"/>
      <c r="K1824" s="46"/>
      <c r="L1824" s="46"/>
      <c r="M1824" s="46"/>
      <c r="N1824" s="46"/>
      <c r="O1824" s="46"/>
      <c r="P1824" s="46"/>
      <c r="Q1824" s="46"/>
      <c r="R1824" s="46"/>
      <c r="S1824" s="46"/>
      <c r="T1824" s="46"/>
      <c r="U1824" s="46"/>
      <c r="V1824" s="46"/>
      <c r="W1824" s="46"/>
      <c r="X1824" s="46"/>
    </row>
    <row r="1825" spans="1:24" x14ac:dyDescent="0.2">
      <c r="A1825" s="45"/>
      <c r="B1825" s="46"/>
      <c r="C1825" s="46"/>
      <c r="D1825" s="46"/>
      <c r="E1825" s="46"/>
      <c r="F1825" s="46"/>
      <c r="G1825" s="46"/>
      <c r="H1825" s="46"/>
      <c r="I1825" s="46"/>
      <c r="J1825" s="46"/>
      <c r="K1825" s="46"/>
      <c r="L1825" s="46"/>
      <c r="M1825" s="46"/>
      <c r="N1825" s="46"/>
      <c r="O1825" s="46"/>
      <c r="P1825" s="46"/>
      <c r="Q1825" s="46"/>
      <c r="R1825" s="46"/>
      <c r="S1825" s="46"/>
      <c r="T1825" s="46"/>
      <c r="U1825" s="46"/>
      <c r="V1825" s="46"/>
      <c r="W1825" s="46"/>
      <c r="X1825" s="46"/>
    </row>
    <row r="1826" spans="1:24" x14ac:dyDescent="0.2">
      <c r="A1826" s="45"/>
      <c r="B1826" s="46"/>
      <c r="C1826" s="46"/>
      <c r="D1826" s="46"/>
      <c r="E1826" s="46"/>
      <c r="F1826" s="46"/>
      <c r="G1826" s="46"/>
      <c r="H1826" s="46"/>
      <c r="I1826" s="46"/>
      <c r="J1826" s="46"/>
      <c r="K1826" s="46"/>
      <c r="L1826" s="46"/>
      <c r="M1826" s="46"/>
      <c r="N1826" s="46"/>
      <c r="O1826" s="46"/>
      <c r="P1826" s="46"/>
      <c r="Q1826" s="46"/>
      <c r="R1826" s="46"/>
      <c r="S1826" s="46"/>
      <c r="T1826" s="46"/>
      <c r="U1826" s="46"/>
      <c r="V1826" s="46"/>
      <c r="W1826" s="46"/>
      <c r="X1826" s="46"/>
    </row>
    <row r="1827" spans="1:24" x14ac:dyDescent="0.2">
      <c r="A1827" s="45"/>
      <c r="B1827" s="46"/>
      <c r="C1827" s="46"/>
      <c r="D1827" s="46"/>
      <c r="E1827" s="46"/>
      <c r="F1827" s="46"/>
      <c r="G1827" s="46"/>
      <c r="H1827" s="46"/>
      <c r="I1827" s="46"/>
      <c r="J1827" s="46"/>
      <c r="K1827" s="46"/>
      <c r="L1827" s="46"/>
      <c r="M1827" s="46"/>
      <c r="N1827" s="46"/>
      <c r="O1827" s="46"/>
      <c r="P1827" s="46"/>
      <c r="Q1827" s="46"/>
      <c r="R1827" s="46"/>
      <c r="S1827" s="46"/>
      <c r="T1827" s="46"/>
      <c r="U1827" s="46"/>
      <c r="V1827" s="46"/>
      <c r="W1827" s="46"/>
      <c r="X1827" s="46"/>
    </row>
    <row r="1828" spans="1:24" x14ac:dyDescent="0.2">
      <c r="A1828" s="45"/>
      <c r="B1828" s="46"/>
      <c r="C1828" s="46"/>
      <c r="D1828" s="46"/>
      <c r="E1828" s="46"/>
      <c r="F1828" s="46"/>
      <c r="G1828" s="46"/>
      <c r="H1828" s="46"/>
      <c r="I1828" s="46"/>
      <c r="J1828" s="46"/>
      <c r="K1828" s="46"/>
      <c r="L1828" s="46"/>
      <c r="M1828" s="46"/>
      <c r="N1828" s="46"/>
      <c r="O1828" s="46"/>
      <c r="P1828" s="46"/>
      <c r="Q1828" s="46"/>
      <c r="R1828" s="46"/>
      <c r="S1828" s="46"/>
      <c r="T1828" s="46"/>
      <c r="U1828" s="46"/>
      <c r="V1828" s="46"/>
      <c r="W1828" s="46"/>
      <c r="X1828" s="46"/>
    </row>
    <row r="1829" spans="1:24" x14ac:dyDescent="0.2">
      <c r="A1829" s="45"/>
      <c r="B1829" s="46"/>
      <c r="C1829" s="46"/>
      <c r="D1829" s="46"/>
      <c r="E1829" s="46"/>
      <c r="F1829" s="46"/>
      <c r="G1829" s="46"/>
      <c r="H1829" s="46"/>
      <c r="I1829" s="46"/>
      <c r="J1829" s="46"/>
      <c r="K1829" s="46"/>
      <c r="L1829" s="46"/>
      <c r="M1829" s="46"/>
      <c r="N1829" s="46"/>
      <c r="O1829" s="46"/>
      <c r="P1829" s="46"/>
      <c r="Q1829" s="46"/>
      <c r="R1829" s="46"/>
      <c r="S1829" s="46"/>
      <c r="T1829" s="46"/>
      <c r="U1829" s="46"/>
      <c r="V1829" s="46"/>
      <c r="W1829" s="46"/>
      <c r="X1829" s="46"/>
    </row>
    <row r="1830" spans="1:24" x14ac:dyDescent="0.2">
      <c r="A1830" s="45"/>
      <c r="B1830" s="46"/>
      <c r="C1830" s="46"/>
      <c r="D1830" s="46"/>
      <c r="E1830" s="46"/>
      <c r="F1830" s="46"/>
      <c r="G1830" s="46"/>
      <c r="H1830" s="46"/>
      <c r="I1830" s="46"/>
      <c r="J1830" s="46"/>
      <c r="K1830" s="46"/>
      <c r="L1830" s="46"/>
      <c r="M1830" s="46"/>
      <c r="N1830" s="46"/>
      <c r="O1830" s="46"/>
      <c r="P1830" s="46"/>
      <c r="Q1830" s="46"/>
      <c r="R1830" s="46"/>
      <c r="S1830" s="46"/>
      <c r="T1830" s="46"/>
      <c r="U1830" s="46"/>
      <c r="V1830" s="46"/>
      <c r="W1830" s="46"/>
      <c r="X1830" s="46"/>
    </row>
    <row r="1831" spans="1:24" x14ac:dyDescent="0.2">
      <c r="A1831" s="45"/>
      <c r="B1831" s="46"/>
      <c r="C1831" s="46"/>
      <c r="D1831" s="46"/>
      <c r="E1831" s="46"/>
      <c r="F1831" s="46"/>
      <c r="G1831" s="46"/>
      <c r="H1831" s="46"/>
      <c r="I1831" s="46"/>
      <c r="J1831" s="46"/>
      <c r="K1831" s="46"/>
      <c r="L1831" s="46"/>
      <c r="M1831" s="46"/>
      <c r="N1831" s="46"/>
      <c r="O1831" s="46"/>
      <c r="P1831" s="46"/>
      <c r="Q1831" s="46"/>
      <c r="R1831" s="46"/>
      <c r="S1831" s="46"/>
      <c r="T1831" s="46"/>
      <c r="U1831" s="46"/>
      <c r="V1831" s="46"/>
      <c r="W1831" s="46"/>
      <c r="X1831" s="46"/>
    </row>
    <row r="1832" spans="1:24" x14ac:dyDescent="0.2">
      <c r="A1832" s="45"/>
      <c r="B1832" s="46"/>
      <c r="C1832" s="46"/>
      <c r="D1832" s="46"/>
      <c r="E1832" s="46"/>
      <c r="F1832" s="46"/>
      <c r="G1832" s="46"/>
      <c r="H1832" s="46"/>
      <c r="I1832" s="46"/>
      <c r="J1832" s="46"/>
      <c r="K1832" s="46"/>
      <c r="L1832" s="46"/>
      <c r="M1832" s="46"/>
      <c r="N1832" s="46"/>
      <c r="O1832" s="46"/>
      <c r="P1832" s="46"/>
      <c r="Q1832" s="46"/>
      <c r="R1832" s="46"/>
      <c r="S1832" s="46"/>
      <c r="T1832" s="46"/>
      <c r="U1832" s="46"/>
      <c r="V1832" s="46"/>
      <c r="W1832" s="46"/>
      <c r="X1832" s="46"/>
    </row>
    <row r="1833" spans="1:24" x14ac:dyDescent="0.2">
      <c r="A1833" s="45"/>
      <c r="B1833" s="46"/>
      <c r="C1833" s="46"/>
      <c r="D1833" s="46"/>
      <c r="E1833" s="46"/>
      <c r="F1833" s="46"/>
      <c r="G1833" s="46"/>
      <c r="H1833" s="46"/>
      <c r="I1833" s="46"/>
      <c r="J1833" s="46"/>
      <c r="K1833" s="46"/>
      <c r="L1833" s="46"/>
      <c r="M1833" s="46"/>
      <c r="N1833" s="46"/>
      <c r="O1833" s="46"/>
      <c r="P1833" s="46"/>
      <c r="Q1833" s="46"/>
      <c r="R1833" s="46"/>
      <c r="S1833" s="46"/>
      <c r="T1833" s="46"/>
      <c r="U1833" s="46"/>
      <c r="V1833" s="46"/>
      <c r="W1833" s="46"/>
      <c r="X1833" s="46"/>
    </row>
    <row r="1834" spans="1:24" x14ac:dyDescent="0.2">
      <c r="A1834" s="45"/>
      <c r="B1834" s="46"/>
      <c r="C1834" s="46"/>
      <c r="D1834" s="46"/>
      <c r="E1834" s="46"/>
      <c r="F1834" s="46"/>
      <c r="G1834" s="46"/>
      <c r="H1834" s="46"/>
      <c r="I1834" s="46"/>
      <c r="J1834" s="46"/>
      <c r="K1834" s="46"/>
      <c r="L1834" s="46"/>
      <c r="M1834" s="46"/>
      <c r="N1834" s="46"/>
      <c r="O1834" s="46"/>
      <c r="P1834" s="46"/>
      <c r="Q1834" s="46"/>
      <c r="R1834" s="46"/>
      <c r="S1834" s="46"/>
      <c r="T1834" s="46"/>
      <c r="U1834" s="46"/>
      <c r="V1834" s="46"/>
      <c r="W1834" s="46"/>
      <c r="X1834" s="46"/>
    </row>
    <row r="1835" spans="1:24" x14ac:dyDescent="0.2">
      <c r="A1835" s="45"/>
      <c r="B1835" s="46"/>
      <c r="C1835" s="46"/>
      <c r="D1835" s="46"/>
      <c r="E1835" s="46"/>
      <c r="F1835" s="46"/>
      <c r="G1835" s="46"/>
      <c r="H1835" s="46"/>
      <c r="I1835" s="46"/>
      <c r="J1835" s="46"/>
      <c r="K1835" s="46"/>
      <c r="L1835" s="46"/>
      <c r="M1835" s="46"/>
      <c r="N1835" s="46"/>
      <c r="O1835" s="46"/>
      <c r="P1835" s="46"/>
      <c r="Q1835" s="46"/>
      <c r="R1835" s="46"/>
      <c r="S1835" s="46"/>
      <c r="T1835" s="46"/>
      <c r="U1835" s="46"/>
      <c r="V1835" s="46"/>
      <c r="W1835" s="46"/>
      <c r="X1835" s="46"/>
    </row>
    <row r="1836" spans="1:24" x14ac:dyDescent="0.2">
      <c r="A1836" s="45"/>
      <c r="B1836" s="46"/>
      <c r="C1836" s="46"/>
      <c r="D1836" s="46"/>
      <c r="E1836" s="46"/>
      <c r="F1836" s="46"/>
      <c r="G1836" s="46"/>
      <c r="H1836" s="46"/>
      <c r="I1836" s="46"/>
      <c r="J1836" s="46"/>
      <c r="K1836" s="46"/>
      <c r="L1836" s="46"/>
      <c r="M1836" s="46"/>
      <c r="N1836" s="46"/>
      <c r="O1836" s="46"/>
      <c r="P1836" s="46"/>
      <c r="Q1836" s="46"/>
      <c r="R1836" s="46"/>
      <c r="S1836" s="46"/>
      <c r="T1836" s="46"/>
      <c r="U1836" s="46"/>
      <c r="V1836" s="46"/>
      <c r="W1836" s="46"/>
      <c r="X1836" s="46"/>
    </row>
    <row r="1837" spans="1:24" x14ac:dyDescent="0.2">
      <c r="A1837" s="45"/>
      <c r="B1837" s="46"/>
      <c r="C1837" s="46"/>
      <c r="D1837" s="46"/>
      <c r="E1837" s="46"/>
      <c r="F1837" s="46"/>
      <c r="G1837" s="46"/>
      <c r="H1837" s="46"/>
      <c r="I1837" s="46"/>
      <c r="J1837" s="46"/>
      <c r="K1837" s="46"/>
      <c r="L1837" s="46"/>
      <c r="M1837" s="46"/>
      <c r="N1837" s="46"/>
      <c r="O1837" s="46"/>
      <c r="P1837" s="46"/>
      <c r="Q1837" s="46"/>
      <c r="R1837" s="46"/>
      <c r="S1837" s="46"/>
      <c r="T1837" s="46"/>
      <c r="U1837" s="46"/>
      <c r="V1837" s="46"/>
      <c r="W1837" s="46"/>
      <c r="X1837" s="46"/>
    </row>
    <row r="1838" spans="1:24" x14ac:dyDescent="0.2">
      <c r="A1838" s="45"/>
      <c r="B1838" s="46"/>
      <c r="C1838" s="46"/>
      <c r="D1838" s="46"/>
      <c r="E1838" s="46"/>
      <c r="F1838" s="46"/>
      <c r="G1838" s="46"/>
      <c r="H1838" s="46"/>
      <c r="I1838" s="46"/>
      <c r="J1838" s="46"/>
      <c r="K1838" s="46"/>
      <c r="L1838" s="46"/>
      <c r="M1838" s="46"/>
      <c r="N1838" s="46"/>
      <c r="O1838" s="46"/>
      <c r="P1838" s="46"/>
      <c r="Q1838" s="46"/>
      <c r="R1838" s="46"/>
      <c r="S1838" s="46"/>
      <c r="T1838" s="46"/>
      <c r="U1838" s="46"/>
      <c r="V1838" s="46"/>
      <c r="W1838" s="46"/>
      <c r="X1838" s="46"/>
    </row>
    <row r="1839" spans="1:24" x14ac:dyDescent="0.2">
      <c r="A1839" s="45"/>
      <c r="B1839" s="46"/>
      <c r="C1839" s="46"/>
      <c r="D1839" s="46"/>
      <c r="E1839" s="46"/>
      <c r="F1839" s="46"/>
      <c r="G1839" s="46"/>
      <c r="H1839" s="46"/>
      <c r="I1839" s="46"/>
      <c r="J1839" s="46"/>
      <c r="K1839" s="46"/>
      <c r="L1839" s="46"/>
      <c r="M1839" s="46"/>
      <c r="N1839" s="46"/>
      <c r="O1839" s="46"/>
      <c r="P1839" s="46"/>
      <c r="Q1839" s="46"/>
      <c r="R1839" s="46"/>
      <c r="S1839" s="46"/>
      <c r="T1839" s="46"/>
      <c r="U1839" s="46"/>
      <c r="V1839" s="46"/>
      <c r="W1839" s="46"/>
      <c r="X1839" s="46"/>
    </row>
    <row r="1840" spans="1:24" x14ac:dyDescent="0.2">
      <c r="A1840" s="45"/>
      <c r="B1840" s="46"/>
      <c r="C1840" s="46"/>
      <c r="D1840" s="46"/>
      <c r="E1840" s="46"/>
      <c r="F1840" s="46"/>
      <c r="G1840" s="46"/>
      <c r="H1840" s="46"/>
      <c r="I1840" s="46"/>
      <c r="J1840" s="46"/>
      <c r="K1840" s="46"/>
      <c r="L1840" s="46"/>
      <c r="M1840" s="46"/>
      <c r="N1840" s="46"/>
      <c r="O1840" s="46"/>
      <c r="P1840" s="46"/>
      <c r="Q1840" s="46"/>
      <c r="R1840" s="46"/>
      <c r="S1840" s="46"/>
      <c r="T1840" s="46"/>
      <c r="U1840" s="46"/>
      <c r="V1840" s="46"/>
      <c r="W1840" s="46"/>
      <c r="X1840" s="46"/>
    </row>
    <row r="1841" spans="1:24" x14ac:dyDescent="0.2">
      <c r="A1841" s="45"/>
      <c r="B1841" s="46"/>
      <c r="C1841" s="46"/>
      <c r="D1841" s="46"/>
      <c r="E1841" s="46"/>
      <c r="F1841" s="46"/>
      <c r="G1841" s="46"/>
      <c r="H1841" s="46"/>
      <c r="I1841" s="46"/>
      <c r="J1841" s="46"/>
      <c r="K1841" s="46"/>
      <c r="L1841" s="46"/>
      <c r="M1841" s="46"/>
      <c r="N1841" s="46"/>
      <c r="O1841" s="46"/>
      <c r="P1841" s="46"/>
      <c r="Q1841" s="46"/>
      <c r="R1841" s="46"/>
      <c r="S1841" s="46"/>
      <c r="T1841" s="46"/>
      <c r="U1841" s="46"/>
      <c r="V1841" s="46"/>
      <c r="W1841" s="46"/>
      <c r="X1841" s="46"/>
    </row>
    <row r="1842" spans="1:24" x14ac:dyDescent="0.2">
      <c r="A1842" s="45"/>
      <c r="B1842" s="46"/>
      <c r="C1842" s="46"/>
      <c r="D1842" s="46"/>
      <c r="E1842" s="46"/>
      <c r="F1842" s="46"/>
      <c r="G1842" s="46"/>
      <c r="H1842" s="46"/>
      <c r="I1842" s="46"/>
      <c r="J1842" s="46"/>
      <c r="K1842" s="46"/>
      <c r="L1842" s="46"/>
      <c r="M1842" s="46"/>
      <c r="N1842" s="46"/>
      <c r="O1842" s="46"/>
      <c r="P1842" s="46"/>
      <c r="Q1842" s="46"/>
      <c r="R1842" s="46"/>
      <c r="S1842" s="46"/>
      <c r="T1842" s="46"/>
      <c r="U1842" s="46"/>
      <c r="V1842" s="46"/>
      <c r="W1842" s="46"/>
      <c r="X1842" s="46"/>
    </row>
    <row r="1843" spans="1:24" x14ac:dyDescent="0.2">
      <c r="A1843" s="45"/>
      <c r="B1843" s="46"/>
      <c r="C1843" s="46"/>
      <c r="D1843" s="46"/>
      <c r="E1843" s="46"/>
      <c r="F1843" s="46"/>
      <c r="G1843" s="46"/>
      <c r="H1843" s="46"/>
      <c r="I1843" s="46"/>
      <c r="J1843" s="46"/>
      <c r="K1843" s="46"/>
      <c r="L1843" s="46"/>
      <c r="M1843" s="46"/>
      <c r="N1843" s="46"/>
      <c r="O1843" s="46"/>
      <c r="P1843" s="46"/>
      <c r="Q1843" s="46"/>
      <c r="R1843" s="46"/>
      <c r="S1843" s="46"/>
      <c r="T1843" s="46"/>
      <c r="U1843" s="46"/>
      <c r="V1843" s="46"/>
      <c r="W1843" s="46"/>
      <c r="X1843" s="46"/>
    </row>
    <row r="1844" spans="1:24" x14ac:dyDescent="0.2">
      <c r="A1844" s="45"/>
      <c r="B1844" s="46"/>
      <c r="C1844" s="46"/>
      <c r="D1844" s="46"/>
      <c r="E1844" s="46"/>
      <c r="F1844" s="46"/>
      <c r="G1844" s="46"/>
      <c r="H1844" s="46"/>
      <c r="I1844" s="46"/>
      <c r="J1844" s="46"/>
      <c r="K1844" s="46"/>
      <c r="L1844" s="46"/>
      <c r="M1844" s="46"/>
      <c r="N1844" s="46"/>
      <c r="O1844" s="46"/>
      <c r="P1844" s="46"/>
      <c r="Q1844" s="46"/>
      <c r="R1844" s="46"/>
      <c r="S1844" s="46"/>
      <c r="T1844" s="46"/>
      <c r="U1844" s="46"/>
      <c r="V1844" s="46"/>
      <c r="W1844" s="46"/>
      <c r="X1844" s="46"/>
    </row>
    <row r="1845" spans="1:24" x14ac:dyDescent="0.2">
      <c r="A1845" s="45"/>
      <c r="B1845" s="46"/>
      <c r="C1845" s="46"/>
      <c r="D1845" s="46"/>
      <c r="E1845" s="46"/>
      <c r="F1845" s="46"/>
      <c r="G1845" s="46"/>
      <c r="H1845" s="46"/>
      <c r="I1845" s="46"/>
      <c r="J1845" s="46"/>
      <c r="K1845" s="46"/>
      <c r="L1845" s="46"/>
      <c r="M1845" s="46"/>
      <c r="N1845" s="46"/>
      <c r="O1845" s="46"/>
      <c r="P1845" s="46"/>
      <c r="Q1845" s="46"/>
      <c r="R1845" s="46"/>
      <c r="S1845" s="46"/>
      <c r="T1845" s="46"/>
      <c r="U1845" s="46"/>
      <c r="V1845" s="46"/>
      <c r="W1845" s="46"/>
      <c r="X1845" s="46"/>
    </row>
    <row r="1846" spans="1:24" x14ac:dyDescent="0.2">
      <c r="A1846" s="45"/>
      <c r="B1846" s="46"/>
      <c r="C1846" s="46"/>
      <c r="D1846" s="46"/>
      <c r="E1846" s="46"/>
      <c r="F1846" s="46"/>
      <c r="G1846" s="46"/>
      <c r="H1846" s="46"/>
      <c r="I1846" s="46"/>
      <c r="J1846" s="46"/>
      <c r="K1846" s="46"/>
      <c r="L1846" s="46"/>
      <c r="M1846" s="46"/>
      <c r="N1846" s="46"/>
      <c r="O1846" s="46"/>
      <c r="P1846" s="46"/>
      <c r="Q1846" s="46"/>
      <c r="R1846" s="46"/>
      <c r="S1846" s="46"/>
      <c r="T1846" s="46"/>
      <c r="U1846" s="46"/>
      <c r="V1846" s="46"/>
      <c r="W1846" s="46"/>
      <c r="X1846" s="46"/>
    </row>
    <row r="1847" spans="1:24" x14ac:dyDescent="0.2">
      <c r="A1847" s="45"/>
      <c r="B1847" s="46"/>
      <c r="C1847" s="46"/>
      <c r="D1847" s="46"/>
      <c r="E1847" s="46"/>
      <c r="F1847" s="46"/>
      <c r="G1847" s="46"/>
      <c r="H1847" s="46"/>
      <c r="I1847" s="46"/>
      <c r="J1847" s="46"/>
      <c r="K1847" s="46"/>
      <c r="L1847" s="46"/>
      <c r="M1847" s="46"/>
      <c r="N1847" s="46"/>
      <c r="O1847" s="46"/>
      <c r="P1847" s="46"/>
      <c r="Q1847" s="46"/>
      <c r="R1847" s="46"/>
      <c r="S1847" s="46"/>
      <c r="T1847" s="46"/>
      <c r="U1847" s="46"/>
      <c r="V1847" s="46"/>
      <c r="W1847" s="46"/>
      <c r="X1847" s="46"/>
    </row>
    <row r="1848" spans="1:24" x14ac:dyDescent="0.2">
      <c r="A1848" s="45"/>
      <c r="B1848" s="46"/>
      <c r="C1848" s="46"/>
      <c r="D1848" s="46"/>
      <c r="E1848" s="46"/>
      <c r="F1848" s="46"/>
      <c r="G1848" s="46"/>
      <c r="H1848" s="46"/>
      <c r="I1848" s="46"/>
      <c r="J1848" s="46"/>
      <c r="K1848" s="46"/>
      <c r="L1848" s="46"/>
      <c r="M1848" s="46"/>
      <c r="N1848" s="46"/>
      <c r="O1848" s="46"/>
      <c r="P1848" s="46"/>
      <c r="Q1848" s="46"/>
      <c r="R1848" s="46"/>
      <c r="S1848" s="46"/>
      <c r="T1848" s="46"/>
      <c r="U1848" s="46"/>
      <c r="V1848" s="46"/>
      <c r="W1848" s="46"/>
      <c r="X1848" s="46"/>
    </row>
    <row r="1849" spans="1:24" x14ac:dyDescent="0.2">
      <c r="A1849" s="45"/>
      <c r="B1849" s="46"/>
      <c r="C1849" s="46"/>
      <c r="D1849" s="46"/>
      <c r="E1849" s="46"/>
      <c r="F1849" s="46"/>
      <c r="G1849" s="46"/>
      <c r="H1849" s="46"/>
      <c r="I1849" s="46"/>
      <c r="J1849" s="46"/>
      <c r="K1849" s="46"/>
      <c r="L1849" s="46"/>
      <c r="M1849" s="46"/>
      <c r="N1849" s="46"/>
      <c r="O1849" s="46"/>
      <c r="P1849" s="46"/>
      <c r="Q1849" s="46"/>
      <c r="R1849" s="46"/>
      <c r="S1849" s="46"/>
      <c r="T1849" s="46"/>
      <c r="U1849" s="46"/>
      <c r="V1849" s="46"/>
      <c r="W1849" s="46"/>
      <c r="X1849" s="46"/>
    </row>
    <row r="1850" spans="1:24" x14ac:dyDescent="0.2">
      <c r="A1850" s="45"/>
      <c r="B1850" s="46"/>
      <c r="C1850" s="46"/>
      <c r="D1850" s="46"/>
      <c r="E1850" s="46"/>
      <c r="F1850" s="46"/>
      <c r="G1850" s="46"/>
      <c r="H1850" s="46"/>
      <c r="I1850" s="46"/>
      <c r="J1850" s="46"/>
      <c r="K1850" s="46"/>
      <c r="L1850" s="46"/>
      <c r="M1850" s="46"/>
      <c r="N1850" s="46"/>
      <c r="O1850" s="46"/>
      <c r="P1850" s="46"/>
      <c r="Q1850" s="46"/>
      <c r="R1850" s="46"/>
      <c r="S1850" s="46"/>
      <c r="T1850" s="46"/>
      <c r="U1850" s="46"/>
      <c r="V1850" s="46"/>
      <c r="W1850" s="46"/>
      <c r="X1850" s="46"/>
    </row>
    <row r="1851" spans="1:24" x14ac:dyDescent="0.2">
      <c r="A1851" s="45"/>
      <c r="B1851" s="46"/>
      <c r="C1851" s="46"/>
      <c r="D1851" s="46"/>
      <c r="E1851" s="46"/>
      <c r="F1851" s="46"/>
      <c r="G1851" s="46"/>
      <c r="H1851" s="46"/>
      <c r="I1851" s="46"/>
      <c r="J1851" s="46"/>
      <c r="K1851" s="46"/>
      <c r="L1851" s="46"/>
      <c r="M1851" s="46"/>
      <c r="N1851" s="46"/>
      <c r="O1851" s="46"/>
      <c r="P1851" s="46"/>
      <c r="Q1851" s="46"/>
      <c r="R1851" s="46"/>
      <c r="S1851" s="46"/>
      <c r="T1851" s="46"/>
      <c r="U1851" s="46"/>
      <c r="V1851" s="46"/>
      <c r="W1851" s="46"/>
      <c r="X1851" s="46"/>
    </row>
    <row r="1852" spans="1:24" x14ac:dyDescent="0.2">
      <c r="A1852" s="45"/>
      <c r="B1852" s="46"/>
      <c r="C1852" s="46"/>
      <c r="D1852" s="46"/>
      <c r="E1852" s="46"/>
      <c r="F1852" s="46"/>
      <c r="G1852" s="46"/>
      <c r="H1852" s="46"/>
      <c r="I1852" s="46"/>
      <c r="J1852" s="46"/>
      <c r="K1852" s="46"/>
      <c r="L1852" s="46"/>
      <c r="M1852" s="46"/>
      <c r="N1852" s="46"/>
      <c r="O1852" s="46"/>
      <c r="P1852" s="46"/>
      <c r="Q1852" s="46"/>
      <c r="R1852" s="46"/>
      <c r="S1852" s="46"/>
      <c r="T1852" s="46"/>
      <c r="U1852" s="46"/>
      <c r="V1852" s="46"/>
      <c r="W1852" s="46"/>
      <c r="X1852" s="46"/>
    </row>
    <row r="1853" spans="1:24" x14ac:dyDescent="0.2">
      <c r="A1853" s="45"/>
      <c r="B1853" s="46"/>
      <c r="C1853" s="46"/>
      <c r="D1853" s="46"/>
      <c r="E1853" s="46"/>
      <c r="F1853" s="46"/>
      <c r="G1853" s="46"/>
      <c r="H1853" s="46"/>
      <c r="I1853" s="46"/>
      <c r="J1853" s="46"/>
      <c r="K1853" s="46"/>
      <c r="L1853" s="46"/>
      <c r="M1853" s="46"/>
      <c r="N1853" s="46"/>
      <c r="O1853" s="46"/>
      <c r="P1853" s="46"/>
      <c r="Q1853" s="46"/>
      <c r="R1853" s="46"/>
      <c r="S1853" s="46"/>
      <c r="T1853" s="46"/>
      <c r="U1853" s="46"/>
      <c r="V1853" s="46"/>
      <c r="W1853" s="46"/>
      <c r="X1853" s="46"/>
    </row>
    <row r="1854" spans="1:24" x14ac:dyDescent="0.2">
      <c r="A1854" s="45"/>
      <c r="B1854" s="46"/>
      <c r="C1854" s="46"/>
      <c r="D1854" s="46"/>
      <c r="E1854" s="46"/>
      <c r="F1854" s="46"/>
      <c r="G1854" s="46"/>
      <c r="H1854" s="46"/>
      <c r="I1854" s="46"/>
      <c r="J1854" s="46"/>
      <c r="K1854" s="46"/>
      <c r="L1854" s="46"/>
      <c r="M1854" s="46"/>
      <c r="N1854" s="46"/>
      <c r="O1854" s="46"/>
      <c r="P1854" s="46"/>
      <c r="Q1854" s="46"/>
      <c r="R1854" s="46"/>
      <c r="S1854" s="46"/>
      <c r="T1854" s="46"/>
      <c r="U1854" s="46"/>
      <c r="V1854" s="46"/>
      <c r="W1854" s="46"/>
      <c r="X1854" s="46"/>
    </row>
    <row r="1855" spans="1:24" x14ac:dyDescent="0.2">
      <c r="A1855" s="45"/>
      <c r="B1855" s="46"/>
      <c r="C1855" s="46"/>
      <c r="D1855" s="46"/>
      <c r="E1855" s="46"/>
      <c r="F1855" s="46"/>
      <c r="G1855" s="46"/>
      <c r="H1855" s="46"/>
      <c r="I1855" s="46"/>
      <c r="J1855" s="46"/>
      <c r="K1855" s="46"/>
      <c r="L1855" s="46"/>
      <c r="M1855" s="46"/>
      <c r="N1855" s="46"/>
      <c r="O1855" s="46"/>
      <c r="P1855" s="46"/>
      <c r="Q1855" s="46"/>
      <c r="R1855" s="46"/>
      <c r="S1855" s="46"/>
      <c r="T1855" s="46"/>
      <c r="U1855" s="46"/>
      <c r="V1855" s="46"/>
      <c r="W1855" s="46"/>
      <c r="X1855" s="46"/>
    </row>
    <row r="1856" spans="1:24" x14ac:dyDescent="0.2">
      <c r="A1856" s="45"/>
      <c r="B1856" s="46"/>
      <c r="C1856" s="46"/>
      <c r="D1856" s="46"/>
      <c r="E1856" s="46"/>
      <c r="F1856" s="46"/>
      <c r="G1856" s="46"/>
      <c r="H1856" s="46"/>
      <c r="I1856" s="46"/>
      <c r="J1856" s="46"/>
      <c r="K1856" s="46"/>
      <c r="L1856" s="46"/>
      <c r="M1856" s="46"/>
      <c r="N1856" s="46"/>
      <c r="O1856" s="46"/>
      <c r="P1856" s="46"/>
      <c r="Q1856" s="46"/>
      <c r="R1856" s="46"/>
      <c r="S1856" s="46"/>
      <c r="T1856" s="46"/>
      <c r="U1856" s="46"/>
      <c r="V1856" s="46"/>
      <c r="W1856" s="46"/>
      <c r="X1856" s="46"/>
    </row>
    <row r="1857" spans="1:24" x14ac:dyDescent="0.2">
      <c r="A1857" s="45"/>
      <c r="B1857" s="46"/>
      <c r="C1857" s="46"/>
      <c r="D1857" s="46"/>
      <c r="E1857" s="46"/>
      <c r="F1857" s="46"/>
      <c r="G1857" s="46"/>
      <c r="H1857" s="46"/>
      <c r="I1857" s="46"/>
      <c r="J1857" s="46"/>
      <c r="K1857" s="46"/>
      <c r="L1857" s="46"/>
      <c r="M1857" s="46"/>
      <c r="N1857" s="46"/>
      <c r="O1857" s="46"/>
      <c r="P1857" s="46"/>
      <c r="Q1857" s="46"/>
      <c r="R1857" s="46"/>
      <c r="S1857" s="46"/>
      <c r="T1857" s="46"/>
      <c r="U1857" s="46"/>
      <c r="V1857" s="46"/>
      <c r="W1857" s="46"/>
      <c r="X1857" s="46"/>
    </row>
    <row r="1858" spans="1:24" x14ac:dyDescent="0.2">
      <c r="A1858" s="45"/>
      <c r="B1858" s="46"/>
      <c r="C1858" s="46"/>
      <c r="D1858" s="46"/>
      <c r="E1858" s="46"/>
      <c r="F1858" s="46"/>
      <c r="G1858" s="46"/>
      <c r="H1858" s="46"/>
      <c r="I1858" s="46"/>
      <c r="J1858" s="46"/>
      <c r="K1858" s="46"/>
      <c r="L1858" s="46"/>
      <c r="M1858" s="46"/>
      <c r="N1858" s="46"/>
      <c r="O1858" s="46"/>
      <c r="P1858" s="46"/>
      <c r="Q1858" s="46"/>
      <c r="R1858" s="46"/>
      <c r="S1858" s="46"/>
      <c r="T1858" s="46"/>
      <c r="U1858" s="46"/>
      <c r="V1858" s="46"/>
      <c r="W1858" s="46"/>
      <c r="X1858" s="46"/>
    </row>
    <row r="1859" spans="1:24" x14ac:dyDescent="0.2">
      <c r="A1859" s="45"/>
      <c r="B1859" s="46"/>
      <c r="C1859" s="46"/>
      <c r="D1859" s="46"/>
      <c r="E1859" s="46"/>
      <c r="F1859" s="46"/>
      <c r="G1859" s="46"/>
      <c r="H1859" s="46"/>
      <c r="I1859" s="46"/>
      <c r="J1859" s="46"/>
      <c r="K1859" s="46"/>
      <c r="L1859" s="46"/>
      <c r="M1859" s="46"/>
      <c r="N1859" s="46"/>
      <c r="O1859" s="46"/>
      <c r="P1859" s="46"/>
      <c r="Q1859" s="46"/>
      <c r="R1859" s="46"/>
      <c r="S1859" s="46"/>
      <c r="T1859" s="46"/>
      <c r="U1859" s="46"/>
      <c r="V1859" s="46"/>
      <c r="W1859" s="46"/>
      <c r="X1859" s="46"/>
    </row>
    <row r="1860" spans="1:24" x14ac:dyDescent="0.2">
      <c r="A1860" s="45"/>
      <c r="B1860" s="46"/>
      <c r="C1860" s="46"/>
      <c r="D1860" s="46"/>
      <c r="E1860" s="46"/>
      <c r="F1860" s="46"/>
      <c r="G1860" s="46"/>
      <c r="H1860" s="46"/>
      <c r="I1860" s="46"/>
      <c r="J1860" s="46"/>
      <c r="K1860" s="46"/>
      <c r="L1860" s="46"/>
      <c r="M1860" s="46"/>
      <c r="N1860" s="46"/>
      <c r="O1860" s="46"/>
      <c r="P1860" s="46"/>
      <c r="Q1860" s="46"/>
      <c r="R1860" s="46"/>
      <c r="S1860" s="46"/>
      <c r="T1860" s="46"/>
      <c r="U1860" s="46"/>
      <c r="V1860" s="46"/>
      <c r="W1860" s="46"/>
      <c r="X1860" s="46"/>
    </row>
    <row r="1861" spans="1:24" x14ac:dyDescent="0.2">
      <c r="A1861" s="45"/>
      <c r="B1861" s="46"/>
      <c r="C1861" s="46"/>
      <c r="D1861" s="46"/>
      <c r="E1861" s="46"/>
      <c r="F1861" s="46"/>
      <c r="G1861" s="46"/>
      <c r="H1861" s="46"/>
      <c r="I1861" s="46"/>
      <c r="J1861" s="46"/>
      <c r="K1861" s="46"/>
      <c r="L1861" s="46"/>
      <c r="M1861" s="46"/>
      <c r="N1861" s="46"/>
      <c r="O1861" s="46"/>
      <c r="P1861" s="46"/>
      <c r="Q1861" s="46"/>
      <c r="R1861" s="46"/>
      <c r="S1861" s="46"/>
      <c r="T1861" s="46"/>
      <c r="U1861" s="46"/>
      <c r="V1861" s="46"/>
      <c r="W1861" s="46"/>
      <c r="X1861" s="46"/>
    </row>
    <row r="1862" spans="1:24" x14ac:dyDescent="0.2">
      <c r="A1862" s="45"/>
      <c r="B1862" s="46"/>
      <c r="C1862" s="46"/>
      <c r="D1862" s="46"/>
      <c r="E1862" s="46"/>
      <c r="F1862" s="46"/>
      <c r="G1862" s="46"/>
      <c r="H1862" s="46"/>
      <c r="I1862" s="46"/>
      <c r="J1862" s="46"/>
      <c r="K1862" s="46"/>
      <c r="L1862" s="46"/>
      <c r="M1862" s="46"/>
      <c r="N1862" s="46"/>
      <c r="O1862" s="46"/>
      <c r="P1862" s="46"/>
      <c r="Q1862" s="46"/>
      <c r="R1862" s="46"/>
      <c r="S1862" s="46"/>
      <c r="T1862" s="46"/>
      <c r="U1862" s="46"/>
      <c r="V1862" s="46"/>
      <c r="W1862" s="46"/>
      <c r="X1862" s="46"/>
    </row>
    <row r="1863" spans="1:24" x14ac:dyDescent="0.2">
      <c r="A1863" s="45"/>
      <c r="B1863" s="46"/>
      <c r="C1863" s="46"/>
      <c r="D1863" s="46"/>
      <c r="E1863" s="46"/>
      <c r="F1863" s="46"/>
      <c r="G1863" s="46"/>
      <c r="H1863" s="46"/>
      <c r="I1863" s="46"/>
      <c r="J1863" s="46"/>
      <c r="K1863" s="46"/>
      <c r="L1863" s="46"/>
      <c r="M1863" s="46"/>
      <c r="N1863" s="46"/>
      <c r="O1863" s="46"/>
      <c r="P1863" s="46"/>
      <c r="Q1863" s="46"/>
      <c r="R1863" s="46"/>
      <c r="S1863" s="46"/>
      <c r="T1863" s="46"/>
      <c r="U1863" s="46"/>
      <c r="V1863" s="46"/>
      <c r="W1863" s="46"/>
      <c r="X1863" s="46"/>
    </row>
    <row r="1864" spans="1:24" x14ac:dyDescent="0.2">
      <c r="A1864" s="45"/>
      <c r="B1864" s="46"/>
      <c r="C1864" s="46"/>
      <c r="D1864" s="46"/>
      <c r="E1864" s="46"/>
      <c r="F1864" s="46"/>
      <c r="G1864" s="46"/>
      <c r="H1864" s="46"/>
      <c r="I1864" s="46"/>
      <c r="J1864" s="46"/>
      <c r="K1864" s="46"/>
      <c r="L1864" s="46"/>
      <c r="M1864" s="46"/>
      <c r="N1864" s="46"/>
      <c r="O1864" s="46"/>
      <c r="P1864" s="46"/>
      <c r="Q1864" s="46"/>
      <c r="R1864" s="46"/>
      <c r="S1864" s="46"/>
      <c r="T1864" s="46"/>
      <c r="U1864" s="46"/>
      <c r="V1864" s="46"/>
      <c r="W1864" s="46"/>
      <c r="X1864" s="46"/>
    </row>
    <row r="1865" spans="1:24" x14ac:dyDescent="0.2">
      <c r="A1865" s="45"/>
      <c r="B1865" s="46"/>
      <c r="C1865" s="46"/>
      <c r="D1865" s="46"/>
      <c r="E1865" s="46"/>
      <c r="F1865" s="46"/>
      <c r="G1865" s="46"/>
      <c r="H1865" s="46"/>
      <c r="I1865" s="46"/>
      <c r="J1865" s="46"/>
      <c r="K1865" s="46"/>
      <c r="L1865" s="46"/>
      <c r="M1865" s="46"/>
      <c r="N1865" s="46"/>
      <c r="O1865" s="46"/>
      <c r="P1865" s="46"/>
      <c r="Q1865" s="46"/>
      <c r="R1865" s="46"/>
      <c r="S1865" s="46"/>
      <c r="T1865" s="46"/>
      <c r="U1865" s="46"/>
      <c r="V1865" s="46"/>
      <c r="W1865" s="46"/>
      <c r="X1865" s="46"/>
    </row>
    <row r="1866" spans="1:24" x14ac:dyDescent="0.2">
      <c r="A1866" s="45"/>
      <c r="B1866" s="46"/>
      <c r="C1866" s="46"/>
      <c r="D1866" s="46"/>
      <c r="E1866" s="46"/>
      <c r="F1866" s="46"/>
      <c r="G1866" s="46"/>
      <c r="H1866" s="46"/>
      <c r="I1866" s="46"/>
      <c r="J1866" s="46"/>
      <c r="K1866" s="46"/>
      <c r="L1866" s="46"/>
      <c r="M1866" s="46"/>
      <c r="N1866" s="46"/>
      <c r="O1866" s="46"/>
      <c r="P1866" s="46"/>
      <c r="Q1866" s="46"/>
      <c r="R1866" s="46"/>
      <c r="S1866" s="46"/>
      <c r="T1866" s="46"/>
      <c r="U1866" s="46"/>
      <c r="V1866" s="46"/>
      <c r="W1866" s="46"/>
      <c r="X1866" s="46"/>
    </row>
    <row r="1867" spans="1:24" x14ac:dyDescent="0.2">
      <c r="A1867" s="45"/>
      <c r="B1867" s="46"/>
      <c r="C1867" s="46"/>
      <c r="D1867" s="46"/>
      <c r="E1867" s="46"/>
      <c r="F1867" s="46"/>
      <c r="G1867" s="46"/>
      <c r="H1867" s="46"/>
      <c r="I1867" s="46"/>
      <c r="J1867" s="46"/>
      <c r="K1867" s="46"/>
      <c r="L1867" s="46"/>
      <c r="M1867" s="46"/>
      <c r="N1867" s="46"/>
      <c r="O1867" s="46"/>
      <c r="P1867" s="46"/>
      <c r="Q1867" s="46"/>
      <c r="R1867" s="46"/>
      <c r="S1867" s="46"/>
      <c r="T1867" s="46"/>
      <c r="U1867" s="46"/>
      <c r="V1867" s="46"/>
      <c r="W1867" s="46"/>
      <c r="X1867" s="46"/>
    </row>
    <row r="1868" spans="1:24" x14ac:dyDescent="0.2">
      <c r="A1868" s="45"/>
      <c r="B1868" s="46"/>
      <c r="C1868" s="46"/>
      <c r="D1868" s="46"/>
      <c r="E1868" s="46"/>
      <c r="F1868" s="46"/>
      <c r="G1868" s="46"/>
      <c r="H1868" s="46"/>
      <c r="I1868" s="46"/>
      <c r="J1868" s="46"/>
      <c r="K1868" s="46"/>
      <c r="L1868" s="46"/>
      <c r="M1868" s="46"/>
      <c r="N1868" s="46"/>
      <c r="O1868" s="46"/>
      <c r="P1868" s="46"/>
      <c r="Q1868" s="46"/>
      <c r="R1868" s="46"/>
      <c r="S1868" s="46"/>
      <c r="T1868" s="46"/>
      <c r="U1868" s="46"/>
      <c r="V1868" s="46"/>
      <c r="W1868" s="46"/>
      <c r="X1868" s="46"/>
    </row>
    <row r="1869" spans="1:24" x14ac:dyDescent="0.2">
      <c r="A1869" s="45"/>
      <c r="B1869" s="46"/>
      <c r="C1869" s="46"/>
      <c r="D1869" s="46"/>
      <c r="E1869" s="46"/>
      <c r="F1869" s="46"/>
      <c r="G1869" s="46"/>
      <c r="H1869" s="46"/>
      <c r="I1869" s="46"/>
      <c r="J1869" s="46"/>
      <c r="K1869" s="46"/>
      <c r="L1869" s="46"/>
      <c r="M1869" s="46"/>
      <c r="N1869" s="46"/>
      <c r="O1869" s="46"/>
      <c r="P1869" s="46"/>
      <c r="Q1869" s="46"/>
      <c r="R1869" s="46"/>
      <c r="S1869" s="46"/>
      <c r="T1869" s="46"/>
      <c r="U1869" s="46"/>
      <c r="V1869" s="46"/>
      <c r="W1869" s="46"/>
      <c r="X1869" s="46"/>
    </row>
    <row r="1870" spans="1:24" x14ac:dyDescent="0.2">
      <c r="A1870" s="45"/>
      <c r="B1870" s="46"/>
      <c r="C1870" s="46"/>
      <c r="D1870" s="46"/>
      <c r="E1870" s="46"/>
      <c r="F1870" s="46"/>
      <c r="G1870" s="46"/>
      <c r="H1870" s="46"/>
      <c r="I1870" s="46"/>
      <c r="J1870" s="46"/>
      <c r="K1870" s="46"/>
      <c r="L1870" s="46"/>
      <c r="M1870" s="46"/>
      <c r="N1870" s="46"/>
      <c r="O1870" s="46"/>
      <c r="P1870" s="46"/>
      <c r="Q1870" s="46"/>
      <c r="R1870" s="46"/>
      <c r="S1870" s="46"/>
      <c r="T1870" s="46"/>
      <c r="U1870" s="46"/>
      <c r="V1870" s="46"/>
      <c r="W1870" s="46"/>
      <c r="X1870" s="46"/>
    </row>
    <row r="1871" spans="1:24" x14ac:dyDescent="0.2">
      <c r="A1871" s="45"/>
      <c r="B1871" s="46"/>
      <c r="C1871" s="46"/>
      <c r="D1871" s="46"/>
      <c r="E1871" s="46"/>
      <c r="F1871" s="46"/>
      <c r="G1871" s="46"/>
      <c r="H1871" s="46"/>
      <c r="I1871" s="46"/>
      <c r="J1871" s="46"/>
      <c r="K1871" s="46"/>
      <c r="L1871" s="46"/>
      <c r="M1871" s="46"/>
      <c r="N1871" s="46"/>
      <c r="O1871" s="46"/>
      <c r="P1871" s="46"/>
      <c r="Q1871" s="46"/>
      <c r="R1871" s="46"/>
      <c r="S1871" s="46"/>
      <c r="T1871" s="46"/>
      <c r="U1871" s="46"/>
      <c r="V1871" s="46"/>
      <c r="W1871" s="46"/>
      <c r="X1871" s="46"/>
    </row>
    <row r="1872" spans="1:24" x14ac:dyDescent="0.2">
      <c r="A1872" s="45"/>
      <c r="B1872" s="46"/>
      <c r="C1872" s="46"/>
      <c r="D1872" s="46"/>
      <c r="E1872" s="46"/>
      <c r="F1872" s="46"/>
      <c r="G1872" s="46"/>
      <c r="H1872" s="46"/>
      <c r="I1872" s="46"/>
      <c r="J1872" s="46"/>
      <c r="K1872" s="46"/>
      <c r="L1872" s="46"/>
      <c r="M1872" s="46"/>
      <c r="N1872" s="46"/>
      <c r="O1872" s="46"/>
      <c r="P1872" s="46"/>
      <c r="Q1872" s="46"/>
      <c r="R1872" s="46"/>
      <c r="S1872" s="46"/>
      <c r="T1872" s="46"/>
      <c r="U1872" s="46"/>
      <c r="V1872" s="46"/>
      <c r="W1872" s="46"/>
      <c r="X1872" s="46"/>
    </row>
    <row r="1873" spans="1:24" x14ac:dyDescent="0.2">
      <c r="A1873" s="45"/>
      <c r="B1873" s="46"/>
      <c r="C1873" s="46"/>
      <c r="D1873" s="46"/>
      <c r="E1873" s="46"/>
      <c r="F1873" s="46"/>
      <c r="G1873" s="46"/>
      <c r="H1873" s="46"/>
      <c r="I1873" s="46"/>
      <c r="J1873" s="46"/>
      <c r="K1873" s="46"/>
      <c r="L1873" s="46"/>
      <c r="M1873" s="46"/>
      <c r="N1873" s="46"/>
      <c r="O1873" s="46"/>
      <c r="P1873" s="46"/>
      <c r="Q1873" s="46"/>
      <c r="R1873" s="46"/>
      <c r="S1873" s="46"/>
      <c r="T1873" s="46"/>
      <c r="U1873" s="46"/>
      <c r="V1873" s="46"/>
      <c r="W1873" s="46"/>
      <c r="X1873" s="46"/>
    </row>
    <row r="1874" spans="1:24" x14ac:dyDescent="0.2">
      <c r="A1874" s="45"/>
      <c r="B1874" s="46"/>
      <c r="C1874" s="46"/>
      <c r="D1874" s="46"/>
      <c r="E1874" s="46"/>
      <c r="F1874" s="46"/>
      <c r="G1874" s="46"/>
      <c r="H1874" s="46"/>
      <c r="I1874" s="46"/>
      <c r="J1874" s="46"/>
      <c r="K1874" s="46"/>
      <c r="L1874" s="46"/>
      <c r="M1874" s="46"/>
      <c r="N1874" s="46"/>
      <c r="O1874" s="46"/>
      <c r="P1874" s="46"/>
      <c r="Q1874" s="46"/>
      <c r="R1874" s="46"/>
      <c r="S1874" s="46"/>
      <c r="T1874" s="46"/>
      <c r="U1874" s="46"/>
      <c r="V1874" s="46"/>
      <c r="W1874" s="46"/>
      <c r="X1874" s="46"/>
    </row>
    <row r="1875" spans="1:24" x14ac:dyDescent="0.2">
      <c r="A1875" s="45"/>
      <c r="B1875" s="46"/>
      <c r="C1875" s="46"/>
      <c r="D1875" s="46"/>
      <c r="E1875" s="46"/>
      <c r="F1875" s="46"/>
      <c r="G1875" s="46"/>
      <c r="H1875" s="46"/>
      <c r="I1875" s="46"/>
      <c r="J1875" s="46"/>
      <c r="K1875" s="46"/>
      <c r="L1875" s="46"/>
      <c r="M1875" s="46"/>
      <c r="N1875" s="46"/>
      <c r="O1875" s="46"/>
      <c r="P1875" s="46"/>
      <c r="Q1875" s="46"/>
      <c r="R1875" s="46"/>
      <c r="S1875" s="46"/>
      <c r="T1875" s="46"/>
      <c r="U1875" s="46"/>
      <c r="V1875" s="46"/>
      <c r="W1875" s="46"/>
      <c r="X1875" s="46"/>
    </row>
    <row r="1876" spans="1:24" x14ac:dyDescent="0.2">
      <c r="A1876" s="45"/>
      <c r="B1876" s="46"/>
      <c r="C1876" s="46"/>
      <c r="D1876" s="46"/>
      <c r="E1876" s="46"/>
      <c r="F1876" s="46"/>
      <c r="G1876" s="46"/>
      <c r="H1876" s="46"/>
      <c r="I1876" s="46"/>
      <c r="J1876" s="46"/>
      <c r="K1876" s="46"/>
      <c r="L1876" s="46"/>
      <c r="M1876" s="46"/>
      <c r="N1876" s="46"/>
      <c r="O1876" s="46"/>
      <c r="P1876" s="46"/>
      <c r="Q1876" s="46"/>
      <c r="R1876" s="46"/>
      <c r="S1876" s="46"/>
      <c r="T1876" s="46"/>
      <c r="U1876" s="46"/>
      <c r="V1876" s="46"/>
      <c r="W1876" s="46"/>
      <c r="X1876" s="46"/>
    </row>
    <row r="1877" spans="1:24" x14ac:dyDescent="0.2">
      <c r="A1877" s="45"/>
      <c r="B1877" s="46"/>
      <c r="C1877" s="46"/>
      <c r="D1877" s="46"/>
      <c r="E1877" s="46"/>
      <c r="F1877" s="46"/>
      <c r="G1877" s="46"/>
      <c r="H1877" s="46"/>
      <c r="I1877" s="46"/>
      <c r="J1877" s="46"/>
      <c r="K1877" s="46"/>
      <c r="L1877" s="46"/>
      <c r="M1877" s="46"/>
      <c r="N1877" s="46"/>
      <c r="O1877" s="46"/>
      <c r="P1877" s="46"/>
      <c r="Q1877" s="46"/>
      <c r="R1877" s="46"/>
      <c r="S1877" s="46"/>
      <c r="T1877" s="46"/>
      <c r="U1877" s="46"/>
      <c r="V1877" s="46"/>
      <c r="W1877" s="46"/>
      <c r="X1877" s="46"/>
    </row>
    <row r="1878" spans="1:24" x14ac:dyDescent="0.2">
      <c r="A1878" s="45"/>
      <c r="B1878" s="46"/>
      <c r="C1878" s="46"/>
      <c r="D1878" s="46"/>
      <c r="E1878" s="46"/>
      <c r="F1878" s="46"/>
      <c r="G1878" s="46"/>
      <c r="H1878" s="46"/>
      <c r="I1878" s="46"/>
      <c r="J1878" s="46"/>
      <c r="K1878" s="46"/>
      <c r="L1878" s="46"/>
      <c r="M1878" s="46"/>
      <c r="N1878" s="46"/>
      <c r="O1878" s="46"/>
      <c r="P1878" s="46"/>
      <c r="Q1878" s="46"/>
      <c r="R1878" s="46"/>
      <c r="S1878" s="46"/>
      <c r="T1878" s="46"/>
      <c r="U1878" s="46"/>
      <c r="V1878" s="46"/>
      <c r="W1878" s="46"/>
      <c r="X1878" s="46"/>
    </row>
    <row r="1879" spans="1:24" x14ac:dyDescent="0.2">
      <c r="A1879" s="45"/>
      <c r="B1879" s="46"/>
      <c r="C1879" s="46"/>
      <c r="D1879" s="46"/>
      <c r="E1879" s="46"/>
      <c r="F1879" s="46"/>
      <c r="G1879" s="46"/>
      <c r="H1879" s="46"/>
      <c r="I1879" s="46"/>
      <c r="J1879" s="46"/>
      <c r="K1879" s="46"/>
      <c r="L1879" s="46"/>
      <c r="M1879" s="46"/>
      <c r="N1879" s="46"/>
      <c r="O1879" s="46"/>
      <c r="P1879" s="46"/>
      <c r="Q1879" s="46"/>
      <c r="R1879" s="46"/>
      <c r="S1879" s="46"/>
      <c r="T1879" s="46"/>
      <c r="U1879" s="46"/>
      <c r="V1879" s="46"/>
      <c r="W1879" s="46"/>
      <c r="X1879" s="46"/>
    </row>
    <row r="1880" spans="1:24" x14ac:dyDescent="0.2">
      <c r="A1880" s="45"/>
      <c r="B1880" s="46"/>
      <c r="C1880" s="46"/>
      <c r="D1880" s="46"/>
      <c r="E1880" s="46"/>
      <c r="F1880" s="46"/>
      <c r="G1880" s="46"/>
      <c r="H1880" s="46"/>
      <c r="I1880" s="46"/>
      <c r="J1880" s="46"/>
      <c r="K1880" s="46"/>
      <c r="L1880" s="46"/>
      <c r="M1880" s="46"/>
      <c r="N1880" s="46"/>
      <c r="O1880" s="46"/>
      <c r="P1880" s="46"/>
      <c r="Q1880" s="46"/>
      <c r="R1880" s="46"/>
      <c r="S1880" s="46"/>
      <c r="T1880" s="46"/>
      <c r="U1880" s="46"/>
      <c r="V1880" s="46"/>
      <c r="W1880" s="46"/>
      <c r="X1880" s="46"/>
    </row>
    <row r="1881" spans="1:24" x14ac:dyDescent="0.2">
      <c r="A1881" s="45"/>
      <c r="B1881" s="46"/>
      <c r="C1881" s="46"/>
      <c r="D1881" s="46"/>
      <c r="E1881" s="46"/>
      <c r="F1881" s="46"/>
      <c r="G1881" s="46"/>
      <c r="H1881" s="46"/>
      <c r="I1881" s="46"/>
      <c r="J1881" s="46"/>
      <c r="K1881" s="46"/>
      <c r="L1881" s="46"/>
      <c r="M1881" s="46"/>
      <c r="N1881" s="46"/>
      <c r="O1881" s="46"/>
      <c r="P1881" s="46"/>
      <c r="Q1881" s="46"/>
      <c r="R1881" s="46"/>
      <c r="S1881" s="46"/>
      <c r="T1881" s="46"/>
      <c r="U1881" s="46"/>
      <c r="V1881" s="46"/>
      <c r="W1881" s="46"/>
      <c r="X1881" s="46"/>
    </row>
    <row r="1882" spans="1:24" x14ac:dyDescent="0.2">
      <c r="A1882" s="45"/>
      <c r="B1882" s="46"/>
      <c r="C1882" s="46"/>
      <c r="D1882" s="46"/>
      <c r="E1882" s="46"/>
      <c r="F1882" s="46"/>
      <c r="G1882" s="46"/>
      <c r="H1882" s="46"/>
      <c r="I1882" s="46"/>
      <c r="J1882" s="46"/>
      <c r="K1882" s="46"/>
      <c r="L1882" s="46"/>
      <c r="M1882" s="46"/>
      <c r="N1882" s="46"/>
      <c r="O1882" s="46"/>
      <c r="P1882" s="46"/>
      <c r="Q1882" s="46"/>
      <c r="R1882" s="46"/>
      <c r="S1882" s="46"/>
      <c r="T1882" s="46"/>
      <c r="U1882" s="46"/>
      <c r="V1882" s="46"/>
      <c r="W1882" s="46"/>
      <c r="X1882" s="46"/>
    </row>
    <row r="1883" spans="1:24" x14ac:dyDescent="0.2">
      <c r="A1883" s="45"/>
      <c r="B1883" s="46"/>
      <c r="C1883" s="46"/>
      <c r="D1883" s="46"/>
      <c r="E1883" s="46"/>
      <c r="F1883" s="46"/>
      <c r="G1883" s="46"/>
      <c r="H1883" s="46"/>
      <c r="I1883" s="46"/>
      <c r="J1883" s="46"/>
      <c r="K1883" s="46"/>
      <c r="L1883" s="46"/>
      <c r="M1883" s="46"/>
      <c r="N1883" s="46"/>
      <c r="O1883" s="46"/>
      <c r="P1883" s="46"/>
      <c r="Q1883" s="46"/>
      <c r="R1883" s="46"/>
      <c r="S1883" s="46"/>
      <c r="T1883" s="46"/>
      <c r="U1883" s="46"/>
      <c r="V1883" s="46"/>
      <c r="W1883" s="46"/>
      <c r="X1883" s="46"/>
    </row>
    <row r="1884" spans="1:24" x14ac:dyDescent="0.2">
      <c r="A1884" s="45"/>
      <c r="B1884" s="46"/>
      <c r="C1884" s="46"/>
      <c r="D1884" s="46"/>
      <c r="E1884" s="46"/>
      <c r="F1884" s="46"/>
      <c r="G1884" s="46"/>
      <c r="H1884" s="46"/>
      <c r="I1884" s="46"/>
      <c r="J1884" s="46"/>
      <c r="K1884" s="46"/>
      <c r="L1884" s="46"/>
      <c r="M1884" s="46"/>
      <c r="N1884" s="46"/>
      <c r="O1884" s="46"/>
      <c r="P1884" s="46"/>
      <c r="Q1884" s="46"/>
      <c r="R1884" s="46"/>
      <c r="S1884" s="46"/>
      <c r="T1884" s="46"/>
      <c r="U1884" s="46"/>
      <c r="V1884" s="46"/>
      <c r="W1884" s="46"/>
      <c r="X1884" s="46"/>
    </row>
    <row r="1885" spans="1:24" x14ac:dyDescent="0.2">
      <c r="A1885" s="45"/>
      <c r="B1885" s="46"/>
      <c r="C1885" s="46"/>
      <c r="D1885" s="46"/>
      <c r="E1885" s="46"/>
      <c r="F1885" s="46"/>
      <c r="G1885" s="46"/>
      <c r="H1885" s="46"/>
      <c r="I1885" s="46"/>
      <c r="J1885" s="46"/>
      <c r="K1885" s="46"/>
      <c r="L1885" s="46"/>
      <c r="M1885" s="46"/>
      <c r="N1885" s="46"/>
      <c r="O1885" s="46"/>
      <c r="P1885" s="46"/>
      <c r="Q1885" s="46"/>
      <c r="R1885" s="46"/>
      <c r="S1885" s="46"/>
      <c r="T1885" s="46"/>
      <c r="U1885" s="46"/>
      <c r="V1885" s="46"/>
      <c r="W1885" s="46"/>
      <c r="X1885" s="46"/>
    </row>
    <row r="1886" spans="1:24" x14ac:dyDescent="0.2">
      <c r="A1886" s="45"/>
      <c r="B1886" s="46"/>
      <c r="C1886" s="46"/>
      <c r="D1886" s="46"/>
      <c r="E1886" s="46"/>
      <c r="F1886" s="46"/>
      <c r="G1886" s="46"/>
      <c r="H1886" s="46"/>
      <c r="I1886" s="46"/>
      <c r="J1886" s="46"/>
      <c r="K1886" s="46"/>
      <c r="L1886" s="46"/>
      <c r="M1886" s="46"/>
      <c r="N1886" s="46"/>
      <c r="O1886" s="46"/>
      <c r="P1886" s="46"/>
      <c r="Q1886" s="46"/>
      <c r="R1886" s="46"/>
      <c r="S1886" s="46"/>
      <c r="T1886" s="46"/>
      <c r="U1886" s="46"/>
      <c r="V1886" s="46"/>
      <c r="W1886" s="46"/>
      <c r="X1886" s="46"/>
    </row>
    <row r="1887" spans="1:24" x14ac:dyDescent="0.2">
      <c r="A1887" s="45"/>
      <c r="B1887" s="46"/>
      <c r="C1887" s="46"/>
      <c r="D1887" s="46"/>
      <c r="E1887" s="46"/>
      <c r="F1887" s="46"/>
      <c r="G1887" s="46"/>
      <c r="H1887" s="46"/>
      <c r="I1887" s="46"/>
      <c r="J1887" s="46"/>
      <c r="K1887" s="46"/>
      <c r="L1887" s="46"/>
      <c r="M1887" s="46"/>
      <c r="N1887" s="46"/>
      <c r="O1887" s="46"/>
      <c r="P1887" s="46"/>
      <c r="Q1887" s="46"/>
      <c r="R1887" s="46"/>
      <c r="S1887" s="46"/>
      <c r="T1887" s="46"/>
      <c r="U1887" s="46"/>
      <c r="V1887" s="46"/>
      <c r="W1887" s="46"/>
      <c r="X1887" s="46"/>
    </row>
    <row r="1888" spans="1:24" x14ac:dyDescent="0.2">
      <c r="A1888" s="45"/>
      <c r="B1888" s="46"/>
      <c r="C1888" s="46"/>
      <c r="D1888" s="46"/>
      <c r="E1888" s="46"/>
      <c r="F1888" s="46"/>
      <c r="G1888" s="46"/>
      <c r="H1888" s="46"/>
      <c r="I1888" s="46"/>
      <c r="J1888" s="46"/>
      <c r="K1888" s="46"/>
      <c r="L1888" s="46"/>
      <c r="M1888" s="46"/>
      <c r="N1888" s="46"/>
      <c r="O1888" s="46"/>
      <c r="P1888" s="46"/>
      <c r="Q1888" s="46"/>
      <c r="R1888" s="46"/>
      <c r="S1888" s="46"/>
      <c r="T1888" s="46"/>
      <c r="U1888" s="46"/>
      <c r="V1888" s="46"/>
      <c r="W1888" s="46"/>
      <c r="X1888" s="46"/>
    </row>
    <row r="1889" spans="1:24" x14ac:dyDescent="0.2">
      <c r="A1889" s="45"/>
      <c r="B1889" s="46"/>
      <c r="C1889" s="46"/>
      <c r="D1889" s="46"/>
      <c r="E1889" s="46"/>
      <c r="F1889" s="46"/>
      <c r="G1889" s="46"/>
      <c r="H1889" s="46"/>
      <c r="I1889" s="46"/>
      <c r="J1889" s="46"/>
      <c r="K1889" s="46"/>
      <c r="L1889" s="46"/>
      <c r="M1889" s="46"/>
      <c r="N1889" s="46"/>
      <c r="O1889" s="46"/>
      <c r="P1889" s="46"/>
      <c r="Q1889" s="46"/>
      <c r="R1889" s="46"/>
      <c r="S1889" s="46"/>
      <c r="T1889" s="46"/>
      <c r="U1889" s="46"/>
      <c r="V1889" s="46"/>
      <c r="W1889" s="46"/>
      <c r="X1889" s="46"/>
    </row>
    <row r="1890" spans="1:24" x14ac:dyDescent="0.2">
      <c r="A1890" s="45"/>
      <c r="B1890" s="46"/>
      <c r="C1890" s="46"/>
      <c r="D1890" s="46"/>
      <c r="E1890" s="46"/>
      <c r="F1890" s="46"/>
      <c r="G1890" s="46"/>
      <c r="H1890" s="46"/>
      <c r="I1890" s="46"/>
      <c r="J1890" s="46"/>
      <c r="K1890" s="46"/>
      <c r="L1890" s="46"/>
      <c r="M1890" s="46"/>
      <c r="N1890" s="46"/>
      <c r="O1890" s="46"/>
      <c r="P1890" s="46"/>
      <c r="Q1890" s="46"/>
      <c r="R1890" s="46"/>
      <c r="S1890" s="46"/>
      <c r="T1890" s="46"/>
      <c r="U1890" s="46"/>
      <c r="V1890" s="46"/>
      <c r="W1890" s="46"/>
      <c r="X1890" s="46"/>
    </row>
    <row r="1891" spans="1:24" x14ac:dyDescent="0.2">
      <c r="A1891" s="45"/>
      <c r="B1891" s="46"/>
      <c r="C1891" s="46"/>
      <c r="D1891" s="46"/>
      <c r="E1891" s="46"/>
      <c r="F1891" s="46"/>
      <c r="G1891" s="46"/>
      <c r="H1891" s="46"/>
      <c r="I1891" s="46"/>
      <c r="J1891" s="46"/>
      <c r="K1891" s="46"/>
      <c r="L1891" s="46"/>
      <c r="M1891" s="46"/>
      <c r="N1891" s="46"/>
      <c r="O1891" s="46"/>
      <c r="P1891" s="46"/>
      <c r="Q1891" s="46"/>
      <c r="R1891" s="46"/>
      <c r="S1891" s="46"/>
      <c r="T1891" s="46"/>
      <c r="U1891" s="46"/>
      <c r="V1891" s="46"/>
      <c r="W1891" s="46"/>
      <c r="X1891" s="46"/>
    </row>
    <row r="1892" spans="1:24" x14ac:dyDescent="0.2">
      <c r="A1892" s="45"/>
      <c r="B1892" s="46"/>
      <c r="C1892" s="46"/>
      <c r="D1892" s="46"/>
      <c r="E1892" s="46"/>
      <c r="F1892" s="46"/>
      <c r="G1892" s="46"/>
      <c r="H1892" s="46"/>
      <c r="I1892" s="46"/>
      <c r="J1892" s="46"/>
      <c r="K1892" s="46"/>
      <c r="L1892" s="46"/>
      <c r="M1892" s="46"/>
      <c r="N1892" s="46"/>
      <c r="O1892" s="46"/>
      <c r="P1892" s="46"/>
      <c r="Q1892" s="46"/>
      <c r="R1892" s="46"/>
      <c r="S1892" s="46"/>
      <c r="T1892" s="46"/>
      <c r="U1892" s="46"/>
      <c r="V1892" s="46"/>
      <c r="W1892" s="46"/>
      <c r="X1892" s="46"/>
    </row>
    <row r="1893" spans="1:24" x14ac:dyDescent="0.2">
      <c r="A1893" s="45"/>
      <c r="B1893" s="46"/>
      <c r="C1893" s="46"/>
      <c r="D1893" s="46"/>
      <c r="E1893" s="46"/>
      <c r="F1893" s="46"/>
      <c r="G1893" s="46"/>
      <c r="H1893" s="46"/>
      <c r="I1893" s="46"/>
      <c r="J1893" s="46"/>
      <c r="K1893" s="46"/>
      <c r="L1893" s="46"/>
      <c r="M1893" s="46"/>
      <c r="N1893" s="46"/>
      <c r="O1893" s="46"/>
      <c r="P1893" s="46"/>
      <c r="Q1893" s="46"/>
      <c r="R1893" s="46"/>
      <c r="S1893" s="46"/>
      <c r="T1893" s="46"/>
      <c r="U1893" s="46"/>
      <c r="V1893" s="46"/>
      <c r="W1893" s="46"/>
      <c r="X1893" s="46"/>
    </row>
    <row r="1894" spans="1:24" x14ac:dyDescent="0.2">
      <c r="A1894" s="45"/>
      <c r="B1894" s="46"/>
      <c r="C1894" s="46"/>
      <c r="D1894" s="46"/>
      <c r="E1894" s="46"/>
      <c r="F1894" s="46"/>
      <c r="G1894" s="46"/>
      <c r="H1894" s="46"/>
      <c r="I1894" s="46"/>
      <c r="J1894" s="46"/>
      <c r="K1894" s="46"/>
      <c r="L1894" s="46"/>
      <c r="M1894" s="46"/>
      <c r="N1894" s="46"/>
      <c r="O1894" s="46"/>
      <c r="P1894" s="46"/>
      <c r="Q1894" s="46"/>
      <c r="R1894" s="46"/>
      <c r="S1894" s="46"/>
      <c r="T1894" s="46"/>
      <c r="U1894" s="46"/>
      <c r="V1894" s="46"/>
      <c r="W1894" s="46"/>
      <c r="X1894" s="46"/>
    </row>
    <row r="1895" spans="1:24" x14ac:dyDescent="0.2">
      <c r="A1895" s="45"/>
      <c r="B1895" s="46"/>
      <c r="C1895" s="46"/>
      <c r="D1895" s="46"/>
      <c r="E1895" s="46"/>
      <c r="F1895" s="46"/>
      <c r="G1895" s="46"/>
      <c r="H1895" s="46"/>
      <c r="I1895" s="46"/>
      <c r="J1895" s="46"/>
      <c r="K1895" s="46"/>
      <c r="L1895" s="46"/>
      <c r="M1895" s="46"/>
      <c r="N1895" s="46"/>
      <c r="O1895" s="46"/>
      <c r="P1895" s="46"/>
      <c r="Q1895" s="46"/>
      <c r="R1895" s="46"/>
      <c r="S1895" s="46"/>
      <c r="T1895" s="46"/>
      <c r="U1895" s="46"/>
      <c r="V1895" s="46"/>
      <c r="W1895" s="46"/>
      <c r="X1895" s="46"/>
    </row>
    <row r="1896" spans="1:24" x14ac:dyDescent="0.2">
      <c r="A1896" s="45"/>
      <c r="B1896" s="46"/>
      <c r="C1896" s="46"/>
      <c r="D1896" s="46"/>
      <c r="E1896" s="46"/>
      <c r="F1896" s="46"/>
      <c r="G1896" s="46"/>
      <c r="H1896" s="46"/>
      <c r="I1896" s="46"/>
      <c r="J1896" s="46"/>
      <c r="K1896" s="46"/>
      <c r="L1896" s="46"/>
      <c r="M1896" s="46"/>
      <c r="N1896" s="46"/>
      <c r="O1896" s="46"/>
      <c r="P1896" s="46"/>
      <c r="Q1896" s="46"/>
      <c r="R1896" s="46"/>
      <c r="S1896" s="46"/>
      <c r="T1896" s="46"/>
      <c r="U1896" s="46"/>
      <c r="V1896" s="46"/>
      <c r="W1896" s="46"/>
      <c r="X1896" s="46"/>
    </row>
    <row r="1897" spans="1:24" x14ac:dyDescent="0.2">
      <c r="A1897" s="45"/>
      <c r="B1897" s="46"/>
      <c r="C1897" s="46"/>
      <c r="D1897" s="46"/>
      <c r="E1897" s="46"/>
      <c r="F1897" s="46"/>
      <c r="G1897" s="46"/>
      <c r="H1897" s="46"/>
      <c r="I1897" s="46"/>
      <c r="J1897" s="46"/>
      <c r="K1897" s="46"/>
      <c r="L1897" s="46"/>
      <c r="M1897" s="46"/>
      <c r="N1897" s="46"/>
      <c r="O1897" s="46"/>
      <c r="P1897" s="46"/>
      <c r="Q1897" s="46"/>
      <c r="R1897" s="46"/>
      <c r="S1897" s="46"/>
      <c r="T1897" s="46"/>
      <c r="U1897" s="46"/>
      <c r="V1897" s="46"/>
      <c r="W1897" s="46"/>
      <c r="X1897" s="46"/>
    </row>
    <row r="1898" spans="1:24" x14ac:dyDescent="0.2">
      <c r="A1898" s="45"/>
      <c r="B1898" s="46"/>
      <c r="C1898" s="46"/>
      <c r="D1898" s="46"/>
      <c r="E1898" s="46"/>
      <c r="F1898" s="46"/>
      <c r="G1898" s="46"/>
      <c r="H1898" s="46"/>
      <c r="I1898" s="46"/>
      <c r="J1898" s="46"/>
      <c r="K1898" s="46"/>
      <c r="L1898" s="46"/>
      <c r="M1898" s="46"/>
      <c r="N1898" s="46"/>
      <c r="O1898" s="46"/>
      <c r="P1898" s="46"/>
      <c r="Q1898" s="46"/>
      <c r="R1898" s="46"/>
      <c r="S1898" s="46"/>
      <c r="T1898" s="46"/>
      <c r="U1898" s="46"/>
      <c r="V1898" s="46"/>
      <c r="W1898" s="46"/>
      <c r="X1898" s="46"/>
    </row>
    <row r="1899" spans="1:24" x14ac:dyDescent="0.2">
      <c r="A1899" s="45"/>
      <c r="B1899" s="46"/>
      <c r="C1899" s="46"/>
      <c r="D1899" s="46"/>
      <c r="E1899" s="46"/>
      <c r="F1899" s="46"/>
      <c r="G1899" s="46"/>
      <c r="H1899" s="46"/>
      <c r="I1899" s="46"/>
      <c r="J1899" s="46"/>
      <c r="K1899" s="46"/>
      <c r="L1899" s="46"/>
      <c r="M1899" s="46"/>
      <c r="N1899" s="46"/>
      <c r="O1899" s="46"/>
      <c r="P1899" s="46"/>
      <c r="Q1899" s="46"/>
      <c r="R1899" s="46"/>
      <c r="S1899" s="46"/>
      <c r="T1899" s="46"/>
      <c r="U1899" s="46"/>
      <c r="V1899" s="46"/>
      <c r="W1899" s="46"/>
      <c r="X1899" s="46"/>
    </row>
    <row r="1900" spans="1:24" x14ac:dyDescent="0.2">
      <c r="A1900" s="45"/>
      <c r="B1900" s="46"/>
      <c r="C1900" s="46"/>
      <c r="D1900" s="46"/>
      <c r="E1900" s="46"/>
      <c r="F1900" s="46"/>
      <c r="G1900" s="46"/>
      <c r="H1900" s="46"/>
      <c r="I1900" s="46"/>
      <c r="J1900" s="46"/>
      <c r="K1900" s="46"/>
      <c r="L1900" s="46"/>
      <c r="M1900" s="46"/>
      <c r="N1900" s="46"/>
      <c r="O1900" s="46"/>
      <c r="P1900" s="46"/>
      <c r="Q1900" s="46"/>
      <c r="R1900" s="46"/>
      <c r="S1900" s="46"/>
      <c r="T1900" s="46"/>
      <c r="U1900" s="46"/>
      <c r="V1900" s="46"/>
      <c r="W1900" s="46"/>
      <c r="X1900" s="46"/>
    </row>
    <row r="1901" spans="1:24" x14ac:dyDescent="0.2">
      <c r="A1901" s="45"/>
      <c r="B1901" s="46"/>
      <c r="C1901" s="46"/>
      <c r="D1901" s="46"/>
      <c r="E1901" s="46"/>
      <c r="F1901" s="46"/>
      <c r="G1901" s="46"/>
      <c r="H1901" s="46"/>
      <c r="I1901" s="46"/>
      <c r="J1901" s="46"/>
      <c r="K1901" s="46"/>
      <c r="L1901" s="46"/>
      <c r="M1901" s="46"/>
      <c r="N1901" s="46"/>
      <c r="O1901" s="46"/>
      <c r="P1901" s="46"/>
      <c r="Q1901" s="46"/>
      <c r="R1901" s="46"/>
      <c r="S1901" s="46"/>
      <c r="T1901" s="46"/>
      <c r="U1901" s="46"/>
      <c r="V1901" s="46"/>
      <c r="W1901" s="46"/>
      <c r="X1901" s="46"/>
    </row>
    <row r="1902" spans="1:24" x14ac:dyDescent="0.2">
      <c r="A1902" s="45"/>
      <c r="B1902" s="46"/>
      <c r="C1902" s="46"/>
      <c r="D1902" s="46"/>
      <c r="E1902" s="46"/>
      <c r="F1902" s="46"/>
      <c r="G1902" s="46"/>
      <c r="H1902" s="46"/>
      <c r="I1902" s="46"/>
      <c r="J1902" s="46"/>
      <c r="K1902" s="46"/>
      <c r="L1902" s="46"/>
      <c r="M1902" s="46"/>
      <c r="N1902" s="46"/>
      <c r="O1902" s="46"/>
      <c r="P1902" s="46"/>
      <c r="Q1902" s="46"/>
      <c r="R1902" s="46"/>
      <c r="S1902" s="46"/>
      <c r="T1902" s="46"/>
      <c r="U1902" s="46"/>
      <c r="V1902" s="46"/>
      <c r="W1902" s="46"/>
      <c r="X1902" s="46"/>
    </row>
    <row r="1903" spans="1:24" x14ac:dyDescent="0.2">
      <c r="A1903" s="45"/>
      <c r="B1903" s="46"/>
      <c r="C1903" s="46"/>
      <c r="D1903" s="46"/>
      <c r="E1903" s="46"/>
      <c r="F1903" s="46"/>
      <c r="G1903" s="46"/>
      <c r="H1903" s="46"/>
      <c r="I1903" s="46"/>
      <c r="J1903" s="46"/>
      <c r="K1903" s="46"/>
      <c r="L1903" s="46"/>
      <c r="M1903" s="46"/>
      <c r="N1903" s="46"/>
      <c r="O1903" s="46"/>
      <c r="P1903" s="46"/>
      <c r="Q1903" s="46"/>
      <c r="R1903" s="46"/>
      <c r="S1903" s="46"/>
      <c r="T1903" s="46"/>
      <c r="U1903" s="46"/>
      <c r="V1903" s="46"/>
      <c r="W1903" s="46"/>
      <c r="X1903" s="46"/>
    </row>
    <row r="1904" spans="1:24" x14ac:dyDescent="0.2">
      <c r="A1904" s="45"/>
      <c r="B1904" s="46"/>
      <c r="C1904" s="46"/>
      <c r="D1904" s="46"/>
      <c r="E1904" s="46"/>
      <c r="F1904" s="46"/>
      <c r="G1904" s="46"/>
      <c r="H1904" s="46"/>
      <c r="I1904" s="46"/>
      <c r="J1904" s="46"/>
      <c r="K1904" s="46"/>
      <c r="L1904" s="46"/>
      <c r="M1904" s="46"/>
      <c r="N1904" s="46"/>
      <c r="O1904" s="46"/>
      <c r="P1904" s="46"/>
      <c r="Q1904" s="46"/>
      <c r="R1904" s="46"/>
      <c r="S1904" s="46"/>
      <c r="T1904" s="46"/>
      <c r="U1904" s="46"/>
      <c r="V1904" s="46"/>
      <c r="W1904" s="46"/>
      <c r="X1904" s="46"/>
    </row>
    <row r="1905" spans="1:24" x14ac:dyDescent="0.2">
      <c r="A1905" s="45"/>
      <c r="B1905" s="46"/>
      <c r="C1905" s="46"/>
      <c r="D1905" s="46"/>
      <c r="E1905" s="46"/>
      <c r="F1905" s="46"/>
      <c r="G1905" s="46"/>
      <c r="H1905" s="46"/>
      <c r="I1905" s="46"/>
      <c r="J1905" s="46"/>
      <c r="K1905" s="46"/>
      <c r="L1905" s="46"/>
      <c r="M1905" s="46"/>
      <c r="N1905" s="46"/>
      <c r="O1905" s="46"/>
      <c r="P1905" s="46"/>
      <c r="Q1905" s="46"/>
      <c r="R1905" s="46"/>
      <c r="S1905" s="46"/>
      <c r="T1905" s="46"/>
      <c r="U1905" s="46"/>
      <c r="V1905" s="46"/>
      <c r="W1905" s="46"/>
      <c r="X1905" s="46"/>
    </row>
    <row r="1906" spans="1:24" x14ac:dyDescent="0.2">
      <c r="A1906" s="45"/>
      <c r="B1906" s="46"/>
      <c r="C1906" s="46"/>
      <c r="D1906" s="46"/>
      <c r="E1906" s="46"/>
      <c r="F1906" s="46"/>
      <c r="G1906" s="46"/>
      <c r="H1906" s="46"/>
      <c r="I1906" s="46"/>
      <c r="J1906" s="46"/>
      <c r="K1906" s="46"/>
      <c r="L1906" s="46"/>
      <c r="M1906" s="46"/>
      <c r="N1906" s="46"/>
      <c r="O1906" s="46"/>
      <c r="P1906" s="46"/>
      <c r="Q1906" s="46"/>
      <c r="R1906" s="46"/>
      <c r="S1906" s="46"/>
      <c r="T1906" s="46"/>
      <c r="U1906" s="46"/>
      <c r="V1906" s="46"/>
      <c r="W1906" s="46"/>
      <c r="X1906" s="46"/>
    </row>
    <row r="1907" spans="1:24" x14ac:dyDescent="0.2">
      <c r="A1907" s="45"/>
      <c r="B1907" s="46"/>
      <c r="C1907" s="46"/>
      <c r="D1907" s="46"/>
      <c r="E1907" s="46"/>
      <c r="F1907" s="46"/>
      <c r="G1907" s="46"/>
      <c r="H1907" s="46"/>
      <c r="I1907" s="46"/>
      <c r="J1907" s="46"/>
      <c r="K1907" s="46"/>
      <c r="L1907" s="46"/>
      <c r="M1907" s="46"/>
      <c r="N1907" s="46"/>
      <c r="O1907" s="46"/>
      <c r="P1907" s="46"/>
      <c r="Q1907" s="46"/>
      <c r="R1907" s="46"/>
      <c r="S1907" s="46"/>
      <c r="T1907" s="46"/>
      <c r="U1907" s="46"/>
      <c r="V1907" s="46"/>
      <c r="W1907" s="46"/>
      <c r="X1907" s="46"/>
    </row>
    <row r="1908" spans="1:24" x14ac:dyDescent="0.2">
      <c r="A1908" s="45"/>
      <c r="B1908" s="46"/>
      <c r="C1908" s="46"/>
      <c r="D1908" s="46"/>
      <c r="E1908" s="46"/>
      <c r="F1908" s="46"/>
      <c r="G1908" s="46"/>
      <c r="H1908" s="46"/>
      <c r="I1908" s="46"/>
      <c r="J1908" s="46"/>
      <c r="K1908" s="46"/>
      <c r="L1908" s="46"/>
      <c r="M1908" s="46"/>
      <c r="N1908" s="46"/>
      <c r="O1908" s="46"/>
      <c r="P1908" s="46"/>
      <c r="Q1908" s="46"/>
      <c r="R1908" s="46"/>
      <c r="S1908" s="46"/>
      <c r="T1908" s="46"/>
      <c r="U1908" s="46"/>
      <c r="V1908" s="46"/>
      <c r="W1908" s="46"/>
      <c r="X1908" s="46"/>
    </row>
    <row r="1909" spans="1:24" x14ac:dyDescent="0.2">
      <c r="A1909" s="45"/>
      <c r="B1909" s="46"/>
      <c r="C1909" s="46"/>
      <c r="D1909" s="46"/>
      <c r="E1909" s="46"/>
      <c r="F1909" s="46"/>
      <c r="G1909" s="46"/>
      <c r="H1909" s="46"/>
      <c r="I1909" s="46"/>
      <c r="J1909" s="46"/>
      <c r="K1909" s="46"/>
      <c r="L1909" s="46"/>
      <c r="M1909" s="46"/>
      <c r="N1909" s="46"/>
      <c r="O1909" s="46"/>
      <c r="P1909" s="46"/>
      <c r="Q1909" s="46"/>
      <c r="R1909" s="46"/>
      <c r="S1909" s="46"/>
      <c r="T1909" s="46"/>
      <c r="U1909" s="46"/>
      <c r="V1909" s="46"/>
      <c r="W1909" s="46"/>
      <c r="X1909" s="46"/>
    </row>
    <row r="1910" spans="1:24" x14ac:dyDescent="0.2">
      <c r="A1910" s="45"/>
      <c r="B1910" s="46"/>
      <c r="C1910" s="46"/>
      <c r="D1910" s="46"/>
      <c r="E1910" s="46"/>
      <c r="F1910" s="46"/>
      <c r="G1910" s="46"/>
      <c r="H1910" s="46"/>
      <c r="I1910" s="46"/>
      <c r="J1910" s="46"/>
      <c r="K1910" s="46"/>
      <c r="L1910" s="46"/>
      <c r="M1910" s="46"/>
      <c r="N1910" s="46"/>
      <c r="O1910" s="46"/>
      <c r="P1910" s="46"/>
      <c r="Q1910" s="46"/>
      <c r="R1910" s="46"/>
      <c r="S1910" s="46"/>
      <c r="T1910" s="46"/>
      <c r="U1910" s="46"/>
      <c r="V1910" s="46"/>
      <c r="W1910" s="46"/>
      <c r="X1910" s="46"/>
    </row>
    <row r="1911" spans="1:24" x14ac:dyDescent="0.2">
      <c r="A1911" s="45"/>
      <c r="B1911" s="46"/>
      <c r="C1911" s="46"/>
      <c r="D1911" s="46"/>
      <c r="E1911" s="46"/>
      <c r="F1911" s="46"/>
      <c r="G1911" s="46"/>
      <c r="H1911" s="46"/>
      <c r="I1911" s="46"/>
      <c r="J1911" s="46"/>
      <c r="K1911" s="46"/>
      <c r="L1911" s="46"/>
      <c r="M1911" s="46"/>
      <c r="N1911" s="46"/>
      <c r="O1911" s="46"/>
      <c r="P1911" s="46"/>
      <c r="Q1911" s="46"/>
      <c r="R1911" s="46"/>
      <c r="S1911" s="46"/>
      <c r="T1911" s="46"/>
      <c r="U1911" s="46"/>
      <c r="V1911" s="46"/>
      <c r="W1911" s="46"/>
      <c r="X1911" s="46"/>
    </row>
    <row r="1912" spans="1:24" x14ac:dyDescent="0.2">
      <c r="A1912" s="45"/>
      <c r="B1912" s="46"/>
      <c r="C1912" s="46"/>
      <c r="D1912" s="46"/>
      <c r="E1912" s="46"/>
      <c r="F1912" s="46"/>
      <c r="G1912" s="46"/>
      <c r="H1912" s="46"/>
      <c r="I1912" s="46"/>
      <c r="J1912" s="46"/>
      <c r="K1912" s="46"/>
      <c r="L1912" s="46"/>
      <c r="M1912" s="46"/>
      <c r="N1912" s="46"/>
      <c r="O1912" s="46"/>
      <c r="P1912" s="46"/>
      <c r="Q1912" s="46"/>
      <c r="R1912" s="46"/>
      <c r="S1912" s="46"/>
      <c r="T1912" s="46"/>
      <c r="U1912" s="46"/>
      <c r="V1912" s="46"/>
      <c r="W1912" s="46"/>
      <c r="X1912" s="46"/>
    </row>
    <row r="1913" spans="1:24" x14ac:dyDescent="0.2">
      <c r="A1913" s="45"/>
      <c r="B1913" s="46"/>
      <c r="C1913" s="46"/>
      <c r="D1913" s="46"/>
      <c r="E1913" s="46"/>
      <c r="F1913" s="46"/>
      <c r="G1913" s="46"/>
      <c r="H1913" s="46"/>
      <c r="I1913" s="46"/>
      <c r="J1913" s="46"/>
      <c r="K1913" s="46"/>
      <c r="L1913" s="46"/>
      <c r="M1913" s="46"/>
      <c r="N1913" s="46"/>
      <c r="O1913" s="46"/>
      <c r="P1913" s="46"/>
      <c r="Q1913" s="46"/>
      <c r="R1913" s="46"/>
      <c r="S1913" s="46"/>
      <c r="T1913" s="46"/>
      <c r="U1913" s="46"/>
      <c r="V1913" s="46"/>
      <c r="W1913" s="46"/>
      <c r="X1913" s="46"/>
    </row>
    <row r="1914" spans="1:24" x14ac:dyDescent="0.2">
      <c r="A1914" s="45"/>
      <c r="B1914" s="46"/>
      <c r="C1914" s="46"/>
      <c r="D1914" s="46"/>
      <c r="E1914" s="46"/>
      <c r="F1914" s="46"/>
      <c r="G1914" s="46"/>
      <c r="H1914" s="46"/>
      <c r="I1914" s="46"/>
      <c r="J1914" s="46"/>
      <c r="K1914" s="46"/>
      <c r="L1914" s="46"/>
      <c r="M1914" s="46"/>
      <c r="N1914" s="46"/>
      <c r="O1914" s="46"/>
      <c r="P1914" s="46"/>
      <c r="Q1914" s="46"/>
      <c r="R1914" s="46"/>
      <c r="S1914" s="46"/>
      <c r="T1914" s="46"/>
      <c r="U1914" s="46"/>
      <c r="V1914" s="46"/>
      <c r="W1914" s="46"/>
      <c r="X1914" s="46"/>
    </row>
    <row r="1915" spans="1:24" x14ac:dyDescent="0.2">
      <c r="A1915" s="45"/>
      <c r="B1915" s="46"/>
      <c r="C1915" s="46"/>
      <c r="D1915" s="46"/>
      <c r="E1915" s="46"/>
      <c r="F1915" s="46"/>
      <c r="G1915" s="46"/>
      <c r="H1915" s="46"/>
      <c r="I1915" s="46"/>
      <c r="J1915" s="46"/>
      <c r="K1915" s="46"/>
      <c r="L1915" s="46"/>
      <c r="M1915" s="46"/>
      <c r="N1915" s="46"/>
      <c r="O1915" s="46"/>
      <c r="P1915" s="46"/>
      <c r="Q1915" s="46"/>
      <c r="R1915" s="46"/>
      <c r="S1915" s="46"/>
      <c r="T1915" s="46"/>
      <c r="U1915" s="46"/>
      <c r="V1915" s="46"/>
      <c r="W1915" s="46"/>
      <c r="X1915" s="46"/>
    </row>
    <row r="1916" spans="1:24" x14ac:dyDescent="0.2">
      <c r="A1916" s="45"/>
      <c r="B1916" s="46"/>
      <c r="C1916" s="46"/>
      <c r="D1916" s="46"/>
      <c r="E1916" s="46"/>
      <c r="F1916" s="46"/>
      <c r="G1916" s="46"/>
      <c r="H1916" s="46"/>
      <c r="I1916" s="46"/>
      <c r="J1916" s="46"/>
      <c r="K1916" s="46"/>
      <c r="L1916" s="46"/>
      <c r="M1916" s="46"/>
      <c r="N1916" s="46"/>
      <c r="O1916" s="46"/>
      <c r="P1916" s="46"/>
      <c r="Q1916" s="46"/>
      <c r="R1916" s="46"/>
      <c r="S1916" s="46"/>
      <c r="T1916" s="46"/>
      <c r="U1916" s="46"/>
      <c r="V1916" s="46"/>
      <c r="W1916" s="46"/>
      <c r="X1916" s="46"/>
    </row>
    <row r="1917" spans="1:24" x14ac:dyDescent="0.2">
      <c r="A1917" s="45"/>
      <c r="B1917" s="46"/>
      <c r="C1917" s="46"/>
      <c r="D1917" s="46"/>
      <c r="E1917" s="46"/>
      <c r="F1917" s="46"/>
      <c r="G1917" s="46"/>
      <c r="H1917" s="46"/>
      <c r="I1917" s="46"/>
      <c r="J1917" s="46"/>
      <c r="K1917" s="46"/>
      <c r="L1917" s="46"/>
      <c r="M1917" s="46"/>
      <c r="N1917" s="46"/>
      <c r="O1917" s="46"/>
      <c r="P1917" s="46"/>
      <c r="Q1917" s="46"/>
      <c r="R1917" s="46"/>
      <c r="S1917" s="46"/>
      <c r="T1917" s="46"/>
      <c r="U1917" s="46"/>
      <c r="V1917" s="46"/>
      <c r="W1917" s="46"/>
      <c r="X1917" s="46"/>
    </row>
    <row r="1918" spans="1:24" x14ac:dyDescent="0.2">
      <c r="A1918" s="45"/>
      <c r="B1918" s="46"/>
      <c r="C1918" s="46"/>
      <c r="D1918" s="46"/>
      <c r="E1918" s="46"/>
      <c r="F1918" s="46"/>
      <c r="G1918" s="46"/>
      <c r="H1918" s="46"/>
      <c r="I1918" s="46"/>
      <c r="J1918" s="46"/>
      <c r="K1918" s="46"/>
      <c r="L1918" s="46"/>
      <c r="M1918" s="46"/>
      <c r="N1918" s="46"/>
      <c r="O1918" s="46"/>
      <c r="P1918" s="46"/>
      <c r="Q1918" s="46"/>
      <c r="R1918" s="46"/>
      <c r="S1918" s="46"/>
      <c r="T1918" s="46"/>
      <c r="U1918" s="46"/>
      <c r="V1918" s="46"/>
      <c r="W1918" s="46"/>
      <c r="X1918" s="46"/>
    </row>
    <row r="1919" spans="1:24" x14ac:dyDescent="0.2">
      <c r="A1919" s="45"/>
      <c r="B1919" s="46"/>
      <c r="C1919" s="46"/>
      <c r="D1919" s="46"/>
      <c r="E1919" s="46"/>
      <c r="F1919" s="46"/>
      <c r="G1919" s="46"/>
      <c r="H1919" s="46"/>
      <c r="I1919" s="46"/>
      <c r="J1919" s="46"/>
      <c r="K1919" s="46"/>
      <c r="L1919" s="46"/>
      <c r="M1919" s="46"/>
      <c r="N1919" s="46"/>
      <c r="O1919" s="46"/>
      <c r="P1919" s="46"/>
      <c r="Q1919" s="46"/>
      <c r="R1919" s="46"/>
      <c r="S1919" s="46"/>
      <c r="T1919" s="46"/>
      <c r="U1919" s="46"/>
      <c r="V1919" s="46"/>
      <c r="W1919" s="46"/>
      <c r="X1919" s="46"/>
    </row>
    <row r="1920" spans="1:24" x14ac:dyDescent="0.2">
      <c r="A1920" s="45"/>
      <c r="B1920" s="46"/>
      <c r="C1920" s="46"/>
      <c r="D1920" s="46"/>
      <c r="E1920" s="46"/>
      <c r="F1920" s="46"/>
      <c r="G1920" s="46"/>
      <c r="H1920" s="46"/>
      <c r="I1920" s="46"/>
      <c r="J1920" s="46"/>
      <c r="K1920" s="46"/>
      <c r="L1920" s="46"/>
      <c r="M1920" s="46"/>
      <c r="N1920" s="46"/>
      <c r="O1920" s="46"/>
      <c r="P1920" s="46"/>
      <c r="Q1920" s="46"/>
      <c r="R1920" s="46"/>
      <c r="S1920" s="46"/>
      <c r="T1920" s="46"/>
      <c r="U1920" s="46"/>
      <c r="V1920" s="46"/>
      <c r="W1920" s="46"/>
      <c r="X1920" s="46"/>
    </row>
    <row r="1921" spans="1:24" x14ac:dyDescent="0.2">
      <c r="A1921" s="45"/>
      <c r="B1921" s="46"/>
      <c r="C1921" s="46"/>
      <c r="D1921" s="46"/>
      <c r="E1921" s="46"/>
      <c r="F1921" s="46"/>
      <c r="G1921" s="46"/>
      <c r="H1921" s="46"/>
      <c r="I1921" s="46"/>
      <c r="J1921" s="46"/>
      <c r="K1921" s="46"/>
      <c r="L1921" s="46"/>
      <c r="M1921" s="46"/>
      <c r="N1921" s="46"/>
      <c r="O1921" s="46"/>
      <c r="P1921" s="46"/>
      <c r="Q1921" s="46"/>
      <c r="R1921" s="46"/>
      <c r="S1921" s="46"/>
      <c r="T1921" s="46"/>
      <c r="U1921" s="46"/>
      <c r="V1921" s="46"/>
      <c r="W1921" s="46"/>
      <c r="X1921" s="46"/>
    </row>
    <row r="1922" spans="1:24" x14ac:dyDescent="0.2">
      <c r="A1922" s="45"/>
      <c r="B1922" s="46"/>
      <c r="C1922" s="46"/>
      <c r="D1922" s="46"/>
      <c r="E1922" s="46"/>
      <c r="F1922" s="46"/>
      <c r="G1922" s="46"/>
      <c r="H1922" s="46"/>
      <c r="I1922" s="46"/>
      <c r="J1922" s="46"/>
      <c r="K1922" s="46"/>
      <c r="L1922" s="46"/>
      <c r="M1922" s="46"/>
      <c r="N1922" s="46"/>
      <c r="O1922" s="46"/>
      <c r="P1922" s="46"/>
      <c r="Q1922" s="46"/>
      <c r="R1922" s="46"/>
      <c r="S1922" s="46"/>
      <c r="T1922" s="46"/>
      <c r="U1922" s="46"/>
      <c r="V1922" s="46"/>
      <c r="W1922" s="46"/>
      <c r="X1922" s="46"/>
    </row>
    <row r="1923" spans="1:24" x14ac:dyDescent="0.2">
      <c r="A1923" s="45"/>
      <c r="B1923" s="46"/>
      <c r="C1923" s="46"/>
      <c r="D1923" s="46"/>
      <c r="E1923" s="46"/>
      <c r="F1923" s="46"/>
      <c r="G1923" s="46"/>
      <c r="H1923" s="46"/>
      <c r="I1923" s="46"/>
      <c r="J1923" s="46"/>
      <c r="K1923" s="46"/>
      <c r="L1923" s="46"/>
      <c r="M1923" s="46"/>
      <c r="N1923" s="46"/>
      <c r="O1923" s="46"/>
      <c r="P1923" s="46"/>
      <c r="Q1923" s="46"/>
      <c r="R1923" s="46"/>
      <c r="S1923" s="46"/>
      <c r="T1923" s="46"/>
      <c r="U1923" s="46"/>
      <c r="V1923" s="46"/>
      <c r="W1923" s="46"/>
      <c r="X1923" s="46"/>
    </row>
    <row r="1924" spans="1:24" x14ac:dyDescent="0.2">
      <c r="A1924" s="45"/>
      <c r="B1924" s="46"/>
      <c r="C1924" s="46"/>
      <c r="D1924" s="46"/>
      <c r="E1924" s="46"/>
      <c r="F1924" s="46"/>
      <c r="G1924" s="46"/>
      <c r="H1924" s="46"/>
      <c r="I1924" s="46"/>
      <c r="J1924" s="46"/>
      <c r="K1924" s="46"/>
      <c r="L1924" s="46"/>
      <c r="M1924" s="46"/>
      <c r="N1924" s="46"/>
      <c r="O1924" s="46"/>
      <c r="P1924" s="46"/>
      <c r="Q1924" s="46"/>
      <c r="R1924" s="46"/>
      <c r="S1924" s="46"/>
      <c r="T1924" s="46"/>
      <c r="U1924" s="46"/>
      <c r="V1924" s="46"/>
      <c r="W1924" s="46"/>
      <c r="X1924" s="46"/>
    </row>
    <row r="1925" spans="1:24" x14ac:dyDescent="0.2">
      <c r="A1925" s="45"/>
      <c r="B1925" s="46"/>
      <c r="C1925" s="46"/>
      <c r="D1925" s="46"/>
      <c r="E1925" s="46"/>
      <c r="F1925" s="46"/>
      <c r="G1925" s="46"/>
      <c r="H1925" s="46"/>
      <c r="I1925" s="46"/>
      <c r="J1925" s="46"/>
      <c r="K1925" s="46"/>
      <c r="L1925" s="46"/>
      <c r="M1925" s="46"/>
      <c r="N1925" s="46"/>
      <c r="O1925" s="46"/>
      <c r="P1925" s="46"/>
      <c r="Q1925" s="46"/>
      <c r="R1925" s="46"/>
      <c r="S1925" s="46"/>
      <c r="T1925" s="46"/>
      <c r="U1925" s="46"/>
      <c r="V1925" s="46"/>
      <c r="W1925" s="46"/>
      <c r="X1925" s="46"/>
    </row>
    <row r="1926" spans="1:24" x14ac:dyDescent="0.2">
      <c r="A1926" s="45"/>
      <c r="B1926" s="46"/>
      <c r="C1926" s="46"/>
      <c r="D1926" s="46"/>
      <c r="E1926" s="46"/>
      <c r="F1926" s="46"/>
      <c r="G1926" s="46"/>
      <c r="H1926" s="46"/>
      <c r="I1926" s="46"/>
      <c r="J1926" s="46"/>
      <c r="K1926" s="46"/>
      <c r="L1926" s="46"/>
      <c r="M1926" s="46"/>
      <c r="N1926" s="46"/>
      <c r="O1926" s="46"/>
      <c r="P1926" s="46"/>
      <c r="Q1926" s="46"/>
      <c r="R1926" s="46"/>
      <c r="S1926" s="46"/>
      <c r="T1926" s="46"/>
      <c r="U1926" s="46"/>
      <c r="V1926" s="46"/>
      <c r="W1926" s="46"/>
      <c r="X1926" s="46"/>
    </row>
    <row r="1927" spans="1:24" x14ac:dyDescent="0.2">
      <c r="A1927" s="45"/>
      <c r="B1927" s="46"/>
      <c r="C1927" s="46"/>
      <c r="D1927" s="46"/>
      <c r="E1927" s="46"/>
      <c r="F1927" s="46"/>
      <c r="G1927" s="46"/>
      <c r="H1927" s="46"/>
      <c r="I1927" s="46"/>
      <c r="J1927" s="46"/>
      <c r="K1927" s="46"/>
      <c r="L1927" s="46"/>
      <c r="M1927" s="46"/>
      <c r="N1927" s="46"/>
      <c r="O1927" s="46"/>
      <c r="P1927" s="46"/>
      <c r="Q1927" s="46"/>
      <c r="R1927" s="46"/>
      <c r="S1927" s="46"/>
      <c r="T1927" s="46"/>
      <c r="U1927" s="46"/>
      <c r="V1927" s="46"/>
      <c r="W1927" s="46"/>
      <c r="X1927" s="46"/>
    </row>
    <row r="1928" spans="1:24" x14ac:dyDescent="0.2">
      <c r="A1928" s="45"/>
      <c r="B1928" s="46"/>
      <c r="C1928" s="46"/>
      <c r="D1928" s="46"/>
      <c r="E1928" s="46"/>
      <c r="F1928" s="46"/>
      <c r="G1928" s="46"/>
      <c r="H1928" s="46"/>
      <c r="I1928" s="46"/>
      <c r="J1928" s="46"/>
      <c r="K1928" s="46"/>
      <c r="L1928" s="46"/>
      <c r="M1928" s="46"/>
      <c r="N1928" s="46"/>
      <c r="O1928" s="46"/>
      <c r="P1928" s="46"/>
      <c r="Q1928" s="46"/>
      <c r="R1928" s="46"/>
      <c r="S1928" s="46"/>
      <c r="T1928" s="46"/>
      <c r="U1928" s="46"/>
      <c r="V1928" s="46"/>
      <c r="W1928" s="46"/>
      <c r="X1928" s="46"/>
    </row>
    <row r="1929" spans="1:24" x14ac:dyDescent="0.2">
      <c r="A1929" s="45"/>
      <c r="B1929" s="46"/>
      <c r="C1929" s="46"/>
      <c r="D1929" s="46"/>
      <c r="E1929" s="46"/>
      <c r="F1929" s="46"/>
      <c r="G1929" s="46"/>
      <c r="H1929" s="46"/>
      <c r="I1929" s="46"/>
      <c r="J1929" s="46"/>
      <c r="K1929" s="46"/>
      <c r="L1929" s="46"/>
      <c r="M1929" s="46"/>
      <c r="N1929" s="46"/>
      <c r="O1929" s="46"/>
      <c r="P1929" s="46"/>
      <c r="Q1929" s="46"/>
      <c r="R1929" s="46"/>
      <c r="S1929" s="46"/>
      <c r="T1929" s="46"/>
      <c r="U1929" s="46"/>
      <c r="V1929" s="46"/>
      <c r="W1929" s="46"/>
      <c r="X1929" s="46"/>
    </row>
    <row r="1930" spans="1:24" x14ac:dyDescent="0.2">
      <c r="A1930" s="45"/>
      <c r="B1930" s="46"/>
      <c r="C1930" s="46"/>
      <c r="D1930" s="46"/>
      <c r="E1930" s="46"/>
      <c r="F1930" s="46"/>
      <c r="G1930" s="46"/>
      <c r="H1930" s="46"/>
      <c r="I1930" s="46"/>
      <c r="J1930" s="46"/>
      <c r="K1930" s="46"/>
      <c r="L1930" s="46"/>
      <c r="M1930" s="46"/>
      <c r="N1930" s="46"/>
      <c r="O1930" s="46"/>
      <c r="P1930" s="46"/>
      <c r="Q1930" s="46"/>
      <c r="R1930" s="46"/>
      <c r="S1930" s="46"/>
      <c r="T1930" s="46"/>
      <c r="U1930" s="46"/>
      <c r="V1930" s="46"/>
      <c r="W1930" s="46"/>
      <c r="X1930" s="46"/>
    </row>
    <row r="1931" spans="1:24" x14ac:dyDescent="0.2">
      <c r="A1931" s="45"/>
      <c r="B1931" s="46"/>
      <c r="C1931" s="46"/>
      <c r="D1931" s="46"/>
      <c r="E1931" s="46"/>
      <c r="F1931" s="46"/>
      <c r="G1931" s="46"/>
      <c r="H1931" s="46"/>
      <c r="I1931" s="46"/>
      <c r="J1931" s="46"/>
      <c r="K1931" s="46"/>
      <c r="L1931" s="46"/>
      <c r="M1931" s="46"/>
      <c r="N1931" s="46"/>
      <c r="O1931" s="46"/>
      <c r="P1931" s="46"/>
      <c r="Q1931" s="46"/>
      <c r="R1931" s="46"/>
      <c r="S1931" s="46"/>
      <c r="T1931" s="46"/>
      <c r="U1931" s="46"/>
      <c r="V1931" s="46"/>
      <c r="W1931" s="46"/>
      <c r="X1931" s="46"/>
    </row>
    <row r="1932" spans="1:24" x14ac:dyDescent="0.2">
      <c r="A1932" s="45"/>
      <c r="B1932" s="46"/>
      <c r="C1932" s="46"/>
      <c r="D1932" s="46"/>
      <c r="E1932" s="46"/>
      <c r="F1932" s="46"/>
      <c r="G1932" s="46"/>
      <c r="H1932" s="46"/>
      <c r="I1932" s="46"/>
      <c r="J1932" s="46"/>
      <c r="K1932" s="46"/>
      <c r="L1932" s="46"/>
      <c r="M1932" s="46"/>
      <c r="N1932" s="46"/>
      <c r="O1932" s="46"/>
      <c r="P1932" s="46"/>
      <c r="Q1932" s="46"/>
      <c r="R1932" s="46"/>
      <c r="S1932" s="46"/>
      <c r="T1932" s="46"/>
      <c r="U1932" s="46"/>
      <c r="V1932" s="46"/>
      <c r="W1932" s="46"/>
      <c r="X1932" s="46"/>
    </row>
    <row r="1933" spans="1:24" x14ac:dyDescent="0.2">
      <c r="A1933" s="45"/>
      <c r="B1933" s="46"/>
      <c r="C1933" s="46"/>
      <c r="D1933" s="46"/>
      <c r="E1933" s="46"/>
      <c r="F1933" s="46"/>
      <c r="G1933" s="46"/>
      <c r="H1933" s="46"/>
      <c r="I1933" s="46"/>
      <c r="J1933" s="46"/>
      <c r="K1933" s="46"/>
      <c r="L1933" s="46"/>
      <c r="M1933" s="46"/>
      <c r="N1933" s="46"/>
      <c r="O1933" s="46"/>
      <c r="P1933" s="46"/>
      <c r="Q1933" s="46"/>
      <c r="R1933" s="46"/>
      <c r="S1933" s="46"/>
      <c r="T1933" s="46"/>
      <c r="U1933" s="46"/>
      <c r="V1933" s="46"/>
      <c r="W1933" s="46"/>
      <c r="X1933" s="46"/>
    </row>
    <row r="1934" spans="1:24" x14ac:dyDescent="0.2">
      <c r="A1934" s="45"/>
      <c r="B1934" s="46"/>
      <c r="C1934" s="46"/>
      <c r="D1934" s="46"/>
      <c r="E1934" s="46"/>
      <c r="F1934" s="46"/>
      <c r="G1934" s="46"/>
      <c r="H1934" s="46"/>
      <c r="I1934" s="46"/>
      <c r="J1934" s="46"/>
      <c r="K1934" s="46"/>
      <c r="L1934" s="46"/>
      <c r="M1934" s="46"/>
      <c r="N1934" s="46"/>
      <c r="O1934" s="46"/>
      <c r="P1934" s="46"/>
      <c r="Q1934" s="46"/>
      <c r="R1934" s="46"/>
      <c r="S1934" s="46"/>
      <c r="T1934" s="46"/>
      <c r="U1934" s="46"/>
      <c r="V1934" s="46"/>
      <c r="W1934" s="46"/>
      <c r="X1934" s="46"/>
    </row>
    <row r="1935" spans="1:24" x14ac:dyDescent="0.2">
      <c r="A1935" s="45"/>
      <c r="B1935" s="46"/>
      <c r="C1935" s="46"/>
      <c r="D1935" s="46"/>
      <c r="E1935" s="46"/>
      <c r="F1935" s="46"/>
      <c r="G1935" s="46"/>
      <c r="H1935" s="46"/>
      <c r="I1935" s="46"/>
      <c r="J1935" s="46"/>
      <c r="K1935" s="46"/>
      <c r="L1935" s="46"/>
      <c r="M1935" s="46"/>
      <c r="N1935" s="46"/>
      <c r="O1935" s="46"/>
      <c r="P1935" s="46"/>
      <c r="Q1935" s="46"/>
      <c r="R1935" s="46"/>
      <c r="S1935" s="46"/>
      <c r="T1935" s="46"/>
      <c r="U1935" s="46"/>
      <c r="V1935" s="46"/>
      <c r="W1935" s="46"/>
      <c r="X1935" s="46"/>
    </row>
    <row r="1936" spans="1:24" x14ac:dyDescent="0.2">
      <c r="A1936" s="45"/>
      <c r="B1936" s="46"/>
      <c r="C1936" s="46"/>
      <c r="D1936" s="46"/>
      <c r="E1936" s="46"/>
      <c r="F1936" s="46"/>
      <c r="G1936" s="46"/>
      <c r="H1936" s="46"/>
      <c r="I1936" s="46"/>
      <c r="J1936" s="46"/>
      <c r="K1936" s="46"/>
      <c r="L1936" s="46"/>
      <c r="M1936" s="46"/>
      <c r="N1936" s="46"/>
      <c r="O1936" s="46"/>
      <c r="P1936" s="46"/>
      <c r="Q1936" s="46"/>
      <c r="R1936" s="46"/>
      <c r="S1936" s="46"/>
      <c r="T1936" s="46"/>
      <c r="U1936" s="46"/>
      <c r="V1936" s="46"/>
      <c r="W1936" s="46"/>
      <c r="X1936" s="46"/>
    </row>
    <row r="1937" spans="1:24" x14ac:dyDescent="0.2">
      <c r="A1937" s="45"/>
      <c r="B1937" s="46"/>
      <c r="C1937" s="46"/>
      <c r="D1937" s="46"/>
      <c r="E1937" s="46"/>
      <c r="F1937" s="46"/>
      <c r="G1937" s="46"/>
      <c r="H1937" s="46"/>
      <c r="I1937" s="46"/>
      <c r="J1937" s="46"/>
      <c r="K1937" s="46"/>
      <c r="L1937" s="46"/>
      <c r="M1937" s="46"/>
      <c r="N1937" s="46"/>
      <c r="O1937" s="46"/>
      <c r="P1937" s="46"/>
      <c r="Q1937" s="46"/>
      <c r="R1937" s="46"/>
      <c r="S1937" s="46"/>
      <c r="T1937" s="46"/>
      <c r="U1937" s="46"/>
      <c r="V1937" s="46"/>
      <c r="W1937" s="46"/>
      <c r="X1937" s="46"/>
    </row>
    <row r="1938" spans="1:24" x14ac:dyDescent="0.2">
      <c r="A1938" s="45"/>
      <c r="B1938" s="46"/>
      <c r="C1938" s="46"/>
      <c r="D1938" s="46"/>
      <c r="E1938" s="46"/>
      <c r="F1938" s="46"/>
      <c r="G1938" s="46"/>
      <c r="H1938" s="46"/>
      <c r="I1938" s="46"/>
      <c r="J1938" s="46"/>
      <c r="K1938" s="46"/>
      <c r="L1938" s="46"/>
      <c r="M1938" s="46"/>
      <c r="N1938" s="46"/>
      <c r="O1938" s="46"/>
      <c r="P1938" s="46"/>
      <c r="Q1938" s="46"/>
      <c r="R1938" s="46"/>
      <c r="S1938" s="46"/>
      <c r="T1938" s="46"/>
      <c r="U1938" s="46"/>
      <c r="V1938" s="46"/>
      <c r="W1938" s="46"/>
      <c r="X1938" s="46"/>
    </row>
    <row r="1939" spans="1:24" x14ac:dyDescent="0.2">
      <c r="A1939" s="45"/>
      <c r="B1939" s="46"/>
      <c r="C1939" s="46"/>
      <c r="D1939" s="46"/>
      <c r="E1939" s="46"/>
      <c r="F1939" s="46"/>
      <c r="G1939" s="46"/>
      <c r="H1939" s="46"/>
      <c r="I1939" s="46"/>
      <c r="J1939" s="46"/>
      <c r="K1939" s="46"/>
      <c r="L1939" s="46"/>
      <c r="M1939" s="46"/>
      <c r="N1939" s="46"/>
      <c r="O1939" s="46"/>
      <c r="P1939" s="46"/>
      <c r="Q1939" s="46"/>
      <c r="R1939" s="46"/>
      <c r="S1939" s="46"/>
      <c r="T1939" s="46"/>
      <c r="U1939" s="46"/>
      <c r="V1939" s="46"/>
      <c r="W1939" s="46"/>
      <c r="X1939" s="46"/>
    </row>
    <row r="1940" spans="1:24" x14ac:dyDescent="0.2">
      <c r="A1940" s="45"/>
      <c r="B1940" s="46"/>
      <c r="C1940" s="46"/>
      <c r="D1940" s="46"/>
      <c r="E1940" s="46"/>
      <c r="F1940" s="46"/>
      <c r="G1940" s="46"/>
      <c r="H1940" s="46"/>
      <c r="I1940" s="46"/>
      <c r="J1940" s="46"/>
      <c r="K1940" s="46"/>
      <c r="L1940" s="46"/>
      <c r="M1940" s="46"/>
      <c r="N1940" s="46"/>
      <c r="O1940" s="46"/>
      <c r="P1940" s="46"/>
      <c r="Q1940" s="46"/>
      <c r="R1940" s="46"/>
      <c r="S1940" s="46"/>
      <c r="T1940" s="46"/>
      <c r="U1940" s="46"/>
      <c r="V1940" s="46"/>
      <c r="W1940" s="46"/>
      <c r="X1940" s="46"/>
    </row>
    <row r="1941" spans="1:24" x14ac:dyDescent="0.2">
      <c r="A1941" s="45"/>
      <c r="B1941" s="46"/>
      <c r="C1941" s="46"/>
      <c r="D1941" s="46"/>
      <c r="E1941" s="46"/>
      <c r="F1941" s="46"/>
      <c r="G1941" s="46"/>
      <c r="H1941" s="46"/>
      <c r="I1941" s="46"/>
      <c r="J1941" s="46"/>
      <c r="K1941" s="46"/>
      <c r="L1941" s="46"/>
      <c r="M1941" s="46"/>
      <c r="N1941" s="46"/>
      <c r="O1941" s="46"/>
      <c r="P1941" s="46"/>
      <c r="Q1941" s="46"/>
      <c r="R1941" s="46"/>
      <c r="S1941" s="46"/>
      <c r="T1941" s="46"/>
      <c r="U1941" s="46"/>
      <c r="V1941" s="46"/>
      <c r="W1941" s="46"/>
      <c r="X1941" s="46"/>
    </row>
    <row r="1942" spans="1:24" x14ac:dyDescent="0.2">
      <c r="A1942" s="45"/>
      <c r="B1942" s="46"/>
      <c r="C1942" s="46"/>
      <c r="D1942" s="46"/>
      <c r="E1942" s="46"/>
      <c r="F1942" s="46"/>
      <c r="G1942" s="46"/>
      <c r="H1942" s="46"/>
      <c r="I1942" s="46"/>
      <c r="J1942" s="46"/>
      <c r="K1942" s="46"/>
      <c r="L1942" s="46"/>
      <c r="M1942" s="46"/>
      <c r="N1942" s="46"/>
      <c r="O1942" s="46"/>
      <c r="P1942" s="46"/>
      <c r="Q1942" s="46"/>
      <c r="R1942" s="46"/>
      <c r="S1942" s="46"/>
      <c r="T1942" s="46"/>
      <c r="U1942" s="46"/>
      <c r="V1942" s="46"/>
      <c r="W1942" s="46"/>
      <c r="X1942" s="46"/>
    </row>
    <row r="1943" spans="1:24" x14ac:dyDescent="0.2">
      <c r="A1943" s="45"/>
      <c r="B1943" s="46"/>
      <c r="C1943" s="46"/>
      <c r="D1943" s="46"/>
      <c r="E1943" s="46"/>
      <c r="F1943" s="46"/>
      <c r="G1943" s="46"/>
      <c r="H1943" s="46"/>
      <c r="I1943" s="46"/>
      <c r="J1943" s="46"/>
      <c r="K1943" s="46"/>
      <c r="L1943" s="46"/>
      <c r="M1943" s="46"/>
      <c r="N1943" s="46"/>
      <c r="O1943" s="46"/>
      <c r="P1943" s="46"/>
      <c r="Q1943" s="46"/>
      <c r="R1943" s="46"/>
      <c r="S1943" s="46"/>
      <c r="T1943" s="46"/>
      <c r="U1943" s="46"/>
      <c r="V1943" s="46"/>
      <c r="W1943" s="46"/>
      <c r="X1943" s="46"/>
    </row>
    <row r="1944" spans="1:24" x14ac:dyDescent="0.2">
      <c r="A1944" s="45"/>
      <c r="B1944" s="46"/>
      <c r="C1944" s="46"/>
      <c r="D1944" s="46"/>
      <c r="E1944" s="46"/>
      <c r="F1944" s="46"/>
      <c r="G1944" s="46"/>
      <c r="H1944" s="46"/>
      <c r="I1944" s="46"/>
      <c r="J1944" s="46"/>
      <c r="K1944" s="46"/>
      <c r="L1944" s="46"/>
      <c r="M1944" s="46"/>
      <c r="N1944" s="46"/>
      <c r="O1944" s="46"/>
      <c r="P1944" s="46"/>
      <c r="Q1944" s="46"/>
      <c r="R1944" s="46"/>
      <c r="S1944" s="46"/>
      <c r="T1944" s="46"/>
      <c r="U1944" s="46"/>
      <c r="V1944" s="46"/>
      <c r="W1944" s="46"/>
      <c r="X1944" s="46"/>
    </row>
    <row r="1945" spans="1:24" x14ac:dyDescent="0.2">
      <c r="A1945" s="45"/>
      <c r="B1945" s="46"/>
      <c r="C1945" s="46"/>
      <c r="D1945" s="46"/>
      <c r="E1945" s="46"/>
      <c r="F1945" s="46"/>
      <c r="G1945" s="46"/>
      <c r="H1945" s="46"/>
      <c r="I1945" s="46"/>
      <c r="J1945" s="46"/>
      <c r="K1945" s="46"/>
      <c r="L1945" s="46"/>
      <c r="M1945" s="46"/>
      <c r="N1945" s="46"/>
      <c r="O1945" s="46"/>
      <c r="P1945" s="46"/>
      <c r="Q1945" s="46"/>
      <c r="R1945" s="46"/>
      <c r="S1945" s="46"/>
      <c r="T1945" s="46"/>
      <c r="U1945" s="46"/>
      <c r="V1945" s="46"/>
      <c r="W1945" s="46"/>
      <c r="X1945" s="46"/>
    </row>
    <row r="1946" spans="1:24" x14ac:dyDescent="0.2">
      <c r="A1946" s="45"/>
      <c r="B1946" s="46"/>
      <c r="C1946" s="46"/>
      <c r="D1946" s="46"/>
      <c r="E1946" s="46"/>
      <c r="F1946" s="46"/>
      <c r="G1946" s="46"/>
      <c r="H1946" s="46"/>
      <c r="I1946" s="46"/>
      <c r="J1946" s="46"/>
      <c r="K1946" s="46"/>
      <c r="L1946" s="46"/>
      <c r="M1946" s="46"/>
      <c r="N1946" s="46"/>
      <c r="O1946" s="46"/>
      <c r="P1946" s="46"/>
      <c r="Q1946" s="46"/>
      <c r="R1946" s="46"/>
      <c r="S1946" s="46"/>
      <c r="T1946" s="46"/>
      <c r="U1946" s="46"/>
      <c r="V1946" s="46"/>
      <c r="W1946" s="46"/>
      <c r="X1946" s="46"/>
    </row>
    <row r="1947" spans="1:24" x14ac:dyDescent="0.2">
      <c r="A1947" s="45"/>
      <c r="B1947" s="46"/>
      <c r="C1947" s="46"/>
      <c r="D1947" s="46"/>
      <c r="E1947" s="46"/>
      <c r="F1947" s="46"/>
      <c r="G1947" s="46"/>
      <c r="H1947" s="46"/>
      <c r="I1947" s="46"/>
      <c r="J1947" s="46"/>
      <c r="K1947" s="46"/>
      <c r="L1947" s="46"/>
      <c r="M1947" s="46"/>
      <c r="N1947" s="46"/>
      <c r="O1947" s="46"/>
      <c r="P1947" s="46"/>
      <c r="Q1947" s="46"/>
      <c r="R1947" s="46"/>
      <c r="S1947" s="46"/>
      <c r="T1947" s="46"/>
      <c r="U1947" s="46"/>
      <c r="V1947" s="46"/>
      <c r="W1947" s="46"/>
      <c r="X1947" s="46"/>
    </row>
    <row r="1948" spans="1:24" x14ac:dyDescent="0.2">
      <c r="A1948" s="45"/>
      <c r="B1948" s="46"/>
      <c r="C1948" s="46"/>
      <c r="D1948" s="46"/>
      <c r="E1948" s="46"/>
      <c r="F1948" s="46"/>
      <c r="G1948" s="46"/>
      <c r="H1948" s="46"/>
      <c r="I1948" s="46"/>
      <c r="J1948" s="46"/>
      <c r="K1948" s="46"/>
      <c r="L1948" s="46"/>
      <c r="M1948" s="46"/>
      <c r="N1948" s="46"/>
      <c r="O1948" s="46"/>
      <c r="P1948" s="46"/>
      <c r="Q1948" s="46"/>
      <c r="R1948" s="46"/>
      <c r="S1948" s="46"/>
      <c r="T1948" s="46"/>
      <c r="U1948" s="46"/>
      <c r="V1948" s="46"/>
      <c r="W1948" s="46"/>
      <c r="X1948" s="46"/>
    </row>
    <row r="1949" spans="1:24" x14ac:dyDescent="0.2">
      <c r="A1949" s="45"/>
      <c r="B1949" s="46"/>
      <c r="C1949" s="46"/>
      <c r="D1949" s="46"/>
      <c r="E1949" s="46"/>
      <c r="F1949" s="46"/>
      <c r="G1949" s="46"/>
      <c r="H1949" s="46"/>
      <c r="I1949" s="46"/>
      <c r="J1949" s="46"/>
      <c r="K1949" s="46"/>
      <c r="L1949" s="46"/>
      <c r="M1949" s="46"/>
      <c r="N1949" s="46"/>
      <c r="O1949" s="46"/>
      <c r="P1949" s="46"/>
      <c r="Q1949" s="46"/>
      <c r="R1949" s="46"/>
      <c r="S1949" s="46"/>
      <c r="T1949" s="46"/>
      <c r="U1949" s="46"/>
      <c r="V1949" s="46"/>
      <c r="W1949" s="46"/>
      <c r="X1949" s="46"/>
    </row>
    <row r="1950" spans="1:24" x14ac:dyDescent="0.2">
      <c r="A1950" s="45"/>
      <c r="B1950" s="46"/>
      <c r="C1950" s="46"/>
      <c r="D1950" s="46"/>
      <c r="E1950" s="46"/>
      <c r="F1950" s="46"/>
      <c r="G1950" s="46"/>
      <c r="H1950" s="46"/>
      <c r="I1950" s="46"/>
      <c r="J1950" s="46"/>
      <c r="K1950" s="46"/>
      <c r="L1950" s="46"/>
      <c r="M1950" s="46"/>
      <c r="N1950" s="46"/>
      <c r="O1950" s="46"/>
      <c r="P1950" s="46"/>
      <c r="Q1950" s="46"/>
      <c r="R1950" s="46"/>
      <c r="S1950" s="46"/>
      <c r="T1950" s="46"/>
      <c r="U1950" s="46"/>
      <c r="V1950" s="46"/>
      <c r="W1950" s="46"/>
      <c r="X1950" s="46"/>
    </row>
    <row r="1951" spans="1:24" x14ac:dyDescent="0.2">
      <c r="A1951" s="45"/>
      <c r="B1951" s="46"/>
      <c r="C1951" s="46"/>
      <c r="D1951" s="46"/>
      <c r="E1951" s="46"/>
      <c r="F1951" s="46"/>
      <c r="G1951" s="46"/>
      <c r="H1951" s="46"/>
      <c r="I1951" s="46"/>
      <c r="J1951" s="46"/>
      <c r="K1951" s="46"/>
      <c r="L1951" s="46"/>
      <c r="M1951" s="46"/>
      <c r="N1951" s="46"/>
      <c r="O1951" s="46"/>
      <c r="P1951" s="46"/>
      <c r="Q1951" s="46"/>
      <c r="R1951" s="46"/>
      <c r="S1951" s="46"/>
      <c r="T1951" s="46"/>
      <c r="U1951" s="46"/>
      <c r="V1951" s="46"/>
      <c r="W1951" s="46"/>
      <c r="X1951" s="46"/>
    </row>
    <row r="1952" spans="1:24" x14ac:dyDescent="0.2">
      <c r="A1952" s="45"/>
      <c r="B1952" s="46"/>
      <c r="C1952" s="46"/>
      <c r="D1952" s="46"/>
      <c r="E1952" s="46"/>
      <c r="F1952" s="46"/>
      <c r="G1952" s="46"/>
      <c r="H1952" s="46"/>
      <c r="I1952" s="46"/>
      <c r="J1952" s="46"/>
      <c r="K1952" s="46"/>
      <c r="L1952" s="46"/>
      <c r="M1952" s="46"/>
      <c r="N1952" s="46"/>
      <c r="O1952" s="46"/>
      <c r="P1952" s="46"/>
      <c r="Q1952" s="46"/>
      <c r="R1952" s="46"/>
      <c r="S1952" s="46"/>
      <c r="T1952" s="46"/>
      <c r="U1952" s="46"/>
      <c r="V1952" s="46"/>
      <c r="W1952" s="46"/>
      <c r="X1952" s="46"/>
    </row>
    <row r="1953" spans="1:24" x14ac:dyDescent="0.2">
      <c r="A1953" s="45"/>
      <c r="B1953" s="46"/>
      <c r="C1953" s="46"/>
      <c r="D1953" s="46"/>
      <c r="E1953" s="46"/>
      <c r="F1953" s="46"/>
      <c r="G1953" s="46"/>
      <c r="H1953" s="46"/>
      <c r="I1953" s="46"/>
      <c r="J1953" s="46"/>
      <c r="K1953" s="46"/>
      <c r="L1953" s="46"/>
      <c r="M1953" s="46"/>
      <c r="N1953" s="46"/>
      <c r="O1953" s="46"/>
      <c r="P1953" s="46"/>
      <c r="Q1953" s="46"/>
      <c r="R1953" s="46"/>
      <c r="S1953" s="46"/>
      <c r="T1953" s="46"/>
      <c r="U1953" s="46"/>
      <c r="V1953" s="46"/>
      <c r="W1953" s="46"/>
      <c r="X1953" s="46"/>
    </row>
    <row r="1954" spans="1:24" x14ac:dyDescent="0.2">
      <c r="A1954" s="45"/>
      <c r="B1954" s="46"/>
      <c r="C1954" s="46"/>
      <c r="D1954" s="46"/>
      <c r="E1954" s="46"/>
      <c r="F1954" s="46"/>
      <c r="G1954" s="46"/>
      <c r="H1954" s="46"/>
      <c r="I1954" s="46"/>
      <c r="J1954" s="46"/>
      <c r="K1954" s="46"/>
      <c r="L1954" s="46"/>
      <c r="M1954" s="46"/>
      <c r="N1954" s="46"/>
      <c r="O1954" s="46"/>
      <c r="P1954" s="46"/>
      <c r="Q1954" s="46"/>
      <c r="R1954" s="46"/>
      <c r="S1954" s="46"/>
      <c r="T1954" s="46"/>
      <c r="U1954" s="46"/>
      <c r="V1954" s="46"/>
      <c r="W1954" s="46"/>
      <c r="X1954" s="46"/>
    </row>
    <row r="1955" spans="1:24" x14ac:dyDescent="0.2">
      <c r="A1955" s="45"/>
      <c r="B1955" s="46"/>
      <c r="C1955" s="46"/>
      <c r="D1955" s="46"/>
      <c r="E1955" s="46"/>
      <c r="F1955" s="46"/>
      <c r="G1955" s="46"/>
      <c r="H1955" s="46"/>
      <c r="I1955" s="46"/>
      <c r="J1955" s="46"/>
      <c r="K1955" s="46"/>
      <c r="L1955" s="46"/>
      <c r="M1955" s="46"/>
      <c r="N1955" s="46"/>
      <c r="O1955" s="46"/>
      <c r="P1955" s="46"/>
      <c r="Q1955" s="46"/>
      <c r="R1955" s="46"/>
      <c r="S1955" s="46"/>
      <c r="T1955" s="46"/>
      <c r="U1955" s="46"/>
      <c r="V1955" s="46"/>
      <c r="W1955" s="46"/>
      <c r="X1955" s="46"/>
    </row>
    <row r="1956" spans="1:24" x14ac:dyDescent="0.2">
      <c r="A1956" s="45"/>
      <c r="B1956" s="46"/>
      <c r="C1956" s="46"/>
      <c r="D1956" s="46"/>
      <c r="E1956" s="46"/>
      <c r="F1956" s="46"/>
      <c r="G1956" s="46"/>
      <c r="H1956" s="46"/>
      <c r="I1956" s="46"/>
      <c r="J1956" s="46"/>
      <c r="K1956" s="46"/>
      <c r="L1956" s="46"/>
      <c r="M1956" s="46"/>
      <c r="N1956" s="46"/>
      <c r="O1956" s="46"/>
      <c r="P1956" s="46"/>
      <c r="Q1956" s="46"/>
      <c r="R1956" s="46"/>
      <c r="S1956" s="46"/>
      <c r="T1956" s="46"/>
      <c r="U1956" s="46"/>
      <c r="V1956" s="46"/>
      <c r="W1956" s="46"/>
      <c r="X1956" s="46"/>
    </row>
    <row r="1957" spans="1:24" x14ac:dyDescent="0.2">
      <c r="A1957" s="45"/>
      <c r="B1957" s="46"/>
      <c r="C1957" s="46"/>
      <c r="D1957" s="46"/>
      <c r="E1957" s="46"/>
      <c r="F1957" s="46"/>
      <c r="G1957" s="46"/>
      <c r="H1957" s="46"/>
      <c r="I1957" s="46"/>
      <c r="J1957" s="46"/>
      <c r="K1957" s="46"/>
      <c r="L1957" s="46"/>
      <c r="M1957" s="46"/>
      <c r="N1957" s="46"/>
      <c r="O1957" s="46"/>
      <c r="P1957" s="46"/>
      <c r="Q1957" s="46"/>
      <c r="R1957" s="46"/>
      <c r="S1957" s="46"/>
      <c r="T1957" s="46"/>
      <c r="U1957" s="46"/>
      <c r="V1957" s="46"/>
      <c r="W1957" s="46"/>
      <c r="X1957" s="46"/>
    </row>
    <row r="1958" spans="1:24" x14ac:dyDescent="0.2">
      <c r="A1958" s="45"/>
      <c r="B1958" s="46"/>
      <c r="C1958" s="46"/>
      <c r="D1958" s="46"/>
      <c r="E1958" s="46"/>
      <c r="F1958" s="46"/>
      <c r="G1958" s="46"/>
      <c r="H1958" s="46"/>
      <c r="I1958" s="46"/>
      <c r="J1958" s="46"/>
      <c r="K1958" s="46"/>
      <c r="L1958" s="46"/>
      <c r="M1958" s="46"/>
      <c r="N1958" s="46"/>
      <c r="O1958" s="46"/>
      <c r="P1958" s="46"/>
      <c r="Q1958" s="46"/>
      <c r="R1958" s="46"/>
      <c r="S1958" s="46"/>
      <c r="T1958" s="46"/>
      <c r="U1958" s="46"/>
      <c r="V1958" s="46"/>
      <c r="W1958" s="46"/>
      <c r="X1958" s="46"/>
    </row>
    <row r="1959" spans="1:24" x14ac:dyDescent="0.2">
      <c r="A1959" s="45"/>
      <c r="B1959" s="46"/>
      <c r="C1959" s="46"/>
      <c r="D1959" s="46"/>
      <c r="E1959" s="46"/>
      <c r="F1959" s="46"/>
      <c r="G1959" s="46"/>
      <c r="H1959" s="46"/>
      <c r="I1959" s="46"/>
      <c r="J1959" s="46"/>
      <c r="K1959" s="46"/>
      <c r="L1959" s="46"/>
      <c r="M1959" s="46"/>
      <c r="N1959" s="46"/>
      <c r="O1959" s="46"/>
      <c r="P1959" s="46"/>
      <c r="Q1959" s="46"/>
      <c r="R1959" s="46"/>
      <c r="S1959" s="46"/>
      <c r="T1959" s="46"/>
      <c r="U1959" s="46"/>
      <c r="V1959" s="46"/>
      <c r="W1959" s="46"/>
      <c r="X1959" s="46"/>
    </row>
    <row r="1960" spans="1:24" x14ac:dyDescent="0.2">
      <c r="A1960" s="45"/>
      <c r="B1960" s="46"/>
      <c r="C1960" s="46"/>
      <c r="D1960" s="46"/>
      <c r="E1960" s="46"/>
      <c r="F1960" s="46"/>
      <c r="G1960" s="46"/>
      <c r="H1960" s="46"/>
      <c r="I1960" s="46"/>
      <c r="J1960" s="46"/>
      <c r="K1960" s="46"/>
      <c r="L1960" s="46"/>
      <c r="M1960" s="46"/>
      <c r="N1960" s="46"/>
      <c r="O1960" s="46"/>
      <c r="P1960" s="46"/>
      <c r="Q1960" s="46"/>
      <c r="R1960" s="46"/>
      <c r="S1960" s="46"/>
      <c r="T1960" s="46"/>
      <c r="U1960" s="46"/>
      <c r="V1960" s="46"/>
      <c r="W1960" s="46"/>
      <c r="X1960" s="46"/>
    </row>
    <row r="1961" spans="1:24" x14ac:dyDescent="0.2">
      <c r="A1961" s="45"/>
      <c r="B1961" s="46"/>
      <c r="C1961" s="46"/>
      <c r="D1961" s="46"/>
      <c r="E1961" s="46"/>
      <c r="F1961" s="46"/>
      <c r="G1961" s="46"/>
      <c r="H1961" s="46"/>
      <c r="I1961" s="46"/>
      <c r="J1961" s="46"/>
      <c r="K1961" s="46"/>
      <c r="L1961" s="46"/>
      <c r="M1961" s="46"/>
      <c r="N1961" s="46"/>
      <c r="O1961" s="46"/>
      <c r="P1961" s="46"/>
      <c r="Q1961" s="46"/>
      <c r="R1961" s="46"/>
      <c r="S1961" s="46"/>
      <c r="T1961" s="46"/>
      <c r="U1961" s="46"/>
      <c r="V1961" s="46"/>
      <c r="W1961" s="46"/>
      <c r="X1961" s="46"/>
    </row>
    <row r="1962" spans="1:24" x14ac:dyDescent="0.2">
      <c r="A1962" s="45"/>
      <c r="B1962" s="46"/>
      <c r="C1962" s="46"/>
      <c r="D1962" s="46"/>
      <c r="E1962" s="46"/>
      <c r="F1962" s="46"/>
      <c r="G1962" s="46"/>
      <c r="H1962" s="46"/>
      <c r="I1962" s="46"/>
      <c r="J1962" s="46"/>
      <c r="K1962" s="46"/>
      <c r="L1962" s="46"/>
      <c r="M1962" s="46"/>
      <c r="N1962" s="46"/>
      <c r="O1962" s="46"/>
      <c r="P1962" s="46"/>
      <c r="Q1962" s="46"/>
      <c r="R1962" s="46"/>
      <c r="S1962" s="46"/>
      <c r="T1962" s="46"/>
      <c r="U1962" s="46"/>
      <c r="V1962" s="46"/>
      <c r="W1962" s="46"/>
      <c r="X1962" s="46"/>
    </row>
    <row r="1963" spans="1:24" x14ac:dyDescent="0.2">
      <c r="A1963" s="45"/>
      <c r="B1963" s="46"/>
      <c r="C1963" s="46"/>
      <c r="D1963" s="46"/>
      <c r="E1963" s="46"/>
      <c r="F1963" s="46"/>
      <c r="G1963" s="46"/>
      <c r="H1963" s="46"/>
      <c r="I1963" s="46"/>
      <c r="J1963" s="46"/>
      <c r="K1963" s="46"/>
      <c r="L1963" s="46"/>
      <c r="M1963" s="46"/>
      <c r="N1963" s="46"/>
      <c r="O1963" s="46"/>
      <c r="P1963" s="46"/>
      <c r="Q1963" s="46"/>
      <c r="R1963" s="46"/>
      <c r="S1963" s="46"/>
      <c r="T1963" s="46"/>
      <c r="U1963" s="46"/>
      <c r="V1963" s="46"/>
      <c r="W1963" s="46"/>
      <c r="X1963" s="46"/>
    </row>
    <row r="1964" spans="1:24" x14ac:dyDescent="0.2">
      <c r="A1964" s="45"/>
      <c r="B1964" s="46"/>
      <c r="C1964" s="46"/>
      <c r="D1964" s="46"/>
      <c r="E1964" s="46"/>
      <c r="F1964" s="46"/>
      <c r="G1964" s="46"/>
      <c r="H1964" s="46"/>
      <c r="I1964" s="46"/>
      <c r="J1964" s="46"/>
      <c r="K1964" s="46"/>
      <c r="L1964" s="46"/>
      <c r="M1964" s="46"/>
      <c r="N1964" s="46"/>
      <c r="O1964" s="46"/>
      <c r="P1964" s="46"/>
      <c r="Q1964" s="46"/>
      <c r="R1964" s="46"/>
      <c r="S1964" s="46"/>
      <c r="T1964" s="46"/>
      <c r="U1964" s="46"/>
      <c r="V1964" s="46"/>
      <c r="W1964" s="46"/>
      <c r="X1964" s="46"/>
    </row>
    <row r="1965" spans="1:24" x14ac:dyDescent="0.2">
      <c r="A1965" s="45"/>
      <c r="B1965" s="46"/>
      <c r="C1965" s="46"/>
      <c r="D1965" s="46"/>
      <c r="E1965" s="46"/>
      <c r="F1965" s="46"/>
      <c r="G1965" s="46"/>
      <c r="H1965" s="46"/>
      <c r="I1965" s="46"/>
      <c r="J1965" s="46"/>
      <c r="K1965" s="46"/>
      <c r="L1965" s="46"/>
      <c r="M1965" s="46"/>
      <c r="N1965" s="46"/>
      <c r="O1965" s="46"/>
      <c r="P1965" s="46"/>
      <c r="Q1965" s="46"/>
      <c r="R1965" s="46"/>
      <c r="S1965" s="46"/>
      <c r="T1965" s="46"/>
      <c r="U1965" s="46"/>
      <c r="V1965" s="46"/>
      <c r="W1965" s="46"/>
      <c r="X1965" s="46"/>
    </row>
    <row r="1966" spans="1:24" x14ac:dyDescent="0.2">
      <c r="A1966" s="45"/>
      <c r="B1966" s="46"/>
      <c r="C1966" s="46"/>
      <c r="D1966" s="46"/>
      <c r="E1966" s="46"/>
      <c r="F1966" s="46"/>
      <c r="G1966" s="46"/>
      <c r="H1966" s="46"/>
      <c r="I1966" s="46"/>
      <c r="J1966" s="46"/>
      <c r="K1966" s="46"/>
      <c r="L1966" s="46"/>
      <c r="M1966" s="46"/>
      <c r="N1966" s="46"/>
      <c r="O1966" s="46"/>
      <c r="P1966" s="46"/>
      <c r="Q1966" s="46"/>
      <c r="R1966" s="46"/>
      <c r="S1966" s="46"/>
      <c r="T1966" s="46"/>
      <c r="U1966" s="46"/>
      <c r="V1966" s="46"/>
      <c r="W1966" s="46"/>
      <c r="X1966" s="46"/>
    </row>
    <row r="1967" spans="1:24" x14ac:dyDescent="0.2">
      <c r="A1967" s="45"/>
      <c r="B1967" s="46"/>
      <c r="C1967" s="46"/>
      <c r="D1967" s="46"/>
      <c r="E1967" s="46"/>
      <c r="F1967" s="46"/>
      <c r="G1967" s="46"/>
      <c r="H1967" s="46"/>
      <c r="I1967" s="46"/>
      <c r="J1967" s="46"/>
      <c r="K1967" s="46"/>
      <c r="L1967" s="46"/>
      <c r="M1967" s="46"/>
      <c r="N1967" s="46"/>
      <c r="O1967" s="46"/>
      <c r="P1967" s="46"/>
      <c r="Q1967" s="46"/>
      <c r="R1967" s="46"/>
      <c r="S1967" s="46"/>
      <c r="T1967" s="46"/>
      <c r="U1967" s="46"/>
      <c r="V1967" s="46"/>
      <c r="W1967" s="46"/>
      <c r="X1967" s="46"/>
    </row>
    <row r="1968" spans="1:24" x14ac:dyDescent="0.2">
      <c r="A1968" s="45"/>
      <c r="B1968" s="46"/>
      <c r="C1968" s="46"/>
      <c r="D1968" s="46"/>
      <c r="E1968" s="46"/>
      <c r="F1968" s="46"/>
      <c r="G1968" s="46"/>
      <c r="H1968" s="46"/>
      <c r="I1968" s="46"/>
      <c r="J1968" s="46"/>
      <c r="K1968" s="46"/>
      <c r="L1968" s="46"/>
      <c r="M1968" s="46"/>
      <c r="N1968" s="46"/>
      <c r="O1968" s="46"/>
      <c r="P1968" s="46"/>
      <c r="Q1968" s="46"/>
      <c r="R1968" s="46"/>
      <c r="S1968" s="46"/>
      <c r="T1968" s="46"/>
      <c r="U1968" s="46"/>
      <c r="V1968" s="46"/>
      <c r="W1968" s="46"/>
      <c r="X1968" s="46"/>
    </row>
    <row r="1969" spans="1:24" x14ac:dyDescent="0.2">
      <c r="A1969" s="45"/>
      <c r="B1969" s="46"/>
      <c r="C1969" s="46"/>
      <c r="D1969" s="46"/>
      <c r="E1969" s="46"/>
      <c r="F1969" s="46"/>
      <c r="G1969" s="46"/>
      <c r="H1969" s="46"/>
      <c r="I1969" s="46"/>
      <c r="J1969" s="46"/>
      <c r="K1969" s="46"/>
      <c r="L1969" s="46"/>
      <c r="M1969" s="46"/>
      <c r="N1969" s="46"/>
      <c r="O1969" s="46"/>
      <c r="P1969" s="46"/>
      <c r="Q1969" s="46"/>
      <c r="R1969" s="46"/>
      <c r="S1969" s="46"/>
      <c r="T1969" s="46"/>
      <c r="U1969" s="46"/>
      <c r="V1969" s="46"/>
      <c r="W1969" s="46"/>
      <c r="X1969" s="46"/>
    </row>
    <row r="1970" spans="1:24" x14ac:dyDescent="0.2">
      <c r="A1970" s="45"/>
      <c r="B1970" s="46"/>
      <c r="C1970" s="46"/>
      <c r="D1970" s="46"/>
      <c r="E1970" s="46"/>
      <c r="F1970" s="46"/>
      <c r="G1970" s="46"/>
      <c r="H1970" s="46"/>
      <c r="I1970" s="46"/>
      <c r="J1970" s="46"/>
      <c r="K1970" s="46"/>
      <c r="L1970" s="46"/>
      <c r="M1970" s="46"/>
      <c r="N1970" s="46"/>
      <c r="O1970" s="46"/>
      <c r="P1970" s="46"/>
      <c r="Q1970" s="46"/>
      <c r="R1970" s="46"/>
      <c r="S1970" s="46"/>
      <c r="T1970" s="46"/>
      <c r="U1970" s="46"/>
      <c r="V1970" s="46"/>
      <c r="W1970" s="46"/>
      <c r="X1970" s="46"/>
    </row>
    <row r="1971" spans="1:24" x14ac:dyDescent="0.2">
      <c r="A1971" s="45"/>
      <c r="B1971" s="46"/>
      <c r="C1971" s="46"/>
      <c r="D1971" s="46"/>
      <c r="E1971" s="46"/>
      <c r="F1971" s="46"/>
      <c r="G1971" s="46"/>
      <c r="H1971" s="46"/>
      <c r="I1971" s="46"/>
      <c r="J1971" s="46"/>
      <c r="K1971" s="46"/>
      <c r="L1971" s="46"/>
      <c r="M1971" s="46"/>
      <c r="N1971" s="46"/>
      <c r="O1971" s="46"/>
      <c r="P1971" s="46"/>
      <c r="Q1971" s="46"/>
      <c r="R1971" s="46"/>
      <c r="S1971" s="46"/>
      <c r="T1971" s="46"/>
      <c r="U1971" s="46"/>
      <c r="V1971" s="46"/>
      <c r="W1971" s="46"/>
      <c r="X1971" s="46"/>
    </row>
    <row r="1972" spans="1:24" x14ac:dyDescent="0.2">
      <c r="A1972" s="45"/>
      <c r="B1972" s="46"/>
      <c r="C1972" s="46"/>
      <c r="D1972" s="46"/>
      <c r="E1972" s="46"/>
      <c r="F1972" s="46"/>
      <c r="G1972" s="46"/>
      <c r="H1972" s="46"/>
      <c r="I1972" s="46"/>
      <c r="J1972" s="46"/>
      <c r="K1972" s="46"/>
      <c r="L1972" s="46"/>
      <c r="M1972" s="46"/>
      <c r="N1972" s="46"/>
      <c r="O1972" s="46"/>
      <c r="P1972" s="46"/>
      <c r="Q1972" s="46"/>
      <c r="R1972" s="46"/>
      <c r="S1972" s="46"/>
      <c r="T1972" s="46"/>
      <c r="U1972" s="46"/>
      <c r="V1972" s="46"/>
      <c r="W1972" s="46"/>
      <c r="X1972" s="46"/>
    </row>
    <row r="1973" spans="1:24" x14ac:dyDescent="0.2">
      <c r="A1973" s="45"/>
      <c r="B1973" s="46"/>
      <c r="C1973" s="46"/>
      <c r="D1973" s="46"/>
      <c r="E1973" s="46"/>
      <c r="F1973" s="46"/>
      <c r="G1973" s="46"/>
      <c r="H1973" s="46"/>
      <c r="I1973" s="46"/>
      <c r="J1973" s="46"/>
      <c r="K1973" s="46"/>
      <c r="L1973" s="46"/>
      <c r="M1973" s="46"/>
      <c r="N1973" s="46"/>
      <c r="O1973" s="46"/>
      <c r="P1973" s="46"/>
      <c r="Q1973" s="46"/>
      <c r="R1973" s="46"/>
      <c r="S1973" s="46"/>
      <c r="T1973" s="46"/>
      <c r="U1973" s="46"/>
      <c r="V1973" s="46"/>
      <c r="W1973" s="46"/>
      <c r="X1973" s="46"/>
    </row>
    <row r="1974" spans="1:24" x14ac:dyDescent="0.2">
      <c r="A1974" s="45"/>
      <c r="B1974" s="46"/>
      <c r="C1974" s="46"/>
      <c r="D1974" s="46"/>
      <c r="E1974" s="46"/>
      <c r="F1974" s="46"/>
      <c r="G1974" s="46"/>
      <c r="H1974" s="46"/>
      <c r="I1974" s="46"/>
      <c r="J1974" s="46"/>
      <c r="K1974" s="46"/>
      <c r="L1974" s="46"/>
      <c r="M1974" s="46"/>
      <c r="N1974" s="46"/>
      <c r="O1974" s="46"/>
      <c r="P1974" s="46"/>
      <c r="Q1974" s="46"/>
      <c r="R1974" s="46"/>
      <c r="S1974" s="46"/>
      <c r="T1974" s="46"/>
      <c r="U1974" s="46"/>
      <c r="V1974" s="46"/>
      <c r="W1974" s="46"/>
      <c r="X1974" s="46"/>
    </row>
    <row r="1975" spans="1:24" x14ac:dyDescent="0.2">
      <c r="A1975" s="45"/>
      <c r="B1975" s="46"/>
      <c r="C1975" s="46"/>
      <c r="D1975" s="46"/>
      <c r="E1975" s="46"/>
      <c r="F1975" s="46"/>
      <c r="G1975" s="46"/>
      <c r="H1975" s="46"/>
      <c r="I1975" s="46"/>
      <c r="J1975" s="46"/>
      <c r="K1975" s="46"/>
      <c r="L1975" s="46"/>
      <c r="M1975" s="46"/>
      <c r="N1975" s="46"/>
      <c r="O1975" s="46"/>
      <c r="P1975" s="46"/>
      <c r="Q1975" s="46"/>
      <c r="R1975" s="46"/>
      <c r="S1975" s="46"/>
      <c r="T1975" s="46"/>
      <c r="U1975" s="46"/>
      <c r="V1975" s="46"/>
      <c r="W1975" s="46"/>
      <c r="X1975" s="46"/>
    </row>
    <row r="1976" spans="1:24" x14ac:dyDescent="0.2">
      <c r="A1976" s="45"/>
      <c r="B1976" s="46"/>
      <c r="C1976" s="46"/>
      <c r="D1976" s="46"/>
      <c r="E1976" s="46"/>
      <c r="F1976" s="46"/>
      <c r="G1976" s="46"/>
      <c r="H1976" s="46"/>
      <c r="I1976" s="46"/>
      <c r="J1976" s="46"/>
      <c r="K1976" s="46"/>
      <c r="L1976" s="46"/>
      <c r="M1976" s="46"/>
      <c r="N1976" s="46"/>
      <c r="O1976" s="46"/>
      <c r="P1976" s="46"/>
      <c r="Q1976" s="46"/>
      <c r="R1976" s="46"/>
      <c r="S1976" s="46"/>
      <c r="T1976" s="46"/>
      <c r="U1976" s="46"/>
      <c r="V1976" s="46"/>
      <c r="W1976" s="46"/>
      <c r="X1976" s="46"/>
    </row>
    <row r="1977" spans="1:24" x14ac:dyDescent="0.2">
      <c r="A1977" s="45"/>
      <c r="B1977" s="46"/>
      <c r="C1977" s="46"/>
      <c r="D1977" s="46"/>
      <c r="E1977" s="46"/>
      <c r="F1977" s="46"/>
      <c r="G1977" s="46"/>
      <c r="H1977" s="46"/>
      <c r="I1977" s="46"/>
      <c r="J1977" s="46"/>
      <c r="K1977" s="46"/>
      <c r="L1977" s="46"/>
      <c r="M1977" s="46"/>
      <c r="N1977" s="46"/>
      <c r="O1977" s="46"/>
      <c r="P1977" s="46"/>
      <c r="Q1977" s="46"/>
      <c r="R1977" s="46"/>
      <c r="S1977" s="46"/>
      <c r="T1977" s="46"/>
      <c r="U1977" s="46"/>
      <c r="V1977" s="46"/>
      <c r="W1977" s="46"/>
      <c r="X1977" s="46"/>
    </row>
    <row r="1978" spans="1:24" x14ac:dyDescent="0.2">
      <c r="A1978" s="45"/>
      <c r="B1978" s="46"/>
      <c r="C1978" s="46"/>
      <c r="D1978" s="46"/>
      <c r="E1978" s="46"/>
      <c r="F1978" s="46"/>
      <c r="G1978" s="46"/>
      <c r="H1978" s="46"/>
      <c r="I1978" s="46"/>
      <c r="J1978" s="46"/>
      <c r="K1978" s="46"/>
      <c r="L1978" s="46"/>
      <c r="M1978" s="46"/>
      <c r="N1978" s="46"/>
      <c r="O1978" s="46"/>
      <c r="P1978" s="46"/>
      <c r="Q1978" s="46"/>
      <c r="R1978" s="46"/>
      <c r="S1978" s="46"/>
      <c r="T1978" s="46"/>
      <c r="U1978" s="46"/>
      <c r="V1978" s="46"/>
      <c r="W1978" s="46"/>
      <c r="X1978" s="46"/>
    </row>
    <row r="1979" spans="1:24" x14ac:dyDescent="0.2">
      <c r="A1979" s="45"/>
      <c r="B1979" s="46"/>
      <c r="C1979" s="46"/>
      <c r="D1979" s="46"/>
      <c r="E1979" s="46"/>
      <c r="F1979" s="46"/>
      <c r="G1979" s="46"/>
      <c r="H1979" s="46"/>
      <c r="I1979" s="46"/>
      <c r="J1979" s="46"/>
      <c r="K1979" s="46"/>
      <c r="L1979" s="46"/>
      <c r="M1979" s="46"/>
      <c r="N1979" s="46"/>
      <c r="O1979" s="46"/>
      <c r="P1979" s="46"/>
      <c r="Q1979" s="46"/>
      <c r="R1979" s="46"/>
      <c r="S1979" s="46"/>
      <c r="T1979" s="46"/>
      <c r="U1979" s="46"/>
      <c r="V1979" s="46"/>
      <c r="W1979" s="46"/>
      <c r="X1979" s="46"/>
    </row>
    <row r="1980" spans="1:24" x14ac:dyDescent="0.2">
      <c r="A1980" s="45"/>
      <c r="B1980" s="46"/>
      <c r="C1980" s="46"/>
      <c r="D1980" s="46"/>
      <c r="E1980" s="46"/>
      <c r="F1980" s="46"/>
      <c r="G1980" s="46"/>
      <c r="H1980" s="46"/>
      <c r="I1980" s="46"/>
      <c r="J1980" s="46"/>
      <c r="K1980" s="46"/>
      <c r="L1980" s="46"/>
      <c r="M1980" s="46"/>
      <c r="N1980" s="46"/>
      <c r="O1980" s="46"/>
      <c r="P1980" s="46"/>
      <c r="Q1980" s="46"/>
      <c r="R1980" s="46"/>
      <c r="S1980" s="46"/>
      <c r="T1980" s="46"/>
      <c r="U1980" s="46"/>
      <c r="V1980" s="46"/>
      <c r="W1980" s="46"/>
      <c r="X1980" s="46"/>
    </row>
    <row r="1981" spans="1:24" x14ac:dyDescent="0.2">
      <c r="A1981" s="45"/>
      <c r="B1981" s="46"/>
      <c r="C1981" s="46"/>
      <c r="D1981" s="46"/>
      <c r="E1981" s="46"/>
      <c r="F1981" s="46"/>
      <c r="G1981" s="46"/>
      <c r="H1981" s="46"/>
      <c r="I1981" s="46"/>
      <c r="J1981" s="46"/>
      <c r="K1981" s="46"/>
      <c r="L1981" s="46"/>
      <c r="M1981" s="46"/>
      <c r="N1981" s="46"/>
      <c r="O1981" s="46"/>
      <c r="P1981" s="46"/>
      <c r="Q1981" s="46"/>
      <c r="R1981" s="46"/>
      <c r="S1981" s="46"/>
      <c r="T1981" s="46"/>
      <c r="U1981" s="46"/>
      <c r="V1981" s="46"/>
      <c r="W1981" s="46"/>
      <c r="X1981" s="46"/>
    </row>
    <row r="1982" spans="1:24" x14ac:dyDescent="0.2">
      <c r="A1982" s="45"/>
      <c r="B1982" s="46"/>
      <c r="C1982" s="46"/>
      <c r="D1982" s="46"/>
      <c r="E1982" s="46"/>
      <c r="F1982" s="46"/>
      <c r="G1982" s="46"/>
      <c r="H1982" s="46"/>
      <c r="I1982" s="46"/>
      <c r="J1982" s="46"/>
      <c r="K1982" s="46"/>
      <c r="L1982" s="46"/>
      <c r="M1982" s="46"/>
      <c r="N1982" s="46"/>
      <c r="O1982" s="46"/>
      <c r="P1982" s="46"/>
      <c r="Q1982" s="46"/>
      <c r="R1982" s="46"/>
      <c r="S1982" s="46"/>
      <c r="T1982" s="46"/>
      <c r="U1982" s="46"/>
      <c r="V1982" s="46"/>
      <c r="W1982" s="46"/>
      <c r="X1982" s="46"/>
    </row>
    <row r="1983" spans="1:24" x14ac:dyDescent="0.2">
      <c r="A1983" s="45"/>
      <c r="B1983" s="46"/>
      <c r="C1983" s="46"/>
      <c r="D1983" s="46"/>
      <c r="E1983" s="46"/>
      <c r="F1983" s="46"/>
      <c r="G1983" s="46"/>
      <c r="H1983" s="46"/>
      <c r="I1983" s="46"/>
      <c r="J1983" s="46"/>
      <c r="K1983" s="46"/>
      <c r="L1983" s="46"/>
      <c r="M1983" s="46"/>
      <c r="N1983" s="46"/>
      <c r="O1983" s="46"/>
      <c r="P1983" s="46"/>
      <c r="Q1983" s="46"/>
      <c r="R1983" s="46"/>
      <c r="S1983" s="46"/>
      <c r="T1983" s="46"/>
      <c r="U1983" s="46"/>
      <c r="V1983" s="46"/>
      <c r="W1983" s="46"/>
      <c r="X1983" s="46"/>
    </row>
    <row r="1984" spans="1:24" x14ac:dyDescent="0.2">
      <c r="A1984" s="45"/>
      <c r="B1984" s="46"/>
      <c r="C1984" s="46"/>
      <c r="D1984" s="46"/>
      <c r="E1984" s="46"/>
      <c r="F1984" s="46"/>
      <c r="G1984" s="46"/>
      <c r="H1984" s="46"/>
      <c r="I1984" s="46"/>
      <c r="J1984" s="46"/>
      <c r="K1984" s="46"/>
      <c r="L1984" s="46"/>
      <c r="M1984" s="46"/>
      <c r="N1984" s="46"/>
      <c r="O1984" s="46"/>
      <c r="P1984" s="46"/>
      <c r="Q1984" s="46"/>
      <c r="R1984" s="46"/>
      <c r="S1984" s="46"/>
      <c r="T1984" s="46"/>
      <c r="U1984" s="46"/>
      <c r="V1984" s="46"/>
      <c r="W1984" s="46"/>
      <c r="X1984" s="46"/>
    </row>
    <row r="1985" spans="1:24" x14ac:dyDescent="0.2">
      <c r="A1985" s="45"/>
      <c r="B1985" s="46"/>
      <c r="C1985" s="46"/>
      <c r="D1985" s="46"/>
      <c r="E1985" s="46"/>
      <c r="F1985" s="46"/>
      <c r="G1985" s="46"/>
      <c r="H1985" s="46"/>
      <c r="I1985" s="46"/>
      <c r="J1985" s="46"/>
      <c r="K1985" s="46"/>
      <c r="L1985" s="46"/>
      <c r="M1985" s="46"/>
      <c r="N1985" s="46"/>
      <c r="O1985" s="46"/>
      <c r="P1985" s="46"/>
      <c r="Q1985" s="46"/>
      <c r="R1985" s="46"/>
      <c r="S1985" s="46"/>
      <c r="T1985" s="46"/>
      <c r="U1985" s="46"/>
      <c r="V1985" s="46"/>
      <c r="W1985" s="46"/>
      <c r="X1985" s="46"/>
    </row>
    <row r="1986" spans="1:24" x14ac:dyDescent="0.2">
      <c r="A1986" s="45"/>
      <c r="B1986" s="46"/>
      <c r="C1986" s="46"/>
      <c r="D1986" s="46"/>
      <c r="E1986" s="46"/>
      <c r="F1986" s="46"/>
      <c r="G1986" s="46"/>
      <c r="H1986" s="46"/>
      <c r="I1986" s="46"/>
      <c r="J1986" s="46"/>
      <c r="K1986" s="46"/>
      <c r="L1986" s="46"/>
      <c r="M1986" s="46"/>
      <c r="N1986" s="46"/>
      <c r="O1986" s="46"/>
      <c r="P1986" s="46"/>
      <c r="Q1986" s="46"/>
      <c r="R1986" s="46"/>
      <c r="S1986" s="46"/>
      <c r="T1986" s="46"/>
      <c r="U1986" s="46"/>
      <c r="V1986" s="46"/>
      <c r="W1986" s="46"/>
      <c r="X1986" s="46"/>
    </row>
    <row r="1987" spans="1:24" x14ac:dyDescent="0.2">
      <c r="A1987" s="45"/>
      <c r="B1987" s="46"/>
      <c r="C1987" s="46"/>
      <c r="D1987" s="46"/>
      <c r="E1987" s="46"/>
      <c r="F1987" s="46"/>
      <c r="G1987" s="46"/>
      <c r="H1987" s="46"/>
      <c r="I1987" s="46"/>
      <c r="J1987" s="46"/>
      <c r="K1987" s="46"/>
      <c r="L1987" s="46"/>
      <c r="M1987" s="46"/>
      <c r="N1987" s="46"/>
      <c r="O1987" s="46"/>
      <c r="P1987" s="46"/>
      <c r="Q1987" s="46"/>
      <c r="R1987" s="46"/>
      <c r="S1987" s="46"/>
      <c r="T1987" s="46"/>
      <c r="U1987" s="46"/>
      <c r="V1987" s="46"/>
      <c r="W1987" s="46"/>
      <c r="X1987" s="46"/>
    </row>
    <row r="1988" spans="1:24" x14ac:dyDescent="0.2">
      <c r="A1988" s="45"/>
      <c r="B1988" s="46"/>
      <c r="C1988" s="46"/>
      <c r="D1988" s="46"/>
      <c r="E1988" s="46"/>
      <c r="F1988" s="46"/>
      <c r="G1988" s="46"/>
      <c r="H1988" s="46"/>
      <c r="I1988" s="46"/>
      <c r="J1988" s="46"/>
      <c r="K1988" s="46"/>
      <c r="L1988" s="46"/>
      <c r="M1988" s="46"/>
      <c r="N1988" s="46"/>
      <c r="O1988" s="46"/>
      <c r="P1988" s="46"/>
      <c r="Q1988" s="46"/>
      <c r="R1988" s="46"/>
      <c r="S1988" s="46"/>
      <c r="T1988" s="46"/>
      <c r="U1988" s="46"/>
      <c r="V1988" s="46"/>
      <c r="W1988" s="46"/>
      <c r="X1988" s="46"/>
    </row>
    <row r="1989" spans="1:24" x14ac:dyDescent="0.2">
      <c r="A1989" s="45"/>
      <c r="B1989" s="46"/>
      <c r="C1989" s="46"/>
      <c r="D1989" s="46"/>
      <c r="E1989" s="46"/>
      <c r="F1989" s="46"/>
      <c r="G1989" s="46"/>
      <c r="H1989" s="46"/>
      <c r="I1989" s="46"/>
      <c r="J1989" s="46"/>
      <c r="K1989" s="46"/>
      <c r="L1989" s="46"/>
      <c r="M1989" s="46"/>
      <c r="N1989" s="46"/>
      <c r="O1989" s="46"/>
      <c r="P1989" s="46"/>
      <c r="Q1989" s="46"/>
      <c r="R1989" s="46"/>
      <c r="S1989" s="46"/>
      <c r="T1989" s="46"/>
      <c r="U1989" s="46"/>
      <c r="V1989" s="46"/>
      <c r="W1989" s="46"/>
      <c r="X1989" s="46"/>
    </row>
    <row r="1990" spans="1:24" x14ac:dyDescent="0.2">
      <c r="A1990" s="45"/>
      <c r="B1990" s="46"/>
      <c r="C1990" s="46"/>
      <c r="D1990" s="46"/>
      <c r="E1990" s="46"/>
      <c r="F1990" s="46"/>
      <c r="G1990" s="46"/>
      <c r="H1990" s="46"/>
      <c r="I1990" s="46"/>
      <c r="J1990" s="46"/>
      <c r="K1990" s="46"/>
      <c r="L1990" s="46"/>
      <c r="M1990" s="46"/>
      <c r="N1990" s="46"/>
      <c r="O1990" s="46"/>
      <c r="P1990" s="46"/>
      <c r="Q1990" s="46"/>
      <c r="R1990" s="46"/>
      <c r="S1990" s="46"/>
      <c r="T1990" s="46"/>
      <c r="U1990" s="46"/>
      <c r="V1990" s="46"/>
      <c r="W1990" s="46"/>
      <c r="X1990" s="46"/>
    </row>
    <row r="1991" spans="1:24" x14ac:dyDescent="0.2">
      <c r="A1991" s="45"/>
      <c r="B1991" s="46"/>
      <c r="C1991" s="46"/>
      <c r="D1991" s="46"/>
      <c r="E1991" s="46"/>
      <c r="F1991" s="46"/>
      <c r="G1991" s="46"/>
      <c r="H1991" s="46"/>
      <c r="I1991" s="46"/>
      <c r="J1991" s="46"/>
      <c r="K1991" s="46"/>
      <c r="L1991" s="46"/>
      <c r="M1991" s="46"/>
      <c r="N1991" s="46"/>
      <c r="O1991" s="46"/>
      <c r="P1991" s="46"/>
      <c r="Q1991" s="46"/>
      <c r="R1991" s="46"/>
      <c r="S1991" s="46"/>
      <c r="T1991" s="46"/>
      <c r="U1991" s="46"/>
      <c r="V1991" s="46"/>
      <c r="W1991" s="46"/>
      <c r="X1991" s="46"/>
    </row>
    <row r="1992" spans="1:24" x14ac:dyDescent="0.2">
      <c r="A1992" s="45"/>
      <c r="B1992" s="46"/>
      <c r="C1992" s="46"/>
      <c r="D1992" s="46"/>
      <c r="E1992" s="46"/>
      <c r="F1992" s="46"/>
      <c r="G1992" s="46"/>
      <c r="H1992" s="46"/>
      <c r="I1992" s="46"/>
      <c r="J1992" s="46"/>
      <c r="K1992" s="46"/>
      <c r="L1992" s="46"/>
      <c r="M1992" s="46"/>
      <c r="N1992" s="46"/>
      <c r="O1992" s="46"/>
      <c r="P1992" s="46"/>
      <c r="Q1992" s="46"/>
      <c r="R1992" s="46"/>
      <c r="S1992" s="46"/>
      <c r="T1992" s="46"/>
      <c r="U1992" s="46"/>
      <c r="V1992" s="46"/>
      <c r="W1992" s="46"/>
      <c r="X1992" s="46"/>
    </row>
    <row r="1993" spans="1:24" x14ac:dyDescent="0.2">
      <c r="A1993" s="45"/>
      <c r="B1993" s="46"/>
      <c r="C1993" s="46"/>
      <c r="D1993" s="46"/>
      <c r="E1993" s="46"/>
      <c r="F1993" s="46"/>
      <c r="G1993" s="46"/>
      <c r="H1993" s="46"/>
      <c r="I1993" s="46"/>
      <c r="J1993" s="46"/>
      <c r="K1993" s="46"/>
      <c r="L1993" s="46"/>
      <c r="M1993" s="46"/>
      <c r="N1993" s="46"/>
      <c r="O1993" s="46"/>
      <c r="P1993" s="46"/>
      <c r="Q1993" s="46"/>
      <c r="R1993" s="46"/>
      <c r="S1993" s="46"/>
      <c r="T1993" s="46"/>
      <c r="U1993" s="46"/>
      <c r="V1993" s="46"/>
      <c r="W1993" s="46"/>
      <c r="X1993" s="46"/>
    </row>
    <row r="1994" spans="1:24" x14ac:dyDescent="0.2">
      <c r="A1994" s="45"/>
      <c r="B1994" s="46"/>
      <c r="C1994" s="46"/>
      <c r="D1994" s="46"/>
      <c r="E1994" s="46"/>
      <c r="F1994" s="46"/>
      <c r="G1994" s="46"/>
      <c r="H1994" s="46"/>
      <c r="I1994" s="46"/>
      <c r="J1994" s="46"/>
      <c r="K1994" s="46"/>
      <c r="L1994" s="46"/>
      <c r="M1994" s="46"/>
      <c r="N1994" s="46"/>
      <c r="O1994" s="46"/>
      <c r="P1994" s="46"/>
      <c r="Q1994" s="46"/>
      <c r="R1994" s="46"/>
      <c r="S1994" s="46"/>
      <c r="T1994" s="46"/>
      <c r="U1994" s="46"/>
      <c r="V1994" s="46"/>
      <c r="W1994" s="46"/>
      <c r="X1994" s="46"/>
    </row>
    <row r="1995" spans="1:24" x14ac:dyDescent="0.2">
      <c r="A1995" s="45"/>
      <c r="B1995" s="46"/>
      <c r="C1995" s="46"/>
      <c r="D1995" s="46"/>
      <c r="E1995" s="46"/>
      <c r="F1995" s="46"/>
      <c r="G1995" s="46"/>
      <c r="H1995" s="46"/>
      <c r="I1995" s="46"/>
      <c r="J1995" s="46"/>
      <c r="K1995" s="46"/>
      <c r="L1995" s="46"/>
      <c r="M1995" s="46"/>
      <c r="N1995" s="46"/>
      <c r="O1995" s="46"/>
      <c r="P1995" s="46"/>
      <c r="Q1995" s="46"/>
      <c r="R1995" s="46"/>
      <c r="S1995" s="46"/>
      <c r="T1995" s="46"/>
      <c r="U1995" s="46"/>
      <c r="V1995" s="46"/>
      <c r="W1995" s="46"/>
      <c r="X1995" s="46"/>
    </row>
    <row r="1996" spans="1:24" x14ac:dyDescent="0.2">
      <c r="A1996" s="45"/>
      <c r="B1996" s="46"/>
      <c r="C1996" s="46"/>
      <c r="D1996" s="46"/>
      <c r="E1996" s="46"/>
      <c r="F1996" s="46"/>
      <c r="G1996" s="46"/>
      <c r="H1996" s="46"/>
      <c r="I1996" s="46"/>
      <c r="J1996" s="46"/>
      <c r="K1996" s="46"/>
      <c r="L1996" s="46"/>
      <c r="M1996" s="46"/>
      <c r="N1996" s="46"/>
      <c r="O1996" s="46"/>
      <c r="P1996" s="46"/>
      <c r="Q1996" s="46"/>
      <c r="R1996" s="46"/>
      <c r="S1996" s="46"/>
      <c r="T1996" s="46"/>
      <c r="U1996" s="46"/>
      <c r="V1996" s="46"/>
      <c r="W1996" s="46"/>
      <c r="X1996" s="46"/>
    </row>
    <row r="1997" spans="1:24" x14ac:dyDescent="0.2">
      <c r="A1997" s="45"/>
      <c r="B1997" s="46"/>
      <c r="C1997" s="46"/>
      <c r="D1997" s="46"/>
      <c r="E1997" s="46"/>
      <c r="F1997" s="46"/>
      <c r="G1997" s="46"/>
      <c r="H1997" s="46"/>
      <c r="I1997" s="46"/>
      <c r="J1997" s="46"/>
      <c r="K1997" s="46"/>
      <c r="L1997" s="46"/>
      <c r="M1997" s="46"/>
      <c r="N1997" s="46"/>
      <c r="O1997" s="46"/>
      <c r="P1997" s="46"/>
      <c r="Q1997" s="46"/>
      <c r="R1997" s="46"/>
      <c r="S1997" s="46"/>
      <c r="T1997" s="46"/>
      <c r="U1997" s="46"/>
      <c r="V1997" s="46"/>
      <c r="W1997" s="46"/>
      <c r="X1997" s="46"/>
    </row>
    <row r="1998" spans="1:24" x14ac:dyDescent="0.2">
      <c r="A1998" s="45"/>
      <c r="B1998" s="46"/>
      <c r="C1998" s="46"/>
      <c r="D1998" s="46"/>
      <c r="E1998" s="46"/>
      <c r="F1998" s="46"/>
      <c r="G1998" s="46"/>
      <c r="H1998" s="46"/>
      <c r="I1998" s="46"/>
      <c r="J1998" s="46"/>
      <c r="K1998" s="46"/>
      <c r="L1998" s="46"/>
      <c r="M1998" s="46"/>
      <c r="N1998" s="46"/>
      <c r="O1998" s="46"/>
      <c r="P1998" s="46"/>
      <c r="Q1998" s="46"/>
      <c r="R1998" s="46"/>
      <c r="S1998" s="46"/>
      <c r="T1998" s="46"/>
      <c r="U1998" s="46"/>
      <c r="V1998" s="46"/>
      <c r="W1998" s="46"/>
      <c r="X1998" s="46"/>
    </row>
    <row r="1999" spans="1:24" x14ac:dyDescent="0.2">
      <c r="A1999" s="45"/>
      <c r="B1999" s="46"/>
      <c r="C1999" s="46"/>
      <c r="D1999" s="46"/>
      <c r="E1999" s="46"/>
      <c r="F1999" s="46"/>
      <c r="G1999" s="46"/>
      <c r="H1999" s="46"/>
      <c r="I1999" s="46"/>
      <c r="J1999" s="46"/>
      <c r="K1999" s="46"/>
      <c r="L1999" s="46"/>
      <c r="M1999" s="46"/>
      <c r="N1999" s="46"/>
      <c r="O1999" s="46"/>
      <c r="P1999" s="46"/>
      <c r="Q1999" s="46"/>
      <c r="R1999" s="46"/>
      <c r="S1999" s="46"/>
      <c r="T1999" s="46"/>
      <c r="U1999" s="46"/>
      <c r="V1999" s="46"/>
      <c r="W1999" s="46"/>
      <c r="X1999" s="46"/>
    </row>
    <row r="2000" spans="1:24" x14ac:dyDescent="0.2">
      <c r="A2000" s="45"/>
      <c r="B2000" s="46"/>
      <c r="C2000" s="46"/>
      <c r="D2000" s="46"/>
      <c r="E2000" s="46"/>
      <c r="F2000" s="46"/>
      <c r="G2000" s="46"/>
      <c r="H2000" s="46"/>
      <c r="I2000" s="46"/>
      <c r="J2000" s="46"/>
      <c r="K2000" s="46"/>
      <c r="L2000" s="46"/>
      <c r="M2000" s="46"/>
      <c r="N2000" s="46"/>
      <c r="O2000" s="46"/>
      <c r="P2000" s="46"/>
      <c r="Q2000" s="46"/>
      <c r="R2000" s="46"/>
      <c r="S2000" s="46"/>
      <c r="T2000" s="46"/>
      <c r="U2000" s="46"/>
      <c r="V2000" s="46"/>
      <c r="W2000" s="46"/>
      <c r="X2000" s="46"/>
    </row>
    <row r="2001" spans="1:24" x14ac:dyDescent="0.2">
      <c r="A2001" s="45"/>
      <c r="B2001" s="46"/>
      <c r="C2001" s="46"/>
      <c r="D2001" s="46"/>
      <c r="E2001" s="46"/>
      <c r="F2001" s="46"/>
      <c r="G2001" s="46"/>
      <c r="H2001" s="46"/>
      <c r="I2001" s="46"/>
      <c r="J2001" s="46"/>
      <c r="K2001" s="46"/>
      <c r="L2001" s="46"/>
      <c r="M2001" s="46"/>
      <c r="N2001" s="46"/>
      <c r="O2001" s="46"/>
      <c r="P2001" s="46"/>
      <c r="Q2001" s="46"/>
      <c r="R2001" s="46"/>
      <c r="S2001" s="46"/>
      <c r="T2001" s="46"/>
      <c r="U2001" s="46"/>
      <c r="V2001" s="46"/>
      <c r="W2001" s="46"/>
      <c r="X2001" s="46"/>
    </row>
    <row r="2002" spans="1:24" x14ac:dyDescent="0.2">
      <c r="A2002" s="45"/>
      <c r="B2002" s="46"/>
      <c r="C2002" s="46"/>
      <c r="D2002" s="46"/>
      <c r="E2002" s="46"/>
      <c r="F2002" s="46"/>
      <c r="G2002" s="46"/>
      <c r="H2002" s="46"/>
      <c r="I2002" s="46"/>
      <c r="J2002" s="46"/>
      <c r="K2002" s="46"/>
      <c r="L2002" s="46"/>
      <c r="M2002" s="46"/>
      <c r="N2002" s="46"/>
      <c r="O2002" s="46"/>
      <c r="P2002" s="46"/>
      <c r="Q2002" s="46"/>
      <c r="R2002" s="46"/>
      <c r="S2002" s="46"/>
      <c r="T2002" s="46"/>
      <c r="U2002" s="46"/>
      <c r="V2002" s="46"/>
      <c r="W2002" s="46"/>
      <c r="X2002" s="46"/>
    </row>
    <row r="2003" spans="1:24" x14ac:dyDescent="0.2">
      <c r="A2003" s="45"/>
      <c r="B2003" s="46"/>
      <c r="C2003" s="46"/>
      <c r="D2003" s="46"/>
      <c r="E2003" s="46"/>
      <c r="F2003" s="46"/>
      <c r="G2003" s="46"/>
      <c r="H2003" s="46"/>
      <c r="I2003" s="46"/>
      <c r="J2003" s="46"/>
      <c r="K2003" s="46"/>
      <c r="L2003" s="46"/>
      <c r="M2003" s="46"/>
      <c r="N2003" s="46"/>
      <c r="O2003" s="46"/>
      <c r="P2003" s="46"/>
      <c r="Q2003" s="46"/>
      <c r="R2003" s="46"/>
      <c r="S2003" s="46"/>
      <c r="T2003" s="46"/>
      <c r="U2003" s="46"/>
      <c r="V2003" s="46"/>
      <c r="W2003" s="46"/>
      <c r="X2003" s="46"/>
    </row>
    <row r="2004" spans="1:24" x14ac:dyDescent="0.2">
      <c r="A2004" s="45"/>
      <c r="B2004" s="46"/>
      <c r="C2004" s="46"/>
      <c r="D2004" s="46"/>
      <c r="E2004" s="46"/>
      <c r="F2004" s="46"/>
      <c r="G2004" s="46"/>
      <c r="H2004" s="46"/>
      <c r="I2004" s="46"/>
      <c r="J2004" s="46"/>
      <c r="K2004" s="46"/>
      <c r="L2004" s="46"/>
      <c r="M2004" s="46"/>
      <c r="N2004" s="46"/>
      <c r="O2004" s="46"/>
      <c r="P2004" s="46"/>
      <c r="Q2004" s="46"/>
      <c r="R2004" s="46"/>
      <c r="S2004" s="46"/>
      <c r="T2004" s="46"/>
      <c r="U2004" s="46"/>
      <c r="V2004" s="46"/>
      <c r="W2004" s="46"/>
      <c r="X2004" s="46"/>
    </row>
    <row r="2005" spans="1:24" x14ac:dyDescent="0.2">
      <c r="A2005" s="45"/>
      <c r="B2005" s="46"/>
      <c r="C2005" s="46"/>
      <c r="D2005" s="46"/>
      <c r="E2005" s="46"/>
      <c r="F2005" s="46"/>
      <c r="G2005" s="46"/>
      <c r="H2005" s="46"/>
      <c r="I2005" s="46"/>
      <c r="J2005" s="46"/>
      <c r="K2005" s="46"/>
      <c r="L2005" s="46"/>
      <c r="M2005" s="46"/>
      <c r="N2005" s="46"/>
      <c r="O2005" s="46"/>
      <c r="P2005" s="46"/>
      <c r="Q2005" s="46"/>
      <c r="R2005" s="46"/>
      <c r="S2005" s="46"/>
      <c r="T2005" s="46"/>
      <c r="U2005" s="46"/>
      <c r="V2005" s="46"/>
      <c r="W2005" s="46"/>
      <c r="X2005" s="46"/>
    </row>
    <row r="2006" spans="1:24" x14ac:dyDescent="0.2">
      <c r="A2006" s="45"/>
      <c r="B2006" s="46"/>
      <c r="C2006" s="46"/>
      <c r="D2006" s="46"/>
      <c r="E2006" s="46"/>
      <c r="F2006" s="46"/>
      <c r="G2006" s="46"/>
      <c r="H2006" s="46"/>
      <c r="I2006" s="46"/>
      <c r="J2006" s="46"/>
      <c r="K2006" s="46"/>
      <c r="L2006" s="46"/>
      <c r="M2006" s="46"/>
      <c r="N2006" s="46"/>
      <c r="O2006" s="46"/>
      <c r="P2006" s="46"/>
      <c r="Q2006" s="46"/>
      <c r="R2006" s="46"/>
      <c r="S2006" s="46"/>
      <c r="T2006" s="46"/>
      <c r="U2006" s="46"/>
      <c r="V2006" s="46"/>
      <c r="W2006" s="46"/>
      <c r="X2006" s="46"/>
    </row>
    <row r="2007" spans="1:24" x14ac:dyDescent="0.2">
      <c r="A2007" s="45"/>
      <c r="B2007" s="46"/>
      <c r="C2007" s="46"/>
      <c r="D2007" s="46"/>
      <c r="E2007" s="46"/>
      <c r="F2007" s="46"/>
      <c r="G2007" s="46"/>
      <c r="H2007" s="46"/>
      <c r="I2007" s="46"/>
      <c r="J2007" s="46"/>
      <c r="K2007" s="46"/>
      <c r="L2007" s="46"/>
      <c r="M2007" s="46"/>
      <c r="N2007" s="46"/>
      <c r="O2007" s="46"/>
      <c r="P2007" s="46"/>
      <c r="Q2007" s="46"/>
      <c r="R2007" s="46"/>
      <c r="S2007" s="46"/>
      <c r="T2007" s="46"/>
      <c r="U2007" s="46"/>
      <c r="V2007" s="46"/>
      <c r="W2007" s="46"/>
      <c r="X2007" s="46"/>
    </row>
    <row r="2008" spans="1:24" x14ac:dyDescent="0.2">
      <c r="A2008" s="45"/>
      <c r="B2008" s="46"/>
      <c r="C2008" s="46"/>
      <c r="D2008" s="46"/>
      <c r="E2008" s="46"/>
      <c r="F2008" s="46"/>
      <c r="G2008" s="46"/>
      <c r="H2008" s="46"/>
      <c r="I2008" s="46"/>
      <c r="J2008" s="46"/>
      <c r="K2008" s="46"/>
      <c r="L2008" s="46"/>
      <c r="M2008" s="46"/>
      <c r="N2008" s="46"/>
      <c r="O2008" s="46"/>
      <c r="P2008" s="46"/>
      <c r="Q2008" s="46"/>
      <c r="R2008" s="46"/>
      <c r="S2008" s="46"/>
      <c r="T2008" s="46"/>
      <c r="U2008" s="46"/>
      <c r="V2008" s="46"/>
      <c r="W2008" s="46"/>
      <c r="X2008" s="46"/>
    </row>
    <row r="2009" spans="1:24" x14ac:dyDescent="0.2">
      <c r="A2009" s="45"/>
      <c r="B2009" s="46"/>
      <c r="C2009" s="46"/>
      <c r="D2009" s="46"/>
      <c r="E2009" s="46"/>
      <c r="F2009" s="46"/>
      <c r="G2009" s="46"/>
      <c r="H2009" s="46"/>
      <c r="I2009" s="46"/>
      <c r="J2009" s="46"/>
      <c r="K2009" s="46"/>
      <c r="L2009" s="46"/>
      <c r="M2009" s="46"/>
      <c r="N2009" s="46"/>
      <c r="O2009" s="46"/>
      <c r="P2009" s="46"/>
      <c r="Q2009" s="46"/>
      <c r="R2009" s="46"/>
      <c r="S2009" s="46"/>
      <c r="T2009" s="46"/>
      <c r="U2009" s="46"/>
      <c r="V2009" s="46"/>
      <c r="W2009" s="46"/>
      <c r="X2009" s="46"/>
    </row>
    <row r="2010" spans="1:24" x14ac:dyDescent="0.2">
      <c r="A2010" s="45"/>
      <c r="B2010" s="46"/>
      <c r="C2010" s="46"/>
      <c r="D2010" s="46"/>
      <c r="E2010" s="46"/>
      <c r="F2010" s="46"/>
      <c r="G2010" s="46"/>
      <c r="H2010" s="46"/>
      <c r="I2010" s="46"/>
      <c r="J2010" s="46"/>
      <c r="K2010" s="46"/>
      <c r="L2010" s="46"/>
      <c r="M2010" s="46"/>
      <c r="N2010" s="46"/>
      <c r="O2010" s="46"/>
      <c r="P2010" s="46"/>
      <c r="Q2010" s="46"/>
      <c r="R2010" s="46"/>
      <c r="S2010" s="46"/>
      <c r="T2010" s="46"/>
      <c r="U2010" s="46"/>
      <c r="V2010" s="46"/>
      <c r="W2010" s="46"/>
      <c r="X2010" s="46"/>
    </row>
    <row r="2011" spans="1:24" x14ac:dyDescent="0.2">
      <c r="A2011" s="45"/>
      <c r="B2011" s="46"/>
      <c r="C2011" s="46"/>
      <c r="D2011" s="46"/>
      <c r="E2011" s="46"/>
      <c r="F2011" s="46"/>
      <c r="G2011" s="46"/>
      <c r="H2011" s="46"/>
      <c r="I2011" s="46"/>
      <c r="J2011" s="46"/>
      <c r="K2011" s="46"/>
      <c r="L2011" s="46"/>
      <c r="M2011" s="46"/>
      <c r="N2011" s="46"/>
      <c r="O2011" s="46"/>
      <c r="P2011" s="46"/>
      <c r="Q2011" s="46"/>
      <c r="R2011" s="46"/>
      <c r="S2011" s="46"/>
      <c r="T2011" s="46"/>
      <c r="U2011" s="46"/>
      <c r="V2011" s="46"/>
      <c r="W2011" s="46"/>
      <c r="X2011" s="46"/>
    </row>
    <row r="2012" spans="1:24" x14ac:dyDescent="0.2">
      <c r="A2012" s="45"/>
      <c r="B2012" s="46"/>
      <c r="C2012" s="46"/>
      <c r="D2012" s="46"/>
      <c r="E2012" s="46"/>
      <c r="F2012" s="46"/>
      <c r="G2012" s="46"/>
      <c r="H2012" s="46"/>
      <c r="I2012" s="46"/>
      <c r="J2012" s="46"/>
      <c r="K2012" s="46"/>
      <c r="L2012" s="46"/>
      <c r="M2012" s="46"/>
      <c r="N2012" s="46"/>
      <c r="O2012" s="46"/>
      <c r="P2012" s="46"/>
      <c r="Q2012" s="46"/>
      <c r="R2012" s="46"/>
      <c r="S2012" s="46"/>
      <c r="T2012" s="46"/>
      <c r="U2012" s="46"/>
      <c r="V2012" s="46"/>
      <c r="W2012" s="46"/>
      <c r="X2012" s="46"/>
    </row>
    <row r="2013" spans="1:24" x14ac:dyDescent="0.2">
      <c r="A2013" s="45"/>
      <c r="B2013" s="46"/>
      <c r="C2013" s="46"/>
      <c r="D2013" s="46"/>
      <c r="E2013" s="46"/>
      <c r="F2013" s="46"/>
      <c r="G2013" s="46"/>
      <c r="H2013" s="46"/>
      <c r="I2013" s="46"/>
      <c r="J2013" s="46"/>
      <c r="K2013" s="46"/>
      <c r="L2013" s="46"/>
      <c r="M2013" s="46"/>
      <c r="N2013" s="46"/>
      <c r="O2013" s="46"/>
      <c r="P2013" s="46"/>
      <c r="Q2013" s="46"/>
      <c r="R2013" s="46"/>
      <c r="S2013" s="46"/>
      <c r="T2013" s="46"/>
      <c r="U2013" s="46"/>
      <c r="V2013" s="46"/>
      <c r="W2013" s="46"/>
      <c r="X2013" s="46"/>
    </row>
    <row r="2014" spans="1:24" x14ac:dyDescent="0.2">
      <c r="A2014" s="45"/>
      <c r="B2014" s="46"/>
      <c r="C2014" s="46"/>
      <c r="D2014" s="46"/>
      <c r="E2014" s="46"/>
      <c r="F2014" s="46"/>
      <c r="G2014" s="46"/>
      <c r="H2014" s="46"/>
      <c r="I2014" s="46"/>
      <c r="J2014" s="46"/>
      <c r="K2014" s="46"/>
      <c r="L2014" s="46"/>
      <c r="M2014" s="46"/>
      <c r="N2014" s="46"/>
      <c r="O2014" s="46"/>
      <c r="P2014" s="46"/>
      <c r="Q2014" s="46"/>
      <c r="R2014" s="46"/>
      <c r="S2014" s="46"/>
      <c r="T2014" s="46"/>
      <c r="U2014" s="46"/>
      <c r="V2014" s="46"/>
      <c r="W2014" s="46"/>
      <c r="X2014" s="46"/>
    </row>
    <row r="2015" spans="1:24" x14ac:dyDescent="0.2">
      <c r="A2015" s="45"/>
      <c r="B2015" s="46"/>
      <c r="C2015" s="46"/>
      <c r="D2015" s="46"/>
      <c r="E2015" s="46"/>
      <c r="F2015" s="46"/>
      <c r="G2015" s="46"/>
      <c r="H2015" s="46"/>
      <c r="I2015" s="46"/>
      <c r="J2015" s="46"/>
      <c r="K2015" s="46"/>
      <c r="L2015" s="46"/>
      <c r="M2015" s="46"/>
      <c r="N2015" s="46"/>
      <c r="O2015" s="46"/>
      <c r="P2015" s="46"/>
      <c r="Q2015" s="46"/>
      <c r="R2015" s="46"/>
      <c r="S2015" s="46"/>
      <c r="T2015" s="46"/>
      <c r="U2015" s="46"/>
      <c r="V2015" s="46"/>
      <c r="W2015" s="46"/>
      <c r="X2015" s="46"/>
    </row>
    <row r="2016" spans="1:24" x14ac:dyDescent="0.2">
      <c r="A2016" s="45"/>
      <c r="B2016" s="46"/>
      <c r="C2016" s="46"/>
      <c r="D2016" s="46"/>
      <c r="E2016" s="46"/>
      <c r="F2016" s="46"/>
      <c r="G2016" s="46"/>
      <c r="H2016" s="46"/>
      <c r="I2016" s="46"/>
      <c r="J2016" s="46"/>
      <c r="K2016" s="46"/>
      <c r="L2016" s="46"/>
      <c r="M2016" s="46"/>
      <c r="N2016" s="46"/>
      <c r="O2016" s="46"/>
      <c r="P2016" s="46"/>
      <c r="Q2016" s="46"/>
      <c r="R2016" s="46"/>
      <c r="S2016" s="46"/>
      <c r="T2016" s="46"/>
      <c r="U2016" s="46"/>
      <c r="V2016" s="46"/>
      <c r="W2016" s="46"/>
      <c r="X2016" s="46"/>
    </row>
    <row r="2017" spans="1:24" x14ac:dyDescent="0.2">
      <c r="A2017" s="45"/>
      <c r="B2017" s="46"/>
      <c r="C2017" s="46"/>
      <c r="D2017" s="46"/>
      <c r="E2017" s="46"/>
      <c r="F2017" s="46"/>
      <c r="G2017" s="46"/>
      <c r="H2017" s="46"/>
      <c r="I2017" s="46"/>
      <c r="J2017" s="46"/>
      <c r="K2017" s="46"/>
      <c r="L2017" s="46"/>
      <c r="M2017" s="46"/>
      <c r="N2017" s="46"/>
      <c r="O2017" s="46"/>
      <c r="P2017" s="46"/>
      <c r="Q2017" s="46"/>
      <c r="R2017" s="46"/>
      <c r="S2017" s="46"/>
      <c r="T2017" s="46"/>
      <c r="U2017" s="46"/>
      <c r="V2017" s="46"/>
      <c r="W2017" s="46"/>
      <c r="X2017" s="46"/>
    </row>
    <row r="2018" spans="1:24" x14ac:dyDescent="0.2">
      <c r="A2018" s="45"/>
      <c r="B2018" s="46"/>
      <c r="C2018" s="46"/>
      <c r="D2018" s="46"/>
      <c r="E2018" s="46"/>
      <c r="F2018" s="46"/>
      <c r="G2018" s="46"/>
      <c r="H2018" s="46"/>
      <c r="I2018" s="46"/>
      <c r="J2018" s="46"/>
      <c r="K2018" s="46"/>
      <c r="L2018" s="46"/>
      <c r="M2018" s="46"/>
      <c r="N2018" s="46"/>
      <c r="O2018" s="46"/>
      <c r="P2018" s="46"/>
      <c r="Q2018" s="46"/>
      <c r="R2018" s="46"/>
      <c r="S2018" s="46"/>
      <c r="T2018" s="46"/>
      <c r="U2018" s="46"/>
      <c r="V2018" s="46"/>
      <c r="W2018" s="46"/>
      <c r="X2018" s="46"/>
    </row>
    <row r="2019" spans="1:24" x14ac:dyDescent="0.2">
      <c r="A2019" s="45"/>
      <c r="B2019" s="46"/>
      <c r="C2019" s="46"/>
      <c r="D2019" s="46"/>
      <c r="E2019" s="46"/>
      <c r="F2019" s="46"/>
      <c r="G2019" s="46"/>
      <c r="H2019" s="46"/>
      <c r="I2019" s="46"/>
      <c r="J2019" s="46"/>
      <c r="K2019" s="46"/>
      <c r="L2019" s="46"/>
      <c r="M2019" s="46"/>
      <c r="N2019" s="46"/>
      <c r="O2019" s="46"/>
      <c r="P2019" s="46"/>
      <c r="Q2019" s="46"/>
      <c r="R2019" s="46"/>
      <c r="S2019" s="46"/>
      <c r="T2019" s="46"/>
      <c r="U2019" s="46"/>
      <c r="V2019" s="46"/>
      <c r="W2019" s="46"/>
      <c r="X2019" s="46"/>
    </row>
    <row r="2020" spans="1:24" x14ac:dyDescent="0.2">
      <c r="A2020" s="45"/>
      <c r="B2020" s="46"/>
      <c r="C2020" s="46"/>
      <c r="D2020" s="46"/>
      <c r="E2020" s="46"/>
      <c r="F2020" s="46"/>
      <c r="G2020" s="46"/>
      <c r="H2020" s="46"/>
      <c r="I2020" s="46"/>
      <c r="J2020" s="46"/>
      <c r="K2020" s="46"/>
      <c r="L2020" s="46"/>
      <c r="M2020" s="46"/>
      <c r="N2020" s="46"/>
      <c r="O2020" s="46"/>
      <c r="P2020" s="46"/>
      <c r="Q2020" s="46"/>
      <c r="R2020" s="46"/>
      <c r="S2020" s="46"/>
      <c r="T2020" s="46"/>
      <c r="U2020" s="46"/>
      <c r="V2020" s="46"/>
      <c r="W2020" s="46"/>
      <c r="X2020" s="46"/>
    </row>
    <row r="2021" spans="1:24" x14ac:dyDescent="0.2">
      <c r="A2021" s="45"/>
      <c r="B2021" s="46"/>
      <c r="C2021" s="46"/>
      <c r="D2021" s="46"/>
      <c r="E2021" s="46"/>
      <c r="F2021" s="46"/>
      <c r="G2021" s="46"/>
      <c r="H2021" s="46"/>
      <c r="I2021" s="46"/>
      <c r="J2021" s="46"/>
      <c r="K2021" s="46"/>
      <c r="L2021" s="46"/>
      <c r="M2021" s="46"/>
      <c r="N2021" s="46"/>
      <c r="O2021" s="46"/>
      <c r="P2021" s="46"/>
      <c r="Q2021" s="46"/>
      <c r="R2021" s="46"/>
      <c r="S2021" s="46"/>
      <c r="T2021" s="46"/>
      <c r="U2021" s="46"/>
      <c r="V2021" s="46"/>
      <c r="W2021" s="46"/>
      <c r="X2021" s="46"/>
    </row>
    <row r="2022" spans="1:24" x14ac:dyDescent="0.2">
      <c r="A2022" s="45"/>
      <c r="B2022" s="46"/>
      <c r="C2022" s="46"/>
      <c r="D2022" s="46"/>
      <c r="E2022" s="46"/>
      <c r="F2022" s="46"/>
      <c r="G2022" s="46"/>
      <c r="H2022" s="46"/>
      <c r="I2022" s="46"/>
      <c r="J2022" s="46"/>
      <c r="K2022" s="46"/>
      <c r="L2022" s="46"/>
      <c r="M2022" s="46"/>
      <c r="N2022" s="46"/>
      <c r="O2022" s="46"/>
      <c r="P2022" s="46"/>
      <c r="Q2022" s="46"/>
      <c r="R2022" s="46"/>
      <c r="S2022" s="46"/>
      <c r="T2022" s="46"/>
      <c r="U2022" s="46"/>
      <c r="V2022" s="46"/>
      <c r="W2022" s="46"/>
      <c r="X2022" s="46"/>
    </row>
    <row r="2023" spans="1:24" x14ac:dyDescent="0.2">
      <c r="A2023" s="45"/>
      <c r="B2023" s="46"/>
      <c r="C2023" s="46"/>
      <c r="D2023" s="46"/>
      <c r="E2023" s="46"/>
      <c r="F2023" s="46"/>
      <c r="G2023" s="46"/>
      <c r="H2023" s="46"/>
      <c r="I2023" s="46"/>
      <c r="J2023" s="46"/>
      <c r="K2023" s="46"/>
      <c r="L2023" s="46"/>
      <c r="M2023" s="46"/>
      <c r="N2023" s="46"/>
      <c r="O2023" s="46"/>
      <c r="P2023" s="46"/>
      <c r="Q2023" s="46"/>
      <c r="R2023" s="46"/>
      <c r="S2023" s="46"/>
      <c r="T2023" s="46"/>
      <c r="U2023" s="46"/>
      <c r="V2023" s="46"/>
      <c r="W2023" s="46"/>
      <c r="X2023" s="46"/>
    </row>
    <row r="2024" spans="1:24" x14ac:dyDescent="0.2">
      <c r="A2024" s="45"/>
      <c r="B2024" s="46"/>
      <c r="C2024" s="46"/>
      <c r="D2024" s="46"/>
      <c r="E2024" s="46"/>
      <c r="F2024" s="46"/>
      <c r="G2024" s="46"/>
      <c r="H2024" s="46"/>
      <c r="I2024" s="46"/>
      <c r="J2024" s="46"/>
      <c r="K2024" s="46"/>
      <c r="L2024" s="46"/>
      <c r="M2024" s="46"/>
      <c r="N2024" s="46"/>
      <c r="O2024" s="46"/>
      <c r="P2024" s="46"/>
      <c r="Q2024" s="46"/>
      <c r="R2024" s="46"/>
      <c r="S2024" s="46"/>
      <c r="T2024" s="46"/>
      <c r="U2024" s="46"/>
      <c r="V2024" s="46"/>
      <c r="W2024" s="46"/>
      <c r="X2024" s="46"/>
    </row>
    <row r="2025" spans="1:24" x14ac:dyDescent="0.2">
      <c r="A2025" s="45"/>
      <c r="B2025" s="46"/>
      <c r="C2025" s="46"/>
      <c r="D2025" s="46"/>
      <c r="E2025" s="46"/>
      <c r="F2025" s="46"/>
      <c r="G2025" s="46"/>
      <c r="H2025" s="46"/>
      <c r="I2025" s="46"/>
      <c r="J2025" s="46"/>
      <c r="K2025" s="46"/>
      <c r="L2025" s="46"/>
      <c r="M2025" s="46"/>
      <c r="N2025" s="46"/>
      <c r="O2025" s="46"/>
      <c r="P2025" s="46"/>
      <c r="Q2025" s="46"/>
      <c r="R2025" s="46"/>
      <c r="S2025" s="46"/>
      <c r="T2025" s="46"/>
      <c r="U2025" s="46"/>
      <c r="V2025" s="46"/>
      <c r="W2025" s="46"/>
      <c r="X2025" s="46"/>
    </row>
    <row r="2026" spans="1:24" x14ac:dyDescent="0.2">
      <c r="A2026" s="45"/>
      <c r="B2026" s="46"/>
      <c r="C2026" s="46"/>
      <c r="D2026" s="46"/>
      <c r="E2026" s="46"/>
      <c r="F2026" s="46"/>
      <c r="G2026" s="46"/>
      <c r="H2026" s="46"/>
      <c r="I2026" s="46"/>
      <c r="J2026" s="46"/>
      <c r="K2026" s="46"/>
      <c r="L2026" s="46"/>
      <c r="M2026" s="46"/>
      <c r="N2026" s="46"/>
      <c r="O2026" s="46"/>
      <c r="P2026" s="46"/>
      <c r="Q2026" s="46"/>
      <c r="R2026" s="46"/>
      <c r="S2026" s="46"/>
      <c r="T2026" s="46"/>
      <c r="U2026" s="46"/>
      <c r="V2026" s="46"/>
      <c r="W2026" s="46"/>
      <c r="X2026" s="46"/>
    </row>
    <row r="2027" spans="1:24" x14ac:dyDescent="0.2">
      <c r="A2027" s="45"/>
      <c r="B2027" s="46"/>
      <c r="C2027" s="46"/>
      <c r="D2027" s="46"/>
      <c r="E2027" s="46"/>
      <c r="F2027" s="46"/>
      <c r="G2027" s="46"/>
      <c r="H2027" s="46"/>
      <c r="I2027" s="46"/>
      <c r="J2027" s="46"/>
      <c r="K2027" s="46"/>
      <c r="L2027" s="46"/>
      <c r="M2027" s="46"/>
      <c r="N2027" s="46"/>
      <c r="O2027" s="46"/>
      <c r="P2027" s="46"/>
      <c r="Q2027" s="46"/>
      <c r="R2027" s="46"/>
      <c r="S2027" s="46"/>
      <c r="T2027" s="46"/>
      <c r="U2027" s="46"/>
      <c r="V2027" s="46"/>
      <c r="W2027" s="46"/>
      <c r="X2027" s="46"/>
    </row>
    <row r="2028" spans="1:24" x14ac:dyDescent="0.2">
      <c r="A2028" s="45"/>
      <c r="B2028" s="46"/>
      <c r="C2028" s="46"/>
      <c r="D2028" s="46"/>
      <c r="E2028" s="46"/>
      <c r="F2028" s="46"/>
      <c r="G2028" s="46"/>
      <c r="H2028" s="46"/>
      <c r="I2028" s="46"/>
      <c r="J2028" s="46"/>
      <c r="K2028" s="46"/>
      <c r="L2028" s="46"/>
      <c r="M2028" s="46"/>
      <c r="N2028" s="46"/>
      <c r="O2028" s="46"/>
      <c r="P2028" s="46"/>
      <c r="Q2028" s="46"/>
      <c r="R2028" s="46"/>
      <c r="S2028" s="46"/>
      <c r="T2028" s="46"/>
      <c r="U2028" s="46"/>
      <c r="V2028" s="46"/>
      <c r="W2028" s="46"/>
      <c r="X2028" s="46"/>
    </row>
    <row r="2029" spans="1:24" x14ac:dyDescent="0.2">
      <c r="A2029" s="45"/>
      <c r="B2029" s="46"/>
      <c r="C2029" s="46"/>
      <c r="D2029" s="46"/>
      <c r="E2029" s="46"/>
      <c r="F2029" s="46"/>
      <c r="G2029" s="46"/>
      <c r="H2029" s="46"/>
      <c r="I2029" s="46"/>
      <c r="J2029" s="46"/>
      <c r="K2029" s="46"/>
      <c r="L2029" s="46"/>
      <c r="M2029" s="46"/>
      <c r="N2029" s="46"/>
      <c r="O2029" s="46"/>
      <c r="P2029" s="46"/>
      <c r="Q2029" s="46"/>
      <c r="R2029" s="46"/>
      <c r="S2029" s="46"/>
      <c r="T2029" s="46"/>
      <c r="U2029" s="46"/>
      <c r="V2029" s="46"/>
      <c r="W2029" s="46"/>
      <c r="X2029" s="46"/>
    </row>
    <row r="2030" spans="1:24" x14ac:dyDescent="0.2">
      <c r="A2030" s="45"/>
      <c r="B2030" s="46"/>
      <c r="C2030" s="46"/>
      <c r="D2030" s="46"/>
      <c r="E2030" s="46"/>
      <c r="F2030" s="46"/>
      <c r="G2030" s="46"/>
      <c r="H2030" s="46"/>
      <c r="I2030" s="46"/>
      <c r="J2030" s="46"/>
      <c r="K2030" s="46"/>
      <c r="L2030" s="46"/>
      <c r="M2030" s="46"/>
      <c r="N2030" s="46"/>
      <c r="O2030" s="46"/>
      <c r="P2030" s="46"/>
      <c r="Q2030" s="46"/>
      <c r="R2030" s="46"/>
      <c r="S2030" s="46"/>
      <c r="T2030" s="46"/>
      <c r="U2030" s="46"/>
      <c r="V2030" s="46"/>
      <c r="W2030" s="46"/>
      <c r="X2030" s="46"/>
    </row>
    <row r="2031" spans="1:24" x14ac:dyDescent="0.2">
      <c r="A2031" s="45"/>
      <c r="B2031" s="46"/>
      <c r="C2031" s="46"/>
      <c r="D2031" s="46"/>
      <c r="E2031" s="46"/>
      <c r="F2031" s="46"/>
      <c r="G2031" s="46"/>
      <c r="H2031" s="46"/>
      <c r="I2031" s="46"/>
      <c r="J2031" s="46"/>
      <c r="K2031" s="46"/>
      <c r="L2031" s="46"/>
      <c r="M2031" s="46"/>
      <c r="N2031" s="46"/>
      <c r="O2031" s="46"/>
      <c r="P2031" s="46"/>
      <c r="Q2031" s="46"/>
      <c r="R2031" s="46"/>
      <c r="S2031" s="46"/>
      <c r="T2031" s="46"/>
      <c r="U2031" s="46"/>
      <c r="V2031" s="46"/>
      <c r="W2031" s="46"/>
      <c r="X2031" s="46"/>
    </row>
    <row r="2032" spans="1:24" x14ac:dyDescent="0.2">
      <c r="A2032" s="45"/>
      <c r="B2032" s="46"/>
      <c r="C2032" s="46"/>
      <c r="D2032" s="46"/>
      <c r="E2032" s="46"/>
      <c r="F2032" s="46"/>
      <c r="G2032" s="46"/>
      <c r="H2032" s="46"/>
      <c r="I2032" s="46"/>
      <c r="J2032" s="46"/>
      <c r="K2032" s="46"/>
      <c r="L2032" s="46"/>
      <c r="M2032" s="46"/>
      <c r="N2032" s="46"/>
      <c r="O2032" s="46"/>
      <c r="P2032" s="46"/>
      <c r="Q2032" s="46"/>
      <c r="R2032" s="46"/>
      <c r="S2032" s="46"/>
      <c r="T2032" s="46"/>
      <c r="U2032" s="46"/>
      <c r="V2032" s="46"/>
      <c r="W2032" s="46"/>
      <c r="X2032" s="46"/>
    </row>
    <row r="2033" spans="1:24" x14ac:dyDescent="0.2">
      <c r="A2033" s="45"/>
      <c r="B2033" s="46"/>
      <c r="C2033" s="46"/>
      <c r="D2033" s="46"/>
      <c r="E2033" s="46"/>
      <c r="F2033" s="46"/>
      <c r="G2033" s="46"/>
      <c r="H2033" s="46"/>
      <c r="I2033" s="46"/>
      <c r="J2033" s="46"/>
      <c r="K2033" s="46"/>
      <c r="L2033" s="46"/>
      <c r="M2033" s="46"/>
      <c r="N2033" s="46"/>
      <c r="O2033" s="46"/>
      <c r="P2033" s="46"/>
      <c r="Q2033" s="46"/>
      <c r="R2033" s="46"/>
      <c r="S2033" s="46"/>
      <c r="T2033" s="46"/>
      <c r="U2033" s="46"/>
      <c r="V2033" s="46"/>
      <c r="W2033" s="46"/>
      <c r="X2033" s="46"/>
    </row>
    <row r="2034" spans="1:24" x14ac:dyDescent="0.2">
      <c r="A2034" s="45"/>
      <c r="B2034" s="46"/>
      <c r="C2034" s="46"/>
      <c r="D2034" s="46"/>
      <c r="E2034" s="46"/>
      <c r="F2034" s="46"/>
      <c r="G2034" s="46"/>
      <c r="H2034" s="46"/>
      <c r="I2034" s="46"/>
      <c r="J2034" s="46"/>
      <c r="K2034" s="46"/>
      <c r="L2034" s="46"/>
      <c r="M2034" s="46"/>
      <c r="N2034" s="46"/>
      <c r="O2034" s="46"/>
      <c r="P2034" s="46"/>
      <c r="Q2034" s="46"/>
      <c r="R2034" s="46"/>
      <c r="S2034" s="46"/>
      <c r="T2034" s="46"/>
      <c r="U2034" s="46"/>
      <c r="V2034" s="46"/>
      <c r="W2034" s="46"/>
      <c r="X2034" s="46"/>
    </row>
    <row r="2035" spans="1:24" x14ac:dyDescent="0.2">
      <c r="A2035" s="45"/>
      <c r="B2035" s="46"/>
      <c r="C2035" s="46"/>
      <c r="D2035" s="46"/>
      <c r="E2035" s="46"/>
      <c r="F2035" s="46"/>
      <c r="G2035" s="46"/>
      <c r="H2035" s="46"/>
      <c r="I2035" s="46"/>
      <c r="J2035" s="46"/>
      <c r="K2035" s="46"/>
      <c r="L2035" s="46"/>
      <c r="M2035" s="46"/>
      <c r="N2035" s="46"/>
      <c r="O2035" s="46"/>
      <c r="P2035" s="46"/>
      <c r="Q2035" s="46"/>
      <c r="R2035" s="46"/>
      <c r="S2035" s="46"/>
      <c r="T2035" s="46"/>
      <c r="U2035" s="46"/>
      <c r="V2035" s="46"/>
      <c r="W2035" s="46"/>
      <c r="X2035" s="46"/>
    </row>
    <row r="2036" spans="1:24" x14ac:dyDescent="0.2">
      <c r="A2036" s="45"/>
      <c r="B2036" s="46"/>
      <c r="C2036" s="46"/>
      <c r="D2036" s="46"/>
      <c r="E2036" s="46"/>
      <c r="F2036" s="46"/>
      <c r="G2036" s="46"/>
      <c r="H2036" s="46"/>
      <c r="I2036" s="46"/>
      <c r="J2036" s="46"/>
      <c r="K2036" s="46"/>
      <c r="L2036" s="46"/>
      <c r="M2036" s="46"/>
      <c r="N2036" s="46"/>
      <c r="O2036" s="46"/>
      <c r="P2036" s="46"/>
      <c r="Q2036" s="46"/>
      <c r="R2036" s="46"/>
      <c r="S2036" s="46"/>
      <c r="T2036" s="46"/>
      <c r="U2036" s="46"/>
      <c r="V2036" s="46"/>
      <c r="W2036" s="46"/>
      <c r="X2036" s="46"/>
    </row>
    <row r="2037" spans="1:24" x14ac:dyDescent="0.2">
      <c r="A2037" s="45"/>
      <c r="B2037" s="46"/>
      <c r="C2037" s="46"/>
      <c r="D2037" s="46"/>
      <c r="E2037" s="46"/>
      <c r="F2037" s="46"/>
      <c r="G2037" s="46"/>
      <c r="H2037" s="46"/>
      <c r="I2037" s="46"/>
      <c r="J2037" s="46"/>
      <c r="K2037" s="46"/>
      <c r="L2037" s="46"/>
      <c r="M2037" s="46"/>
      <c r="N2037" s="46"/>
      <c r="O2037" s="46"/>
      <c r="P2037" s="46"/>
      <c r="Q2037" s="46"/>
      <c r="R2037" s="46"/>
      <c r="S2037" s="46"/>
      <c r="T2037" s="46"/>
      <c r="U2037" s="46"/>
      <c r="V2037" s="46"/>
      <c r="W2037" s="46"/>
      <c r="X2037" s="46"/>
    </row>
    <row r="2038" spans="1:24" x14ac:dyDescent="0.2">
      <c r="A2038" s="45"/>
      <c r="B2038" s="46"/>
      <c r="C2038" s="46"/>
      <c r="D2038" s="46"/>
      <c r="E2038" s="46"/>
      <c r="F2038" s="46"/>
      <c r="G2038" s="46"/>
      <c r="H2038" s="46"/>
      <c r="I2038" s="46"/>
      <c r="J2038" s="46"/>
      <c r="K2038" s="46"/>
      <c r="L2038" s="46"/>
      <c r="M2038" s="46"/>
      <c r="N2038" s="46"/>
      <c r="O2038" s="46"/>
      <c r="P2038" s="46"/>
      <c r="Q2038" s="46"/>
      <c r="R2038" s="46"/>
      <c r="S2038" s="46"/>
      <c r="T2038" s="46"/>
      <c r="U2038" s="46"/>
      <c r="V2038" s="46"/>
      <c r="W2038" s="46"/>
      <c r="X2038" s="46"/>
    </row>
    <row r="2039" spans="1:24" x14ac:dyDescent="0.2">
      <c r="A2039" s="45"/>
      <c r="B2039" s="46"/>
      <c r="C2039" s="46"/>
      <c r="D2039" s="46"/>
      <c r="E2039" s="46"/>
      <c r="F2039" s="46"/>
      <c r="G2039" s="46"/>
      <c r="H2039" s="46"/>
      <c r="I2039" s="46"/>
      <c r="J2039" s="46"/>
      <c r="K2039" s="46"/>
      <c r="L2039" s="46"/>
      <c r="M2039" s="46"/>
      <c r="N2039" s="46"/>
      <c r="O2039" s="46"/>
      <c r="P2039" s="46"/>
      <c r="Q2039" s="46"/>
      <c r="R2039" s="46"/>
      <c r="S2039" s="46"/>
      <c r="T2039" s="46"/>
      <c r="U2039" s="46"/>
      <c r="V2039" s="46"/>
      <c r="W2039" s="46"/>
      <c r="X2039" s="46"/>
    </row>
    <row r="2040" spans="1:24" x14ac:dyDescent="0.2">
      <c r="A2040" s="45"/>
      <c r="B2040" s="46"/>
      <c r="C2040" s="46"/>
      <c r="D2040" s="46"/>
      <c r="E2040" s="46"/>
      <c r="F2040" s="46"/>
      <c r="G2040" s="46"/>
      <c r="H2040" s="46"/>
      <c r="I2040" s="46"/>
      <c r="J2040" s="46"/>
      <c r="K2040" s="46"/>
      <c r="L2040" s="46"/>
      <c r="M2040" s="46"/>
      <c r="N2040" s="46"/>
      <c r="O2040" s="46"/>
      <c r="P2040" s="46"/>
      <c r="Q2040" s="46"/>
      <c r="R2040" s="46"/>
      <c r="S2040" s="46"/>
      <c r="T2040" s="46"/>
      <c r="U2040" s="46"/>
      <c r="V2040" s="46"/>
      <c r="W2040" s="46"/>
      <c r="X2040" s="46"/>
    </row>
    <row r="2041" spans="1:24" x14ac:dyDescent="0.2">
      <c r="A2041" s="45"/>
      <c r="B2041" s="46"/>
      <c r="C2041" s="46"/>
      <c r="D2041" s="46"/>
      <c r="E2041" s="46"/>
      <c r="F2041" s="46"/>
      <c r="G2041" s="46"/>
      <c r="H2041" s="46"/>
      <c r="I2041" s="46"/>
      <c r="J2041" s="46"/>
      <c r="K2041" s="46"/>
      <c r="L2041" s="46"/>
      <c r="M2041" s="46"/>
      <c r="N2041" s="46"/>
      <c r="O2041" s="46"/>
      <c r="P2041" s="46"/>
      <c r="Q2041" s="46"/>
      <c r="R2041" s="46"/>
      <c r="S2041" s="46"/>
      <c r="T2041" s="46"/>
      <c r="U2041" s="46"/>
      <c r="V2041" s="46"/>
      <c r="W2041" s="46"/>
      <c r="X2041" s="46"/>
    </row>
    <row r="2042" spans="1:24" x14ac:dyDescent="0.2">
      <c r="A2042" s="45"/>
      <c r="B2042" s="46"/>
      <c r="C2042" s="46"/>
      <c r="D2042" s="46"/>
      <c r="E2042" s="46"/>
      <c r="F2042" s="46"/>
      <c r="G2042" s="46"/>
      <c r="H2042" s="46"/>
      <c r="I2042" s="46"/>
      <c r="J2042" s="46"/>
      <c r="K2042" s="46"/>
      <c r="L2042" s="46"/>
      <c r="M2042" s="46"/>
      <c r="N2042" s="46"/>
      <c r="O2042" s="46"/>
      <c r="P2042" s="46"/>
      <c r="Q2042" s="46"/>
      <c r="R2042" s="46"/>
      <c r="S2042" s="46"/>
      <c r="T2042" s="46"/>
      <c r="U2042" s="46"/>
      <c r="V2042" s="46"/>
      <c r="W2042" s="46"/>
      <c r="X2042" s="46"/>
    </row>
    <row r="2043" spans="1:24" x14ac:dyDescent="0.2">
      <c r="A2043" s="45"/>
      <c r="B2043" s="46"/>
      <c r="C2043" s="46"/>
      <c r="D2043" s="46"/>
      <c r="E2043" s="46"/>
      <c r="F2043" s="46"/>
      <c r="G2043" s="46"/>
      <c r="H2043" s="46"/>
      <c r="I2043" s="46"/>
      <c r="J2043" s="46"/>
      <c r="K2043" s="46"/>
      <c r="L2043" s="46"/>
      <c r="M2043" s="46"/>
      <c r="N2043" s="46"/>
      <c r="O2043" s="46"/>
      <c r="P2043" s="46"/>
      <c r="Q2043" s="46"/>
      <c r="R2043" s="46"/>
      <c r="S2043" s="46"/>
      <c r="T2043" s="46"/>
      <c r="U2043" s="46"/>
      <c r="V2043" s="46"/>
      <c r="W2043" s="46"/>
      <c r="X2043" s="46"/>
    </row>
    <row r="2044" spans="1:24" x14ac:dyDescent="0.2">
      <c r="A2044" s="45"/>
      <c r="B2044" s="46"/>
      <c r="C2044" s="46"/>
      <c r="D2044" s="46"/>
      <c r="E2044" s="46"/>
      <c r="F2044" s="46"/>
      <c r="G2044" s="46"/>
      <c r="H2044" s="46"/>
      <c r="I2044" s="46"/>
      <c r="J2044" s="46"/>
      <c r="K2044" s="46"/>
      <c r="L2044" s="46"/>
      <c r="M2044" s="46"/>
      <c r="N2044" s="46"/>
      <c r="O2044" s="46"/>
      <c r="P2044" s="46"/>
      <c r="Q2044" s="46"/>
      <c r="R2044" s="46"/>
      <c r="S2044" s="46"/>
      <c r="T2044" s="46"/>
      <c r="U2044" s="46"/>
      <c r="V2044" s="46"/>
      <c r="W2044" s="46"/>
      <c r="X2044" s="46"/>
    </row>
    <row r="2045" spans="1:24" x14ac:dyDescent="0.2">
      <c r="A2045" s="45"/>
      <c r="B2045" s="46"/>
      <c r="C2045" s="46"/>
      <c r="D2045" s="46"/>
      <c r="E2045" s="46"/>
      <c r="F2045" s="46"/>
      <c r="G2045" s="46"/>
      <c r="H2045" s="46"/>
      <c r="I2045" s="46"/>
      <c r="J2045" s="46"/>
      <c r="K2045" s="46"/>
      <c r="L2045" s="46"/>
      <c r="M2045" s="46"/>
      <c r="N2045" s="46"/>
      <c r="O2045" s="46"/>
      <c r="P2045" s="46"/>
      <c r="Q2045" s="46"/>
      <c r="R2045" s="46"/>
      <c r="S2045" s="46"/>
      <c r="T2045" s="46"/>
      <c r="U2045" s="46"/>
      <c r="V2045" s="46"/>
      <c r="W2045" s="46"/>
      <c r="X2045" s="46"/>
    </row>
    <row r="2046" spans="1:24" x14ac:dyDescent="0.2">
      <c r="A2046" s="45"/>
      <c r="B2046" s="46"/>
      <c r="C2046" s="46"/>
      <c r="D2046" s="46"/>
      <c r="E2046" s="46"/>
      <c r="F2046" s="46"/>
      <c r="G2046" s="46"/>
      <c r="H2046" s="46"/>
      <c r="I2046" s="46"/>
      <c r="J2046" s="46"/>
      <c r="K2046" s="46"/>
      <c r="L2046" s="46"/>
      <c r="M2046" s="46"/>
      <c r="N2046" s="46"/>
      <c r="O2046" s="46"/>
      <c r="P2046" s="46"/>
      <c r="Q2046" s="46"/>
      <c r="R2046" s="46"/>
      <c r="S2046" s="46"/>
      <c r="T2046" s="46"/>
      <c r="U2046" s="46"/>
      <c r="V2046" s="46"/>
      <c r="W2046" s="46"/>
      <c r="X2046" s="46"/>
    </row>
    <row r="2047" spans="1:24" x14ac:dyDescent="0.2">
      <c r="A2047" s="45"/>
      <c r="B2047" s="46"/>
      <c r="C2047" s="46"/>
      <c r="D2047" s="46"/>
      <c r="E2047" s="46"/>
      <c r="F2047" s="46"/>
      <c r="G2047" s="46"/>
      <c r="H2047" s="46"/>
      <c r="I2047" s="46"/>
      <c r="J2047" s="46"/>
      <c r="K2047" s="46"/>
      <c r="L2047" s="46"/>
      <c r="M2047" s="46"/>
      <c r="N2047" s="46"/>
      <c r="O2047" s="46"/>
      <c r="P2047" s="46"/>
      <c r="Q2047" s="46"/>
      <c r="R2047" s="46"/>
      <c r="S2047" s="46"/>
      <c r="T2047" s="46"/>
      <c r="U2047" s="46"/>
      <c r="V2047" s="46"/>
      <c r="W2047" s="46"/>
      <c r="X2047" s="46"/>
    </row>
    <row r="2048" spans="1:24" x14ac:dyDescent="0.2">
      <c r="A2048" s="45"/>
      <c r="B2048" s="46"/>
      <c r="C2048" s="46"/>
      <c r="D2048" s="46"/>
      <c r="E2048" s="46"/>
      <c r="F2048" s="46"/>
      <c r="G2048" s="46"/>
      <c r="H2048" s="46"/>
      <c r="I2048" s="46"/>
      <c r="J2048" s="46"/>
      <c r="K2048" s="46"/>
      <c r="L2048" s="46"/>
      <c r="M2048" s="46"/>
      <c r="N2048" s="46"/>
      <c r="O2048" s="46"/>
      <c r="P2048" s="46"/>
      <c r="Q2048" s="46"/>
      <c r="R2048" s="46"/>
      <c r="S2048" s="46"/>
      <c r="T2048" s="46"/>
      <c r="U2048" s="46"/>
      <c r="V2048" s="46"/>
      <c r="W2048" s="46"/>
      <c r="X2048" s="46"/>
    </row>
    <row r="2049" spans="1:24" x14ac:dyDescent="0.2">
      <c r="A2049" s="45"/>
      <c r="B2049" s="46"/>
      <c r="C2049" s="46"/>
      <c r="D2049" s="46"/>
      <c r="E2049" s="46"/>
      <c r="F2049" s="46"/>
      <c r="G2049" s="46"/>
      <c r="H2049" s="46"/>
      <c r="I2049" s="46"/>
      <c r="J2049" s="46"/>
      <c r="K2049" s="46"/>
      <c r="L2049" s="46"/>
      <c r="M2049" s="46"/>
      <c r="N2049" s="46"/>
      <c r="O2049" s="46"/>
      <c r="P2049" s="46"/>
      <c r="Q2049" s="46"/>
      <c r="R2049" s="46"/>
      <c r="S2049" s="46"/>
      <c r="T2049" s="46"/>
      <c r="U2049" s="46"/>
      <c r="V2049" s="46"/>
      <c r="W2049" s="46"/>
      <c r="X2049" s="46"/>
    </row>
    <row r="2050" spans="1:24" x14ac:dyDescent="0.2">
      <c r="A2050" s="45"/>
      <c r="B2050" s="46"/>
      <c r="C2050" s="46"/>
      <c r="D2050" s="46"/>
      <c r="E2050" s="46"/>
      <c r="F2050" s="46"/>
      <c r="G2050" s="46"/>
      <c r="H2050" s="46"/>
      <c r="I2050" s="46"/>
      <c r="J2050" s="46"/>
      <c r="K2050" s="46"/>
      <c r="L2050" s="46"/>
      <c r="M2050" s="46"/>
      <c r="N2050" s="46"/>
      <c r="O2050" s="46"/>
      <c r="P2050" s="46"/>
      <c r="Q2050" s="46"/>
      <c r="R2050" s="46"/>
      <c r="S2050" s="46"/>
      <c r="T2050" s="46"/>
      <c r="U2050" s="46"/>
      <c r="V2050" s="46"/>
      <c r="W2050" s="46"/>
      <c r="X2050" s="46"/>
    </row>
    <row r="2051" spans="1:24" x14ac:dyDescent="0.2">
      <c r="A2051" s="45"/>
      <c r="B2051" s="46"/>
      <c r="C2051" s="46"/>
      <c r="D2051" s="46"/>
      <c r="E2051" s="46"/>
      <c r="F2051" s="46"/>
      <c r="G2051" s="46"/>
      <c r="H2051" s="46"/>
      <c r="I2051" s="46"/>
      <c r="J2051" s="46"/>
      <c r="K2051" s="46"/>
      <c r="L2051" s="46"/>
      <c r="M2051" s="46"/>
      <c r="N2051" s="46"/>
      <c r="O2051" s="46"/>
      <c r="P2051" s="46"/>
      <c r="Q2051" s="46"/>
      <c r="R2051" s="46"/>
      <c r="S2051" s="46"/>
      <c r="T2051" s="46"/>
      <c r="U2051" s="46"/>
      <c r="V2051" s="46"/>
      <c r="W2051" s="46"/>
      <c r="X2051" s="46"/>
    </row>
    <row r="2052" spans="1:24" x14ac:dyDescent="0.2">
      <c r="A2052" s="45"/>
      <c r="B2052" s="46"/>
      <c r="C2052" s="46"/>
      <c r="D2052" s="46"/>
      <c r="E2052" s="46"/>
      <c r="F2052" s="46"/>
      <c r="G2052" s="46"/>
      <c r="H2052" s="46"/>
      <c r="I2052" s="46"/>
      <c r="J2052" s="46"/>
      <c r="K2052" s="46"/>
      <c r="L2052" s="46"/>
      <c r="M2052" s="46"/>
      <c r="N2052" s="46"/>
      <c r="O2052" s="46"/>
      <c r="P2052" s="46"/>
      <c r="Q2052" s="46"/>
      <c r="R2052" s="46"/>
      <c r="S2052" s="46"/>
      <c r="T2052" s="46"/>
      <c r="U2052" s="46"/>
      <c r="V2052" s="46"/>
      <c r="W2052" s="46"/>
      <c r="X2052" s="46"/>
    </row>
    <row r="2053" spans="1:24" x14ac:dyDescent="0.2">
      <c r="A2053" s="45"/>
      <c r="B2053" s="46"/>
      <c r="C2053" s="46"/>
      <c r="D2053" s="46"/>
      <c r="E2053" s="46"/>
      <c r="F2053" s="46"/>
      <c r="G2053" s="46"/>
      <c r="H2053" s="46"/>
      <c r="I2053" s="46"/>
      <c r="J2053" s="46"/>
      <c r="K2053" s="46"/>
      <c r="L2053" s="46"/>
      <c r="M2053" s="46"/>
      <c r="N2053" s="46"/>
      <c r="O2053" s="46"/>
      <c r="P2053" s="46"/>
      <c r="Q2053" s="46"/>
      <c r="R2053" s="46"/>
      <c r="S2053" s="46"/>
      <c r="T2053" s="46"/>
      <c r="U2053" s="46"/>
      <c r="V2053" s="46"/>
      <c r="W2053" s="46"/>
      <c r="X2053" s="46"/>
    </row>
    <row r="2054" spans="1:24" x14ac:dyDescent="0.2">
      <c r="A2054" s="45"/>
      <c r="B2054" s="46"/>
      <c r="C2054" s="46"/>
      <c r="D2054" s="46"/>
      <c r="E2054" s="46"/>
      <c r="F2054" s="46"/>
      <c r="G2054" s="46"/>
      <c r="H2054" s="46"/>
      <c r="I2054" s="46"/>
      <c r="J2054" s="46"/>
      <c r="K2054" s="46"/>
      <c r="L2054" s="46"/>
      <c r="M2054" s="46"/>
      <c r="N2054" s="46"/>
      <c r="O2054" s="46"/>
      <c r="P2054" s="46"/>
      <c r="Q2054" s="46"/>
      <c r="R2054" s="46"/>
      <c r="S2054" s="46"/>
      <c r="T2054" s="46"/>
      <c r="U2054" s="46"/>
      <c r="V2054" s="46"/>
      <c r="W2054" s="46"/>
      <c r="X2054" s="46"/>
    </row>
    <row r="2055" spans="1:24" x14ac:dyDescent="0.2">
      <c r="A2055" s="45"/>
      <c r="B2055" s="46"/>
      <c r="C2055" s="46"/>
      <c r="D2055" s="46"/>
      <c r="E2055" s="46"/>
      <c r="F2055" s="46"/>
      <c r="G2055" s="46"/>
      <c r="H2055" s="46"/>
      <c r="I2055" s="46"/>
      <c r="J2055" s="46"/>
      <c r="K2055" s="46"/>
      <c r="L2055" s="46"/>
      <c r="M2055" s="46"/>
      <c r="N2055" s="46"/>
      <c r="O2055" s="46"/>
      <c r="P2055" s="46"/>
      <c r="Q2055" s="46"/>
      <c r="R2055" s="46"/>
      <c r="S2055" s="46"/>
      <c r="T2055" s="46"/>
      <c r="U2055" s="46"/>
      <c r="V2055" s="46"/>
      <c r="W2055" s="46"/>
      <c r="X2055" s="46"/>
    </row>
    <row r="2056" spans="1:24" x14ac:dyDescent="0.2">
      <c r="A2056" s="45"/>
      <c r="B2056" s="46"/>
      <c r="C2056" s="46"/>
      <c r="D2056" s="46"/>
      <c r="E2056" s="46"/>
      <c r="F2056" s="46"/>
      <c r="G2056" s="46"/>
      <c r="H2056" s="46"/>
      <c r="I2056" s="46"/>
      <c r="J2056" s="46"/>
      <c r="K2056" s="46"/>
      <c r="L2056" s="46"/>
      <c r="M2056" s="46"/>
      <c r="N2056" s="46"/>
      <c r="O2056" s="46"/>
      <c r="P2056" s="46"/>
      <c r="Q2056" s="46"/>
      <c r="R2056" s="46"/>
      <c r="S2056" s="46"/>
      <c r="T2056" s="46"/>
      <c r="U2056" s="46"/>
      <c r="V2056" s="46"/>
      <c r="W2056" s="46"/>
      <c r="X2056" s="46"/>
    </row>
    <row r="2057" spans="1:24" x14ac:dyDescent="0.2">
      <c r="A2057" s="45"/>
      <c r="B2057" s="46"/>
      <c r="C2057" s="46"/>
      <c r="D2057" s="46"/>
      <c r="E2057" s="46"/>
      <c r="F2057" s="46"/>
      <c r="G2057" s="46"/>
      <c r="H2057" s="46"/>
      <c r="I2057" s="46"/>
      <c r="J2057" s="46"/>
      <c r="K2057" s="46"/>
      <c r="L2057" s="46"/>
      <c r="M2057" s="46"/>
      <c r="N2057" s="46"/>
      <c r="O2057" s="46"/>
      <c r="P2057" s="46"/>
      <c r="Q2057" s="46"/>
      <c r="R2057" s="46"/>
      <c r="S2057" s="46"/>
      <c r="T2057" s="46"/>
      <c r="U2057" s="46"/>
      <c r="V2057" s="46"/>
      <c r="W2057" s="46"/>
      <c r="X2057" s="46"/>
    </row>
    <row r="2058" spans="1:24" x14ac:dyDescent="0.2">
      <c r="A2058" s="45"/>
      <c r="B2058" s="46"/>
      <c r="C2058" s="46"/>
      <c r="D2058" s="46"/>
      <c r="E2058" s="46"/>
      <c r="F2058" s="46"/>
      <c r="G2058" s="46"/>
      <c r="H2058" s="46"/>
      <c r="I2058" s="46"/>
      <c r="J2058" s="46"/>
      <c r="K2058" s="46"/>
      <c r="L2058" s="46"/>
      <c r="M2058" s="46"/>
      <c r="N2058" s="46"/>
      <c r="O2058" s="46"/>
      <c r="P2058" s="46"/>
      <c r="Q2058" s="46"/>
      <c r="R2058" s="46"/>
      <c r="S2058" s="46"/>
      <c r="T2058" s="46"/>
      <c r="U2058" s="46"/>
      <c r="V2058" s="46"/>
      <c r="W2058" s="46"/>
      <c r="X2058" s="46"/>
    </row>
    <row r="2059" spans="1:24" x14ac:dyDescent="0.2">
      <c r="A2059" s="45"/>
      <c r="B2059" s="46"/>
      <c r="C2059" s="46"/>
      <c r="D2059" s="46"/>
      <c r="E2059" s="46"/>
      <c r="F2059" s="46"/>
      <c r="G2059" s="46"/>
      <c r="H2059" s="46"/>
      <c r="I2059" s="46"/>
      <c r="J2059" s="46"/>
      <c r="K2059" s="46"/>
      <c r="L2059" s="46"/>
      <c r="M2059" s="46"/>
      <c r="N2059" s="46"/>
      <c r="O2059" s="46"/>
      <c r="P2059" s="46"/>
      <c r="Q2059" s="46"/>
      <c r="R2059" s="46"/>
      <c r="S2059" s="46"/>
      <c r="T2059" s="46"/>
      <c r="U2059" s="46"/>
      <c r="V2059" s="46"/>
      <c r="W2059" s="46"/>
      <c r="X2059" s="46"/>
    </row>
    <row r="2060" spans="1:24" x14ac:dyDescent="0.2">
      <c r="A2060" s="45"/>
      <c r="B2060" s="46"/>
      <c r="C2060" s="46"/>
      <c r="D2060" s="46"/>
      <c r="E2060" s="46"/>
      <c r="F2060" s="46"/>
      <c r="G2060" s="46"/>
      <c r="H2060" s="46"/>
      <c r="I2060" s="46"/>
      <c r="J2060" s="46"/>
      <c r="K2060" s="46"/>
      <c r="L2060" s="46"/>
      <c r="M2060" s="46"/>
      <c r="N2060" s="46"/>
      <c r="O2060" s="46"/>
      <c r="P2060" s="46"/>
      <c r="Q2060" s="46"/>
      <c r="R2060" s="46"/>
      <c r="S2060" s="46"/>
      <c r="T2060" s="46"/>
      <c r="U2060" s="46"/>
      <c r="V2060" s="46"/>
      <c r="W2060" s="46"/>
      <c r="X2060" s="46"/>
    </row>
    <row r="2061" spans="1:24" x14ac:dyDescent="0.2">
      <c r="A2061" s="45"/>
      <c r="B2061" s="46"/>
      <c r="C2061" s="46"/>
      <c r="D2061" s="46"/>
      <c r="E2061" s="46"/>
      <c r="F2061" s="46"/>
      <c r="G2061" s="46"/>
      <c r="H2061" s="46"/>
      <c r="I2061" s="46"/>
      <c r="J2061" s="46"/>
      <c r="K2061" s="46"/>
      <c r="L2061" s="46"/>
      <c r="M2061" s="46"/>
      <c r="N2061" s="46"/>
      <c r="O2061" s="46"/>
      <c r="P2061" s="46"/>
      <c r="Q2061" s="46"/>
      <c r="R2061" s="46"/>
      <c r="S2061" s="46"/>
      <c r="T2061" s="46"/>
      <c r="U2061" s="46"/>
      <c r="V2061" s="46"/>
      <c r="W2061" s="46"/>
      <c r="X2061" s="46"/>
    </row>
    <row r="2062" spans="1:24" x14ac:dyDescent="0.2">
      <c r="A2062" s="45"/>
      <c r="B2062" s="46"/>
      <c r="C2062" s="46"/>
      <c r="D2062" s="46"/>
      <c r="E2062" s="46"/>
      <c r="F2062" s="46"/>
      <c r="G2062" s="46"/>
      <c r="H2062" s="46"/>
      <c r="I2062" s="46"/>
      <c r="J2062" s="46"/>
      <c r="K2062" s="46"/>
      <c r="L2062" s="46"/>
      <c r="M2062" s="46"/>
      <c r="N2062" s="46"/>
      <c r="O2062" s="46"/>
      <c r="P2062" s="46"/>
      <c r="Q2062" s="46"/>
      <c r="R2062" s="46"/>
      <c r="S2062" s="46"/>
      <c r="T2062" s="46"/>
      <c r="U2062" s="46"/>
      <c r="V2062" s="46"/>
      <c r="W2062" s="46"/>
      <c r="X2062" s="46"/>
    </row>
    <row r="2063" spans="1:24" x14ac:dyDescent="0.2">
      <c r="A2063" s="45"/>
      <c r="B2063" s="46"/>
      <c r="C2063" s="46"/>
      <c r="D2063" s="46"/>
      <c r="E2063" s="46"/>
      <c r="F2063" s="46"/>
      <c r="G2063" s="46"/>
      <c r="H2063" s="46"/>
      <c r="I2063" s="46"/>
      <c r="J2063" s="46"/>
      <c r="K2063" s="46"/>
      <c r="L2063" s="46"/>
      <c r="M2063" s="46"/>
      <c r="N2063" s="46"/>
      <c r="O2063" s="46"/>
      <c r="P2063" s="46"/>
      <c r="Q2063" s="46"/>
      <c r="R2063" s="46"/>
      <c r="S2063" s="46"/>
      <c r="T2063" s="46"/>
      <c r="U2063" s="46"/>
      <c r="V2063" s="46"/>
      <c r="W2063" s="46"/>
      <c r="X2063" s="46"/>
    </row>
    <row r="2064" spans="1:24" x14ac:dyDescent="0.2">
      <c r="A2064" s="45"/>
      <c r="B2064" s="46"/>
      <c r="C2064" s="46"/>
      <c r="D2064" s="46"/>
      <c r="E2064" s="46"/>
      <c r="F2064" s="46"/>
      <c r="G2064" s="46"/>
      <c r="H2064" s="46"/>
      <c r="I2064" s="46"/>
      <c r="J2064" s="46"/>
      <c r="K2064" s="46"/>
      <c r="L2064" s="46"/>
      <c r="M2064" s="46"/>
      <c r="N2064" s="46"/>
      <c r="O2064" s="46"/>
      <c r="P2064" s="46"/>
      <c r="Q2064" s="46"/>
      <c r="R2064" s="46"/>
      <c r="S2064" s="46"/>
      <c r="T2064" s="46"/>
      <c r="U2064" s="46"/>
      <c r="V2064" s="46"/>
      <c r="W2064" s="46"/>
      <c r="X2064" s="46"/>
    </row>
    <row r="2065" spans="1:24" x14ac:dyDescent="0.2">
      <c r="A2065" s="45"/>
      <c r="B2065" s="46"/>
      <c r="C2065" s="46"/>
      <c r="D2065" s="46"/>
      <c r="E2065" s="46"/>
      <c r="F2065" s="46"/>
      <c r="G2065" s="46"/>
      <c r="H2065" s="46"/>
      <c r="I2065" s="46"/>
      <c r="J2065" s="46"/>
      <c r="K2065" s="46"/>
      <c r="L2065" s="46"/>
      <c r="M2065" s="46"/>
      <c r="N2065" s="46"/>
      <c r="O2065" s="46"/>
      <c r="P2065" s="46"/>
      <c r="Q2065" s="46"/>
      <c r="R2065" s="46"/>
      <c r="S2065" s="46"/>
      <c r="T2065" s="46"/>
      <c r="U2065" s="46"/>
      <c r="V2065" s="46"/>
      <c r="W2065" s="46"/>
      <c r="X2065" s="46"/>
    </row>
    <row r="2066" spans="1:24" x14ac:dyDescent="0.2">
      <c r="A2066" s="45"/>
      <c r="B2066" s="46"/>
      <c r="C2066" s="46"/>
      <c r="D2066" s="46"/>
      <c r="E2066" s="46"/>
      <c r="F2066" s="46"/>
      <c r="G2066" s="46"/>
      <c r="H2066" s="46"/>
      <c r="I2066" s="46"/>
      <c r="J2066" s="46"/>
      <c r="K2066" s="46"/>
      <c r="L2066" s="46"/>
      <c r="M2066" s="46"/>
      <c r="N2066" s="46"/>
      <c r="O2066" s="46"/>
      <c r="P2066" s="46"/>
      <c r="Q2066" s="46"/>
      <c r="R2066" s="46"/>
      <c r="S2066" s="46"/>
      <c r="T2066" s="46"/>
      <c r="U2066" s="46"/>
      <c r="V2066" s="46"/>
      <c r="W2066" s="46"/>
      <c r="X2066" s="46"/>
    </row>
    <row r="2067" spans="1:24" x14ac:dyDescent="0.2">
      <c r="A2067" s="45"/>
      <c r="B2067" s="46"/>
      <c r="C2067" s="46"/>
      <c r="D2067" s="46"/>
      <c r="E2067" s="46"/>
      <c r="F2067" s="46"/>
      <c r="G2067" s="46"/>
      <c r="H2067" s="46"/>
      <c r="I2067" s="46"/>
      <c r="J2067" s="46"/>
      <c r="K2067" s="46"/>
      <c r="L2067" s="46"/>
      <c r="M2067" s="46"/>
      <c r="N2067" s="46"/>
      <c r="O2067" s="46"/>
      <c r="P2067" s="46"/>
      <c r="Q2067" s="46"/>
      <c r="R2067" s="46"/>
      <c r="S2067" s="46"/>
      <c r="T2067" s="46"/>
      <c r="U2067" s="46"/>
      <c r="V2067" s="46"/>
      <c r="W2067" s="46"/>
      <c r="X2067" s="46"/>
    </row>
    <row r="2068" spans="1:24" x14ac:dyDescent="0.2">
      <c r="A2068" s="45"/>
      <c r="B2068" s="46"/>
      <c r="C2068" s="46"/>
      <c r="D2068" s="46"/>
      <c r="E2068" s="46"/>
      <c r="F2068" s="46"/>
      <c r="G2068" s="46"/>
      <c r="H2068" s="46"/>
      <c r="I2068" s="46"/>
      <c r="J2068" s="46"/>
      <c r="K2068" s="46"/>
      <c r="L2068" s="46"/>
      <c r="M2068" s="46"/>
      <c r="N2068" s="46"/>
      <c r="O2068" s="46"/>
      <c r="P2068" s="46"/>
      <c r="Q2068" s="46"/>
      <c r="R2068" s="46"/>
      <c r="S2068" s="46"/>
      <c r="T2068" s="46"/>
      <c r="U2068" s="46"/>
      <c r="V2068" s="46"/>
      <c r="W2068" s="46"/>
      <c r="X2068" s="46"/>
    </row>
    <row r="2069" spans="1:24" x14ac:dyDescent="0.2">
      <c r="A2069" s="45"/>
      <c r="B2069" s="46"/>
      <c r="C2069" s="46"/>
      <c r="D2069" s="46"/>
      <c r="E2069" s="46"/>
      <c r="F2069" s="46"/>
      <c r="G2069" s="46"/>
      <c r="H2069" s="46"/>
      <c r="I2069" s="46"/>
      <c r="J2069" s="46"/>
      <c r="K2069" s="46"/>
      <c r="L2069" s="46"/>
      <c r="M2069" s="46"/>
      <c r="N2069" s="46"/>
      <c r="O2069" s="46"/>
      <c r="P2069" s="46"/>
      <c r="Q2069" s="46"/>
      <c r="R2069" s="46"/>
      <c r="S2069" s="46"/>
      <c r="T2069" s="46"/>
      <c r="U2069" s="46"/>
      <c r="V2069" s="46"/>
      <c r="W2069" s="46"/>
      <c r="X2069" s="46"/>
    </row>
    <row r="2070" spans="1:24" x14ac:dyDescent="0.2">
      <c r="A2070" s="45"/>
      <c r="B2070" s="46"/>
      <c r="C2070" s="46"/>
      <c r="D2070" s="46"/>
      <c r="E2070" s="46"/>
      <c r="F2070" s="46"/>
      <c r="G2070" s="46"/>
      <c r="H2070" s="46"/>
      <c r="I2070" s="46"/>
      <c r="J2070" s="46"/>
      <c r="K2070" s="46"/>
      <c r="L2070" s="46"/>
      <c r="M2070" s="46"/>
      <c r="N2070" s="46"/>
      <c r="O2070" s="46"/>
      <c r="P2070" s="46"/>
      <c r="Q2070" s="46"/>
      <c r="R2070" s="46"/>
      <c r="S2070" s="46"/>
      <c r="T2070" s="46"/>
      <c r="U2070" s="46"/>
      <c r="V2070" s="46"/>
      <c r="W2070" s="46"/>
      <c r="X2070" s="46"/>
    </row>
    <row r="2071" spans="1:24" x14ac:dyDescent="0.2">
      <c r="A2071" s="45"/>
      <c r="B2071" s="46"/>
      <c r="C2071" s="46"/>
      <c r="D2071" s="46"/>
      <c r="E2071" s="46"/>
      <c r="F2071" s="46"/>
      <c r="G2071" s="46"/>
      <c r="H2071" s="46"/>
      <c r="I2071" s="46"/>
      <c r="J2071" s="46"/>
      <c r="K2071" s="46"/>
      <c r="L2071" s="46"/>
      <c r="M2071" s="46"/>
      <c r="N2071" s="46"/>
      <c r="O2071" s="46"/>
      <c r="P2071" s="46"/>
      <c r="Q2071" s="46"/>
      <c r="R2071" s="46"/>
      <c r="S2071" s="46"/>
      <c r="T2071" s="46"/>
      <c r="U2071" s="46"/>
      <c r="V2071" s="46"/>
      <c r="W2071" s="46"/>
      <c r="X2071" s="46"/>
    </row>
    <row r="2072" spans="1:24" x14ac:dyDescent="0.2">
      <c r="A2072" s="45"/>
      <c r="B2072" s="46"/>
      <c r="C2072" s="46"/>
      <c r="D2072" s="46"/>
      <c r="E2072" s="46"/>
      <c r="F2072" s="46"/>
      <c r="G2072" s="46"/>
      <c r="H2072" s="46"/>
      <c r="I2072" s="46"/>
      <c r="J2072" s="46"/>
      <c r="K2072" s="46"/>
      <c r="L2072" s="46"/>
      <c r="M2072" s="46"/>
      <c r="N2072" s="46"/>
      <c r="O2072" s="46"/>
      <c r="P2072" s="46"/>
      <c r="Q2072" s="46"/>
      <c r="R2072" s="46"/>
      <c r="S2072" s="46"/>
      <c r="T2072" s="46"/>
      <c r="U2072" s="46"/>
      <c r="V2072" s="46"/>
      <c r="W2072" s="46"/>
      <c r="X2072" s="46"/>
    </row>
    <row r="2073" spans="1:24" x14ac:dyDescent="0.2">
      <c r="A2073" s="45"/>
      <c r="B2073" s="46"/>
      <c r="C2073" s="46"/>
      <c r="D2073" s="46"/>
      <c r="E2073" s="46"/>
      <c r="F2073" s="46"/>
      <c r="G2073" s="46"/>
      <c r="H2073" s="46"/>
      <c r="I2073" s="46"/>
      <c r="J2073" s="46"/>
      <c r="K2073" s="46"/>
      <c r="L2073" s="46"/>
      <c r="M2073" s="46"/>
      <c r="N2073" s="46"/>
      <c r="O2073" s="46"/>
      <c r="P2073" s="46"/>
      <c r="Q2073" s="46"/>
      <c r="R2073" s="46"/>
      <c r="S2073" s="46"/>
      <c r="T2073" s="46"/>
      <c r="U2073" s="46"/>
      <c r="V2073" s="46"/>
      <c r="W2073" s="46"/>
      <c r="X2073" s="46"/>
    </row>
    <row r="2074" spans="1:24" x14ac:dyDescent="0.2">
      <c r="A2074" s="45"/>
      <c r="B2074" s="46"/>
      <c r="C2074" s="46"/>
      <c r="D2074" s="46"/>
      <c r="E2074" s="46"/>
      <c r="F2074" s="46"/>
      <c r="G2074" s="46"/>
      <c r="H2074" s="46"/>
      <c r="I2074" s="46"/>
      <c r="J2074" s="46"/>
      <c r="K2074" s="46"/>
      <c r="L2074" s="46"/>
      <c r="M2074" s="46"/>
      <c r="N2074" s="46"/>
      <c r="O2074" s="46"/>
      <c r="P2074" s="46"/>
      <c r="Q2074" s="46"/>
      <c r="R2074" s="46"/>
      <c r="S2074" s="46"/>
      <c r="T2074" s="46"/>
      <c r="U2074" s="46"/>
      <c r="V2074" s="46"/>
      <c r="W2074" s="46"/>
      <c r="X2074" s="46"/>
    </row>
    <row r="2075" spans="1:24" x14ac:dyDescent="0.2">
      <c r="A2075" s="45"/>
      <c r="B2075" s="46"/>
      <c r="C2075" s="46"/>
      <c r="D2075" s="46"/>
      <c r="E2075" s="46"/>
      <c r="F2075" s="46"/>
      <c r="G2075" s="46"/>
      <c r="H2075" s="46"/>
      <c r="I2075" s="46"/>
      <c r="J2075" s="46"/>
      <c r="K2075" s="46"/>
      <c r="L2075" s="46"/>
      <c r="M2075" s="46"/>
      <c r="N2075" s="46"/>
      <c r="O2075" s="46"/>
      <c r="P2075" s="46"/>
      <c r="Q2075" s="46"/>
      <c r="R2075" s="46"/>
      <c r="S2075" s="46"/>
      <c r="T2075" s="46"/>
      <c r="U2075" s="46"/>
      <c r="V2075" s="46"/>
      <c r="W2075" s="46"/>
      <c r="X2075" s="46"/>
    </row>
    <row r="2076" spans="1:24" x14ac:dyDescent="0.2">
      <c r="A2076" s="45"/>
      <c r="B2076" s="46"/>
      <c r="C2076" s="46"/>
      <c r="D2076" s="46"/>
      <c r="E2076" s="46"/>
      <c r="F2076" s="46"/>
      <c r="G2076" s="46"/>
      <c r="H2076" s="46"/>
      <c r="I2076" s="46"/>
      <c r="J2076" s="46"/>
      <c r="K2076" s="46"/>
      <c r="L2076" s="46"/>
      <c r="M2076" s="46"/>
      <c r="N2076" s="46"/>
      <c r="O2076" s="46"/>
      <c r="P2076" s="46"/>
      <c r="Q2076" s="46"/>
      <c r="R2076" s="46"/>
      <c r="S2076" s="46"/>
      <c r="T2076" s="46"/>
      <c r="U2076" s="46"/>
      <c r="V2076" s="46"/>
      <c r="W2076" s="46"/>
      <c r="X2076" s="46"/>
    </row>
    <row r="2077" spans="1:24" x14ac:dyDescent="0.2">
      <c r="A2077" s="45"/>
      <c r="B2077" s="46"/>
      <c r="C2077" s="46"/>
      <c r="D2077" s="46"/>
      <c r="E2077" s="46"/>
      <c r="F2077" s="46"/>
      <c r="G2077" s="46"/>
      <c r="H2077" s="46"/>
      <c r="I2077" s="46"/>
      <c r="J2077" s="46"/>
      <c r="K2077" s="46"/>
      <c r="L2077" s="46"/>
      <c r="M2077" s="46"/>
      <c r="N2077" s="46"/>
      <c r="O2077" s="46"/>
      <c r="P2077" s="46"/>
      <c r="Q2077" s="46"/>
      <c r="R2077" s="46"/>
      <c r="S2077" s="46"/>
      <c r="T2077" s="46"/>
      <c r="U2077" s="46"/>
      <c r="V2077" s="46"/>
      <c r="W2077" s="46"/>
      <c r="X2077" s="46"/>
    </row>
    <row r="2078" spans="1:24" x14ac:dyDescent="0.2">
      <c r="A2078" s="45"/>
      <c r="B2078" s="46"/>
      <c r="C2078" s="46"/>
      <c r="D2078" s="46"/>
      <c r="E2078" s="46"/>
      <c r="F2078" s="46"/>
      <c r="G2078" s="46"/>
      <c r="H2078" s="46"/>
      <c r="I2078" s="46"/>
      <c r="J2078" s="46"/>
      <c r="K2078" s="46"/>
      <c r="L2078" s="46"/>
      <c r="M2078" s="46"/>
      <c r="N2078" s="46"/>
      <c r="O2078" s="46"/>
      <c r="P2078" s="46"/>
      <c r="Q2078" s="46"/>
      <c r="R2078" s="46"/>
      <c r="S2078" s="46"/>
      <c r="T2078" s="46"/>
      <c r="U2078" s="46"/>
      <c r="V2078" s="46"/>
      <c r="W2078" s="46"/>
      <c r="X2078" s="46"/>
    </row>
    <row r="2079" spans="1:24" x14ac:dyDescent="0.2">
      <c r="A2079" s="45"/>
      <c r="B2079" s="46"/>
      <c r="C2079" s="46"/>
      <c r="D2079" s="46"/>
      <c r="E2079" s="46"/>
      <c r="F2079" s="46"/>
      <c r="G2079" s="46"/>
      <c r="H2079" s="46"/>
      <c r="I2079" s="46"/>
      <c r="J2079" s="46"/>
      <c r="K2079" s="46"/>
      <c r="L2079" s="46"/>
      <c r="M2079" s="46"/>
      <c r="N2079" s="46"/>
      <c r="O2079" s="46"/>
      <c r="P2079" s="46"/>
      <c r="Q2079" s="46"/>
      <c r="R2079" s="46"/>
      <c r="S2079" s="46"/>
      <c r="T2079" s="46"/>
      <c r="U2079" s="46"/>
      <c r="V2079" s="46"/>
      <c r="W2079" s="46"/>
      <c r="X2079" s="46"/>
    </row>
    <row r="2080" spans="1:24" x14ac:dyDescent="0.2">
      <c r="A2080" s="45"/>
      <c r="B2080" s="46"/>
      <c r="C2080" s="46"/>
      <c r="D2080" s="46"/>
      <c r="E2080" s="46"/>
      <c r="F2080" s="46"/>
      <c r="G2080" s="46"/>
      <c r="H2080" s="46"/>
      <c r="I2080" s="46"/>
      <c r="J2080" s="46"/>
      <c r="K2080" s="46"/>
      <c r="L2080" s="46"/>
      <c r="M2080" s="46"/>
      <c r="N2080" s="46"/>
      <c r="O2080" s="46"/>
      <c r="P2080" s="46"/>
      <c r="Q2080" s="46"/>
      <c r="R2080" s="46"/>
      <c r="S2080" s="46"/>
      <c r="T2080" s="46"/>
      <c r="U2080" s="46"/>
      <c r="V2080" s="46"/>
      <c r="W2080" s="46"/>
      <c r="X2080" s="46"/>
    </row>
    <row r="2081" spans="1:24" x14ac:dyDescent="0.2">
      <c r="A2081" s="45"/>
      <c r="B2081" s="46"/>
      <c r="C2081" s="46"/>
      <c r="D2081" s="46"/>
      <c r="E2081" s="46"/>
      <c r="F2081" s="46"/>
      <c r="G2081" s="46"/>
      <c r="H2081" s="46"/>
      <c r="I2081" s="46"/>
      <c r="J2081" s="46"/>
      <c r="K2081" s="46"/>
      <c r="L2081" s="46"/>
      <c r="M2081" s="46"/>
      <c r="N2081" s="46"/>
      <c r="O2081" s="46"/>
      <c r="P2081" s="46"/>
      <c r="Q2081" s="46"/>
      <c r="R2081" s="46"/>
      <c r="S2081" s="46"/>
      <c r="T2081" s="46"/>
      <c r="U2081" s="46"/>
      <c r="V2081" s="46"/>
      <c r="W2081" s="46"/>
      <c r="X2081" s="46"/>
    </row>
    <row r="2082" spans="1:24" x14ac:dyDescent="0.2">
      <c r="A2082" s="45"/>
      <c r="B2082" s="46"/>
      <c r="C2082" s="46"/>
      <c r="D2082" s="46"/>
      <c r="E2082" s="46"/>
      <c r="F2082" s="46"/>
      <c r="G2082" s="46"/>
      <c r="H2082" s="46"/>
      <c r="I2082" s="46"/>
      <c r="J2082" s="46"/>
      <c r="K2082" s="46"/>
      <c r="L2082" s="46"/>
      <c r="M2082" s="46"/>
      <c r="N2082" s="46"/>
      <c r="O2082" s="46"/>
      <c r="P2082" s="46"/>
      <c r="Q2082" s="46"/>
      <c r="R2082" s="46"/>
      <c r="S2082" s="46"/>
      <c r="T2082" s="46"/>
      <c r="U2082" s="46"/>
      <c r="V2082" s="46"/>
      <c r="W2082" s="46"/>
      <c r="X2082" s="46"/>
    </row>
    <row r="2083" spans="1:24" x14ac:dyDescent="0.2">
      <c r="A2083" s="45"/>
      <c r="B2083" s="46"/>
      <c r="C2083" s="46"/>
      <c r="D2083" s="46"/>
      <c r="E2083" s="46"/>
      <c r="F2083" s="46"/>
      <c r="G2083" s="46"/>
      <c r="H2083" s="46"/>
      <c r="I2083" s="46"/>
      <c r="J2083" s="46"/>
      <c r="K2083" s="46"/>
      <c r="L2083" s="46"/>
      <c r="M2083" s="46"/>
      <c r="N2083" s="46"/>
      <c r="O2083" s="46"/>
      <c r="P2083" s="46"/>
      <c r="Q2083" s="46"/>
      <c r="R2083" s="46"/>
      <c r="S2083" s="46"/>
      <c r="T2083" s="46"/>
      <c r="U2083" s="46"/>
      <c r="V2083" s="46"/>
      <c r="W2083" s="46"/>
      <c r="X2083" s="46"/>
    </row>
    <row r="2084" spans="1:24" x14ac:dyDescent="0.2">
      <c r="A2084" s="45"/>
      <c r="B2084" s="46"/>
      <c r="C2084" s="46"/>
      <c r="D2084" s="46"/>
      <c r="E2084" s="46"/>
      <c r="F2084" s="46"/>
      <c r="G2084" s="46"/>
      <c r="H2084" s="46"/>
      <c r="I2084" s="46"/>
      <c r="J2084" s="46"/>
      <c r="K2084" s="46"/>
      <c r="L2084" s="46"/>
      <c r="M2084" s="46"/>
      <c r="N2084" s="46"/>
      <c r="O2084" s="46"/>
      <c r="P2084" s="46"/>
      <c r="Q2084" s="46"/>
      <c r="R2084" s="46"/>
      <c r="S2084" s="46"/>
      <c r="T2084" s="46"/>
      <c r="U2084" s="46"/>
      <c r="V2084" s="46"/>
      <c r="W2084" s="46"/>
      <c r="X2084" s="46"/>
    </row>
    <row r="2085" spans="1:24" x14ac:dyDescent="0.2">
      <c r="A2085" s="45"/>
      <c r="B2085" s="46"/>
      <c r="C2085" s="46"/>
      <c r="D2085" s="46"/>
      <c r="E2085" s="46"/>
      <c r="F2085" s="46"/>
      <c r="G2085" s="46"/>
      <c r="H2085" s="46"/>
      <c r="I2085" s="46"/>
      <c r="J2085" s="46"/>
      <c r="K2085" s="46"/>
      <c r="L2085" s="46"/>
      <c r="M2085" s="46"/>
      <c r="N2085" s="46"/>
      <c r="O2085" s="46"/>
      <c r="P2085" s="46"/>
      <c r="Q2085" s="46"/>
      <c r="R2085" s="46"/>
      <c r="S2085" s="46"/>
      <c r="T2085" s="46"/>
      <c r="U2085" s="46"/>
      <c r="V2085" s="46"/>
      <c r="W2085" s="46"/>
      <c r="X2085" s="46"/>
    </row>
    <row r="2086" spans="1:24" x14ac:dyDescent="0.2">
      <c r="A2086" s="45"/>
      <c r="B2086" s="46"/>
      <c r="C2086" s="46"/>
      <c r="D2086" s="46"/>
      <c r="E2086" s="46"/>
      <c r="F2086" s="46"/>
      <c r="G2086" s="46"/>
      <c r="H2086" s="46"/>
      <c r="I2086" s="46"/>
      <c r="J2086" s="46"/>
      <c r="K2086" s="46"/>
      <c r="L2086" s="46"/>
      <c r="M2086" s="46"/>
      <c r="N2086" s="46"/>
      <c r="O2086" s="46"/>
      <c r="P2086" s="46"/>
      <c r="Q2086" s="46"/>
      <c r="R2086" s="46"/>
      <c r="S2086" s="46"/>
      <c r="T2086" s="46"/>
      <c r="U2086" s="46"/>
      <c r="V2086" s="46"/>
      <c r="W2086" s="46"/>
      <c r="X2086" s="46"/>
    </row>
    <row r="2087" spans="1:24" x14ac:dyDescent="0.2">
      <c r="A2087" s="45"/>
      <c r="B2087" s="46"/>
      <c r="C2087" s="46"/>
      <c r="D2087" s="46"/>
      <c r="E2087" s="46"/>
      <c r="F2087" s="46"/>
      <c r="G2087" s="46"/>
      <c r="H2087" s="46"/>
      <c r="I2087" s="46"/>
      <c r="J2087" s="46"/>
      <c r="K2087" s="46"/>
      <c r="L2087" s="46"/>
      <c r="M2087" s="46"/>
      <c r="N2087" s="46"/>
      <c r="O2087" s="46"/>
      <c r="P2087" s="46"/>
      <c r="Q2087" s="46"/>
      <c r="R2087" s="46"/>
      <c r="S2087" s="46"/>
      <c r="T2087" s="46"/>
      <c r="U2087" s="46"/>
      <c r="V2087" s="46"/>
      <c r="W2087" s="46"/>
      <c r="X2087" s="46"/>
    </row>
    <row r="2088" spans="1:24" x14ac:dyDescent="0.2">
      <c r="A2088" s="45"/>
      <c r="B2088" s="46"/>
      <c r="C2088" s="46"/>
      <c r="D2088" s="46"/>
      <c r="E2088" s="46"/>
      <c r="F2088" s="46"/>
      <c r="G2088" s="46"/>
      <c r="H2088" s="46"/>
      <c r="I2088" s="46"/>
      <c r="J2088" s="46"/>
      <c r="K2088" s="46"/>
      <c r="L2088" s="46"/>
      <c r="M2088" s="46"/>
      <c r="N2088" s="46"/>
      <c r="O2088" s="46"/>
      <c r="P2088" s="46"/>
      <c r="Q2088" s="46"/>
      <c r="R2088" s="46"/>
      <c r="S2088" s="46"/>
      <c r="T2088" s="46"/>
      <c r="U2088" s="46"/>
      <c r="V2088" s="46"/>
      <c r="W2088" s="46"/>
      <c r="X2088" s="46"/>
    </row>
    <row r="2089" spans="1:24" x14ac:dyDescent="0.2">
      <c r="A2089" s="45"/>
      <c r="B2089" s="46"/>
      <c r="C2089" s="46"/>
      <c r="D2089" s="46"/>
      <c r="E2089" s="46"/>
      <c r="F2089" s="46"/>
      <c r="G2089" s="46"/>
      <c r="H2089" s="46"/>
      <c r="I2089" s="46"/>
      <c r="J2089" s="46"/>
      <c r="K2089" s="46"/>
      <c r="L2089" s="46"/>
      <c r="M2089" s="46"/>
      <c r="N2089" s="46"/>
      <c r="O2089" s="46"/>
      <c r="P2089" s="46"/>
      <c r="Q2089" s="46"/>
      <c r="R2089" s="46"/>
      <c r="S2089" s="46"/>
      <c r="T2089" s="46"/>
      <c r="U2089" s="46"/>
      <c r="V2089" s="46"/>
      <c r="W2089" s="46"/>
      <c r="X2089" s="46"/>
    </row>
    <row r="2090" spans="1:24" x14ac:dyDescent="0.2">
      <c r="A2090" s="45"/>
      <c r="B2090" s="46"/>
      <c r="C2090" s="46"/>
      <c r="D2090" s="46"/>
      <c r="E2090" s="46"/>
      <c r="F2090" s="46"/>
      <c r="G2090" s="46"/>
      <c r="H2090" s="46"/>
      <c r="I2090" s="46"/>
      <c r="J2090" s="46"/>
      <c r="K2090" s="46"/>
      <c r="L2090" s="46"/>
      <c r="M2090" s="46"/>
      <c r="N2090" s="46"/>
      <c r="O2090" s="46"/>
      <c r="P2090" s="46"/>
      <c r="Q2090" s="46"/>
      <c r="R2090" s="46"/>
      <c r="S2090" s="46"/>
      <c r="T2090" s="46"/>
      <c r="U2090" s="46"/>
      <c r="V2090" s="46"/>
      <c r="W2090" s="46"/>
      <c r="X2090" s="46"/>
    </row>
    <row r="2091" spans="1:24" x14ac:dyDescent="0.2">
      <c r="A2091" s="45"/>
      <c r="B2091" s="46"/>
      <c r="C2091" s="46"/>
      <c r="D2091" s="46"/>
      <c r="E2091" s="46"/>
      <c r="F2091" s="46"/>
      <c r="G2091" s="46"/>
      <c r="H2091" s="46"/>
      <c r="I2091" s="46"/>
      <c r="J2091" s="46"/>
      <c r="K2091" s="46"/>
      <c r="L2091" s="46"/>
      <c r="M2091" s="46"/>
      <c r="N2091" s="46"/>
      <c r="O2091" s="46"/>
      <c r="P2091" s="46"/>
      <c r="Q2091" s="46"/>
      <c r="R2091" s="46"/>
      <c r="S2091" s="46"/>
      <c r="T2091" s="46"/>
      <c r="U2091" s="46"/>
      <c r="V2091" s="46"/>
      <c r="W2091" s="46"/>
      <c r="X2091" s="46"/>
    </row>
    <row r="2092" spans="1:24" x14ac:dyDescent="0.2">
      <c r="A2092" s="45"/>
      <c r="B2092" s="46"/>
      <c r="C2092" s="46"/>
      <c r="D2092" s="46"/>
      <c r="E2092" s="46"/>
      <c r="F2092" s="46"/>
      <c r="G2092" s="46"/>
      <c r="H2092" s="46"/>
      <c r="I2092" s="46"/>
      <c r="J2092" s="46"/>
      <c r="K2092" s="46"/>
      <c r="L2092" s="46"/>
      <c r="M2092" s="46"/>
      <c r="N2092" s="46"/>
      <c r="O2092" s="46"/>
      <c r="P2092" s="46"/>
      <c r="Q2092" s="46"/>
      <c r="R2092" s="46"/>
      <c r="S2092" s="46"/>
      <c r="T2092" s="46"/>
      <c r="U2092" s="46"/>
      <c r="V2092" s="46"/>
      <c r="W2092" s="46"/>
      <c r="X2092" s="46"/>
    </row>
    <row r="2093" spans="1:24" x14ac:dyDescent="0.2">
      <c r="A2093" s="45"/>
      <c r="B2093" s="46"/>
      <c r="C2093" s="46"/>
      <c r="D2093" s="46"/>
      <c r="E2093" s="46"/>
      <c r="F2093" s="46"/>
      <c r="G2093" s="46"/>
      <c r="H2093" s="46"/>
      <c r="I2093" s="46"/>
      <c r="J2093" s="46"/>
      <c r="K2093" s="46"/>
      <c r="L2093" s="46"/>
      <c r="M2093" s="46"/>
      <c r="N2093" s="46"/>
      <c r="O2093" s="46"/>
      <c r="P2093" s="46"/>
      <c r="Q2093" s="46"/>
      <c r="R2093" s="46"/>
      <c r="S2093" s="46"/>
      <c r="T2093" s="46"/>
      <c r="U2093" s="46"/>
      <c r="V2093" s="46"/>
      <c r="W2093" s="46"/>
      <c r="X2093" s="46"/>
    </row>
    <row r="2094" spans="1:24" x14ac:dyDescent="0.2">
      <c r="A2094" s="45"/>
      <c r="B2094" s="46"/>
      <c r="C2094" s="46"/>
      <c r="D2094" s="46"/>
      <c r="E2094" s="46"/>
      <c r="F2094" s="46"/>
      <c r="G2094" s="46"/>
      <c r="H2094" s="46"/>
      <c r="I2094" s="46"/>
      <c r="J2094" s="46"/>
      <c r="K2094" s="46"/>
      <c r="L2094" s="46"/>
      <c r="M2094" s="46"/>
      <c r="N2094" s="46"/>
      <c r="O2094" s="46"/>
      <c r="P2094" s="46"/>
      <c r="Q2094" s="46"/>
      <c r="R2094" s="46"/>
      <c r="S2094" s="46"/>
      <c r="T2094" s="46"/>
      <c r="U2094" s="46"/>
      <c r="V2094" s="46"/>
      <c r="W2094" s="46"/>
      <c r="X2094" s="46"/>
    </row>
    <row r="2095" spans="1:24" x14ac:dyDescent="0.2">
      <c r="A2095" s="45"/>
      <c r="B2095" s="46"/>
      <c r="C2095" s="46"/>
      <c r="D2095" s="46"/>
      <c r="E2095" s="46"/>
      <c r="F2095" s="46"/>
      <c r="G2095" s="46"/>
      <c r="H2095" s="46"/>
      <c r="I2095" s="46"/>
      <c r="J2095" s="46"/>
      <c r="K2095" s="46"/>
      <c r="L2095" s="46"/>
      <c r="M2095" s="46"/>
      <c r="N2095" s="46"/>
      <c r="O2095" s="46"/>
      <c r="P2095" s="46"/>
      <c r="Q2095" s="46"/>
      <c r="R2095" s="46"/>
      <c r="S2095" s="46"/>
      <c r="T2095" s="46"/>
      <c r="U2095" s="46"/>
      <c r="V2095" s="46"/>
      <c r="W2095" s="46"/>
      <c r="X2095" s="46"/>
    </row>
    <row r="2096" spans="1:24" x14ac:dyDescent="0.2">
      <c r="A2096" s="45"/>
      <c r="B2096" s="46"/>
      <c r="C2096" s="46"/>
      <c r="D2096" s="46"/>
      <c r="E2096" s="46"/>
      <c r="F2096" s="46"/>
      <c r="G2096" s="46"/>
      <c r="H2096" s="46"/>
      <c r="I2096" s="46"/>
      <c r="J2096" s="46"/>
      <c r="K2096" s="46"/>
      <c r="L2096" s="46"/>
      <c r="M2096" s="46"/>
      <c r="N2096" s="46"/>
      <c r="O2096" s="46"/>
      <c r="P2096" s="46"/>
      <c r="Q2096" s="46"/>
      <c r="R2096" s="46"/>
      <c r="S2096" s="46"/>
      <c r="T2096" s="46"/>
      <c r="U2096" s="46"/>
      <c r="V2096" s="46"/>
      <c r="W2096" s="46"/>
      <c r="X2096" s="46"/>
    </row>
    <row r="2097" spans="1:24" x14ac:dyDescent="0.2">
      <c r="A2097" s="45"/>
      <c r="B2097" s="46"/>
      <c r="C2097" s="46"/>
      <c r="D2097" s="46"/>
      <c r="E2097" s="46"/>
      <c r="F2097" s="46"/>
      <c r="G2097" s="46"/>
      <c r="H2097" s="46"/>
      <c r="I2097" s="46"/>
      <c r="J2097" s="46"/>
      <c r="K2097" s="46"/>
      <c r="L2097" s="46"/>
      <c r="M2097" s="46"/>
      <c r="N2097" s="46"/>
      <c r="O2097" s="46"/>
      <c r="P2097" s="46"/>
      <c r="Q2097" s="46"/>
      <c r="R2097" s="46"/>
      <c r="S2097" s="46"/>
      <c r="T2097" s="46"/>
      <c r="U2097" s="46"/>
      <c r="V2097" s="46"/>
      <c r="W2097" s="46"/>
      <c r="X2097" s="46"/>
    </row>
    <row r="2098" spans="1:24" x14ac:dyDescent="0.2">
      <c r="A2098" s="45"/>
      <c r="B2098" s="46"/>
      <c r="C2098" s="46"/>
      <c r="D2098" s="46"/>
      <c r="E2098" s="46"/>
      <c r="F2098" s="46"/>
      <c r="G2098" s="46"/>
      <c r="H2098" s="46"/>
      <c r="I2098" s="46"/>
      <c r="J2098" s="46"/>
      <c r="K2098" s="46"/>
      <c r="L2098" s="46"/>
      <c r="M2098" s="46"/>
      <c r="N2098" s="46"/>
      <c r="O2098" s="46"/>
      <c r="P2098" s="46"/>
      <c r="Q2098" s="46"/>
      <c r="R2098" s="46"/>
      <c r="S2098" s="46"/>
      <c r="T2098" s="46"/>
      <c r="U2098" s="46"/>
      <c r="V2098" s="46"/>
      <c r="W2098" s="46"/>
      <c r="X2098" s="46"/>
    </row>
    <row r="2099" spans="1:24" x14ac:dyDescent="0.2">
      <c r="A2099" s="45"/>
      <c r="B2099" s="46"/>
      <c r="C2099" s="46"/>
      <c r="D2099" s="46"/>
      <c r="E2099" s="46"/>
      <c r="F2099" s="46"/>
      <c r="G2099" s="46"/>
      <c r="H2099" s="46"/>
      <c r="I2099" s="46"/>
      <c r="J2099" s="46"/>
      <c r="K2099" s="46"/>
      <c r="L2099" s="46"/>
      <c r="M2099" s="46"/>
      <c r="N2099" s="46"/>
      <c r="O2099" s="46"/>
      <c r="P2099" s="46"/>
      <c r="Q2099" s="46"/>
      <c r="R2099" s="46"/>
      <c r="S2099" s="46"/>
      <c r="T2099" s="46"/>
      <c r="U2099" s="46"/>
      <c r="V2099" s="46"/>
      <c r="W2099" s="46"/>
      <c r="X2099" s="46"/>
    </row>
    <row r="2100" spans="1:24" x14ac:dyDescent="0.2">
      <c r="A2100" s="45"/>
      <c r="B2100" s="46"/>
      <c r="C2100" s="46"/>
      <c r="D2100" s="46"/>
      <c r="E2100" s="46"/>
      <c r="F2100" s="46"/>
      <c r="G2100" s="46"/>
      <c r="H2100" s="46"/>
      <c r="I2100" s="46"/>
      <c r="J2100" s="46"/>
      <c r="K2100" s="46"/>
      <c r="L2100" s="46"/>
      <c r="M2100" s="46"/>
      <c r="N2100" s="46"/>
      <c r="O2100" s="46"/>
      <c r="P2100" s="46"/>
      <c r="Q2100" s="46"/>
      <c r="R2100" s="46"/>
      <c r="S2100" s="46"/>
      <c r="T2100" s="46"/>
      <c r="U2100" s="46"/>
      <c r="V2100" s="46"/>
      <c r="W2100" s="46"/>
      <c r="X2100" s="46"/>
    </row>
    <row r="2101" spans="1:24" x14ac:dyDescent="0.2">
      <c r="A2101" s="45"/>
      <c r="B2101" s="46"/>
      <c r="C2101" s="46"/>
      <c r="D2101" s="46"/>
      <c r="E2101" s="46"/>
      <c r="F2101" s="46"/>
      <c r="G2101" s="46"/>
      <c r="H2101" s="46"/>
      <c r="I2101" s="46"/>
      <c r="J2101" s="46"/>
      <c r="K2101" s="46"/>
      <c r="L2101" s="46"/>
      <c r="M2101" s="46"/>
      <c r="N2101" s="46"/>
      <c r="O2101" s="46"/>
      <c r="P2101" s="46"/>
      <c r="Q2101" s="46"/>
      <c r="R2101" s="46"/>
      <c r="S2101" s="46"/>
      <c r="T2101" s="46"/>
      <c r="U2101" s="46"/>
      <c r="V2101" s="46"/>
      <c r="W2101" s="46"/>
      <c r="X2101" s="46"/>
    </row>
    <row r="2102" spans="1:24" x14ac:dyDescent="0.2">
      <c r="A2102" s="45"/>
      <c r="B2102" s="46"/>
      <c r="C2102" s="46"/>
      <c r="D2102" s="46"/>
      <c r="E2102" s="46"/>
      <c r="F2102" s="46"/>
      <c r="G2102" s="46"/>
      <c r="H2102" s="46"/>
      <c r="I2102" s="46"/>
      <c r="J2102" s="46"/>
      <c r="K2102" s="46"/>
      <c r="L2102" s="46"/>
      <c r="M2102" s="46"/>
      <c r="N2102" s="46"/>
      <c r="O2102" s="46"/>
      <c r="P2102" s="46"/>
      <c r="Q2102" s="46"/>
      <c r="R2102" s="46"/>
      <c r="S2102" s="46"/>
      <c r="T2102" s="46"/>
      <c r="U2102" s="46"/>
      <c r="V2102" s="46"/>
      <c r="W2102" s="46"/>
      <c r="X2102" s="46"/>
    </row>
    <row r="2103" spans="1:24" x14ac:dyDescent="0.2">
      <c r="A2103" s="45"/>
      <c r="B2103" s="46"/>
      <c r="C2103" s="46"/>
      <c r="D2103" s="46"/>
      <c r="E2103" s="46"/>
      <c r="F2103" s="46"/>
      <c r="G2103" s="46"/>
      <c r="H2103" s="46"/>
      <c r="I2103" s="46"/>
      <c r="J2103" s="46"/>
      <c r="K2103" s="46"/>
      <c r="L2103" s="46"/>
      <c r="M2103" s="46"/>
      <c r="N2103" s="46"/>
      <c r="O2103" s="46"/>
      <c r="P2103" s="46"/>
      <c r="Q2103" s="46"/>
      <c r="R2103" s="46"/>
      <c r="S2103" s="46"/>
      <c r="T2103" s="46"/>
      <c r="U2103" s="46"/>
      <c r="V2103" s="46"/>
      <c r="W2103" s="46"/>
      <c r="X2103" s="46"/>
    </row>
    <row r="2104" spans="1:24" x14ac:dyDescent="0.2">
      <c r="A2104" s="45"/>
      <c r="B2104" s="46"/>
      <c r="C2104" s="46"/>
      <c r="D2104" s="46"/>
      <c r="E2104" s="46"/>
      <c r="F2104" s="46"/>
      <c r="G2104" s="46"/>
      <c r="H2104" s="46"/>
      <c r="I2104" s="46"/>
      <c r="J2104" s="46"/>
      <c r="K2104" s="46"/>
      <c r="L2104" s="46"/>
      <c r="M2104" s="46"/>
      <c r="N2104" s="46"/>
      <c r="O2104" s="46"/>
      <c r="P2104" s="46"/>
      <c r="Q2104" s="46"/>
      <c r="R2104" s="46"/>
      <c r="S2104" s="46"/>
      <c r="T2104" s="46"/>
      <c r="U2104" s="46"/>
      <c r="V2104" s="46"/>
      <c r="W2104" s="46"/>
      <c r="X2104" s="46"/>
    </row>
    <row r="2105" spans="1:24" x14ac:dyDescent="0.2">
      <c r="A2105" s="45"/>
      <c r="B2105" s="46"/>
      <c r="C2105" s="46"/>
      <c r="D2105" s="46"/>
      <c r="E2105" s="46"/>
      <c r="F2105" s="46"/>
      <c r="G2105" s="46"/>
      <c r="H2105" s="46"/>
      <c r="I2105" s="46"/>
      <c r="J2105" s="46"/>
      <c r="K2105" s="46"/>
      <c r="L2105" s="46"/>
      <c r="M2105" s="46"/>
      <c r="N2105" s="46"/>
      <c r="O2105" s="46"/>
      <c r="P2105" s="46"/>
      <c r="Q2105" s="46"/>
      <c r="R2105" s="46"/>
      <c r="S2105" s="46"/>
      <c r="T2105" s="46"/>
      <c r="U2105" s="46"/>
      <c r="V2105" s="46"/>
      <c r="W2105" s="46"/>
      <c r="X2105" s="46"/>
    </row>
    <row r="2106" spans="1:24" x14ac:dyDescent="0.2">
      <c r="A2106" s="45"/>
      <c r="B2106" s="46"/>
      <c r="C2106" s="46"/>
      <c r="D2106" s="46"/>
      <c r="E2106" s="46"/>
      <c r="F2106" s="46"/>
      <c r="G2106" s="46"/>
      <c r="H2106" s="46"/>
      <c r="I2106" s="46"/>
      <c r="J2106" s="46"/>
      <c r="K2106" s="46"/>
      <c r="L2106" s="46"/>
      <c r="M2106" s="46"/>
      <c r="N2106" s="46"/>
      <c r="O2106" s="46"/>
      <c r="P2106" s="46"/>
      <c r="Q2106" s="46"/>
      <c r="R2106" s="46"/>
      <c r="S2106" s="46"/>
      <c r="T2106" s="46"/>
      <c r="U2106" s="46"/>
      <c r="V2106" s="46"/>
      <c r="W2106" s="46"/>
      <c r="X2106" s="46"/>
    </row>
    <row r="2107" spans="1:24" x14ac:dyDescent="0.2">
      <c r="A2107" s="45"/>
      <c r="B2107" s="46"/>
      <c r="C2107" s="46"/>
      <c r="D2107" s="46"/>
      <c r="E2107" s="46"/>
      <c r="F2107" s="46"/>
      <c r="G2107" s="46"/>
      <c r="H2107" s="46"/>
      <c r="I2107" s="46"/>
      <c r="J2107" s="46"/>
      <c r="K2107" s="46"/>
      <c r="L2107" s="46"/>
      <c r="M2107" s="46"/>
      <c r="N2107" s="46"/>
      <c r="O2107" s="46"/>
      <c r="P2107" s="46"/>
      <c r="Q2107" s="46"/>
      <c r="R2107" s="46"/>
      <c r="S2107" s="46"/>
      <c r="T2107" s="46"/>
      <c r="U2107" s="46"/>
      <c r="V2107" s="46"/>
      <c r="W2107" s="46"/>
      <c r="X2107" s="46"/>
    </row>
    <row r="2108" spans="1:24" x14ac:dyDescent="0.2">
      <c r="A2108" s="45"/>
      <c r="B2108" s="46"/>
      <c r="C2108" s="46"/>
      <c r="D2108" s="46"/>
      <c r="E2108" s="46"/>
      <c r="F2108" s="46"/>
      <c r="G2108" s="46"/>
      <c r="H2108" s="46"/>
      <c r="I2108" s="46"/>
      <c r="J2108" s="46"/>
      <c r="K2108" s="46"/>
      <c r="L2108" s="46"/>
      <c r="M2108" s="46"/>
      <c r="N2108" s="46"/>
      <c r="O2108" s="46"/>
      <c r="P2108" s="46"/>
      <c r="Q2108" s="46"/>
      <c r="R2108" s="46"/>
      <c r="S2108" s="46"/>
      <c r="T2108" s="46"/>
      <c r="U2108" s="46"/>
      <c r="V2108" s="46"/>
      <c r="W2108" s="46"/>
      <c r="X2108" s="46"/>
    </row>
    <row r="2109" spans="1:24" x14ac:dyDescent="0.2">
      <c r="A2109" s="45"/>
      <c r="B2109" s="46"/>
      <c r="C2109" s="46"/>
      <c r="D2109" s="46"/>
      <c r="E2109" s="46"/>
      <c r="F2109" s="46"/>
      <c r="G2109" s="46"/>
      <c r="H2109" s="46"/>
      <c r="I2109" s="46"/>
      <c r="J2109" s="46"/>
      <c r="K2109" s="46"/>
      <c r="L2109" s="46"/>
      <c r="M2109" s="46"/>
      <c r="N2109" s="46"/>
      <c r="O2109" s="46"/>
      <c r="P2109" s="46"/>
      <c r="Q2109" s="46"/>
      <c r="R2109" s="46"/>
      <c r="S2109" s="46"/>
      <c r="T2109" s="46"/>
      <c r="U2109" s="46"/>
      <c r="V2109" s="46"/>
      <c r="W2109" s="46"/>
      <c r="X2109" s="46"/>
    </row>
    <row r="2110" spans="1:24" x14ac:dyDescent="0.2">
      <c r="A2110" s="45"/>
      <c r="B2110" s="46"/>
      <c r="C2110" s="46"/>
      <c r="D2110" s="46"/>
      <c r="E2110" s="46"/>
      <c r="F2110" s="46"/>
      <c r="G2110" s="46"/>
      <c r="H2110" s="46"/>
      <c r="I2110" s="46"/>
      <c r="J2110" s="46"/>
      <c r="K2110" s="46"/>
      <c r="L2110" s="46"/>
      <c r="M2110" s="46"/>
      <c r="N2110" s="46"/>
      <c r="O2110" s="46"/>
      <c r="P2110" s="46"/>
      <c r="Q2110" s="46"/>
      <c r="R2110" s="46"/>
      <c r="S2110" s="46"/>
      <c r="T2110" s="46"/>
      <c r="U2110" s="46"/>
      <c r="V2110" s="46"/>
      <c r="W2110" s="46"/>
      <c r="X2110" s="46"/>
    </row>
    <row r="2111" spans="1:24" x14ac:dyDescent="0.2">
      <c r="A2111" s="45"/>
      <c r="B2111" s="46"/>
      <c r="C2111" s="46"/>
      <c r="D2111" s="46"/>
      <c r="E2111" s="46"/>
      <c r="F2111" s="46"/>
      <c r="G2111" s="46"/>
      <c r="H2111" s="46"/>
      <c r="I2111" s="46"/>
      <c r="J2111" s="46"/>
      <c r="K2111" s="46"/>
      <c r="L2111" s="46"/>
      <c r="M2111" s="46"/>
      <c r="N2111" s="46"/>
      <c r="O2111" s="46"/>
      <c r="P2111" s="46"/>
      <c r="Q2111" s="46"/>
      <c r="R2111" s="46"/>
      <c r="S2111" s="46"/>
      <c r="T2111" s="46"/>
      <c r="U2111" s="46"/>
      <c r="V2111" s="46"/>
      <c r="W2111" s="46"/>
      <c r="X2111" s="46"/>
    </row>
    <row r="2112" spans="1:24" x14ac:dyDescent="0.2">
      <c r="A2112" s="45"/>
      <c r="B2112" s="46"/>
      <c r="C2112" s="46"/>
      <c r="D2112" s="46"/>
      <c r="E2112" s="46"/>
      <c r="F2112" s="46"/>
      <c r="G2112" s="46"/>
      <c r="H2112" s="46"/>
      <c r="I2112" s="46"/>
      <c r="J2112" s="46"/>
      <c r="K2112" s="46"/>
      <c r="L2112" s="46"/>
      <c r="M2112" s="46"/>
      <c r="N2112" s="46"/>
      <c r="O2112" s="46"/>
      <c r="P2112" s="46"/>
      <c r="Q2112" s="46"/>
      <c r="R2112" s="46"/>
      <c r="S2112" s="46"/>
      <c r="T2112" s="46"/>
      <c r="U2112" s="46"/>
      <c r="V2112" s="46"/>
      <c r="W2112" s="46"/>
      <c r="X2112" s="46"/>
    </row>
    <row r="2113" spans="1:24" x14ac:dyDescent="0.2">
      <c r="A2113" s="45"/>
      <c r="B2113" s="46"/>
      <c r="C2113" s="46"/>
      <c r="D2113" s="46"/>
      <c r="E2113" s="46"/>
      <c r="F2113" s="46"/>
      <c r="G2113" s="46"/>
      <c r="H2113" s="46"/>
      <c r="I2113" s="46"/>
      <c r="J2113" s="46"/>
      <c r="K2113" s="46"/>
      <c r="L2113" s="46"/>
      <c r="M2113" s="46"/>
      <c r="N2113" s="46"/>
      <c r="O2113" s="46"/>
      <c r="P2113" s="46"/>
      <c r="Q2113" s="46"/>
      <c r="R2113" s="46"/>
      <c r="S2113" s="46"/>
      <c r="T2113" s="46"/>
      <c r="U2113" s="46"/>
      <c r="V2113" s="46"/>
      <c r="W2113" s="46"/>
      <c r="X2113" s="46"/>
    </row>
    <row r="2114" spans="1:24" x14ac:dyDescent="0.2">
      <c r="A2114" s="45"/>
      <c r="B2114" s="46"/>
      <c r="C2114" s="46"/>
      <c r="D2114" s="46"/>
      <c r="E2114" s="46"/>
      <c r="F2114" s="46"/>
      <c r="G2114" s="46"/>
      <c r="H2114" s="46"/>
      <c r="I2114" s="46"/>
      <c r="J2114" s="46"/>
      <c r="K2114" s="46"/>
      <c r="L2114" s="46"/>
      <c r="M2114" s="46"/>
      <c r="N2114" s="46"/>
      <c r="O2114" s="46"/>
      <c r="P2114" s="46"/>
      <c r="Q2114" s="46"/>
      <c r="R2114" s="46"/>
      <c r="S2114" s="46"/>
      <c r="T2114" s="46"/>
      <c r="U2114" s="46"/>
      <c r="V2114" s="46"/>
      <c r="W2114" s="46"/>
      <c r="X2114" s="46"/>
    </row>
    <row r="2115" spans="1:24" x14ac:dyDescent="0.2">
      <c r="A2115" s="45"/>
      <c r="B2115" s="46"/>
      <c r="C2115" s="46"/>
      <c r="D2115" s="46"/>
      <c r="E2115" s="46"/>
      <c r="F2115" s="46"/>
      <c r="G2115" s="46"/>
      <c r="H2115" s="46"/>
      <c r="I2115" s="46"/>
      <c r="J2115" s="46"/>
      <c r="K2115" s="46"/>
      <c r="L2115" s="46"/>
      <c r="M2115" s="46"/>
      <c r="N2115" s="46"/>
      <c r="O2115" s="46"/>
      <c r="P2115" s="46"/>
      <c r="Q2115" s="46"/>
      <c r="R2115" s="46"/>
      <c r="S2115" s="46"/>
      <c r="T2115" s="46"/>
      <c r="U2115" s="46"/>
      <c r="V2115" s="46"/>
      <c r="W2115" s="46"/>
      <c r="X2115" s="46"/>
    </row>
    <row r="2116" spans="1:24" x14ac:dyDescent="0.2">
      <c r="A2116" s="45"/>
      <c r="B2116" s="46"/>
      <c r="C2116" s="46"/>
      <c r="D2116" s="46"/>
      <c r="E2116" s="46"/>
      <c r="F2116" s="46"/>
      <c r="G2116" s="46"/>
      <c r="H2116" s="46"/>
      <c r="I2116" s="46"/>
      <c r="J2116" s="46"/>
      <c r="K2116" s="46"/>
      <c r="L2116" s="46"/>
      <c r="M2116" s="46"/>
      <c r="N2116" s="46"/>
      <c r="O2116" s="46"/>
      <c r="P2116" s="46"/>
      <c r="Q2116" s="46"/>
      <c r="R2116" s="46"/>
      <c r="S2116" s="46"/>
      <c r="T2116" s="46"/>
      <c r="U2116" s="46"/>
      <c r="V2116" s="46"/>
      <c r="W2116" s="46"/>
      <c r="X2116" s="46"/>
    </row>
    <row r="2117" spans="1:24" x14ac:dyDescent="0.2">
      <c r="A2117" s="45"/>
      <c r="B2117" s="46"/>
      <c r="C2117" s="46"/>
      <c r="D2117" s="46"/>
      <c r="E2117" s="46"/>
      <c r="F2117" s="46"/>
      <c r="G2117" s="46"/>
      <c r="H2117" s="46"/>
      <c r="I2117" s="46"/>
      <c r="J2117" s="46"/>
      <c r="K2117" s="46"/>
      <c r="L2117" s="46"/>
      <c r="M2117" s="46"/>
      <c r="N2117" s="46"/>
      <c r="O2117" s="46"/>
      <c r="P2117" s="46"/>
      <c r="Q2117" s="46"/>
      <c r="R2117" s="46"/>
      <c r="S2117" s="46"/>
      <c r="T2117" s="46"/>
      <c r="U2117" s="46"/>
      <c r="V2117" s="46"/>
      <c r="W2117" s="46"/>
      <c r="X2117" s="46"/>
    </row>
    <row r="2118" spans="1:24" x14ac:dyDescent="0.2">
      <c r="A2118" s="45"/>
      <c r="B2118" s="46"/>
      <c r="C2118" s="46"/>
      <c r="D2118" s="46"/>
      <c r="E2118" s="46"/>
      <c r="F2118" s="46"/>
      <c r="G2118" s="46"/>
      <c r="H2118" s="46"/>
      <c r="I2118" s="46"/>
      <c r="J2118" s="46"/>
      <c r="K2118" s="46"/>
      <c r="L2118" s="46"/>
      <c r="M2118" s="46"/>
      <c r="N2118" s="46"/>
      <c r="O2118" s="46"/>
      <c r="P2118" s="46"/>
      <c r="Q2118" s="46"/>
      <c r="R2118" s="46"/>
      <c r="S2118" s="46"/>
      <c r="T2118" s="46"/>
      <c r="U2118" s="46"/>
      <c r="V2118" s="46"/>
      <c r="W2118" s="46"/>
      <c r="X2118" s="46"/>
    </row>
    <row r="2119" spans="1:24" x14ac:dyDescent="0.2">
      <c r="A2119" s="45"/>
      <c r="B2119" s="46"/>
      <c r="C2119" s="46"/>
      <c r="D2119" s="46"/>
      <c r="E2119" s="46"/>
      <c r="F2119" s="46"/>
      <c r="G2119" s="46"/>
      <c r="H2119" s="46"/>
      <c r="I2119" s="46"/>
      <c r="J2119" s="46"/>
      <c r="K2119" s="46"/>
      <c r="L2119" s="46"/>
      <c r="M2119" s="46"/>
      <c r="N2119" s="46"/>
      <c r="O2119" s="46"/>
      <c r="P2119" s="46"/>
      <c r="Q2119" s="46"/>
      <c r="R2119" s="46"/>
      <c r="S2119" s="46"/>
      <c r="T2119" s="46"/>
      <c r="U2119" s="46"/>
      <c r="V2119" s="46"/>
      <c r="W2119" s="46"/>
      <c r="X2119" s="46"/>
    </row>
    <row r="2120" spans="1:24" x14ac:dyDescent="0.2">
      <c r="A2120" s="45"/>
      <c r="B2120" s="46"/>
      <c r="C2120" s="46"/>
      <c r="D2120" s="46"/>
      <c r="E2120" s="46"/>
      <c r="F2120" s="46"/>
      <c r="G2120" s="46"/>
      <c r="H2120" s="46"/>
      <c r="I2120" s="46"/>
      <c r="J2120" s="46"/>
      <c r="K2120" s="46"/>
      <c r="L2120" s="46"/>
      <c r="M2120" s="46"/>
      <c r="N2120" s="46"/>
      <c r="O2120" s="46"/>
      <c r="P2120" s="46"/>
      <c r="Q2120" s="46"/>
      <c r="R2120" s="46"/>
      <c r="S2120" s="46"/>
      <c r="T2120" s="46"/>
      <c r="U2120" s="46"/>
      <c r="V2120" s="46"/>
      <c r="W2120" s="46"/>
      <c r="X2120" s="46"/>
    </row>
    <row r="2121" spans="1:24" x14ac:dyDescent="0.2">
      <c r="A2121" s="45"/>
      <c r="B2121" s="46"/>
      <c r="C2121" s="46"/>
      <c r="D2121" s="46"/>
      <c r="E2121" s="46"/>
      <c r="F2121" s="46"/>
      <c r="G2121" s="46"/>
      <c r="H2121" s="46"/>
      <c r="I2121" s="46"/>
      <c r="J2121" s="46"/>
      <c r="K2121" s="46"/>
      <c r="L2121" s="46"/>
      <c r="M2121" s="46"/>
      <c r="N2121" s="46"/>
      <c r="O2121" s="46"/>
      <c r="P2121" s="46"/>
      <c r="Q2121" s="46"/>
      <c r="R2121" s="46"/>
      <c r="S2121" s="46"/>
      <c r="T2121" s="46"/>
      <c r="U2121" s="46"/>
      <c r="V2121" s="46"/>
      <c r="W2121" s="46"/>
      <c r="X2121" s="46"/>
    </row>
    <row r="2122" spans="1:24" x14ac:dyDescent="0.2">
      <c r="A2122" s="45"/>
      <c r="B2122" s="46"/>
      <c r="C2122" s="46"/>
      <c r="D2122" s="46"/>
      <c r="E2122" s="46"/>
      <c r="F2122" s="46"/>
      <c r="G2122" s="46"/>
      <c r="H2122" s="46"/>
      <c r="I2122" s="46"/>
      <c r="J2122" s="46"/>
      <c r="K2122" s="46"/>
      <c r="L2122" s="46"/>
      <c r="M2122" s="46"/>
      <c r="N2122" s="46"/>
      <c r="O2122" s="46"/>
      <c r="P2122" s="46"/>
      <c r="Q2122" s="46"/>
      <c r="R2122" s="46"/>
      <c r="S2122" s="46"/>
      <c r="T2122" s="46"/>
      <c r="U2122" s="46"/>
      <c r="V2122" s="46"/>
      <c r="W2122" s="46"/>
      <c r="X2122" s="46"/>
    </row>
    <row r="2123" spans="1:24" x14ac:dyDescent="0.2">
      <c r="A2123" s="45"/>
      <c r="B2123" s="46"/>
      <c r="C2123" s="46"/>
      <c r="D2123" s="46"/>
      <c r="E2123" s="46"/>
      <c r="F2123" s="46"/>
      <c r="G2123" s="46"/>
      <c r="H2123" s="46"/>
      <c r="I2123" s="46"/>
      <c r="J2123" s="46"/>
      <c r="K2123" s="46"/>
      <c r="L2123" s="46"/>
      <c r="M2123" s="46"/>
      <c r="N2123" s="46"/>
      <c r="O2123" s="46"/>
      <c r="P2123" s="46"/>
      <c r="Q2123" s="46"/>
      <c r="R2123" s="46"/>
      <c r="S2123" s="46"/>
      <c r="T2123" s="46"/>
      <c r="U2123" s="46"/>
      <c r="V2123" s="46"/>
      <c r="W2123" s="46"/>
      <c r="X2123" s="46"/>
    </row>
    <row r="2124" spans="1:24" x14ac:dyDescent="0.2">
      <c r="A2124" s="45"/>
      <c r="B2124" s="46"/>
      <c r="C2124" s="46"/>
      <c r="D2124" s="46"/>
      <c r="E2124" s="46"/>
      <c r="F2124" s="46"/>
      <c r="G2124" s="46"/>
      <c r="H2124" s="46"/>
      <c r="I2124" s="46"/>
      <c r="J2124" s="46"/>
      <c r="K2124" s="46"/>
      <c r="L2124" s="46"/>
      <c r="M2124" s="46"/>
      <c r="N2124" s="46"/>
      <c r="O2124" s="46"/>
      <c r="P2124" s="46"/>
      <c r="Q2124" s="46"/>
      <c r="R2124" s="46"/>
      <c r="S2124" s="46"/>
      <c r="T2124" s="46"/>
      <c r="U2124" s="46"/>
      <c r="V2124" s="46"/>
      <c r="W2124" s="46"/>
      <c r="X2124" s="46"/>
    </row>
    <row r="2125" spans="1:24" x14ac:dyDescent="0.2">
      <c r="A2125" s="45"/>
      <c r="B2125" s="46"/>
      <c r="C2125" s="46"/>
      <c r="D2125" s="46"/>
      <c r="E2125" s="46"/>
      <c r="F2125" s="46"/>
      <c r="G2125" s="46"/>
      <c r="H2125" s="46"/>
      <c r="I2125" s="46"/>
      <c r="J2125" s="46"/>
      <c r="K2125" s="46"/>
      <c r="L2125" s="46"/>
      <c r="M2125" s="46"/>
      <c r="N2125" s="46"/>
      <c r="O2125" s="46"/>
      <c r="P2125" s="46"/>
      <c r="Q2125" s="46"/>
      <c r="R2125" s="46"/>
      <c r="S2125" s="46"/>
      <c r="T2125" s="46"/>
      <c r="U2125" s="46"/>
      <c r="V2125" s="46"/>
      <c r="W2125" s="46"/>
      <c r="X2125" s="46"/>
    </row>
    <row r="2126" spans="1:24" x14ac:dyDescent="0.2">
      <c r="A2126" s="45"/>
      <c r="B2126" s="46"/>
      <c r="C2126" s="46"/>
      <c r="D2126" s="46"/>
      <c r="E2126" s="46"/>
      <c r="F2126" s="46"/>
      <c r="G2126" s="46"/>
      <c r="H2126" s="46"/>
      <c r="I2126" s="46"/>
      <c r="J2126" s="46"/>
      <c r="K2126" s="46"/>
      <c r="L2126" s="46"/>
      <c r="M2126" s="46"/>
      <c r="N2126" s="46"/>
      <c r="O2126" s="46"/>
      <c r="P2126" s="46"/>
      <c r="Q2126" s="46"/>
      <c r="R2126" s="46"/>
      <c r="S2126" s="46"/>
      <c r="T2126" s="46"/>
      <c r="U2126" s="46"/>
      <c r="V2126" s="46"/>
      <c r="W2126" s="46"/>
      <c r="X2126" s="46"/>
    </row>
    <row r="2127" spans="1:24" x14ac:dyDescent="0.2">
      <c r="A2127" s="45"/>
      <c r="B2127" s="46"/>
      <c r="C2127" s="46"/>
      <c r="D2127" s="46"/>
      <c r="E2127" s="46"/>
      <c r="F2127" s="46"/>
      <c r="G2127" s="46"/>
      <c r="H2127" s="46"/>
      <c r="I2127" s="46"/>
      <c r="J2127" s="46"/>
      <c r="K2127" s="46"/>
      <c r="L2127" s="46"/>
      <c r="M2127" s="46"/>
      <c r="N2127" s="46"/>
      <c r="O2127" s="46"/>
      <c r="P2127" s="46"/>
      <c r="Q2127" s="46"/>
      <c r="R2127" s="46"/>
      <c r="S2127" s="46"/>
      <c r="T2127" s="46"/>
      <c r="U2127" s="46"/>
      <c r="V2127" s="46"/>
      <c r="W2127" s="46"/>
      <c r="X2127" s="46"/>
    </row>
    <row r="2128" spans="1:24" x14ac:dyDescent="0.2">
      <c r="A2128" s="45"/>
      <c r="B2128" s="46"/>
      <c r="C2128" s="46"/>
      <c r="D2128" s="46"/>
      <c r="E2128" s="46"/>
      <c r="F2128" s="46"/>
      <c r="G2128" s="46"/>
      <c r="H2128" s="46"/>
      <c r="I2128" s="46"/>
      <c r="J2128" s="46"/>
      <c r="K2128" s="46"/>
      <c r="L2128" s="46"/>
      <c r="M2128" s="46"/>
      <c r="N2128" s="46"/>
      <c r="O2128" s="46"/>
      <c r="P2128" s="46"/>
      <c r="Q2128" s="46"/>
      <c r="R2128" s="46"/>
      <c r="S2128" s="46"/>
      <c r="T2128" s="46"/>
      <c r="U2128" s="46"/>
      <c r="V2128" s="46"/>
      <c r="W2128" s="46"/>
      <c r="X2128" s="46"/>
    </row>
    <row r="2129" spans="1:24" x14ac:dyDescent="0.2">
      <c r="A2129" s="45"/>
      <c r="B2129" s="46"/>
      <c r="C2129" s="46"/>
      <c r="D2129" s="46"/>
      <c r="E2129" s="46"/>
      <c r="F2129" s="46"/>
      <c r="G2129" s="46"/>
      <c r="H2129" s="46"/>
      <c r="I2129" s="46"/>
      <c r="J2129" s="46"/>
      <c r="K2129" s="46"/>
      <c r="L2129" s="46"/>
      <c r="M2129" s="46"/>
      <c r="N2129" s="46"/>
      <c r="O2129" s="46"/>
      <c r="P2129" s="46"/>
      <c r="Q2129" s="46"/>
      <c r="R2129" s="46"/>
      <c r="S2129" s="46"/>
      <c r="T2129" s="46"/>
      <c r="U2129" s="46"/>
      <c r="V2129" s="46"/>
      <c r="W2129" s="46"/>
      <c r="X2129" s="46"/>
    </row>
    <row r="2130" spans="1:24" x14ac:dyDescent="0.2">
      <c r="A2130" s="45"/>
      <c r="B2130" s="46"/>
      <c r="C2130" s="46"/>
      <c r="D2130" s="46"/>
      <c r="E2130" s="46"/>
      <c r="F2130" s="46"/>
      <c r="G2130" s="46"/>
      <c r="H2130" s="46"/>
      <c r="I2130" s="46"/>
      <c r="J2130" s="46"/>
      <c r="K2130" s="46"/>
      <c r="L2130" s="46"/>
      <c r="M2130" s="46"/>
      <c r="N2130" s="46"/>
      <c r="O2130" s="46"/>
      <c r="P2130" s="46"/>
      <c r="Q2130" s="46"/>
      <c r="R2130" s="46"/>
      <c r="S2130" s="46"/>
      <c r="T2130" s="46"/>
      <c r="U2130" s="46"/>
      <c r="V2130" s="46"/>
      <c r="W2130" s="46"/>
      <c r="X2130" s="46"/>
    </row>
    <row r="2131" spans="1:24" x14ac:dyDescent="0.2">
      <c r="A2131" s="45"/>
      <c r="B2131" s="46"/>
      <c r="C2131" s="46"/>
      <c r="D2131" s="46"/>
      <c r="E2131" s="46"/>
      <c r="F2131" s="46"/>
      <c r="G2131" s="46"/>
      <c r="H2131" s="46"/>
      <c r="I2131" s="46"/>
      <c r="J2131" s="46"/>
      <c r="K2131" s="46"/>
      <c r="L2131" s="46"/>
      <c r="M2131" s="46"/>
      <c r="N2131" s="46"/>
      <c r="O2131" s="46"/>
      <c r="P2131" s="46"/>
      <c r="Q2131" s="46"/>
      <c r="R2131" s="46"/>
      <c r="S2131" s="46"/>
      <c r="T2131" s="46"/>
      <c r="U2131" s="46"/>
      <c r="V2131" s="46"/>
      <c r="W2131" s="46"/>
      <c r="X2131" s="46"/>
    </row>
    <row r="2132" spans="1:24" x14ac:dyDescent="0.2">
      <c r="A2132" s="45"/>
      <c r="B2132" s="46"/>
      <c r="C2132" s="46"/>
      <c r="D2132" s="46"/>
      <c r="E2132" s="46"/>
      <c r="F2132" s="46"/>
      <c r="G2132" s="46"/>
      <c r="H2132" s="46"/>
      <c r="I2132" s="46"/>
      <c r="J2132" s="46"/>
      <c r="K2132" s="46"/>
      <c r="L2132" s="46"/>
      <c r="M2132" s="46"/>
      <c r="N2132" s="46"/>
      <c r="O2132" s="46"/>
      <c r="P2132" s="46"/>
      <c r="Q2132" s="46"/>
      <c r="R2132" s="46"/>
      <c r="S2132" s="46"/>
      <c r="T2132" s="46"/>
      <c r="U2132" s="46"/>
      <c r="V2132" s="46"/>
      <c r="W2132" s="46"/>
      <c r="X2132" s="46"/>
    </row>
    <row r="2133" spans="1:24" x14ac:dyDescent="0.2">
      <c r="A2133" s="45"/>
      <c r="B2133" s="46"/>
      <c r="C2133" s="46"/>
      <c r="D2133" s="46"/>
      <c r="E2133" s="46"/>
      <c r="F2133" s="46"/>
      <c r="G2133" s="46"/>
      <c r="H2133" s="46"/>
      <c r="I2133" s="46"/>
      <c r="J2133" s="46"/>
      <c r="K2133" s="46"/>
      <c r="L2133" s="46"/>
      <c r="M2133" s="46"/>
      <c r="N2133" s="46"/>
      <c r="O2133" s="46"/>
      <c r="P2133" s="46"/>
      <c r="Q2133" s="46"/>
      <c r="R2133" s="46"/>
      <c r="S2133" s="46"/>
      <c r="T2133" s="46"/>
      <c r="U2133" s="46"/>
      <c r="V2133" s="46"/>
      <c r="W2133" s="46"/>
      <c r="X2133" s="46"/>
    </row>
    <row r="2134" spans="1:24" x14ac:dyDescent="0.2">
      <c r="A2134" s="45"/>
      <c r="B2134" s="46"/>
      <c r="C2134" s="46"/>
      <c r="D2134" s="46"/>
      <c r="E2134" s="46"/>
      <c r="F2134" s="46"/>
      <c r="G2134" s="46"/>
      <c r="H2134" s="46"/>
      <c r="I2134" s="46"/>
      <c r="J2134" s="46"/>
      <c r="K2134" s="46"/>
      <c r="L2134" s="46"/>
      <c r="M2134" s="46"/>
      <c r="N2134" s="46"/>
      <c r="O2134" s="46"/>
      <c r="P2134" s="46"/>
      <c r="Q2134" s="46"/>
      <c r="R2134" s="46"/>
      <c r="S2134" s="46"/>
      <c r="T2134" s="46"/>
      <c r="U2134" s="46"/>
      <c r="V2134" s="46"/>
      <c r="W2134" s="46"/>
      <c r="X2134" s="46"/>
    </row>
    <row r="2135" spans="1:24" x14ac:dyDescent="0.2">
      <c r="A2135" s="45"/>
      <c r="B2135" s="46"/>
      <c r="C2135" s="46"/>
      <c r="D2135" s="46"/>
      <c r="E2135" s="46"/>
      <c r="F2135" s="46"/>
      <c r="G2135" s="46"/>
      <c r="H2135" s="46"/>
      <c r="I2135" s="46"/>
      <c r="J2135" s="46"/>
      <c r="K2135" s="46"/>
      <c r="L2135" s="46"/>
      <c r="M2135" s="46"/>
      <c r="N2135" s="46"/>
      <c r="O2135" s="46"/>
      <c r="P2135" s="46"/>
      <c r="Q2135" s="46"/>
      <c r="R2135" s="46"/>
      <c r="S2135" s="46"/>
      <c r="T2135" s="46"/>
      <c r="U2135" s="46"/>
      <c r="V2135" s="46"/>
      <c r="W2135" s="46"/>
      <c r="X2135" s="46"/>
    </row>
    <row r="2136" spans="1:24" x14ac:dyDescent="0.2">
      <c r="A2136" s="45"/>
      <c r="B2136" s="46"/>
      <c r="C2136" s="46"/>
      <c r="D2136" s="46"/>
      <c r="E2136" s="46"/>
      <c r="F2136" s="46"/>
      <c r="G2136" s="46"/>
      <c r="H2136" s="46"/>
      <c r="I2136" s="46"/>
      <c r="J2136" s="46"/>
      <c r="K2136" s="46"/>
      <c r="L2136" s="46"/>
      <c r="M2136" s="46"/>
      <c r="N2136" s="46"/>
      <c r="O2136" s="46"/>
      <c r="P2136" s="46"/>
      <c r="Q2136" s="46"/>
      <c r="R2136" s="46"/>
      <c r="S2136" s="46"/>
      <c r="T2136" s="46"/>
      <c r="U2136" s="46"/>
      <c r="V2136" s="46"/>
      <c r="W2136" s="46"/>
      <c r="X2136" s="46"/>
    </row>
    <row r="2137" spans="1:24" x14ac:dyDescent="0.2">
      <c r="A2137" s="45"/>
      <c r="B2137" s="46"/>
      <c r="C2137" s="46"/>
      <c r="D2137" s="46"/>
      <c r="E2137" s="46"/>
      <c r="F2137" s="46"/>
      <c r="G2137" s="46"/>
      <c r="H2137" s="46"/>
      <c r="I2137" s="46"/>
      <c r="J2137" s="46"/>
      <c r="K2137" s="46"/>
      <c r="L2137" s="46"/>
      <c r="M2137" s="46"/>
      <c r="N2137" s="46"/>
      <c r="O2137" s="46"/>
      <c r="P2137" s="46"/>
      <c r="Q2137" s="46"/>
      <c r="R2137" s="46"/>
      <c r="S2137" s="46"/>
      <c r="T2137" s="46"/>
      <c r="U2137" s="46"/>
      <c r="V2137" s="46"/>
      <c r="W2137" s="46"/>
      <c r="X2137" s="46"/>
    </row>
    <row r="2138" spans="1:24" x14ac:dyDescent="0.2">
      <c r="A2138" s="45"/>
      <c r="B2138" s="46"/>
      <c r="C2138" s="46"/>
      <c r="D2138" s="46"/>
      <c r="E2138" s="46"/>
      <c r="F2138" s="46"/>
      <c r="G2138" s="46"/>
      <c r="H2138" s="46"/>
      <c r="I2138" s="46"/>
      <c r="J2138" s="46"/>
      <c r="K2138" s="46"/>
      <c r="L2138" s="46"/>
      <c r="M2138" s="46"/>
      <c r="N2138" s="46"/>
      <c r="O2138" s="46"/>
      <c r="P2138" s="46"/>
      <c r="Q2138" s="46"/>
      <c r="R2138" s="46"/>
      <c r="S2138" s="46"/>
      <c r="T2138" s="46"/>
      <c r="U2138" s="46"/>
      <c r="V2138" s="46"/>
      <c r="W2138" s="46"/>
      <c r="X2138" s="46"/>
    </row>
    <row r="2139" spans="1:24" x14ac:dyDescent="0.2">
      <c r="A2139" s="45"/>
      <c r="B2139" s="46"/>
      <c r="C2139" s="46"/>
      <c r="D2139" s="46"/>
      <c r="E2139" s="46"/>
      <c r="F2139" s="46"/>
      <c r="G2139" s="46"/>
      <c r="H2139" s="46"/>
      <c r="I2139" s="46"/>
      <c r="J2139" s="46"/>
      <c r="K2139" s="46"/>
      <c r="L2139" s="46"/>
      <c r="M2139" s="46"/>
      <c r="N2139" s="46"/>
      <c r="O2139" s="46"/>
      <c r="P2139" s="46"/>
      <c r="Q2139" s="46"/>
      <c r="R2139" s="46"/>
      <c r="S2139" s="46"/>
      <c r="T2139" s="46"/>
      <c r="U2139" s="46"/>
      <c r="V2139" s="46"/>
      <c r="W2139" s="46"/>
      <c r="X2139" s="46"/>
    </row>
    <row r="2140" spans="1:24" x14ac:dyDescent="0.2">
      <c r="A2140" s="45"/>
      <c r="B2140" s="46"/>
      <c r="C2140" s="46"/>
      <c r="D2140" s="46"/>
      <c r="E2140" s="46"/>
      <c r="F2140" s="46"/>
      <c r="G2140" s="46"/>
      <c r="H2140" s="46"/>
      <c r="I2140" s="46"/>
      <c r="J2140" s="46"/>
      <c r="K2140" s="46"/>
      <c r="L2140" s="46"/>
      <c r="M2140" s="46"/>
      <c r="N2140" s="46"/>
      <c r="O2140" s="46"/>
      <c r="P2140" s="46"/>
      <c r="Q2140" s="46"/>
      <c r="R2140" s="46"/>
      <c r="S2140" s="46"/>
      <c r="T2140" s="46"/>
      <c r="U2140" s="46"/>
      <c r="V2140" s="46"/>
      <c r="W2140" s="46"/>
      <c r="X2140" s="46"/>
    </row>
    <row r="2141" spans="1:24" x14ac:dyDescent="0.2">
      <c r="A2141" s="45"/>
      <c r="B2141" s="46"/>
      <c r="C2141" s="46"/>
      <c r="D2141" s="46"/>
      <c r="E2141" s="46"/>
      <c r="F2141" s="46"/>
      <c r="G2141" s="46"/>
      <c r="H2141" s="46"/>
      <c r="I2141" s="46"/>
      <c r="J2141" s="46"/>
      <c r="K2141" s="46"/>
      <c r="L2141" s="46"/>
      <c r="M2141" s="46"/>
      <c r="N2141" s="46"/>
      <c r="O2141" s="46"/>
      <c r="P2141" s="46"/>
      <c r="Q2141" s="46"/>
      <c r="R2141" s="46"/>
      <c r="S2141" s="46"/>
      <c r="T2141" s="46"/>
      <c r="U2141" s="46"/>
      <c r="V2141" s="46"/>
      <c r="W2141" s="46"/>
      <c r="X2141" s="46"/>
    </row>
    <row r="2142" spans="1:24" x14ac:dyDescent="0.2">
      <c r="A2142" s="45"/>
      <c r="B2142" s="46"/>
      <c r="C2142" s="46"/>
      <c r="D2142" s="46"/>
      <c r="E2142" s="46"/>
      <c r="F2142" s="46"/>
      <c r="G2142" s="46"/>
      <c r="H2142" s="46"/>
      <c r="I2142" s="46"/>
      <c r="J2142" s="46"/>
      <c r="K2142" s="46"/>
      <c r="L2142" s="46"/>
      <c r="M2142" s="46"/>
      <c r="N2142" s="46"/>
      <c r="O2142" s="46"/>
      <c r="P2142" s="46"/>
      <c r="Q2142" s="46"/>
      <c r="R2142" s="46"/>
      <c r="S2142" s="46"/>
      <c r="T2142" s="46"/>
      <c r="U2142" s="46"/>
      <c r="V2142" s="46"/>
      <c r="W2142" s="46"/>
      <c r="X2142" s="46"/>
    </row>
    <row r="2143" spans="1:24" x14ac:dyDescent="0.2">
      <c r="A2143" s="45"/>
      <c r="B2143" s="46"/>
      <c r="C2143" s="46"/>
      <c r="D2143" s="46"/>
      <c r="E2143" s="46"/>
      <c r="F2143" s="46"/>
      <c r="G2143" s="46"/>
      <c r="H2143" s="46"/>
      <c r="I2143" s="46"/>
      <c r="J2143" s="46"/>
      <c r="K2143" s="46"/>
      <c r="L2143" s="46"/>
      <c r="M2143" s="46"/>
      <c r="N2143" s="46"/>
      <c r="O2143" s="46"/>
      <c r="P2143" s="46"/>
      <c r="Q2143" s="46"/>
      <c r="R2143" s="46"/>
      <c r="S2143" s="46"/>
      <c r="T2143" s="46"/>
      <c r="U2143" s="46"/>
      <c r="V2143" s="46"/>
      <c r="W2143" s="46"/>
      <c r="X2143" s="46"/>
    </row>
    <row r="2144" spans="1:24" x14ac:dyDescent="0.2">
      <c r="A2144" s="45"/>
      <c r="B2144" s="46"/>
      <c r="C2144" s="46"/>
      <c r="D2144" s="46"/>
      <c r="E2144" s="46"/>
      <c r="F2144" s="46"/>
      <c r="G2144" s="46"/>
      <c r="H2144" s="46"/>
      <c r="I2144" s="46"/>
      <c r="J2144" s="46"/>
      <c r="K2144" s="46"/>
      <c r="L2144" s="46"/>
      <c r="M2144" s="46"/>
      <c r="N2144" s="46"/>
      <c r="O2144" s="46"/>
      <c r="P2144" s="46"/>
      <c r="Q2144" s="46"/>
      <c r="R2144" s="46"/>
      <c r="S2144" s="46"/>
      <c r="T2144" s="46"/>
      <c r="U2144" s="46"/>
      <c r="V2144" s="46"/>
      <c r="W2144" s="46"/>
      <c r="X2144" s="46"/>
    </row>
    <row r="2145" spans="1:24" x14ac:dyDescent="0.2">
      <c r="A2145" s="45"/>
      <c r="B2145" s="46"/>
      <c r="C2145" s="46"/>
      <c r="D2145" s="46"/>
      <c r="E2145" s="46"/>
      <c r="F2145" s="46"/>
      <c r="G2145" s="46"/>
      <c r="H2145" s="46"/>
      <c r="I2145" s="46"/>
      <c r="J2145" s="46"/>
      <c r="K2145" s="46"/>
      <c r="L2145" s="46"/>
      <c r="M2145" s="46"/>
      <c r="N2145" s="46"/>
      <c r="O2145" s="46"/>
      <c r="P2145" s="46"/>
      <c r="Q2145" s="46"/>
      <c r="R2145" s="46"/>
      <c r="S2145" s="46"/>
      <c r="T2145" s="46"/>
      <c r="U2145" s="46"/>
      <c r="V2145" s="46"/>
      <c r="W2145" s="46"/>
      <c r="X2145" s="46"/>
    </row>
    <row r="2146" spans="1:24" x14ac:dyDescent="0.2">
      <c r="A2146" s="45"/>
      <c r="B2146" s="46"/>
      <c r="C2146" s="46"/>
      <c r="D2146" s="46"/>
      <c r="E2146" s="46"/>
      <c r="F2146" s="46"/>
      <c r="G2146" s="46"/>
      <c r="H2146" s="46"/>
      <c r="I2146" s="46"/>
      <c r="J2146" s="46"/>
      <c r="K2146" s="46"/>
      <c r="L2146" s="46"/>
      <c r="M2146" s="46"/>
      <c r="N2146" s="46"/>
      <c r="O2146" s="46"/>
      <c r="P2146" s="46"/>
      <c r="Q2146" s="46"/>
      <c r="R2146" s="46"/>
      <c r="S2146" s="46"/>
      <c r="T2146" s="46"/>
      <c r="U2146" s="46"/>
      <c r="V2146" s="46"/>
      <c r="W2146" s="46"/>
      <c r="X2146" s="46"/>
    </row>
    <row r="2147" spans="1:24" x14ac:dyDescent="0.2">
      <c r="A2147" s="45"/>
      <c r="B2147" s="46"/>
      <c r="C2147" s="46"/>
      <c r="D2147" s="46"/>
      <c r="E2147" s="46"/>
      <c r="F2147" s="46"/>
      <c r="G2147" s="46"/>
      <c r="H2147" s="46"/>
      <c r="I2147" s="46"/>
      <c r="J2147" s="46"/>
      <c r="K2147" s="46"/>
      <c r="L2147" s="46"/>
      <c r="M2147" s="46"/>
      <c r="N2147" s="46"/>
      <c r="O2147" s="46"/>
      <c r="P2147" s="46"/>
      <c r="Q2147" s="46"/>
      <c r="R2147" s="46"/>
      <c r="S2147" s="46"/>
      <c r="T2147" s="46"/>
      <c r="U2147" s="46"/>
      <c r="V2147" s="46"/>
      <c r="W2147" s="46"/>
      <c r="X2147" s="46"/>
    </row>
    <row r="2148" spans="1:24" x14ac:dyDescent="0.2">
      <c r="A2148" s="45"/>
      <c r="B2148" s="46"/>
      <c r="C2148" s="46"/>
      <c r="D2148" s="46"/>
      <c r="E2148" s="46"/>
      <c r="F2148" s="46"/>
      <c r="G2148" s="46"/>
      <c r="H2148" s="46"/>
      <c r="I2148" s="46"/>
      <c r="J2148" s="46"/>
      <c r="K2148" s="46"/>
      <c r="L2148" s="46"/>
      <c r="M2148" s="46"/>
      <c r="N2148" s="46"/>
      <c r="O2148" s="46"/>
      <c r="P2148" s="46"/>
      <c r="Q2148" s="46"/>
      <c r="R2148" s="46"/>
      <c r="S2148" s="46"/>
      <c r="T2148" s="46"/>
      <c r="U2148" s="46"/>
      <c r="V2148" s="46"/>
      <c r="W2148" s="46"/>
      <c r="X2148" s="46"/>
    </row>
    <row r="2149" spans="1:24" x14ac:dyDescent="0.2">
      <c r="A2149" s="45"/>
      <c r="B2149" s="46"/>
      <c r="C2149" s="46"/>
      <c r="D2149" s="46"/>
      <c r="E2149" s="46"/>
      <c r="F2149" s="46"/>
      <c r="G2149" s="46"/>
      <c r="H2149" s="46"/>
      <c r="I2149" s="46"/>
      <c r="J2149" s="46"/>
      <c r="K2149" s="46"/>
      <c r="L2149" s="46"/>
      <c r="M2149" s="46"/>
      <c r="N2149" s="46"/>
      <c r="O2149" s="46"/>
      <c r="P2149" s="46"/>
      <c r="Q2149" s="46"/>
      <c r="R2149" s="46"/>
      <c r="S2149" s="46"/>
      <c r="T2149" s="46"/>
      <c r="U2149" s="46"/>
      <c r="V2149" s="46"/>
      <c r="W2149" s="46"/>
      <c r="X2149" s="46"/>
    </row>
    <row r="2150" spans="1:24" x14ac:dyDescent="0.2">
      <c r="A2150" s="45"/>
      <c r="B2150" s="46"/>
      <c r="C2150" s="46"/>
      <c r="D2150" s="46"/>
      <c r="E2150" s="46"/>
      <c r="F2150" s="46"/>
      <c r="G2150" s="46"/>
      <c r="H2150" s="46"/>
      <c r="I2150" s="46"/>
      <c r="J2150" s="46"/>
      <c r="K2150" s="46"/>
      <c r="L2150" s="46"/>
      <c r="M2150" s="46"/>
      <c r="N2150" s="46"/>
      <c r="O2150" s="46"/>
      <c r="P2150" s="46"/>
      <c r="Q2150" s="46"/>
      <c r="R2150" s="46"/>
      <c r="S2150" s="46"/>
      <c r="T2150" s="46"/>
      <c r="U2150" s="46"/>
      <c r="V2150" s="46"/>
      <c r="W2150" s="46"/>
      <c r="X2150" s="46"/>
    </row>
    <row r="2151" spans="1:24" x14ac:dyDescent="0.2">
      <c r="A2151" s="45"/>
      <c r="B2151" s="46"/>
      <c r="C2151" s="46"/>
      <c r="D2151" s="46"/>
      <c r="E2151" s="46"/>
      <c r="F2151" s="46"/>
      <c r="G2151" s="46"/>
      <c r="H2151" s="46"/>
      <c r="I2151" s="46"/>
      <c r="J2151" s="46"/>
      <c r="K2151" s="46"/>
      <c r="L2151" s="46"/>
      <c r="M2151" s="46"/>
      <c r="N2151" s="46"/>
      <c r="O2151" s="46"/>
      <c r="P2151" s="46"/>
      <c r="Q2151" s="46"/>
      <c r="R2151" s="46"/>
      <c r="S2151" s="46"/>
      <c r="T2151" s="46"/>
      <c r="U2151" s="46"/>
      <c r="V2151" s="46"/>
      <c r="W2151" s="46"/>
      <c r="X2151" s="46"/>
    </row>
    <row r="2152" spans="1:24" x14ac:dyDescent="0.2">
      <c r="A2152" s="45"/>
      <c r="B2152" s="46"/>
      <c r="C2152" s="46"/>
      <c r="D2152" s="46"/>
      <c r="E2152" s="46"/>
      <c r="F2152" s="46"/>
      <c r="G2152" s="46"/>
      <c r="H2152" s="46"/>
      <c r="I2152" s="46"/>
      <c r="J2152" s="46"/>
      <c r="K2152" s="46"/>
      <c r="L2152" s="46"/>
      <c r="M2152" s="46"/>
      <c r="N2152" s="46"/>
      <c r="O2152" s="46"/>
      <c r="P2152" s="46"/>
      <c r="Q2152" s="46"/>
      <c r="R2152" s="46"/>
      <c r="S2152" s="46"/>
      <c r="T2152" s="46"/>
      <c r="U2152" s="46"/>
      <c r="V2152" s="46"/>
      <c r="W2152" s="46"/>
      <c r="X2152" s="46"/>
    </row>
    <row r="2153" spans="1:24" x14ac:dyDescent="0.2">
      <c r="A2153" s="45"/>
      <c r="B2153" s="46"/>
      <c r="C2153" s="46"/>
      <c r="D2153" s="46"/>
      <c r="E2153" s="46"/>
      <c r="F2153" s="46"/>
      <c r="G2153" s="46"/>
      <c r="H2153" s="46"/>
      <c r="I2153" s="46"/>
      <c r="J2153" s="46"/>
      <c r="K2153" s="46"/>
      <c r="L2153" s="46"/>
      <c r="M2153" s="46"/>
      <c r="N2153" s="46"/>
      <c r="O2153" s="46"/>
      <c r="P2153" s="46"/>
      <c r="Q2153" s="46"/>
      <c r="R2153" s="46"/>
      <c r="S2153" s="46"/>
      <c r="T2153" s="46"/>
      <c r="U2153" s="46"/>
      <c r="V2153" s="46"/>
      <c r="W2153" s="46"/>
      <c r="X2153" s="46"/>
    </row>
    <row r="2154" spans="1:24" x14ac:dyDescent="0.2">
      <c r="A2154" s="45"/>
      <c r="B2154" s="46"/>
      <c r="C2154" s="46"/>
      <c r="D2154" s="46"/>
      <c r="E2154" s="46"/>
      <c r="F2154" s="46"/>
      <c r="G2154" s="46"/>
      <c r="H2154" s="46"/>
      <c r="I2154" s="46"/>
      <c r="J2154" s="46"/>
      <c r="K2154" s="46"/>
      <c r="L2154" s="46"/>
      <c r="M2154" s="46"/>
      <c r="N2154" s="46"/>
      <c r="O2154" s="46"/>
      <c r="P2154" s="46"/>
      <c r="Q2154" s="46"/>
      <c r="R2154" s="46"/>
      <c r="S2154" s="46"/>
      <c r="T2154" s="46"/>
      <c r="U2154" s="46"/>
      <c r="V2154" s="46"/>
      <c r="W2154" s="46"/>
      <c r="X2154" s="46"/>
    </row>
    <row r="2155" spans="1:24" x14ac:dyDescent="0.2">
      <c r="A2155" s="45"/>
      <c r="B2155" s="46"/>
      <c r="C2155" s="46"/>
      <c r="D2155" s="46"/>
      <c r="E2155" s="46"/>
      <c r="F2155" s="46"/>
      <c r="G2155" s="46"/>
      <c r="H2155" s="46"/>
      <c r="I2155" s="46"/>
      <c r="J2155" s="46"/>
      <c r="K2155" s="46"/>
      <c r="L2155" s="46"/>
      <c r="M2155" s="46"/>
      <c r="N2155" s="46"/>
      <c r="O2155" s="46"/>
      <c r="P2155" s="46"/>
      <c r="Q2155" s="46"/>
      <c r="R2155" s="46"/>
      <c r="S2155" s="46"/>
      <c r="T2155" s="46"/>
      <c r="U2155" s="46"/>
      <c r="V2155" s="46"/>
      <c r="W2155" s="46"/>
      <c r="X2155" s="46"/>
    </row>
    <row r="2156" spans="1:24" x14ac:dyDescent="0.2">
      <c r="A2156" s="45"/>
      <c r="B2156" s="46"/>
      <c r="C2156" s="46"/>
      <c r="D2156" s="46"/>
      <c r="E2156" s="46"/>
      <c r="F2156" s="46"/>
      <c r="G2156" s="46"/>
      <c r="H2156" s="46"/>
      <c r="I2156" s="46"/>
      <c r="J2156" s="46"/>
      <c r="K2156" s="46"/>
      <c r="L2156" s="46"/>
      <c r="M2156" s="46"/>
      <c r="N2156" s="46"/>
      <c r="O2156" s="46"/>
      <c r="P2156" s="46"/>
      <c r="Q2156" s="46"/>
      <c r="R2156" s="46"/>
      <c r="S2156" s="46"/>
      <c r="T2156" s="46"/>
      <c r="U2156" s="46"/>
      <c r="V2156" s="46"/>
      <c r="W2156" s="46"/>
      <c r="X2156" s="46"/>
    </row>
    <row r="2157" spans="1:24" x14ac:dyDescent="0.2">
      <c r="A2157" s="45"/>
      <c r="B2157" s="46"/>
      <c r="C2157" s="46"/>
      <c r="D2157" s="46"/>
      <c r="E2157" s="46"/>
      <c r="F2157" s="46"/>
      <c r="G2157" s="46"/>
      <c r="H2157" s="46"/>
      <c r="I2157" s="46"/>
      <c r="J2157" s="46"/>
      <c r="K2157" s="46"/>
      <c r="L2157" s="46"/>
      <c r="M2157" s="46"/>
      <c r="N2157" s="46"/>
      <c r="O2157" s="46"/>
      <c r="P2157" s="46"/>
      <c r="Q2157" s="46"/>
      <c r="R2157" s="46"/>
      <c r="S2157" s="46"/>
      <c r="T2157" s="46"/>
      <c r="U2157" s="46"/>
      <c r="V2157" s="46"/>
      <c r="W2157" s="46"/>
      <c r="X2157" s="46"/>
    </row>
    <row r="2158" spans="1:24" x14ac:dyDescent="0.2">
      <c r="A2158" s="45"/>
      <c r="B2158" s="46"/>
      <c r="C2158" s="46"/>
      <c r="D2158" s="46"/>
      <c r="E2158" s="46"/>
      <c r="F2158" s="46"/>
      <c r="G2158" s="46"/>
      <c r="H2158" s="46"/>
      <c r="I2158" s="46"/>
      <c r="J2158" s="46"/>
      <c r="K2158" s="46"/>
      <c r="L2158" s="46"/>
      <c r="M2158" s="46"/>
      <c r="N2158" s="46"/>
      <c r="O2158" s="46"/>
      <c r="P2158" s="46"/>
      <c r="Q2158" s="46"/>
      <c r="R2158" s="46"/>
      <c r="S2158" s="46"/>
      <c r="T2158" s="46"/>
      <c r="U2158" s="46"/>
      <c r="V2158" s="46"/>
      <c r="W2158" s="46"/>
      <c r="X2158" s="46"/>
    </row>
    <row r="2159" spans="1:24" x14ac:dyDescent="0.2">
      <c r="A2159" s="45"/>
      <c r="B2159" s="46"/>
      <c r="C2159" s="46"/>
      <c r="D2159" s="46"/>
      <c r="E2159" s="46"/>
      <c r="F2159" s="46"/>
      <c r="G2159" s="46"/>
      <c r="H2159" s="46"/>
      <c r="I2159" s="46"/>
      <c r="J2159" s="46"/>
      <c r="K2159" s="46"/>
      <c r="L2159" s="46"/>
      <c r="M2159" s="46"/>
      <c r="N2159" s="46"/>
      <c r="O2159" s="46"/>
      <c r="P2159" s="46"/>
      <c r="Q2159" s="46"/>
      <c r="R2159" s="46"/>
      <c r="S2159" s="46"/>
      <c r="T2159" s="46"/>
      <c r="U2159" s="46"/>
      <c r="V2159" s="46"/>
      <c r="W2159" s="46"/>
      <c r="X2159" s="46"/>
    </row>
    <row r="2160" spans="1:24" x14ac:dyDescent="0.2">
      <c r="A2160" s="45"/>
      <c r="B2160" s="46"/>
      <c r="C2160" s="46"/>
      <c r="D2160" s="46"/>
      <c r="E2160" s="46"/>
      <c r="F2160" s="46"/>
      <c r="G2160" s="46"/>
      <c r="H2160" s="46"/>
      <c r="I2160" s="46"/>
      <c r="J2160" s="46"/>
      <c r="K2160" s="46"/>
      <c r="L2160" s="46"/>
      <c r="M2160" s="46"/>
      <c r="N2160" s="46"/>
      <c r="O2160" s="46"/>
      <c r="P2160" s="46"/>
      <c r="Q2160" s="46"/>
      <c r="R2160" s="46"/>
      <c r="S2160" s="46"/>
      <c r="T2160" s="46"/>
      <c r="U2160" s="46"/>
      <c r="V2160" s="46"/>
      <c r="W2160" s="46"/>
      <c r="X2160" s="46"/>
    </row>
    <row r="2161" spans="1:24" x14ac:dyDescent="0.2">
      <c r="A2161" s="45"/>
      <c r="B2161" s="46"/>
      <c r="C2161" s="46"/>
      <c r="D2161" s="46"/>
      <c r="E2161" s="46"/>
      <c r="F2161" s="46"/>
      <c r="G2161" s="46"/>
      <c r="H2161" s="46"/>
      <c r="I2161" s="46"/>
      <c r="J2161" s="46"/>
      <c r="K2161" s="46"/>
      <c r="L2161" s="46"/>
      <c r="M2161" s="46"/>
      <c r="N2161" s="46"/>
      <c r="O2161" s="46"/>
      <c r="P2161" s="46"/>
      <c r="Q2161" s="46"/>
      <c r="R2161" s="46"/>
      <c r="S2161" s="46"/>
      <c r="T2161" s="46"/>
      <c r="U2161" s="46"/>
      <c r="V2161" s="46"/>
      <c r="W2161" s="46"/>
      <c r="X2161" s="46"/>
    </row>
    <row r="2162" spans="1:24" x14ac:dyDescent="0.2">
      <c r="A2162" s="45"/>
      <c r="B2162" s="46"/>
      <c r="C2162" s="46"/>
      <c r="D2162" s="46"/>
      <c r="E2162" s="46"/>
      <c r="F2162" s="46"/>
      <c r="G2162" s="46"/>
      <c r="H2162" s="46"/>
      <c r="I2162" s="46"/>
      <c r="J2162" s="46"/>
      <c r="K2162" s="46"/>
      <c r="L2162" s="46"/>
      <c r="M2162" s="46"/>
      <c r="N2162" s="46"/>
      <c r="O2162" s="46"/>
      <c r="P2162" s="46"/>
      <c r="Q2162" s="46"/>
      <c r="R2162" s="46"/>
      <c r="S2162" s="46"/>
      <c r="T2162" s="46"/>
      <c r="U2162" s="46"/>
      <c r="V2162" s="46"/>
      <c r="W2162" s="46"/>
      <c r="X2162" s="46"/>
    </row>
    <row r="2163" spans="1:24" x14ac:dyDescent="0.2">
      <c r="A2163" s="45"/>
      <c r="B2163" s="46"/>
      <c r="C2163" s="46"/>
      <c r="D2163" s="46"/>
      <c r="E2163" s="46"/>
      <c r="F2163" s="46"/>
      <c r="G2163" s="46"/>
      <c r="H2163" s="46"/>
      <c r="I2163" s="46"/>
      <c r="J2163" s="46"/>
      <c r="K2163" s="46"/>
      <c r="L2163" s="46"/>
      <c r="M2163" s="46"/>
      <c r="N2163" s="46"/>
      <c r="O2163" s="46"/>
      <c r="P2163" s="46"/>
      <c r="Q2163" s="46"/>
      <c r="R2163" s="46"/>
      <c r="S2163" s="46"/>
      <c r="T2163" s="46"/>
      <c r="U2163" s="46"/>
      <c r="V2163" s="46"/>
      <c r="W2163" s="46"/>
      <c r="X2163" s="46"/>
    </row>
    <row r="2164" spans="1:24" x14ac:dyDescent="0.2">
      <c r="A2164" s="45"/>
      <c r="B2164" s="46"/>
      <c r="C2164" s="46"/>
      <c r="D2164" s="46"/>
      <c r="E2164" s="46"/>
      <c r="F2164" s="46"/>
      <c r="G2164" s="46"/>
      <c r="H2164" s="46"/>
      <c r="I2164" s="46"/>
      <c r="J2164" s="46"/>
      <c r="K2164" s="46"/>
      <c r="L2164" s="46"/>
      <c r="M2164" s="46"/>
      <c r="N2164" s="46"/>
      <c r="O2164" s="46"/>
      <c r="P2164" s="46"/>
      <c r="Q2164" s="46"/>
      <c r="R2164" s="46"/>
      <c r="S2164" s="46"/>
      <c r="T2164" s="46"/>
      <c r="U2164" s="46"/>
      <c r="V2164" s="46"/>
      <c r="W2164" s="46"/>
      <c r="X2164" s="46"/>
    </row>
    <row r="2165" spans="1:24" x14ac:dyDescent="0.2">
      <c r="A2165" s="45"/>
      <c r="B2165" s="46"/>
      <c r="C2165" s="46"/>
      <c r="D2165" s="46"/>
      <c r="E2165" s="46"/>
      <c r="F2165" s="46"/>
      <c r="G2165" s="46"/>
      <c r="H2165" s="46"/>
      <c r="I2165" s="46"/>
      <c r="J2165" s="46"/>
      <c r="K2165" s="46"/>
      <c r="L2165" s="46"/>
      <c r="M2165" s="46"/>
      <c r="N2165" s="46"/>
      <c r="O2165" s="46"/>
      <c r="P2165" s="46"/>
      <c r="Q2165" s="46"/>
      <c r="R2165" s="46"/>
      <c r="S2165" s="46"/>
      <c r="T2165" s="46"/>
      <c r="U2165" s="46"/>
      <c r="V2165" s="46"/>
      <c r="W2165" s="46"/>
      <c r="X2165" s="46"/>
    </row>
    <row r="2166" spans="1:24" x14ac:dyDescent="0.2">
      <c r="A2166" s="45"/>
      <c r="B2166" s="46"/>
      <c r="C2166" s="46"/>
      <c r="D2166" s="46"/>
      <c r="E2166" s="46"/>
      <c r="F2166" s="46"/>
      <c r="G2166" s="46"/>
      <c r="H2166" s="46"/>
      <c r="I2166" s="46"/>
      <c r="J2166" s="46"/>
      <c r="K2166" s="46"/>
      <c r="L2166" s="46"/>
      <c r="M2166" s="46"/>
      <c r="N2166" s="46"/>
      <c r="O2166" s="46"/>
      <c r="P2166" s="46"/>
      <c r="Q2166" s="46"/>
      <c r="R2166" s="46"/>
      <c r="S2166" s="46"/>
      <c r="T2166" s="46"/>
      <c r="U2166" s="46"/>
      <c r="V2166" s="46"/>
      <c r="W2166" s="46"/>
      <c r="X2166" s="46"/>
    </row>
    <row r="2167" spans="1:24" x14ac:dyDescent="0.2">
      <c r="A2167" s="45"/>
      <c r="B2167" s="46"/>
      <c r="C2167" s="46"/>
      <c r="D2167" s="46"/>
      <c r="E2167" s="46"/>
      <c r="F2167" s="46"/>
      <c r="G2167" s="46"/>
      <c r="H2167" s="46"/>
      <c r="I2167" s="46"/>
      <c r="J2167" s="46"/>
      <c r="K2167" s="46"/>
      <c r="L2167" s="46"/>
      <c r="M2167" s="46"/>
      <c r="N2167" s="46"/>
      <c r="O2167" s="46"/>
      <c r="P2167" s="46"/>
      <c r="Q2167" s="46"/>
      <c r="R2167" s="46"/>
      <c r="S2167" s="46"/>
      <c r="T2167" s="46"/>
      <c r="U2167" s="46"/>
      <c r="V2167" s="46"/>
      <c r="W2167" s="46"/>
      <c r="X2167" s="46"/>
    </row>
    <row r="2168" spans="1:24" x14ac:dyDescent="0.2">
      <c r="A2168" s="45"/>
      <c r="B2168" s="46"/>
      <c r="C2168" s="46"/>
      <c r="D2168" s="46"/>
      <c r="E2168" s="46"/>
      <c r="F2168" s="46"/>
      <c r="G2168" s="46"/>
      <c r="H2168" s="46"/>
      <c r="I2168" s="46"/>
      <c r="J2168" s="46"/>
      <c r="K2168" s="46"/>
      <c r="L2168" s="46"/>
      <c r="M2168" s="46"/>
      <c r="N2168" s="46"/>
      <c r="O2168" s="46"/>
      <c r="P2168" s="46"/>
      <c r="Q2168" s="46"/>
      <c r="R2168" s="46"/>
      <c r="S2168" s="46"/>
      <c r="T2168" s="46"/>
      <c r="U2168" s="46"/>
      <c r="V2168" s="46"/>
      <c r="W2168" s="46"/>
      <c r="X2168" s="46"/>
    </row>
    <row r="2169" spans="1:24" x14ac:dyDescent="0.2">
      <c r="A2169" s="45"/>
      <c r="B2169" s="46"/>
      <c r="C2169" s="46"/>
      <c r="D2169" s="46"/>
      <c r="E2169" s="46"/>
      <c r="F2169" s="46"/>
      <c r="G2169" s="46"/>
      <c r="H2169" s="46"/>
      <c r="I2169" s="46"/>
      <c r="J2169" s="46"/>
      <c r="K2169" s="46"/>
      <c r="L2169" s="46"/>
      <c r="M2169" s="46"/>
      <c r="N2169" s="46"/>
      <c r="O2169" s="46"/>
      <c r="P2169" s="46"/>
      <c r="Q2169" s="46"/>
      <c r="R2169" s="46"/>
      <c r="S2169" s="46"/>
      <c r="T2169" s="46"/>
      <c r="U2169" s="46"/>
      <c r="V2169" s="46"/>
      <c r="W2169" s="46"/>
      <c r="X2169" s="46"/>
    </row>
    <row r="2170" spans="1:24" x14ac:dyDescent="0.2">
      <c r="A2170" s="45"/>
      <c r="B2170" s="46"/>
      <c r="C2170" s="46"/>
      <c r="D2170" s="46"/>
      <c r="E2170" s="46"/>
      <c r="F2170" s="46"/>
      <c r="G2170" s="46"/>
      <c r="H2170" s="46"/>
      <c r="I2170" s="46"/>
      <c r="J2170" s="46"/>
      <c r="K2170" s="46"/>
      <c r="L2170" s="46"/>
      <c r="M2170" s="46"/>
      <c r="N2170" s="46"/>
      <c r="O2170" s="46"/>
      <c r="P2170" s="46"/>
      <c r="Q2170" s="46"/>
      <c r="R2170" s="46"/>
      <c r="S2170" s="46"/>
      <c r="T2170" s="46"/>
      <c r="U2170" s="46"/>
      <c r="V2170" s="46"/>
      <c r="W2170" s="46"/>
      <c r="X2170" s="46"/>
    </row>
    <row r="2171" spans="1:24" x14ac:dyDescent="0.2">
      <c r="A2171" s="45"/>
      <c r="B2171" s="46"/>
      <c r="C2171" s="46"/>
      <c r="D2171" s="46"/>
      <c r="E2171" s="46"/>
      <c r="F2171" s="46"/>
      <c r="G2171" s="46"/>
      <c r="H2171" s="46"/>
      <c r="I2171" s="46"/>
      <c r="J2171" s="46"/>
      <c r="K2171" s="46"/>
      <c r="L2171" s="46"/>
      <c r="M2171" s="46"/>
      <c r="N2171" s="46"/>
      <c r="O2171" s="46"/>
      <c r="P2171" s="46"/>
      <c r="Q2171" s="46"/>
      <c r="R2171" s="46"/>
      <c r="S2171" s="46"/>
      <c r="T2171" s="46"/>
      <c r="U2171" s="46"/>
      <c r="V2171" s="46"/>
      <c r="W2171" s="46"/>
      <c r="X2171" s="46"/>
    </row>
    <row r="2172" spans="1:24" x14ac:dyDescent="0.2">
      <c r="A2172" s="45"/>
      <c r="B2172" s="46"/>
      <c r="C2172" s="46"/>
      <c r="D2172" s="46"/>
      <c r="E2172" s="46"/>
      <c r="F2172" s="46"/>
      <c r="G2172" s="46"/>
      <c r="H2172" s="46"/>
      <c r="I2172" s="46"/>
      <c r="J2172" s="46"/>
      <c r="K2172" s="46"/>
      <c r="L2172" s="46"/>
      <c r="M2172" s="46"/>
      <c r="N2172" s="46"/>
      <c r="O2172" s="46"/>
      <c r="P2172" s="46"/>
      <c r="Q2172" s="46"/>
      <c r="R2172" s="46"/>
      <c r="S2172" s="46"/>
      <c r="T2172" s="46"/>
      <c r="U2172" s="46"/>
      <c r="V2172" s="46"/>
      <c r="W2172" s="46"/>
      <c r="X2172" s="46"/>
    </row>
    <row r="2173" spans="1:24" x14ac:dyDescent="0.2">
      <c r="A2173" s="45"/>
      <c r="B2173" s="46"/>
      <c r="C2173" s="46"/>
      <c r="D2173" s="46"/>
      <c r="E2173" s="46"/>
      <c r="F2173" s="46"/>
      <c r="G2173" s="46"/>
      <c r="H2173" s="46"/>
      <c r="I2173" s="46"/>
      <c r="J2173" s="46"/>
      <c r="K2173" s="46"/>
      <c r="L2173" s="46"/>
      <c r="M2173" s="46"/>
      <c r="N2173" s="46"/>
      <c r="O2173" s="46"/>
      <c r="P2173" s="46"/>
      <c r="Q2173" s="46"/>
      <c r="R2173" s="46"/>
      <c r="S2173" s="46"/>
      <c r="T2173" s="46"/>
      <c r="U2173" s="46"/>
      <c r="V2173" s="46"/>
      <c r="W2173" s="46"/>
      <c r="X2173" s="46"/>
    </row>
    <row r="2174" spans="1:24" x14ac:dyDescent="0.2">
      <c r="A2174" s="45"/>
      <c r="B2174" s="46"/>
      <c r="C2174" s="46"/>
      <c r="D2174" s="46"/>
      <c r="E2174" s="46"/>
      <c r="F2174" s="46"/>
      <c r="G2174" s="46"/>
      <c r="H2174" s="46"/>
      <c r="I2174" s="46"/>
      <c r="J2174" s="46"/>
      <c r="K2174" s="46"/>
      <c r="L2174" s="46"/>
      <c r="M2174" s="46"/>
      <c r="N2174" s="46"/>
      <c r="O2174" s="46"/>
      <c r="P2174" s="46"/>
      <c r="Q2174" s="46"/>
      <c r="R2174" s="46"/>
      <c r="S2174" s="46"/>
      <c r="T2174" s="46"/>
      <c r="U2174" s="46"/>
      <c r="V2174" s="46"/>
      <c r="W2174" s="46"/>
      <c r="X2174" s="46"/>
    </row>
    <row r="2175" spans="1:24" x14ac:dyDescent="0.2">
      <c r="A2175" s="45"/>
      <c r="B2175" s="46"/>
      <c r="C2175" s="46"/>
      <c r="D2175" s="46"/>
      <c r="E2175" s="46"/>
      <c r="F2175" s="46"/>
      <c r="G2175" s="46"/>
      <c r="H2175" s="46"/>
      <c r="I2175" s="46"/>
      <c r="J2175" s="46"/>
      <c r="K2175" s="46"/>
      <c r="L2175" s="46"/>
      <c r="M2175" s="46"/>
      <c r="N2175" s="46"/>
      <c r="O2175" s="46"/>
      <c r="P2175" s="46"/>
      <c r="Q2175" s="46"/>
      <c r="R2175" s="46"/>
      <c r="S2175" s="46"/>
      <c r="T2175" s="46"/>
      <c r="U2175" s="46"/>
      <c r="V2175" s="46"/>
      <c r="W2175" s="46"/>
      <c r="X2175" s="46"/>
    </row>
    <row r="2176" spans="1:24" x14ac:dyDescent="0.2">
      <c r="A2176" s="45"/>
      <c r="B2176" s="46"/>
      <c r="C2176" s="46"/>
      <c r="D2176" s="46"/>
      <c r="E2176" s="46"/>
      <c r="F2176" s="46"/>
      <c r="G2176" s="46"/>
      <c r="H2176" s="46"/>
      <c r="I2176" s="46"/>
      <c r="J2176" s="46"/>
      <c r="K2176" s="46"/>
      <c r="L2176" s="46"/>
      <c r="M2176" s="46"/>
      <c r="N2176" s="46"/>
      <c r="O2176" s="46"/>
      <c r="P2176" s="46"/>
      <c r="Q2176" s="46"/>
      <c r="R2176" s="46"/>
      <c r="S2176" s="46"/>
      <c r="T2176" s="46"/>
      <c r="U2176" s="46"/>
      <c r="V2176" s="46"/>
      <c r="W2176" s="46"/>
      <c r="X2176" s="46"/>
    </row>
    <row r="2177" spans="1:24" x14ac:dyDescent="0.2">
      <c r="A2177" s="45"/>
      <c r="B2177" s="46"/>
      <c r="C2177" s="46"/>
      <c r="D2177" s="46"/>
      <c r="E2177" s="46"/>
      <c r="F2177" s="46"/>
      <c r="G2177" s="46"/>
      <c r="H2177" s="46"/>
      <c r="I2177" s="46"/>
      <c r="J2177" s="46"/>
      <c r="K2177" s="46"/>
      <c r="L2177" s="46"/>
      <c r="M2177" s="46"/>
      <c r="N2177" s="46"/>
      <c r="O2177" s="46"/>
      <c r="P2177" s="46"/>
      <c r="Q2177" s="46"/>
      <c r="R2177" s="46"/>
      <c r="S2177" s="46"/>
      <c r="T2177" s="46"/>
      <c r="U2177" s="46"/>
      <c r="V2177" s="46"/>
      <c r="W2177" s="46"/>
      <c r="X2177" s="46"/>
    </row>
    <row r="2178" spans="1:24" x14ac:dyDescent="0.2">
      <c r="A2178" s="45"/>
      <c r="B2178" s="46"/>
      <c r="C2178" s="46"/>
      <c r="D2178" s="46"/>
      <c r="E2178" s="46"/>
      <c r="F2178" s="46"/>
      <c r="G2178" s="46"/>
      <c r="H2178" s="46"/>
      <c r="I2178" s="46"/>
      <c r="J2178" s="46"/>
      <c r="K2178" s="46"/>
      <c r="L2178" s="46"/>
      <c r="M2178" s="46"/>
      <c r="N2178" s="46"/>
      <c r="O2178" s="46"/>
      <c r="P2178" s="46"/>
      <c r="Q2178" s="46"/>
      <c r="R2178" s="46"/>
      <c r="S2178" s="46"/>
      <c r="T2178" s="46"/>
      <c r="U2178" s="46"/>
      <c r="V2178" s="46"/>
      <c r="W2178" s="46"/>
      <c r="X2178" s="46"/>
    </row>
    <row r="2179" spans="1:24" x14ac:dyDescent="0.2">
      <c r="A2179" s="45"/>
      <c r="B2179" s="46"/>
      <c r="C2179" s="46"/>
      <c r="D2179" s="46"/>
      <c r="E2179" s="46"/>
      <c r="F2179" s="46"/>
      <c r="G2179" s="46"/>
      <c r="H2179" s="46"/>
      <c r="I2179" s="46"/>
      <c r="J2179" s="46"/>
      <c r="K2179" s="46"/>
      <c r="L2179" s="46"/>
      <c r="M2179" s="46"/>
      <c r="N2179" s="46"/>
      <c r="O2179" s="46"/>
      <c r="P2179" s="46"/>
      <c r="Q2179" s="46"/>
      <c r="R2179" s="46"/>
      <c r="S2179" s="46"/>
      <c r="T2179" s="46"/>
      <c r="U2179" s="46"/>
      <c r="V2179" s="46"/>
      <c r="W2179" s="46"/>
      <c r="X2179" s="46"/>
    </row>
    <row r="2180" spans="1:24" x14ac:dyDescent="0.2">
      <c r="A2180" s="45"/>
      <c r="B2180" s="46"/>
      <c r="C2180" s="46"/>
      <c r="D2180" s="46"/>
      <c r="E2180" s="46"/>
      <c r="F2180" s="46"/>
      <c r="G2180" s="46"/>
      <c r="H2180" s="46"/>
      <c r="I2180" s="46"/>
      <c r="J2180" s="46"/>
      <c r="K2180" s="46"/>
      <c r="L2180" s="46"/>
      <c r="M2180" s="46"/>
      <c r="N2180" s="46"/>
      <c r="O2180" s="46"/>
      <c r="P2180" s="46"/>
      <c r="Q2180" s="46"/>
      <c r="R2180" s="46"/>
      <c r="S2180" s="46"/>
      <c r="T2180" s="46"/>
      <c r="U2180" s="46"/>
      <c r="V2180" s="46"/>
      <c r="W2180" s="46"/>
      <c r="X2180" s="46"/>
    </row>
    <row r="2181" spans="1:24" x14ac:dyDescent="0.2">
      <c r="A2181" s="45"/>
      <c r="B2181" s="46"/>
      <c r="C2181" s="46"/>
      <c r="D2181" s="46"/>
      <c r="E2181" s="46"/>
      <c r="F2181" s="46"/>
      <c r="G2181" s="46"/>
      <c r="H2181" s="46"/>
      <c r="I2181" s="46"/>
      <c r="J2181" s="46"/>
      <c r="K2181" s="46"/>
      <c r="L2181" s="46"/>
      <c r="M2181" s="46"/>
      <c r="N2181" s="46"/>
      <c r="O2181" s="46"/>
      <c r="P2181" s="46"/>
      <c r="Q2181" s="46"/>
      <c r="R2181" s="46"/>
      <c r="S2181" s="46"/>
      <c r="T2181" s="46"/>
      <c r="U2181" s="46"/>
      <c r="V2181" s="46"/>
      <c r="W2181" s="46"/>
      <c r="X2181" s="46"/>
    </row>
    <row r="2182" spans="1:24" x14ac:dyDescent="0.2">
      <c r="A2182" s="45"/>
      <c r="B2182" s="46"/>
      <c r="C2182" s="46"/>
      <c r="D2182" s="46"/>
      <c r="E2182" s="46"/>
      <c r="F2182" s="46"/>
      <c r="G2182" s="46"/>
      <c r="H2182" s="46"/>
      <c r="I2182" s="46"/>
      <c r="J2182" s="46"/>
      <c r="K2182" s="46"/>
      <c r="L2182" s="46"/>
      <c r="M2182" s="46"/>
      <c r="N2182" s="46"/>
      <c r="O2182" s="46"/>
      <c r="P2182" s="46"/>
      <c r="Q2182" s="46"/>
      <c r="R2182" s="46"/>
      <c r="S2182" s="46"/>
      <c r="T2182" s="46"/>
      <c r="U2182" s="46"/>
      <c r="V2182" s="46"/>
      <c r="W2182" s="46"/>
      <c r="X2182" s="46"/>
    </row>
    <row r="2183" spans="1:24" x14ac:dyDescent="0.2">
      <c r="A2183" s="45"/>
      <c r="B2183" s="46"/>
      <c r="C2183" s="46"/>
      <c r="D2183" s="46"/>
      <c r="E2183" s="46"/>
      <c r="F2183" s="46"/>
      <c r="G2183" s="46"/>
      <c r="H2183" s="46"/>
      <c r="I2183" s="46"/>
      <c r="J2183" s="46"/>
      <c r="K2183" s="46"/>
      <c r="L2183" s="46"/>
      <c r="M2183" s="46"/>
      <c r="N2183" s="46"/>
      <c r="O2183" s="46"/>
      <c r="P2183" s="46"/>
      <c r="Q2183" s="46"/>
      <c r="R2183" s="46"/>
      <c r="S2183" s="46"/>
      <c r="T2183" s="46"/>
      <c r="U2183" s="46"/>
      <c r="V2183" s="46"/>
      <c r="W2183" s="46"/>
      <c r="X2183" s="46"/>
    </row>
    <row r="2184" spans="1:24" x14ac:dyDescent="0.2">
      <c r="A2184" s="45"/>
      <c r="B2184" s="46"/>
      <c r="C2184" s="46"/>
      <c r="D2184" s="46"/>
      <c r="E2184" s="46"/>
      <c r="F2184" s="46"/>
      <c r="G2184" s="46"/>
      <c r="H2184" s="46"/>
      <c r="I2184" s="46"/>
      <c r="J2184" s="46"/>
      <c r="K2184" s="46"/>
      <c r="L2184" s="46"/>
      <c r="M2184" s="46"/>
      <c r="N2184" s="46"/>
      <c r="O2184" s="46"/>
      <c r="P2184" s="46"/>
      <c r="Q2184" s="46"/>
      <c r="R2184" s="46"/>
      <c r="S2184" s="46"/>
      <c r="T2184" s="46"/>
      <c r="U2184" s="46"/>
      <c r="V2184" s="46"/>
      <c r="W2184" s="46"/>
      <c r="X2184" s="46"/>
    </row>
    <row r="2185" spans="1:24" x14ac:dyDescent="0.2">
      <c r="A2185" s="45"/>
      <c r="B2185" s="46"/>
      <c r="C2185" s="46"/>
      <c r="D2185" s="46"/>
      <c r="E2185" s="46"/>
      <c r="F2185" s="46"/>
      <c r="G2185" s="46"/>
      <c r="H2185" s="46"/>
      <c r="I2185" s="46"/>
      <c r="J2185" s="46"/>
      <c r="K2185" s="46"/>
      <c r="L2185" s="46"/>
      <c r="M2185" s="46"/>
      <c r="N2185" s="46"/>
      <c r="O2185" s="46"/>
      <c r="P2185" s="46"/>
      <c r="Q2185" s="46"/>
      <c r="R2185" s="46"/>
      <c r="S2185" s="46"/>
      <c r="T2185" s="46"/>
      <c r="U2185" s="46"/>
      <c r="V2185" s="46"/>
      <c r="W2185" s="46"/>
      <c r="X2185" s="46"/>
    </row>
    <row r="2186" spans="1:24" x14ac:dyDescent="0.2">
      <c r="A2186" s="45"/>
      <c r="B2186" s="46"/>
      <c r="C2186" s="46"/>
      <c r="D2186" s="46"/>
      <c r="E2186" s="46"/>
      <c r="F2186" s="46"/>
      <c r="G2186" s="46"/>
      <c r="H2186" s="46"/>
      <c r="I2186" s="46"/>
      <c r="J2186" s="46"/>
      <c r="K2186" s="46"/>
      <c r="L2186" s="46"/>
      <c r="M2186" s="46"/>
      <c r="N2186" s="46"/>
      <c r="O2186" s="46"/>
      <c r="P2186" s="46"/>
      <c r="Q2186" s="46"/>
      <c r="R2186" s="46"/>
      <c r="S2186" s="46"/>
      <c r="T2186" s="46"/>
      <c r="U2186" s="46"/>
      <c r="V2186" s="46"/>
      <c r="W2186" s="46"/>
      <c r="X2186" s="46"/>
    </row>
    <row r="2187" spans="1:24" x14ac:dyDescent="0.2">
      <c r="A2187" s="45"/>
      <c r="B2187" s="46"/>
      <c r="C2187" s="46"/>
      <c r="D2187" s="46"/>
      <c r="E2187" s="46"/>
      <c r="F2187" s="46"/>
      <c r="G2187" s="46"/>
      <c r="H2187" s="46"/>
      <c r="I2187" s="46"/>
      <c r="J2187" s="46"/>
      <c r="K2187" s="46"/>
      <c r="L2187" s="46"/>
      <c r="M2187" s="46"/>
      <c r="N2187" s="46"/>
      <c r="O2187" s="46"/>
      <c r="P2187" s="46"/>
      <c r="Q2187" s="46"/>
      <c r="R2187" s="46"/>
      <c r="S2187" s="46"/>
      <c r="T2187" s="46"/>
      <c r="U2187" s="46"/>
      <c r="V2187" s="46"/>
      <c r="W2187" s="46"/>
      <c r="X2187" s="46"/>
    </row>
    <row r="2188" spans="1:24" x14ac:dyDescent="0.2">
      <c r="A2188" s="45"/>
      <c r="B2188" s="46"/>
      <c r="C2188" s="46"/>
      <c r="D2188" s="46"/>
      <c r="E2188" s="46"/>
      <c r="F2188" s="46"/>
      <c r="G2188" s="46"/>
      <c r="H2188" s="46"/>
      <c r="I2188" s="46"/>
      <c r="J2188" s="46"/>
      <c r="K2188" s="46"/>
      <c r="L2188" s="46"/>
      <c r="M2188" s="46"/>
      <c r="N2188" s="46"/>
      <c r="O2188" s="46"/>
      <c r="P2188" s="46"/>
      <c r="Q2188" s="46"/>
      <c r="R2188" s="46"/>
      <c r="S2188" s="46"/>
      <c r="T2188" s="46"/>
      <c r="U2188" s="46"/>
      <c r="V2188" s="46"/>
      <c r="W2188" s="46"/>
      <c r="X2188" s="46"/>
    </row>
    <row r="2189" spans="1:24" x14ac:dyDescent="0.2">
      <c r="A2189" s="45"/>
      <c r="B2189" s="46"/>
      <c r="C2189" s="46"/>
      <c r="D2189" s="46"/>
      <c r="E2189" s="46"/>
      <c r="F2189" s="46"/>
      <c r="G2189" s="46"/>
      <c r="H2189" s="46"/>
      <c r="I2189" s="46"/>
      <c r="J2189" s="46"/>
      <c r="K2189" s="46"/>
      <c r="L2189" s="46"/>
      <c r="M2189" s="46"/>
      <c r="N2189" s="46"/>
      <c r="O2189" s="46"/>
      <c r="P2189" s="46"/>
      <c r="Q2189" s="46"/>
      <c r="R2189" s="46"/>
      <c r="S2189" s="46"/>
      <c r="T2189" s="46"/>
      <c r="U2189" s="46"/>
      <c r="V2189" s="46"/>
      <c r="W2189" s="46"/>
      <c r="X2189" s="46"/>
    </row>
    <row r="2190" spans="1:24" x14ac:dyDescent="0.2">
      <c r="A2190" s="45"/>
      <c r="B2190" s="46"/>
      <c r="C2190" s="46"/>
      <c r="D2190" s="46"/>
      <c r="E2190" s="46"/>
      <c r="F2190" s="46"/>
      <c r="G2190" s="46"/>
      <c r="H2190" s="46"/>
      <c r="I2190" s="46"/>
      <c r="J2190" s="46"/>
      <c r="K2190" s="46"/>
      <c r="L2190" s="46"/>
      <c r="M2190" s="46"/>
      <c r="N2190" s="46"/>
      <c r="O2190" s="46"/>
      <c r="P2190" s="46"/>
      <c r="Q2190" s="46"/>
      <c r="R2190" s="46"/>
      <c r="S2190" s="46"/>
      <c r="T2190" s="46"/>
      <c r="U2190" s="46"/>
      <c r="V2190" s="46"/>
      <c r="W2190" s="46"/>
      <c r="X2190" s="46"/>
    </row>
    <row r="2191" spans="1:24" x14ac:dyDescent="0.2">
      <c r="A2191" s="45"/>
      <c r="B2191" s="46"/>
      <c r="C2191" s="46"/>
      <c r="D2191" s="46"/>
      <c r="E2191" s="46"/>
      <c r="F2191" s="46"/>
      <c r="G2191" s="46"/>
      <c r="H2191" s="46"/>
      <c r="I2191" s="46"/>
      <c r="J2191" s="46"/>
      <c r="K2191" s="46"/>
      <c r="L2191" s="46"/>
      <c r="M2191" s="46"/>
      <c r="N2191" s="46"/>
      <c r="O2191" s="46"/>
      <c r="P2191" s="46"/>
      <c r="Q2191" s="46"/>
      <c r="R2191" s="46"/>
      <c r="S2191" s="46"/>
      <c r="T2191" s="46"/>
      <c r="U2191" s="46"/>
      <c r="V2191" s="46"/>
      <c r="W2191" s="46"/>
      <c r="X2191" s="46"/>
    </row>
    <row r="2192" spans="1:24" x14ac:dyDescent="0.2">
      <c r="A2192" s="45"/>
      <c r="B2192" s="46"/>
      <c r="C2192" s="46"/>
      <c r="D2192" s="46"/>
      <c r="E2192" s="46"/>
      <c r="F2192" s="46"/>
      <c r="G2192" s="46"/>
      <c r="H2192" s="46"/>
      <c r="I2192" s="46"/>
      <c r="J2192" s="46"/>
      <c r="K2192" s="46"/>
      <c r="L2192" s="46"/>
      <c r="M2192" s="46"/>
      <c r="N2192" s="46"/>
      <c r="O2192" s="46"/>
      <c r="P2192" s="46"/>
      <c r="Q2192" s="46"/>
      <c r="R2192" s="46"/>
      <c r="S2192" s="46"/>
      <c r="T2192" s="46"/>
      <c r="U2192" s="46"/>
      <c r="V2192" s="46"/>
      <c r="W2192" s="46"/>
      <c r="X2192" s="46"/>
    </row>
    <row r="2193" spans="1:24" x14ac:dyDescent="0.2">
      <c r="A2193" s="45"/>
      <c r="B2193" s="46"/>
      <c r="C2193" s="46"/>
      <c r="D2193" s="46"/>
      <c r="E2193" s="46"/>
      <c r="F2193" s="46"/>
      <c r="G2193" s="46"/>
      <c r="H2193" s="46"/>
      <c r="I2193" s="46"/>
      <c r="J2193" s="46"/>
      <c r="K2193" s="46"/>
      <c r="L2193" s="46"/>
      <c r="M2193" s="46"/>
      <c r="N2193" s="46"/>
      <c r="O2193" s="46"/>
      <c r="P2193" s="46"/>
      <c r="Q2193" s="46"/>
      <c r="R2193" s="46"/>
      <c r="S2193" s="46"/>
      <c r="T2193" s="46"/>
      <c r="U2193" s="46"/>
      <c r="V2193" s="46"/>
      <c r="W2193" s="46"/>
      <c r="X2193" s="46"/>
    </row>
    <row r="2194" spans="1:24" x14ac:dyDescent="0.2">
      <c r="A2194" s="45"/>
      <c r="B2194" s="46"/>
      <c r="C2194" s="46"/>
      <c r="D2194" s="46"/>
      <c r="E2194" s="46"/>
      <c r="F2194" s="46"/>
      <c r="G2194" s="46"/>
      <c r="H2194" s="46"/>
      <c r="I2194" s="46"/>
      <c r="J2194" s="46"/>
      <c r="K2194" s="46"/>
      <c r="L2194" s="46"/>
      <c r="M2194" s="46"/>
      <c r="N2194" s="46"/>
      <c r="O2194" s="46"/>
      <c r="P2194" s="46"/>
      <c r="Q2194" s="46"/>
      <c r="R2194" s="46"/>
      <c r="S2194" s="46"/>
      <c r="T2194" s="46"/>
      <c r="U2194" s="46"/>
      <c r="V2194" s="46"/>
      <c r="W2194" s="46"/>
      <c r="X2194" s="46"/>
    </row>
    <row r="2195" spans="1:24" x14ac:dyDescent="0.2">
      <c r="A2195" s="45"/>
      <c r="B2195" s="46"/>
      <c r="C2195" s="46"/>
      <c r="D2195" s="46"/>
      <c r="E2195" s="46"/>
      <c r="F2195" s="46"/>
      <c r="G2195" s="46"/>
      <c r="H2195" s="46"/>
      <c r="I2195" s="46"/>
      <c r="J2195" s="46"/>
      <c r="K2195" s="46"/>
      <c r="L2195" s="46"/>
      <c r="M2195" s="46"/>
      <c r="N2195" s="46"/>
      <c r="O2195" s="46"/>
      <c r="P2195" s="46"/>
      <c r="Q2195" s="46"/>
      <c r="R2195" s="46"/>
      <c r="S2195" s="46"/>
      <c r="T2195" s="46"/>
      <c r="U2195" s="46"/>
      <c r="V2195" s="46"/>
      <c r="W2195" s="46"/>
      <c r="X2195" s="46"/>
    </row>
    <row r="2196" spans="1:24" x14ac:dyDescent="0.2">
      <c r="A2196" s="45"/>
      <c r="B2196" s="46"/>
      <c r="C2196" s="46"/>
      <c r="D2196" s="46"/>
      <c r="E2196" s="46"/>
      <c r="F2196" s="46"/>
      <c r="G2196" s="46"/>
      <c r="H2196" s="46"/>
      <c r="I2196" s="46"/>
      <c r="J2196" s="46"/>
      <c r="K2196" s="46"/>
      <c r="L2196" s="46"/>
      <c r="M2196" s="46"/>
      <c r="N2196" s="46"/>
      <c r="O2196" s="46"/>
      <c r="P2196" s="46"/>
      <c r="Q2196" s="46"/>
      <c r="R2196" s="46"/>
      <c r="S2196" s="46"/>
      <c r="T2196" s="46"/>
      <c r="U2196" s="46"/>
      <c r="V2196" s="46"/>
      <c r="W2196" s="46"/>
      <c r="X2196" s="46"/>
    </row>
    <row r="2197" spans="1:24" x14ac:dyDescent="0.2">
      <c r="A2197" s="45"/>
      <c r="B2197" s="46"/>
      <c r="C2197" s="46"/>
      <c r="D2197" s="46"/>
      <c r="E2197" s="46"/>
      <c r="F2197" s="46"/>
      <c r="G2197" s="46"/>
      <c r="H2197" s="46"/>
      <c r="I2197" s="46"/>
      <c r="J2197" s="46"/>
      <c r="K2197" s="46"/>
      <c r="L2197" s="46"/>
      <c r="M2197" s="46"/>
      <c r="N2197" s="46"/>
      <c r="O2197" s="46"/>
      <c r="P2197" s="46"/>
      <c r="Q2197" s="46"/>
      <c r="R2197" s="46"/>
      <c r="S2197" s="46"/>
      <c r="T2197" s="46"/>
      <c r="U2197" s="46"/>
      <c r="V2197" s="46"/>
      <c r="W2197" s="46"/>
      <c r="X2197" s="46"/>
    </row>
    <row r="2198" spans="1:24" x14ac:dyDescent="0.2">
      <c r="A2198" s="45"/>
      <c r="B2198" s="46"/>
      <c r="C2198" s="46"/>
      <c r="D2198" s="46"/>
      <c r="E2198" s="46"/>
      <c r="F2198" s="46"/>
      <c r="G2198" s="46"/>
      <c r="H2198" s="46"/>
      <c r="I2198" s="46"/>
      <c r="J2198" s="46"/>
      <c r="K2198" s="46"/>
      <c r="L2198" s="46"/>
      <c r="M2198" s="46"/>
      <c r="N2198" s="46"/>
      <c r="O2198" s="46"/>
      <c r="P2198" s="46"/>
      <c r="Q2198" s="46"/>
      <c r="R2198" s="46"/>
      <c r="S2198" s="46"/>
      <c r="T2198" s="46"/>
      <c r="U2198" s="46"/>
      <c r="V2198" s="46"/>
      <c r="W2198" s="46"/>
      <c r="X2198" s="46"/>
    </row>
    <row r="2199" spans="1:24" x14ac:dyDescent="0.2">
      <c r="A2199" s="45"/>
      <c r="B2199" s="46"/>
      <c r="C2199" s="46"/>
      <c r="D2199" s="46"/>
      <c r="E2199" s="46"/>
      <c r="F2199" s="46"/>
      <c r="G2199" s="46"/>
      <c r="H2199" s="46"/>
      <c r="I2199" s="46"/>
      <c r="J2199" s="46"/>
      <c r="K2199" s="46"/>
      <c r="L2199" s="46"/>
      <c r="M2199" s="46"/>
      <c r="N2199" s="46"/>
      <c r="O2199" s="46"/>
      <c r="P2199" s="46"/>
      <c r="Q2199" s="46"/>
      <c r="R2199" s="46"/>
      <c r="S2199" s="46"/>
      <c r="T2199" s="46"/>
      <c r="U2199" s="46"/>
      <c r="V2199" s="46"/>
      <c r="W2199" s="46"/>
      <c r="X2199" s="46"/>
    </row>
    <row r="2200" spans="1:24" x14ac:dyDescent="0.2">
      <c r="A2200" s="45"/>
      <c r="B2200" s="46"/>
      <c r="C2200" s="46"/>
      <c r="D2200" s="46"/>
      <c r="E2200" s="46"/>
      <c r="F2200" s="46"/>
      <c r="G2200" s="46"/>
      <c r="H2200" s="46"/>
      <c r="I2200" s="46"/>
      <c r="J2200" s="46"/>
      <c r="K2200" s="46"/>
      <c r="L2200" s="46"/>
      <c r="M2200" s="46"/>
      <c r="N2200" s="46"/>
      <c r="O2200" s="46"/>
      <c r="P2200" s="46"/>
      <c r="Q2200" s="46"/>
      <c r="R2200" s="46"/>
      <c r="S2200" s="46"/>
      <c r="T2200" s="46"/>
      <c r="U2200" s="46"/>
      <c r="V2200" s="46"/>
      <c r="W2200" s="46"/>
      <c r="X2200" s="46"/>
    </row>
    <row r="2201" spans="1:24" x14ac:dyDescent="0.2">
      <c r="A2201" s="45"/>
      <c r="B2201" s="46"/>
      <c r="C2201" s="46"/>
      <c r="D2201" s="46"/>
      <c r="E2201" s="46"/>
      <c r="F2201" s="46"/>
      <c r="G2201" s="46"/>
      <c r="H2201" s="46"/>
      <c r="I2201" s="46"/>
      <c r="J2201" s="46"/>
      <c r="K2201" s="46"/>
      <c r="L2201" s="46"/>
      <c r="M2201" s="46"/>
      <c r="N2201" s="46"/>
      <c r="O2201" s="46"/>
      <c r="P2201" s="46"/>
      <c r="Q2201" s="46"/>
      <c r="R2201" s="46"/>
      <c r="S2201" s="46"/>
      <c r="T2201" s="46"/>
      <c r="U2201" s="46"/>
      <c r="V2201" s="46"/>
      <c r="W2201" s="46"/>
      <c r="X2201" s="46"/>
    </row>
    <row r="2202" spans="1:24" x14ac:dyDescent="0.2">
      <c r="A2202" s="45"/>
      <c r="B2202" s="46"/>
      <c r="C2202" s="46"/>
      <c r="D2202" s="46"/>
      <c r="E2202" s="46"/>
      <c r="F2202" s="46"/>
      <c r="G2202" s="46"/>
      <c r="H2202" s="46"/>
      <c r="I2202" s="46"/>
      <c r="J2202" s="46"/>
      <c r="K2202" s="46"/>
      <c r="L2202" s="46"/>
      <c r="M2202" s="46"/>
      <c r="N2202" s="46"/>
      <c r="O2202" s="46"/>
      <c r="P2202" s="46"/>
      <c r="Q2202" s="46"/>
      <c r="R2202" s="46"/>
      <c r="S2202" s="46"/>
      <c r="T2202" s="46"/>
      <c r="U2202" s="46"/>
      <c r="V2202" s="46"/>
      <c r="W2202" s="46"/>
      <c r="X2202" s="46"/>
    </row>
    <row r="2203" spans="1:24" x14ac:dyDescent="0.2">
      <c r="A2203" s="45"/>
      <c r="B2203" s="46"/>
      <c r="C2203" s="46"/>
      <c r="D2203" s="46"/>
      <c r="E2203" s="46"/>
      <c r="F2203" s="46"/>
      <c r="G2203" s="46"/>
      <c r="H2203" s="46"/>
      <c r="I2203" s="46"/>
      <c r="J2203" s="46"/>
      <c r="K2203" s="46"/>
      <c r="L2203" s="46"/>
      <c r="M2203" s="46"/>
      <c r="N2203" s="46"/>
      <c r="O2203" s="46"/>
      <c r="P2203" s="46"/>
      <c r="Q2203" s="46"/>
      <c r="R2203" s="46"/>
      <c r="S2203" s="46"/>
      <c r="T2203" s="46"/>
      <c r="U2203" s="46"/>
      <c r="V2203" s="46"/>
      <c r="W2203" s="46"/>
      <c r="X2203" s="46"/>
    </row>
    <row r="2204" spans="1:24" x14ac:dyDescent="0.2">
      <c r="A2204" s="45"/>
      <c r="B2204" s="46"/>
      <c r="C2204" s="46"/>
      <c r="D2204" s="46"/>
      <c r="E2204" s="46"/>
      <c r="F2204" s="46"/>
      <c r="G2204" s="46"/>
      <c r="H2204" s="46"/>
      <c r="I2204" s="46"/>
      <c r="J2204" s="46"/>
      <c r="K2204" s="46"/>
      <c r="L2204" s="46"/>
      <c r="M2204" s="46"/>
      <c r="N2204" s="46"/>
      <c r="O2204" s="46"/>
      <c r="P2204" s="46"/>
      <c r="Q2204" s="46"/>
      <c r="R2204" s="46"/>
      <c r="S2204" s="46"/>
      <c r="T2204" s="46"/>
      <c r="U2204" s="46"/>
      <c r="V2204" s="46"/>
      <c r="W2204" s="46"/>
      <c r="X2204" s="46"/>
    </row>
    <row r="2205" spans="1:24" x14ac:dyDescent="0.2">
      <c r="A2205" s="45"/>
      <c r="B2205" s="46"/>
      <c r="C2205" s="46"/>
      <c r="D2205" s="46"/>
      <c r="E2205" s="46"/>
      <c r="F2205" s="46"/>
      <c r="G2205" s="46"/>
      <c r="H2205" s="46"/>
      <c r="I2205" s="46"/>
      <c r="J2205" s="46"/>
      <c r="K2205" s="46"/>
      <c r="L2205" s="46"/>
      <c r="M2205" s="46"/>
      <c r="N2205" s="46"/>
      <c r="O2205" s="46"/>
      <c r="P2205" s="46"/>
      <c r="Q2205" s="46"/>
      <c r="R2205" s="46"/>
      <c r="S2205" s="46"/>
      <c r="T2205" s="46"/>
      <c r="U2205" s="46"/>
      <c r="V2205" s="46"/>
      <c r="W2205" s="46"/>
      <c r="X2205" s="46"/>
    </row>
    <row r="2206" spans="1:24" x14ac:dyDescent="0.2">
      <c r="A2206" s="45"/>
      <c r="B2206" s="46"/>
      <c r="C2206" s="46"/>
      <c r="D2206" s="46"/>
      <c r="E2206" s="46"/>
      <c r="F2206" s="46"/>
      <c r="G2206" s="46"/>
      <c r="H2206" s="46"/>
      <c r="I2206" s="46"/>
      <c r="J2206" s="46"/>
      <c r="K2206" s="46"/>
      <c r="L2206" s="46"/>
      <c r="M2206" s="46"/>
      <c r="N2206" s="46"/>
      <c r="O2206" s="46"/>
      <c r="P2206" s="46"/>
      <c r="Q2206" s="46"/>
      <c r="R2206" s="46"/>
      <c r="S2206" s="46"/>
      <c r="T2206" s="46"/>
      <c r="U2206" s="46"/>
      <c r="V2206" s="46"/>
      <c r="W2206" s="46"/>
      <c r="X2206" s="46"/>
    </row>
    <row r="2207" spans="1:24" x14ac:dyDescent="0.2">
      <c r="A2207" s="45"/>
      <c r="B2207" s="46"/>
      <c r="C2207" s="46"/>
      <c r="D2207" s="46"/>
      <c r="E2207" s="46"/>
      <c r="F2207" s="46"/>
      <c r="G2207" s="46"/>
      <c r="H2207" s="46"/>
      <c r="I2207" s="46"/>
      <c r="J2207" s="46"/>
      <c r="K2207" s="46"/>
      <c r="L2207" s="46"/>
      <c r="M2207" s="46"/>
      <c r="N2207" s="46"/>
      <c r="O2207" s="46"/>
      <c r="P2207" s="46"/>
      <c r="Q2207" s="46"/>
      <c r="R2207" s="46"/>
      <c r="S2207" s="46"/>
      <c r="T2207" s="46"/>
      <c r="U2207" s="46"/>
      <c r="V2207" s="46"/>
      <c r="W2207" s="46"/>
      <c r="X2207" s="46"/>
    </row>
    <row r="2208" spans="1:24" x14ac:dyDescent="0.2">
      <c r="A2208" s="45"/>
      <c r="B2208" s="46"/>
      <c r="C2208" s="46"/>
      <c r="D2208" s="46"/>
      <c r="E2208" s="46"/>
      <c r="F2208" s="46"/>
      <c r="G2208" s="46"/>
      <c r="H2208" s="46"/>
      <c r="I2208" s="46"/>
      <c r="J2208" s="46"/>
      <c r="K2208" s="46"/>
      <c r="L2208" s="46"/>
      <c r="M2208" s="46"/>
      <c r="N2208" s="46"/>
      <c r="O2208" s="46"/>
      <c r="P2208" s="46"/>
      <c r="Q2208" s="46"/>
      <c r="R2208" s="46"/>
      <c r="S2208" s="46"/>
      <c r="T2208" s="46"/>
      <c r="U2208" s="46"/>
      <c r="V2208" s="46"/>
      <c r="W2208" s="46"/>
      <c r="X2208" s="46"/>
    </row>
    <row r="2209" spans="1:24" x14ac:dyDescent="0.2">
      <c r="A2209" s="45"/>
      <c r="B2209" s="46"/>
      <c r="C2209" s="46"/>
      <c r="D2209" s="46"/>
      <c r="E2209" s="46"/>
      <c r="F2209" s="46"/>
      <c r="G2209" s="46"/>
      <c r="H2209" s="46"/>
      <c r="I2209" s="46"/>
      <c r="J2209" s="46"/>
      <c r="K2209" s="46"/>
      <c r="L2209" s="46"/>
      <c r="M2209" s="46"/>
      <c r="N2209" s="46"/>
      <c r="O2209" s="46"/>
      <c r="P2209" s="46"/>
      <c r="Q2209" s="46"/>
      <c r="R2209" s="46"/>
      <c r="S2209" s="46"/>
      <c r="T2209" s="46"/>
      <c r="U2209" s="46"/>
      <c r="V2209" s="46"/>
      <c r="W2209" s="46"/>
      <c r="X2209" s="46"/>
    </row>
    <row r="2210" spans="1:24" x14ac:dyDescent="0.2">
      <c r="A2210" s="45"/>
      <c r="B2210" s="46"/>
      <c r="C2210" s="46"/>
      <c r="D2210" s="46"/>
      <c r="E2210" s="46"/>
      <c r="F2210" s="46"/>
      <c r="G2210" s="46"/>
      <c r="H2210" s="46"/>
      <c r="I2210" s="46"/>
      <c r="J2210" s="46"/>
      <c r="K2210" s="46"/>
      <c r="L2210" s="46"/>
      <c r="M2210" s="46"/>
      <c r="N2210" s="46"/>
      <c r="O2210" s="46"/>
      <c r="P2210" s="46"/>
      <c r="Q2210" s="46"/>
      <c r="R2210" s="46"/>
      <c r="S2210" s="46"/>
      <c r="T2210" s="46"/>
      <c r="U2210" s="46"/>
      <c r="V2210" s="46"/>
      <c r="W2210" s="46"/>
      <c r="X2210" s="46"/>
    </row>
    <row r="2211" spans="1:24" x14ac:dyDescent="0.2">
      <c r="A2211" s="45"/>
      <c r="B2211" s="46"/>
      <c r="C2211" s="46"/>
      <c r="D2211" s="46"/>
      <c r="E2211" s="46"/>
      <c r="F2211" s="46"/>
      <c r="G2211" s="46"/>
      <c r="H2211" s="46"/>
      <c r="I2211" s="46"/>
      <c r="J2211" s="46"/>
      <c r="K2211" s="46"/>
      <c r="L2211" s="46"/>
      <c r="M2211" s="46"/>
      <c r="N2211" s="46"/>
      <c r="O2211" s="46"/>
      <c r="P2211" s="46"/>
      <c r="Q2211" s="46"/>
      <c r="R2211" s="46"/>
      <c r="S2211" s="46"/>
      <c r="T2211" s="46"/>
      <c r="U2211" s="46"/>
      <c r="V2211" s="46"/>
      <c r="W2211" s="46"/>
      <c r="X2211" s="46"/>
    </row>
    <row r="2212" spans="1:24" x14ac:dyDescent="0.2">
      <c r="A2212" s="45"/>
      <c r="B2212" s="46"/>
      <c r="C2212" s="46"/>
      <c r="D2212" s="46"/>
      <c r="E2212" s="46"/>
      <c r="F2212" s="46"/>
      <c r="G2212" s="46"/>
      <c r="H2212" s="46"/>
      <c r="I2212" s="46"/>
      <c r="J2212" s="46"/>
      <c r="K2212" s="46"/>
      <c r="L2212" s="46"/>
      <c r="M2212" s="46"/>
      <c r="N2212" s="46"/>
      <c r="O2212" s="46"/>
      <c r="P2212" s="46"/>
      <c r="Q2212" s="46"/>
      <c r="R2212" s="46"/>
      <c r="S2212" s="46"/>
      <c r="T2212" s="46"/>
      <c r="U2212" s="46"/>
      <c r="V2212" s="46"/>
      <c r="W2212" s="46"/>
      <c r="X2212" s="46"/>
    </row>
    <row r="2213" spans="1:24" x14ac:dyDescent="0.2">
      <c r="A2213" s="45"/>
      <c r="B2213" s="46"/>
      <c r="C2213" s="46"/>
      <c r="D2213" s="46"/>
      <c r="E2213" s="46"/>
      <c r="F2213" s="46"/>
      <c r="G2213" s="46"/>
      <c r="H2213" s="46"/>
      <c r="I2213" s="46"/>
      <c r="J2213" s="46"/>
      <c r="K2213" s="46"/>
      <c r="L2213" s="46"/>
      <c r="M2213" s="46"/>
      <c r="N2213" s="46"/>
      <c r="O2213" s="46"/>
      <c r="P2213" s="46"/>
      <c r="Q2213" s="46"/>
      <c r="R2213" s="46"/>
      <c r="S2213" s="46"/>
      <c r="T2213" s="46"/>
      <c r="U2213" s="46"/>
      <c r="V2213" s="46"/>
      <c r="W2213" s="46"/>
      <c r="X2213" s="46"/>
    </row>
    <row r="2214" spans="1:24" x14ac:dyDescent="0.2">
      <c r="A2214" s="45"/>
      <c r="B2214" s="46"/>
      <c r="C2214" s="46"/>
      <c r="D2214" s="46"/>
      <c r="E2214" s="46"/>
      <c r="F2214" s="46"/>
      <c r="G2214" s="46"/>
      <c r="H2214" s="46"/>
      <c r="I2214" s="46"/>
      <c r="J2214" s="46"/>
      <c r="K2214" s="46"/>
      <c r="L2214" s="46"/>
      <c r="M2214" s="46"/>
      <c r="N2214" s="46"/>
      <c r="O2214" s="46"/>
      <c r="P2214" s="46"/>
      <c r="Q2214" s="46"/>
      <c r="R2214" s="46"/>
      <c r="S2214" s="46"/>
      <c r="T2214" s="46"/>
      <c r="U2214" s="46"/>
      <c r="V2214" s="46"/>
      <c r="W2214" s="46"/>
      <c r="X2214" s="46"/>
    </row>
    <row r="2215" spans="1:24" x14ac:dyDescent="0.2">
      <c r="A2215" s="45"/>
      <c r="B2215" s="46"/>
      <c r="C2215" s="46"/>
      <c r="D2215" s="46"/>
      <c r="E2215" s="46"/>
      <c r="F2215" s="46"/>
      <c r="G2215" s="46"/>
      <c r="H2215" s="46"/>
      <c r="I2215" s="46"/>
      <c r="J2215" s="46"/>
      <c r="K2215" s="46"/>
      <c r="L2215" s="46"/>
      <c r="M2215" s="46"/>
      <c r="N2215" s="46"/>
      <c r="O2215" s="46"/>
      <c r="P2215" s="46"/>
      <c r="Q2215" s="46"/>
      <c r="R2215" s="46"/>
      <c r="S2215" s="46"/>
      <c r="T2215" s="46"/>
      <c r="U2215" s="46"/>
      <c r="V2215" s="46"/>
      <c r="W2215" s="46"/>
      <c r="X2215" s="46"/>
    </row>
    <row r="2216" spans="1:24" x14ac:dyDescent="0.2">
      <c r="A2216" s="45"/>
      <c r="B2216" s="46"/>
      <c r="C2216" s="46"/>
      <c r="D2216" s="46"/>
      <c r="E2216" s="46"/>
      <c r="F2216" s="46"/>
      <c r="G2216" s="46"/>
      <c r="H2216" s="46"/>
      <c r="I2216" s="46"/>
      <c r="J2216" s="46"/>
      <c r="K2216" s="46"/>
      <c r="L2216" s="46"/>
      <c r="M2216" s="46"/>
      <c r="N2216" s="46"/>
      <c r="O2216" s="46"/>
      <c r="P2216" s="46"/>
      <c r="Q2216" s="46"/>
      <c r="R2216" s="46"/>
      <c r="S2216" s="46"/>
      <c r="T2216" s="46"/>
      <c r="U2216" s="46"/>
      <c r="V2216" s="46"/>
      <c r="W2216" s="46"/>
      <c r="X2216" s="46"/>
    </row>
    <row r="2217" spans="1:24" x14ac:dyDescent="0.2">
      <c r="A2217" s="45"/>
      <c r="B2217" s="46"/>
      <c r="C2217" s="46"/>
      <c r="D2217" s="46"/>
      <c r="E2217" s="46"/>
      <c r="F2217" s="46"/>
      <c r="G2217" s="46"/>
      <c r="H2217" s="46"/>
      <c r="I2217" s="46"/>
      <c r="J2217" s="46"/>
      <c r="K2217" s="46"/>
      <c r="L2217" s="46"/>
      <c r="M2217" s="46"/>
      <c r="N2217" s="46"/>
      <c r="O2217" s="46"/>
      <c r="P2217" s="46"/>
      <c r="Q2217" s="46"/>
      <c r="R2217" s="46"/>
      <c r="S2217" s="46"/>
      <c r="T2217" s="46"/>
      <c r="U2217" s="46"/>
      <c r="V2217" s="46"/>
      <c r="W2217" s="46"/>
      <c r="X2217" s="46"/>
    </row>
    <row r="2218" spans="1:24" x14ac:dyDescent="0.2">
      <c r="A2218" s="45"/>
      <c r="B2218" s="46"/>
      <c r="C2218" s="46"/>
      <c r="D2218" s="46"/>
      <c r="E2218" s="46"/>
      <c r="F2218" s="46"/>
      <c r="G2218" s="46"/>
      <c r="H2218" s="46"/>
      <c r="I2218" s="46"/>
      <c r="J2218" s="46"/>
      <c r="K2218" s="46"/>
      <c r="L2218" s="46"/>
      <c r="M2218" s="46"/>
      <c r="N2218" s="46"/>
      <c r="O2218" s="46"/>
      <c r="P2218" s="46"/>
      <c r="Q2218" s="46"/>
      <c r="R2218" s="46"/>
      <c r="S2218" s="46"/>
      <c r="T2218" s="46"/>
      <c r="U2218" s="46"/>
      <c r="V2218" s="46"/>
      <c r="W2218" s="46"/>
      <c r="X2218" s="46"/>
    </row>
    <row r="2219" spans="1:24" x14ac:dyDescent="0.2">
      <c r="A2219" s="45"/>
      <c r="B2219" s="46"/>
      <c r="C2219" s="46"/>
      <c r="D2219" s="46"/>
      <c r="E2219" s="46"/>
      <c r="F2219" s="46"/>
      <c r="G2219" s="46"/>
      <c r="H2219" s="46"/>
      <c r="I2219" s="46"/>
      <c r="J2219" s="46"/>
      <c r="K2219" s="46"/>
      <c r="L2219" s="46"/>
      <c r="M2219" s="46"/>
      <c r="N2219" s="46"/>
      <c r="O2219" s="46"/>
      <c r="P2219" s="46"/>
      <c r="Q2219" s="46"/>
      <c r="R2219" s="46"/>
      <c r="S2219" s="46"/>
      <c r="T2219" s="46"/>
      <c r="U2219" s="46"/>
      <c r="V2219" s="46"/>
      <c r="W2219" s="46"/>
      <c r="X2219" s="46"/>
    </row>
    <row r="2220" spans="1:24" x14ac:dyDescent="0.2">
      <c r="A2220" s="45"/>
      <c r="B2220" s="46"/>
      <c r="C2220" s="46"/>
      <c r="D2220" s="46"/>
      <c r="E2220" s="46"/>
      <c r="F2220" s="46"/>
      <c r="G2220" s="46"/>
      <c r="H2220" s="46"/>
      <c r="I2220" s="46"/>
      <c r="J2220" s="46"/>
      <c r="K2220" s="46"/>
      <c r="L2220" s="46"/>
      <c r="M2220" s="46"/>
      <c r="N2220" s="46"/>
      <c r="O2220" s="46"/>
      <c r="P2220" s="46"/>
      <c r="Q2220" s="46"/>
      <c r="R2220" s="46"/>
      <c r="S2220" s="46"/>
      <c r="T2220" s="46"/>
      <c r="U2220" s="46"/>
      <c r="V2220" s="46"/>
      <c r="W2220" s="46"/>
      <c r="X2220" s="46"/>
    </row>
    <row r="2221" spans="1:24" x14ac:dyDescent="0.2">
      <c r="A2221" s="45"/>
      <c r="B2221" s="46"/>
      <c r="C2221" s="46"/>
      <c r="D2221" s="46"/>
      <c r="E2221" s="46"/>
      <c r="F2221" s="46"/>
      <c r="G2221" s="46"/>
      <c r="H2221" s="46"/>
      <c r="I2221" s="46"/>
      <c r="J2221" s="46"/>
      <c r="K2221" s="46"/>
      <c r="L2221" s="46"/>
      <c r="M2221" s="46"/>
      <c r="N2221" s="46"/>
      <c r="O2221" s="46"/>
      <c r="P2221" s="46"/>
      <c r="Q2221" s="46"/>
      <c r="R2221" s="46"/>
      <c r="S2221" s="46"/>
      <c r="T2221" s="46"/>
      <c r="U2221" s="46"/>
      <c r="V2221" s="46"/>
      <c r="W2221" s="46"/>
      <c r="X2221" s="46"/>
    </row>
    <row r="2222" spans="1:24" x14ac:dyDescent="0.2">
      <c r="A2222" s="45"/>
      <c r="B2222" s="46"/>
      <c r="C2222" s="46"/>
      <c r="D2222" s="46"/>
      <c r="E2222" s="46"/>
      <c r="F2222" s="46"/>
      <c r="G2222" s="46"/>
      <c r="H2222" s="46"/>
      <c r="I2222" s="46"/>
      <c r="J2222" s="46"/>
      <c r="K2222" s="46"/>
      <c r="L2222" s="46"/>
      <c r="M2222" s="46"/>
      <c r="N2222" s="46"/>
      <c r="O2222" s="46"/>
      <c r="P2222" s="46"/>
      <c r="Q2222" s="46"/>
      <c r="R2222" s="46"/>
      <c r="S2222" s="46"/>
      <c r="T2222" s="46"/>
      <c r="U2222" s="46"/>
      <c r="V2222" s="46"/>
      <c r="W2222" s="46"/>
      <c r="X2222" s="46"/>
    </row>
    <row r="2223" spans="1:24" x14ac:dyDescent="0.2">
      <c r="A2223" s="45"/>
      <c r="B2223" s="46"/>
      <c r="C2223" s="46"/>
      <c r="D2223" s="46"/>
      <c r="E2223" s="46"/>
      <c r="F2223" s="46"/>
      <c r="G2223" s="46"/>
      <c r="H2223" s="46"/>
      <c r="I2223" s="46"/>
      <c r="J2223" s="46"/>
      <c r="K2223" s="46"/>
      <c r="L2223" s="46"/>
      <c r="M2223" s="46"/>
      <c r="N2223" s="46"/>
      <c r="O2223" s="46"/>
      <c r="P2223" s="46"/>
      <c r="Q2223" s="46"/>
      <c r="R2223" s="46"/>
      <c r="S2223" s="46"/>
      <c r="T2223" s="46"/>
      <c r="U2223" s="46"/>
      <c r="V2223" s="46"/>
      <c r="W2223" s="46"/>
      <c r="X2223" s="46"/>
    </row>
    <row r="2224" spans="1:24" x14ac:dyDescent="0.2">
      <c r="A2224" s="45"/>
      <c r="B2224" s="46"/>
      <c r="C2224" s="46"/>
      <c r="D2224" s="46"/>
      <c r="E2224" s="46"/>
      <c r="F2224" s="46"/>
      <c r="G2224" s="46"/>
      <c r="H2224" s="46"/>
      <c r="I2224" s="46"/>
      <c r="J2224" s="46"/>
      <c r="K2224" s="46"/>
      <c r="L2224" s="46"/>
      <c r="M2224" s="46"/>
      <c r="N2224" s="46"/>
      <c r="O2224" s="46"/>
      <c r="P2224" s="46"/>
      <c r="Q2224" s="46"/>
      <c r="R2224" s="46"/>
      <c r="S2224" s="46"/>
      <c r="T2224" s="46"/>
      <c r="U2224" s="46"/>
      <c r="V2224" s="46"/>
      <c r="W2224" s="46"/>
      <c r="X2224" s="46"/>
    </row>
    <row r="2225" spans="1:24" x14ac:dyDescent="0.2">
      <c r="A2225" s="45"/>
      <c r="B2225" s="46"/>
      <c r="C2225" s="46"/>
      <c r="D2225" s="46"/>
      <c r="E2225" s="46"/>
      <c r="F2225" s="46"/>
      <c r="G2225" s="46"/>
      <c r="H2225" s="46"/>
      <c r="I2225" s="46"/>
      <c r="J2225" s="46"/>
      <c r="K2225" s="46"/>
      <c r="L2225" s="46"/>
      <c r="M2225" s="46"/>
      <c r="N2225" s="46"/>
      <c r="O2225" s="46"/>
      <c r="P2225" s="46"/>
      <c r="Q2225" s="46"/>
      <c r="R2225" s="46"/>
      <c r="S2225" s="46"/>
      <c r="T2225" s="46"/>
      <c r="U2225" s="46"/>
      <c r="V2225" s="46"/>
      <c r="W2225" s="46"/>
      <c r="X2225" s="46"/>
    </row>
    <row r="2226" spans="1:24" x14ac:dyDescent="0.2">
      <c r="A2226" s="45"/>
      <c r="B2226" s="46"/>
      <c r="C2226" s="46"/>
      <c r="D2226" s="46"/>
      <c r="E2226" s="46"/>
      <c r="F2226" s="46"/>
      <c r="G2226" s="46"/>
      <c r="H2226" s="46"/>
      <c r="I2226" s="46"/>
      <c r="J2226" s="46"/>
      <c r="K2226" s="46"/>
      <c r="L2226" s="46"/>
      <c r="M2226" s="46"/>
      <c r="N2226" s="46"/>
      <c r="O2226" s="46"/>
      <c r="P2226" s="46"/>
      <c r="Q2226" s="46"/>
      <c r="R2226" s="46"/>
      <c r="S2226" s="46"/>
      <c r="T2226" s="46"/>
      <c r="U2226" s="46"/>
      <c r="V2226" s="46"/>
      <c r="W2226" s="46"/>
      <c r="X2226" s="46"/>
    </row>
    <row r="2227" spans="1:24" x14ac:dyDescent="0.2">
      <c r="A2227" s="45"/>
      <c r="B2227" s="46"/>
      <c r="C2227" s="46"/>
      <c r="D2227" s="46"/>
      <c r="E2227" s="46"/>
      <c r="F2227" s="46"/>
      <c r="G2227" s="46"/>
      <c r="H2227" s="46"/>
      <c r="I2227" s="46"/>
      <c r="J2227" s="46"/>
      <c r="K2227" s="46"/>
      <c r="L2227" s="46"/>
      <c r="M2227" s="46"/>
      <c r="N2227" s="46"/>
      <c r="O2227" s="46"/>
      <c r="P2227" s="46"/>
      <c r="Q2227" s="46"/>
      <c r="R2227" s="46"/>
      <c r="S2227" s="46"/>
      <c r="T2227" s="46"/>
      <c r="U2227" s="46"/>
      <c r="V2227" s="46"/>
      <c r="W2227" s="46"/>
      <c r="X2227" s="46"/>
    </row>
    <row r="2228" spans="1:24" x14ac:dyDescent="0.2">
      <c r="A2228" s="45"/>
      <c r="B2228" s="46"/>
      <c r="C2228" s="46"/>
      <c r="D2228" s="46"/>
      <c r="E2228" s="46"/>
      <c r="F2228" s="46"/>
      <c r="G2228" s="46"/>
      <c r="H2228" s="46"/>
      <c r="I2228" s="46"/>
      <c r="J2228" s="46"/>
      <c r="K2228" s="46"/>
      <c r="L2228" s="46"/>
      <c r="M2228" s="46"/>
      <c r="N2228" s="46"/>
      <c r="O2228" s="46"/>
      <c r="P2228" s="46"/>
      <c r="Q2228" s="46"/>
      <c r="R2228" s="46"/>
      <c r="S2228" s="46"/>
      <c r="T2228" s="46"/>
      <c r="U2228" s="46"/>
      <c r="V2228" s="46"/>
      <c r="W2228" s="46"/>
      <c r="X2228" s="46"/>
    </row>
    <row r="2229" spans="1:24" x14ac:dyDescent="0.2">
      <c r="A2229" s="45"/>
      <c r="B2229" s="46"/>
      <c r="C2229" s="46"/>
      <c r="D2229" s="46"/>
      <c r="E2229" s="46"/>
      <c r="F2229" s="46"/>
      <c r="G2229" s="46"/>
      <c r="H2229" s="46"/>
      <c r="I2229" s="46"/>
      <c r="J2229" s="46"/>
      <c r="K2229" s="46"/>
      <c r="L2229" s="46"/>
      <c r="M2229" s="46"/>
      <c r="N2229" s="46"/>
      <c r="O2229" s="46"/>
      <c r="P2229" s="46"/>
      <c r="Q2229" s="46"/>
      <c r="R2229" s="46"/>
      <c r="S2229" s="46"/>
      <c r="T2229" s="46"/>
      <c r="U2229" s="46"/>
      <c r="V2229" s="46"/>
      <c r="W2229" s="46"/>
      <c r="X2229" s="46"/>
    </row>
    <row r="2230" spans="1:24" x14ac:dyDescent="0.2">
      <c r="A2230" s="45"/>
      <c r="B2230" s="46"/>
      <c r="C2230" s="46"/>
      <c r="D2230" s="46"/>
      <c r="E2230" s="46"/>
      <c r="F2230" s="46"/>
      <c r="G2230" s="46"/>
      <c r="H2230" s="46"/>
      <c r="I2230" s="46"/>
      <c r="J2230" s="46"/>
      <c r="K2230" s="46"/>
      <c r="L2230" s="46"/>
      <c r="M2230" s="46"/>
      <c r="N2230" s="46"/>
      <c r="O2230" s="46"/>
      <c r="P2230" s="46"/>
      <c r="Q2230" s="46"/>
      <c r="R2230" s="46"/>
      <c r="S2230" s="46"/>
      <c r="T2230" s="46"/>
      <c r="U2230" s="46"/>
      <c r="V2230" s="46"/>
      <c r="W2230" s="46"/>
      <c r="X2230" s="46"/>
    </row>
    <row r="2231" spans="1:24" x14ac:dyDescent="0.2">
      <c r="A2231" s="45"/>
      <c r="B2231" s="46"/>
      <c r="C2231" s="46"/>
      <c r="D2231" s="46"/>
      <c r="E2231" s="46"/>
      <c r="F2231" s="46"/>
      <c r="G2231" s="46"/>
      <c r="H2231" s="46"/>
      <c r="I2231" s="46"/>
      <c r="J2231" s="46"/>
      <c r="K2231" s="46"/>
      <c r="L2231" s="46"/>
      <c r="M2231" s="46"/>
      <c r="N2231" s="46"/>
      <c r="O2231" s="46"/>
      <c r="P2231" s="46"/>
      <c r="Q2231" s="46"/>
      <c r="R2231" s="46"/>
      <c r="S2231" s="46"/>
      <c r="T2231" s="46"/>
      <c r="U2231" s="46"/>
      <c r="V2231" s="46"/>
      <c r="W2231" s="46"/>
      <c r="X2231" s="46"/>
    </row>
    <row r="2232" spans="1:24" x14ac:dyDescent="0.2">
      <c r="A2232" s="45"/>
      <c r="B2232" s="46"/>
      <c r="C2232" s="46"/>
      <c r="D2232" s="46"/>
      <c r="E2232" s="46"/>
      <c r="F2232" s="46"/>
      <c r="G2232" s="46"/>
      <c r="H2232" s="46"/>
      <c r="I2232" s="46"/>
      <c r="J2232" s="46"/>
      <c r="K2232" s="46"/>
      <c r="L2232" s="46"/>
      <c r="M2232" s="46"/>
      <c r="N2232" s="46"/>
      <c r="O2232" s="46"/>
      <c r="P2232" s="46"/>
      <c r="Q2232" s="46"/>
      <c r="R2232" s="46"/>
      <c r="S2232" s="46"/>
      <c r="T2232" s="46"/>
      <c r="U2232" s="46"/>
      <c r="V2232" s="46"/>
      <c r="W2232" s="46"/>
      <c r="X2232" s="46"/>
    </row>
    <row r="2233" spans="1:24" x14ac:dyDescent="0.2">
      <c r="A2233" s="45"/>
      <c r="B2233" s="46"/>
      <c r="C2233" s="46"/>
      <c r="D2233" s="46"/>
      <c r="E2233" s="46"/>
      <c r="F2233" s="46"/>
      <c r="G2233" s="46"/>
      <c r="H2233" s="46"/>
      <c r="I2233" s="46"/>
      <c r="J2233" s="46"/>
      <c r="K2233" s="46"/>
      <c r="L2233" s="46"/>
      <c r="M2233" s="46"/>
      <c r="N2233" s="46"/>
      <c r="O2233" s="46"/>
      <c r="P2233" s="46"/>
      <c r="Q2233" s="46"/>
      <c r="R2233" s="46"/>
      <c r="S2233" s="46"/>
      <c r="T2233" s="46"/>
      <c r="U2233" s="46"/>
      <c r="V2233" s="46"/>
      <c r="W2233" s="46"/>
      <c r="X2233" s="46"/>
    </row>
    <row r="2234" spans="1:24" x14ac:dyDescent="0.2">
      <c r="A2234" s="45"/>
      <c r="B2234" s="46"/>
      <c r="C2234" s="46"/>
      <c r="D2234" s="46"/>
      <c r="E2234" s="46"/>
      <c r="F2234" s="46"/>
      <c r="G2234" s="46"/>
      <c r="H2234" s="46"/>
      <c r="I2234" s="46"/>
      <c r="J2234" s="46"/>
      <c r="K2234" s="46"/>
      <c r="L2234" s="46"/>
      <c r="M2234" s="46"/>
      <c r="N2234" s="46"/>
      <c r="O2234" s="46"/>
      <c r="P2234" s="46"/>
      <c r="Q2234" s="46"/>
      <c r="R2234" s="46"/>
      <c r="S2234" s="46"/>
      <c r="T2234" s="46"/>
      <c r="U2234" s="46"/>
      <c r="V2234" s="46"/>
      <c r="W2234" s="46"/>
      <c r="X2234" s="46"/>
    </row>
    <row r="2235" spans="1:24" x14ac:dyDescent="0.2">
      <c r="A2235" s="45"/>
      <c r="B2235" s="46"/>
      <c r="C2235" s="46"/>
      <c r="D2235" s="46"/>
      <c r="E2235" s="46"/>
      <c r="F2235" s="46"/>
      <c r="G2235" s="46"/>
      <c r="H2235" s="46"/>
      <c r="I2235" s="46"/>
      <c r="J2235" s="46"/>
      <c r="K2235" s="46"/>
      <c r="L2235" s="46"/>
      <c r="M2235" s="46"/>
      <c r="N2235" s="46"/>
      <c r="O2235" s="46"/>
      <c r="P2235" s="46"/>
      <c r="Q2235" s="46"/>
      <c r="R2235" s="46"/>
      <c r="S2235" s="46"/>
      <c r="T2235" s="46"/>
      <c r="U2235" s="46"/>
      <c r="V2235" s="46"/>
      <c r="W2235" s="46"/>
      <c r="X2235" s="46"/>
    </row>
    <row r="2236" spans="1:24" x14ac:dyDescent="0.2">
      <c r="A2236" s="45"/>
      <c r="B2236" s="46"/>
      <c r="C2236" s="46"/>
      <c r="D2236" s="46"/>
      <c r="E2236" s="46"/>
      <c r="F2236" s="46"/>
      <c r="G2236" s="46"/>
      <c r="H2236" s="46"/>
      <c r="I2236" s="46"/>
      <c r="J2236" s="46"/>
      <c r="K2236" s="46"/>
      <c r="L2236" s="46"/>
      <c r="M2236" s="46"/>
      <c r="N2236" s="46"/>
      <c r="O2236" s="46"/>
      <c r="P2236" s="46"/>
      <c r="Q2236" s="46"/>
      <c r="R2236" s="46"/>
      <c r="S2236" s="46"/>
      <c r="T2236" s="46"/>
      <c r="U2236" s="46"/>
      <c r="V2236" s="46"/>
      <c r="W2236" s="46"/>
      <c r="X2236" s="46"/>
    </row>
    <row r="2237" spans="1:24" x14ac:dyDescent="0.2">
      <c r="A2237" s="45"/>
      <c r="B2237" s="46"/>
      <c r="C2237" s="46"/>
      <c r="D2237" s="46"/>
      <c r="E2237" s="46"/>
      <c r="F2237" s="46"/>
      <c r="G2237" s="46"/>
      <c r="H2237" s="46"/>
      <c r="I2237" s="46"/>
      <c r="J2237" s="46"/>
      <c r="K2237" s="46"/>
      <c r="L2237" s="46"/>
      <c r="M2237" s="46"/>
      <c r="N2237" s="46"/>
      <c r="O2237" s="46"/>
      <c r="P2237" s="46"/>
      <c r="Q2237" s="46"/>
      <c r="R2237" s="46"/>
      <c r="S2237" s="46"/>
      <c r="T2237" s="46"/>
      <c r="U2237" s="46"/>
      <c r="V2237" s="46"/>
      <c r="W2237" s="46"/>
      <c r="X2237" s="46"/>
    </row>
    <row r="2238" spans="1:24" x14ac:dyDescent="0.2">
      <c r="A2238" s="45"/>
      <c r="B2238" s="46"/>
      <c r="C2238" s="46"/>
      <c r="D2238" s="46"/>
      <c r="E2238" s="46"/>
      <c r="F2238" s="46"/>
      <c r="G2238" s="46"/>
      <c r="H2238" s="46"/>
      <c r="I2238" s="46"/>
      <c r="J2238" s="46"/>
      <c r="K2238" s="46"/>
      <c r="L2238" s="46"/>
      <c r="M2238" s="46"/>
      <c r="N2238" s="46"/>
      <c r="O2238" s="46"/>
      <c r="P2238" s="46"/>
      <c r="Q2238" s="46"/>
      <c r="R2238" s="46"/>
      <c r="S2238" s="46"/>
      <c r="T2238" s="46"/>
      <c r="U2238" s="46"/>
      <c r="V2238" s="46"/>
      <c r="W2238" s="46"/>
      <c r="X2238" s="46"/>
    </row>
    <row r="2239" spans="1:24" x14ac:dyDescent="0.2">
      <c r="A2239" s="45"/>
      <c r="B2239" s="46"/>
      <c r="C2239" s="46"/>
      <c r="D2239" s="46"/>
      <c r="E2239" s="46"/>
      <c r="F2239" s="46"/>
      <c r="G2239" s="46"/>
      <c r="H2239" s="46"/>
      <c r="I2239" s="46"/>
      <c r="J2239" s="46"/>
      <c r="K2239" s="46"/>
      <c r="L2239" s="46"/>
      <c r="M2239" s="46"/>
      <c r="N2239" s="46"/>
      <c r="O2239" s="46"/>
      <c r="P2239" s="46"/>
      <c r="Q2239" s="46"/>
      <c r="R2239" s="46"/>
      <c r="S2239" s="46"/>
      <c r="T2239" s="46"/>
      <c r="U2239" s="46"/>
      <c r="V2239" s="46"/>
      <c r="W2239" s="46"/>
      <c r="X2239" s="46"/>
    </row>
    <row r="2240" spans="1:24" x14ac:dyDescent="0.2">
      <c r="A2240" s="45"/>
      <c r="B2240" s="46"/>
      <c r="C2240" s="46"/>
      <c r="D2240" s="46"/>
      <c r="E2240" s="46"/>
      <c r="F2240" s="46"/>
      <c r="G2240" s="46"/>
      <c r="H2240" s="46"/>
      <c r="I2240" s="46"/>
      <c r="J2240" s="46"/>
      <c r="K2240" s="46"/>
      <c r="L2240" s="46"/>
      <c r="M2240" s="46"/>
      <c r="N2240" s="46"/>
      <c r="O2240" s="46"/>
      <c r="P2240" s="46"/>
      <c r="Q2240" s="46"/>
      <c r="R2240" s="46"/>
      <c r="S2240" s="46"/>
      <c r="T2240" s="46"/>
      <c r="U2240" s="46"/>
      <c r="V2240" s="46"/>
      <c r="W2240" s="46"/>
      <c r="X2240" s="46"/>
    </row>
    <row r="2241" spans="1:24" x14ac:dyDescent="0.2">
      <c r="A2241" s="45"/>
      <c r="B2241" s="46"/>
      <c r="C2241" s="46"/>
      <c r="D2241" s="46"/>
      <c r="E2241" s="46"/>
      <c r="F2241" s="46"/>
      <c r="G2241" s="46"/>
      <c r="H2241" s="46"/>
      <c r="I2241" s="46"/>
      <c r="J2241" s="46"/>
      <c r="K2241" s="46"/>
      <c r="L2241" s="46"/>
      <c r="M2241" s="46"/>
      <c r="N2241" s="46"/>
      <c r="O2241" s="46"/>
      <c r="P2241" s="46"/>
      <c r="Q2241" s="46"/>
      <c r="R2241" s="46"/>
      <c r="S2241" s="46"/>
      <c r="T2241" s="46"/>
      <c r="U2241" s="46"/>
      <c r="V2241" s="46"/>
      <c r="W2241" s="46"/>
      <c r="X2241" s="46"/>
    </row>
    <row r="2242" spans="1:24" x14ac:dyDescent="0.2">
      <c r="A2242" s="45"/>
      <c r="B2242" s="46"/>
      <c r="C2242" s="46"/>
      <c r="D2242" s="46"/>
      <c r="E2242" s="46"/>
      <c r="F2242" s="46"/>
      <c r="G2242" s="46"/>
      <c r="H2242" s="46"/>
      <c r="I2242" s="46"/>
      <c r="J2242" s="46"/>
      <c r="K2242" s="46"/>
      <c r="L2242" s="46"/>
      <c r="M2242" s="46"/>
      <c r="N2242" s="46"/>
      <c r="O2242" s="46"/>
      <c r="P2242" s="46"/>
      <c r="Q2242" s="46"/>
      <c r="R2242" s="46"/>
      <c r="S2242" s="46"/>
      <c r="T2242" s="46"/>
      <c r="U2242" s="46"/>
      <c r="V2242" s="46"/>
      <c r="W2242" s="46"/>
      <c r="X2242" s="46"/>
    </row>
    <row r="2243" spans="1:24" x14ac:dyDescent="0.2">
      <c r="A2243" s="45"/>
      <c r="B2243" s="46"/>
      <c r="C2243" s="46"/>
      <c r="D2243" s="46"/>
      <c r="E2243" s="46"/>
      <c r="F2243" s="46"/>
      <c r="G2243" s="46"/>
      <c r="H2243" s="46"/>
      <c r="I2243" s="46"/>
      <c r="J2243" s="46"/>
      <c r="K2243" s="46"/>
      <c r="L2243" s="46"/>
      <c r="M2243" s="46"/>
      <c r="N2243" s="46"/>
      <c r="O2243" s="46"/>
      <c r="P2243" s="46"/>
      <c r="Q2243" s="46"/>
      <c r="R2243" s="46"/>
      <c r="S2243" s="46"/>
      <c r="T2243" s="46"/>
      <c r="U2243" s="46"/>
      <c r="V2243" s="46"/>
      <c r="W2243" s="46"/>
      <c r="X2243" s="46"/>
    </row>
    <row r="2244" spans="1:24" x14ac:dyDescent="0.2">
      <c r="A2244" s="45"/>
      <c r="B2244" s="46"/>
      <c r="C2244" s="46"/>
      <c r="D2244" s="46"/>
      <c r="E2244" s="46"/>
      <c r="F2244" s="46"/>
      <c r="G2244" s="46"/>
      <c r="H2244" s="46"/>
      <c r="I2244" s="46"/>
      <c r="J2244" s="46"/>
      <c r="K2244" s="46"/>
      <c r="L2244" s="46"/>
      <c r="M2244" s="46"/>
      <c r="N2244" s="46"/>
      <c r="O2244" s="46"/>
      <c r="P2244" s="46"/>
      <c r="Q2244" s="46"/>
      <c r="R2244" s="46"/>
      <c r="S2244" s="46"/>
      <c r="T2244" s="46"/>
      <c r="U2244" s="46"/>
      <c r="V2244" s="46"/>
      <c r="W2244" s="46"/>
      <c r="X2244" s="46"/>
    </row>
    <row r="2245" spans="1:24" x14ac:dyDescent="0.2">
      <c r="A2245" s="45"/>
      <c r="B2245" s="46"/>
      <c r="C2245" s="46"/>
      <c r="D2245" s="46"/>
      <c r="E2245" s="46"/>
      <c r="F2245" s="46"/>
      <c r="G2245" s="46"/>
      <c r="H2245" s="46"/>
      <c r="I2245" s="46"/>
      <c r="J2245" s="46"/>
      <c r="K2245" s="46"/>
      <c r="L2245" s="46"/>
      <c r="M2245" s="46"/>
      <c r="N2245" s="46"/>
      <c r="O2245" s="46"/>
      <c r="P2245" s="46"/>
      <c r="Q2245" s="46"/>
      <c r="R2245" s="46"/>
      <c r="S2245" s="46"/>
      <c r="T2245" s="46"/>
      <c r="U2245" s="46"/>
      <c r="V2245" s="46"/>
      <c r="W2245" s="46"/>
      <c r="X2245" s="46"/>
    </row>
    <row r="2246" spans="1:24" x14ac:dyDescent="0.2">
      <c r="A2246" s="45"/>
      <c r="B2246" s="46"/>
      <c r="C2246" s="46"/>
      <c r="D2246" s="46"/>
      <c r="E2246" s="46"/>
      <c r="F2246" s="46"/>
      <c r="G2246" s="46"/>
      <c r="H2246" s="46"/>
      <c r="I2246" s="46"/>
      <c r="J2246" s="46"/>
      <c r="K2246" s="46"/>
      <c r="L2246" s="46"/>
      <c r="M2246" s="46"/>
      <c r="N2246" s="46"/>
      <c r="O2246" s="46"/>
      <c r="P2246" s="46"/>
      <c r="Q2246" s="46"/>
      <c r="R2246" s="46"/>
      <c r="S2246" s="46"/>
      <c r="T2246" s="46"/>
      <c r="U2246" s="46"/>
      <c r="V2246" s="46"/>
      <c r="W2246" s="46"/>
      <c r="X2246" s="46"/>
    </row>
    <row r="2247" spans="1:24" x14ac:dyDescent="0.2">
      <c r="A2247" s="45"/>
      <c r="B2247" s="46"/>
      <c r="C2247" s="46"/>
      <c r="D2247" s="46"/>
      <c r="E2247" s="46"/>
      <c r="F2247" s="46"/>
      <c r="G2247" s="46"/>
      <c r="H2247" s="46"/>
      <c r="I2247" s="46"/>
      <c r="J2247" s="46"/>
      <c r="K2247" s="46"/>
      <c r="L2247" s="46"/>
      <c r="M2247" s="46"/>
      <c r="N2247" s="46"/>
      <c r="O2247" s="46"/>
      <c r="P2247" s="46"/>
      <c r="Q2247" s="46"/>
      <c r="R2247" s="46"/>
      <c r="S2247" s="46"/>
      <c r="T2247" s="46"/>
      <c r="U2247" s="46"/>
      <c r="V2247" s="46"/>
      <c r="W2247" s="46"/>
      <c r="X2247" s="46"/>
    </row>
    <row r="2248" spans="1:24" x14ac:dyDescent="0.2">
      <c r="A2248" s="45"/>
      <c r="B2248" s="46"/>
      <c r="C2248" s="46"/>
      <c r="D2248" s="46"/>
      <c r="E2248" s="46"/>
      <c r="F2248" s="46"/>
      <c r="G2248" s="46"/>
      <c r="H2248" s="46"/>
      <c r="I2248" s="46"/>
      <c r="J2248" s="46"/>
      <c r="K2248" s="46"/>
      <c r="L2248" s="46"/>
      <c r="M2248" s="46"/>
      <c r="N2248" s="46"/>
      <c r="O2248" s="46"/>
      <c r="P2248" s="46"/>
      <c r="Q2248" s="46"/>
      <c r="R2248" s="46"/>
      <c r="S2248" s="46"/>
      <c r="T2248" s="46"/>
      <c r="U2248" s="46"/>
      <c r="V2248" s="46"/>
      <c r="W2248" s="46"/>
      <c r="X2248" s="46"/>
    </row>
    <row r="2249" spans="1:24" x14ac:dyDescent="0.2">
      <c r="A2249" s="45"/>
      <c r="B2249" s="46"/>
      <c r="C2249" s="46"/>
      <c r="D2249" s="46"/>
      <c r="E2249" s="46"/>
      <c r="F2249" s="46"/>
      <c r="G2249" s="46"/>
      <c r="H2249" s="46"/>
      <c r="I2249" s="46"/>
      <c r="J2249" s="46"/>
      <c r="K2249" s="46"/>
      <c r="L2249" s="46"/>
      <c r="M2249" s="46"/>
      <c r="N2249" s="46"/>
      <c r="O2249" s="46"/>
      <c r="P2249" s="46"/>
      <c r="Q2249" s="46"/>
      <c r="R2249" s="46"/>
      <c r="S2249" s="46"/>
      <c r="T2249" s="46"/>
      <c r="U2249" s="46"/>
      <c r="V2249" s="46"/>
      <c r="W2249" s="46"/>
      <c r="X2249" s="46"/>
    </row>
    <row r="2250" spans="1:24" x14ac:dyDescent="0.2">
      <c r="A2250" s="45"/>
      <c r="B2250" s="46"/>
      <c r="C2250" s="46"/>
      <c r="D2250" s="46"/>
      <c r="E2250" s="46"/>
      <c r="F2250" s="46"/>
      <c r="G2250" s="46"/>
      <c r="H2250" s="46"/>
      <c r="I2250" s="46"/>
      <c r="J2250" s="46"/>
      <c r="K2250" s="46"/>
      <c r="L2250" s="46"/>
      <c r="M2250" s="46"/>
      <c r="N2250" s="46"/>
      <c r="O2250" s="46"/>
      <c r="P2250" s="46"/>
      <c r="Q2250" s="46"/>
      <c r="R2250" s="46"/>
      <c r="S2250" s="46"/>
      <c r="T2250" s="46"/>
      <c r="U2250" s="46"/>
      <c r="V2250" s="46"/>
      <c r="W2250" s="46"/>
      <c r="X2250" s="46"/>
    </row>
    <row r="2251" spans="1:24" x14ac:dyDescent="0.2">
      <c r="A2251" s="45"/>
      <c r="B2251" s="46"/>
      <c r="C2251" s="46"/>
      <c r="D2251" s="46"/>
      <c r="E2251" s="46"/>
      <c r="F2251" s="46"/>
      <c r="G2251" s="46"/>
      <c r="H2251" s="46"/>
      <c r="I2251" s="46"/>
      <c r="J2251" s="46"/>
      <c r="K2251" s="46"/>
      <c r="L2251" s="46"/>
      <c r="M2251" s="46"/>
      <c r="N2251" s="46"/>
      <c r="O2251" s="46"/>
      <c r="P2251" s="46"/>
      <c r="Q2251" s="46"/>
      <c r="R2251" s="46"/>
      <c r="S2251" s="46"/>
      <c r="T2251" s="46"/>
      <c r="U2251" s="46"/>
      <c r="V2251" s="46"/>
      <c r="W2251" s="46"/>
      <c r="X2251" s="46"/>
    </row>
    <row r="2252" spans="1:24" x14ac:dyDescent="0.2">
      <c r="A2252" s="45"/>
      <c r="B2252" s="46"/>
      <c r="C2252" s="46"/>
      <c r="D2252" s="46"/>
      <c r="E2252" s="46"/>
      <c r="F2252" s="46"/>
      <c r="G2252" s="46"/>
      <c r="H2252" s="46"/>
      <c r="I2252" s="46"/>
      <c r="J2252" s="46"/>
      <c r="K2252" s="46"/>
      <c r="L2252" s="46"/>
      <c r="M2252" s="46"/>
      <c r="N2252" s="46"/>
      <c r="O2252" s="46"/>
      <c r="P2252" s="46"/>
      <c r="Q2252" s="46"/>
      <c r="R2252" s="46"/>
      <c r="S2252" s="46"/>
      <c r="T2252" s="46"/>
      <c r="U2252" s="46"/>
      <c r="V2252" s="46"/>
      <c r="W2252" s="46"/>
      <c r="X2252" s="46"/>
    </row>
    <row r="2253" spans="1:24" x14ac:dyDescent="0.2">
      <c r="A2253" s="45"/>
      <c r="B2253" s="46"/>
      <c r="C2253" s="46"/>
      <c r="D2253" s="46"/>
      <c r="E2253" s="46"/>
      <c r="F2253" s="46"/>
      <c r="G2253" s="46"/>
      <c r="H2253" s="46"/>
      <c r="I2253" s="46"/>
      <c r="J2253" s="46"/>
      <c r="K2253" s="46"/>
      <c r="L2253" s="46"/>
      <c r="M2253" s="46"/>
      <c r="N2253" s="46"/>
      <c r="O2253" s="46"/>
      <c r="P2253" s="46"/>
      <c r="Q2253" s="46"/>
      <c r="R2253" s="46"/>
      <c r="S2253" s="46"/>
      <c r="T2253" s="46"/>
      <c r="U2253" s="46"/>
      <c r="V2253" s="46"/>
      <c r="W2253" s="46"/>
      <c r="X2253" s="46"/>
    </row>
    <row r="2254" spans="1:24" x14ac:dyDescent="0.2">
      <c r="A2254" s="45"/>
      <c r="B2254" s="46"/>
      <c r="C2254" s="46"/>
      <c r="D2254" s="46"/>
      <c r="E2254" s="46"/>
      <c r="F2254" s="46"/>
      <c r="G2254" s="46"/>
      <c r="H2254" s="46"/>
      <c r="I2254" s="46"/>
      <c r="J2254" s="46"/>
      <c r="K2254" s="46"/>
      <c r="L2254" s="46"/>
      <c r="M2254" s="46"/>
      <c r="N2254" s="46"/>
      <c r="O2254" s="46"/>
      <c r="P2254" s="46"/>
      <c r="Q2254" s="46"/>
      <c r="R2254" s="46"/>
      <c r="S2254" s="46"/>
      <c r="T2254" s="46"/>
      <c r="U2254" s="46"/>
      <c r="V2254" s="46"/>
      <c r="W2254" s="46"/>
      <c r="X2254" s="46"/>
    </row>
    <row r="2255" spans="1:24" x14ac:dyDescent="0.2">
      <c r="A2255" s="45"/>
      <c r="B2255" s="46"/>
      <c r="C2255" s="46"/>
      <c r="D2255" s="46"/>
      <c r="E2255" s="46"/>
      <c r="F2255" s="46"/>
      <c r="G2255" s="46"/>
      <c r="H2255" s="46"/>
      <c r="I2255" s="46"/>
      <c r="J2255" s="46"/>
      <c r="K2255" s="46"/>
      <c r="L2255" s="46"/>
      <c r="M2255" s="46"/>
      <c r="N2255" s="46"/>
      <c r="O2255" s="46"/>
      <c r="P2255" s="46"/>
      <c r="Q2255" s="46"/>
      <c r="R2255" s="46"/>
      <c r="S2255" s="46"/>
      <c r="T2255" s="46"/>
      <c r="U2255" s="46"/>
      <c r="V2255" s="46"/>
      <c r="W2255" s="46"/>
      <c r="X2255" s="46"/>
    </row>
    <row r="2256" spans="1:24" x14ac:dyDescent="0.2">
      <c r="A2256" s="45"/>
      <c r="B2256" s="46"/>
      <c r="C2256" s="46"/>
      <c r="D2256" s="46"/>
      <c r="E2256" s="46"/>
      <c r="F2256" s="46"/>
      <c r="G2256" s="46"/>
      <c r="H2256" s="46"/>
      <c r="I2256" s="46"/>
      <c r="J2256" s="46"/>
      <c r="K2256" s="46"/>
      <c r="L2256" s="46"/>
      <c r="M2256" s="46"/>
      <c r="N2256" s="46"/>
      <c r="O2256" s="46"/>
      <c r="P2256" s="46"/>
      <c r="Q2256" s="46"/>
      <c r="R2256" s="46"/>
      <c r="S2256" s="46"/>
      <c r="T2256" s="46"/>
      <c r="U2256" s="46"/>
      <c r="V2256" s="46"/>
      <c r="W2256" s="46"/>
      <c r="X2256" s="46"/>
    </row>
    <row r="2257" spans="1:24" x14ac:dyDescent="0.2">
      <c r="A2257" s="45"/>
      <c r="B2257" s="46"/>
      <c r="C2257" s="46"/>
      <c r="D2257" s="46"/>
      <c r="E2257" s="46"/>
      <c r="F2257" s="46"/>
      <c r="G2257" s="46"/>
      <c r="H2257" s="46"/>
      <c r="I2257" s="46"/>
      <c r="J2257" s="46"/>
      <c r="K2257" s="46"/>
      <c r="L2257" s="46"/>
      <c r="M2257" s="46"/>
      <c r="N2257" s="46"/>
      <c r="O2257" s="46"/>
      <c r="P2257" s="46"/>
      <c r="Q2257" s="46"/>
      <c r="R2257" s="46"/>
      <c r="S2257" s="46"/>
      <c r="T2257" s="46"/>
      <c r="U2257" s="46"/>
      <c r="V2257" s="46"/>
      <c r="W2257" s="46"/>
      <c r="X2257" s="46"/>
    </row>
    <row r="2258" spans="1:24" x14ac:dyDescent="0.2">
      <c r="A2258" s="45"/>
      <c r="B2258" s="46"/>
      <c r="C2258" s="46"/>
      <c r="D2258" s="46"/>
      <c r="E2258" s="46"/>
      <c r="F2258" s="46"/>
      <c r="G2258" s="46"/>
      <c r="H2258" s="46"/>
      <c r="I2258" s="46"/>
      <c r="J2258" s="46"/>
      <c r="K2258" s="46"/>
      <c r="L2258" s="46"/>
      <c r="M2258" s="46"/>
      <c r="N2258" s="46"/>
      <c r="O2258" s="46"/>
      <c r="P2258" s="46"/>
      <c r="Q2258" s="46"/>
      <c r="R2258" s="46"/>
      <c r="S2258" s="46"/>
      <c r="T2258" s="46"/>
      <c r="U2258" s="46"/>
      <c r="V2258" s="46"/>
      <c r="W2258" s="46"/>
      <c r="X2258" s="46"/>
    </row>
    <row r="2259" spans="1:24" x14ac:dyDescent="0.2">
      <c r="A2259" s="45"/>
      <c r="B2259" s="46"/>
      <c r="C2259" s="46"/>
      <c r="D2259" s="46"/>
      <c r="E2259" s="46"/>
      <c r="F2259" s="46"/>
      <c r="G2259" s="46"/>
      <c r="H2259" s="46"/>
      <c r="I2259" s="46"/>
      <c r="J2259" s="46"/>
      <c r="K2259" s="46"/>
      <c r="L2259" s="46"/>
      <c r="M2259" s="46"/>
      <c r="N2259" s="46"/>
      <c r="O2259" s="46"/>
      <c r="P2259" s="46"/>
      <c r="Q2259" s="46"/>
      <c r="R2259" s="46"/>
      <c r="S2259" s="46"/>
      <c r="T2259" s="46"/>
      <c r="U2259" s="46"/>
      <c r="V2259" s="46"/>
      <c r="W2259" s="46"/>
      <c r="X2259" s="46"/>
    </row>
    <row r="2260" spans="1:24" x14ac:dyDescent="0.2">
      <c r="A2260" s="45"/>
      <c r="B2260" s="46"/>
      <c r="C2260" s="46"/>
      <c r="D2260" s="46"/>
      <c r="E2260" s="46"/>
      <c r="F2260" s="46"/>
      <c r="G2260" s="46"/>
      <c r="H2260" s="46"/>
      <c r="I2260" s="46"/>
      <c r="J2260" s="46"/>
      <c r="K2260" s="46"/>
      <c r="L2260" s="46"/>
      <c r="M2260" s="46"/>
      <c r="N2260" s="46"/>
      <c r="O2260" s="46"/>
      <c r="P2260" s="46"/>
      <c r="Q2260" s="46"/>
      <c r="R2260" s="46"/>
      <c r="S2260" s="46"/>
      <c r="T2260" s="46"/>
      <c r="U2260" s="46"/>
      <c r="V2260" s="46"/>
      <c r="W2260" s="46"/>
      <c r="X2260" s="46"/>
    </row>
    <row r="2261" spans="1:24" x14ac:dyDescent="0.2">
      <c r="A2261" s="45"/>
      <c r="B2261" s="46"/>
      <c r="C2261" s="46"/>
      <c r="D2261" s="46"/>
      <c r="E2261" s="46"/>
      <c r="F2261" s="46"/>
      <c r="G2261" s="46"/>
      <c r="H2261" s="46"/>
      <c r="I2261" s="46"/>
      <c r="J2261" s="46"/>
      <c r="K2261" s="46"/>
      <c r="L2261" s="46"/>
      <c r="M2261" s="46"/>
      <c r="N2261" s="46"/>
      <c r="O2261" s="46"/>
      <c r="P2261" s="46"/>
      <c r="Q2261" s="46"/>
      <c r="R2261" s="46"/>
      <c r="S2261" s="46"/>
      <c r="T2261" s="46"/>
      <c r="U2261" s="46"/>
      <c r="V2261" s="46"/>
      <c r="W2261" s="46"/>
      <c r="X2261" s="46"/>
    </row>
    <row r="2262" spans="1:24" x14ac:dyDescent="0.2">
      <c r="A2262" s="45"/>
      <c r="B2262" s="46"/>
      <c r="C2262" s="46"/>
      <c r="D2262" s="46"/>
      <c r="E2262" s="46"/>
      <c r="F2262" s="46"/>
      <c r="G2262" s="46"/>
      <c r="H2262" s="46"/>
      <c r="I2262" s="46"/>
      <c r="J2262" s="46"/>
      <c r="K2262" s="46"/>
      <c r="L2262" s="46"/>
      <c r="M2262" s="46"/>
      <c r="N2262" s="46"/>
      <c r="O2262" s="46"/>
      <c r="P2262" s="46"/>
      <c r="Q2262" s="46"/>
      <c r="R2262" s="46"/>
      <c r="S2262" s="46"/>
      <c r="T2262" s="46"/>
      <c r="U2262" s="46"/>
      <c r="V2262" s="46"/>
      <c r="W2262" s="46"/>
      <c r="X2262" s="46"/>
    </row>
    <row r="2263" spans="1:24" x14ac:dyDescent="0.2">
      <c r="A2263" s="45"/>
      <c r="B2263" s="46"/>
      <c r="C2263" s="46"/>
      <c r="D2263" s="46"/>
      <c r="E2263" s="46"/>
      <c r="F2263" s="46"/>
      <c r="G2263" s="46"/>
      <c r="H2263" s="46"/>
      <c r="I2263" s="46"/>
      <c r="J2263" s="46"/>
      <c r="K2263" s="46"/>
      <c r="L2263" s="46"/>
      <c r="M2263" s="46"/>
      <c r="N2263" s="46"/>
      <c r="O2263" s="46"/>
      <c r="P2263" s="46"/>
      <c r="Q2263" s="46"/>
      <c r="R2263" s="46"/>
      <c r="S2263" s="46"/>
      <c r="T2263" s="46"/>
      <c r="U2263" s="46"/>
      <c r="V2263" s="46"/>
      <c r="W2263" s="46"/>
      <c r="X2263" s="46"/>
    </row>
    <row r="2264" spans="1:24" x14ac:dyDescent="0.2">
      <c r="A2264" s="45"/>
      <c r="B2264" s="46"/>
      <c r="C2264" s="46"/>
      <c r="D2264" s="46"/>
      <c r="E2264" s="46"/>
      <c r="F2264" s="46"/>
      <c r="G2264" s="46"/>
      <c r="H2264" s="46"/>
      <c r="I2264" s="46"/>
      <c r="J2264" s="46"/>
      <c r="K2264" s="46"/>
      <c r="L2264" s="46"/>
      <c r="M2264" s="46"/>
      <c r="N2264" s="46"/>
      <c r="O2264" s="46"/>
      <c r="P2264" s="46"/>
      <c r="Q2264" s="46"/>
      <c r="R2264" s="46"/>
      <c r="S2264" s="46"/>
      <c r="T2264" s="46"/>
      <c r="U2264" s="46"/>
      <c r="V2264" s="46"/>
      <c r="W2264" s="46"/>
      <c r="X2264" s="46"/>
    </row>
    <row r="2265" spans="1:24" x14ac:dyDescent="0.2">
      <c r="A2265" s="45"/>
      <c r="B2265" s="46"/>
      <c r="C2265" s="46"/>
      <c r="D2265" s="46"/>
      <c r="E2265" s="46"/>
      <c r="F2265" s="46"/>
      <c r="G2265" s="46"/>
      <c r="H2265" s="46"/>
      <c r="I2265" s="46"/>
      <c r="J2265" s="46"/>
      <c r="K2265" s="46"/>
      <c r="L2265" s="46"/>
      <c r="M2265" s="46"/>
      <c r="N2265" s="46"/>
      <c r="O2265" s="46"/>
      <c r="P2265" s="46"/>
      <c r="Q2265" s="46"/>
      <c r="R2265" s="46"/>
      <c r="S2265" s="46"/>
      <c r="T2265" s="46"/>
      <c r="U2265" s="46"/>
      <c r="V2265" s="46"/>
      <c r="W2265" s="46"/>
      <c r="X2265" s="46"/>
    </row>
    <row r="2266" spans="1:24" x14ac:dyDescent="0.2">
      <c r="A2266" s="45"/>
      <c r="B2266" s="46"/>
      <c r="C2266" s="46"/>
      <c r="D2266" s="46"/>
      <c r="E2266" s="46"/>
      <c r="F2266" s="46"/>
      <c r="G2266" s="46"/>
      <c r="H2266" s="46"/>
      <c r="I2266" s="46"/>
      <c r="J2266" s="46"/>
      <c r="K2266" s="46"/>
      <c r="L2266" s="46"/>
      <c r="M2266" s="46"/>
      <c r="N2266" s="46"/>
      <c r="O2266" s="46"/>
      <c r="P2266" s="46"/>
      <c r="Q2266" s="46"/>
      <c r="R2266" s="46"/>
      <c r="S2266" s="46"/>
      <c r="T2266" s="46"/>
      <c r="U2266" s="46"/>
      <c r="V2266" s="46"/>
      <c r="W2266" s="46"/>
      <c r="X2266" s="46"/>
    </row>
    <row r="2267" spans="1:24" x14ac:dyDescent="0.2">
      <c r="A2267" s="45"/>
      <c r="B2267" s="46"/>
      <c r="C2267" s="46"/>
      <c r="D2267" s="46"/>
      <c r="E2267" s="46"/>
      <c r="F2267" s="46"/>
      <c r="G2267" s="46"/>
      <c r="H2267" s="46"/>
      <c r="I2267" s="46"/>
      <c r="J2267" s="46"/>
      <c r="K2267" s="46"/>
      <c r="L2267" s="46"/>
      <c r="M2267" s="46"/>
      <c r="N2267" s="46"/>
      <c r="O2267" s="46"/>
      <c r="P2267" s="46"/>
      <c r="Q2267" s="46"/>
      <c r="R2267" s="46"/>
      <c r="S2267" s="46"/>
      <c r="T2267" s="46"/>
      <c r="U2267" s="46"/>
      <c r="V2267" s="46"/>
      <c r="W2267" s="46"/>
      <c r="X2267" s="46"/>
    </row>
    <row r="2268" spans="1:24" x14ac:dyDescent="0.2">
      <c r="A2268" s="45"/>
      <c r="B2268" s="46"/>
      <c r="C2268" s="46"/>
      <c r="D2268" s="46"/>
      <c r="E2268" s="46"/>
      <c r="F2268" s="46"/>
      <c r="G2268" s="46"/>
      <c r="H2268" s="46"/>
      <c r="I2268" s="46"/>
      <c r="J2268" s="46"/>
      <c r="K2268" s="46"/>
      <c r="L2268" s="46"/>
      <c r="M2268" s="46"/>
      <c r="N2268" s="46"/>
      <c r="O2268" s="46"/>
      <c r="P2268" s="46"/>
      <c r="Q2268" s="46"/>
      <c r="R2268" s="46"/>
      <c r="S2268" s="46"/>
      <c r="T2268" s="46"/>
      <c r="U2268" s="46"/>
      <c r="V2268" s="46"/>
      <c r="W2268" s="46"/>
      <c r="X2268" s="46"/>
    </row>
    <row r="2269" spans="1:24" x14ac:dyDescent="0.2">
      <c r="A2269" s="45"/>
      <c r="B2269" s="46"/>
      <c r="C2269" s="46"/>
      <c r="D2269" s="46"/>
      <c r="E2269" s="46"/>
      <c r="F2269" s="46"/>
      <c r="G2269" s="46"/>
      <c r="H2269" s="46"/>
      <c r="I2269" s="46"/>
      <c r="J2269" s="46"/>
      <c r="K2269" s="46"/>
      <c r="L2269" s="46"/>
      <c r="M2269" s="46"/>
      <c r="N2269" s="46"/>
      <c r="O2269" s="46"/>
      <c r="P2269" s="46"/>
      <c r="Q2269" s="46"/>
      <c r="R2269" s="46"/>
      <c r="S2269" s="46"/>
      <c r="T2269" s="46"/>
      <c r="U2269" s="46"/>
      <c r="V2269" s="46"/>
      <c r="W2269" s="46"/>
      <c r="X2269" s="46"/>
    </row>
    <row r="2270" spans="1:24" x14ac:dyDescent="0.2">
      <c r="A2270" s="45"/>
      <c r="B2270" s="46"/>
      <c r="C2270" s="46"/>
      <c r="D2270" s="46"/>
      <c r="E2270" s="46"/>
      <c r="F2270" s="46"/>
      <c r="G2270" s="46"/>
      <c r="H2270" s="46"/>
      <c r="I2270" s="46"/>
      <c r="J2270" s="46"/>
      <c r="K2270" s="46"/>
      <c r="L2270" s="46"/>
      <c r="M2270" s="46"/>
      <c r="N2270" s="46"/>
      <c r="O2270" s="46"/>
      <c r="P2270" s="46"/>
      <c r="Q2270" s="46"/>
      <c r="R2270" s="46"/>
      <c r="S2270" s="46"/>
      <c r="T2270" s="46"/>
      <c r="U2270" s="46"/>
      <c r="V2270" s="46"/>
      <c r="W2270" s="46"/>
      <c r="X2270" s="46"/>
    </row>
    <row r="2271" spans="1:24" x14ac:dyDescent="0.2">
      <c r="A2271" s="45"/>
      <c r="B2271" s="46"/>
      <c r="C2271" s="46"/>
      <c r="D2271" s="46"/>
      <c r="E2271" s="46"/>
      <c r="F2271" s="46"/>
      <c r="G2271" s="46"/>
      <c r="H2271" s="46"/>
      <c r="I2271" s="46"/>
      <c r="J2271" s="46"/>
      <c r="K2271" s="46"/>
      <c r="L2271" s="46"/>
      <c r="M2271" s="46"/>
      <c r="N2271" s="46"/>
      <c r="O2271" s="46"/>
      <c r="P2271" s="46"/>
      <c r="Q2271" s="46"/>
      <c r="R2271" s="46"/>
      <c r="S2271" s="46"/>
      <c r="T2271" s="46"/>
      <c r="U2271" s="46"/>
      <c r="V2271" s="46"/>
      <c r="W2271" s="46"/>
      <c r="X2271" s="46"/>
    </row>
    <row r="2272" spans="1:24" x14ac:dyDescent="0.2">
      <c r="A2272" s="45"/>
      <c r="B2272" s="46"/>
      <c r="C2272" s="46"/>
      <c r="D2272" s="46"/>
      <c r="E2272" s="46"/>
      <c r="F2272" s="46"/>
      <c r="G2272" s="46"/>
      <c r="H2272" s="46"/>
      <c r="I2272" s="46"/>
      <c r="J2272" s="46"/>
      <c r="K2272" s="46"/>
      <c r="L2272" s="46"/>
      <c r="M2272" s="46"/>
      <c r="N2272" s="46"/>
      <c r="O2272" s="46"/>
      <c r="P2272" s="46"/>
      <c r="Q2272" s="46"/>
      <c r="R2272" s="46"/>
      <c r="S2272" s="46"/>
      <c r="T2272" s="46"/>
      <c r="U2272" s="46"/>
      <c r="V2272" s="46"/>
      <c r="W2272" s="46"/>
      <c r="X2272" s="46"/>
    </row>
    <row r="2273" spans="1:24" x14ac:dyDescent="0.2">
      <c r="A2273" s="45"/>
      <c r="B2273" s="46"/>
      <c r="C2273" s="46"/>
      <c r="D2273" s="46"/>
      <c r="E2273" s="46"/>
      <c r="F2273" s="46"/>
      <c r="G2273" s="46"/>
      <c r="H2273" s="46"/>
      <c r="I2273" s="46"/>
      <c r="J2273" s="46"/>
      <c r="K2273" s="46"/>
      <c r="L2273" s="46"/>
      <c r="M2273" s="46"/>
      <c r="N2273" s="46"/>
      <c r="O2273" s="46"/>
      <c r="P2273" s="46"/>
      <c r="Q2273" s="46"/>
      <c r="R2273" s="46"/>
      <c r="S2273" s="46"/>
      <c r="T2273" s="46"/>
      <c r="U2273" s="46"/>
      <c r="V2273" s="46"/>
      <c r="W2273" s="46"/>
      <c r="X2273" s="46"/>
    </row>
    <row r="2274" spans="1:24" x14ac:dyDescent="0.2">
      <c r="A2274" s="45"/>
      <c r="B2274" s="46"/>
      <c r="C2274" s="46"/>
      <c r="D2274" s="46"/>
      <c r="E2274" s="46"/>
      <c r="F2274" s="46"/>
      <c r="G2274" s="46"/>
      <c r="H2274" s="46"/>
      <c r="I2274" s="46"/>
      <c r="J2274" s="46"/>
      <c r="K2274" s="46"/>
      <c r="L2274" s="46"/>
      <c r="M2274" s="46"/>
      <c r="N2274" s="46"/>
      <c r="O2274" s="46"/>
      <c r="P2274" s="46"/>
      <c r="Q2274" s="46"/>
      <c r="R2274" s="46"/>
      <c r="S2274" s="46"/>
      <c r="T2274" s="46"/>
      <c r="U2274" s="46"/>
      <c r="V2274" s="46"/>
      <c r="W2274" s="46"/>
      <c r="X2274" s="46"/>
    </row>
    <row r="2275" spans="1:24" x14ac:dyDescent="0.2">
      <c r="A2275" s="45"/>
      <c r="B2275" s="46"/>
      <c r="C2275" s="46"/>
      <c r="D2275" s="46"/>
      <c r="E2275" s="46"/>
      <c r="F2275" s="46"/>
      <c r="G2275" s="46"/>
      <c r="H2275" s="46"/>
      <c r="I2275" s="46"/>
      <c r="J2275" s="46"/>
      <c r="K2275" s="46"/>
      <c r="L2275" s="46"/>
      <c r="M2275" s="46"/>
      <c r="N2275" s="46"/>
      <c r="O2275" s="46"/>
      <c r="P2275" s="46"/>
      <c r="Q2275" s="46"/>
      <c r="R2275" s="46"/>
      <c r="S2275" s="46"/>
      <c r="T2275" s="46"/>
      <c r="U2275" s="46"/>
      <c r="V2275" s="46"/>
      <c r="W2275" s="46"/>
      <c r="X2275" s="46"/>
    </row>
    <row r="2276" spans="1:24" x14ac:dyDescent="0.2">
      <c r="A2276" s="45"/>
      <c r="B2276" s="46"/>
      <c r="C2276" s="46"/>
      <c r="D2276" s="46"/>
      <c r="E2276" s="46"/>
      <c r="F2276" s="46"/>
      <c r="G2276" s="46"/>
      <c r="H2276" s="46"/>
      <c r="I2276" s="46"/>
      <c r="J2276" s="46"/>
      <c r="K2276" s="46"/>
      <c r="L2276" s="46"/>
      <c r="M2276" s="46"/>
      <c r="N2276" s="46"/>
      <c r="O2276" s="46"/>
      <c r="P2276" s="46"/>
      <c r="Q2276" s="46"/>
      <c r="R2276" s="46"/>
      <c r="S2276" s="46"/>
      <c r="T2276" s="46"/>
      <c r="U2276" s="46"/>
      <c r="V2276" s="46"/>
      <c r="W2276" s="46"/>
      <c r="X2276" s="46"/>
    </row>
    <row r="2277" spans="1:24" x14ac:dyDescent="0.2">
      <c r="A2277" s="45"/>
      <c r="B2277" s="46"/>
      <c r="C2277" s="46"/>
      <c r="D2277" s="46"/>
      <c r="E2277" s="46"/>
      <c r="F2277" s="46"/>
      <c r="G2277" s="46"/>
      <c r="H2277" s="46"/>
      <c r="I2277" s="46"/>
      <c r="J2277" s="46"/>
      <c r="K2277" s="46"/>
      <c r="L2277" s="46"/>
      <c r="M2277" s="46"/>
      <c r="N2277" s="46"/>
      <c r="O2277" s="46"/>
      <c r="P2277" s="46"/>
      <c r="Q2277" s="46"/>
      <c r="R2277" s="46"/>
      <c r="S2277" s="46"/>
      <c r="T2277" s="46"/>
      <c r="U2277" s="46"/>
      <c r="V2277" s="46"/>
      <c r="W2277" s="46"/>
      <c r="X2277" s="46"/>
    </row>
    <row r="2278" spans="1:24" x14ac:dyDescent="0.2">
      <c r="A2278" s="45"/>
      <c r="B2278" s="46"/>
      <c r="C2278" s="46"/>
      <c r="D2278" s="46"/>
      <c r="E2278" s="46"/>
      <c r="F2278" s="46"/>
      <c r="G2278" s="46"/>
      <c r="H2278" s="46"/>
      <c r="I2278" s="46"/>
      <c r="J2278" s="46"/>
      <c r="K2278" s="46"/>
      <c r="L2278" s="46"/>
      <c r="M2278" s="46"/>
      <c r="N2278" s="46"/>
      <c r="O2278" s="46"/>
      <c r="P2278" s="46"/>
      <c r="Q2278" s="46"/>
      <c r="R2278" s="46"/>
      <c r="S2278" s="46"/>
      <c r="T2278" s="46"/>
      <c r="U2278" s="46"/>
      <c r="V2278" s="46"/>
      <c r="W2278" s="46"/>
      <c r="X2278" s="46"/>
    </row>
    <row r="2279" spans="1:24" x14ac:dyDescent="0.2">
      <c r="A2279" s="45"/>
      <c r="B2279" s="46"/>
      <c r="C2279" s="46"/>
      <c r="D2279" s="46"/>
      <c r="E2279" s="46"/>
      <c r="F2279" s="46"/>
      <c r="G2279" s="46"/>
      <c r="H2279" s="46"/>
      <c r="I2279" s="46"/>
      <c r="J2279" s="46"/>
      <c r="K2279" s="46"/>
      <c r="L2279" s="46"/>
      <c r="M2279" s="46"/>
      <c r="N2279" s="46"/>
      <c r="O2279" s="46"/>
      <c r="P2279" s="46"/>
      <c r="Q2279" s="46"/>
      <c r="R2279" s="46"/>
      <c r="S2279" s="46"/>
      <c r="T2279" s="46"/>
      <c r="U2279" s="46"/>
      <c r="V2279" s="46"/>
      <c r="W2279" s="46"/>
      <c r="X2279" s="46"/>
    </row>
    <row r="2280" spans="1:24" x14ac:dyDescent="0.2">
      <c r="A2280" s="45"/>
      <c r="B2280" s="46"/>
      <c r="C2280" s="46"/>
      <c r="D2280" s="46"/>
      <c r="E2280" s="46"/>
      <c r="F2280" s="46"/>
      <c r="G2280" s="46"/>
      <c r="H2280" s="46"/>
      <c r="I2280" s="46"/>
      <c r="J2280" s="46"/>
      <c r="K2280" s="46"/>
      <c r="L2280" s="46"/>
      <c r="M2280" s="46"/>
      <c r="N2280" s="46"/>
      <c r="O2280" s="46"/>
      <c r="P2280" s="46"/>
      <c r="Q2280" s="46"/>
      <c r="R2280" s="46"/>
      <c r="S2280" s="46"/>
      <c r="T2280" s="46"/>
      <c r="U2280" s="46"/>
      <c r="V2280" s="46"/>
      <c r="W2280" s="46"/>
      <c r="X2280" s="46"/>
    </row>
    <row r="2281" spans="1:24" x14ac:dyDescent="0.2">
      <c r="A2281" s="45"/>
      <c r="B2281" s="46"/>
      <c r="C2281" s="46"/>
      <c r="D2281" s="46"/>
      <c r="E2281" s="46"/>
      <c r="F2281" s="46"/>
      <c r="G2281" s="46"/>
      <c r="H2281" s="46"/>
      <c r="I2281" s="46"/>
      <c r="J2281" s="46"/>
      <c r="K2281" s="46"/>
      <c r="L2281" s="46"/>
      <c r="M2281" s="46"/>
      <c r="N2281" s="46"/>
      <c r="O2281" s="46"/>
      <c r="P2281" s="46"/>
      <c r="Q2281" s="46"/>
      <c r="R2281" s="46"/>
      <c r="S2281" s="46"/>
      <c r="T2281" s="46"/>
      <c r="U2281" s="46"/>
      <c r="V2281" s="46"/>
      <c r="W2281" s="46"/>
      <c r="X2281" s="46"/>
    </row>
    <row r="2282" spans="1:24" x14ac:dyDescent="0.2">
      <c r="A2282" s="45"/>
      <c r="B2282" s="46"/>
      <c r="C2282" s="46"/>
      <c r="D2282" s="46"/>
      <c r="E2282" s="46"/>
      <c r="F2282" s="46"/>
      <c r="G2282" s="46"/>
      <c r="H2282" s="46"/>
      <c r="I2282" s="46"/>
      <c r="J2282" s="46"/>
      <c r="K2282" s="46"/>
      <c r="L2282" s="46"/>
      <c r="M2282" s="46"/>
      <c r="N2282" s="46"/>
      <c r="O2282" s="46"/>
      <c r="P2282" s="46"/>
      <c r="Q2282" s="46"/>
      <c r="R2282" s="46"/>
      <c r="S2282" s="46"/>
      <c r="T2282" s="46"/>
      <c r="U2282" s="46"/>
      <c r="V2282" s="46"/>
      <c r="W2282" s="46"/>
      <c r="X2282" s="46"/>
    </row>
    <row r="2283" spans="1:24" x14ac:dyDescent="0.2">
      <c r="A2283" s="45"/>
      <c r="B2283" s="46"/>
      <c r="C2283" s="46"/>
      <c r="D2283" s="46"/>
      <c r="E2283" s="46"/>
      <c r="F2283" s="46"/>
      <c r="G2283" s="46"/>
      <c r="H2283" s="46"/>
      <c r="I2283" s="46"/>
      <c r="J2283" s="46"/>
      <c r="K2283" s="46"/>
      <c r="L2283" s="46"/>
      <c r="M2283" s="46"/>
      <c r="N2283" s="46"/>
      <c r="O2283" s="46"/>
      <c r="P2283" s="46"/>
      <c r="Q2283" s="46"/>
      <c r="R2283" s="46"/>
      <c r="S2283" s="46"/>
      <c r="T2283" s="46"/>
      <c r="U2283" s="46"/>
      <c r="V2283" s="46"/>
      <c r="W2283" s="46"/>
      <c r="X2283" s="46"/>
    </row>
    <row r="2284" spans="1:24" x14ac:dyDescent="0.2">
      <c r="A2284" s="45"/>
      <c r="B2284" s="46"/>
      <c r="C2284" s="46"/>
      <c r="D2284" s="46"/>
      <c r="E2284" s="46"/>
      <c r="F2284" s="46"/>
      <c r="G2284" s="46"/>
      <c r="H2284" s="46"/>
      <c r="I2284" s="46"/>
      <c r="J2284" s="46"/>
      <c r="K2284" s="46"/>
      <c r="L2284" s="46"/>
      <c r="M2284" s="46"/>
      <c r="N2284" s="46"/>
      <c r="O2284" s="46"/>
      <c r="P2284" s="46"/>
      <c r="Q2284" s="46"/>
      <c r="R2284" s="46"/>
      <c r="S2284" s="46"/>
      <c r="T2284" s="46"/>
      <c r="U2284" s="46"/>
      <c r="V2284" s="46"/>
      <c r="W2284" s="46"/>
      <c r="X2284" s="46"/>
    </row>
    <row r="2285" spans="1:24" x14ac:dyDescent="0.2">
      <c r="A2285" s="45"/>
      <c r="B2285" s="46"/>
      <c r="C2285" s="46"/>
      <c r="D2285" s="46"/>
      <c r="E2285" s="46"/>
      <c r="F2285" s="46"/>
      <c r="G2285" s="46"/>
      <c r="H2285" s="46"/>
      <c r="I2285" s="46"/>
      <c r="J2285" s="46"/>
      <c r="K2285" s="46"/>
      <c r="L2285" s="46"/>
      <c r="M2285" s="46"/>
      <c r="N2285" s="46"/>
      <c r="O2285" s="46"/>
      <c r="P2285" s="46"/>
      <c r="Q2285" s="46"/>
      <c r="R2285" s="46"/>
      <c r="S2285" s="46"/>
      <c r="T2285" s="46"/>
      <c r="U2285" s="46"/>
      <c r="V2285" s="46"/>
      <c r="W2285" s="46"/>
      <c r="X2285" s="46"/>
    </row>
    <row r="2286" spans="1:24" x14ac:dyDescent="0.2">
      <c r="A2286" s="45"/>
      <c r="B2286" s="46"/>
      <c r="C2286" s="46"/>
      <c r="D2286" s="46"/>
      <c r="E2286" s="46"/>
      <c r="F2286" s="46"/>
      <c r="G2286" s="46"/>
      <c r="H2286" s="46"/>
      <c r="I2286" s="46"/>
      <c r="J2286" s="46"/>
      <c r="K2286" s="46"/>
      <c r="L2286" s="46"/>
      <c r="M2286" s="46"/>
      <c r="N2286" s="46"/>
      <c r="O2286" s="46"/>
      <c r="P2286" s="46"/>
      <c r="Q2286" s="46"/>
      <c r="R2286" s="46"/>
      <c r="S2286" s="46"/>
      <c r="T2286" s="46"/>
      <c r="U2286" s="46"/>
      <c r="V2286" s="46"/>
      <c r="W2286" s="46"/>
      <c r="X2286" s="46"/>
    </row>
    <row r="2287" spans="1:24" x14ac:dyDescent="0.2">
      <c r="A2287" s="45"/>
      <c r="B2287" s="46"/>
      <c r="C2287" s="46"/>
      <c r="D2287" s="46"/>
      <c r="E2287" s="46"/>
      <c r="F2287" s="46"/>
      <c r="G2287" s="46"/>
      <c r="H2287" s="46"/>
      <c r="I2287" s="46"/>
      <c r="J2287" s="46"/>
      <c r="K2287" s="46"/>
      <c r="L2287" s="46"/>
      <c r="M2287" s="46"/>
      <c r="N2287" s="46"/>
      <c r="O2287" s="46"/>
      <c r="P2287" s="46"/>
      <c r="Q2287" s="46"/>
      <c r="R2287" s="46"/>
      <c r="S2287" s="46"/>
      <c r="T2287" s="46"/>
      <c r="U2287" s="46"/>
      <c r="V2287" s="46"/>
      <c r="W2287" s="46"/>
      <c r="X2287" s="46"/>
    </row>
    <row r="2288" spans="1:24" x14ac:dyDescent="0.2">
      <c r="A2288" s="45"/>
      <c r="B2288" s="46"/>
      <c r="C2288" s="46"/>
      <c r="D2288" s="46"/>
      <c r="E2288" s="46"/>
      <c r="F2288" s="46"/>
      <c r="G2288" s="46"/>
      <c r="H2288" s="46"/>
      <c r="I2288" s="46"/>
      <c r="J2288" s="46"/>
      <c r="K2288" s="46"/>
      <c r="L2288" s="46"/>
      <c r="M2288" s="46"/>
      <c r="N2288" s="46"/>
      <c r="O2288" s="46"/>
      <c r="P2288" s="46"/>
      <c r="Q2288" s="46"/>
      <c r="R2288" s="46"/>
      <c r="S2288" s="46"/>
      <c r="T2288" s="46"/>
      <c r="U2288" s="46"/>
      <c r="V2288" s="46"/>
      <c r="W2288" s="46"/>
      <c r="X2288" s="46"/>
    </row>
    <row r="2289" spans="1:24" x14ac:dyDescent="0.2">
      <c r="A2289" s="45"/>
      <c r="B2289" s="46"/>
      <c r="C2289" s="46"/>
      <c r="D2289" s="46"/>
      <c r="E2289" s="46"/>
      <c r="F2289" s="46"/>
      <c r="G2289" s="46"/>
      <c r="H2289" s="46"/>
      <c r="I2289" s="46"/>
      <c r="J2289" s="46"/>
      <c r="K2289" s="46"/>
      <c r="L2289" s="46"/>
      <c r="M2289" s="46"/>
      <c r="N2289" s="46"/>
      <c r="O2289" s="46"/>
      <c r="P2289" s="46"/>
      <c r="Q2289" s="46"/>
      <c r="R2289" s="46"/>
      <c r="S2289" s="46"/>
      <c r="T2289" s="46"/>
      <c r="U2289" s="46"/>
      <c r="V2289" s="46"/>
      <c r="W2289" s="46"/>
      <c r="X2289" s="46"/>
    </row>
    <row r="2290" spans="1:24" x14ac:dyDescent="0.2">
      <c r="A2290" s="45"/>
      <c r="B2290" s="46"/>
      <c r="C2290" s="46"/>
      <c r="D2290" s="46"/>
      <c r="E2290" s="46"/>
      <c r="F2290" s="46"/>
      <c r="G2290" s="46"/>
      <c r="H2290" s="46"/>
      <c r="I2290" s="46"/>
      <c r="J2290" s="46"/>
      <c r="K2290" s="46"/>
      <c r="L2290" s="46"/>
      <c r="M2290" s="46"/>
      <c r="N2290" s="46"/>
      <c r="O2290" s="46"/>
      <c r="P2290" s="46"/>
      <c r="Q2290" s="46"/>
      <c r="R2290" s="46"/>
      <c r="S2290" s="46"/>
      <c r="T2290" s="46"/>
      <c r="U2290" s="46"/>
      <c r="V2290" s="46"/>
      <c r="W2290" s="46"/>
      <c r="X2290" s="46"/>
    </row>
    <row r="2291" spans="1:24" x14ac:dyDescent="0.2">
      <c r="A2291" s="45"/>
      <c r="B2291" s="46"/>
      <c r="C2291" s="46"/>
      <c r="D2291" s="46"/>
      <c r="E2291" s="46"/>
      <c r="F2291" s="46"/>
      <c r="G2291" s="46"/>
      <c r="H2291" s="46"/>
      <c r="I2291" s="46"/>
      <c r="J2291" s="46"/>
      <c r="K2291" s="46"/>
      <c r="L2291" s="46"/>
      <c r="M2291" s="46"/>
      <c r="N2291" s="46"/>
      <c r="O2291" s="46"/>
      <c r="P2291" s="46"/>
      <c r="Q2291" s="46"/>
      <c r="R2291" s="46"/>
      <c r="S2291" s="46"/>
      <c r="T2291" s="46"/>
      <c r="U2291" s="46"/>
      <c r="V2291" s="46"/>
      <c r="W2291" s="46"/>
      <c r="X2291" s="46"/>
    </row>
    <row r="2292" spans="1:24" x14ac:dyDescent="0.2">
      <c r="A2292" s="45"/>
      <c r="B2292" s="46"/>
      <c r="C2292" s="46"/>
      <c r="D2292" s="46"/>
      <c r="E2292" s="46"/>
      <c r="F2292" s="46"/>
      <c r="G2292" s="46"/>
      <c r="H2292" s="46"/>
      <c r="I2292" s="46"/>
      <c r="J2292" s="46"/>
      <c r="K2292" s="46"/>
      <c r="L2292" s="46"/>
      <c r="M2292" s="46"/>
      <c r="N2292" s="46"/>
      <c r="O2292" s="46"/>
      <c r="P2292" s="46"/>
      <c r="Q2292" s="46"/>
      <c r="R2292" s="46"/>
      <c r="S2292" s="46"/>
      <c r="T2292" s="46"/>
      <c r="U2292" s="46"/>
      <c r="V2292" s="46"/>
      <c r="W2292" s="46"/>
      <c r="X2292" s="46"/>
    </row>
    <row r="2293" spans="1:24" x14ac:dyDescent="0.2">
      <c r="A2293" s="45"/>
      <c r="B2293" s="46"/>
      <c r="C2293" s="46"/>
      <c r="D2293" s="46"/>
      <c r="E2293" s="46"/>
      <c r="F2293" s="46"/>
      <c r="G2293" s="46"/>
      <c r="H2293" s="46"/>
      <c r="I2293" s="46"/>
      <c r="J2293" s="46"/>
      <c r="K2293" s="46"/>
      <c r="L2293" s="46"/>
      <c r="M2293" s="46"/>
      <c r="N2293" s="46"/>
      <c r="O2293" s="46"/>
      <c r="P2293" s="46"/>
      <c r="Q2293" s="46"/>
      <c r="R2293" s="46"/>
      <c r="S2293" s="46"/>
      <c r="T2293" s="46"/>
      <c r="U2293" s="46"/>
      <c r="V2293" s="46"/>
      <c r="W2293" s="46"/>
      <c r="X2293" s="46"/>
    </row>
    <row r="2294" spans="1:24" x14ac:dyDescent="0.2">
      <c r="A2294" s="45"/>
      <c r="B2294" s="46"/>
      <c r="C2294" s="46"/>
      <c r="D2294" s="46"/>
      <c r="E2294" s="46"/>
      <c r="F2294" s="46"/>
      <c r="G2294" s="46"/>
      <c r="H2294" s="46"/>
      <c r="I2294" s="46"/>
      <c r="J2294" s="46"/>
      <c r="K2294" s="46"/>
      <c r="L2294" s="46"/>
      <c r="M2294" s="46"/>
      <c r="N2294" s="46"/>
      <c r="O2294" s="46"/>
      <c r="P2294" s="46"/>
      <c r="Q2294" s="46"/>
      <c r="R2294" s="46"/>
      <c r="S2294" s="46"/>
      <c r="T2294" s="46"/>
      <c r="U2294" s="46"/>
      <c r="V2294" s="46"/>
      <c r="W2294" s="46"/>
      <c r="X2294" s="46"/>
    </row>
    <row r="2295" spans="1:24" x14ac:dyDescent="0.2">
      <c r="A2295" s="45"/>
      <c r="B2295" s="46"/>
      <c r="C2295" s="46"/>
      <c r="D2295" s="46"/>
      <c r="E2295" s="46"/>
      <c r="F2295" s="46"/>
      <c r="G2295" s="46"/>
      <c r="H2295" s="46"/>
      <c r="I2295" s="46"/>
      <c r="J2295" s="46"/>
      <c r="K2295" s="46"/>
      <c r="L2295" s="46"/>
      <c r="M2295" s="46"/>
      <c r="N2295" s="46"/>
      <c r="O2295" s="46"/>
      <c r="P2295" s="46"/>
      <c r="Q2295" s="46"/>
      <c r="R2295" s="46"/>
      <c r="S2295" s="46"/>
      <c r="T2295" s="46"/>
      <c r="U2295" s="46"/>
      <c r="V2295" s="46"/>
      <c r="W2295" s="46"/>
      <c r="X2295" s="46"/>
    </row>
    <row r="2296" spans="1:24" x14ac:dyDescent="0.2">
      <c r="A2296" s="45"/>
      <c r="B2296" s="46"/>
      <c r="C2296" s="46"/>
      <c r="D2296" s="46"/>
      <c r="E2296" s="46"/>
      <c r="F2296" s="46"/>
      <c r="G2296" s="46"/>
      <c r="H2296" s="46"/>
      <c r="I2296" s="46"/>
      <c r="J2296" s="46"/>
      <c r="K2296" s="46"/>
      <c r="L2296" s="46"/>
      <c r="M2296" s="46"/>
      <c r="N2296" s="46"/>
      <c r="O2296" s="46"/>
      <c r="P2296" s="46"/>
      <c r="Q2296" s="46"/>
      <c r="R2296" s="46"/>
      <c r="S2296" s="46"/>
      <c r="T2296" s="46"/>
      <c r="U2296" s="46"/>
      <c r="V2296" s="46"/>
      <c r="W2296" s="46"/>
      <c r="X2296" s="46"/>
    </row>
    <row r="2297" spans="1:24" x14ac:dyDescent="0.2">
      <c r="A2297" s="45"/>
      <c r="B2297" s="46"/>
      <c r="C2297" s="46"/>
      <c r="D2297" s="46"/>
      <c r="E2297" s="46"/>
      <c r="F2297" s="46"/>
      <c r="G2297" s="46"/>
      <c r="H2297" s="46"/>
      <c r="I2297" s="46"/>
      <c r="J2297" s="46"/>
      <c r="K2297" s="46"/>
      <c r="L2297" s="46"/>
      <c r="M2297" s="46"/>
      <c r="N2297" s="46"/>
      <c r="O2297" s="46"/>
      <c r="P2297" s="46"/>
      <c r="Q2297" s="46"/>
      <c r="R2297" s="46"/>
      <c r="S2297" s="46"/>
      <c r="T2297" s="46"/>
      <c r="U2297" s="46"/>
      <c r="V2297" s="46"/>
      <c r="W2297" s="46"/>
      <c r="X2297" s="46"/>
    </row>
    <row r="2298" spans="1:24" x14ac:dyDescent="0.2">
      <c r="A2298" s="45"/>
      <c r="B2298" s="46"/>
      <c r="C2298" s="46"/>
      <c r="D2298" s="46"/>
      <c r="E2298" s="46"/>
      <c r="F2298" s="46"/>
      <c r="G2298" s="46"/>
      <c r="H2298" s="46"/>
      <c r="I2298" s="46"/>
      <c r="J2298" s="46"/>
      <c r="K2298" s="46"/>
      <c r="L2298" s="46"/>
      <c r="M2298" s="46"/>
      <c r="N2298" s="46"/>
      <c r="O2298" s="46"/>
      <c r="P2298" s="46"/>
      <c r="Q2298" s="46"/>
      <c r="R2298" s="46"/>
      <c r="S2298" s="46"/>
      <c r="T2298" s="46"/>
      <c r="U2298" s="46"/>
      <c r="V2298" s="46"/>
      <c r="W2298" s="46"/>
      <c r="X2298" s="46"/>
    </row>
    <row r="2299" spans="1:24" x14ac:dyDescent="0.2">
      <c r="A2299" s="45"/>
      <c r="B2299" s="46"/>
      <c r="C2299" s="46"/>
      <c r="D2299" s="46"/>
      <c r="E2299" s="46"/>
      <c r="F2299" s="46"/>
      <c r="G2299" s="46"/>
      <c r="H2299" s="46"/>
      <c r="I2299" s="46"/>
      <c r="J2299" s="46"/>
      <c r="K2299" s="46"/>
      <c r="L2299" s="46"/>
      <c r="M2299" s="46"/>
      <c r="N2299" s="46"/>
      <c r="O2299" s="46"/>
      <c r="P2299" s="46"/>
      <c r="Q2299" s="46"/>
      <c r="R2299" s="46"/>
      <c r="S2299" s="46"/>
      <c r="T2299" s="46"/>
      <c r="U2299" s="46"/>
      <c r="V2299" s="46"/>
      <c r="W2299" s="46"/>
      <c r="X2299" s="46"/>
    </row>
    <row r="2300" spans="1:24" x14ac:dyDescent="0.2">
      <c r="A2300" s="45"/>
      <c r="B2300" s="46"/>
      <c r="C2300" s="46"/>
      <c r="D2300" s="46"/>
      <c r="E2300" s="46"/>
      <c r="F2300" s="46"/>
      <c r="G2300" s="46"/>
      <c r="H2300" s="46"/>
      <c r="I2300" s="46"/>
      <c r="J2300" s="46"/>
      <c r="K2300" s="46"/>
      <c r="L2300" s="46"/>
      <c r="M2300" s="46"/>
      <c r="N2300" s="46"/>
      <c r="O2300" s="46"/>
      <c r="P2300" s="46"/>
      <c r="Q2300" s="46"/>
      <c r="R2300" s="46"/>
      <c r="S2300" s="46"/>
      <c r="T2300" s="46"/>
      <c r="U2300" s="46"/>
      <c r="V2300" s="46"/>
      <c r="W2300" s="46"/>
      <c r="X2300" s="46"/>
    </row>
    <row r="2301" spans="1:24" x14ac:dyDescent="0.2">
      <c r="A2301" s="45"/>
      <c r="B2301" s="46"/>
      <c r="C2301" s="46"/>
      <c r="D2301" s="46"/>
      <c r="E2301" s="46"/>
      <c r="F2301" s="46"/>
      <c r="G2301" s="46"/>
      <c r="H2301" s="46"/>
      <c r="I2301" s="46"/>
      <c r="J2301" s="46"/>
      <c r="K2301" s="46"/>
      <c r="L2301" s="46"/>
      <c r="M2301" s="46"/>
      <c r="N2301" s="46"/>
      <c r="O2301" s="46"/>
      <c r="P2301" s="46"/>
      <c r="Q2301" s="46"/>
      <c r="R2301" s="46"/>
      <c r="S2301" s="46"/>
      <c r="T2301" s="46"/>
      <c r="U2301" s="46"/>
      <c r="V2301" s="46"/>
      <c r="W2301" s="46"/>
      <c r="X2301" s="46"/>
    </row>
    <row r="2302" spans="1:24" x14ac:dyDescent="0.2">
      <c r="A2302" s="45"/>
      <c r="B2302" s="46"/>
      <c r="C2302" s="46"/>
      <c r="D2302" s="46"/>
      <c r="E2302" s="46"/>
      <c r="F2302" s="46"/>
      <c r="G2302" s="46"/>
      <c r="H2302" s="46"/>
      <c r="I2302" s="46"/>
      <c r="J2302" s="46"/>
      <c r="K2302" s="46"/>
      <c r="L2302" s="46"/>
      <c r="M2302" s="46"/>
      <c r="N2302" s="46"/>
      <c r="O2302" s="46"/>
      <c r="P2302" s="46"/>
      <c r="Q2302" s="46"/>
      <c r="R2302" s="46"/>
      <c r="S2302" s="46"/>
      <c r="T2302" s="46"/>
      <c r="U2302" s="46"/>
      <c r="V2302" s="46"/>
      <c r="W2302" s="46"/>
      <c r="X2302" s="46"/>
    </row>
    <row r="2303" spans="1:24" x14ac:dyDescent="0.2">
      <c r="A2303" s="45"/>
      <c r="B2303" s="46"/>
      <c r="C2303" s="46"/>
      <c r="D2303" s="46"/>
      <c r="E2303" s="46"/>
      <c r="F2303" s="46"/>
      <c r="G2303" s="46"/>
      <c r="H2303" s="46"/>
      <c r="I2303" s="46"/>
      <c r="J2303" s="46"/>
      <c r="K2303" s="46"/>
      <c r="L2303" s="46"/>
      <c r="M2303" s="46"/>
      <c r="N2303" s="46"/>
      <c r="O2303" s="46"/>
      <c r="P2303" s="46"/>
      <c r="Q2303" s="46"/>
      <c r="R2303" s="46"/>
      <c r="S2303" s="46"/>
      <c r="T2303" s="46"/>
      <c r="U2303" s="46"/>
      <c r="V2303" s="46"/>
      <c r="W2303" s="46"/>
      <c r="X2303" s="46"/>
    </row>
    <row r="2304" spans="1:24" x14ac:dyDescent="0.2">
      <c r="A2304" s="45"/>
      <c r="B2304" s="46"/>
      <c r="C2304" s="46"/>
      <c r="D2304" s="46"/>
      <c r="E2304" s="46"/>
      <c r="F2304" s="46"/>
      <c r="G2304" s="46"/>
      <c r="H2304" s="46"/>
      <c r="I2304" s="46"/>
      <c r="J2304" s="46"/>
      <c r="K2304" s="46"/>
      <c r="L2304" s="46"/>
      <c r="M2304" s="46"/>
      <c r="N2304" s="46"/>
      <c r="O2304" s="46"/>
      <c r="P2304" s="46"/>
      <c r="Q2304" s="46"/>
      <c r="R2304" s="46"/>
      <c r="S2304" s="46"/>
      <c r="T2304" s="46"/>
      <c r="U2304" s="46"/>
      <c r="V2304" s="46"/>
      <c r="W2304" s="46"/>
      <c r="X2304" s="46"/>
    </row>
    <row r="2305" spans="1:24" x14ac:dyDescent="0.2">
      <c r="A2305" s="45"/>
      <c r="B2305" s="46"/>
      <c r="C2305" s="46"/>
      <c r="D2305" s="46"/>
      <c r="E2305" s="46"/>
      <c r="F2305" s="46"/>
      <c r="G2305" s="46"/>
      <c r="H2305" s="46"/>
      <c r="I2305" s="46"/>
      <c r="J2305" s="46"/>
      <c r="K2305" s="46"/>
      <c r="L2305" s="46"/>
      <c r="M2305" s="46"/>
      <c r="N2305" s="46"/>
      <c r="O2305" s="46"/>
      <c r="P2305" s="46"/>
      <c r="Q2305" s="46"/>
      <c r="R2305" s="46"/>
      <c r="S2305" s="46"/>
      <c r="T2305" s="46"/>
      <c r="U2305" s="46"/>
      <c r="V2305" s="46"/>
      <c r="W2305" s="46"/>
      <c r="X2305" s="46"/>
    </row>
    <row r="2306" spans="1:24" x14ac:dyDescent="0.2">
      <c r="A2306" s="45"/>
      <c r="B2306" s="46"/>
      <c r="C2306" s="46"/>
      <c r="D2306" s="46"/>
      <c r="E2306" s="46"/>
      <c r="F2306" s="46"/>
      <c r="G2306" s="46"/>
      <c r="H2306" s="46"/>
      <c r="I2306" s="46"/>
      <c r="J2306" s="46"/>
      <c r="K2306" s="46"/>
      <c r="L2306" s="46"/>
      <c r="M2306" s="46"/>
      <c r="N2306" s="46"/>
      <c r="O2306" s="46"/>
      <c r="P2306" s="46"/>
      <c r="Q2306" s="46"/>
      <c r="R2306" s="46"/>
      <c r="S2306" s="46"/>
      <c r="T2306" s="46"/>
      <c r="U2306" s="46"/>
      <c r="V2306" s="46"/>
      <c r="W2306" s="46"/>
      <c r="X2306" s="46"/>
    </row>
    <row r="2307" spans="1:24" x14ac:dyDescent="0.2">
      <c r="A2307" s="45"/>
      <c r="B2307" s="46"/>
      <c r="C2307" s="46"/>
      <c r="D2307" s="46"/>
      <c r="E2307" s="46"/>
      <c r="F2307" s="46"/>
      <c r="G2307" s="46"/>
      <c r="H2307" s="46"/>
      <c r="I2307" s="46"/>
      <c r="J2307" s="46"/>
      <c r="K2307" s="46"/>
      <c r="L2307" s="46"/>
      <c r="M2307" s="46"/>
      <c r="N2307" s="46"/>
      <c r="O2307" s="46"/>
      <c r="P2307" s="46"/>
      <c r="Q2307" s="46"/>
      <c r="R2307" s="46"/>
      <c r="S2307" s="46"/>
      <c r="T2307" s="46"/>
      <c r="U2307" s="46"/>
      <c r="V2307" s="46"/>
      <c r="W2307" s="46"/>
      <c r="X2307" s="46"/>
    </row>
    <row r="2308" spans="1:24" x14ac:dyDescent="0.2">
      <c r="A2308" s="45"/>
      <c r="B2308" s="46"/>
      <c r="C2308" s="46"/>
      <c r="D2308" s="46"/>
      <c r="E2308" s="46"/>
      <c r="F2308" s="46"/>
      <c r="G2308" s="46"/>
      <c r="H2308" s="46"/>
      <c r="I2308" s="46"/>
      <c r="J2308" s="46"/>
      <c r="K2308" s="46"/>
      <c r="L2308" s="46"/>
      <c r="M2308" s="46"/>
      <c r="N2308" s="46"/>
      <c r="O2308" s="46"/>
      <c r="P2308" s="46"/>
      <c r="Q2308" s="46"/>
      <c r="R2308" s="46"/>
      <c r="S2308" s="46"/>
      <c r="T2308" s="46"/>
      <c r="U2308" s="46"/>
      <c r="V2308" s="46"/>
      <c r="W2308" s="46"/>
      <c r="X2308" s="46"/>
    </row>
    <row r="2309" spans="1:24" x14ac:dyDescent="0.2">
      <c r="A2309" s="45"/>
      <c r="B2309" s="46"/>
      <c r="C2309" s="46"/>
      <c r="D2309" s="46"/>
      <c r="E2309" s="46"/>
      <c r="F2309" s="46"/>
      <c r="G2309" s="46"/>
      <c r="H2309" s="46"/>
      <c r="I2309" s="46"/>
      <c r="J2309" s="46"/>
      <c r="K2309" s="46"/>
      <c r="L2309" s="46"/>
      <c r="M2309" s="46"/>
      <c r="N2309" s="46"/>
      <c r="O2309" s="46"/>
      <c r="P2309" s="46"/>
      <c r="Q2309" s="46"/>
      <c r="R2309" s="46"/>
      <c r="S2309" s="46"/>
      <c r="T2309" s="46"/>
      <c r="U2309" s="46"/>
      <c r="V2309" s="46"/>
      <c r="W2309" s="46"/>
      <c r="X2309" s="46"/>
    </row>
    <row r="2310" spans="1:24" x14ac:dyDescent="0.2">
      <c r="A2310" s="45"/>
      <c r="B2310" s="46"/>
      <c r="C2310" s="46"/>
      <c r="D2310" s="46"/>
      <c r="E2310" s="46"/>
      <c r="F2310" s="46"/>
      <c r="G2310" s="46"/>
      <c r="H2310" s="46"/>
      <c r="I2310" s="46"/>
      <c r="J2310" s="46"/>
      <c r="K2310" s="46"/>
      <c r="L2310" s="46"/>
      <c r="M2310" s="46"/>
      <c r="N2310" s="46"/>
      <c r="O2310" s="46"/>
      <c r="P2310" s="46"/>
      <c r="Q2310" s="46"/>
      <c r="R2310" s="46"/>
      <c r="S2310" s="46"/>
      <c r="T2310" s="46"/>
      <c r="U2310" s="46"/>
      <c r="V2310" s="46"/>
      <c r="W2310" s="46"/>
      <c r="X2310" s="46"/>
    </row>
    <row r="2311" spans="1:24" x14ac:dyDescent="0.2">
      <c r="A2311" s="45"/>
      <c r="B2311" s="46"/>
      <c r="C2311" s="46"/>
      <c r="D2311" s="46"/>
      <c r="E2311" s="46"/>
      <c r="F2311" s="46"/>
      <c r="G2311" s="46"/>
      <c r="H2311" s="46"/>
      <c r="I2311" s="46"/>
      <c r="J2311" s="46"/>
      <c r="K2311" s="46"/>
      <c r="L2311" s="46"/>
      <c r="M2311" s="46"/>
      <c r="N2311" s="46"/>
      <c r="O2311" s="46"/>
      <c r="P2311" s="46"/>
      <c r="Q2311" s="46"/>
      <c r="R2311" s="46"/>
      <c r="S2311" s="46"/>
      <c r="T2311" s="46"/>
      <c r="U2311" s="46"/>
      <c r="V2311" s="46"/>
      <c r="W2311" s="46"/>
      <c r="X2311" s="46"/>
    </row>
    <row r="2312" spans="1:24" x14ac:dyDescent="0.2">
      <c r="A2312" s="45"/>
      <c r="B2312" s="46"/>
      <c r="C2312" s="46"/>
      <c r="D2312" s="46"/>
      <c r="E2312" s="46"/>
      <c r="F2312" s="46"/>
      <c r="G2312" s="46"/>
      <c r="H2312" s="46"/>
      <c r="I2312" s="46"/>
      <c r="J2312" s="46"/>
      <c r="K2312" s="46"/>
      <c r="L2312" s="46"/>
      <c r="M2312" s="46"/>
      <c r="N2312" s="46"/>
      <c r="O2312" s="46"/>
      <c r="P2312" s="46"/>
      <c r="Q2312" s="46"/>
      <c r="R2312" s="46"/>
      <c r="S2312" s="46"/>
      <c r="T2312" s="46"/>
      <c r="U2312" s="46"/>
      <c r="V2312" s="46"/>
      <c r="W2312" s="46"/>
      <c r="X2312" s="46"/>
    </row>
    <row r="2313" spans="1:24" x14ac:dyDescent="0.2">
      <c r="A2313" s="45"/>
      <c r="B2313" s="46"/>
      <c r="C2313" s="46"/>
      <c r="D2313" s="46"/>
      <c r="E2313" s="46"/>
      <c r="F2313" s="46"/>
      <c r="G2313" s="46"/>
      <c r="H2313" s="46"/>
      <c r="I2313" s="46"/>
      <c r="J2313" s="46"/>
      <c r="K2313" s="46"/>
      <c r="L2313" s="46"/>
      <c r="M2313" s="46"/>
      <c r="N2313" s="46"/>
      <c r="O2313" s="46"/>
      <c r="P2313" s="46"/>
      <c r="Q2313" s="46"/>
      <c r="R2313" s="46"/>
      <c r="S2313" s="46"/>
      <c r="T2313" s="46"/>
      <c r="U2313" s="46"/>
      <c r="V2313" s="46"/>
      <c r="W2313" s="46"/>
      <c r="X2313" s="46"/>
    </row>
    <row r="2314" spans="1:24" x14ac:dyDescent="0.2">
      <c r="A2314" s="45"/>
      <c r="B2314" s="46"/>
      <c r="C2314" s="46"/>
      <c r="D2314" s="46"/>
      <c r="E2314" s="46"/>
      <c r="F2314" s="46"/>
      <c r="G2314" s="46"/>
      <c r="H2314" s="46"/>
      <c r="I2314" s="46"/>
      <c r="J2314" s="46"/>
      <c r="K2314" s="46"/>
      <c r="L2314" s="46"/>
      <c r="M2314" s="46"/>
      <c r="N2314" s="46"/>
      <c r="O2314" s="46"/>
      <c r="P2314" s="46"/>
      <c r="Q2314" s="46"/>
      <c r="R2314" s="46"/>
      <c r="S2314" s="46"/>
      <c r="T2314" s="46"/>
      <c r="U2314" s="46"/>
      <c r="V2314" s="46"/>
      <c r="W2314" s="46"/>
      <c r="X2314" s="46"/>
    </row>
    <row r="2315" spans="1:24" x14ac:dyDescent="0.2">
      <c r="A2315" s="45"/>
      <c r="B2315" s="46"/>
      <c r="C2315" s="46"/>
      <c r="D2315" s="46"/>
      <c r="E2315" s="46"/>
      <c r="F2315" s="46"/>
      <c r="G2315" s="46"/>
      <c r="H2315" s="46"/>
      <c r="I2315" s="46"/>
      <c r="J2315" s="46"/>
      <c r="K2315" s="46"/>
      <c r="L2315" s="46"/>
      <c r="M2315" s="46"/>
      <c r="N2315" s="46"/>
      <c r="O2315" s="46"/>
      <c r="P2315" s="46"/>
      <c r="Q2315" s="46"/>
      <c r="R2315" s="46"/>
      <c r="S2315" s="46"/>
      <c r="T2315" s="46"/>
      <c r="U2315" s="46"/>
      <c r="V2315" s="46"/>
      <c r="W2315" s="46"/>
      <c r="X2315" s="46"/>
    </row>
    <row r="2316" spans="1:24" x14ac:dyDescent="0.2">
      <c r="A2316" s="45"/>
      <c r="B2316" s="46"/>
      <c r="C2316" s="46"/>
      <c r="D2316" s="46"/>
      <c r="E2316" s="46"/>
      <c r="F2316" s="46"/>
      <c r="G2316" s="46"/>
      <c r="H2316" s="46"/>
      <c r="I2316" s="46"/>
      <c r="J2316" s="46"/>
      <c r="K2316" s="46"/>
      <c r="L2316" s="46"/>
      <c r="M2316" s="46"/>
      <c r="N2316" s="46"/>
      <c r="O2316" s="46"/>
      <c r="P2316" s="46"/>
      <c r="Q2316" s="46"/>
      <c r="R2316" s="46"/>
      <c r="S2316" s="46"/>
      <c r="T2316" s="46"/>
      <c r="U2316" s="46"/>
      <c r="V2316" s="46"/>
      <c r="W2316" s="46"/>
      <c r="X2316" s="46"/>
    </row>
    <row r="2317" spans="1:24" x14ac:dyDescent="0.2">
      <c r="A2317" s="45"/>
      <c r="B2317" s="46"/>
      <c r="C2317" s="46"/>
      <c r="D2317" s="46"/>
      <c r="E2317" s="46"/>
      <c r="F2317" s="46"/>
      <c r="G2317" s="46"/>
      <c r="H2317" s="46"/>
      <c r="I2317" s="46"/>
      <c r="J2317" s="46"/>
      <c r="K2317" s="46"/>
      <c r="L2317" s="46"/>
      <c r="M2317" s="46"/>
      <c r="N2317" s="46"/>
      <c r="O2317" s="46"/>
      <c r="P2317" s="46"/>
      <c r="Q2317" s="46"/>
      <c r="R2317" s="46"/>
      <c r="S2317" s="46"/>
      <c r="T2317" s="46"/>
      <c r="U2317" s="46"/>
      <c r="V2317" s="46"/>
      <c r="W2317" s="46"/>
      <c r="X2317" s="46"/>
    </row>
    <row r="2318" spans="1:24" x14ac:dyDescent="0.2">
      <c r="A2318" s="45"/>
      <c r="B2318" s="46"/>
      <c r="C2318" s="46"/>
      <c r="D2318" s="46"/>
      <c r="E2318" s="46"/>
      <c r="F2318" s="46"/>
      <c r="G2318" s="46"/>
      <c r="H2318" s="46"/>
      <c r="I2318" s="46"/>
      <c r="J2318" s="46"/>
      <c r="K2318" s="46"/>
      <c r="L2318" s="46"/>
      <c r="M2318" s="46"/>
      <c r="N2318" s="46"/>
      <c r="O2318" s="46"/>
      <c r="P2318" s="46"/>
      <c r="Q2318" s="46"/>
      <c r="R2318" s="46"/>
      <c r="S2318" s="46"/>
      <c r="T2318" s="46"/>
      <c r="U2318" s="46"/>
      <c r="V2318" s="46"/>
      <c r="W2318" s="46"/>
      <c r="X2318" s="46"/>
    </row>
    <row r="2319" spans="1:24" x14ac:dyDescent="0.2">
      <c r="A2319" s="45"/>
      <c r="B2319" s="46"/>
      <c r="C2319" s="46"/>
      <c r="D2319" s="46"/>
      <c r="E2319" s="46"/>
      <c r="F2319" s="46"/>
      <c r="G2319" s="46"/>
      <c r="H2319" s="46"/>
      <c r="I2319" s="46"/>
      <c r="J2319" s="46"/>
      <c r="K2319" s="46"/>
      <c r="L2319" s="46"/>
      <c r="M2319" s="46"/>
      <c r="N2319" s="46"/>
      <c r="O2319" s="46"/>
      <c r="P2319" s="46"/>
      <c r="Q2319" s="46"/>
      <c r="R2319" s="46"/>
      <c r="S2319" s="46"/>
      <c r="T2319" s="46"/>
      <c r="U2319" s="46"/>
      <c r="V2319" s="46"/>
      <c r="W2319" s="46"/>
      <c r="X2319" s="46"/>
    </row>
    <row r="2320" spans="1:24" x14ac:dyDescent="0.2">
      <c r="A2320" s="45"/>
      <c r="B2320" s="46"/>
      <c r="C2320" s="46"/>
      <c r="D2320" s="46"/>
      <c r="E2320" s="46"/>
      <c r="F2320" s="46"/>
      <c r="G2320" s="46"/>
      <c r="H2320" s="46"/>
      <c r="I2320" s="46"/>
      <c r="J2320" s="46"/>
      <c r="K2320" s="46"/>
      <c r="L2320" s="46"/>
      <c r="M2320" s="46"/>
      <c r="N2320" s="46"/>
      <c r="O2320" s="46"/>
      <c r="P2320" s="46"/>
      <c r="Q2320" s="46"/>
      <c r="R2320" s="46"/>
      <c r="S2320" s="46"/>
      <c r="T2320" s="46"/>
      <c r="U2320" s="46"/>
      <c r="V2320" s="46"/>
      <c r="W2320" s="46"/>
      <c r="X2320" s="46"/>
    </row>
    <row r="2321" spans="1:24" x14ac:dyDescent="0.2">
      <c r="A2321" s="45"/>
      <c r="B2321" s="46"/>
      <c r="C2321" s="46"/>
      <c r="D2321" s="46"/>
      <c r="E2321" s="46"/>
      <c r="F2321" s="46"/>
      <c r="G2321" s="46"/>
      <c r="H2321" s="46"/>
      <c r="I2321" s="46"/>
      <c r="J2321" s="46"/>
      <c r="K2321" s="46"/>
      <c r="L2321" s="46"/>
      <c r="M2321" s="46"/>
      <c r="N2321" s="46"/>
      <c r="O2321" s="46"/>
      <c r="P2321" s="46"/>
      <c r="Q2321" s="46"/>
      <c r="R2321" s="46"/>
      <c r="S2321" s="46"/>
      <c r="T2321" s="46"/>
      <c r="U2321" s="46"/>
      <c r="V2321" s="46"/>
      <c r="W2321" s="46"/>
      <c r="X2321" s="46"/>
    </row>
    <row r="2322" spans="1:24" x14ac:dyDescent="0.2">
      <c r="A2322" s="45"/>
      <c r="B2322" s="46"/>
      <c r="C2322" s="46"/>
      <c r="D2322" s="46"/>
      <c r="E2322" s="46"/>
      <c r="F2322" s="46"/>
      <c r="G2322" s="46"/>
      <c r="H2322" s="46"/>
      <c r="I2322" s="46"/>
      <c r="J2322" s="46"/>
      <c r="K2322" s="46"/>
      <c r="L2322" s="46"/>
      <c r="M2322" s="46"/>
      <c r="N2322" s="46"/>
      <c r="O2322" s="46"/>
      <c r="P2322" s="46"/>
      <c r="Q2322" s="46"/>
      <c r="R2322" s="46"/>
      <c r="S2322" s="46"/>
      <c r="T2322" s="46"/>
      <c r="U2322" s="46"/>
      <c r="V2322" s="46"/>
      <c r="W2322" s="46"/>
      <c r="X2322" s="46"/>
    </row>
    <row r="2323" spans="1:24" x14ac:dyDescent="0.2">
      <c r="A2323" s="45"/>
      <c r="B2323" s="46"/>
      <c r="C2323" s="46"/>
      <c r="D2323" s="46"/>
      <c r="E2323" s="46"/>
      <c r="F2323" s="46"/>
      <c r="G2323" s="46"/>
      <c r="H2323" s="46"/>
      <c r="I2323" s="46"/>
      <c r="J2323" s="46"/>
      <c r="K2323" s="46"/>
      <c r="L2323" s="46"/>
      <c r="M2323" s="46"/>
      <c r="N2323" s="46"/>
      <c r="O2323" s="46"/>
      <c r="P2323" s="46"/>
      <c r="Q2323" s="46"/>
      <c r="R2323" s="46"/>
      <c r="S2323" s="46"/>
      <c r="T2323" s="46"/>
      <c r="U2323" s="46"/>
      <c r="V2323" s="46"/>
      <c r="W2323" s="46"/>
      <c r="X2323" s="46"/>
    </row>
    <row r="2324" spans="1:24" x14ac:dyDescent="0.2">
      <c r="A2324" s="45"/>
      <c r="B2324" s="46"/>
      <c r="C2324" s="46"/>
      <c r="D2324" s="46"/>
      <c r="E2324" s="46"/>
      <c r="F2324" s="46"/>
      <c r="G2324" s="46"/>
      <c r="H2324" s="46"/>
      <c r="I2324" s="46"/>
      <c r="J2324" s="46"/>
      <c r="K2324" s="46"/>
      <c r="L2324" s="46"/>
      <c r="M2324" s="46"/>
      <c r="N2324" s="46"/>
      <c r="O2324" s="46"/>
      <c r="P2324" s="46"/>
      <c r="Q2324" s="46"/>
      <c r="R2324" s="46"/>
      <c r="S2324" s="46"/>
      <c r="T2324" s="46"/>
      <c r="U2324" s="46"/>
      <c r="V2324" s="46"/>
      <c r="W2324" s="46"/>
      <c r="X2324" s="46"/>
    </row>
    <row r="2325" spans="1:24" x14ac:dyDescent="0.2">
      <c r="A2325" s="45"/>
      <c r="B2325" s="46"/>
      <c r="C2325" s="46"/>
      <c r="D2325" s="46"/>
      <c r="E2325" s="46"/>
      <c r="F2325" s="46"/>
      <c r="G2325" s="46"/>
      <c r="H2325" s="46"/>
      <c r="I2325" s="46"/>
      <c r="J2325" s="46"/>
      <c r="K2325" s="46"/>
      <c r="L2325" s="46"/>
      <c r="M2325" s="46"/>
      <c r="N2325" s="46"/>
      <c r="O2325" s="46"/>
      <c r="P2325" s="46"/>
      <c r="Q2325" s="46"/>
      <c r="R2325" s="46"/>
      <c r="S2325" s="46"/>
      <c r="T2325" s="46"/>
      <c r="U2325" s="46"/>
      <c r="V2325" s="46"/>
      <c r="W2325" s="46"/>
      <c r="X2325" s="46"/>
    </row>
    <row r="2326" spans="1:24" x14ac:dyDescent="0.2">
      <c r="A2326" s="45"/>
      <c r="B2326" s="46"/>
      <c r="C2326" s="46"/>
      <c r="D2326" s="46"/>
      <c r="E2326" s="46"/>
      <c r="F2326" s="46"/>
      <c r="G2326" s="46"/>
      <c r="H2326" s="46"/>
      <c r="I2326" s="46"/>
      <c r="J2326" s="46"/>
      <c r="K2326" s="46"/>
      <c r="L2326" s="46"/>
      <c r="M2326" s="46"/>
      <c r="N2326" s="46"/>
      <c r="O2326" s="46"/>
      <c r="P2326" s="46"/>
      <c r="Q2326" s="46"/>
      <c r="R2326" s="46"/>
      <c r="S2326" s="46"/>
      <c r="T2326" s="46"/>
      <c r="U2326" s="46"/>
      <c r="V2326" s="46"/>
      <c r="W2326" s="46"/>
      <c r="X2326" s="46"/>
    </row>
    <row r="2327" spans="1:24" x14ac:dyDescent="0.2">
      <c r="A2327" s="45"/>
      <c r="B2327" s="46"/>
      <c r="C2327" s="46"/>
      <c r="D2327" s="46"/>
      <c r="E2327" s="46"/>
      <c r="F2327" s="46"/>
      <c r="G2327" s="46"/>
      <c r="H2327" s="46"/>
      <c r="I2327" s="46"/>
      <c r="J2327" s="46"/>
      <c r="K2327" s="46"/>
      <c r="L2327" s="46"/>
      <c r="M2327" s="46"/>
      <c r="N2327" s="46"/>
      <c r="O2327" s="46"/>
      <c r="P2327" s="46"/>
      <c r="Q2327" s="46"/>
      <c r="R2327" s="46"/>
      <c r="S2327" s="46"/>
      <c r="T2327" s="46"/>
      <c r="U2327" s="46"/>
      <c r="V2327" s="46"/>
      <c r="W2327" s="46"/>
      <c r="X2327" s="46"/>
    </row>
    <row r="2328" spans="1:24" x14ac:dyDescent="0.2">
      <c r="A2328" s="45"/>
      <c r="B2328" s="46"/>
      <c r="C2328" s="46"/>
      <c r="D2328" s="46"/>
      <c r="E2328" s="46"/>
      <c r="F2328" s="46"/>
      <c r="G2328" s="46"/>
      <c r="H2328" s="46"/>
      <c r="I2328" s="46"/>
      <c r="J2328" s="46"/>
      <c r="K2328" s="46"/>
      <c r="L2328" s="46"/>
      <c r="M2328" s="46"/>
      <c r="N2328" s="46"/>
      <c r="O2328" s="46"/>
      <c r="P2328" s="46"/>
      <c r="Q2328" s="46"/>
      <c r="R2328" s="46"/>
      <c r="S2328" s="46"/>
      <c r="T2328" s="46"/>
      <c r="U2328" s="46"/>
      <c r="V2328" s="46"/>
      <c r="W2328" s="46"/>
      <c r="X2328" s="46"/>
    </row>
    <row r="2329" spans="1:24" x14ac:dyDescent="0.2">
      <c r="A2329" s="45"/>
      <c r="B2329" s="46"/>
      <c r="C2329" s="46"/>
      <c r="D2329" s="46"/>
      <c r="E2329" s="46"/>
      <c r="F2329" s="46"/>
      <c r="G2329" s="46"/>
      <c r="H2329" s="46"/>
      <c r="I2329" s="46"/>
      <c r="J2329" s="46"/>
      <c r="K2329" s="46"/>
      <c r="L2329" s="46"/>
      <c r="M2329" s="46"/>
      <c r="N2329" s="46"/>
      <c r="O2329" s="46"/>
      <c r="P2329" s="46"/>
      <c r="Q2329" s="46"/>
      <c r="R2329" s="46"/>
      <c r="S2329" s="46"/>
      <c r="T2329" s="46"/>
      <c r="U2329" s="46"/>
      <c r="V2329" s="46"/>
      <c r="W2329" s="46"/>
      <c r="X2329" s="46"/>
    </row>
    <row r="2330" spans="1:24" x14ac:dyDescent="0.2">
      <c r="A2330" s="45"/>
      <c r="B2330" s="46"/>
      <c r="C2330" s="46"/>
      <c r="D2330" s="46"/>
      <c r="E2330" s="46"/>
      <c r="F2330" s="46"/>
      <c r="G2330" s="46"/>
      <c r="H2330" s="46"/>
      <c r="I2330" s="46"/>
      <c r="J2330" s="46"/>
      <c r="K2330" s="46"/>
      <c r="L2330" s="46"/>
      <c r="M2330" s="46"/>
      <c r="N2330" s="46"/>
      <c r="O2330" s="46"/>
      <c r="P2330" s="46"/>
      <c r="Q2330" s="46"/>
      <c r="R2330" s="46"/>
      <c r="S2330" s="46"/>
      <c r="T2330" s="46"/>
      <c r="U2330" s="46"/>
      <c r="V2330" s="46"/>
      <c r="W2330" s="46"/>
      <c r="X2330" s="46"/>
    </row>
    <row r="2331" spans="1:24" x14ac:dyDescent="0.2">
      <c r="A2331" s="45"/>
      <c r="B2331" s="46"/>
      <c r="C2331" s="46"/>
      <c r="D2331" s="46"/>
      <c r="E2331" s="46"/>
      <c r="F2331" s="46"/>
      <c r="G2331" s="46"/>
      <c r="H2331" s="46"/>
      <c r="I2331" s="46"/>
      <c r="J2331" s="46"/>
      <c r="K2331" s="46"/>
      <c r="L2331" s="46"/>
      <c r="M2331" s="46"/>
      <c r="N2331" s="46"/>
      <c r="O2331" s="46"/>
      <c r="P2331" s="46"/>
      <c r="Q2331" s="46"/>
      <c r="R2331" s="46"/>
      <c r="S2331" s="46"/>
      <c r="T2331" s="46"/>
      <c r="U2331" s="46"/>
      <c r="V2331" s="46"/>
      <c r="W2331" s="46"/>
      <c r="X2331" s="46"/>
    </row>
    <row r="2332" spans="1:24" x14ac:dyDescent="0.2">
      <c r="A2332" s="45"/>
      <c r="B2332" s="46"/>
      <c r="C2332" s="46"/>
      <c r="D2332" s="46"/>
      <c r="E2332" s="46"/>
      <c r="F2332" s="46"/>
      <c r="G2332" s="46"/>
      <c r="H2332" s="46"/>
      <c r="I2332" s="46"/>
      <c r="J2332" s="46"/>
      <c r="K2332" s="46"/>
      <c r="L2332" s="46"/>
      <c r="M2332" s="46"/>
      <c r="N2332" s="46"/>
      <c r="O2332" s="46"/>
      <c r="P2332" s="46"/>
      <c r="Q2332" s="46"/>
      <c r="R2332" s="46"/>
      <c r="S2332" s="46"/>
      <c r="T2332" s="46"/>
      <c r="U2332" s="46"/>
      <c r="V2332" s="46"/>
      <c r="W2332" s="46"/>
      <c r="X2332" s="46"/>
    </row>
    <row r="2333" spans="1:24" x14ac:dyDescent="0.2">
      <c r="A2333" s="45"/>
      <c r="B2333" s="46"/>
      <c r="C2333" s="46"/>
      <c r="D2333" s="46"/>
      <c r="E2333" s="46"/>
      <c r="F2333" s="46"/>
      <c r="G2333" s="46"/>
      <c r="H2333" s="46"/>
      <c r="I2333" s="46"/>
      <c r="J2333" s="46"/>
      <c r="K2333" s="46"/>
      <c r="L2333" s="46"/>
      <c r="M2333" s="46"/>
      <c r="N2333" s="46"/>
      <c r="O2333" s="46"/>
      <c r="P2333" s="46"/>
      <c r="Q2333" s="46"/>
      <c r="R2333" s="46"/>
      <c r="S2333" s="46"/>
      <c r="T2333" s="46"/>
      <c r="U2333" s="46"/>
      <c r="V2333" s="46"/>
      <c r="W2333" s="46"/>
      <c r="X2333" s="46"/>
    </row>
    <row r="2334" spans="1:24" x14ac:dyDescent="0.2">
      <c r="A2334" s="45"/>
      <c r="B2334" s="46"/>
      <c r="C2334" s="46"/>
      <c r="D2334" s="46"/>
      <c r="E2334" s="46"/>
      <c r="F2334" s="46"/>
      <c r="G2334" s="46"/>
      <c r="H2334" s="46"/>
      <c r="I2334" s="46"/>
      <c r="J2334" s="46"/>
      <c r="K2334" s="46"/>
      <c r="L2334" s="46"/>
      <c r="M2334" s="46"/>
      <c r="N2334" s="46"/>
      <c r="O2334" s="46"/>
      <c r="P2334" s="46"/>
      <c r="Q2334" s="46"/>
      <c r="R2334" s="46"/>
      <c r="S2334" s="46"/>
      <c r="T2334" s="46"/>
      <c r="U2334" s="46"/>
      <c r="V2334" s="46"/>
      <c r="W2334" s="46"/>
      <c r="X2334" s="46"/>
    </row>
    <row r="2335" spans="1:24" x14ac:dyDescent="0.2">
      <c r="A2335" s="45"/>
      <c r="B2335" s="46"/>
      <c r="C2335" s="46"/>
      <c r="D2335" s="46"/>
      <c r="E2335" s="46"/>
      <c r="F2335" s="46"/>
      <c r="G2335" s="46"/>
      <c r="H2335" s="46"/>
      <c r="I2335" s="46"/>
      <c r="J2335" s="46"/>
      <c r="K2335" s="46"/>
      <c r="L2335" s="46"/>
      <c r="M2335" s="46"/>
      <c r="N2335" s="46"/>
      <c r="O2335" s="46"/>
      <c r="P2335" s="46"/>
      <c r="Q2335" s="46"/>
      <c r="R2335" s="46"/>
      <c r="S2335" s="46"/>
      <c r="T2335" s="46"/>
      <c r="U2335" s="46"/>
      <c r="V2335" s="46"/>
      <c r="W2335" s="46"/>
      <c r="X2335" s="46"/>
    </row>
    <row r="2336" spans="1:24" x14ac:dyDescent="0.2">
      <c r="A2336" s="45"/>
      <c r="B2336" s="46"/>
      <c r="C2336" s="46"/>
      <c r="D2336" s="46"/>
      <c r="E2336" s="46"/>
      <c r="F2336" s="46"/>
      <c r="G2336" s="46"/>
      <c r="H2336" s="46"/>
      <c r="I2336" s="46"/>
      <c r="J2336" s="46"/>
      <c r="K2336" s="46"/>
      <c r="L2336" s="46"/>
      <c r="M2336" s="46"/>
      <c r="N2336" s="46"/>
      <c r="O2336" s="46"/>
      <c r="P2336" s="46"/>
      <c r="Q2336" s="46"/>
      <c r="R2336" s="46"/>
      <c r="S2336" s="46"/>
      <c r="T2336" s="46"/>
      <c r="U2336" s="46"/>
      <c r="V2336" s="46"/>
      <c r="W2336" s="46"/>
      <c r="X2336" s="46"/>
    </row>
    <row r="2337" spans="1:24" x14ac:dyDescent="0.2">
      <c r="A2337" s="45"/>
      <c r="B2337" s="46"/>
      <c r="C2337" s="46"/>
      <c r="D2337" s="46"/>
      <c r="E2337" s="46"/>
      <c r="F2337" s="46"/>
      <c r="G2337" s="46"/>
      <c r="H2337" s="46"/>
      <c r="I2337" s="46"/>
      <c r="J2337" s="46"/>
      <c r="K2337" s="46"/>
      <c r="L2337" s="46"/>
      <c r="M2337" s="46"/>
      <c r="N2337" s="46"/>
      <c r="O2337" s="46"/>
      <c r="P2337" s="46"/>
      <c r="Q2337" s="46"/>
      <c r="R2337" s="46"/>
      <c r="S2337" s="46"/>
      <c r="T2337" s="46"/>
      <c r="U2337" s="46"/>
      <c r="V2337" s="46"/>
      <c r="W2337" s="46"/>
      <c r="X2337" s="46"/>
    </row>
    <row r="2338" spans="1:24" x14ac:dyDescent="0.2">
      <c r="A2338" s="45"/>
      <c r="B2338" s="46"/>
      <c r="C2338" s="46"/>
      <c r="D2338" s="46"/>
      <c r="E2338" s="46"/>
      <c r="F2338" s="46"/>
      <c r="G2338" s="46"/>
      <c r="H2338" s="46"/>
      <c r="I2338" s="46"/>
      <c r="J2338" s="46"/>
      <c r="K2338" s="46"/>
      <c r="L2338" s="46"/>
      <c r="M2338" s="46"/>
      <c r="N2338" s="46"/>
      <c r="O2338" s="46"/>
      <c r="P2338" s="46"/>
      <c r="Q2338" s="46"/>
      <c r="R2338" s="46"/>
      <c r="S2338" s="46"/>
      <c r="T2338" s="46"/>
      <c r="U2338" s="46"/>
      <c r="V2338" s="46"/>
      <c r="W2338" s="46"/>
      <c r="X2338" s="46"/>
    </row>
    <row r="2339" spans="1:24" x14ac:dyDescent="0.2">
      <c r="A2339" s="45"/>
      <c r="B2339" s="46"/>
      <c r="C2339" s="46"/>
      <c r="D2339" s="46"/>
      <c r="E2339" s="46"/>
      <c r="F2339" s="46"/>
      <c r="G2339" s="46"/>
      <c r="H2339" s="46"/>
      <c r="I2339" s="46"/>
      <c r="J2339" s="46"/>
      <c r="K2339" s="46"/>
      <c r="L2339" s="46"/>
      <c r="M2339" s="46"/>
      <c r="N2339" s="46"/>
      <c r="O2339" s="46"/>
      <c r="P2339" s="46"/>
      <c r="Q2339" s="46"/>
      <c r="R2339" s="46"/>
      <c r="S2339" s="46"/>
      <c r="T2339" s="46"/>
      <c r="U2339" s="46"/>
      <c r="V2339" s="46"/>
      <c r="W2339" s="46"/>
      <c r="X2339" s="46"/>
    </row>
    <row r="2340" spans="1:24" x14ac:dyDescent="0.2">
      <c r="A2340" s="45"/>
      <c r="B2340" s="46"/>
      <c r="C2340" s="46"/>
      <c r="D2340" s="46"/>
      <c r="E2340" s="46"/>
      <c r="F2340" s="46"/>
      <c r="G2340" s="46"/>
      <c r="H2340" s="46"/>
      <c r="I2340" s="46"/>
      <c r="J2340" s="46"/>
      <c r="K2340" s="46"/>
      <c r="L2340" s="46"/>
      <c r="M2340" s="46"/>
      <c r="N2340" s="46"/>
      <c r="O2340" s="46"/>
      <c r="P2340" s="46"/>
      <c r="Q2340" s="46"/>
      <c r="R2340" s="46"/>
      <c r="S2340" s="46"/>
      <c r="T2340" s="46"/>
      <c r="U2340" s="46"/>
      <c r="V2340" s="46"/>
      <c r="W2340" s="46"/>
      <c r="X2340" s="46"/>
    </row>
    <row r="2341" spans="1:24" x14ac:dyDescent="0.2">
      <c r="A2341" s="45"/>
      <c r="B2341" s="46"/>
      <c r="C2341" s="46"/>
      <c r="D2341" s="46"/>
      <c r="E2341" s="46"/>
      <c r="F2341" s="46"/>
      <c r="G2341" s="46"/>
      <c r="H2341" s="46"/>
      <c r="I2341" s="46"/>
      <c r="J2341" s="46"/>
      <c r="K2341" s="46"/>
      <c r="L2341" s="46"/>
      <c r="M2341" s="46"/>
      <c r="N2341" s="46"/>
      <c r="O2341" s="46"/>
      <c r="P2341" s="46"/>
      <c r="Q2341" s="46"/>
      <c r="R2341" s="46"/>
      <c r="S2341" s="46"/>
      <c r="T2341" s="46"/>
      <c r="U2341" s="46"/>
      <c r="V2341" s="46"/>
      <c r="W2341" s="46"/>
      <c r="X2341" s="46"/>
    </row>
    <row r="2342" spans="1:24" x14ac:dyDescent="0.2">
      <c r="A2342" s="45"/>
      <c r="B2342" s="46"/>
      <c r="C2342" s="46"/>
      <c r="D2342" s="46"/>
      <c r="E2342" s="46"/>
      <c r="F2342" s="46"/>
      <c r="G2342" s="46"/>
      <c r="H2342" s="46"/>
      <c r="I2342" s="46"/>
      <c r="J2342" s="46"/>
      <c r="K2342" s="46"/>
      <c r="L2342" s="46"/>
      <c r="M2342" s="46"/>
      <c r="N2342" s="46"/>
      <c r="O2342" s="46"/>
      <c r="P2342" s="46"/>
      <c r="Q2342" s="46"/>
      <c r="R2342" s="46"/>
      <c r="S2342" s="46"/>
      <c r="T2342" s="46"/>
      <c r="U2342" s="46"/>
      <c r="V2342" s="46"/>
      <c r="W2342" s="46"/>
      <c r="X2342" s="46"/>
    </row>
    <row r="2343" spans="1:24" x14ac:dyDescent="0.2">
      <c r="A2343" s="45"/>
      <c r="B2343" s="46"/>
      <c r="C2343" s="46"/>
      <c r="D2343" s="46"/>
      <c r="E2343" s="46"/>
      <c r="F2343" s="46"/>
      <c r="G2343" s="46"/>
      <c r="H2343" s="46"/>
      <c r="I2343" s="46"/>
      <c r="J2343" s="46"/>
      <c r="K2343" s="46"/>
      <c r="L2343" s="46"/>
      <c r="M2343" s="46"/>
      <c r="N2343" s="46"/>
      <c r="O2343" s="46"/>
      <c r="P2343" s="46"/>
      <c r="Q2343" s="46"/>
      <c r="R2343" s="46"/>
      <c r="S2343" s="46"/>
      <c r="T2343" s="46"/>
      <c r="U2343" s="46"/>
      <c r="V2343" s="46"/>
      <c r="W2343" s="46"/>
      <c r="X2343" s="46"/>
    </row>
    <row r="2344" spans="1:24" x14ac:dyDescent="0.2">
      <c r="A2344" s="45"/>
      <c r="B2344" s="46"/>
      <c r="C2344" s="46"/>
      <c r="D2344" s="46"/>
      <c r="E2344" s="46"/>
      <c r="F2344" s="46"/>
      <c r="G2344" s="46"/>
      <c r="H2344" s="46"/>
      <c r="I2344" s="46"/>
      <c r="J2344" s="46"/>
      <c r="K2344" s="46"/>
      <c r="L2344" s="46"/>
      <c r="M2344" s="46"/>
      <c r="N2344" s="46"/>
      <c r="O2344" s="46"/>
      <c r="P2344" s="46"/>
      <c r="Q2344" s="46"/>
      <c r="R2344" s="46"/>
      <c r="S2344" s="46"/>
      <c r="T2344" s="46"/>
      <c r="U2344" s="46"/>
      <c r="V2344" s="46"/>
      <c r="W2344" s="46"/>
      <c r="X2344" s="46"/>
    </row>
    <row r="2345" spans="1:24" x14ac:dyDescent="0.2">
      <c r="A2345" s="45"/>
      <c r="B2345" s="46"/>
      <c r="C2345" s="46"/>
      <c r="D2345" s="46"/>
      <c r="E2345" s="46"/>
      <c r="F2345" s="46"/>
      <c r="G2345" s="46"/>
      <c r="H2345" s="46"/>
      <c r="I2345" s="46"/>
      <c r="J2345" s="46"/>
      <c r="K2345" s="46"/>
      <c r="L2345" s="46"/>
      <c r="M2345" s="46"/>
      <c r="N2345" s="46"/>
      <c r="O2345" s="46"/>
      <c r="P2345" s="46"/>
      <c r="Q2345" s="46"/>
      <c r="R2345" s="46"/>
      <c r="S2345" s="46"/>
      <c r="T2345" s="46"/>
      <c r="U2345" s="46"/>
      <c r="V2345" s="46"/>
      <c r="W2345" s="46"/>
      <c r="X2345" s="46"/>
    </row>
    <row r="2346" spans="1:24" x14ac:dyDescent="0.2">
      <c r="A2346" s="45"/>
      <c r="B2346" s="46"/>
      <c r="C2346" s="46"/>
      <c r="D2346" s="46"/>
      <c r="E2346" s="46"/>
      <c r="F2346" s="46"/>
      <c r="G2346" s="46"/>
      <c r="H2346" s="46"/>
      <c r="I2346" s="46"/>
      <c r="J2346" s="46"/>
      <c r="K2346" s="46"/>
      <c r="L2346" s="46"/>
      <c r="M2346" s="46"/>
      <c r="N2346" s="46"/>
      <c r="O2346" s="46"/>
      <c r="P2346" s="46"/>
      <c r="Q2346" s="46"/>
      <c r="R2346" s="46"/>
      <c r="S2346" s="46"/>
      <c r="T2346" s="46"/>
      <c r="U2346" s="46"/>
      <c r="V2346" s="46"/>
      <c r="W2346" s="46"/>
      <c r="X2346" s="46"/>
    </row>
    <row r="2347" spans="1:24" x14ac:dyDescent="0.2">
      <c r="A2347" s="45"/>
      <c r="B2347" s="46"/>
      <c r="C2347" s="46"/>
      <c r="D2347" s="46"/>
      <c r="E2347" s="46"/>
      <c r="F2347" s="46"/>
      <c r="G2347" s="46"/>
      <c r="H2347" s="46"/>
      <c r="I2347" s="46"/>
      <c r="J2347" s="46"/>
      <c r="K2347" s="46"/>
      <c r="L2347" s="46"/>
      <c r="M2347" s="46"/>
      <c r="N2347" s="46"/>
      <c r="O2347" s="46"/>
      <c r="P2347" s="46"/>
      <c r="Q2347" s="46"/>
      <c r="R2347" s="46"/>
      <c r="S2347" s="46"/>
      <c r="T2347" s="46"/>
      <c r="U2347" s="46"/>
      <c r="V2347" s="46"/>
      <c r="W2347" s="46"/>
      <c r="X2347" s="46"/>
    </row>
    <row r="2348" spans="1:24" x14ac:dyDescent="0.2">
      <c r="A2348" s="45"/>
      <c r="B2348" s="46"/>
      <c r="C2348" s="46"/>
      <c r="D2348" s="46"/>
      <c r="E2348" s="46"/>
      <c r="F2348" s="46"/>
      <c r="G2348" s="46"/>
      <c r="H2348" s="46"/>
      <c r="I2348" s="46"/>
      <c r="J2348" s="46"/>
      <c r="K2348" s="46"/>
      <c r="L2348" s="46"/>
      <c r="M2348" s="46"/>
      <c r="N2348" s="46"/>
      <c r="O2348" s="46"/>
      <c r="P2348" s="46"/>
      <c r="Q2348" s="46"/>
      <c r="R2348" s="46"/>
      <c r="S2348" s="46"/>
      <c r="T2348" s="46"/>
      <c r="U2348" s="46"/>
      <c r="V2348" s="46"/>
      <c r="W2348" s="46"/>
      <c r="X2348" s="46"/>
    </row>
    <row r="2349" spans="1:24" x14ac:dyDescent="0.2">
      <c r="A2349" s="45"/>
      <c r="B2349" s="46"/>
      <c r="C2349" s="46"/>
      <c r="D2349" s="46"/>
      <c r="E2349" s="46"/>
      <c r="F2349" s="46"/>
      <c r="G2349" s="46"/>
      <c r="H2349" s="46"/>
      <c r="I2349" s="46"/>
      <c r="J2349" s="46"/>
      <c r="K2349" s="46"/>
      <c r="L2349" s="46"/>
      <c r="M2349" s="46"/>
      <c r="N2349" s="46"/>
      <c r="O2349" s="46"/>
      <c r="P2349" s="46"/>
      <c r="Q2349" s="46"/>
      <c r="R2349" s="46"/>
      <c r="S2349" s="46"/>
      <c r="T2349" s="46"/>
      <c r="U2349" s="46"/>
      <c r="V2349" s="46"/>
      <c r="W2349" s="46"/>
      <c r="X2349" s="46"/>
    </row>
    <row r="2350" spans="1:24" x14ac:dyDescent="0.2">
      <c r="A2350" s="45"/>
      <c r="B2350" s="46"/>
      <c r="C2350" s="46"/>
      <c r="D2350" s="46"/>
      <c r="E2350" s="46"/>
      <c r="F2350" s="46"/>
      <c r="G2350" s="46"/>
      <c r="H2350" s="46"/>
      <c r="I2350" s="46"/>
      <c r="J2350" s="46"/>
      <c r="K2350" s="46"/>
      <c r="L2350" s="46"/>
      <c r="M2350" s="46"/>
      <c r="N2350" s="46"/>
      <c r="O2350" s="46"/>
      <c r="P2350" s="46"/>
      <c r="Q2350" s="46"/>
      <c r="R2350" s="46"/>
      <c r="S2350" s="46"/>
      <c r="T2350" s="46"/>
      <c r="U2350" s="46"/>
      <c r="V2350" s="46"/>
      <c r="W2350" s="46"/>
      <c r="X2350" s="46"/>
    </row>
    <row r="2351" spans="1:24" x14ac:dyDescent="0.2">
      <c r="A2351" s="45"/>
      <c r="B2351" s="46"/>
      <c r="C2351" s="46"/>
      <c r="D2351" s="46"/>
      <c r="E2351" s="46"/>
      <c r="F2351" s="46"/>
      <c r="G2351" s="46"/>
      <c r="H2351" s="46"/>
      <c r="I2351" s="46"/>
      <c r="J2351" s="46"/>
      <c r="K2351" s="46"/>
      <c r="L2351" s="46"/>
      <c r="M2351" s="46"/>
      <c r="N2351" s="46"/>
      <c r="O2351" s="46"/>
      <c r="P2351" s="46"/>
      <c r="Q2351" s="46"/>
      <c r="R2351" s="46"/>
      <c r="S2351" s="46"/>
      <c r="T2351" s="46"/>
      <c r="U2351" s="46"/>
      <c r="V2351" s="46"/>
      <c r="W2351" s="46"/>
      <c r="X2351" s="46"/>
    </row>
    <row r="2352" spans="1:24" x14ac:dyDescent="0.2">
      <c r="A2352" s="45"/>
      <c r="B2352" s="46"/>
      <c r="C2352" s="46"/>
      <c r="D2352" s="46"/>
      <c r="E2352" s="46"/>
      <c r="F2352" s="46"/>
      <c r="G2352" s="46"/>
      <c r="H2352" s="46"/>
      <c r="I2352" s="46"/>
      <c r="J2352" s="46"/>
      <c r="K2352" s="46"/>
      <c r="L2352" s="46"/>
      <c r="M2352" s="46"/>
      <c r="N2352" s="46"/>
      <c r="O2352" s="46"/>
      <c r="P2352" s="46"/>
      <c r="Q2352" s="46"/>
      <c r="R2352" s="46"/>
      <c r="S2352" s="46"/>
      <c r="T2352" s="46"/>
      <c r="U2352" s="46"/>
      <c r="V2352" s="46"/>
      <c r="W2352" s="46"/>
      <c r="X2352" s="46"/>
    </row>
    <row r="2353" spans="1:24" x14ac:dyDescent="0.2">
      <c r="A2353" s="45"/>
      <c r="B2353" s="46"/>
      <c r="C2353" s="46"/>
      <c r="D2353" s="46"/>
      <c r="E2353" s="46"/>
      <c r="F2353" s="46"/>
      <c r="G2353" s="46"/>
      <c r="H2353" s="46"/>
      <c r="I2353" s="46"/>
      <c r="J2353" s="46"/>
      <c r="K2353" s="46"/>
      <c r="L2353" s="46"/>
      <c r="M2353" s="46"/>
      <c r="N2353" s="46"/>
      <c r="O2353" s="46"/>
      <c r="P2353" s="46"/>
      <c r="Q2353" s="46"/>
      <c r="R2353" s="46"/>
      <c r="S2353" s="46"/>
      <c r="T2353" s="46"/>
      <c r="U2353" s="46"/>
      <c r="V2353" s="46"/>
      <c r="W2353" s="46"/>
      <c r="X2353" s="46"/>
    </row>
    <row r="2354" spans="1:24" x14ac:dyDescent="0.2">
      <c r="A2354" s="45"/>
      <c r="B2354" s="46"/>
      <c r="C2354" s="46"/>
      <c r="D2354" s="46"/>
      <c r="E2354" s="46"/>
      <c r="F2354" s="46"/>
      <c r="G2354" s="46"/>
      <c r="H2354" s="46"/>
      <c r="I2354" s="46"/>
      <c r="J2354" s="46"/>
      <c r="K2354" s="46"/>
      <c r="L2354" s="46"/>
      <c r="M2354" s="46"/>
      <c r="N2354" s="46"/>
      <c r="O2354" s="46"/>
      <c r="P2354" s="46"/>
      <c r="Q2354" s="46"/>
      <c r="R2354" s="46"/>
      <c r="S2354" s="46"/>
      <c r="T2354" s="46"/>
      <c r="U2354" s="46"/>
      <c r="V2354" s="46"/>
      <c r="W2354" s="46"/>
      <c r="X2354" s="46"/>
    </row>
    <row r="2355" spans="1:24" x14ac:dyDescent="0.2">
      <c r="A2355" s="45"/>
      <c r="B2355" s="46"/>
      <c r="C2355" s="46"/>
      <c r="D2355" s="46"/>
      <c r="E2355" s="46"/>
      <c r="F2355" s="46"/>
      <c r="G2355" s="46"/>
      <c r="H2355" s="46"/>
      <c r="I2355" s="46"/>
      <c r="J2355" s="46"/>
      <c r="K2355" s="46"/>
      <c r="L2355" s="46"/>
      <c r="M2355" s="46"/>
      <c r="N2355" s="46"/>
      <c r="O2355" s="46"/>
      <c r="P2355" s="46"/>
      <c r="Q2355" s="46"/>
      <c r="R2355" s="46"/>
      <c r="S2355" s="46"/>
      <c r="T2355" s="46"/>
      <c r="U2355" s="46"/>
      <c r="V2355" s="46"/>
      <c r="W2355" s="46"/>
      <c r="X2355" s="46"/>
    </row>
    <row r="2356" spans="1:24" x14ac:dyDescent="0.2">
      <c r="A2356" s="45"/>
      <c r="B2356" s="46"/>
      <c r="C2356" s="46"/>
      <c r="D2356" s="46"/>
      <c r="E2356" s="46"/>
      <c r="F2356" s="46"/>
      <c r="G2356" s="46"/>
      <c r="H2356" s="46"/>
      <c r="I2356" s="46"/>
      <c r="J2356" s="46"/>
      <c r="K2356" s="46"/>
      <c r="L2356" s="46"/>
      <c r="M2356" s="46"/>
      <c r="N2356" s="46"/>
      <c r="O2356" s="46"/>
      <c r="P2356" s="46"/>
      <c r="Q2356" s="46"/>
      <c r="R2356" s="46"/>
      <c r="S2356" s="46"/>
      <c r="T2356" s="46"/>
      <c r="U2356" s="46"/>
      <c r="V2356" s="46"/>
      <c r="W2356" s="46"/>
      <c r="X2356" s="46"/>
    </row>
    <row r="2357" spans="1:24" x14ac:dyDescent="0.2">
      <c r="A2357" s="45"/>
      <c r="B2357" s="46"/>
      <c r="C2357" s="46"/>
      <c r="D2357" s="46"/>
      <c r="E2357" s="46"/>
      <c r="F2357" s="46"/>
      <c r="G2357" s="46"/>
      <c r="H2357" s="46"/>
      <c r="I2357" s="46"/>
      <c r="J2357" s="46"/>
      <c r="K2357" s="46"/>
      <c r="L2357" s="46"/>
      <c r="M2357" s="46"/>
      <c r="N2357" s="46"/>
      <c r="O2357" s="46"/>
      <c r="P2357" s="46"/>
      <c r="Q2357" s="46"/>
      <c r="R2357" s="46"/>
      <c r="S2357" s="46"/>
      <c r="T2357" s="46"/>
      <c r="U2357" s="46"/>
      <c r="V2357" s="46"/>
      <c r="W2357" s="46"/>
      <c r="X2357" s="46"/>
    </row>
    <row r="2358" spans="1:24" x14ac:dyDescent="0.2">
      <c r="A2358" s="45"/>
      <c r="B2358" s="46"/>
      <c r="C2358" s="46"/>
      <c r="D2358" s="46"/>
      <c r="E2358" s="46"/>
      <c r="F2358" s="46"/>
      <c r="G2358" s="46"/>
      <c r="H2358" s="46"/>
      <c r="I2358" s="46"/>
      <c r="J2358" s="46"/>
      <c r="K2358" s="46"/>
      <c r="L2358" s="46"/>
      <c r="M2358" s="46"/>
      <c r="N2358" s="46"/>
      <c r="O2358" s="46"/>
      <c r="P2358" s="46"/>
      <c r="Q2358" s="46"/>
      <c r="R2358" s="46"/>
      <c r="S2358" s="46"/>
      <c r="T2358" s="46"/>
      <c r="U2358" s="46"/>
      <c r="V2358" s="46"/>
      <c r="W2358" s="46"/>
      <c r="X2358" s="46"/>
    </row>
    <row r="2359" spans="1:24" x14ac:dyDescent="0.2">
      <c r="A2359" s="45"/>
      <c r="B2359" s="46"/>
      <c r="C2359" s="46"/>
      <c r="D2359" s="46"/>
      <c r="E2359" s="46"/>
      <c r="F2359" s="46"/>
      <c r="G2359" s="46"/>
      <c r="H2359" s="46"/>
      <c r="I2359" s="46"/>
      <c r="J2359" s="46"/>
      <c r="K2359" s="46"/>
      <c r="L2359" s="46"/>
      <c r="M2359" s="46"/>
      <c r="N2359" s="46"/>
      <c r="O2359" s="46"/>
      <c r="P2359" s="46"/>
      <c r="Q2359" s="46"/>
      <c r="R2359" s="46"/>
      <c r="S2359" s="46"/>
      <c r="T2359" s="46"/>
      <c r="U2359" s="46"/>
      <c r="V2359" s="46"/>
      <c r="W2359" s="46"/>
      <c r="X2359" s="46"/>
    </row>
    <row r="2360" spans="1:24" x14ac:dyDescent="0.2">
      <c r="A2360" s="45"/>
      <c r="B2360" s="46"/>
      <c r="C2360" s="46"/>
      <c r="D2360" s="46"/>
      <c r="E2360" s="46"/>
      <c r="F2360" s="46"/>
      <c r="G2360" s="46"/>
      <c r="H2360" s="46"/>
      <c r="I2360" s="46"/>
      <c r="J2360" s="46"/>
      <c r="K2360" s="46"/>
      <c r="L2360" s="46"/>
      <c r="M2360" s="46"/>
      <c r="N2360" s="46"/>
      <c r="O2360" s="46"/>
      <c r="P2360" s="46"/>
      <c r="Q2360" s="46"/>
      <c r="R2360" s="46"/>
      <c r="S2360" s="46"/>
      <c r="T2360" s="46"/>
      <c r="U2360" s="46"/>
      <c r="V2360" s="46"/>
      <c r="W2360" s="46"/>
      <c r="X2360" s="46"/>
    </row>
    <row r="2361" spans="1:24" x14ac:dyDescent="0.2">
      <c r="A2361" s="45"/>
      <c r="B2361" s="46"/>
      <c r="C2361" s="46"/>
      <c r="D2361" s="46"/>
      <c r="E2361" s="46"/>
      <c r="F2361" s="46"/>
      <c r="G2361" s="46"/>
      <c r="H2361" s="46"/>
      <c r="I2361" s="46"/>
      <c r="J2361" s="46"/>
      <c r="K2361" s="46"/>
      <c r="L2361" s="46"/>
      <c r="M2361" s="46"/>
      <c r="N2361" s="46"/>
      <c r="O2361" s="46"/>
      <c r="P2361" s="46"/>
      <c r="Q2361" s="46"/>
      <c r="R2361" s="46"/>
      <c r="S2361" s="46"/>
      <c r="T2361" s="46"/>
      <c r="U2361" s="46"/>
      <c r="V2361" s="46"/>
      <c r="W2361" s="46"/>
      <c r="X2361" s="46"/>
    </row>
    <row r="2362" spans="1:24" x14ac:dyDescent="0.2">
      <c r="A2362" s="45"/>
      <c r="B2362" s="46"/>
      <c r="C2362" s="46"/>
      <c r="D2362" s="46"/>
      <c r="E2362" s="46"/>
      <c r="F2362" s="46"/>
      <c r="G2362" s="46"/>
      <c r="H2362" s="46"/>
      <c r="I2362" s="46"/>
      <c r="J2362" s="46"/>
      <c r="K2362" s="46"/>
      <c r="L2362" s="46"/>
      <c r="M2362" s="46"/>
      <c r="N2362" s="46"/>
      <c r="O2362" s="46"/>
      <c r="P2362" s="46"/>
      <c r="Q2362" s="46"/>
      <c r="R2362" s="46"/>
      <c r="S2362" s="46"/>
      <c r="T2362" s="46"/>
      <c r="U2362" s="46"/>
      <c r="V2362" s="46"/>
      <c r="W2362" s="46"/>
      <c r="X2362" s="46"/>
    </row>
    <row r="2363" spans="1:24" x14ac:dyDescent="0.2">
      <c r="A2363" s="45"/>
      <c r="B2363" s="46"/>
      <c r="C2363" s="46"/>
      <c r="D2363" s="46"/>
      <c r="E2363" s="46"/>
      <c r="F2363" s="46"/>
      <c r="G2363" s="46"/>
      <c r="H2363" s="46"/>
      <c r="I2363" s="46"/>
      <c r="J2363" s="46"/>
      <c r="K2363" s="46"/>
      <c r="L2363" s="46"/>
      <c r="M2363" s="46"/>
      <c r="N2363" s="46"/>
      <c r="O2363" s="46"/>
      <c r="P2363" s="46"/>
      <c r="Q2363" s="46"/>
      <c r="R2363" s="46"/>
      <c r="S2363" s="46"/>
      <c r="T2363" s="46"/>
      <c r="U2363" s="46"/>
      <c r="V2363" s="46"/>
      <c r="W2363" s="46"/>
      <c r="X2363" s="46"/>
    </row>
    <row r="2364" spans="1:24" x14ac:dyDescent="0.2">
      <c r="A2364" s="45"/>
      <c r="B2364" s="46"/>
      <c r="C2364" s="46"/>
      <c r="D2364" s="46"/>
      <c r="E2364" s="46"/>
      <c r="F2364" s="46"/>
      <c r="G2364" s="46"/>
      <c r="H2364" s="46"/>
      <c r="I2364" s="46"/>
      <c r="J2364" s="46"/>
      <c r="K2364" s="46"/>
      <c r="L2364" s="46"/>
      <c r="M2364" s="46"/>
      <c r="N2364" s="46"/>
      <c r="O2364" s="46"/>
      <c r="P2364" s="46"/>
      <c r="Q2364" s="46"/>
      <c r="R2364" s="46"/>
      <c r="S2364" s="46"/>
      <c r="T2364" s="46"/>
      <c r="U2364" s="46"/>
      <c r="V2364" s="46"/>
      <c r="W2364" s="46"/>
      <c r="X2364" s="46"/>
    </row>
    <row r="2365" spans="1:24" x14ac:dyDescent="0.2">
      <c r="A2365" s="45"/>
      <c r="B2365" s="46"/>
      <c r="C2365" s="46"/>
      <c r="D2365" s="46"/>
      <c r="E2365" s="46"/>
      <c r="F2365" s="46"/>
      <c r="G2365" s="46"/>
      <c r="H2365" s="46"/>
      <c r="I2365" s="46"/>
      <c r="J2365" s="46"/>
      <c r="K2365" s="46"/>
      <c r="L2365" s="46"/>
      <c r="M2365" s="46"/>
      <c r="N2365" s="46"/>
      <c r="O2365" s="46"/>
      <c r="P2365" s="46"/>
      <c r="Q2365" s="46"/>
      <c r="R2365" s="46"/>
      <c r="S2365" s="46"/>
      <c r="T2365" s="46"/>
      <c r="U2365" s="46"/>
      <c r="V2365" s="46"/>
      <c r="W2365" s="46"/>
      <c r="X2365" s="46"/>
    </row>
    <row r="2366" spans="1:24" x14ac:dyDescent="0.2">
      <c r="A2366" s="45"/>
      <c r="B2366" s="46"/>
      <c r="C2366" s="46"/>
      <c r="D2366" s="46"/>
      <c r="E2366" s="46"/>
      <c r="F2366" s="46"/>
      <c r="G2366" s="46"/>
      <c r="H2366" s="46"/>
      <c r="I2366" s="46"/>
      <c r="J2366" s="46"/>
      <c r="K2366" s="46"/>
      <c r="L2366" s="46"/>
      <c r="M2366" s="46"/>
      <c r="N2366" s="46"/>
      <c r="O2366" s="46"/>
      <c r="P2366" s="46"/>
      <c r="Q2366" s="46"/>
      <c r="R2366" s="46"/>
      <c r="S2366" s="46"/>
      <c r="T2366" s="46"/>
      <c r="U2366" s="46"/>
      <c r="V2366" s="46"/>
      <c r="W2366" s="46"/>
      <c r="X2366" s="46"/>
    </row>
    <row r="2367" spans="1:24" x14ac:dyDescent="0.2">
      <c r="A2367" s="45"/>
      <c r="B2367" s="46"/>
      <c r="C2367" s="46"/>
      <c r="D2367" s="46"/>
      <c r="E2367" s="46"/>
      <c r="F2367" s="46"/>
      <c r="G2367" s="46"/>
      <c r="H2367" s="46"/>
      <c r="I2367" s="46"/>
      <c r="J2367" s="46"/>
      <c r="K2367" s="46"/>
      <c r="L2367" s="46"/>
      <c r="M2367" s="46"/>
      <c r="N2367" s="46"/>
      <c r="O2367" s="46"/>
      <c r="P2367" s="46"/>
      <c r="Q2367" s="46"/>
      <c r="R2367" s="46"/>
      <c r="S2367" s="46"/>
      <c r="T2367" s="46"/>
      <c r="U2367" s="46"/>
      <c r="V2367" s="46"/>
      <c r="W2367" s="46"/>
      <c r="X2367" s="46"/>
    </row>
    <row r="2368" spans="1:24" x14ac:dyDescent="0.2">
      <c r="A2368" s="45"/>
      <c r="B2368" s="46"/>
      <c r="C2368" s="46"/>
      <c r="D2368" s="46"/>
      <c r="E2368" s="46"/>
      <c r="F2368" s="46"/>
      <c r="G2368" s="46"/>
      <c r="H2368" s="46"/>
      <c r="I2368" s="46"/>
      <c r="J2368" s="46"/>
      <c r="K2368" s="46"/>
      <c r="L2368" s="46"/>
      <c r="M2368" s="46"/>
      <c r="N2368" s="46"/>
      <c r="O2368" s="46"/>
      <c r="P2368" s="46"/>
      <c r="Q2368" s="46"/>
      <c r="R2368" s="46"/>
      <c r="S2368" s="46"/>
      <c r="T2368" s="46"/>
      <c r="U2368" s="46"/>
      <c r="V2368" s="46"/>
      <c r="W2368" s="46"/>
      <c r="X2368" s="46"/>
    </row>
    <row r="2369" spans="1:24" x14ac:dyDescent="0.2">
      <c r="A2369" s="45"/>
      <c r="B2369" s="46"/>
      <c r="C2369" s="46"/>
      <c r="D2369" s="46"/>
      <c r="E2369" s="46"/>
      <c r="F2369" s="46"/>
      <c r="G2369" s="46"/>
      <c r="H2369" s="46"/>
      <c r="I2369" s="46"/>
      <c r="J2369" s="46"/>
      <c r="K2369" s="46"/>
      <c r="L2369" s="46"/>
      <c r="M2369" s="46"/>
      <c r="N2369" s="46"/>
      <c r="O2369" s="46"/>
      <c r="P2369" s="46"/>
      <c r="Q2369" s="46"/>
      <c r="R2369" s="46"/>
      <c r="S2369" s="46"/>
      <c r="T2369" s="46"/>
      <c r="U2369" s="46"/>
      <c r="V2369" s="46"/>
      <c r="W2369" s="46"/>
      <c r="X2369" s="46"/>
    </row>
    <row r="2370" spans="1:24" x14ac:dyDescent="0.2">
      <c r="A2370" s="45"/>
      <c r="B2370" s="46"/>
      <c r="C2370" s="46"/>
      <c r="D2370" s="46"/>
      <c r="E2370" s="46"/>
      <c r="F2370" s="46"/>
      <c r="G2370" s="46"/>
      <c r="H2370" s="46"/>
      <c r="I2370" s="46"/>
      <c r="J2370" s="46"/>
      <c r="K2370" s="46"/>
      <c r="L2370" s="46"/>
      <c r="M2370" s="46"/>
      <c r="N2370" s="46"/>
      <c r="O2370" s="46"/>
      <c r="P2370" s="46"/>
      <c r="Q2370" s="46"/>
      <c r="R2370" s="46"/>
      <c r="S2370" s="46"/>
      <c r="T2370" s="46"/>
      <c r="U2370" s="46"/>
      <c r="V2370" s="46"/>
      <c r="W2370" s="46"/>
      <c r="X2370" s="46"/>
    </row>
    <row r="2371" spans="1:24" x14ac:dyDescent="0.2">
      <c r="A2371" s="45"/>
      <c r="B2371" s="46"/>
      <c r="C2371" s="46"/>
      <c r="D2371" s="46"/>
      <c r="E2371" s="46"/>
      <c r="F2371" s="46"/>
      <c r="G2371" s="46"/>
      <c r="H2371" s="46"/>
      <c r="I2371" s="46"/>
      <c r="J2371" s="46"/>
      <c r="K2371" s="46"/>
      <c r="L2371" s="46"/>
      <c r="M2371" s="46"/>
      <c r="N2371" s="46"/>
      <c r="O2371" s="46"/>
      <c r="P2371" s="46"/>
      <c r="Q2371" s="46"/>
      <c r="R2371" s="46"/>
      <c r="S2371" s="46"/>
      <c r="T2371" s="46"/>
      <c r="U2371" s="46"/>
      <c r="V2371" s="46"/>
      <c r="W2371" s="46"/>
      <c r="X2371" s="46"/>
    </row>
    <row r="2372" spans="1:24" x14ac:dyDescent="0.2">
      <c r="A2372" s="45"/>
      <c r="B2372" s="46"/>
      <c r="C2372" s="46"/>
      <c r="D2372" s="46"/>
      <c r="E2372" s="46"/>
      <c r="F2372" s="46"/>
      <c r="G2372" s="46"/>
      <c r="H2372" s="46"/>
      <c r="I2372" s="46"/>
      <c r="J2372" s="46"/>
      <c r="K2372" s="46"/>
      <c r="L2372" s="46"/>
      <c r="M2372" s="46"/>
      <c r="N2372" s="46"/>
      <c r="O2372" s="46"/>
      <c r="P2372" s="46"/>
      <c r="Q2372" s="46"/>
      <c r="R2372" s="46"/>
      <c r="S2372" s="46"/>
      <c r="T2372" s="46"/>
      <c r="U2372" s="46"/>
      <c r="V2372" s="46"/>
      <c r="W2372" s="46"/>
      <c r="X2372" s="46"/>
    </row>
    <row r="2373" spans="1:24" x14ac:dyDescent="0.2">
      <c r="A2373" s="45"/>
      <c r="B2373" s="46"/>
      <c r="C2373" s="46"/>
      <c r="D2373" s="46"/>
      <c r="E2373" s="46"/>
      <c r="F2373" s="46"/>
      <c r="G2373" s="46"/>
      <c r="H2373" s="46"/>
      <c r="I2373" s="46"/>
      <c r="J2373" s="46"/>
      <c r="K2373" s="46"/>
      <c r="L2373" s="46"/>
      <c r="M2373" s="46"/>
      <c r="N2373" s="46"/>
      <c r="O2373" s="46"/>
      <c r="P2373" s="46"/>
      <c r="Q2373" s="46"/>
      <c r="R2373" s="46"/>
      <c r="S2373" s="46"/>
      <c r="T2373" s="46"/>
      <c r="U2373" s="46"/>
      <c r="V2373" s="46"/>
      <c r="W2373" s="46"/>
      <c r="X2373" s="46"/>
    </row>
    <row r="2374" spans="1:24" x14ac:dyDescent="0.2">
      <c r="A2374" s="45"/>
      <c r="B2374" s="46"/>
      <c r="C2374" s="46"/>
      <c r="D2374" s="46"/>
      <c r="E2374" s="46"/>
      <c r="F2374" s="46"/>
      <c r="G2374" s="46"/>
      <c r="H2374" s="46"/>
      <c r="I2374" s="46"/>
      <c r="J2374" s="46"/>
      <c r="K2374" s="46"/>
      <c r="L2374" s="46"/>
      <c r="M2374" s="46"/>
      <c r="N2374" s="46"/>
      <c r="O2374" s="46"/>
      <c r="P2374" s="46"/>
      <c r="Q2374" s="46"/>
      <c r="R2374" s="46"/>
      <c r="S2374" s="46"/>
      <c r="T2374" s="46"/>
      <c r="U2374" s="46"/>
      <c r="V2374" s="46"/>
      <c r="W2374" s="46"/>
      <c r="X2374" s="46"/>
    </row>
    <row r="2375" spans="1:24" x14ac:dyDescent="0.2">
      <c r="A2375" s="45"/>
      <c r="B2375" s="46"/>
      <c r="C2375" s="46"/>
      <c r="D2375" s="46"/>
      <c r="E2375" s="46"/>
      <c r="F2375" s="46"/>
      <c r="G2375" s="46"/>
      <c r="H2375" s="46"/>
      <c r="I2375" s="46"/>
      <c r="J2375" s="46"/>
      <c r="K2375" s="46"/>
      <c r="L2375" s="46"/>
      <c r="M2375" s="46"/>
      <c r="N2375" s="46"/>
      <c r="O2375" s="46"/>
      <c r="P2375" s="46"/>
      <c r="Q2375" s="46"/>
      <c r="R2375" s="46"/>
      <c r="S2375" s="46"/>
      <c r="T2375" s="46"/>
      <c r="U2375" s="46"/>
      <c r="V2375" s="46"/>
      <c r="W2375" s="46"/>
      <c r="X2375" s="46"/>
    </row>
    <row r="2376" spans="1:24" x14ac:dyDescent="0.2">
      <c r="A2376" s="45"/>
      <c r="B2376" s="46"/>
      <c r="C2376" s="46"/>
      <c r="D2376" s="46"/>
      <c r="E2376" s="46"/>
      <c r="F2376" s="46"/>
      <c r="G2376" s="46"/>
      <c r="H2376" s="46"/>
      <c r="I2376" s="46"/>
      <c r="J2376" s="46"/>
      <c r="K2376" s="46"/>
      <c r="L2376" s="46"/>
      <c r="M2376" s="46"/>
      <c r="N2376" s="46"/>
      <c r="O2376" s="46"/>
      <c r="P2376" s="46"/>
      <c r="Q2376" s="46"/>
      <c r="R2376" s="46"/>
      <c r="S2376" s="46"/>
      <c r="T2376" s="46"/>
      <c r="U2376" s="46"/>
      <c r="V2376" s="46"/>
      <c r="W2376" s="46"/>
      <c r="X2376" s="46"/>
    </row>
    <row r="2377" spans="1:24" x14ac:dyDescent="0.2">
      <c r="A2377" s="45"/>
      <c r="B2377" s="46"/>
      <c r="C2377" s="46"/>
      <c r="D2377" s="46"/>
      <c r="E2377" s="46"/>
      <c r="F2377" s="46"/>
      <c r="G2377" s="46"/>
      <c r="H2377" s="46"/>
      <c r="I2377" s="46"/>
      <c r="J2377" s="46"/>
      <c r="K2377" s="46"/>
      <c r="L2377" s="46"/>
      <c r="M2377" s="46"/>
      <c r="N2377" s="46"/>
      <c r="O2377" s="46"/>
      <c r="P2377" s="46"/>
      <c r="Q2377" s="46"/>
      <c r="R2377" s="46"/>
      <c r="S2377" s="46"/>
      <c r="T2377" s="46"/>
      <c r="U2377" s="46"/>
      <c r="V2377" s="46"/>
      <c r="W2377" s="46"/>
      <c r="X2377" s="46"/>
    </row>
    <row r="2378" spans="1:24" x14ac:dyDescent="0.2">
      <c r="A2378" s="45"/>
      <c r="B2378" s="46"/>
      <c r="C2378" s="46"/>
      <c r="D2378" s="46"/>
      <c r="E2378" s="46"/>
      <c r="F2378" s="46"/>
      <c r="G2378" s="46"/>
      <c r="H2378" s="46"/>
      <c r="I2378" s="46"/>
      <c r="J2378" s="46"/>
      <c r="K2378" s="46"/>
      <c r="L2378" s="46"/>
      <c r="M2378" s="46"/>
      <c r="N2378" s="46"/>
      <c r="O2378" s="46"/>
      <c r="P2378" s="46"/>
      <c r="Q2378" s="46"/>
      <c r="R2378" s="46"/>
      <c r="S2378" s="46"/>
      <c r="T2378" s="46"/>
      <c r="U2378" s="46"/>
      <c r="V2378" s="46"/>
      <c r="W2378" s="46"/>
      <c r="X2378" s="46"/>
    </row>
    <row r="2379" spans="1:24" x14ac:dyDescent="0.2">
      <c r="A2379" s="45"/>
      <c r="B2379" s="46"/>
      <c r="C2379" s="46"/>
      <c r="D2379" s="46"/>
      <c r="E2379" s="46"/>
      <c r="F2379" s="46"/>
      <c r="G2379" s="46"/>
      <c r="H2379" s="46"/>
      <c r="I2379" s="46"/>
      <c r="J2379" s="46"/>
      <c r="K2379" s="46"/>
      <c r="L2379" s="46"/>
      <c r="M2379" s="46"/>
      <c r="N2379" s="46"/>
      <c r="O2379" s="46"/>
      <c r="P2379" s="46"/>
      <c r="Q2379" s="46"/>
      <c r="R2379" s="46"/>
      <c r="S2379" s="46"/>
      <c r="T2379" s="46"/>
      <c r="U2379" s="46"/>
      <c r="V2379" s="46"/>
      <c r="W2379" s="46"/>
      <c r="X2379" s="46"/>
    </row>
    <row r="2380" spans="1:24" x14ac:dyDescent="0.2">
      <c r="A2380" s="45"/>
      <c r="B2380" s="46"/>
      <c r="C2380" s="46"/>
      <c r="D2380" s="46"/>
      <c r="E2380" s="46"/>
      <c r="F2380" s="46"/>
      <c r="G2380" s="46"/>
      <c r="H2380" s="46"/>
      <c r="I2380" s="46"/>
      <c r="J2380" s="46"/>
      <c r="K2380" s="46"/>
      <c r="L2380" s="46"/>
      <c r="M2380" s="46"/>
      <c r="N2380" s="46"/>
      <c r="O2380" s="46"/>
      <c r="P2380" s="46"/>
      <c r="Q2380" s="46"/>
      <c r="R2380" s="46"/>
      <c r="S2380" s="46"/>
      <c r="T2380" s="46"/>
      <c r="U2380" s="46"/>
      <c r="V2380" s="46"/>
      <c r="W2380" s="46"/>
      <c r="X2380" s="46"/>
    </row>
    <row r="2381" spans="1:24" x14ac:dyDescent="0.2">
      <c r="A2381" s="45"/>
      <c r="B2381" s="46"/>
      <c r="C2381" s="46"/>
      <c r="D2381" s="46"/>
      <c r="E2381" s="46"/>
      <c r="F2381" s="46"/>
      <c r="G2381" s="46"/>
      <c r="H2381" s="46"/>
      <c r="I2381" s="46"/>
      <c r="J2381" s="46"/>
      <c r="K2381" s="46"/>
      <c r="L2381" s="46"/>
      <c r="M2381" s="46"/>
      <c r="N2381" s="46"/>
      <c r="O2381" s="46"/>
      <c r="P2381" s="46"/>
      <c r="Q2381" s="46"/>
      <c r="R2381" s="46"/>
      <c r="S2381" s="46"/>
      <c r="T2381" s="46"/>
      <c r="U2381" s="46"/>
      <c r="V2381" s="46"/>
      <c r="W2381" s="46"/>
      <c r="X2381" s="46"/>
    </row>
    <row r="2382" spans="1:24" x14ac:dyDescent="0.2">
      <c r="A2382" s="45"/>
      <c r="B2382" s="46"/>
      <c r="C2382" s="46"/>
      <c r="D2382" s="46"/>
      <c r="E2382" s="46"/>
      <c r="F2382" s="46"/>
      <c r="G2382" s="46"/>
      <c r="H2382" s="46"/>
      <c r="I2382" s="46"/>
      <c r="J2382" s="46"/>
      <c r="K2382" s="46"/>
      <c r="L2382" s="46"/>
      <c r="M2382" s="46"/>
      <c r="N2382" s="46"/>
      <c r="O2382" s="46"/>
      <c r="P2382" s="46"/>
      <c r="Q2382" s="46"/>
      <c r="R2382" s="46"/>
      <c r="S2382" s="46"/>
      <c r="T2382" s="46"/>
      <c r="U2382" s="46"/>
      <c r="V2382" s="46"/>
      <c r="W2382" s="46"/>
      <c r="X2382" s="46"/>
    </row>
    <row r="2383" spans="1:24" x14ac:dyDescent="0.2">
      <c r="A2383" s="45"/>
      <c r="B2383" s="46"/>
      <c r="C2383" s="46"/>
      <c r="D2383" s="46"/>
      <c r="E2383" s="46"/>
      <c r="F2383" s="46"/>
      <c r="G2383" s="46"/>
      <c r="H2383" s="46"/>
      <c r="I2383" s="46"/>
      <c r="J2383" s="46"/>
      <c r="K2383" s="46"/>
      <c r="L2383" s="46"/>
      <c r="M2383" s="46"/>
      <c r="N2383" s="46"/>
      <c r="O2383" s="46"/>
      <c r="P2383" s="46"/>
      <c r="Q2383" s="46"/>
      <c r="R2383" s="46"/>
      <c r="S2383" s="46"/>
      <c r="T2383" s="46"/>
      <c r="U2383" s="46"/>
      <c r="V2383" s="46"/>
      <c r="W2383" s="46"/>
      <c r="X2383" s="46"/>
    </row>
    <row r="2384" spans="1:24" x14ac:dyDescent="0.2">
      <c r="A2384" s="45"/>
      <c r="B2384" s="46"/>
      <c r="C2384" s="46"/>
      <c r="D2384" s="46"/>
      <c r="E2384" s="46"/>
      <c r="F2384" s="46"/>
      <c r="G2384" s="46"/>
      <c r="H2384" s="46"/>
      <c r="I2384" s="46"/>
      <c r="J2384" s="46"/>
      <c r="K2384" s="46"/>
      <c r="L2384" s="46"/>
      <c r="M2384" s="46"/>
      <c r="N2384" s="46"/>
      <c r="O2384" s="46"/>
      <c r="P2384" s="46"/>
      <c r="Q2384" s="46"/>
      <c r="R2384" s="46"/>
      <c r="S2384" s="46"/>
      <c r="T2384" s="46"/>
      <c r="U2384" s="46"/>
      <c r="V2384" s="46"/>
      <c r="W2384" s="46"/>
      <c r="X2384" s="46"/>
    </row>
    <row r="2385" spans="1:24" x14ac:dyDescent="0.2">
      <c r="A2385" s="45"/>
      <c r="B2385" s="46"/>
      <c r="C2385" s="46"/>
      <c r="D2385" s="46"/>
      <c r="E2385" s="46"/>
      <c r="F2385" s="46"/>
      <c r="G2385" s="46"/>
      <c r="H2385" s="46"/>
      <c r="I2385" s="46"/>
      <c r="J2385" s="46"/>
      <c r="K2385" s="46"/>
      <c r="L2385" s="46"/>
      <c r="M2385" s="46"/>
      <c r="N2385" s="46"/>
      <c r="O2385" s="46"/>
      <c r="P2385" s="46"/>
      <c r="Q2385" s="46"/>
      <c r="R2385" s="46"/>
      <c r="S2385" s="46"/>
      <c r="T2385" s="46"/>
      <c r="U2385" s="46"/>
      <c r="V2385" s="46"/>
      <c r="W2385" s="46"/>
      <c r="X2385" s="46"/>
    </row>
    <row r="2386" spans="1:24" x14ac:dyDescent="0.2">
      <c r="A2386" s="45"/>
      <c r="B2386" s="46"/>
      <c r="C2386" s="46"/>
      <c r="D2386" s="46"/>
      <c r="E2386" s="46"/>
      <c r="F2386" s="46"/>
      <c r="G2386" s="46"/>
      <c r="H2386" s="46"/>
      <c r="I2386" s="46"/>
      <c r="J2386" s="46"/>
      <c r="K2386" s="46"/>
      <c r="L2386" s="46"/>
      <c r="M2386" s="46"/>
      <c r="N2386" s="46"/>
      <c r="O2386" s="46"/>
      <c r="P2386" s="46"/>
      <c r="Q2386" s="46"/>
      <c r="R2386" s="46"/>
      <c r="S2386" s="46"/>
      <c r="T2386" s="46"/>
      <c r="U2386" s="46"/>
      <c r="V2386" s="46"/>
      <c r="W2386" s="46"/>
      <c r="X2386" s="46"/>
    </row>
    <row r="2387" spans="1:24" x14ac:dyDescent="0.2">
      <c r="A2387" s="45"/>
      <c r="B2387" s="46"/>
      <c r="C2387" s="46"/>
      <c r="D2387" s="46"/>
      <c r="E2387" s="46"/>
      <c r="F2387" s="46"/>
      <c r="G2387" s="46"/>
      <c r="H2387" s="46"/>
      <c r="I2387" s="46"/>
      <c r="J2387" s="46"/>
      <c r="K2387" s="46"/>
      <c r="L2387" s="46"/>
      <c r="M2387" s="46"/>
      <c r="N2387" s="46"/>
      <c r="O2387" s="46"/>
      <c r="P2387" s="46"/>
      <c r="Q2387" s="46"/>
      <c r="R2387" s="46"/>
      <c r="S2387" s="46"/>
      <c r="T2387" s="46"/>
      <c r="U2387" s="46"/>
      <c r="V2387" s="46"/>
      <c r="W2387" s="46"/>
      <c r="X2387" s="46"/>
    </row>
    <row r="2388" spans="1:24" x14ac:dyDescent="0.2">
      <c r="A2388" s="45"/>
      <c r="B2388" s="46"/>
      <c r="C2388" s="46"/>
      <c r="D2388" s="46"/>
      <c r="E2388" s="46"/>
      <c r="F2388" s="46"/>
      <c r="G2388" s="46"/>
      <c r="H2388" s="46"/>
      <c r="I2388" s="46"/>
      <c r="J2388" s="46"/>
      <c r="K2388" s="46"/>
      <c r="L2388" s="46"/>
      <c r="M2388" s="46"/>
      <c r="N2388" s="46"/>
      <c r="O2388" s="46"/>
      <c r="P2388" s="46"/>
      <c r="Q2388" s="46"/>
      <c r="R2388" s="46"/>
      <c r="S2388" s="46"/>
      <c r="T2388" s="46"/>
      <c r="U2388" s="46"/>
      <c r="V2388" s="46"/>
      <c r="W2388" s="46"/>
      <c r="X2388" s="46"/>
    </row>
    <row r="2389" spans="1:24" x14ac:dyDescent="0.2">
      <c r="A2389" s="45"/>
      <c r="B2389" s="46"/>
      <c r="C2389" s="46"/>
      <c r="D2389" s="46"/>
      <c r="E2389" s="46"/>
      <c r="F2389" s="46"/>
      <c r="G2389" s="46"/>
      <c r="H2389" s="46"/>
      <c r="I2389" s="46"/>
      <c r="J2389" s="46"/>
      <c r="K2389" s="46"/>
      <c r="L2389" s="46"/>
      <c r="M2389" s="46"/>
      <c r="N2389" s="46"/>
      <c r="O2389" s="46"/>
      <c r="P2389" s="46"/>
      <c r="Q2389" s="46"/>
      <c r="R2389" s="46"/>
      <c r="S2389" s="46"/>
      <c r="T2389" s="46"/>
      <c r="U2389" s="46"/>
      <c r="V2389" s="46"/>
      <c r="W2389" s="46"/>
      <c r="X2389" s="46"/>
    </row>
    <row r="2390" spans="1:24" x14ac:dyDescent="0.2">
      <c r="A2390" s="45"/>
      <c r="B2390" s="46"/>
      <c r="C2390" s="46"/>
      <c r="D2390" s="46"/>
      <c r="E2390" s="46"/>
      <c r="F2390" s="46"/>
      <c r="G2390" s="46"/>
      <c r="H2390" s="46"/>
      <c r="I2390" s="46"/>
      <c r="J2390" s="46"/>
      <c r="K2390" s="46"/>
      <c r="L2390" s="46"/>
      <c r="M2390" s="46"/>
      <c r="N2390" s="46"/>
      <c r="O2390" s="46"/>
      <c r="P2390" s="46"/>
      <c r="Q2390" s="46"/>
      <c r="R2390" s="46"/>
      <c r="S2390" s="46"/>
      <c r="T2390" s="46"/>
      <c r="U2390" s="46"/>
      <c r="V2390" s="46"/>
      <c r="W2390" s="46"/>
      <c r="X2390" s="46"/>
    </row>
    <row r="2391" spans="1:24" x14ac:dyDescent="0.2">
      <c r="A2391" s="45"/>
      <c r="B2391" s="46"/>
      <c r="C2391" s="46"/>
      <c r="D2391" s="46"/>
      <c r="E2391" s="46"/>
      <c r="F2391" s="46"/>
      <c r="G2391" s="46"/>
      <c r="H2391" s="46"/>
      <c r="I2391" s="46"/>
      <c r="J2391" s="46"/>
      <c r="K2391" s="46"/>
      <c r="L2391" s="46"/>
      <c r="M2391" s="46"/>
      <c r="N2391" s="46"/>
      <c r="O2391" s="46"/>
      <c r="P2391" s="46"/>
      <c r="Q2391" s="46"/>
      <c r="R2391" s="46"/>
      <c r="S2391" s="46"/>
      <c r="T2391" s="46"/>
      <c r="U2391" s="46"/>
      <c r="V2391" s="46"/>
      <c r="W2391" s="46"/>
      <c r="X2391" s="46"/>
    </row>
    <row r="2392" spans="1:24" x14ac:dyDescent="0.2">
      <c r="A2392" s="45"/>
      <c r="B2392" s="46"/>
      <c r="C2392" s="46"/>
      <c r="D2392" s="46"/>
      <c r="E2392" s="46"/>
      <c r="F2392" s="46"/>
      <c r="G2392" s="46"/>
      <c r="H2392" s="46"/>
      <c r="I2392" s="46"/>
      <c r="J2392" s="46"/>
      <c r="K2392" s="46"/>
      <c r="L2392" s="46"/>
      <c r="M2392" s="46"/>
      <c r="N2392" s="46"/>
      <c r="O2392" s="46"/>
      <c r="P2392" s="46"/>
      <c r="Q2392" s="46"/>
      <c r="R2392" s="46"/>
      <c r="S2392" s="46"/>
      <c r="T2392" s="46"/>
      <c r="U2392" s="46"/>
      <c r="V2392" s="46"/>
      <c r="W2392" s="46"/>
      <c r="X2392" s="46"/>
    </row>
    <row r="2393" spans="1:24" x14ac:dyDescent="0.2">
      <c r="A2393" s="45"/>
      <c r="B2393" s="46"/>
      <c r="C2393" s="46"/>
      <c r="D2393" s="46"/>
      <c r="E2393" s="46"/>
      <c r="F2393" s="46"/>
      <c r="G2393" s="46"/>
      <c r="H2393" s="46"/>
      <c r="I2393" s="46"/>
      <c r="J2393" s="46"/>
      <c r="K2393" s="46"/>
      <c r="L2393" s="46"/>
      <c r="M2393" s="46"/>
      <c r="N2393" s="46"/>
      <c r="O2393" s="46"/>
      <c r="P2393" s="46"/>
      <c r="Q2393" s="46"/>
      <c r="R2393" s="46"/>
      <c r="S2393" s="46"/>
      <c r="T2393" s="46"/>
      <c r="U2393" s="46"/>
      <c r="V2393" s="46"/>
      <c r="W2393" s="46"/>
      <c r="X2393" s="46"/>
    </row>
    <row r="2394" spans="1:24" x14ac:dyDescent="0.2">
      <c r="A2394" s="45"/>
      <c r="B2394" s="46"/>
      <c r="C2394" s="46"/>
      <c r="D2394" s="46"/>
      <c r="E2394" s="46"/>
      <c r="F2394" s="46"/>
      <c r="G2394" s="46"/>
      <c r="H2394" s="46"/>
      <c r="I2394" s="46"/>
      <c r="J2394" s="46"/>
      <c r="K2394" s="46"/>
      <c r="L2394" s="46"/>
      <c r="M2394" s="46"/>
      <c r="N2394" s="46"/>
      <c r="O2394" s="46"/>
      <c r="P2394" s="46"/>
      <c r="Q2394" s="46"/>
      <c r="R2394" s="46"/>
      <c r="S2394" s="46"/>
      <c r="T2394" s="46"/>
      <c r="U2394" s="46"/>
      <c r="V2394" s="46"/>
      <c r="W2394" s="46"/>
      <c r="X2394" s="46"/>
    </row>
    <row r="2395" spans="1:24" x14ac:dyDescent="0.2">
      <c r="A2395" s="45"/>
      <c r="B2395" s="46"/>
      <c r="C2395" s="46"/>
      <c r="D2395" s="46"/>
      <c r="E2395" s="46"/>
      <c r="F2395" s="46"/>
      <c r="G2395" s="46"/>
      <c r="H2395" s="46"/>
      <c r="I2395" s="46"/>
      <c r="J2395" s="46"/>
      <c r="K2395" s="46"/>
      <c r="L2395" s="46"/>
      <c r="M2395" s="46"/>
      <c r="N2395" s="46"/>
      <c r="O2395" s="46"/>
      <c r="P2395" s="46"/>
      <c r="Q2395" s="46"/>
      <c r="R2395" s="46"/>
      <c r="S2395" s="46"/>
      <c r="T2395" s="46"/>
      <c r="U2395" s="46"/>
      <c r="V2395" s="46"/>
      <c r="W2395" s="46"/>
      <c r="X2395" s="46"/>
    </row>
    <row r="2396" spans="1:24" x14ac:dyDescent="0.2">
      <c r="A2396" s="45"/>
      <c r="B2396" s="46"/>
      <c r="C2396" s="46"/>
      <c r="D2396" s="46"/>
      <c r="E2396" s="46"/>
      <c r="F2396" s="46"/>
      <c r="G2396" s="46"/>
      <c r="H2396" s="46"/>
      <c r="I2396" s="46"/>
      <c r="J2396" s="46"/>
      <c r="K2396" s="46"/>
      <c r="L2396" s="46"/>
      <c r="M2396" s="46"/>
      <c r="N2396" s="46"/>
      <c r="O2396" s="46"/>
      <c r="P2396" s="46"/>
      <c r="Q2396" s="46"/>
      <c r="R2396" s="46"/>
      <c r="S2396" s="46"/>
      <c r="T2396" s="46"/>
      <c r="U2396" s="46"/>
      <c r="V2396" s="46"/>
      <c r="W2396" s="46"/>
      <c r="X2396" s="46"/>
    </row>
    <row r="2397" spans="1:24" x14ac:dyDescent="0.2">
      <c r="A2397" s="45"/>
      <c r="B2397" s="46"/>
      <c r="C2397" s="46"/>
      <c r="D2397" s="46"/>
      <c r="E2397" s="46"/>
      <c r="F2397" s="46"/>
      <c r="G2397" s="46"/>
      <c r="H2397" s="46"/>
      <c r="I2397" s="46"/>
      <c r="J2397" s="46"/>
      <c r="K2397" s="46"/>
      <c r="L2397" s="46"/>
      <c r="M2397" s="46"/>
      <c r="N2397" s="46"/>
      <c r="O2397" s="46"/>
      <c r="P2397" s="46"/>
      <c r="Q2397" s="46"/>
      <c r="R2397" s="46"/>
      <c r="S2397" s="46"/>
      <c r="T2397" s="46"/>
      <c r="U2397" s="46"/>
      <c r="V2397" s="46"/>
      <c r="W2397" s="46"/>
      <c r="X2397" s="46"/>
    </row>
    <row r="2398" spans="1:24" x14ac:dyDescent="0.2">
      <c r="A2398" s="45"/>
      <c r="B2398" s="46"/>
      <c r="C2398" s="46"/>
      <c r="D2398" s="46"/>
      <c r="E2398" s="46"/>
      <c r="F2398" s="46"/>
      <c r="G2398" s="46"/>
      <c r="H2398" s="46"/>
      <c r="I2398" s="46"/>
      <c r="J2398" s="46"/>
      <c r="K2398" s="46"/>
      <c r="L2398" s="46"/>
      <c r="M2398" s="46"/>
      <c r="N2398" s="46"/>
      <c r="O2398" s="46"/>
      <c r="P2398" s="46"/>
      <c r="Q2398" s="46"/>
      <c r="R2398" s="46"/>
      <c r="S2398" s="46"/>
      <c r="T2398" s="46"/>
      <c r="U2398" s="46"/>
      <c r="V2398" s="46"/>
      <c r="W2398" s="46"/>
      <c r="X2398" s="46"/>
    </row>
    <row r="2399" spans="1:24" x14ac:dyDescent="0.2">
      <c r="A2399" s="45"/>
      <c r="B2399" s="46"/>
      <c r="C2399" s="46"/>
      <c r="D2399" s="46"/>
      <c r="E2399" s="46"/>
      <c r="F2399" s="46"/>
      <c r="G2399" s="46"/>
      <c r="H2399" s="46"/>
      <c r="I2399" s="46"/>
      <c r="J2399" s="46"/>
      <c r="K2399" s="46"/>
      <c r="L2399" s="46"/>
      <c r="M2399" s="46"/>
      <c r="N2399" s="46"/>
      <c r="O2399" s="46"/>
      <c r="P2399" s="46"/>
      <c r="Q2399" s="46"/>
      <c r="R2399" s="46"/>
      <c r="S2399" s="46"/>
      <c r="T2399" s="46"/>
      <c r="U2399" s="46"/>
      <c r="V2399" s="46"/>
      <c r="W2399" s="46"/>
      <c r="X2399" s="46"/>
    </row>
    <row r="2400" spans="1:24" x14ac:dyDescent="0.2">
      <c r="A2400" s="45"/>
      <c r="B2400" s="46"/>
      <c r="C2400" s="46"/>
      <c r="D2400" s="46"/>
      <c r="E2400" s="46"/>
      <c r="F2400" s="46"/>
      <c r="G2400" s="46"/>
      <c r="H2400" s="46"/>
      <c r="I2400" s="46"/>
      <c r="J2400" s="46"/>
      <c r="K2400" s="46"/>
      <c r="L2400" s="46"/>
      <c r="M2400" s="46"/>
      <c r="N2400" s="46"/>
      <c r="O2400" s="46"/>
      <c r="P2400" s="46"/>
      <c r="Q2400" s="46"/>
      <c r="R2400" s="46"/>
      <c r="S2400" s="46"/>
      <c r="T2400" s="46"/>
      <c r="U2400" s="46"/>
      <c r="V2400" s="46"/>
      <c r="W2400" s="46"/>
      <c r="X2400" s="46"/>
    </row>
    <row r="2401" spans="1:24" x14ac:dyDescent="0.2">
      <c r="A2401" s="45"/>
      <c r="B2401" s="46"/>
      <c r="C2401" s="46"/>
      <c r="D2401" s="46"/>
      <c r="E2401" s="46"/>
      <c r="F2401" s="46"/>
      <c r="G2401" s="46"/>
      <c r="H2401" s="46"/>
      <c r="I2401" s="46"/>
      <c r="J2401" s="46"/>
      <c r="K2401" s="46"/>
      <c r="L2401" s="46"/>
      <c r="M2401" s="46"/>
      <c r="N2401" s="46"/>
      <c r="O2401" s="46"/>
      <c r="P2401" s="46"/>
      <c r="Q2401" s="46"/>
      <c r="R2401" s="46"/>
      <c r="S2401" s="46"/>
      <c r="T2401" s="46"/>
      <c r="U2401" s="46"/>
      <c r="V2401" s="46"/>
      <c r="W2401" s="46"/>
      <c r="X2401" s="46"/>
    </row>
    <row r="2402" spans="1:24" x14ac:dyDescent="0.2">
      <c r="A2402" s="45"/>
      <c r="B2402" s="46"/>
      <c r="C2402" s="46"/>
      <c r="D2402" s="46"/>
      <c r="E2402" s="46"/>
      <c r="F2402" s="46"/>
      <c r="G2402" s="46"/>
      <c r="H2402" s="46"/>
      <c r="I2402" s="46"/>
      <c r="J2402" s="46"/>
      <c r="K2402" s="46"/>
      <c r="L2402" s="46"/>
      <c r="M2402" s="46"/>
      <c r="N2402" s="46"/>
      <c r="O2402" s="46"/>
      <c r="P2402" s="46"/>
      <c r="Q2402" s="46"/>
      <c r="R2402" s="46"/>
      <c r="S2402" s="46"/>
      <c r="T2402" s="46"/>
      <c r="U2402" s="46"/>
      <c r="V2402" s="46"/>
      <c r="W2402" s="46"/>
      <c r="X2402" s="46"/>
    </row>
    <row r="2403" spans="1:24" x14ac:dyDescent="0.2">
      <c r="A2403" s="45"/>
      <c r="B2403" s="46"/>
      <c r="C2403" s="46"/>
      <c r="D2403" s="46"/>
      <c r="E2403" s="46"/>
      <c r="F2403" s="46"/>
      <c r="G2403" s="46"/>
      <c r="H2403" s="46"/>
      <c r="I2403" s="46"/>
      <c r="J2403" s="46"/>
      <c r="K2403" s="46"/>
      <c r="L2403" s="46"/>
      <c r="M2403" s="46"/>
      <c r="N2403" s="46"/>
      <c r="O2403" s="46"/>
      <c r="P2403" s="46"/>
      <c r="Q2403" s="46"/>
      <c r="R2403" s="46"/>
      <c r="S2403" s="46"/>
      <c r="T2403" s="46"/>
      <c r="U2403" s="46"/>
      <c r="V2403" s="46"/>
      <c r="W2403" s="46"/>
      <c r="X2403" s="46"/>
    </row>
    <row r="2404" spans="1:24" x14ac:dyDescent="0.2">
      <c r="A2404" s="45"/>
      <c r="B2404" s="46"/>
      <c r="C2404" s="46"/>
      <c r="D2404" s="46"/>
      <c r="E2404" s="46"/>
      <c r="F2404" s="46"/>
      <c r="G2404" s="46"/>
      <c r="H2404" s="46"/>
      <c r="I2404" s="46"/>
      <c r="J2404" s="46"/>
      <c r="K2404" s="46"/>
      <c r="L2404" s="46"/>
      <c r="M2404" s="46"/>
      <c r="N2404" s="46"/>
      <c r="O2404" s="46"/>
      <c r="P2404" s="46"/>
      <c r="Q2404" s="46"/>
      <c r="R2404" s="46"/>
      <c r="S2404" s="46"/>
      <c r="T2404" s="46"/>
      <c r="U2404" s="46"/>
      <c r="V2404" s="46"/>
      <c r="W2404" s="46"/>
      <c r="X2404" s="46"/>
    </row>
    <row r="2405" spans="1:24" x14ac:dyDescent="0.2">
      <c r="A2405" s="45"/>
      <c r="B2405" s="46"/>
      <c r="C2405" s="46"/>
      <c r="D2405" s="46"/>
      <c r="E2405" s="46"/>
      <c r="F2405" s="46"/>
      <c r="G2405" s="46"/>
      <c r="H2405" s="46"/>
      <c r="I2405" s="46"/>
      <c r="J2405" s="46"/>
      <c r="K2405" s="46"/>
      <c r="L2405" s="46"/>
      <c r="M2405" s="46"/>
      <c r="N2405" s="46"/>
      <c r="O2405" s="46"/>
      <c r="P2405" s="46"/>
      <c r="Q2405" s="46"/>
      <c r="R2405" s="46"/>
      <c r="S2405" s="46"/>
      <c r="T2405" s="46"/>
      <c r="U2405" s="46"/>
      <c r="V2405" s="46"/>
      <c r="W2405" s="46"/>
      <c r="X2405" s="46"/>
    </row>
    <row r="2406" spans="1:24" x14ac:dyDescent="0.2">
      <c r="A2406" s="45"/>
      <c r="B2406" s="46"/>
      <c r="C2406" s="46"/>
      <c r="D2406" s="46"/>
      <c r="E2406" s="46"/>
      <c r="F2406" s="46"/>
      <c r="G2406" s="46"/>
      <c r="H2406" s="46"/>
      <c r="I2406" s="46"/>
      <c r="J2406" s="46"/>
      <c r="K2406" s="46"/>
      <c r="L2406" s="46"/>
      <c r="M2406" s="46"/>
      <c r="N2406" s="46"/>
      <c r="O2406" s="46"/>
      <c r="P2406" s="46"/>
      <c r="Q2406" s="46"/>
      <c r="R2406" s="46"/>
      <c r="S2406" s="46"/>
      <c r="T2406" s="46"/>
      <c r="U2406" s="46"/>
      <c r="V2406" s="46"/>
      <c r="W2406" s="46"/>
      <c r="X2406" s="46"/>
    </row>
    <row r="2407" spans="1:24" x14ac:dyDescent="0.2">
      <c r="A2407" s="45"/>
      <c r="B2407" s="46"/>
      <c r="C2407" s="46"/>
      <c r="D2407" s="46"/>
      <c r="E2407" s="46"/>
      <c r="F2407" s="46"/>
      <c r="G2407" s="46"/>
      <c r="H2407" s="46"/>
      <c r="I2407" s="46"/>
      <c r="J2407" s="46"/>
      <c r="K2407" s="46"/>
      <c r="L2407" s="46"/>
      <c r="M2407" s="46"/>
      <c r="N2407" s="46"/>
      <c r="O2407" s="46"/>
      <c r="P2407" s="46"/>
      <c r="Q2407" s="46"/>
      <c r="R2407" s="46"/>
      <c r="S2407" s="46"/>
      <c r="T2407" s="46"/>
      <c r="U2407" s="46"/>
      <c r="V2407" s="46"/>
      <c r="W2407" s="46"/>
      <c r="X2407" s="46"/>
    </row>
    <row r="2408" spans="1:24" x14ac:dyDescent="0.2">
      <c r="A2408" s="45"/>
      <c r="B2408" s="46"/>
      <c r="C2408" s="46"/>
      <c r="D2408" s="46"/>
      <c r="E2408" s="46"/>
      <c r="F2408" s="46"/>
      <c r="G2408" s="46"/>
      <c r="H2408" s="46"/>
      <c r="I2408" s="46"/>
      <c r="J2408" s="46"/>
      <c r="K2408" s="46"/>
      <c r="L2408" s="46"/>
      <c r="M2408" s="46"/>
      <c r="N2408" s="46"/>
      <c r="O2408" s="46"/>
      <c r="P2408" s="46"/>
      <c r="Q2408" s="46"/>
      <c r="R2408" s="46"/>
      <c r="S2408" s="46"/>
      <c r="T2408" s="46"/>
      <c r="U2408" s="46"/>
      <c r="V2408" s="46"/>
      <c r="W2408" s="46"/>
      <c r="X2408" s="46"/>
    </row>
    <row r="2409" spans="1:24" x14ac:dyDescent="0.2">
      <c r="A2409" s="45"/>
      <c r="B2409" s="46"/>
      <c r="C2409" s="46"/>
      <c r="D2409" s="46"/>
      <c r="E2409" s="46"/>
      <c r="F2409" s="46"/>
      <c r="G2409" s="46"/>
      <c r="H2409" s="46"/>
      <c r="I2409" s="46"/>
      <c r="J2409" s="46"/>
      <c r="K2409" s="46"/>
      <c r="L2409" s="46"/>
      <c r="M2409" s="46"/>
      <c r="N2409" s="46"/>
      <c r="O2409" s="46"/>
      <c r="P2409" s="46"/>
      <c r="Q2409" s="46"/>
      <c r="R2409" s="46"/>
      <c r="S2409" s="46"/>
      <c r="T2409" s="46"/>
      <c r="U2409" s="46"/>
      <c r="V2409" s="46"/>
      <c r="W2409" s="46"/>
      <c r="X2409" s="46"/>
    </row>
    <row r="2410" spans="1:24" x14ac:dyDescent="0.2">
      <c r="A2410" s="45"/>
      <c r="B2410" s="46"/>
      <c r="C2410" s="46"/>
      <c r="D2410" s="46"/>
      <c r="E2410" s="46"/>
      <c r="F2410" s="46"/>
      <c r="G2410" s="46"/>
      <c r="H2410" s="46"/>
      <c r="I2410" s="46"/>
      <c r="J2410" s="46"/>
      <c r="K2410" s="46"/>
      <c r="L2410" s="46"/>
      <c r="M2410" s="46"/>
      <c r="N2410" s="46"/>
      <c r="O2410" s="46"/>
      <c r="P2410" s="46"/>
      <c r="Q2410" s="46"/>
      <c r="R2410" s="46"/>
      <c r="S2410" s="46"/>
      <c r="T2410" s="46"/>
      <c r="U2410" s="46"/>
      <c r="V2410" s="46"/>
      <c r="W2410" s="46"/>
      <c r="X2410" s="46"/>
    </row>
    <row r="2411" spans="1:24" x14ac:dyDescent="0.2">
      <c r="A2411" s="45"/>
      <c r="B2411" s="46"/>
      <c r="C2411" s="46"/>
      <c r="D2411" s="46"/>
      <c r="E2411" s="46"/>
      <c r="F2411" s="46"/>
      <c r="G2411" s="46"/>
      <c r="H2411" s="46"/>
      <c r="I2411" s="46"/>
      <c r="J2411" s="46"/>
      <c r="K2411" s="46"/>
      <c r="L2411" s="46"/>
      <c r="M2411" s="46"/>
      <c r="N2411" s="46"/>
      <c r="O2411" s="46"/>
      <c r="P2411" s="46"/>
      <c r="Q2411" s="46"/>
      <c r="R2411" s="46"/>
      <c r="S2411" s="46"/>
      <c r="T2411" s="46"/>
      <c r="U2411" s="46"/>
      <c r="V2411" s="46"/>
      <c r="W2411" s="46"/>
      <c r="X2411" s="46"/>
    </row>
    <row r="2412" spans="1:24" x14ac:dyDescent="0.2">
      <c r="A2412" s="45"/>
      <c r="B2412" s="46"/>
      <c r="C2412" s="46"/>
      <c r="D2412" s="46"/>
      <c r="E2412" s="46"/>
      <c r="F2412" s="46"/>
      <c r="G2412" s="46"/>
      <c r="H2412" s="46"/>
      <c r="I2412" s="46"/>
      <c r="J2412" s="46"/>
      <c r="K2412" s="46"/>
      <c r="L2412" s="46"/>
      <c r="M2412" s="46"/>
      <c r="N2412" s="46"/>
      <c r="O2412" s="46"/>
      <c r="P2412" s="46"/>
      <c r="Q2412" s="46"/>
      <c r="R2412" s="46"/>
      <c r="S2412" s="46"/>
      <c r="T2412" s="46"/>
      <c r="U2412" s="46"/>
      <c r="V2412" s="46"/>
      <c r="W2412" s="46"/>
      <c r="X2412" s="46"/>
    </row>
    <row r="2413" spans="1:24" x14ac:dyDescent="0.2">
      <c r="A2413" s="45"/>
      <c r="B2413" s="46"/>
      <c r="C2413" s="46"/>
      <c r="D2413" s="46"/>
      <c r="E2413" s="46"/>
      <c r="F2413" s="46"/>
      <c r="G2413" s="46"/>
      <c r="H2413" s="46"/>
      <c r="I2413" s="46"/>
      <c r="J2413" s="46"/>
      <c r="K2413" s="46"/>
      <c r="L2413" s="46"/>
      <c r="M2413" s="46"/>
      <c r="N2413" s="46"/>
      <c r="O2413" s="46"/>
      <c r="P2413" s="46"/>
      <c r="Q2413" s="46"/>
      <c r="R2413" s="46"/>
      <c r="S2413" s="46"/>
      <c r="T2413" s="46"/>
      <c r="U2413" s="46"/>
      <c r="V2413" s="46"/>
      <c r="W2413" s="46"/>
      <c r="X2413" s="46"/>
    </row>
    <row r="2414" spans="1:24" x14ac:dyDescent="0.2">
      <c r="A2414" s="45"/>
      <c r="B2414" s="46"/>
      <c r="C2414" s="46"/>
      <c r="D2414" s="46"/>
      <c r="E2414" s="46"/>
      <c r="F2414" s="46"/>
      <c r="G2414" s="46"/>
      <c r="H2414" s="46"/>
      <c r="I2414" s="46"/>
      <c r="J2414" s="46"/>
      <c r="K2414" s="46"/>
      <c r="L2414" s="46"/>
      <c r="M2414" s="46"/>
      <c r="N2414" s="46"/>
      <c r="O2414" s="46"/>
      <c r="P2414" s="46"/>
      <c r="Q2414" s="46"/>
      <c r="R2414" s="46"/>
      <c r="S2414" s="46"/>
      <c r="T2414" s="46"/>
      <c r="U2414" s="46"/>
      <c r="V2414" s="46"/>
      <c r="W2414" s="46"/>
      <c r="X2414" s="46"/>
    </row>
    <row r="2415" spans="1:24" x14ac:dyDescent="0.2">
      <c r="A2415" s="45"/>
      <c r="B2415" s="46"/>
      <c r="C2415" s="46"/>
      <c r="D2415" s="46"/>
      <c r="E2415" s="46"/>
      <c r="F2415" s="46"/>
      <c r="G2415" s="46"/>
      <c r="H2415" s="46"/>
      <c r="I2415" s="46"/>
      <c r="J2415" s="46"/>
      <c r="K2415" s="46"/>
      <c r="L2415" s="46"/>
      <c r="M2415" s="46"/>
      <c r="N2415" s="46"/>
      <c r="O2415" s="46"/>
      <c r="P2415" s="46"/>
      <c r="Q2415" s="46"/>
      <c r="R2415" s="46"/>
      <c r="S2415" s="46"/>
      <c r="T2415" s="46"/>
      <c r="U2415" s="46"/>
      <c r="V2415" s="46"/>
      <c r="W2415" s="46"/>
      <c r="X2415" s="46"/>
    </row>
    <row r="2416" spans="1:24" x14ac:dyDescent="0.2">
      <c r="A2416" s="45"/>
      <c r="B2416" s="46"/>
      <c r="C2416" s="46"/>
      <c r="D2416" s="46"/>
      <c r="E2416" s="46"/>
      <c r="F2416" s="46"/>
      <c r="G2416" s="46"/>
      <c r="H2416" s="46"/>
      <c r="I2416" s="46"/>
      <c r="J2416" s="46"/>
      <c r="K2416" s="46"/>
      <c r="L2416" s="46"/>
      <c r="M2416" s="46"/>
      <c r="N2416" s="46"/>
      <c r="O2416" s="46"/>
      <c r="P2416" s="46"/>
      <c r="Q2416" s="46"/>
      <c r="R2416" s="46"/>
      <c r="S2416" s="46"/>
      <c r="T2416" s="46"/>
      <c r="U2416" s="46"/>
      <c r="V2416" s="46"/>
      <c r="W2416" s="46"/>
      <c r="X2416" s="46"/>
    </row>
    <row r="2417" spans="1:24" x14ac:dyDescent="0.2">
      <c r="A2417" s="45"/>
      <c r="B2417" s="46"/>
      <c r="C2417" s="46"/>
      <c r="D2417" s="46"/>
      <c r="E2417" s="46"/>
      <c r="F2417" s="46"/>
      <c r="G2417" s="46"/>
      <c r="H2417" s="46"/>
      <c r="I2417" s="46"/>
      <c r="J2417" s="46"/>
      <c r="K2417" s="46"/>
      <c r="L2417" s="46"/>
      <c r="M2417" s="46"/>
      <c r="N2417" s="46"/>
      <c r="O2417" s="46"/>
      <c r="P2417" s="46"/>
      <c r="Q2417" s="46"/>
      <c r="R2417" s="46"/>
      <c r="S2417" s="46"/>
      <c r="T2417" s="46"/>
      <c r="U2417" s="46"/>
      <c r="V2417" s="46"/>
      <c r="W2417" s="46"/>
      <c r="X2417" s="46"/>
    </row>
    <row r="2418" spans="1:24" x14ac:dyDescent="0.2">
      <c r="A2418" s="45"/>
      <c r="B2418" s="46"/>
      <c r="C2418" s="46"/>
      <c r="D2418" s="46"/>
      <c r="E2418" s="46"/>
      <c r="F2418" s="46"/>
      <c r="G2418" s="46"/>
      <c r="H2418" s="46"/>
      <c r="I2418" s="46"/>
      <c r="J2418" s="46"/>
      <c r="K2418" s="46"/>
      <c r="L2418" s="46"/>
      <c r="M2418" s="46"/>
      <c r="N2418" s="46"/>
      <c r="O2418" s="46"/>
      <c r="P2418" s="46"/>
      <c r="Q2418" s="46"/>
      <c r="R2418" s="46"/>
      <c r="S2418" s="46"/>
      <c r="T2418" s="46"/>
      <c r="U2418" s="46"/>
      <c r="V2418" s="46"/>
      <c r="W2418" s="46"/>
      <c r="X2418" s="46"/>
    </row>
    <row r="2419" spans="1:24" x14ac:dyDescent="0.2">
      <c r="A2419" s="45"/>
      <c r="B2419" s="46"/>
      <c r="C2419" s="46"/>
      <c r="D2419" s="46"/>
      <c r="E2419" s="46"/>
      <c r="F2419" s="46"/>
      <c r="G2419" s="46"/>
      <c r="H2419" s="46"/>
      <c r="I2419" s="46"/>
      <c r="J2419" s="46"/>
      <c r="K2419" s="46"/>
      <c r="L2419" s="46"/>
      <c r="M2419" s="46"/>
      <c r="N2419" s="46"/>
      <c r="O2419" s="46"/>
      <c r="P2419" s="46"/>
      <c r="Q2419" s="46"/>
      <c r="R2419" s="46"/>
      <c r="S2419" s="46"/>
      <c r="T2419" s="46"/>
      <c r="U2419" s="46"/>
      <c r="V2419" s="46"/>
      <c r="W2419" s="46"/>
      <c r="X2419" s="46"/>
    </row>
    <row r="2420" spans="1:24" x14ac:dyDescent="0.2">
      <c r="A2420" s="45"/>
      <c r="B2420" s="46"/>
      <c r="C2420" s="46"/>
      <c r="D2420" s="46"/>
      <c r="E2420" s="46"/>
      <c r="F2420" s="46"/>
      <c r="G2420" s="46"/>
      <c r="H2420" s="46"/>
      <c r="I2420" s="46"/>
      <c r="J2420" s="46"/>
      <c r="K2420" s="46"/>
      <c r="L2420" s="46"/>
      <c r="M2420" s="46"/>
      <c r="N2420" s="46"/>
      <c r="O2420" s="46"/>
      <c r="P2420" s="46"/>
      <c r="Q2420" s="46"/>
      <c r="R2420" s="46"/>
      <c r="S2420" s="46"/>
      <c r="T2420" s="46"/>
      <c r="U2420" s="46"/>
      <c r="V2420" s="46"/>
      <c r="W2420" s="46"/>
      <c r="X2420" s="46"/>
    </row>
    <row r="2421" spans="1:24" x14ac:dyDescent="0.2">
      <c r="A2421" s="45"/>
      <c r="B2421" s="46"/>
      <c r="C2421" s="46"/>
      <c r="D2421" s="46"/>
      <c r="E2421" s="46"/>
      <c r="F2421" s="46"/>
      <c r="G2421" s="46"/>
      <c r="H2421" s="46"/>
      <c r="I2421" s="46"/>
      <c r="J2421" s="46"/>
      <c r="K2421" s="46"/>
      <c r="L2421" s="46"/>
      <c r="M2421" s="46"/>
      <c r="N2421" s="46"/>
      <c r="O2421" s="46"/>
      <c r="P2421" s="46"/>
      <c r="Q2421" s="46"/>
      <c r="R2421" s="46"/>
      <c r="S2421" s="46"/>
      <c r="T2421" s="46"/>
      <c r="U2421" s="46"/>
      <c r="V2421" s="46"/>
      <c r="W2421" s="46"/>
      <c r="X2421" s="46"/>
    </row>
    <row r="2422" spans="1:24" x14ac:dyDescent="0.2">
      <c r="A2422" s="45"/>
      <c r="B2422" s="46"/>
      <c r="C2422" s="46"/>
      <c r="D2422" s="46"/>
      <c r="E2422" s="46"/>
      <c r="F2422" s="46"/>
      <c r="G2422" s="46"/>
      <c r="H2422" s="46"/>
      <c r="I2422" s="46"/>
      <c r="J2422" s="46"/>
      <c r="K2422" s="46"/>
      <c r="L2422" s="46"/>
      <c r="M2422" s="46"/>
      <c r="N2422" s="46"/>
      <c r="O2422" s="46"/>
      <c r="P2422" s="46"/>
      <c r="Q2422" s="46"/>
      <c r="R2422" s="46"/>
      <c r="S2422" s="46"/>
      <c r="T2422" s="46"/>
      <c r="U2422" s="46"/>
      <c r="V2422" s="46"/>
      <c r="W2422" s="46"/>
      <c r="X2422" s="46"/>
    </row>
    <row r="2423" spans="1:24" x14ac:dyDescent="0.2">
      <c r="A2423" s="45"/>
      <c r="B2423" s="46"/>
      <c r="C2423" s="46"/>
      <c r="D2423" s="46"/>
      <c r="E2423" s="46"/>
      <c r="F2423" s="46"/>
      <c r="G2423" s="46"/>
      <c r="H2423" s="46"/>
      <c r="I2423" s="46"/>
      <c r="J2423" s="46"/>
      <c r="K2423" s="46"/>
      <c r="L2423" s="46"/>
      <c r="M2423" s="46"/>
      <c r="N2423" s="46"/>
      <c r="O2423" s="46"/>
      <c r="P2423" s="46"/>
      <c r="Q2423" s="46"/>
      <c r="R2423" s="46"/>
      <c r="S2423" s="46"/>
      <c r="T2423" s="46"/>
      <c r="U2423" s="46"/>
      <c r="V2423" s="46"/>
      <c r="W2423" s="46"/>
      <c r="X2423" s="46"/>
    </row>
    <row r="2424" spans="1:24" x14ac:dyDescent="0.2">
      <c r="A2424" s="45"/>
      <c r="B2424" s="46"/>
      <c r="C2424" s="46"/>
      <c r="D2424" s="46"/>
      <c r="E2424" s="46"/>
      <c r="F2424" s="46"/>
      <c r="G2424" s="46"/>
      <c r="H2424" s="46"/>
      <c r="I2424" s="46"/>
      <c r="J2424" s="46"/>
      <c r="K2424" s="46"/>
      <c r="L2424" s="46"/>
      <c r="M2424" s="46"/>
      <c r="N2424" s="46"/>
      <c r="O2424" s="46"/>
      <c r="P2424" s="46"/>
      <c r="Q2424" s="46"/>
      <c r="R2424" s="46"/>
      <c r="S2424" s="46"/>
      <c r="T2424" s="46"/>
      <c r="U2424" s="46"/>
      <c r="V2424" s="46"/>
      <c r="W2424" s="46"/>
      <c r="X2424" s="46"/>
    </row>
    <row r="2425" spans="1:24" x14ac:dyDescent="0.2">
      <c r="A2425" s="45"/>
      <c r="B2425" s="46"/>
      <c r="C2425" s="46"/>
      <c r="D2425" s="46"/>
      <c r="E2425" s="46"/>
      <c r="F2425" s="46"/>
      <c r="G2425" s="46"/>
      <c r="H2425" s="46"/>
      <c r="I2425" s="46"/>
      <c r="J2425" s="46"/>
      <c r="K2425" s="46"/>
      <c r="L2425" s="46"/>
      <c r="M2425" s="46"/>
      <c r="N2425" s="46"/>
      <c r="O2425" s="46"/>
      <c r="P2425" s="46"/>
      <c r="Q2425" s="46"/>
      <c r="R2425" s="46"/>
      <c r="S2425" s="46"/>
      <c r="T2425" s="46"/>
      <c r="U2425" s="46"/>
      <c r="V2425" s="46"/>
      <c r="W2425" s="46"/>
      <c r="X2425" s="46"/>
    </row>
    <row r="2426" spans="1:24" x14ac:dyDescent="0.2">
      <c r="A2426" s="45"/>
      <c r="B2426" s="46"/>
      <c r="C2426" s="46"/>
      <c r="D2426" s="46"/>
      <c r="E2426" s="46"/>
      <c r="F2426" s="46"/>
      <c r="G2426" s="46"/>
      <c r="H2426" s="46"/>
      <c r="I2426" s="46"/>
      <c r="J2426" s="46"/>
      <c r="K2426" s="46"/>
      <c r="L2426" s="46"/>
      <c r="M2426" s="46"/>
      <c r="N2426" s="46"/>
      <c r="O2426" s="46"/>
      <c r="P2426" s="46"/>
      <c r="Q2426" s="46"/>
      <c r="R2426" s="46"/>
      <c r="S2426" s="46"/>
      <c r="T2426" s="46"/>
      <c r="U2426" s="46"/>
      <c r="V2426" s="46"/>
      <c r="W2426" s="46"/>
      <c r="X2426" s="46"/>
    </row>
    <row r="2427" spans="1:24" x14ac:dyDescent="0.2">
      <c r="A2427" s="45"/>
      <c r="B2427" s="46"/>
      <c r="C2427" s="46"/>
      <c r="D2427" s="46"/>
      <c r="E2427" s="46"/>
      <c r="F2427" s="46"/>
      <c r="G2427" s="46"/>
      <c r="H2427" s="46"/>
      <c r="I2427" s="46"/>
      <c r="J2427" s="46"/>
      <c r="K2427" s="46"/>
      <c r="L2427" s="46"/>
      <c r="M2427" s="46"/>
      <c r="N2427" s="46"/>
      <c r="O2427" s="46"/>
      <c r="P2427" s="46"/>
      <c r="Q2427" s="46"/>
      <c r="R2427" s="46"/>
      <c r="S2427" s="46"/>
      <c r="T2427" s="46"/>
      <c r="U2427" s="46"/>
      <c r="V2427" s="46"/>
      <c r="W2427" s="46"/>
      <c r="X2427" s="46"/>
    </row>
    <row r="2428" spans="1:24" x14ac:dyDescent="0.2">
      <c r="A2428" s="45"/>
      <c r="B2428" s="46"/>
      <c r="C2428" s="46"/>
      <c r="D2428" s="46"/>
      <c r="E2428" s="46"/>
      <c r="F2428" s="46"/>
      <c r="G2428" s="46"/>
      <c r="H2428" s="46"/>
      <c r="I2428" s="46"/>
      <c r="J2428" s="46"/>
      <c r="K2428" s="46"/>
      <c r="L2428" s="46"/>
      <c r="M2428" s="46"/>
      <c r="N2428" s="46"/>
      <c r="O2428" s="46"/>
      <c r="P2428" s="46"/>
      <c r="Q2428" s="46"/>
      <c r="R2428" s="46"/>
      <c r="S2428" s="46"/>
      <c r="T2428" s="46"/>
      <c r="U2428" s="46"/>
      <c r="V2428" s="46"/>
      <c r="W2428" s="46"/>
      <c r="X2428" s="46"/>
    </row>
    <row r="2429" spans="1:24" x14ac:dyDescent="0.2">
      <c r="A2429" s="45"/>
      <c r="B2429" s="46"/>
      <c r="C2429" s="46"/>
      <c r="D2429" s="46"/>
      <c r="E2429" s="46"/>
      <c r="F2429" s="46"/>
      <c r="G2429" s="46"/>
      <c r="H2429" s="46"/>
      <c r="I2429" s="46"/>
      <c r="J2429" s="46"/>
      <c r="K2429" s="46"/>
      <c r="L2429" s="46"/>
      <c r="M2429" s="46"/>
      <c r="N2429" s="46"/>
      <c r="O2429" s="46"/>
      <c r="P2429" s="46"/>
      <c r="Q2429" s="46"/>
      <c r="R2429" s="46"/>
      <c r="S2429" s="46"/>
      <c r="T2429" s="46"/>
      <c r="U2429" s="46"/>
      <c r="V2429" s="46"/>
      <c r="W2429" s="46"/>
      <c r="X2429" s="46"/>
    </row>
    <row r="2430" spans="1:24" x14ac:dyDescent="0.2">
      <c r="A2430" s="45"/>
      <c r="B2430" s="46"/>
      <c r="C2430" s="46"/>
      <c r="D2430" s="46"/>
      <c r="E2430" s="46"/>
      <c r="F2430" s="46"/>
      <c r="G2430" s="46"/>
      <c r="H2430" s="46"/>
      <c r="I2430" s="46"/>
      <c r="J2430" s="46"/>
      <c r="K2430" s="46"/>
      <c r="L2430" s="46"/>
      <c r="M2430" s="46"/>
      <c r="N2430" s="46"/>
      <c r="O2430" s="46"/>
      <c r="P2430" s="46"/>
      <c r="Q2430" s="46"/>
      <c r="R2430" s="46"/>
      <c r="S2430" s="46"/>
      <c r="T2430" s="46"/>
      <c r="U2430" s="46"/>
      <c r="V2430" s="46"/>
      <c r="W2430" s="46"/>
      <c r="X2430" s="46"/>
    </row>
    <row r="2431" spans="1:24" x14ac:dyDescent="0.2">
      <c r="A2431" s="45"/>
      <c r="B2431" s="46"/>
      <c r="C2431" s="46"/>
      <c r="D2431" s="46"/>
      <c r="E2431" s="46"/>
      <c r="F2431" s="46"/>
      <c r="G2431" s="46"/>
      <c r="H2431" s="46"/>
      <c r="I2431" s="46"/>
      <c r="J2431" s="46"/>
      <c r="K2431" s="46"/>
      <c r="L2431" s="46"/>
      <c r="M2431" s="46"/>
      <c r="N2431" s="46"/>
      <c r="O2431" s="46"/>
      <c r="P2431" s="46"/>
      <c r="Q2431" s="46"/>
      <c r="R2431" s="46"/>
      <c r="S2431" s="46"/>
      <c r="T2431" s="46"/>
      <c r="U2431" s="46"/>
      <c r="V2431" s="46"/>
      <c r="W2431" s="46"/>
      <c r="X2431" s="46"/>
    </row>
    <row r="2432" spans="1:24" x14ac:dyDescent="0.2">
      <c r="A2432" s="45"/>
      <c r="B2432" s="46"/>
      <c r="C2432" s="46"/>
      <c r="D2432" s="46"/>
      <c r="E2432" s="46"/>
      <c r="F2432" s="46"/>
      <c r="G2432" s="46"/>
      <c r="H2432" s="46"/>
      <c r="I2432" s="46"/>
      <c r="J2432" s="46"/>
      <c r="K2432" s="46"/>
      <c r="L2432" s="46"/>
      <c r="M2432" s="46"/>
      <c r="N2432" s="46"/>
      <c r="O2432" s="46"/>
      <c r="P2432" s="46"/>
      <c r="Q2432" s="46"/>
      <c r="R2432" s="46"/>
      <c r="S2432" s="46"/>
      <c r="T2432" s="46"/>
      <c r="U2432" s="46"/>
      <c r="V2432" s="46"/>
      <c r="W2432" s="46"/>
      <c r="X2432" s="46"/>
    </row>
    <row r="2433" spans="1:24" x14ac:dyDescent="0.2">
      <c r="A2433" s="45"/>
      <c r="B2433" s="46"/>
      <c r="C2433" s="46"/>
      <c r="D2433" s="46"/>
      <c r="E2433" s="46"/>
      <c r="F2433" s="46"/>
      <c r="G2433" s="46"/>
      <c r="H2433" s="46"/>
      <c r="I2433" s="46"/>
      <c r="J2433" s="46"/>
      <c r="K2433" s="46"/>
      <c r="L2433" s="46"/>
      <c r="M2433" s="46"/>
      <c r="N2433" s="46"/>
      <c r="O2433" s="46"/>
      <c r="P2433" s="46"/>
      <c r="Q2433" s="46"/>
      <c r="R2433" s="46"/>
      <c r="S2433" s="46"/>
      <c r="T2433" s="46"/>
      <c r="U2433" s="46"/>
      <c r="V2433" s="46"/>
      <c r="W2433" s="46"/>
      <c r="X2433" s="46"/>
    </row>
    <row r="2434" spans="1:24" x14ac:dyDescent="0.2">
      <c r="A2434" s="45"/>
      <c r="B2434" s="46"/>
      <c r="C2434" s="46"/>
      <c r="D2434" s="46"/>
      <c r="E2434" s="46"/>
      <c r="F2434" s="46"/>
      <c r="G2434" s="46"/>
      <c r="H2434" s="46"/>
      <c r="I2434" s="46"/>
      <c r="J2434" s="46"/>
      <c r="K2434" s="46"/>
      <c r="L2434" s="46"/>
      <c r="M2434" s="46"/>
      <c r="N2434" s="46"/>
      <c r="O2434" s="46"/>
      <c r="P2434" s="46"/>
      <c r="Q2434" s="46"/>
      <c r="R2434" s="46"/>
      <c r="S2434" s="46"/>
      <c r="T2434" s="46"/>
      <c r="U2434" s="46"/>
      <c r="V2434" s="46"/>
      <c r="W2434" s="46"/>
      <c r="X2434" s="46"/>
    </row>
    <row r="2435" spans="1:24" x14ac:dyDescent="0.2">
      <c r="A2435" s="45"/>
      <c r="B2435" s="46"/>
      <c r="C2435" s="46"/>
      <c r="D2435" s="46"/>
      <c r="E2435" s="46"/>
      <c r="F2435" s="46"/>
      <c r="G2435" s="46"/>
      <c r="H2435" s="46"/>
      <c r="I2435" s="46"/>
      <c r="J2435" s="46"/>
      <c r="K2435" s="46"/>
      <c r="L2435" s="46"/>
      <c r="M2435" s="46"/>
      <c r="N2435" s="46"/>
      <c r="O2435" s="46"/>
      <c r="P2435" s="46"/>
      <c r="Q2435" s="46"/>
      <c r="R2435" s="46"/>
      <c r="S2435" s="46"/>
      <c r="T2435" s="46"/>
      <c r="U2435" s="46"/>
      <c r="V2435" s="46"/>
      <c r="W2435" s="46"/>
      <c r="X2435" s="46"/>
    </row>
    <row r="2436" spans="1:24" x14ac:dyDescent="0.2">
      <c r="A2436" s="45"/>
      <c r="B2436" s="46"/>
      <c r="C2436" s="46"/>
      <c r="D2436" s="46"/>
      <c r="E2436" s="46"/>
      <c r="F2436" s="46"/>
      <c r="G2436" s="46"/>
      <c r="H2436" s="46"/>
      <c r="I2436" s="46"/>
      <c r="J2436" s="46"/>
      <c r="K2436" s="46"/>
      <c r="L2436" s="46"/>
      <c r="M2436" s="46"/>
      <c r="N2436" s="46"/>
      <c r="O2436" s="46"/>
      <c r="P2436" s="46"/>
      <c r="Q2436" s="46"/>
      <c r="R2436" s="46"/>
      <c r="S2436" s="46"/>
      <c r="T2436" s="46"/>
      <c r="U2436" s="46"/>
      <c r="V2436" s="46"/>
      <c r="W2436" s="46"/>
      <c r="X2436" s="46"/>
    </row>
    <row r="2437" spans="1:24" x14ac:dyDescent="0.2">
      <c r="A2437" s="45"/>
      <c r="B2437" s="46"/>
      <c r="C2437" s="46"/>
      <c r="D2437" s="46"/>
      <c r="E2437" s="46"/>
      <c r="F2437" s="46"/>
      <c r="G2437" s="46"/>
      <c r="H2437" s="46"/>
      <c r="I2437" s="46"/>
      <c r="J2437" s="46"/>
      <c r="K2437" s="46"/>
      <c r="L2437" s="46"/>
      <c r="M2437" s="46"/>
      <c r="N2437" s="46"/>
      <c r="O2437" s="46"/>
      <c r="P2437" s="46"/>
      <c r="Q2437" s="46"/>
      <c r="R2437" s="46"/>
      <c r="S2437" s="46"/>
      <c r="T2437" s="46"/>
      <c r="U2437" s="46"/>
      <c r="V2437" s="46"/>
      <c r="W2437" s="46"/>
      <c r="X2437" s="46"/>
    </row>
    <row r="2438" spans="1:24" x14ac:dyDescent="0.2">
      <c r="A2438" s="45"/>
      <c r="B2438" s="46"/>
      <c r="C2438" s="46"/>
      <c r="D2438" s="46"/>
      <c r="E2438" s="46"/>
      <c r="F2438" s="46"/>
      <c r="G2438" s="46"/>
      <c r="H2438" s="46"/>
      <c r="I2438" s="46"/>
      <c r="J2438" s="46"/>
      <c r="K2438" s="46"/>
      <c r="L2438" s="46"/>
      <c r="M2438" s="46"/>
      <c r="N2438" s="46"/>
      <c r="O2438" s="46"/>
      <c r="P2438" s="46"/>
      <c r="Q2438" s="46"/>
      <c r="R2438" s="46"/>
      <c r="S2438" s="46"/>
      <c r="T2438" s="46"/>
      <c r="U2438" s="46"/>
      <c r="V2438" s="46"/>
      <c r="W2438" s="46"/>
      <c r="X2438" s="46"/>
    </row>
    <row r="2439" spans="1:24" x14ac:dyDescent="0.2">
      <c r="A2439" s="45"/>
      <c r="B2439" s="46"/>
      <c r="C2439" s="46"/>
      <c r="D2439" s="46"/>
      <c r="E2439" s="46"/>
      <c r="F2439" s="46"/>
      <c r="G2439" s="46"/>
      <c r="H2439" s="46"/>
      <c r="I2439" s="46"/>
      <c r="J2439" s="46"/>
      <c r="K2439" s="46"/>
      <c r="L2439" s="46"/>
      <c r="M2439" s="46"/>
      <c r="N2439" s="46"/>
      <c r="O2439" s="46"/>
      <c r="P2439" s="46"/>
      <c r="Q2439" s="46"/>
      <c r="R2439" s="46"/>
      <c r="S2439" s="46"/>
      <c r="T2439" s="46"/>
      <c r="U2439" s="46"/>
      <c r="V2439" s="46"/>
      <c r="W2439" s="46"/>
      <c r="X2439" s="46"/>
    </row>
    <row r="2440" spans="1:24" x14ac:dyDescent="0.2">
      <c r="A2440" s="45"/>
      <c r="B2440" s="46"/>
      <c r="C2440" s="46"/>
      <c r="D2440" s="46"/>
      <c r="E2440" s="46"/>
      <c r="F2440" s="46"/>
      <c r="G2440" s="46"/>
      <c r="H2440" s="46"/>
      <c r="I2440" s="46"/>
      <c r="J2440" s="46"/>
      <c r="K2440" s="46"/>
      <c r="L2440" s="46"/>
      <c r="M2440" s="46"/>
      <c r="N2440" s="46"/>
      <c r="O2440" s="46"/>
      <c r="P2440" s="46"/>
      <c r="Q2440" s="46"/>
      <c r="R2440" s="46"/>
      <c r="S2440" s="46"/>
      <c r="T2440" s="46"/>
      <c r="U2440" s="46"/>
      <c r="V2440" s="46"/>
      <c r="W2440" s="46"/>
      <c r="X2440" s="46"/>
    </row>
    <row r="2441" spans="1:24" x14ac:dyDescent="0.2">
      <c r="A2441" s="45"/>
      <c r="B2441" s="46"/>
      <c r="C2441" s="46"/>
      <c r="D2441" s="46"/>
      <c r="E2441" s="46"/>
      <c r="F2441" s="46"/>
      <c r="G2441" s="46"/>
      <c r="H2441" s="46"/>
      <c r="I2441" s="46"/>
      <c r="J2441" s="46"/>
      <c r="K2441" s="46"/>
      <c r="L2441" s="46"/>
      <c r="M2441" s="46"/>
      <c r="N2441" s="46"/>
      <c r="O2441" s="46"/>
      <c r="P2441" s="46"/>
      <c r="Q2441" s="46"/>
      <c r="R2441" s="46"/>
      <c r="S2441" s="46"/>
      <c r="T2441" s="46"/>
      <c r="U2441" s="46"/>
      <c r="V2441" s="46"/>
      <c r="W2441" s="46"/>
      <c r="X2441" s="46"/>
    </row>
    <row r="2442" spans="1:24" x14ac:dyDescent="0.2">
      <c r="A2442" s="45"/>
      <c r="B2442" s="46"/>
      <c r="C2442" s="46"/>
      <c r="D2442" s="46"/>
      <c r="E2442" s="46"/>
      <c r="F2442" s="46"/>
      <c r="G2442" s="46"/>
      <c r="H2442" s="46"/>
      <c r="I2442" s="46"/>
      <c r="J2442" s="46"/>
      <c r="K2442" s="46"/>
      <c r="L2442" s="46"/>
      <c r="M2442" s="46"/>
      <c r="N2442" s="46"/>
      <c r="O2442" s="46"/>
      <c r="P2442" s="46"/>
      <c r="Q2442" s="46"/>
      <c r="R2442" s="46"/>
      <c r="S2442" s="46"/>
      <c r="T2442" s="46"/>
      <c r="U2442" s="46"/>
      <c r="V2442" s="46"/>
      <c r="W2442" s="46"/>
      <c r="X2442" s="46"/>
    </row>
    <row r="2443" spans="1:24" x14ac:dyDescent="0.2">
      <c r="A2443" s="45"/>
      <c r="B2443" s="46"/>
      <c r="C2443" s="46"/>
      <c r="D2443" s="46"/>
      <c r="E2443" s="46"/>
      <c r="F2443" s="46"/>
      <c r="G2443" s="46"/>
      <c r="H2443" s="46"/>
      <c r="I2443" s="46"/>
      <c r="J2443" s="46"/>
      <c r="K2443" s="46"/>
      <c r="L2443" s="46"/>
      <c r="M2443" s="46"/>
      <c r="N2443" s="46"/>
      <c r="O2443" s="46"/>
      <c r="P2443" s="46"/>
      <c r="Q2443" s="46"/>
      <c r="R2443" s="46"/>
      <c r="S2443" s="46"/>
      <c r="T2443" s="46"/>
      <c r="U2443" s="46"/>
      <c r="V2443" s="46"/>
      <c r="W2443" s="46"/>
      <c r="X2443" s="46"/>
    </row>
    <row r="2444" spans="1:24" x14ac:dyDescent="0.2">
      <c r="A2444" s="45"/>
      <c r="B2444" s="46"/>
      <c r="C2444" s="46"/>
      <c r="D2444" s="46"/>
      <c r="E2444" s="46"/>
      <c r="F2444" s="46"/>
      <c r="G2444" s="46"/>
      <c r="H2444" s="46"/>
      <c r="I2444" s="46"/>
      <c r="J2444" s="46"/>
      <c r="K2444" s="46"/>
      <c r="L2444" s="46"/>
      <c r="M2444" s="46"/>
      <c r="N2444" s="46"/>
      <c r="O2444" s="46"/>
      <c r="P2444" s="46"/>
      <c r="Q2444" s="46"/>
      <c r="R2444" s="46"/>
      <c r="S2444" s="46"/>
      <c r="T2444" s="46"/>
      <c r="U2444" s="46"/>
      <c r="V2444" s="46"/>
      <c r="W2444" s="46"/>
      <c r="X2444" s="46"/>
    </row>
    <row r="2445" spans="1:24" x14ac:dyDescent="0.2">
      <c r="A2445" s="45"/>
      <c r="B2445" s="46"/>
      <c r="C2445" s="46"/>
      <c r="D2445" s="46"/>
      <c r="E2445" s="46"/>
      <c r="F2445" s="46"/>
      <c r="G2445" s="46"/>
      <c r="H2445" s="46"/>
      <c r="I2445" s="46"/>
      <c r="J2445" s="46"/>
      <c r="K2445" s="46"/>
      <c r="L2445" s="46"/>
      <c r="M2445" s="46"/>
      <c r="N2445" s="46"/>
      <c r="O2445" s="46"/>
      <c r="P2445" s="46"/>
      <c r="Q2445" s="46"/>
      <c r="R2445" s="46"/>
      <c r="S2445" s="46"/>
      <c r="T2445" s="46"/>
      <c r="U2445" s="46"/>
      <c r="V2445" s="46"/>
      <c r="W2445" s="46"/>
      <c r="X2445" s="46"/>
    </row>
    <row r="2446" spans="1:24" x14ac:dyDescent="0.2">
      <c r="A2446" s="45"/>
      <c r="B2446" s="46"/>
      <c r="C2446" s="46"/>
      <c r="D2446" s="46"/>
      <c r="E2446" s="46"/>
      <c r="F2446" s="46"/>
      <c r="G2446" s="46"/>
      <c r="H2446" s="46"/>
      <c r="I2446" s="46"/>
      <c r="J2446" s="46"/>
      <c r="K2446" s="46"/>
      <c r="L2446" s="46"/>
      <c r="M2446" s="46"/>
      <c r="N2446" s="46"/>
      <c r="O2446" s="46"/>
      <c r="P2446" s="46"/>
      <c r="Q2446" s="46"/>
      <c r="R2446" s="46"/>
      <c r="S2446" s="46"/>
      <c r="T2446" s="46"/>
      <c r="U2446" s="46"/>
      <c r="V2446" s="46"/>
      <c r="W2446" s="46"/>
      <c r="X2446" s="46"/>
    </row>
    <row r="2447" spans="1:24" x14ac:dyDescent="0.2">
      <c r="A2447" s="45"/>
      <c r="B2447" s="46"/>
      <c r="C2447" s="46"/>
      <c r="D2447" s="46"/>
      <c r="E2447" s="46"/>
      <c r="F2447" s="46"/>
      <c r="G2447" s="46"/>
      <c r="H2447" s="46"/>
      <c r="I2447" s="46"/>
      <c r="J2447" s="46"/>
      <c r="K2447" s="46"/>
      <c r="L2447" s="46"/>
      <c r="M2447" s="46"/>
      <c r="N2447" s="46"/>
      <c r="O2447" s="46"/>
      <c r="P2447" s="46"/>
      <c r="Q2447" s="46"/>
      <c r="R2447" s="46"/>
      <c r="S2447" s="46"/>
      <c r="T2447" s="46"/>
      <c r="U2447" s="46"/>
      <c r="V2447" s="46"/>
      <c r="W2447" s="46"/>
      <c r="X2447" s="46"/>
    </row>
    <row r="2448" spans="1:24" x14ac:dyDescent="0.2">
      <c r="A2448" s="45"/>
      <c r="B2448" s="46"/>
      <c r="C2448" s="46"/>
      <c r="D2448" s="46"/>
      <c r="E2448" s="46"/>
      <c r="F2448" s="46"/>
      <c r="G2448" s="46"/>
      <c r="H2448" s="46"/>
      <c r="I2448" s="46"/>
      <c r="J2448" s="46"/>
      <c r="K2448" s="46"/>
      <c r="L2448" s="46"/>
      <c r="M2448" s="46"/>
      <c r="N2448" s="46"/>
      <c r="O2448" s="46"/>
      <c r="P2448" s="46"/>
      <c r="Q2448" s="46"/>
      <c r="R2448" s="46"/>
      <c r="S2448" s="46"/>
      <c r="T2448" s="46"/>
      <c r="U2448" s="46"/>
      <c r="V2448" s="46"/>
      <c r="W2448" s="46"/>
      <c r="X2448" s="46"/>
    </row>
    <row r="2449" spans="1:24" x14ac:dyDescent="0.2">
      <c r="A2449" s="45"/>
      <c r="B2449" s="46"/>
      <c r="C2449" s="46"/>
      <c r="D2449" s="46"/>
      <c r="E2449" s="46"/>
      <c r="F2449" s="46"/>
      <c r="G2449" s="46"/>
      <c r="H2449" s="46"/>
      <c r="I2449" s="46"/>
      <c r="J2449" s="46"/>
      <c r="K2449" s="46"/>
      <c r="L2449" s="46"/>
      <c r="M2449" s="46"/>
      <c r="N2449" s="46"/>
      <c r="O2449" s="46"/>
      <c r="P2449" s="46"/>
      <c r="Q2449" s="46"/>
      <c r="R2449" s="46"/>
      <c r="S2449" s="46"/>
      <c r="T2449" s="46"/>
      <c r="U2449" s="46"/>
      <c r="V2449" s="46"/>
      <c r="W2449" s="46"/>
      <c r="X2449" s="46"/>
    </row>
    <row r="2450" spans="1:24" x14ac:dyDescent="0.2">
      <c r="A2450" s="45"/>
      <c r="B2450" s="46"/>
      <c r="C2450" s="46"/>
      <c r="D2450" s="46"/>
      <c r="E2450" s="46"/>
      <c r="F2450" s="46"/>
      <c r="G2450" s="46"/>
      <c r="H2450" s="46"/>
      <c r="I2450" s="46"/>
      <c r="J2450" s="46"/>
      <c r="K2450" s="46"/>
      <c r="L2450" s="46"/>
      <c r="M2450" s="46"/>
      <c r="N2450" s="46"/>
      <c r="O2450" s="46"/>
      <c r="P2450" s="46"/>
      <c r="Q2450" s="46"/>
      <c r="R2450" s="46"/>
      <c r="S2450" s="46"/>
      <c r="T2450" s="46"/>
      <c r="U2450" s="46"/>
      <c r="V2450" s="46"/>
      <c r="W2450" s="46"/>
      <c r="X2450" s="46"/>
    </row>
    <row r="2451" spans="1:24" x14ac:dyDescent="0.2">
      <c r="A2451" s="45"/>
      <c r="B2451" s="46"/>
      <c r="C2451" s="46"/>
      <c r="D2451" s="46"/>
      <c r="E2451" s="46"/>
      <c r="F2451" s="46"/>
      <c r="G2451" s="46"/>
      <c r="H2451" s="46"/>
      <c r="I2451" s="46"/>
      <c r="J2451" s="46"/>
      <c r="K2451" s="46"/>
      <c r="L2451" s="46"/>
      <c r="M2451" s="46"/>
      <c r="N2451" s="46"/>
      <c r="O2451" s="46"/>
      <c r="P2451" s="46"/>
      <c r="Q2451" s="46"/>
      <c r="R2451" s="46"/>
      <c r="S2451" s="46"/>
      <c r="T2451" s="46"/>
      <c r="U2451" s="46"/>
      <c r="V2451" s="46"/>
      <c r="W2451" s="46"/>
      <c r="X2451" s="46"/>
    </row>
    <row r="2452" spans="1:24" x14ac:dyDescent="0.2">
      <c r="A2452" s="45"/>
      <c r="B2452" s="46"/>
      <c r="C2452" s="46"/>
      <c r="D2452" s="46"/>
      <c r="E2452" s="46"/>
      <c r="F2452" s="46"/>
      <c r="G2452" s="46"/>
      <c r="H2452" s="46"/>
      <c r="I2452" s="46"/>
      <c r="J2452" s="46"/>
      <c r="K2452" s="46"/>
      <c r="L2452" s="46"/>
      <c r="M2452" s="46"/>
      <c r="N2452" s="46"/>
      <c r="O2452" s="46"/>
      <c r="P2452" s="46"/>
      <c r="Q2452" s="46"/>
      <c r="R2452" s="46"/>
      <c r="S2452" s="46"/>
      <c r="T2452" s="46"/>
      <c r="U2452" s="46"/>
      <c r="V2452" s="46"/>
      <c r="W2452" s="46"/>
      <c r="X2452" s="46"/>
    </row>
    <row r="2453" spans="1:24" x14ac:dyDescent="0.2">
      <c r="A2453" s="45"/>
      <c r="B2453" s="46"/>
      <c r="C2453" s="46"/>
      <c r="D2453" s="46"/>
      <c r="E2453" s="46"/>
      <c r="F2453" s="46"/>
      <c r="G2453" s="46"/>
      <c r="H2453" s="46"/>
      <c r="I2453" s="46"/>
      <c r="J2453" s="46"/>
      <c r="K2453" s="46"/>
      <c r="L2453" s="46"/>
      <c r="M2453" s="46"/>
      <c r="N2453" s="46"/>
      <c r="O2453" s="46"/>
      <c r="P2453" s="46"/>
      <c r="Q2453" s="46"/>
      <c r="R2453" s="46"/>
      <c r="S2453" s="46"/>
      <c r="T2453" s="46"/>
      <c r="U2453" s="46"/>
      <c r="V2453" s="46"/>
      <c r="W2453" s="46"/>
      <c r="X2453" s="46"/>
    </row>
    <row r="2454" spans="1:24" x14ac:dyDescent="0.2">
      <c r="A2454" s="45"/>
      <c r="B2454" s="46"/>
      <c r="C2454" s="46"/>
      <c r="D2454" s="46"/>
      <c r="E2454" s="46"/>
      <c r="F2454" s="46"/>
      <c r="G2454" s="46"/>
      <c r="H2454" s="46"/>
      <c r="I2454" s="46"/>
      <c r="J2454" s="46"/>
      <c r="K2454" s="46"/>
      <c r="L2454" s="46"/>
      <c r="M2454" s="46"/>
      <c r="N2454" s="46"/>
      <c r="O2454" s="46"/>
      <c r="P2454" s="46"/>
      <c r="Q2454" s="46"/>
      <c r="R2454" s="46"/>
      <c r="S2454" s="46"/>
      <c r="T2454" s="46"/>
      <c r="U2454" s="46"/>
      <c r="V2454" s="46"/>
      <c r="W2454" s="46"/>
      <c r="X2454" s="46"/>
    </row>
    <row r="2455" spans="1:24" x14ac:dyDescent="0.2">
      <c r="A2455" s="45"/>
      <c r="B2455" s="46"/>
      <c r="C2455" s="46"/>
      <c r="D2455" s="46"/>
      <c r="E2455" s="46"/>
      <c r="F2455" s="46"/>
      <c r="G2455" s="46"/>
      <c r="H2455" s="46"/>
      <c r="I2455" s="46"/>
      <c r="J2455" s="46"/>
      <c r="K2455" s="46"/>
      <c r="L2455" s="46"/>
      <c r="M2455" s="46"/>
      <c r="N2455" s="46"/>
      <c r="O2455" s="46"/>
      <c r="P2455" s="46"/>
      <c r="Q2455" s="46"/>
      <c r="R2455" s="46"/>
      <c r="S2455" s="46"/>
      <c r="T2455" s="46"/>
      <c r="U2455" s="46"/>
      <c r="V2455" s="46"/>
      <c r="W2455" s="46"/>
      <c r="X2455" s="46"/>
    </row>
    <row r="2456" spans="1:24" x14ac:dyDescent="0.2">
      <c r="A2456" s="45"/>
      <c r="B2456" s="46"/>
      <c r="C2456" s="46"/>
      <c r="D2456" s="46"/>
      <c r="E2456" s="46"/>
      <c r="F2456" s="46"/>
      <c r="G2456" s="46"/>
      <c r="H2456" s="46"/>
      <c r="I2456" s="46"/>
      <c r="J2456" s="46"/>
      <c r="K2456" s="46"/>
      <c r="L2456" s="46"/>
      <c r="M2456" s="46"/>
      <c r="N2456" s="46"/>
      <c r="O2456" s="46"/>
      <c r="P2456" s="46"/>
      <c r="Q2456" s="46"/>
      <c r="R2456" s="46"/>
      <c r="S2456" s="46"/>
      <c r="T2456" s="46"/>
      <c r="U2456" s="46"/>
      <c r="V2456" s="46"/>
      <c r="W2456" s="46"/>
      <c r="X2456" s="46"/>
    </row>
    <row r="2457" spans="1:24" x14ac:dyDescent="0.2">
      <c r="A2457" s="45"/>
      <c r="B2457" s="46"/>
      <c r="C2457" s="46"/>
      <c r="D2457" s="46"/>
      <c r="E2457" s="46"/>
      <c r="F2457" s="46"/>
      <c r="G2457" s="46"/>
      <c r="H2457" s="46"/>
      <c r="I2457" s="46"/>
      <c r="J2457" s="46"/>
      <c r="K2457" s="46"/>
      <c r="L2457" s="46"/>
      <c r="M2457" s="46"/>
      <c r="N2457" s="46"/>
      <c r="O2457" s="46"/>
      <c r="P2457" s="46"/>
      <c r="Q2457" s="46"/>
      <c r="R2457" s="46"/>
      <c r="S2457" s="46"/>
      <c r="T2457" s="46"/>
      <c r="U2457" s="46"/>
      <c r="V2457" s="46"/>
      <c r="W2457" s="46"/>
      <c r="X2457" s="46"/>
    </row>
    <row r="2458" spans="1:24" x14ac:dyDescent="0.2">
      <c r="A2458" s="45"/>
      <c r="B2458" s="46"/>
      <c r="C2458" s="46"/>
      <c r="D2458" s="46"/>
      <c r="E2458" s="46"/>
      <c r="F2458" s="46"/>
      <c r="G2458" s="46"/>
      <c r="H2458" s="46"/>
      <c r="I2458" s="46"/>
      <c r="J2458" s="46"/>
      <c r="K2458" s="46"/>
      <c r="L2458" s="46"/>
      <c r="M2458" s="46"/>
      <c r="N2458" s="46"/>
      <c r="O2458" s="46"/>
      <c r="P2458" s="46"/>
      <c r="Q2458" s="46"/>
      <c r="R2458" s="46"/>
      <c r="S2458" s="46"/>
      <c r="T2458" s="46"/>
      <c r="U2458" s="46"/>
      <c r="V2458" s="46"/>
      <c r="W2458" s="46"/>
      <c r="X2458" s="46"/>
    </row>
    <row r="2459" spans="1:24" x14ac:dyDescent="0.2">
      <c r="A2459" s="45"/>
      <c r="B2459" s="46"/>
      <c r="C2459" s="46"/>
      <c r="D2459" s="46"/>
      <c r="E2459" s="46"/>
      <c r="F2459" s="46"/>
      <c r="G2459" s="46"/>
      <c r="H2459" s="46"/>
      <c r="I2459" s="46"/>
      <c r="J2459" s="46"/>
      <c r="K2459" s="46"/>
      <c r="L2459" s="46"/>
      <c r="M2459" s="46"/>
      <c r="N2459" s="46"/>
      <c r="O2459" s="46"/>
      <c r="P2459" s="46"/>
      <c r="Q2459" s="46"/>
      <c r="R2459" s="46"/>
      <c r="S2459" s="46"/>
      <c r="T2459" s="46"/>
      <c r="U2459" s="46"/>
      <c r="V2459" s="46"/>
      <c r="W2459" s="46"/>
      <c r="X2459" s="46"/>
    </row>
    <row r="2460" spans="1:24" x14ac:dyDescent="0.2">
      <c r="A2460" s="45"/>
      <c r="B2460" s="46"/>
      <c r="C2460" s="46"/>
      <c r="D2460" s="46"/>
      <c r="E2460" s="46"/>
      <c r="F2460" s="46"/>
      <c r="G2460" s="46"/>
      <c r="H2460" s="46"/>
      <c r="I2460" s="46"/>
      <c r="J2460" s="46"/>
      <c r="K2460" s="46"/>
      <c r="L2460" s="46"/>
      <c r="M2460" s="46"/>
      <c r="N2460" s="46"/>
      <c r="O2460" s="46"/>
      <c r="P2460" s="46"/>
      <c r="Q2460" s="46"/>
      <c r="R2460" s="46"/>
      <c r="S2460" s="46"/>
      <c r="T2460" s="46"/>
      <c r="U2460" s="46"/>
      <c r="V2460" s="46"/>
      <c r="W2460" s="46"/>
      <c r="X2460" s="46"/>
    </row>
    <row r="2461" spans="1:24" x14ac:dyDescent="0.2">
      <c r="A2461" s="45"/>
      <c r="B2461" s="46"/>
      <c r="C2461" s="46"/>
      <c r="D2461" s="46"/>
      <c r="E2461" s="46"/>
      <c r="F2461" s="46"/>
      <c r="G2461" s="46"/>
      <c r="H2461" s="46"/>
      <c r="I2461" s="46"/>
      <c r="J2461" s="46"/>
      <c r="K2461" s="46"/>
      <c r="L2461" s="46"/>
      <c r="M2461" s="46"/>
      <c r="N2461" s="46"/>
      <c r="O2461" s="46"/>
      <c r="P2461" s="46"/>
      <c r="Q2461" s="46"/>
      <c r="R2461" s="46"/>
      <c r="S2461" s="46"/>
      <c r="T2461" s="46"/>
      <c r="U2461" s="46"/>
      <c r="V2461" s="46"/>
      <c r="W2461" s="46"/>
      <c r="X2461" s="46"/>
    </row>
    <row r="2462" spans="1:24" x14ac:dyDescent="0.2">
      <c r="A2462" s="45"/>
      <c r="B2462" s="46"/>
      <c r="C2462" s="46"/>
      <c r="D2462" s="46"/>
      <c r="E2462" s="46"/>
      <c r="F2462" s="46"/>
      <c r="G2462" s="46"/>
      <c r="H2462" s="46"/>
      <c r="I2462" s="46"/>
      <c r="J2462" s="46"/>
      <c r="K2462" s="46"/>
      <c r="L2462" s="46"/>
      <c r="M2462" s="46"/>
      <c r="N2462" s="46"/>
      <c r="O2462" s="46"/>
      <c r="P2462" s="46"/>
      <c r="Q2462" s="46"/>
      <c r="R2462" s="46"/>
      <c r="S2462" s="46"/>
      <c r="T2462" s="46"/>
      <c r="U2462" s="46"/>
      <c r="V2462" s="46"/>
      <c r="W2462" s="46"/>
      <c r="X2462" s="46"/>
    </row>
    <row r="2463" spans="1:24" x14ac:dyDescent="0.2">
      <c r="A2463" s="45"/>
      <c r="B2463" s="46"/>
      <c r="C2463" s="46"/>
      <c r="D2463" s="46"/>
      <c r="E2463" s="46"/>
      <c r="F2463" s="46"/>
      <c r="G2463" s="46"/>
      <c r="H2463" s="46"/>
      <c r="I2463" s="46"/>
      <c r="J2463" s="46"/>
      <c r="K2463" s="46"/>
      <c r="L2463" s="46"/>
      <c r="M2463" s="46"/>
      <c r="N2463" s="46"/>
      <c r="O2463" s="46"/>
      <c r="P2463" s="46"/>
      <c r="Q2463" s="46"/>
      <c r="R2463" s="46"/>
      <c r="S2463" s="46"/>
      <c r="T2463" s="46"/>
      <c r="U2463" s="46"/>
      <c r="V2463" s="46"/>
      <c r="W2463" s="46"/>
      <c r="X2463" s="46"/>
    </row>
    <row r="2464" spans="1:24" x14ac:dyDescent="0.2">
      <c r="A2464" s="45"/>
      <c r="B2464" s="46"/>
      <c r="C2464" s="46"/>
      <c r="D2464" s="46"/>
      <c r="E2464" s="46"/>
      <c r="F2464" s="46"/>
      <c r="G2464" s="46"/>
      <c r="H2464" s="46"/>
      <c r="I2464" s="46"/>
      <c r="J2464" s="46"/>
      <c r="K2464" s="46"/>
      <c r="L2464" s="46"/>
      <c r="M2464" s="46"/>
      <c r="N2464" s="46"/>
      <c r="O2464" s="46"/>
      <c r="P2464" s="46"/>
      <c r="Q2464" s="46"/>
      <c r="R2464" s="46"/>
      <c r="S2464" s="46"/>
      <c r="T2464" s="46"/>
      <c r="U2464" s="46"/>
      <c r="V2464" s="46"/>
      <c r="W2464" s="46"/>
      <c r="X2464" s="46"/>
    </row>
    <row r="2465" spans="1:24" x14ac:dyDescent="0.2">
      <c r="A2465" s="45"/>
      <c r="B2465" s="46"/>
      <c r="C2465" s="46"/>
      <c r="D2465" s="46"/>
      <c r="E2465" s="46"/>
      <c r="F2465" s="46"/>
      <c r="G2465" s="46"/>
      <c r="H2465" s="46"/>
      <c r="I2465" s="46"/>
      <c r="J2465" s="46"/>
      <c r="K2465" s="46"/>
      <c r="L2465" s="46"/>
      <c r="M2465" s="46"/>
      <c r="N2465" s="46"/>
      <c r="O2465" s="46"/>
      <c r="P2465" s="46"/>
      <c r="Q2465" s="46"/>
      <c r="R2465" s="46"/>
      <c r="S2465" s="46"/>
      <c r="T2465" s="46"/>
      <c r="U2465" s="46"/>
      <c r="V2465" s="46"/>
      <c r="W2465" s="46"/>
      <c r="X2465" s="46"/>
    </row>
    <row r="2466" spans="1:24" x14ac:dyDescent="0.2">
      <c r="A2466" s="45"/>
      <c r="B2466" s="46"/>
      <c r="C2466" s="46"/>
      <c r="D2466" s="46"/>
      <c r="E2466" s="46"/>
      <c r="F2466" s="46"/>
      <c r="G2466" s="46"/>
      <c r="H2466" s="46"/>
      <c r="I2466" s="46"/>
      <c r="J2466" s="46"/>
      <c r="K2466" s="46"/>
      <c r="L2466" s="46"/>
      <c r="M2466" s="46"/>
      <c r="N2466" s="46"/>
      <c r="O2466" s="46"/>
      <c r="P2466" s="46"/>
      <c r="Q2466" s="46"/>
      <c r="R2466" s="46"/>
      <c r="S2466" s="46"/>
      <c r="T2466" s="46"/>
      <c r="U2466" s="46"/>
      <c r="V2466" s="46"/>
      <c r="W2466" s="46"/>
      <c r="X2466" s="46"/>
    </row>
    <row r="2467" spans="1:24" x14ac:dyDescent="0.2">
      <c r="A2467" s="45"/>
      <c r="B2467" s="46"/>
      <c r="C2467" s="46"/>
      <c r="D2467" s="46"/>
      <c r="E2467" s="46"/>
      <c r="F2467" s="46"/>
      <c r="G2467" s="46"/>
      <c r="H2467" s="46"/>
      <c r="I2467" s="46"/>
      <c r="J2467" s="46"/>
      <c r="K2467" s="46"/>
      <c r="L2467" s="46"/>
      <c r="M2467" s="46"/>
      <c r="N2467" s="46"/>
      <c r="O2467" s="46"/>
      <c r="P2467" s="46"/>
      <c r="Q2467" s="46"/>
      <c r="R2467" s="46"/>
      <c r="S2467" s="46"/>
      <c r="T2467" s="46"/>
      <c r="U2467" s="46"/>
      <c r="V2467" s="46"/>
      <c r="W2467" s="46"/>
      <c r="X2467" s="46"/>
    </row>
    <row r="2468" spans="1:24" x14ac:dyDescent="0.2">
      <c r="A2468" s="45"/>
      <c r="B2468" s="46"/>
      <c r="C2468" s="46"/>
      <c r="D2468" s="46"/>
      <c r="E2468" s="46"/>
      <c r="F2468" s="46"/>
      <c r="G2468" s="46"/>
      <c r="H2468" s="46"/>
      <c r="I2468" s="46"/>
      <c r="J2468" s="46"/>
      <c r="K2468" s="46"/>
      <c r="L2468" s="46"/>
      <c r="M2468" s="46"/>
      <c r="N2468" s="46"/>
      <c r="O2468" s="46"/>
      <c r="P2468" s="46"/>
      <c r="Q2468" s="46"/>
      <c r="R2468" s="46"/>
      <c r="S2468" s="46"/>
      <c r="T2468" s="46"/>
      <c r="U2468" s="46"/>
      <c r="V2468" s="46"/>
      <c r="W2468" s="46"/>
      <c r="X2468" s="46"/>
    </row>
    <row r="2469" spans="1:24" x14ac:dyDescent="0.2">
      <c r="A2469" s="45"/>
      <c r="B2469" s="46"/>
      <c r="C2469" s="46"/>
      <c r="D2469" s="46"/>
      <c r="E2469" s="46"/>
      <c r="F2469" s="46"/>
      <c r="G2469" s="46"/>
      <c r="H2469" s="46"/>
      <c r="I2469" s="46"/>
      <c r="J2469" s="46"/>
      <c r="K2469" s="46"/>
      <c r="L2469" s="46"/>
      <c r="M2469" s="46"/>
      <c r="N2469" s="46"/>
      <c r="O2469" s="46"/>
      <c r="P2469" s="46"/>
      <c r="Q2469" s="46"/>
      <c r="R2469" s="46"/>
      <c r="S2469" s="46"/>
      <c r="T2469" s="46"/>
      <c r="U2469" s="46"/>
      <c r="V2469" s="46"/>
      <c r="W2469" s="46"/>
      <c r="X2469" s="46"/>
    </row>
    <row r="2470" spans="1:24" x14ac:dyDescent="0.2">
      <c r="A2470" s="45"/>
      <c r="B2470" s="46"/>
      <c r="C2470" s="46"/>
      <c r="D2470" s="46"/>
      <c r="E2470" s="46"/>
      <c r="F2470" s="46"/>
      <c r="G2470" s="46"/>
      <c r="H2470" s="46"/>
      <c r="I2470" s="46"/>
      <c r="J2470" s="46"/>
      <c r="K2470" s="46"/>
      <c r="L2470" s="46"/>
      <c r="M2470" s="46"/>
      <c r="N2470" s="46"/>
      <c r="O2470" s="46"/>
      <c r="P2470" s="46"/>
      <c r="Q2470" s="46"/>
      <c r="R2470" s="46"/>
      <c r="S2470" s="46"/>
      <c r="T2470" s="46"/>
      <c r="U2470" s="46"/>
      <c r="V2470" s="46"/>
      <c r="W2470" s="46"/>
      <c r="X2470" s="46"/>
    </row>
    <row r="2471" spans="1:24" x14ac:dyDescent="0.2">
      <c r="A2471" s="45"/>
      <c r="B2471" s="46"/>
      <c r="C2471" s="46"/>
      <c r="D2471" s="46"/>
      <c r="E2471" s="46"/>
      <c r="F2471" s="46"/>
      <c r="G2471" s="46"/>
      <c r="H2471" s="46"/>
      <c r="I2471" s="46"/>
      <c r="J2471" s="46"/>
      <c r="K2471" s="46"/>
      <c r="L2471" s="46"/>
      <c r="M2471" s="46"/>
      <c r="N2471" s="46"/>
      <c r="O2471" s="46"/>
      <c r="P2471" s="46"/>
      <c r="Q2471" s="46"/>
      <c r="R2471" s="46"/>
      <c r="S2471" s="46"/>
      <c r="T2471" s="46"/>
      <c r="U2471" s="46"/>
      <c r="V2471" s="46"/>
      <c r="W2471" s="46"/>
      <c r="X2471" s="46"/>
    </row>
    <row r="2472" spans="1:24" x14ac:dyDescent="0.2">
      <c r="A2472" s="45"/>
      <c r="B2472" s="46"/>
      <c r="C2472" s="46"/>
      <c r="D2472" s="46"/>
      <c r="E2472" s="46"/>
      <c r="F2472" s="46"/>
      <c r="G2472" s="46"/>
      <c r="H2472" s="46"/>
      <c r="I2472" s="46"/>
      <c r="J2472" s="46"/>
      <c r="K2472" s="46"/>
      <c r="L2472" s="46"/>
      <c r="M2472" s="46"/>
      <c r="N2472" s="46"/>
      <c r="O2472" s="46"/>
      <c r="P2472" s="46"/>
      <c r="Q2472" s="46"/>
      <c r="R2472" s="46"/>
      <c r="S2472" s="46"/>
      <c r="T2472" s="46"/>
      <c r="U2472" s="46"/>
      <c r="V2472" s="46"/>
      <c r="W2472" s="46"/>
      <c r="X2472" s="46"/>
    </row>
    <row r="2473" spans="1:24" x14ac:dyDescent="0.2">
      <c r="A2473" s="45"/>
      <c r="B2473" s="46"/>
      <c r="C2473" s="46"/>
      <c r="D2473" s="46"/>
      <c r="E2473" s="46"/>
      <c r="F2473" s="46"/>
      <c r="G2473" s="46"/>
      <c r="H2473" s="46"/>
      <c r="I2473" s="46"/>
      <c r="J2473" s="46"/>
      <c r="K2473" s="46"/>
      <c r="L2473" s="46"/>
      <c r="M2473" s="46"/>
      <c r="N2473" s="46"/>
      <c r="O2473" s="46"/>
      <c r="P2473" s="46"/>
      <c r="Q2473" s="46"/>
      <c r="R2473" s="46"/>
      <c r="S2473" s="46"/>
      <c r="T2473" s="46"/>
      <c r="U2473" s="46"/>
      <c r="V2473" s="46"/>
      <c r="W2473" s="46"/>
      <c r="X2473" s="46"/>
    </row>
    <row r="2474" spans="1:24" x14ac:dyDescent="0.2">
      <c r="A2474" s="45"/>
      <c r="B2474" s="46"/>
      <c r="C2474" s="46"/>
      <c r="D2474" s="46"/>
      <c r="E2474" s="46"/>
      <c r="F2474" s="46"/>
      <c r="G2474" s="46"/>
      <c r="H2474" s="46"/>
      <c r="I2474" s="46"/>
      <c r="J2474" s="46"/>
      <c r="K2474" s="46"/>
      <c r="L2474" s="46"/>
      <c r="M2474" s="46"/>
      <c r="N2474" s="46"/>
      <c r="O2474" s="46"/>
      <c r="P2474" s="46"/>
      <c r="Q2474" s="46"/>
      <c r="R2474" s="46"/>
      <c r="S2474" s="46"/>
      <c r="T2474" s="46"/>
      <c r="U2474" s="46"/>
      <c r="V2474" s="46"/>
      <c r="W2474" s="46"/>
      <c r="X2474" s="46"/>
    </row>
    <row r="2475" spans="1:24" x14ac:dyDescent="0.2">
      <c r="A2475" s="45"/>
      <c r="B2475" s="46"/>
      <c r="C2475" s="46"/>
      <c r="D2475" s="46"/>
      <c r="E2475" s="46"/>
      <c r="F2475" s="46"/>
      <c r="G2475" s="46"/>
      <c r="H2475" s="46"/>
      <c r="I2475" s="46"/>
      <c r="J2475" s="46"/>
      <c r="K2475" s="46"/>
      <c r="L2475" s="46"/>
      <c r="M2475" s="46"/>
      <c r="N2475" s="46"/>
      <c r="O2475" s="46"/>
      <c r="P2475" s="46"/>
      <c r="Q2475" s="46"/>
      <c r="R2475" s="46"/>
      <c r="S2475" s="46"/>
      <c r="T2475" s="46"/>
      <c r="U2475" s="46"/>
      <c r="V2475" s="46"/>
      <c r="W2475" s="46"/>
      <c r="X2475" s="46"/>
    </row>
    <row r="2476" spans="1:24" x14ac:dyDescent="0.2">
      <c r="A2476" s="45"/>
      <c r="B2476" s="46"/>
      <c r="C2476" s="46"/>
      <c r="D2476" s="46"/>
      <c r="E2476" s="46"/>
      <c r="F2476" s="46"/>
      <c r="G2476" s="46"/>
      <c r="H2476" s="46"/>
      <c r="I2476" s="46"/>
      <c r="J2476" s="46"/>
      <c r="K2476" s="46"/>
      <c r="L2476" s="46"/>
      <c r="M2476" s="46"/>
      <c r="N2476" s="46"/>
      <c r="O2476" s="46"/>
      <c r="P2476" s="46"/>
      <c r="Q2476" s="46"/>
      <c r="R2476" s="46"/>
      <c r="S2476" s="46"/>
      <c r="T2476" s="46"/>
      <c r="U2476" s="46"/>
      <c r="V2476" s="46"/>
      <c r="W2476" s="46"/>
      <c r="X2476" s="46"/>
    </row>
    <row r="2477" spans="1:24" x14ac:dyDescent="0.2">
      <c r="A2477" s="45"/>
      <c r="B2477" s="46"/>
      <c r="C2477" s="46"/>
      <c r="D2477" s="46"/>
      <c r="E2477" s="46"/>
      <c r="F2477" s="46"/>
      <c r="G2477" s="46"/>
      <c r="H2477" s="46"/>
      <c r="I2477" s="46"/>
      <c r="J2477" s="46"/>
      <c r="K2477" s="46"/>
      <c r="L2477" s="46"/>
      <c r="M2477" s="46"/>
      <c r="N2477" s="46"/>
      <c r="O2477" s="46"/>
      <c r="P2477" s="46"/>
      <c r="Q2477" s="46"/>
      <c r="R2477" s="46"/>
      <c r="S2477" s="46"/>
      <c r="T2477" s="46"/>
      <c r="U2477" s="46"/>
      <c r="V2477" s="46"/>
      <c r="W2477" s="46"/>
      <c r="X2477" s="46"/>
    </row>
    <row r="2478" spans="1:24" x14ac:dyDescent="0.2">
      <c r="A2478" s="45"/>
      <c r="B2478" s="46"/>
      <c r="C2478" s="46"/>
      <c r="D2478" s="46"/>
      <c r="E2478" s="46"/>
      <c r="F2478" s="46"/>
      <c r="G2478" s="46"/>
      <c r="H2478" s="46"/>
      <c r="I2478" s="46"/>
      <c r="J2478" s="46"/>
      <c r="K2478" s="46"/>
      <c r="L2478" s="46"/>
      <c r="M2478" s="46"/>
      <c r="N2478" s="46"/>
      <c r="O2478" s="46"/>
      <c r="P2478" s="46"/>
      <c r="Q2478" s="46"/>
      <c r="R2478" s="46"/>
      <c r="S2478" s="46"/>
      <c r="T2478" s="46"/>
      <c r="U2478" s="46"/>
      <c r="V2478" s="46"/>
      <c r="W2478" s="46"/>
      <c r="X2478" s="46"/>
    </row>
    <row r="2479" spans="1:24" x14ac:dyDescent="0.2">
      <c r="A2479" s="45"/>
      <c r="B2479" s="46"/>
      <c r="C2479" s="46"/>
      <c r="D2479" s="46"/>
      <c r="E2479" s="46"/>
      <c r="F2479" s="46"/>
      <c r="G2479" s="46"/>
      <c r="H2479" s="46"/>
      <c r="I2479" s="46"/>
      <c r="J2479" s="46"/>
      <c r="K2479" s="46"/>
      <c r="L2479" s="46"/>
      <c r="M2479" s="46"/>
      <c r="N2479" s="46"/>
      <c r="O2479" s="46"/>
      <c r="P2479" s="46"/>
      <c r="Q2479" s="46"/>
      <c r="R2479" s="46"/>
      <c r="S2479" s="46"/>
      <c r="T2479" s="46"/>
      <c r="U2479" s="46"/>
      <c r="V2479" s="46"/>
      <c r="W2479" s="46"/>
      <c r="X2479" s="46"/>
    </row>
    <row r="2480" spans="1:24" x14ac:dyDescent="0.2">
      <c r="A2480" s="45"/>
      <c r="B2480" s="46"/>
      <c r="C2480" s="46"/>
      <c r="D2480" s="46"/>
      <c r="E2480" s="46"/>
      <c r="F2480" s="46"/>
      <c r="G2480" s="46"/>
      <c r="H2480" s="46"/>
      <c r="I2480" s="46"/>
      <c r="J2480" s="46"/>
      <c r="K2480" s="46"/>
      <c r="L2480" s="46"/>
      <c r="M2480" s="46"/>
      <c r="N2480" s="46"/>
      <c r="O2480" s="46"/>
      <c r="P2480" s="46"/>
      <c r="Q2480" s="46"/>
      <c r="R2480" s="46"/>
      <c r="S2480" s="46"/>
      <c r="T2480" s="46"/>
      <c r="U2480" s="46"/>
      <c r="V2480" s="46"/>
      <c r="W2480" s="46"/>
      <c r="X2480" s="46"/>
    </row>
    <row r="2481" spans="1:24" x14ac:dyDescent="0.2">
      <c r="A2481" s="45"/>
      <c r="B2481" s="46"/>
      <c r="C2481" s="46"/>
      <c r="D2481" s="46"/>
      <c r="E2481" s="46"/>
      <c r="F2481" s="46"/>
      <c r="G2481" s="46"/>
      <c r="H2481" s="46"/>
      <c r="I2481" s="46"/>
      <c r="J2481" s="46"/>
      <c r="K2481" s="46"/>
      <c r="L2481" s="46"/>
      <c r="M2481" s="46"/>
      <c r="N2481" s="46"/>
      <c r="O2481" s="46"/>
      <c r="P2481" s="46"/>
      <c r="Q2481" s="46"/>
      <c r="R2481" s="46"/>
      <c r="S2481" s="46"/>
      <c r="T2481" s="46"/>
      <c r="U2481" s="46"/>
      <c r="V2481" s="46"/>
      <c r="W2481" s="46"/>
      <c r="X2481" s="46"/>
    </row>
    <row r="2482" spans="1:24" x14ac:dyDescent="0.2">
      <c r="A2482" s="45"/>
      <c r="B2482" s="46"/>
      <c r="C2482" s="46"/>
      <c r="D2482" s="46"/>
      <c r="E2482" s="46"/>
      <c r="F2482" s="46"/>
      <c r="G2482" s="46"/>
      <c r="H2482" s="46"/>
      <c r="I2482" s="46"/>
      <c r="J2482" s="46"/>
      <c r="K2482" s="46"/>
      <c r="L2482" s="46"/>
      <c r="M2482" s="46"/>
      <c r="N2482" s="46"/>
      <c r="O2482" s="46"/>
      <c r="P2482" s="46"/>
      <c r="Q2482" s="46"/>
      <c r="R2482" s="46"/>
      <c r="S2482" s="46"/>
      <c r="T2482" s="46"/>
      <c r="U2482" s="46"/>
      <c r="V2482" s="46"/>
      <c r="W2482" s="46"/>
      <c r="X2482" s="46"/>
    </row>
    <row r="2483" spans="1:24" x14ac:dyDescent="0.2">
      <c r="A2483" s="45"/>
      <c r="B2483" s="46"/>
      <c r="C2483" s="46"/>
      <c r="D2483" s="46"/>
      <c r="E2483" s="46"/>
      <c r="F2483" s="46"/>
      <c r="G2483" s="46"/>
      <c r="H2483" s="46"/>
      <c r="I2483" s="46"/>
      <c r="J2483" s="46"/>
      <c r="K2483" s="46"/>
      <c r="L2483" s="46"/>
      <c r="M2483" s="46"/>
      <c r="N2483" s="46"/>
      <c r="O2483" s="46"/>
      <c r="P2483" s="46"/>
      <c r="Q2483" s="46"/>
      <c r="R2483" s="46"/>
      <c r="S2483" s="46"/>
      <c r="T2483" s="46"/>
      <c r="U2483" s="46"/>
      <c r="V2483" s="46"/>
      <c r="W2483" s="46"/>
      <c r="X2483" s="46"/>
    </row>
    <row r="2484" spans="1:24" x14ac:dyDescent="0.2">
      <c r="A2484" s="45"/>
      <c r="B2484" s="46"/>
      <c r="C2484" s="46"/>
      <c r="D2484" s="46"/>
      <c r="E2484" s="46"/>
      <c r="F2484" s="46"/>
      <c r="G2484" s="46"/>
      <c r="H2484" s="46"/>
      <c r="I2484" s="46"/>
      <c r="J2484" s="46"/>
      <c r="K2484" s="46"/>
      <c r="L2484" s="46"/>
      <c r="M2484" s="46"/>
      <c r="N2484" s="46"/>
      <c r="O2484" s="46"/>
      <c r="P2484" s="46"/>
      <c r="Q2484" s="46"/>
      <c r="R2484" s="46"/>
      <c r="S2484" s="46"/>
      <c r="T2484" s="46"/>
      <c r="U2484" s="46"/>
      <c r="V2484" s="46"/>
      <c r="W2484" s="46"/>
      <c r="X2484" s="46"/>
    </row>
    <row r="2485" spans="1:24" x14ac:dyDescent="0.2">
      <c r="A2485" s="45"/>
      <c r="B2485" s="46"/>
      <c r="C2485" s="46"/>
      <c r="D2485" s="46"/>
      <c r="E2485" s="46"/>
      <c r="F2485" s="46"/>
      <c r="G2485" s="46"/>
      <c r="H2485" s="46"/>
      <c r="I2485" s="46"/>
      <c r="J2485" s="46"/>
      <c r="K2485" s="46"/>
      <c r="L2485" s="46"/>
      <c r="M2485" s="46"/>
      <c r="N2485" s="46"/>
      <c r="O2485" s="46"/>
      <c r="P2485" s="46"/>
      <c r="Q2485" s="46"/>
      <c r="R2485" s="46"/>
      <c r="S2485" s="46"/>
      <c r="T2485" s="46"/>
      <c r="U2485" s="46"/>
      <c r="V2485" s="46"/>
      <c r="W2485" s="46"/>
      <c r="X2485" s="46"/>
    </row>
    <row r="2486" spans="1:24" x14ac:dyDescent="0.2">
      <c r="A2486" s="45"/>
      <c r="B2486" s="46"/>
      <c r="C2486" s="46"/>
      <c r="D2486" s="46"/>
      <c r="E2486" s="46"/>
      <c r="F2486" s="46"/>
      <c r="G2486" s="46"/>
      <c r="H2486" s="46"/>
      <c r="I2486" s="46"/>
      <c r="J2486" s="46"/>
      <c r="K2486" s="46"/>
      <c r="L2486" s="46"/>
      <c r="M2486" s="46"/>
      <c r="N2486" s="46"/>
      <c r="O2486" s="46"/>
      <c r="P2486" s="46"/>
      <c r="Q2486" s="46"/>
      <c r="R2486" s="46"/>
      <c r="S2486" s="46"/>
      <c r="T2486" s="46"/>
      <c r="U2486" s="46"/>
      <c r="V2486" s="46"/>
      <c r="W2486" s="46"/>
      <c r="X2486" s="46"/>
    </row>
    <row r="2487" spans="1:24" x14ac:dyDescent="0.2">
      <c r="A2487" s="45"/>
      <c r="B2487" s="46"/>
      <c r="C2487" s="46"/>
      <c r="D2487" s="46"/>
      <c r="E2487" s="46"/>
      <c r="F2487" s="46"/>
      <c r="G2487" s="46"/>
      <c r="H2487" s="46"/>
      <c r="I2487" s="46"/>
      <c r="J2487" s="46"/>
      <c r="K2487" s="46"/>
      <c r="L2487" s="46"/>
      <c r="M2487" s="46"/>
      <c r="N2487" s="46"/>
      <c r="O2487" s="46"/>
      <c r="P2487" s="46"/>
      <c r="Q2487" s="46"/>
      <c r="R2487" s="46"/>
      <c r="S2487" s="46"/>
      <c r="T2487" s="46"/>
      <c r="U2487" s="46"/>
      <c r="V2487" s="46"/>
      <c r="W2487" s="46"/>
      <c r="X2487" s="46"/>
    </row>
    <row r="2488" spans="1:24" x14ac:dyDescent="0.2">
      <c r="A2488" s="45"/>
      <c r="B2488" s="46"/>
      <c r="C2488" s="46"/>
      <c r="D2488" s="46"/>
      <c r="E2488" s="46"/>
      <c r="F2488" s="46"/>
      <c r="G2488" s="46"/>
      <c r="H2488" s="46"/>
      <c r="I2488" s="46"/>
      <c r="J2488" s="46"/>
      <c r="K2488" s="46"/>
      <c r="L2488" s="46"/>
      <c r="M2488" s="46"/>
      <c r="N2488" s="46"/>
      <c r="O2488" s="46"/>
      <c r="P2488" s="46"/>
      <c r="Q2488" s="46"/>
      <c r="R2488" s="46"/>
      <c r="S2488" s="46"/>
      <c r="T2488" s="46"/>
      <c r="U2488" s="46"/>
      <c r="V2488" s="46"/>
      <c r="W2488" s="46"/>
      <c r="X2488" s="46"/>
    </row>
    <row r="2489" spans="1:24" x14ac:dyDescent="0.2">
      <c r="A2489" s="45"/>
      <c r="B2489" s="46"/>
      <c r="C2489" s="46"/>
      <c r="D2489" s="46"/>
      <c r="E2489" s="46"/>
      <c r="F2489" s="46"/>
      <c r="G2489" s="46"/>
      <c r="H2489" s="46"/>
      <c r="I2489" s="46"/>
      <c r="J2489" s="46"/>
      <c r="K2489" s="46"/>
      <c r="L2489" s="46"/>
      <c r="M2489" s="46"/>
      <c r="N2489" s="46"/>
      <c r="O2489" s="46"/>
      <c r="P2489" s="46"/>
      <c r="Q2489" s="46"/>
      <c r="R2489" s="46"/>
      <c r="S2489" s="46"/>
      <c r="T2489" s="46"/>
      <c r="U2489" s="46"/>
      <c r="V2489" s="46"/>
      <c r="W2489" s="46"/>
      <c r="X2489" s="46"/>
    </row>
    <row r="2490" spans="1:24" x14ac:dyDescent="0.2">
      <c r="A2490" s="45"/>
      <c r="B2490" s="46"/>
      <c r="C2490" s="46"/>
      <c r="D2490" s="46"/>
      <c r="E2490" s="46"/>
      <c r="F2490" s="46"/>
      <c r="G2490" s="46"/>
      <c r="H2490" s="46"/>
      <c r="I2490" s="46"/>
      <c r="J2490" s="46"/>
      <c r="K2490" s="46"/>
      <c r="L2490" s="46"/>
      <c r="M2490" s="46"/>
      <c r="N2490" s="46"/>
      <c r="O2490" s="46"/>
      <c r="P2490" s="46"/>
      <c r="Q2490" s="46"/>
      <c r="R2490" s="46"/>
      <c r="S2490" s="46"/>
      <c r="T2490" s="46"/>
      <c r="U2490" s="46"/>
      <c r="V2490" s="46"/>
      <c r="W2490" s="46"/>
      <c r="X2490" s="46"/>
    </row>
    <row r="2491" spans="1:24" x14ac:dyDescent="0.2">
      <c r="A2491" s="45"/>
      <c r="B2491" s="46"/>
      <c r="C2491" s="46"/>
      <c r="D2491" s="46"/>
      <c r="E2491" s="46"/>
      <c r="F2491" s="46"/>
      <c r="G2491" s="46"/>
      <c r="H2491" s="46"/>
      <c r="I2491" s="46"/>
      <c r="J2491" s="46"/>
      <c r="K2491" s="46"/>
      <c r="L2491" s="46"/>
      <c r="M2491" s="46"/>
      <c r="N2491" s="46"/>
      <c r="O2491" s="46"/>
      <c r="P2491" s="46"/>
      <c r="Q2491" s="46"/>
      <c r="R2491" s="46"/>
      <c r="S2491" s="46"/>
      <c r="T2491" s="46"/>
      <c r="U2491" s="46"/>
      <c r="V2491" s="46"/>
      <c r="W2491" s="46"/>
      <c r="X2491" s="46"/>
    </row>
    <row r="2492" spans="1:24" x14ac:dyDescent="0.2">
      <c r="A2492" s="45"/>
      <c r="B2492" s="46"/>
      <c r="C2492" s="46"/>
      <c r="D2492" s="46"/>
      <c r="E2492" s="46"/>
      <c r="F2492" s="46"/>
      <c r="G2492" s="46"/>
      <c r="H2492" s="46"/>
      <c r="I2492" s="46"/>
      <c r="J2492" s="46"/>
      <c r="K2492" s="46"/>
      <c r="L2492" s="46"/>
      <c r="M2492" s="46"/>
      <c r="N2492" s="46"/>
      <c r="O2492" s="46"/>
      <c r="P2492" s="46"/>
      <c r="Q2492" s="46"/>
      <c r="R2492" s="46"/>
      <c r="S2492" s="46"/>
      <c r="T2492" s="46"/>
      <c r="U2492" s="46"/>
      <c r="V2492" s="46"/>
      <c r="W2492" s="46"/>
      <c r="X2492" s="46"/>
    </row>
    <row r="2493" spans="1:24" x14ac:dyDescent="0.2">
      <c r="A2493" s="45"/>
      <c r="B2493" s="46"/>
      <c r="C2493" s="46"/>
      <c r="D2493" s="46"/>
      <c r="E2493" s="46"/>
      <c r="F2493" s="46"/>
      <c r="G2493" s="46"/>
      <c r="H2493" s="46"/>
      <c r="I2493" s="46"/>
      <c r="J2493" s="46"/>
      <c r="K2493" s="46"/>
      <c r="L2493" s="46"/>
      <c r="M2493" s="46"/>
      <c r="N2493" s="46"/>
      <c r="O2493" s="46"/>
      <c r="P2493" s="46"/>
      <c r="Q2493" s="46"/>
      <c r="R2493" s="46"/>
      <c r="S2493" s="46"/>
      <c r="T2493" s="46"/>
      <c r="U2493" s="46"/>
      <c r="V2493" s="46"/>
      <c r="W2493" s="46"/>
      <c r="X2493" s="46"/>
    </row>
    <row r="2494" spans="1:24" x14ac:dyDescent="0.2">
      <c r="A2494" s="45"/>
      <c r="B2494" s="46"/>
      <c r="C2494" s="46"/>
      <c r="D2494" s="46"/>
      <c r="E2494" s="46"/>
      <c r="F2494" s="46"/>
      <c r="G2494" s="46"/>
      <c r="H2494" s="46"/>
      <c r="I2494" s="46"/>
      <c r="J2494" s="46"/>
      <c r="K2494" s="46"/>
      <c r="L2494" s="46"/>
      <c r="M2494" s="46"/>
      <c r="N2494" s="46"/>
      <c r="O2494" s="46"/>
      <c r="P2494" s="46"/>
      <c r="Q2494" s="46"/>
      <c r="R2494" s="46"/>
      <c r="S2494" s="46"/>
      <c r="T2494" s="46"/>
      <c r="U2494" s="46"/>
      <c r="V2494" s="46"/>
      <c r="W2494" s="46"/>
      <c r="X2494" s="46"/>
    </row>
    <row r="2495" spans="1:24" x14ac:dyDescent="0.2">
      <c r="A2495" s="45"/>
      <c r="B2495" s="46"/>
      <c r="C2495" s="46"/>
      <c r="D2495" s="46"/>
      <c r="E2495" s="46"/>
      <c r="F2495" s="46"/>
      <c r="G2495" s="46"/>
      <c r="H2495" s="46"/>
      <c r="I2495" s="46"/>
      <c r="J2495" s="46"/>
      <c r="K2495" s="46"/>
      <c r="L2495" s="46"/>
      <c r="M2495" s="46"/>
      <c r="N2495" s="46"/>
      <c r="O2495" s="46"/>
      <c r="P2495" s="46"/>
      <c r="Q2495" s="46"/>
      <c r="R2495" s="46"/>
      <c r="S2495" s="46"/>
      <c r="T2495" s="46"/>
      <c r="U2495" s="46"/>
      <c r="V2495" s="46"/>
      <c r="W2495" s="46"/>
      <c r="X2495" s="46"/>
    </row>
    <row r="2496" spans="1:24" x14ac:dyDescent="0.2">
      <c r="A2496" s="45"/>
      <c r="B2496" s="46"/>
      <c r="C2496" s="46"/>
      <c r="D2496" s="46"/>
      <c r="E2496" s="46"/>
      <c r="F2496" s="46"/>
      <c r="G2496" s="46"/>
      <c r="H2496" s="46"/>
      <c r="I2496" s="46"/>
      <c r="J2496" s="46"/>
      <c r="K2496" s="46"/>
      <c r="L2496" s="46"/>
      <c r="M2496" s="46"/>
      <c r="N2496" s="46"/>
      <c r="O2496" s="46"/>
      <c r="P2496" s="46"/>
      <c r="Q2496" s="46"/>
      <c r="R2496" s="46"/>
      <c r="S2496" s="46"/>
      <c r="T2496" s="46"/>
      <c r="U2496" s="46"/>
      <c r="V2496" s="46"/>
      <c r="W2496" s="46"/>
      <c r="X2496" s="46"/>
    </row>
    <row r="2497" spans="1:24" x14ac:dyDescent="0.2">
      <c r="A2497" s="45"/>
      <c r="B2497" s="46"/>
      <c r="C2497" s="46"/>
      <c r="D2497" s="46"/>
      <c r="E2497" s="46"/>
      <c r="F2497" s="46"/>
      <c r="G2497" s="46"/>
      <c r="H2497" s="46"/>
      <c r="I2497" s="46"/>
      <c r="J2497" s="46"/>
      <c r="K2497" s="46"/>
      <c r="L2497" s="46"/>
      <c r="M2497" s="46"/>
      <c r="N2497" s="46"/>
      <c r="O2497" s="46"/>
      <c r="P2497" s="46"/>
      <c r="Q2497" s="46"/>
      <c r="R2497" s="46"/>
      <c r="S2497" s="46"/>
      <c r="T2497" s="46"/>
      <c r="U2497" s="46"/>
      <c r="V2497" s="46"/>
      <c r="W2497" s="46"/>
      <c r="X2497" s="46"/>
    </row>
    <row r="2498" spans="1:24" x14ac:dyDescent="0.2">
      <c r="A2498" s="45"/>
      <c r="B2498" s="46"/>
      <c r="C2498" s="46"/>
      <c r="D2498" s="46"/>
      <c r="E2498" s="46"/>
      <c r="F2498" s="46"/>
      <c r="G2498" s="46"/>
      <c r="H2498" s="46"/>
      <c r="I2498" s="46"/>
      <c r="J2498" s="46"/>
      <c r="K2498" s="46"/>
      <c r="L2498" s="46"/>
      <c r="M2498" s="46"/>
      <c r="N2498" s="46"/>
      <c r="O2498" s="46"/>
      <c r="P2498" s="46"/>
      <c r="Q2498" s="46"/>
      <c r="R2498" s="46"/>
      <c r="S2498" s="46"/>
      <c r="T2498" s="46"/>
      <c r="U2498" s="46"/>
      <c r="V2498" s="46"/>
      <c r="W2498" s="46"/>
      <c r="X2498" s="46"/>
    </row>
    <row r="2499" spans="1:24" x14ac:dyDescent="0.2">
      <c r="A2499" s="45"/>
      <c r="B2499" s="46"/>
      <c r="C2499" s="46"/>
      <c r="D2499" s="46"/>
      <c r="E2499" s="46"/>
      <c r="F2499" s="46"/>
      <c r="G2499" s="46"/>
      <c r="H2499" s="46"/>
      <c r="I2499" s="46"/>
      <c r="J2499" s="46"/>
      <c r="K2499" s="46"/>
      <c r="L2499" s="46"/>
      <c r="M2499" s="46"/>
      <c r="N2499" s="46"/>
      <c r="O2499" s="46"/>
      <c r="P2499" s="46"/>
      <c r="Q2499" s="46"/>
      <c r="R2499" s="46"/>
      <c r="S2499" s="46"/>
      <c r="T2499" s="46"/>
      <c r="U2499" s="46"/>
      <c r="V2499" s="46"/>
      <c r="W2499" s="46"/>
      <c r="X2499" s="46"/>
    </row>
    <row r="2500" spans="1:24" x14ac:dyDescent="0.2">
      <c r="A2500" s="45"/>
      <c r="B2500" s="46"/>
      <c r="C2500" s="46"/>
      <c r="D2500" s="46"/>
      <c r="E2500" s="46"/>
      <c r="F2500" s="46"/>
      <c r="G2500" s="46"/>
      <c r="H2500" s="46"/>
      <c r="I2500" s="46"/>
      <c r="J2500" s="46"/>
      <c r="K2500" s="46"/>
      <c r="L2500" s="46"/>
      <c r="M2500" s="46"/>
      <c r="N2500" s="46"/>
      <c r="O2500" s="46"/>
      <c r="P2500" s="46"/>
      <c r="Q2500" s="46"/>
      <c r="R2500" s="46"/>
      <c r="S2500" s="46"/>
      <c r="T2500" s="46"/>
      <c r="U2500" s="46"/>
      <c r="V2500" s="46"/>
      <c r="W2500" s="46"/>
      <c r="X2500" s="46"/>
    </row>
    <row r="2501" spans="1:24" x14ac:dyDescent="0.2">
      <c r="A2501" s="45"/>
      <c r="B2501" s="46"/>
      <c r="C2501" s="46"/>
      <c r="D2501" s="46"/>
      <c r="E2501" s="46"/>
      <c r="F2501" s="46"/>
      <c r="G2501" s="46"/>
      <c r="H2501" s="46"/>
      <c r="I2501" s="46"/>
      <c r="J2501" s="46"/>
      <c r="K2501" s="46"/>
      <c r="L2501" s="46"/>
      <c r="M2501" s="46"/>
      <c r="N2501" s="46"/>
      <c r="O2501" s="46"/>
      <c r="P2501" s="46"/>
      <c r="Q2501" s="46"/>
      <c r="R2501" s="46"/>
      <c r="S2501" s="46"/>
      <c r="T2501" s="46"/>
      <c r="U2501" s="46"/>
      <c r="V2501" s="46"/>
      <c r="W2501" s="46"/>
      <c r="X2501" s="46"/>
    </row>
  </sheetData>
  <autoFilter ref="A2:CJ2" xr:uid="{41E45131-4224-4D19-AAA4-B7DC37665526}"/>
  <sortState xmlns:xlrd2="http://schemas.microsoft.com/office/spreadsheetml/2017/richdata2" ref="A3:CJ66">
    <sortCondition ref="A3:A66"/>
  </sortState>
  <hyperlinks>
    <hyperlink ref="A1" location="Index!A1" display="Index"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Instructions</vt:lpstr>
      <vt:lpstr>Index</vt:lpstr>
      <vt:lpstr>Company Overview</vt:lpstr>
      <vt:lpstr>Enrollment, Eligib. &amp; Cost</vt:lpstr>
      <vt:lpstr>Admin, Tools, Audits, Data</vt:lpstr>
      <vt:lpstr>Communications &amp; Engagement</vt:lpstr>
      <vt:lpstr>Other Benefits</vt:lpstr>
      <vt:lpstr>Healthcare</vt:lpstr>
      <vt:lpstr>Disease Mgmt &amp; Wellbeing</vt:lpstr>
      <vt:lpstr>Trends &amp; Emerging Practices</vt:lpstr>
      <vt:lpstr>Income Protection</vt:lpstr>
      <vt:lpstr>Retirement, NQDC, Finances</vt:lpstr>
      <vt:lpstr>Time Off</vt:lpstr>
      <vt:lpstr>Vendors</vt:lpstr>
      <vt:lpstr>'Time Off'!_2022_USB___S11_REPORT_Verification_January_31__2022_12.20</vt:lpstr>
      <vt:lpstr>Vendors!_2022_USB___S12_REPORT___Copy_January_31__2022_12.21</vt:lpstr>
      <vt:lpstr>'Admin, Tools, Audits, Data'!_2022_USB___S3_Verification_January_31__2022_12.10__2__1</vt:lpstr>
      <vt:lpstr>'Communications &amp; Engagement'!_2022_USB___S4_Verification_January_31__2022_12.17_1</vt:lpstr>
      <vt:lpstr>'Other Benefits'!_2022_USB___S5_REPORT_Verification_January_31__2022_12.17</vt:lpstr>
      <vt:lpstr>'Income Protection'!_2022_USB___S9_REPORT_Verification_January_31__2022_12.19</vt:lpstr>
      <vt:lpstr>'Retirement, NQDC, Finances'!_2022_USB___USE_S10_REPORT_Verification_January_31__2022_12.20</vt:lpstr>
    </vt:vector>
  </TitlesOfParts>
  <Company>Arthur J Gallagher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Annmarie Flaherty</dc:creator>
  <cp:lastModifiedBy>Matt Gismondi</cp:lastModifiedBy>
  <dcterms:created xsi:type="dcterms:W3CDTF">2022-01-31T18:15:41Z</dcterms:created>
  <dcterms:modified xsi:type="dcterms:W3CDTF">2022-03-10T15:12:55Z</dcterms:modified>
</cp:coreProperties>
</file>